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Settings" sheetId="2" state="visible" r:id="rId2"/>
    <sheet name="Data Entry" sheetId="3" state="visible" r:id="rId3"/>
    <sheet name="Data Collection Form" sheetId="4" state="visible" r:id="rId4"/>
    <sheet name="Control Charts" sheetId="5" state="visible" r:id="rId5"/>
    <sheet name="Monitor" sheetId="6" state="visible" r:id="rId6"/>
    <sheet name="Visual SPC" sheetId="7" state="visible" r:id="rId7"/>
    <sheet name="Capability" sheetId="8" state="visible" r:id="rId8"/>
    <sheet name="Dashboard" sheetId="9" state="visible" r:id="rId9"/>
    <sheet name="_Calc" sheetId="10" state="hidden" r:id="rId10"/>
    <sheet name="Document Control" sheetId="11" state="visible" r:id="rId11"/>
    <sheet name="Revision History" sheetId="12" state="visible" r:id="rId12"/>
    <sheet name="File Locations" sheetId="13" state="visible" r:id="rId13"/>
  </sheets>
  <definedNames>
    <definedName name="_xlnm._FilterDatabase" localSheetId="2" hidden="1">'Data Entry'!$A$4:$BE$10004</definedName>
    <definedName name="_xlnm.Print_Titles" localSheetId="3">'Data Collection Form'!$1:$16</definedName>
    <definedName name="_xlnm.Print_Area" localSheetId="3">'Data Collection Form'!$A$1:$N$50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b val="1"/>
      <color rgb="00FFFFFF"/>
      <sz val="10"/>
    </font>
    <font>
      <name val="Arial"/>
      <b val="1"/>
      <color rgb="002E74B5"/>
      <sz val="11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sz val="9"/>
    </font>
    <font>
      <name val="Arial"/>
      <b val="1"/>
      <color rgb="001F3864"/>
      <sz val="11"/>
    </font>
    <font>
      <name val="Arial"/>
      <b val="1"/>
      <sz val="15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bottom style="thin">
        <color rgb="00A6A6A6"/>
      </bottom>
    </border>
    <border>
      <left style="thin">
        <color rgb="00A6A6A6"/>
      </left>
      <right style="thin">
        <color rgb="00A6A6A6"/>
      </right>
      <top style="thin">
        <color rgb="00A6A6A6"/>
      </top>
      <bottom style="medium">
        <color rgb="0040404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pivotButton="0" quotePrefix="0" xfId="0"/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2" borderId="5" pivotButton="0" quotePrefix="0" xfId="0"/>
    <xf numFmtId="0" fontId="5" fillId="0" borderId="1" pivotButton="0" quotePrefix="0" xfId="0"/>
    <xf numFmtId="0" fontId="7" fillId="3" borderId="1" pivotButton="0" quotePrefix="0" xfId="0"/>
    <xf numFmtId="0" fontId="8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7" fillId="3" borderId="1" pivotButton="0" quotePrefix="0" xfId="0"/>
    <xf numFmtId="0" fontId="3" fillId="2" borderId="1" applyAlignment="1" pivotButton="0" quotePrefix="0" xfId="0">
      <alignment horizontal="center" wrapText="1"/>
    </xf>
    <xf numFmtId="0" fontId="6" fillId="0" borderId="0" pivotButton="0" quotePrefix="0" xfId="0"/>
    <xf numFmtId="164" fontId="6" fillId="0" borderId="0" pivotButton="0" quotePrefix="0" xfId="0"/>
    <xf numFmtId="0" fontId="5" fillId="4" borderId="1" pivotButton="0" quotePrefix="0" xfId="0"/>
    <xf numFmtId="1" fontId="6" fillId="5" borderId="1" pivotButton="0" quotePrefix="0" xfId="0"/>
    <xf numFmtId="164" fontId="6" fillId="5" borderId="1" pivotButton="0" quotePrefix="0" xfId="0"/>
    <xf numFmtId="0" fontId="10" fillId="0" borderId="0" pivotButton="0" quotePrefix="0" xfId="0"/>
    <xf numFmtId="0" fontId="5" fillId="0" borderId="0" pivotButton="0" quotePrefix="0" xfId="0"/>
    <xf numFmtId="0" fontId="0" fillId="0" borderId="6" pivotButton="0" quotePrefix="0" xfId="0"/>
    <xf numFmtId="0" fontId="0" fillId="2" borderId="4" pivotButton="0" quotePrefix="0" xfId="0"/>
    <xf numFmtId="0" fontId="0" fillId="4" borderId="1" pivotButton="0" quotePrefix="0" xfId="0"/>
    <xf numFmtId="0" fontId="8" fillId="0" borderId="1" applyAlignment="1" pivotButton="0" quotePrefix="0" xfId="0">
      <alignment horizontal="center" wrapText="1"/>
    </xf>
    <xf numFmtId="0" fontId="0" fillId="0" borderId="1" pivotButton="0" quotePrefix="0" xfId="0"/>
    <xf numFmtId="164" fontId="8" fillId="0" borderId="1" applyAlignment="1" pivotButton="0" quotePrefix="0" xfId="0">
      <alignment horizontal="center" wrapText="1"/>
    </xf>
    <xf numFmtId="0" fontId="0" fillId="0" borderId="7" pivotButton="0" quotePrefix="0" xfId="0"/>
    <xf numFmtId="164" fontId="8" fillId="0" borderId="0" pivotButton="0" quotePrefix="0" xfId="0"/>
    <xf numFmtId="0" fontId="3" fillId="2" borderId="1" applyAlignment="1" pivotButton="0" quotePrefix="0" xfId="0">
      <alignment horizontal="left"/>
    </xf>
    <xf numFmtId="0" fontId="6" fillId="0" borderId="1" pivotButton="0" quotePrefix="0" xfId="0"/>
    <xf numFmtId="0" fontId="6" fillId="5" borderId="1" pivotButton="0" quotePrefix="0" xfId="0"/>
    <xf numFmtId="0" fontId="5" fillId="4" borderId="1" applyAlignment="1" pivotButton="0" quotePrefix="0" xfId="0">
      <alignment horizontal="center"/>
    </xf>
    <xf numFmtId="2" fontId="6" fillId="5" borderId="1" pivotButton="0" quotePrefix="0" xfId="0"/>
    <xf numFmtId="0" fontId="6" fillId="4" borderId="1" pivotButton="0" quotePrefix="0" xfId="0"/>
    <xf numFmtId="1" fontId="6" fillId="0" borderId="1" pivotButton="0" quotePrefix="0" xfId="0"/>
    <xf numFmtId="164" fontId="6" fillId="0" borderId="1" pivotButton="0" quotePrefix="0" xfId="0"/>
    <xf numFmtId="2" fontId="6" fillId="0" borderId="1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1 -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Charts'!CC3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Charts'!$CB$4:$CB$203</f>
            </numRef>
          </cat>
          <val>
            <numRef>
              <f>'Control Charts'!$CC$4:$CC$203</f>
            </numRef>
          </val>
          <smooth val="0"/>
        </ser>
        <ser>
          <idx val="1"/>
          <order val="1"/>
          <tx>
            <strRef>
              <f>'Control Charts'!CD3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Charts'!$CB$4:$CB$203</f>
            </numRef>
          </cat>
          <val>
            <numRef>
              <f>'Control Charts'!$CD$4:$CD$203</f>
            </numRef>
          </val>
          <smooth val="0"/>
        </ser>
        <ser>
          <idx val="2"/>
          <order val="2"/>
          <tx>
            <strRef>
              <f>'Control Charts'!CE3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Charts'!$CB$4:$CB$203</f>
            </numRef>
          </cat>
          <val>
            <numRef>
              <f>'Control Charts'!$CE$4:$CE$203</f>
            </numRef>
          </val>
          <smooth val="0"/>
        </ser>
        <ser>
          <idx val="3"/>
          <order val="3"/>
          <tx>
            <strRef>
              <f>'Control Charts'!CF3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Charts'!$CB$4:$CB$203</f>
            </numRef>
          </cat>
          <val>
            <numRef>
              <f>'Control Charts'!$CF$4:$CF$203</f>
            </numRef>
          </val>
          <smooth val="0"/>
        </ser>
        <ser>
          <idx val="4"/>
          <order val="4"/>
          <tx>
            <strRef>
              <f>'Control Charts'!CI3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Charts'!$CB$4:$CB$203</f>
            </numRef>
          </cat>
          <val>
            <numRef>
              <f>'Control Charts'!$CI$4:$CI$203</f>
            </numRef>
          </val>
          <smooth val="0"/>
        </ser>
        <ser>
          <idx val="5"/>
          <order val="5"/>
          <tx>
            <strRef>
              <f>'Control Charts'!CJ3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Charts'!$CB$4:$CB$203</f>
            </numRef>
          </cat>
          <val>
            <numRef>
              <f>'Control Charts'!$CJ$4:$CJ$203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1 - Moving Range (mR)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Charts'!CG3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Charts'!$CB$4:$CB$203</f>
            </numRef>
          </cat>
          <val>
            <numRef>
              <f>'Control Charts'!$CG$4:$CG$203</f>
            </numRef>
          </val>
          <smooth val="0"/>
        </ser>
        <ser>
          <idx val="1"/>
          <order val="1"/>
          <tx>
            <strRef>
              <f>'Control Charts'!CH3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Charts'!$CB$4:$CB$203</f>
            </numRef>
          </cat>
          <val>
            <numRef>
              <f>'Control Charts'!$CH$4:$CH$203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Feature 1 -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Charts'!CL3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'Control Charts'!$CK$4:$CK$18</f>
            </numRef>
          </cat>
          <val>
            <numRef>
              <f>'Control Charts'!$CL$4:$CL$18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'Control Charts'!CM3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Charts'!$CM$4:$CM$18</f>
            </numRef>
          </val>
          <smooth val="0"/>
        </ser>
        <ser>
          <idx val="2"/>
          <order val="2"/>
          <tx>
            <strRef>
              <f>'Control Charts'!CN3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Charts'!$CN$4:$CN$18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2 -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Charts'!CQ3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Charts'!$CP$4:$CP$203</f>
            </numRef>
          </cat>
          <val>
            <numRef>
              <f>'Control Charts'!$CQ$4:$CQ$203</f>
            </numRef>
          </val>
          <smooth val="0"/>
        </ser>
        <ser>
          <idx val="1"/>
          <order val="1"/>
          <tx>
            <strRef>
              <f>'Control Charts'!CR3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Charts'!$CP$4:$CP$203</f>
            </numRef>
          </cat>
          <val>
            <numRef>
              <f>'Control Charts'!$CR$4:$CR$203</f>
            </numRef>
          </val>
          <smooth val="0"/>
        </ser>
        <ser>
          <idx val="2"/>
          <order val="2"/>
          <tx>
            <strRef>
              <f>'Control Charts'!CS3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Charts'!$CP$4:$CP$203</f>
            </numRef>
          </cat>
          <val>
            <numRef>
              <f>'Control Charts'!$CS$4:$CS$203</f>
            </numRef>
          </val>
          <smooth val="0"/>
        </ser>
        <ser>
          <idx val="3"/>
          <order val="3"/>
          <tx>
            <strRef>
              <f>'Control Charts'!CT3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Charts'!$CP$4:$CP$203</f>
            </numRef>
          </cat>
          <val>
            <numRef>
              <f>'Control Charts'!$CT$4:$CT$203</f>
            </numRef>
          </val>
          <smooth val="0"/>
        </ser>
        <ser>
          <idx val="4"/>
          <order val="4"/>
          <tx>
            <strRef>
              <f>'Control Charts'!CW3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Charts'!$CP$4:$CP$203</f>
            </numRef>
          </cat>
          <val>
            <numRef>
              <f>'Control Charts'!$CW$4:$CW$203</f>
            </numRef>
          </val>
          <smooth val="0"/>
        </ser>
        <ser>
          <idx val="5"/>
          <order val="5"/>
          <tx>
            <strRef>
              <f>'Control Charts'!CX3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Charts'!$CP$4:$CP$203</f>
            </numRef>
          </cat>
          <val>
            <numRef>
              <f>'Control Charts'!$CX$4:$CX$203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2 - Moving Range (mR)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Charts'!CU3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Charts'!$CP$4:$CP$203</f>
            </numRef>
          </cat>
          <val>
            <numRef>
              <f>'Control Charts'!$CU$4:$CU$203</f>
            </numRef>
          </val>
          <smooth val="0"/>
        </ser>
        <ser>
          <idx val="1"/>
          <order val="1"/>
          <tx>
            <strRef>
              <f>'Control Charts'!CV3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Charts'!$CP$4:$CP$203</f>
            </numRef>
          </cat>
          <val>
            <numRef>
              <f>'Control Charts'!$CV$4:$CV$203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Feature 2 -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Charts'!CZ3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'Control Charts'!$CY$4:$CY$18</f>
            </numRef>
          </cat>
          <val>
            <numRef>
              <f>'Control Charts'!$CZ$4:$CZ$18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'Control Charts'!DA3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Charts'!$DA$4:$DA$18</f>
            </numRef>
          </val>
          <smooth val="0"/>
        </ser>
        <ser>
          <idx val="2"/>
          <order val="2"/>
          <tx>
            <strRef>
              <f>'Control Charts'!DB3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Charts'!$DB$4:$DB$18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3 -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Charts'!DE3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Charts'!$DD$4:$DD$203</f>
            </numRef>
          </cat>
          <val>
            <numRef>
              <f>'Control Charts'!$DE$4:$DE$203</f>
            </numRef>
          </val>
          <smooth val="0"/>
        </ser>
        <ser>
          <idx val="1"/>
          <order val="1"/>
          <tx>
            <strRef>
              <f>'Control Charts'!DF3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Charts'!$DD$4:$DD$203</f>
            </numRef>
          </cat>
          <val>
            <numRef>
              <f>'Control Charts'!$DF$4:$DF$203</f>
            </numRef>
          </val>
          <smooth val="0"/>
        </ser>
        <ser>
          <idx val="2"/>
          <order val="2"/>
          <tx>
            <strRef>
              <f>'Control Charts'!DG3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Charts'!$DD$4:$DD$203</f>
            </numRef>
          </cat>
          <val>
            <numRef>
              <f>'Control Charts'!$DG$4:$DG$203</f>
            </numRef>
          </val>
          <smooth val="0"/>
        </ser>
        <ser>
          <idx val="3"/>
          <order val="3"/>
          <tx>
            <strRef>
              <f>'Control Charts'!DH3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Charts'!$DD$4:$DD$203</f>
            </numRef>
          </cat>
          <val>
            <numRef>
              <f>'Control Charts'!$DH$4:$DH$203</f>
            </numRef>
          </val>
          <smooth val="0"/>
        </ser>
        <ser>
          <idx val="4"/>
          <order val="4"/>
          <tx>
            <strRef>
              <f>'Control Charts'!DK3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Charts'!$DD$4:$DD$203</f>
            </numRef>
          </cat>
          <val>
            <numRef>
              <f>'Control Charts'!$DK$4:$DK$203</f>
            </numRef>
          </val>
          <smooth val="0"/>
        </ser>
        <ser>
          <idx val="5"/>
          <order val="5"/>
          <tx>
            <strRef>
              <f>'Control Charts'!DL3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Charts'!$DD$4:$DD$203</f>
            </numRef>
          </cat>
          <val>
            <numRef>
              <f>'Control Charts'!$DL$4:$DL$203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3 - Moving Range (mR)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Charts'!DI3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Charts'!$DD$4:$DD$203</f>
            </numRef>
          </cat>
          <val>
            <numRef>
              <f>'Control Charts'!$DI$4:$DI$203</f>
            </numRef>
          </val>
          <smooth val="0"/>
        </ser>
        <ser>
          <idx val="1"/>
          <order val="1"/>
          <tx>
            <strRef>
              <f>'Control Charts'!DJ3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Charts'!$DD$4:$DD$203</f>
            </numRef>
          </cat>
          <val>
            <numRef>
              <f>'Control Charts'!$DJ$4:$DJ$203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Feature 3 -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Charts'!DN3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'Control Charts'!$DM$4:$DM$18</f>
            </numRef>
          </cat>
          <val>
            <numRef>
              <f>'Control Charts'!$DN$4:$DN$18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'Control Charts'!DO3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Charts'!$DO$4:$DO$18</f>
            </numRef>
          </val>
          <smooth val="0"/>
        </ser>
        <ser>
          <idx val="2"/>
          <order val="2"/>
          <tx>
            <strRef>
              <f>'Control Charts'!DP3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Charts'!$DP$4:$DP$18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4 -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Charts'!DS3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Charts'!$DR$4:$DR$203</f>
            </numRef>
          </cat>
          <val>
            <numRef>
              <f>'Control Charts'!$DS$4:$DS$203</f>
            </numRef>
          </val>
          <smooth val="0"/>
        </ser>
        <ser>
          <idx val="1"/>
          <order val="1"/>
          <tx>
            <strRef>
              <f>'Control Charts'!DT3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Charts'!$DR$4:$DR$203</f>
            </numRef>
          </cat>
          <val>
            <numRef>
              <f>'Control Charts'!$DT$4:$DT$203</f>
            </numRef>
          </val>
          <smooth val="0"/>
        </ser>
        <ser>
          <idx val="2"/>
          <order val="2"/>
          <tx>
            <strRef>
              <f>'Control Charts'!DU3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Charts'!$DR$4:$DR$203</f>
            </numRef>
          </cat>
          <val>
            <numRef>
              <f>'Control Charts'!$DU$4:$DU$203</f>
            </numRef>
          </val>
          <smooth val="0"/>
        </ser>
        <ser>
          <idx val="3"/>
          <order val="3"/>
          <tx>
            <strRef>
              <f>'Control Charts'!DV3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Charts'!$DR$4:$DR$203</f>
            </numRef>
          </cat>
          <val>
            <numRef>
              <f>'Control Charts'!$DV$4:$DV$203</f>
            </numRef>
          </val>
          <smooth val="0"/>
        </ser>
        <ser>
          <idx val="4"/>
          <order val="4"/>
          <tx>
            <strRef>
              <f>'Control Charts'!DY3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Charts'!$DR$4:$DR$203</f>
            </numRef>
          </cat>
          <val>
            <numRef>
              <f>'Control Charts'!$DY$4:$DY$203</f>
            </numRef>
          </val>
          <smooth val="0"/>
        </ser>
        <ser>
          <idx val="5"/>
          <order val="5"/>
          <tx>
            <strRef>
              <f>'Control Charts'!DZ3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Charts'!$DR$4:$DR$203</f>
            </numRef>
          </cat>
          <val>
            <numRef>
              <f>'Control Charts'!$DZ$4:$DZ$203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4 - Moving Range (mR)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Charts'!DW3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Charts'!$DR$4:$DR$203</f>
            </numRef>
          </cat>
          <val>
            <numRef>
              <f>'Control Charts'!$DW$4:$DW$203</f>
            </numRef>
          </val>
          <smooth val="0"/>
        </ser>
        <ser>
          <idx val="1"/>
          <order val="1"/>
          <tx>
            <strRef>
              <f>'Control Charts'!DX3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Charts'!$DR$4:$DR$203</f>
            </numRef>
          </cat>
          <val>
            <numRef>
              <f>'Control Charts'!$DX$4:$DX$203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Feature 4 -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Charts'!EB3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'Control Charts'!$EA$4:$EA$18</f>
            </numRef>
          </cat>
          <val>
            <numRef>
              <f>'Control Charts'!$EB$4:$EB$18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'Control Charts'!EC3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Charts'!$EC$4:$EC$18</f>
            </numRef>
          </val>
          <smooth val="0"/>
        </ser>
        <ser>
          <idx val="2"/>
          <order val="2"/>
          <tx>
            <strRef>
              <f>'Control Charts'!ED3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Charts'!$ED$4:$ED$18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5 -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Charts'!EG3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Charts'!$EF$4:$EF$203</f>
            </numRef>
          </cat>
          <val>
            <numRef>
              <f>'Control Charts'!$EG$4:$EG$203</f>
            </numRef>
          </val>
          <smooth val="0"/>
        </ser>
        <ser>
          <idx val="1"/>
          <order val="1"/>
          <tx>
            <strRef>
              <f>'Control Charts'!EH3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Charts'!$EF$4:$EF$203</f>
            </numRef>
          </cat>
          <val>
            <numRef>
              <f>'Control Charts'!$EH$4:$EH$203</f>
            </numRef>
          </val>
          <smooth val="0"/>
        </ser>
        <ser>
          <idx val="2"/>
          <order val="2"/>
          <tx>
            <strRef>
              <f>'Control Charts'!EI3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Charts'!$EF$4:$EF$203</f>
            </numRef>
          </cat>
          <val>
            <numRef>
              <f>'Control Charts'!$EI$4:$EI$203</f>
            </numRef>
          </val>
          <smooth val="0"/>
        </ser>
        <ser>
          <idx val="3"/>
          <order val="3"/>
          <tx>
            <strRef>
              <f>'Control Charts'!EJ3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Charts'!$EF$4:$EF$203</f>
            </numRef>
          </cat>
          <val>
            <numRef>
              <f>'Control Charts'!$EJ$4:$EJ$203</f>
            </numRef>
          </val>
          <smooth val="0"/>
        </ser>
        <ser>
          <idx val="4"/>
          <order val="4"/>
          <tx>
            <strRef>
              <f>'Control Charts'!EM3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Charts'!$EF$4:$EF$203</f>
            </numRef>
          </cat>
          <val>
            <numRef>
              <f>'Control Charts'!$EM$4:$EM$203</f>
            </numRef>
          </val>
          <smooth val="0"/>
        </ser>
        <ser>
          <idx val="5"/>
          <order val="5"/>
          <tx>
            <strRef>
              <f>'Control Charts'!EN3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Charts'!$EF$4:$EF$203</f>
            </numRef>
          </cat>
          <val>
            <numRef>
              <f>'Control Charts'!$EN$4:$EN$203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5 - Moving Range (mR)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Charts'!EK3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Charts'!$EF$4:$EF$203</f>
            </numRef>
          </cat>
          <val>
            <numRef>
              <f>'Control Charts'!$EK$4:$EK$203</f>
            </numRef>
          </val>
          <smooth val="0"/>
        </ser>
        <ser>
          <idx val="1"/>
          <order val="1"/>
          <tx>
            <strRef>
              <f>'Control Charts'!EL3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Charts'!$EF$4:$EF$203</f>
            </numRef>
          </cat>
          <val>
            <numRef>
              <f>'Control Charts'!$EL$4:$EL$203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Feature 5 -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Charts'!EP3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'Control Charts'!$EO$4:$EO$18</f>
            </numRef>
          </cat>
          <val>
            <numRef>
              <f>'Control Charts'!$EP$4:$EP$18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'Control Charts'!EQ3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Charts'!$EQ$4:$EQ$18</f>
            </numRef>
          </val>
          <smooth val="0"/>
        </ser>
        <ser>
          <idx val="2"/>
          <order val="2"/>
          <tx>
            <strRef>
              <f>'Control Charts'!ER3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Charts'!$ER$4:$ER$18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6 -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Charts'!EU3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Charts'!$ET$4:$ET$203</f>
            </numRef>
          </cat>
          <val>
            <numRef>
              <f>'Control Charts'!$EU$4:$EU$203</f>
            </numRef>
          </val>
          <smooth val="0"/>
        </ser>
        <ser>
          <idx val="1"/>
          <order val="1"/>
          <tx>
            <strRef>
              <f>'Control Charts'!EV3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Charts'!$ET$4:$ET$203</f>
            </numRef>
          </cat>
          <val>
            <numRef>
              <f>'Control Charts'!$EV$4:$EV$203</f>
            </numRef>
          </val>
          <smooth val="0"/>
        </ser>
        <ser>
          <idx val="2"/>
          <order val="2"/>
          <tx>
            <strRef>
              <f>'Control Charts'!EW3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Charts'!$ET$4:$ET$203</f>
            </numRef>
          </cat>
          <val>
            <numRef>
              <f>'Control Charts'!$EW$4:$EW$203</f>
            </numRef>
          </val>
          <smooth val="0"/>
        </ser>
        <ser>
          <idx val="3"/>
          <order val="3"/>
          <tx>
            <strRef>
              <f>'Control Charts'!EX3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Charts'!$ET$4:$ET$203</f>
            </numRef>
          </cat>
          <val>
            <numRef>
              <f>'Control Charts'!$EX$4:$EX$203</f>
            </numRef>
          </val>
          <smooth val="0"/>
        </ser>
        <ser>
          <idx val="4"/>
          <order val="4"/>
          <tx>
            <strRef>
              <f>'Control Charts'!FA3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Charts'!$ET$4:$ET$203</f>
            </numRef>
          </cat>
          <val>
            <numRef>
              <f>'Control Charts'!$FA$4:$FA$203</f>
            </numRef>
          </val>
          <smooth val="0"/>
        </ser>
        <ser>
          <idx val="5"/>
          <order val="5"/>
          <tx>
            <strRef>
              <f>'Control Charts'!FB3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Charts'!$ET$4:$ET$203</f>
            </numRef>
          </cat>
          <val>
            <numRef>
              <f>'Control Charts'!$FB$4:$FB$203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6 - Moving Range (mR)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Charts'!EY3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Charts'!$ET$4:$ET$203</f>
            </numRef>
          </cat>
          <val>
            <numRef>
              <f>'Control Charts'!$EY$4:$EY$203</f>
            </numRef>
          </val>
          <smooth val="0"/>
        </ser>
        <ser>
          <idx val="1"/>
          <order val="1"/>
          <tx>
            <strRef>
              <f>'Control Charts'!EZ3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Charts'!$ET$4:$ET$203</f>
            </numRef>
          </cat>
          <val>
            <numRef>
              <f>'Control Charts'!$EZ$4:$EZ$203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Feature 6 -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Charts'!FD3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'Control Charts'!$FC$4:$FC$18</f>
            </numRef>
          </cat>
          <val>
            <numRef>
              <f>'Control Charts'!$FD$4:$FD$18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'Control Charts'!FE3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Charts'!$FE$4:$FE$18</f>
            </numRef>
          </val>
          <smooth val="0"/>
        </ser>
        <ser>
          <idx val="2"/>
          <order val="2"/>
          <tx>
            <strRef>
              <f>'Control Charts'!FF3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Charts'!$FF$4:$FF$18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7 -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Charts'!FI3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Charts'!$FH$4:$FH$203</f>
            </numRef>
          </cat>
          <val>
            <numRef>
              <f>'Control Charts'!$FI$4:$FI$203</f>
            </numRef>
          </val>
          <smooth val="0"/>
        </ser>
        <ser>
          <idx val="1"/>
          <order val="1"/>
          <tx>
            <strRef>
              <f>'Control Charts'!FJ3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Charts'!$FH$4:$FH$203</f>
            </numRef>
          </cat>
          <val>
            <numRef>
              <f>'Control Charts'!$FJ$4:$FJ$203</f>
            </numRef>
          </val>
          <smooth val="0"/>
        </ser>
        <ser>
          <idx val="2"/>
          <order val="2"/>
          <tx>
            <strRef>
              <f>'Control Charts'!FK3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Charts'!$FH$4:$FH$203</f>
            </numRef>
          </cat>
          <val>
            <numRef>
              <f>'Control Charts'!$FK$4:$FK$203</f>
            </numRef>
          </val>
          <smooth val="0"/>
        </ser>
        <ser>
          <idx val="3"/>
          <order val="3"/>
          <tx>
            <strRef>
              <f>'Control Charts'!FL3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Charts'!$FH$4:$FH$203</f>
            </numRef>
          </cat>
          <val>
            <numRef>
              <f>'Control Charts'!$FL$4:$FL$203</f>
            </numRef>
          </val>
          <smooth val="0"/>
        </ser>
        <ser>
          <idx val="4"/>
          <order val="4"/>
          <tx>
            <strRef>
              <f>'Control Charts'!FO3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Charts'!$FH$4:$FH$203</f>
            </numRef>
          </cat>
          <val>
            <numRef>
              <f>'Control Charts'!$FO$4:$FO$203</f>
            </numRef>
          </val>
          <smooth val="0"/>
        </ser>
        <ser>
          <idx val="5"/>
          <order val="5"/>
          <tx>
            <strRef>
              <f>'Control Charts'!FP3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Charts'!$FH$4:$FH$203</f>
            </numRef>
          </cat>
          <val>
            <numRef>
              <f>'Control Charts'!$FP$4:$FP$203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7 - Moving Range (mR)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Charts'!FM3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Charts'!$FH$4:$FH$203</f>
            </numRef>
          </cat>
          <val>
            <numRef>
              <f>'Control Charts'!$FM$4:$FM$203</f>
            </numRef>
          </val>
          <smooth val="0"/>
        </ser>
        <ser>
          <idx val="1"/>
          <order val="1"/>
          <tx>
            <strRef>
              <f>'Control Charts'!FN3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Charts'!$FH$4:$FH$203</f>
            </numRef>
          </cat>
          <val>
            <numRef>
              <f>'Control Charts'!$FN$4:$FN$203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Feature 7 -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Charts'!FR3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'Control Charts'!$FQ$4:$FQ$18</f>
            </numRef>
          </cat>
          <val>
            <numRef>
              <f>'Control Charts'!$FR$4:$FR$18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'Control Charts'!FS3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Charts'!$FS$4:$FS$18</f>
            </numRef>
          </val>
          <smooth val="0"/>
        </ser>
        <ser>
          <idx val="2"/>
          <order val="2"/>
          <tx>
            <strRef>
              <f>'Control Charts'!FT3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Charts'!$FT$4:$FT$18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8 -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Charts'!FW3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Charts'!$FV$4:$FV$203</f>
            </numRef>
          </cat>
          <val>
            <numRef>
              <f>'Control Charts'!$FW$4:$FW$203</f>
            </numRef>
          </val>
          <smooth val="0"/>
        </ser>
        <ser>
          <idx val="1"/>
          <order val="1"/>
          <tx>
            <strRef>
              <f>'Control Charts'!FX3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Charts'!$FV$4:$FV$203</f>
            </numRef>
          </cat>
          <val>
            <numRef>
              <f>'Control Charts'!$FX$4:$FX$203</f>
            </numRef>
          </val>
          <smooth val="0"/>
        </ser>
        <ser>
          <idx val="2"/>
          <order val="2"/>
          <tx>
            <strRef>
              <f>'Control Charts'!FY3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Charts'!$FV$4:$FV$203</f>
            </numRef>
          </cat>
          <val>
            <numRef>
              <f>'Control Charts'!$FY$4:$FY$203</f>
            </numRef>
          </val>
          <smooth val="0"/>
        </ser>
        <ser>
          <idx val="3"/>
          <order val="3"/>
          <tx>
            <strRef>
              <f>'Control Charts'!FZ3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Charts'!$FV$4:$FV$203</f>
            </numRef>
          </cat>
          <val>
            <numRef>
              <f>'Control Charts'!$FZ$4:$FZ$203</f>
            </numRef>
          </val>
          <smooth val="0"/>
        </ser>
        <ser>
          <idx val="4"/>
          <order val="4"/>
          <tx>
            <strRef>
              <f>'Control Charts'!GC3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Charts'!$FV$4:$FV$203</f>
            </numRef>
          </cat>
          <val>
            <numRef>
              <f>'Control Charts'!$GC$4:$GC$203</f>
            </numRef>
          </val>
          <smooth val="0"/>
        </ser>
        <ser>
          <idx val="5"/>
          <order val="5"/>
          <tx>
            <strRef>
              <f>'Control Charts'!GD3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Charts'!$FV$4:$FV$203</f>
            </numRef>
          </cat>
          <val>
            <numRef>
              <f>'Control Charts'!$GD$4:$GD$203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8 - Moving Range (mR)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Charts'!GA3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Charts'!$FV$4:$FV$203</f>
            </numRef>
          </cat>
          <val>
            <numRef>
              <f>'Control Charts'!$GA$4:$GA$203</f>
            </numRef>
          </val>
          <smooth val="0"/>
        </ser>
        <ser>
          <idx val="1"/>
          <order val="1"/>
          <tx>
            <strRef>
              <f>'Control Charts'!GB3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Charts'!$FV$4:$FV$203</f>
            </numRef>
          </cat>
          <val>
            <numRef>
              <f>'Control Charts'!$GB$4:$GB$203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Feature 8 -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Charts'!GF3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'Control Charts'!$GE$4:$GE$18</f>
            </numRef>
          </cat>
          <val>
            <numRef>
              <f>'Control Charts'!$GF$4:$GF$18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'Control Charts'!GG3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Charts'!$GG$4:$GG$18</f>
            </numRef>
          </val>
          <smooth val="0"/>
        </ser>
        <ser>
          <idx val="2"/>
          <order val="2"/>
          <tx>
            <strRef>
              <f>'Control Charts'!GH3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Charts'!$GH$4:$GH$18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9 -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Charts'!GK3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Charts'!$GJ$4:$GJ$203</f>
            </numRef>
          </cat>
          <val>
            <numRef>
              <f>'Control Charts'!$GK$4:$GK$203</f>
            </numRef>
          </val>
          <smooth val="0"/>
        </ser>
        <ser>
          <idx val="1"/>
          <order val="1"/>
          <tx>
            <strRef>
              <f>'Control Charts'!GL3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Charts'!$GJ$4:$GJ$203</f>
            </numRef>
          </cat>
          <val>
            <numRef>
              <f>'Control Charts'!$GL$4:$GL$203</f>
            </numRef>
          </val>
          <smooth val="0"/>
        </ser>
        <ser>
          <idx val="2"/>
          <order val="2"/>
          <tx>
            <strRef>
              <f>'Control Charts'!GM3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Charts'!$GJ$4:$GJ$203</f>
            </numRef>
          </cat>
          <val>
            <numRef>
              <f>'Control Charts'!$GM$4:$GM$203</f>
            </numRef>
          </val>
          <smooth val="0"/>
        </ser>
        <ser>
          <idx val="3"/>
          <order val="3"/>
          <tx>
            <strRef>
              <f>'Control Charts'!GN3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Charts'!$GJ$4:$GJ$203</f>
            </numRef>
          </cat>
          <val>
            <numRef>
              <f>'Control Charts'!$GN$4:$GN$203</f>
            </numRef>
          </val>
          <smooth val="0"/>
        </ser>
        <ser>
          <idx val="4"/>
          <order val="4"/>
          <tx>
            <strRef>
              <f>'Control Charts'!GQ3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Charts'!$GJ$4:$GJ$203</f>
            </numRef>
          </cat>
          <val>
            <numRef>
              <f>'Control Charts'!$GQ$4:$GQ$203</f>
            </numRef>
          </val>
          <smooth val="0"/>
        </ser>
        <ser>
          <idx val="5"/>
          <order val="5"/>
          <tx>
            <strRef>
              <f>'Control Charts'!GR3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Charts'!$GJ$4:$GJ$203</f>
            </numRef>
          </cat>
          <val>
            <numRef>
              <f>'Control Charts'!$GR$4:$GR$203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9 - Moving Range (mR)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Charts'!GO3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Charts'!$GJ$4:$GJ$203</f>
            </numRef>
          </cat>
          <val>
            <numRef>
              <f>'Control Charts'!$GO$4:$GO$203</f>
            </numRef>
          </val>
          <smooth val="0"/>
        </ser>
        <ser>
          <idx val="1"/>
          <order val="1"/>
          <tx>
            <strRef>
              <f>'Control Charts'!GP3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Charts'!$GJ$4:$GJ$203</f>
            </numRef>
          </cat>
          <val>
            <numRef>
              <f>'Control Charts'!$GP$4:$GP$203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Feature 9 -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Charts'!GT3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'Control Charts'!$GS$4:$GS$18</f>
            </numRef>
          </cat>
          <val>
            <numRef>
              <f>'Control Charts'!$GT$4:$GT$18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'Control Charts'!GU3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Charts'!$GU$4:$GU$18</f>
            </numRef>
          </val>
          <smooth val="0"/>
        </ser>
        <ser>
          <idx val="2"/>
          <order val="2"/>
          <tx>
            <strRef>
              <f>'Control Charts'!GV3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Charts'!$GV$4:$GV$18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10 -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Charts'!GY3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Charts'!$GX$4:$GX$203</f>
            </numRef>
          </cat>
          <val>
            <numRef>
              <f>'Control Charts'!$GY$4:$GY$203</f>
            </numRef>
          </val>
          <smooth val="0"/>
        </ser>
        <ser>
          <idx val="1"/>
          <order val="1"/>
          <tx>
            <strRef>
              <f>'Control Charts'!GZ3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Charts'!$GX$4:$GX$203</f>
            </numRef>
          </cat>
          <val>
            <numRef>
              <f>'Control Charts'!$GZ$4:$GZ$203</f>
            </numRef>
          </val>
          <smooth val="0"/>
        </ser>
        <ser>
          <idx val="2"/>
          <order val="2"/>
          <tx>
            <strRef>
              <f>'Control Charts'!HA3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Charts'!$GX$4:$GX$203</f>
            </numRef>
          </cat>
          <val>
            <numRef>
              <f>'Control Charts'!$HA$4:$HA$203</f>
            </numRef>
          </val>
          <smooth val="0"/>
        </ser>
        <ser>
          <idx val="3"/>
          <order val="3"/>
          <tx>
            <strRef>
              <f>'Control Charts'!HB3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Charts'!$GX$4:$GX$203</f>
            </numRef>
          </cat>
          <val>
            <numRef>
              <f>'Control Charts'!$HB$4:$HB$203</f>
            </numRef>
          </val>
          <smooth val="0"/>
        </ser>
        <ser>
          <idx val="4"/>
          <order val="4"/>
          <tx>
            <strRef>
              <f>'Control Charts'!HE3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Charts'!$GX$4:$GX$203</f>
            </numRef>
          </cat>
          <val>
            <numRef>
              <f>'Control Charts'!$HE$4:$HE$203</f>
            </numRef>
          </val>
          <smooth val="0"/>
        </ser>
        <ser>
          <idx val="5"/>
          <order val="5"/>
          <tx>
            <strRef>
              <f>'Control Charts'!HF3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Charts'!$GX$4:$GX$203</f>
            </numRef>
          </cat>
          <val>
            <numRef>
              <f>'Control Charts'!$HF$4:$HF$203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Feature 10 - Moving Range (mR)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Charts'!HC3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'Control Charts'!$GX$4:$GX$203</f>
            </numRef>
          </cat>
          <val>
            <numRef>
              <f>'Control Charts'!$HC$4:$HC$203</f>
            </numRef>
          </val>
          <smooth val="0"/>
        </ser>
        <ser>
          <idx val="1"/>
          <order val="1"/>
          <tx>
            <strRef>
              <f>'Control Charts'!HD3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Charts'!$GX$4:$GX$203</f>
            </numRef>
          </cat>
          <val>
            <numRef>
              <f>'Control Charts'!$HD$4:$HD$203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Feature 10 -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Charts'!HH3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'Control Charts'!$HG$4:$HG$18</f>
            </numRef>
          </cat>
          <val>
            <numRef>
              <f>'Control Charts'!$HH$4:$HH$18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'Control Charts'!HI3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Charts'!$HI$4:$HI$18</f>
            </numRef>
          </val>
          <smooth val="0"/>
        </ser>
        <ser>
          <idx val="2"/>
          <order val="2"/>
          <tx>
            <strRef>
              <f>'Control Charts'!HJ3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'Control Charts'!$HJ$4:$HJ$18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Slot 1 -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'Monitor'!CC3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'Monitor'!$CB$4:$CB$203</f>
            </numRef>
          </cat>
          <val>
            <numRef>
              <f>'Monitor'!$CC$4:$CC$203</f>
            </numRef>
          </val>
          <smooth val="0"/>
        </ser>
        <ser>
          <idx val="1"/>
          <order val="1"/>
          <tx>
            <strRef>
              <f>'Monitor'!CD3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'Monitor'!$CB$4:$CB$203</f>
            </numRef>
          </cat>
          <val>
            <numRef>
              <f>'Monitor'!$CD$4:$CD$203</f>
            </numRef>
          </val>
          <smooth val="0"/>
        </ser>
        <ser>
          <idx val="2"/>
          <order val="2"/>
          <tx>
            <strRef>
              <f>'Monitor'!CE3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'Monitor'!$CB$4:$CB$203</f>
            </numRef>
          </cat>
          <val>
            <numRef>
              <f>'Monitor'!$CE$4:$CE$203</f>
            </numRef>
          </val>
          <smooth val="0"/>
        </ser>
        <ser>
          <idx val="3"/>
          <order val="3"/>
          <tx>
            <strRef>
              <f>'Monitor'!CF3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'Monitor'!$CB$4:$CB$203</f>
            </numRef>
          </cat>
          <val>
            <numRef>
              <f>'Monitor'!$CF$4:$CF$203</f>
            </numRef>
          </val>
          <smooth val="0"/>
        </ser>
        <ser>
          <idx val="4"/>
          <order val="4"/>
          <tx>
            <strRef>
              <f>'Monitor'!CI3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'Monitor'!$CB$4:$CB$203</f>
            </numRef>
          </cat>
          <val>
            <numRef>
              <f>'Monitor'!$CI$4:$CI$203</f>
            </numRef>
          </val>
          <smooth val="0"/>
        </ser>
        <ser>
          <idx val="5"/>
          <order val="5"/>
          <tx>
            <strRef>
              <f>'Monitor'!CJ3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'Monitor'!$CB$4:$CB$203</f>
            </numRef>
          </cat>
          <val>
            <numRef>
              <f>'Monitor'!$CJ$4:$CJ$203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Slot 1 -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'Monitor'!CL3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'Monitor'!$CK$4:$CK$18</f>
            </numRef>
          </cat>
          <val>
            <numRef>
              <f>'Monitor'!$CL$4:$CL$18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'Monitor'!CM3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'Monitor'!$CM$4:$CM$18</f>
            </numRef>
          </val>
          <smooth val="0"/>
        </ser>
        <ser>
          <idx val="2"/>
          <order val="2"/>
          <tx>
            <strRef>
              <f>'Monitor'!CN3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'Monitor'!$CN$4:$CN$18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Slot 1 - Moving Range</a:t>
            </a:r>
          </a:p>
        </rich>
      </tx>
    </title>
    <plotArea>
      <lineChart>
        <grouping val="standard"/>
        <ser>
          <idx val="0"/>
          <order val="0"/>
          <tx>
            <strRef>
              <f>'Monitor'!CG3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'Monitor'!$CB$4:$CB$203</f>
            </numRef>
          </cat>
          <val>
            <numRef>
              <f>'Monitor'!$CG$4:$CG$203</f>
            </numRef>
          </val>
          <smooth val="0"/>
        </ser>
        <ser>
          <idx val="1"/>
          <order val="1"/>
          <tx>
            <strRef>
              <f>'Monitor'!CH3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'Monitor'!$CB$4:$CB$203</f>
            </numRef>
          </cat>
          <val>
            <numRef>
              <f>'Monitor'!$CH$4:$CH$203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Slot 2 -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'Monitor'!CQ3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'Monitor'!$CP$4:$CP$203</f>
            </numRef>
          </cat>
          <val>
            <numRef>
              <f>'Monitor'!$CQ$4:$CQ$203</f>
            </numRef>
          </val>
          <smooth val="0"/>
        </ser>
        <ser>
          <idx val="1"/>
          <order val="1"/>
          <tx>
            <strRef>
              <f>'Monitor'!CR3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'Monitor'!$CP$4:$CP$203</f>
            </numRef>
          </cat>
          <val>
            <numRef>
              <f>'Monitor'!$CR$4:$CR$203</f>
            </numRef>
          </val>
          <smooth val="0"/>
        </ser>
        <ser>
          <idx val="2"/>
          <order val="2"/>
          <tx>
            <strRef>
              <f>'Monitor'!CS3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'Monitor'!$CP$4:$CP$203</f>
            </numRef>
          </cat>
          <val>
            <numRef>
              <f>'Monitor'!$CS$4:$CS$203</f>
            </numRef>
          </val>
          <smooth val="0"/>
        </ser>
        <ser>
          <idx val="3"/>
          <order val="3"/>
          <tx>
            <strRef>
              <f>'Monitor'!CT3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'Monitor'!$CP$4:$CP$203</f>
            </numRef>
          </cat>
          <val>
            <numRef>
              <f>'Monitor'!$CT$4:$CT$203</f>
            </numRef>
          </val>
          <smooth val="0"/>
        </ser>
        <ser>
          <idx val="4"/>
          <order val="4"/>
          <tx>
            <strRef>
              <f>'Monitor'!CW3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'Monitor'!$CP$4:$CP$203</f>
            </numRef>
          </cat>
          <val>
            <numRef>
              <f>'Monitor'!$CW$4:$CW$203</f>
            </numRef>
          </val>
          <smooth val="0"/>
        </ser>
        <ser>
          <idx val="5"/>
          <order val="5"/>
          <tx>
            <strRef>
              <f>'Monitor'!CX3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'Monitor'!$CP$4:$CP$203</f>
            </numRef>
          </cat>
          <val>
            <numRef>
              <f>'Monitor'!$CX$4:$CX$203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Slot 2 -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'Monitor'!CZ3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'Monitor'!$CY$4:$CY$18</f>
            </numRef>
          </cat>
          <val>
            <numRef>
              <f>'Monitor'!$CZ$4:$CZ$18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'Monitor'!DA3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'Monitor'!$DA$4:$DA$18</f>
            </numRef>
          </val>
          <smooth val="0"/>
        </ser>
        <ser>
          <idx val="2"/>
          <order val="2"/>
          <tx>
            <strRef>
              <f>'Monitor'!DB3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'Monitor'!$DB$4:$DB$18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Slot 2 - Moving Range</a:t>
            </a:r>
          </a:p>
        </rich>
      </tx>
    </title>
    <plotArea>
      <lineChart>
        <grouping val="standard"/>
        <ser>
          <idx val="0"/>
          <order val="0"/>
          <tx>
            <strRef>
              <f>'Monitor'!CU3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'Monitor'!$CP$4:$CP$203</f>
            </numRef>
          </cat>
          <val>
            <numRef>
              <f>'Monitor'!$CU$4:$CU$203</f>
            </numRef>
          </val>
          <smooth val="0"/>
        </ser>
        <ser>
          <idx val="1"/>
          <order val="1"/>
          <tx>
            <strRef>
              <f>'Monitor'!CV3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'Monitor'!$CP$4:$CP$203</f>
            </numRef>
          </cat>
          <val>
            <numRef>
              <f>'Monitor'!$CV$4:$CV$203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Slot 3 -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'Monitor'!DE3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'Monitor'!$DD$4:$DD$203</f>
            </numRef>
          </cat>
          <val>
            <numRef>
              <f>'Monitor'!$DE$4:$DE$203</f>
            </numRef>
          </val>
          <smooth val="0"/>
        </ser>
        <ser>
          <idx val="1"/>
          <order val="1"/>
          <tx>
            <strRef>
              <f>'Monitor'!DF3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'Monitor'!$DD$4:$DD$203</f>
            </numRef>
          </cat>
          <val>
            <numRef>
              <f>'Monitor'!$DF$4:$DF$203</f>
            </numRef>
          </val>
          <smooth val="0"/>
        </ser>
        <ser>
          <idx val="2"/>
          <order val="2"/>
          <tx>
            <strRef>
              <f>'Monitor'!DG3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'Monitor'!$DD$4:$DD$203</f>
            </numRef>
          </cat>
          <val>
            <numRef>
              <f>'Monitor'!$DG$4:$DG$203</f>
            </numRef>
          </val>
          <smooth val="0"/>
        </ser>
        <ser>
          <idx val="3"/>
          <order val="3"/>
          <tx>
            <strRef>
              <f>'Monitor'!DH3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'Monitor'!$DD$4:$DD$203</f>
            </numRef>
          </cat>
          <val>
            <numRef>
              <f>'Monitor'!$DH$4:$DH$203</f>
            </numRef>
          </val>
          <smooth val="0"/>
        </ser>
        <ser>
          <idx val="4"/>
          <order val="4"/>
          <tx>
            <strRef>
              <f>'Monitor'!DK3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'Monitor'!$DD$4:$DD$203</f>
            </numRef>
          </cat>
          <val>
            <numRef>
              <f>'Monitor'!$DK$4:$DK$203</f>
            </numRef>
          </val>
          <smooth val="0"/>
        </ser>
        <ser>
          <idx val="5"/>
          <order val="5"/>
          <tx>
            <strRef>
              <f>'Monitor'!DL3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'Monitor'!$DD$4:$DD$203</f>
            </numRef>
          </cat>
          <val>
            <numRef>
              <f>'Monitor'!$DL$4:$DL$203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Slot 3 -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'Monitor'!DN3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'Monitor'!$DM$4:$DM$18</f>
            </numRef>
          </cat>
          <val>
            <numRef>
              <f>'Monitor'!$DN$4:$DN$18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'Monitor'!DO3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'Monitor'!$DO$4:$DO$18</f>
            </numRef>
          </val>
          <smooth val="0"/>
        </ser>
        <ser>
          <idx val="2"/>
          <order val="2"/>
          <tx>
            <strRef>
              <f>'Monitor'!DP3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'Monitor'!$DP$4:$DP$18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Slot 3 - Moving Range</a:t>
            </a:r>
          </a:p>
        </rich>
      </tx>
    </title>
    <plotArea>
      <lineChart>
        <grouping val="standard"/>
        <ser>
          <idx val="0"/>
          <order val="0"/>
          <tx>
            <strRef>
              <f>'Monitor'!DI3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'Monitor'!$DD$4:$DD$203</f>
            </numRef>
          </cat>
          <val>
            <numRef>
              <f>'Monitor'!$DI$4:$DI$203</f>
            </numRef>
          </val>
          <smooth val="0"/>
        </ser>
        <ser>
          <idx val="1"/>
          <order val="1"/>
          <tx>
            <strRef>
              <f>'Monitor'!DJ3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'Monitor'!$DD$4:$DD$203</f>
            </numRef>
          </cat>
          <val>
            <numRef>
              <f>'Monitor'!$DJ$4:$DJ$203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Slot 4 -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'Monitor'!DS3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'Monitor'!$DR$4:$DR$203</f>
            </numRef>
          </cat>
          <val>
            <numRef>
              <f>'Monitor'!$DS$4:$DS$203</f>
            </numRef>
          </val>
          <smooth val="0"/>
        </ser>
        <ser>
          <idx val="1"/>
          <order val="1"/>
          <tx>
            <strRef>
              <f>'Monitor'!DT3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'Monitor'!$DR$4:$DR$203</f>
            </numRef>
          </cat>
          <val>
            <numRef>
              <f>'Monitor'!$DT$4:$DT$203</f>
            </numRef>
          </val>
          <smooth val="0"/>
        </ser>
        <ser>
          <idx val="2"/>
          <order val="2"/>
          <tx>
            <strRef>
              <f>'Monitor'!DU3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'Monitor'!$DR$4:$DR$203</f>
            </numRef>
          </cat>
          <val>
            <numRef>
              <f>'Monitor'!$DU$4:$DU$203</f>
            </numRef>
          </val>
          <smooth val="0"/>
        </ser>
        <ser>
          <idx val="3"/>
          <order val="3"/>
          <tx>
            <strRef>
              <f>'Monitor'!DV3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'Monitor'!$DR$4:$DR$203</f>
            </numRef>
          </cat>
          <val>
            <numRef>
              <f>'Monitor'!$DV$4:$DV$203</f>
            </numRef>
          </val>
          <smooth val="0"/>
        </ser>
        <ser>
          <idx val="4"/>
          <order val="4"/>
          <tx>
            <strRef>
              <f>'Monitor'!DY3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'Monitor'!$DR$4:$DR$203</f>
            </numRef>
          </cat>
          <val>
            <numRef>
              <f>'Monitor'!$DY$4:$DY$203</f>
            </numRef>
          </val>
          <smooth val="0"/>
        </ser>
        <ser>
          <idx val="5"/>
          <order val="5"/>
          <tx>
            <strRef>
              <f>'Monitor'!DZ3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'Monitor'!$DR$4:$DR$203</f>
            </numRef>
          </cat>
          <val>
            <numRef>
              <f>'Monitor'!$DZ$4:$DZ$203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Slot 4 -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'Monitor'!EB3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'Monitor'!$EA$4:$EA$18</f>
            </numRef>
          </cat>
          <val>
            <numRef>
              <f>'Monitor'!$EB$4:$EB$18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'Monitor'!EC3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'Monitor'!$EC$4:$EC$18</f>
            </numRef>
          </val>
          <smooth val="0"/>
        </ser>
        <ser>
          <idx val="2"/>
          <order val="2"/>
          <tx>
            <strRef>
              <f>'Monitor'!ED3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'Monitor'!$ED$4:$ED$18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Slot 4 - Moving Range</a:t>
            </a:r>
          </a:p>
        </rich>
      </tx>
    </title>
    <plotArea>
      <lineChart>
        <grouping val="standard"/>
        <ser>
          <idx val="0"/>
          <order val="0"/>
          <tx>
            <strRef>
              <f>'Monitor'!DW3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'Monitor'!$DR$4:$DR$203</f>
            </numRef>
          </cat>
          <val>
            <numRef>
              <f>'Monitor'!$DW$4:$DW$203</f>
            </numRef>
          </val>
          <smooth val="0"/>
        </ser>
        <ser>
          <idx val="1"/>
          <order val="1"/>
          <tx>
            <strRef>
              <f>'Monitor'!DX3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'Monitor'!$DR$4:$DR$203</f>
            </numRef>
          </cat>
          <val>
            <numRef>
              <f>'Monitor'!$DX$4:$DX$203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Filtered Individuals (X)</a:t>
            </a:r>
          </a:p>
        </rich>
      </tx>
    </title>
    <plotArea>
      <lineChart>
        <grouping val="standard"/>
        <ser>
          <idx val="0"/>
          <order val="0"/>
          <tx>
            <strRef>
              <f>'Visual SPC'!BI3</f>
            </strRef>
          </tx>
          <spPr>
            <a:ln w="22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'Visual SPC'!$BH$4:$BH$203</f>
            </numRef>
          </cat>
          <val>
            <numRef>
              <f>'Visual SPC'!$BI$4:$BI$203</f>
            </numRef>
          </val>
          <smooth val="0"/>
        </ser>
        <ser>
          <idx val="1"/>
          <order val="1"/>
          <tx>
            <strRef>
              <f>'Visual SPC'!BJ3</f>
            </strRef>
          </tx>
          <spPr>
            <a:ln w="14000">
              <a:solidFill>
                <a:srgbClr val="00B050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'Visual SPC'!$BH$4:$BH$203</f>
            </numRef>
          </cat>
          <val>
            <numRef>
              <f>'Visual SPC'!$BJ$4:$BJ$203</f>
            </numRef>
          </val>
          <smooth val="0"/>
        </ser>
        <ser>
          <idx val="2"/>
          <order val="2"/>
          <tx>
            <strRef>
              <f>'Visual SPC'!BK3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'Visual SPC'!$BH$4:$BH$203</f>
            </numRef>
          </cat>
          <val>
            <numRef>
              <f>'Visual SPC'!$BK$4:$BK$203</f>
            </numRef>
          </val>
          <smooth val="0"/>
        </ser>
        <ser>
          <idx val="3"/>
          <order val="3"/>
          <tx>
            <strRef>
              <f>'Visual SPC'!BL3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'Visual SPC'!$BH$4:$BH$203</f>
            </numRef>
          </cat>
          <val>
            <numRef>
              <f>'Visual SPC'!$BL$4:$BL$203</f>
            </numRef>
          </val>
          <smooth val="0"/>
        </ser>
        <ser>
          <idx val="4"/>
          <order val="4"/>
          <tx>
            <strRef>
              <f>'Visual SPC'!BO3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'Visual SPC'!$BH$4:$BH$203</f>
            </numRef>
          </cat>
          <val>
            <numRef>
              <f>'Visual SPC'!$BO$4:$BO$203</f>
            </numRef>
          </val>
          <smooth val="0"/>
        </ser>
        <ser>
          <idx val="5"/>
          <order val="5"/>
          <tx>
            <strRef>
              <f>'Visual SPC'!BP3</f>
            </strRef>
          </tx>
          <spPr>
            <a:ln w="14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'Visual SPC'!$BH$4:$BH$203</f>
            </numRef>
          </cat>
          <val>
            <numRef>
              <f>'Visual SPC'!$BP$4:$BP$203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Measurement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Filtered Histogram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 SPC'!BR3</f>
            </strRef>
          </tx>
          <spPr>
            <a:solidFill>
              <a:srgbClr val="9DC3E6"/>
            </a:solidFill>
            <a:ln>
              <a:solidFill>
                <a:srgbClr val="2E74B5"/>
              </a:solidFill>
              <a:prstDash val="solid"/>
            </a:ln>
          </spPr>
          <cat>
            <numRef>
              <f>'Visual SPC'!$BQ$4:$BQ$18</f>
            </numRef>
          </cat>
          <val>
            <numRef>
              <f>'Visual SPC'!$BR$4:$BR$18</f>
            </numRef>
          </val>
        </ser>
        <gapWidth val="8"/>
        <axId val="10"/>
        <axId val="100"/>
      </barChart>
      <lineChart>
        <grouping val="standard"/>
        <ser>
          <idx val="1"/>
          <order val="1"/>
          <tx>
            <strRef>
              <f>'Visual SPC'!BS3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'Visual SPC'!$BS$4:$BS$18</f>
            </numRef>
          </val>
          <smooth val="0"/>
        </ser>
        <ser>
          <idx val="2"/>
          <order val="2"/>
          <tx>
            <strRef>
              <f>'Visual SPC'!BT3</f>
            </strRef>
          </tx>
          <spPr>
            <a:ln w="22000">
              <a:solidFill>
                <a:srgbClr val="7030A0"/>
              </a:solidFill>
              <a:prstDash val="lg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'Visual SPC'!$BT$4:$BT$18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Frequency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Filtered Moving Range (mR)</a:t>
            </a:r>
          </a:p>
        </rich>
      </tx>
    </title>
    <plotArea>
      <lineChart>
        <grouping val="standard"/>
        <ser>
          <idx val="0"/>
          <order val="0"/>
          <tx>
            <strRef>
              <f>'Visual SPC'!BM3</f>
            </strRef>
          </tx>
          <spPr>
            <a:ln w="20000">
              <a:solidFill>
                <a:srgbClr val="2E74B5"/>
              </a:solidFill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'Visual SPC'!$BH$4:$BH$203</f>
            </numRef>
          </cat>
          <val>
            <numRef>
              <f>'Visual SPC'!$BM$4:$BM$203</f>
            </numRef>
          </val>
          <smooth val="0"/>
        </ser>
        <ser>
          <idx val="1"/>
          <order val="1"/>
          <tx>
            <strRef>
              <f>'Visual SPC'!BN3</f>
            </strRef>
          </tx>
          <spPr>
            <a:ln w="14000"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'Visual SPC'!$BH$4:$BH$203</f>
            </numRef>
          </cat>
          <val>
            <numRef>
              <f>'Visual SPC'!$BN$4:$BN$203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Moving 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Relationship Type="http://schemas.openxmlformats.org/officeDocument/2006/relationships/chart" Target="/xl/charts/chart41.xml" Id="rId11" /><Relationship Type="http://schemas.openxmlformats.org/officeDocument/2006/relationships/chart" Target="/xl/charts/chart42.xml" Id="rId1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3.xml" Id="rId1" /><Relationship Type="http://schemas.openxmlformats.org/officeDocument/2006/relationships/chart" Target="/xl/charts/chart44.xml" Id="rId2" /><Relationship Type="http://schemas.openxmlformats.org/officeDocument/2006/relationships/chart" Target="/xl/charts/chart45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9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21</row>
      <rowOff>0</rowOff>
    </from>
    <ext cx="7920000" cy="23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3</row>
      <rowOff>0</rowOff>
    </from>
    <ext cx="468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43</row>
      <rowOff>0</rowOff>
    </from>
    <ext cx="792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61</row>
      <rowOff>0</rowOff>
    </from>
    <ext cx="7920000" cy="23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43</row>
      <rowOff>0</rowOff>
    </from>
    <ext cx="4680000" cy="30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</col>
      <colOff>0</colOff>
      <row>83</row>
      <rowOff>0</rowOff>
    </from>
    <ext cx="7920000" cy="30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3</col>
      <colOff>0</colOff>
      <row>101</row>
      <rowOff>0</rowOff>
    </from>
    <ext cx="7920000" cy="234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18</col>
      <colOff>0</colOff>
      <row>83</row>
      <rowOff>0</rowOff>
    </from>
    <ext cx="4680000" cy="30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3</col>
      <colOff>0</colOff>
      <row>123</row>
      <rowOff>0</rowOff>
    </from>
    <ext cx="7920000" cy="30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3</col>
      <colOff>0</colOff>
      <row>141</row>
      <rowOff>0</rowOff>
    </from>
    <ext cx="7920000" cy="234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18</col>
      <colOff>0</colOff>
      <row>123</row>
      <rowOff>0</rowOff>
    </from>
    <ext cx="4680000" cy="30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3</col>
      <colOff>0</colOff>
      <row>163</row>
      <rowOff>0</rowOff>
    </from>
    <ext cx="7920000" cy="30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3</col>
      <colOff>0</colOff>
      <row>181</row>
      <rowOff>0</rowOff>
    </from>
    <ext cx="7920000" cy="234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18</col>
      <colOff>0</colOff>
      <row>163</row>
      <rowOff>0</rowOff>
    </from>
    <ext cx="4680000" cy="306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3</col>
      <colOff>0</colOff>
      <row>203</row>
      <rowOff>0</rowOff>
    </from>
    <ext cx="7920000" cy="306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3</col>
      <colOff>0</colOff>
      <row>221</row>
      <rowOff>0</rowOff>
    </from>
    <ext cx="7920000" cy="234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18</col>
      <colOff>0</colOff>
      <row>203</row>
      <rowOff>0</rowOff>
    </from>
    <ext cx="4680000" cy="306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3</col>
      <colOff>0</colOff>
      <row>243</row>
      <rowOff>0</rowOff>
    </from>
    <ext cx="7920000" cy="306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3</col>
      <colOff>0</colOff>
      <row>261</row>
      <rowOff>0</rowOff>
    </from>
    <ext cx="7920000" cy="234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18</col>
      <colOff>0</colOff>
      <row>243</row>
      <rowOff>0</rowOff>
    </from>
    <ext cx="4680000" cy="306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3</col>
      <colOff>0</colOff>
      <row>283</row>
      <rowOff>0</rowOff>
    </from>
    <ext cx="7920000" cy="306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3</col>
      <colOff>0</colOff>
      <row>301</row>
      <rowOff>0</rowOff>
    </from>
    <ext cx="7920000" cy="234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18</col>
      <colOff>0</colOff>
      <row>283</row>
      <rowOff>0</rowOff>
    </from>
    <ext cx="4680000" cy="306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3</col>
      <colOff>0</colOff>
      <row>323</row>
      <rowOff>0</rowOff>
    </from>
    <ext cx="7920000" cy="306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3</col>
      <colOff>0</colOff>
      <row>341</row>
      <rowOff>0</rowOff>
    </from>
    <ext cx="7920000" cy="234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18</col>
      <colOff>0</colOff>
      <row>323</row>
      <rowOff>0</rowOff>
    </from>
    <ext cx="4680000" cy="306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3</col>
      <colOff>0</colOff>
      <row>363</row>
      <rowOff>0</rowOff>
    </from>
    <ext cx="7920000" cy="306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3</col>
      <colOff>0</colOff>
      <row>381</row>
      <rowOff>0</rowOff>
    </from>
    <ext cx="7920000" cy="234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18</col>
      <colOff>0</colOff>
      <row>363</row>
      <rowOff>0</rowOff>
    </from>
    <ext cx="4680000" cy="306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41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41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58</row>
      <rowOff>0</rowOff>
    </from>
    <ext cx="7200000" cy="19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73</row>
      <rowOff>0</rowOff>
    </from>
    <ext cx="72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17</col>
      <colOff>0</colOff>
      <row>73</row>
      <rowOff>0</rowOff>
    </from>
    <ext cx="432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3</col>
      <colOff>0</colOff>
      <row>90</row>
      <rowOff>0</rowOff>
    </from>
    <ext cx="7200000" cy="19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</col>
      <colOff>0</colOff>
      <row>105</row>
      <rowOff>0</rowOff>
    </from>
    <ext cx="720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17</col>
      <colOff>0</colOff>
      <row>105</row>
      <rowOff>0</rowOff>
    </from>
    <ext cx="432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122</row>
      <rowOff>0</rowOff>
    </from>
    <ext cx="7200000" cy="19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3</col>
      <colOff>0</colOff>
      <row>137</row>
      <rowOff>0</rowOff>
    </from>
    <ext cx="720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17</col>
      <colOff>0</colOff>
      <row>137</row>
      <rowOff>0</rowOff>
    </from>
    <ext cx="432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3</col>
      <colOff>0</colOff>
      <row>154</row>
      <rowOff>0</rowOff>
    </from>
    <ext cx="7200000" cy="19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75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2</row>
      <rowOff>0</rowOff>
    </from>
    <ext cx="468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20</row>
      <rowOff>0</rowOff>
    </from>
    <ext cx="7560000" cy="23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78" customWidth="1" min="3" max="3"/>
    <col width="3" customWidth="1" min="4" max="4"/>
    <col width="22" customWidth="1" min="5" max="5"/>
    <col width="22" customWidth="1" min="6" max="6"/>
    <col width="22" customWidth="1" min="7" max="7"/>
  </cols>
  <sheetData>
    <row r="1" ht="24" customHeight="1">
      <c r="A1" s="1" t="inlineStr">
        <is>
          <t>HOW TO USE - SPC CALCULATOR v13</t>
        </is>
      </c>
      <c r="B1" s="2" t="n"/>
      <c r="C1" s="2" t="n"/>
      <c r="D1" s="2" t="n"/>
      <c r="E1" s="2" t="n"/>
      <c r="F1" s="2" t="n"/>
    </row>
    <row r="2">
      <c r="A2" s="3" t="inlineStr">
        <is>
          <t>Read this once. The charts need no macros; only folder monitoring does.</t>
        </is>
      </c>
    </row>
    <row r="4">
      <c r="A4" s="4" t="inlineStr">
        <is>
          <t>QUICK START - NO MACROS NEEDED</t>
        </is>
      </c>
      <c r="B4" s="5" t="n"/>
      <c r="C4" s="5" t="n"/>
    </row>
    <row r="5">
      <c r="A5" s="6" t="n">
        <v>1</v>
      </c>
      <c r="B5" s="7" t="inlineStr">
        <is>
          <t>Set up your features</t>
        </is>
      </c>
      <c r="C5" s="8" t="inlineStr">
        <is>
          <t>Settings sheet. For each feature type the name, Nominal, LSL, USL and unit, and set Active = Y. Yellow cells are the ones you edit.</t>
        </is>
      </c>
    </row>
    <row r="6">
      <c r="A6" s="6" t="n">
        <v>2</v>
      </c>
      <c r="B6" s="7" t="inlineStr">
        <is>
          <t>Enter measurements</t>
        </is>
      </c>
      <c r="C6" s="8" t="inlineStr">
        <is>
          <t>Data Entry sheet. Column H is feature 1, I is feature 2, and so on. Date / Shift / Operator / Tool ID in columns C-F are optional but they are what the Visual SPC filters use.</t>
        </is>
      </c>
    </row>
    <row r="7">
      <c r="A7" s="6" t="n">
        <v>3</v>
      </c>
      <c r="B7" s="7" t="inlineStr">
        <is>
          <t>Look at the charts</t>
        </is>
      </c>
      <c r="C7" s="8" t="inlineStr">
        <is>
          <t>Control Charts updates by itself - there is nothing to run. Each feature shows a statistics panel on the left, then the X chart, the moving-range chart and a histogram.</t>
        </is>
      </c>
    </row>
    <row r="8">
      <c r="A8" s="6" t="n">
        <v>4</v>
      </c>
      <c r="B8" s="7" t="inlineStr">
        <is>
          <t>Check capability</t>
        </is>
      </c>
      <c r="C8" s="8" t="inlineStr">
        <is>
          <t>Capability sheet gives Cp, Cpk, Pp, Ppk with traffic lights, plus an in-control and an in-spec verdict per feature.</t>
        </is>
      </c>
    </row>
    <row r="9">
      <c r="A9" s="6" t="n">
        <v>5</v>
      </c>
      <c r="B9" s="7" t="inlineStr">
        <is>
          <t>Filter and explore</t>
        </is>
      </c>
      <c r="C9" s="8" t="inlineStr">
        <is>
          <t>Visual SPC. Pick a feature in B3, then filter by date range, shift, operator or tool. Every statistic and all three plots recompute from the filtered rows only. Blank filter = include everything.</t>
        </is>
      </c>
    </row>
    <row r="10">
      <c r="A10" s="6" t="n">
        <v>6</v>
      </c>
      <c r="B10" s="7" t="inlineStr">
        <is>
          <t>Recording readings by hand</t>
        </is>
      </c>
      <c r="C10" s="8" t="inlineStr">
        <is>
          <t>Data Collection Form is already set up to print: A4 landscape, one page, spec limits pulled from Settings. Ctrl+P.</t>
        </is>
      </c>
    </row>
    <row r="12">
      <c r="A12" s="4" t="inlineStr">
        <is>
          <t>IF THE CHARTS LOOK EMPTY</t>
        </is>
      </c>
      <c r="B12" s="5" t="n"/>
      <c r="C12" s="5" t="n"/>
    </row>
    <row r="13">
      <c r="B13" s="7" t="inlineStr">
        <is>
          <t>Press Ctrl+Alt+F9</t>
        </is>
      </c>
      <c r="C13" s="8" t="inlineStr">
        <is>
          <t>That forces a full recalculation. The workbook is built to recalculate when it opens, but this settles it if a chart looks stale.</t>
        </is>
      </c>
    </row>
    <row r="14">
      <c r="B14" s="7" t="inlineStr">
        <is>
          <t>Check Active = Y</t>
        </is>
      </c>
      <c r="C14" s="8" t="inlineStr">
        <is>
          <t>A feature with Active = N on Settings has no name in Data Entry row 4 and is excluded from Capability.</t>
        </is>
      </c>
    </row>
    <row r="15">
      <c r="B15" s="7" t="inlineStr">
        <is>
          <t>Check the readings are numbers</t>
        </is>
      </c>
      <c r="C15" s="8" t="inlineStr">
        <is>
          <t>Values pasted as text are ignored by every statistic. Excel shows them left-aligned with a green corner marker.</t>
        </is>
      </c>
    </row>
    <row r="16">
      <c r="B16" s="7" t="inlineStr">
        <is>
          <t>#N/A in the hidden columns is correct</t>
        </is>
      </c>
      <c r="C16" s="8" t="inlineStr">
        <is>
          <t>That is how the charts shrink and grow with the data - Excel skips #N/A points. Do not 'fix' those cells.</t>
        </is>
      </c>
    </row>
    <row r="18">
      <c r="A18" s="4" t="inlineStr">
        <is>
          <t>CHART COLOUR KEY</t>
        </is>
      </c>
      <c r="B18" s="5" t="n"/>
      <c r="C18" s="5" t="n"/>
    </row>
    <row r="19">
      <c r="B19" s="7" t="inlineStr">
        <is>
          <t>Blue line + markers</t>
        </is>
      </c>
      <c r="C19" s="8" t="inlineStr">
        <is>
          <t>Individual measurements</t>
        </is>
      </c>
    </row>
    <row r="20">
      <c r="B20" s="7" t="inlineStr">
        <is>
          <t>Green dashed</t>
        </is>
      </c>
      <c r="C20" s="8" t="inlineStr">
        <is>
          <t>CL - the process mean</t>
        </is>
      </c>
    </row>
    <row r="21">
      <c r="B21" s="7" t="inlineStr">
        <is>
          <t>Red</t>
        </is>
      </c>
      <c r="C21" s="8" t="inlineStr">
        <is>
          <t>UCL / LCL - 3-sigma control limits calculated from mR-bar</t>
        </is>
      </c>
    </row>
    <row r="22">
      <c r="B22" s="7" t="inlineStr">
        <is>
          <t>Purple long-dash</t>
        </is>
      </c>
      <c r="C22" s="8" t="inlineStr">
        <is>
          <t>USL / LSL - your specification limits</t>
        </is>
      </c>
    </row>
    <row r="23">
      <c r="B23" s="7" t="inlineStr">
        <is>
          <t>Histogram bars</t>
        </is>
      </c>
      <c r="C23" s="8" t="inlineStr">
        <is>
          <t>Distribution of all readings for that feature. The purple spikes mark the bins holding LSL and USL, so you can see the distribution against the tolerance rather than against itself.</t>
        </is>
      </c>
    </row>
    <row r="25">
      <c r="A25" s="4" t="inlineStr">
        <is>
          <t>WHAT EACH SHEET IS FOR</t>
        </is>
      </c>
      <c r="B25" s="5" t="n"/>
      <c r="C25" s="5" t="n"/>
    </row>
    <row r="26">
      <c r="B26" s="7" t="inlineStr">
        <is>
          <t>Settings</t>
        </is>
      </c>
      <c r="C26" s="8" t="inlineStr">
        <is>
          <t>Feature definitions and display / monitor options</t>
        </is>
      </c>
    </row>
    <row r="27">
      <c r="B27" s="7" t="inlineStr">
        <is>
          <t>Data Entry</t>
        </is>
      </c>
      <c r="C27" s="8" t="inlineStr">
        <is>
          <t>All measurements. Column H onward</t>
        </is>
      </c>
    </row>
    <row r="28">
      <c r="B28" s="7" t="inlineStr">
        <is>
          <t>Data Collection Form</t>
        </is>
      </c>
      <c r="C28" s="8" t="inlineStr">
        <is>
          <t>Printable sheet for recording readings off-PC</t>
        </is>
      </c>
    </row>
    <row r="29">
      <c r="B29" s="7" t="inlineStr">
        <is>
          <t>Control Charts</t>
        </is>
      </c>
      <c r="C29" s="8" t="inlineStr">
        <is>
          <t>Per feature: stats panel, X chart, mR chart, histogram</t>
        </is>
      </c>
    </row>
    <row r="30">
      <c r="B30" s="7" t="inlineStr">
        <is>
          <t>Monitor</t>
        </is>
      </c>
      <c r="C30" s="8" t="inlineStr">
        <is>
          <t>Live screen: 4 selectable slots + all-feature status table</t>
        </is>
      </c>
    </row>
    <row r="31">
      <c r="B31" s="7" t="inlineStr">
        <is>
          <t>Visual SPC</t>
        </is>
      </c>
      <c r="C31" s="8" t="inlineStr">
        <is>
          <t>Filtered analysis and plots</t>
        </is>
      </c>
    </row>
    <row r="32">
      <c r="B32" s="7" t="inlineStr">
        <is>
          <t>Capability</t>
        </is>
      </c>
      <c r="C32" s="8" t="inlineStr">
        <is>
          <t>Cp / Cpk / Pp / Ppk and verdicts</t>
        </is>
      </c>
    </row>
    <row r="33">
      <c r="B33" s="7" t="inlineStr">
        <is>
          <t>Dashboard</t>
        </is>
      </c>
      <c r="C33" s="8" t="inlineStr">
        <is>
          <t>One-feature summary</t>
        </is>
      </c>
    </row>
    <row r="34">
      <c r="B34" s="7" t="inlineStr">
        <is>
          <t>Document Control</t>
        </is>
      </c>
      <c r="C34" s="8" t="inlineStr">
        <is>
          <t>Doc ID, revision, owner</t>
        </is>
      </c>
    </row>
    <row r="36">
      <c r="A36" s="4" t="inlineStr">
        <is>
          <t>DISPLAY OPTIONS (Settings, column F)</t>
        </is>
      </c>
      <c r="B36" s="5" t="n"/>
      <c r="C36" s="5" t="n"/>
    </row>
    <row r="37">
      <c r="B37" s="7" t="inlineStr">
        <is>
          <t>F5  Chart Window</t>
        </is>
      </c>
      <c r="C37" s="8" t="inlineStr">
        <is>
          <t>How many of the most recent points the charts plot (default 200). Charts always follow the newest data.</t>
        </is>
      </c>
    </row>
    <row r="38">
      <c r="B38" s="7" t="inlineStr">
        <is>
          <t>F6  Histogram Bins</t>
        </is>
      </c>
      <c r="C38" s="8" t="inlineStr">
        <is>
          <t>Number of histogram bars (default 15).</t>
        </is>
      </c>
    </row>
    <row r="39">
      <c r="B39" s="7" t="inlineStr">
        <is>
          <t>F7  Show Spec Limits</t>
        </is>
      </c>
      <c r="C39" s="8" t="inlineStr">
        <is>
          <t>Y shows the USL/LSL lines, N hides them without deleting the limits.</t>
        </is>
      </c>
    </row>
    <row r="41">
      <c r="A41" s="4" t="inlineStr">
        <is>
          <t>FOLDER MONITORING - THE ONLY PART THAT NEEDS MACROS</t>
        </is>
      </c>
      <c r="B41" s="5" t="n"/>
      <c r="C41" s="5" t="n"/>
    </row>
    <row r="42">
      <c r="A42" s="6" t="n">
        <v>1</v>
      </c>
      <c r="B42" s="7" t="inlineStr">
        <is>
          <t>Save as .xlsm</t>
        </is>
      </c>
      <c r="C42" s="8" t="inlineStr">
        <is>
          <t>File &gt; Save As &gt; Excel Macro-Enabled Workbook. Macros cannot be stored in a .xlsx.</t>
        </is>
      </c>
    </row>
    <row r="43">
      <c r="A43" s="6" t="n">
        <v>2</v>
      </c>
      <c r="B43" s="7" t="inlineStr">
        <is>
          <t>Import the module</t>
        </is>
      </c>
      <c r="C43" s="8" t="inlineStr">
        <is>
          <t>Alt+F11 &gt; File &gt; Import File &gt; SPC_V13_Monitor.bas. (If you were sent the .txt version, rename it to .bas first, or paste its contents into a new module and drop the first Attribute line.)</t>
        </is>
      </c>
    </row>
    <row r="44">
      <c r="A44" s="6" t="n">
        <v>3</v>
      </c>
      <c r="B44" s="7" t="inlineStr">
        <is>
          <t>Buttons appear</t>
        </is>
      </c>
      <c r="C44" s="8" t="inlineStr">
        <is>
          <t>Save, close and reopen the workbook. The buttons on the right of this sheet and on the Monitor sheet are created automatically. If they are missing, run SPC_BuildButtons once from Alt+F8.</t>
        </is>
      </c>
    </row>
    <row r="45">
      <c r="A45" s="6" t="n">
        <v>4</v>
      </c>
      <c r="B45" s="7" t="inlineStr">
        <is>
          <t>Point it at a folder</t>
        </is>
      </c>
      <c r="C45" s="8" t="inlineStr">
        <is>
          <t>Settings F8 = folder to watch, F9 = pattern such as *.csv, F10 = seconds between scans, F11 = Y to move imported files into the archive subfolder named in F12.</t>
        </is>
      </c>
    </row>
    <row r="46">
      <c r="A46" s="6" t="n">
        <v>5</v>
      </c>
      <c r="B46" s="7" t="inlineStr">
        <is>
          <t>Press Start Monitoring</t>
        </is>
      </c>
      <c r="C46" s="8" t="inlineStr">
        <is>
          <t>New files are appended to Data Entry, all charts refresh, and the Monitor sheet logs status, last scan, and files / rows imported. Each file is imported once - a hidden log prevents double counting.</t>
        </is>
      </c>
    </row>
    <row r="47">
      <c r="B47" s="7" t="inlineStr">
        <is>
          <t>Accepted file layouts</t>
        </is>
      </c>
      <c r="C47" s="8" t="inlineStr">
        <is>
          <t>Date, Shift, Operator, ToolID, Cluster, F1, F2, ... Fn   -or-   F1, F2, ... Fn on its own. A header row is skipped automatically.</t>
        </is>
      </c>
    </row>
    <row r="49">
      <c r="A49" s="4" t="inlineStr">
        <is>
          <t>BUTTONS</t>
        </is>
      </c>
      <c r="B49" s="5" t="n"/>
      <c r="C49" s="5" t="n"/>
    </row>
    <row r="50">
      <c r="B50" s="7" t="inlineStr">
        <is>
          <t>Right of this sheet</t>
        </is>
      </c>
      <c r="C50" s="8" t="inlineStr">
        <is>
          <t>Actions and navigation. They are drawn by the macro module, so they only appear once macros are enabled. Everything in the Quick Start above works without them.</t>
        </is>
      </c>
    </row>
  </sheetData>
  <mergeCells count="8">
    <mergeCell ref="A25:C25"/>
    <mergeCell ref="A41:C41"/>
    <mergeCell ref="A36:C36"/>
    <mergeCell ref="A49:C49"/>
    <mergeCell ref="A1:F1"/>
    <mergeCell ref="A18:C18"/>
    <mergeCell ref="A12:C12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14" customWidth="1" min="4" max="4"/>
    <col width="14" customWidth="1" min="5" max="5"/>
    <col width="24" customWidth="1" min="6" max="6"/>
    <col width="12" customWidth="1" min="7" max="7"/>
  </cols>
  <sheetData>
    <row r="1" ht="24" customHeight="1">
      <c r="A1" s="1" t="inlineStr">
        <is>
          <t>SPC CALCULATOR v13 - SETTINGS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Yellow cells are yours to edit. Everything else is calculated.</t>
        </is>
      </c>
    </row>
    <row r="4">
      <c r="A4" s="4" t="inlineStr">
        <is>
          <t>PARAMETER</t>
        </is>
      </c>
      <c r="B4" s="4" t="inlineStr">
        <is>
          <t>VALUE</t>
        </is>
      </c>
      <c r="C4" s="4" t="inlineStr">
        <is>
          <t>NOTES</t>
        </is>
      </c>
      <c r="E4" s="4" t="inlineStr">
        <is>
          <t>DISPLAY &amp; MONITOR OPTIONS</t>
        </is>
      </c>
      <c r="F4" s="9" t="n"/>
    </row>
    <row r="5">
      <c r="A5" s="10" t="inlineStr">
        <is>
          <t>Number of Features</t>
        </is>
      </c>
      <c r="B5" s="11" t="n">
        <v>10</v>
      </c>
      <c r="C5" s="12" t="inlineStr">
        <is>
          <t>Features with full chart blocks (1-10).</t>
        </is>
      </c>
      <c r="E5" s="10" t="inlineStr">
        <is>
          <t>Chart Window (points)</t>
        </is>
      </c>
      <c r="F5" s="11" t="n">
        <v>200</v>
      </c>
    </row>
    <row r="6">
      <c r="A6" s="10" t="inlineStr">
        <is>
          <t>Data Rows Available</t>
        </is>
      </c>
      <c r="B6" s="11" t="n">
        <v>10000</v>
      </c>
      <c r="C6" s="12" t="inlineStr">
        <is>
          <t>Measurement rows on Data Entry.</t>
        </is>
      </c>
      <c r="E6" s="10" t="inlineStr">
        <is>
          <t>Histogram Bins</t>
        </is>
      </c>
      <c r="F6" s="11" t="n">
        <v>15</v>
      </c>
    </row>
    <row r="7">
      <c r="A7" s="10" t="inlineStr">
        <is>
          <t>Feature Start Column</t>
        </is>
      </c>
      <c r="B7" s="11" t="inlineStr">
        <is>
          <t>H</t>
        </is>
      </c>
      <c r="C7" s="12" t="inlineStr">
        <is>
          <t>First measurement column on Data Entry.</t>
        </is>
      </c>
      <c r="E7" s="10" t="inlineStr">
        <is>
          <t>Show Spec Limits</t>
        </is>
      </c>
      <c r="F7" s="11" t="inlineStr">
        <is>
          <t>Y</t>
        </is>
      </c>
    </row>
    <row r="8">
      <c r="A8" s="10" t="inlineStr">
        <is>
          <t>Company</t>
        </is>
      </c>
      <c r="B8" s="11" t="inlineStr">
        <is>
          <t>R&amp;G Precision Engineering Ltd</t>
        </is>
      </c>
      <c r="C8" s="12" t="inlineStr"/>
      <c r="E8" s="10" t="inlineStr">
        <is>
          <t>Watch Folder</t>
        </is>
      </c>
      <c r="F8" s="11" t="inlineStr"/>
    </row>
    <row r="9">
      <c r="A9" s="10" t="inlineStr">
        <is>
          <t>Document ID</t>
        </is>
      </c>
      <c r="B9" s="11" t="inlineStr">
        <is>
          <t>RG-SPC-013</t>
        </is>
      </c>
      <c r="C9" s="12" t="inlineStr"/>
      <c r="E9" s="10" t="inlineStr">
        <is>
          <t>File Pattern</t>
        </is>
      </c>
      <c r="F9" s="11" t="inlineStr">
        <is>
          <t>*.csv</t>
        </is>
      </c>
    </row>
    <row r="10">
      <c r="A10" s="10" t="inlineStr">
        <is>
          <t>Revision</t>
        </is>
      </c>
      <c r="B10" s="11" t="inlineStr">
        <is>
          <t>R01</t>
        </is>
      </c>
      <c r="C10" s="12" t="inlineStr"/>
      <c r="E10" s="10" t="inlineStr">
        <is>
          <t>Auto-Refresh (sec)</t>
        </is>
      </c>
      <c r="F10" s="11" t="n">
        <v>60</v>
      </c>
    </row>
    <row r="11">
      <c r="A11" s="10" t="inlineStr">
        <is>
          <t>Issue Date</t>
        </is>
      </c>
      <c r="B11" s="11" t="inlineStr">
        <is>
          <t>2026-08-03</t>
        </is>
      </c>
      <c r="C11" s="12" t="inlineStr"/>
      <c r="E11" s="10" t="inlineStr">
        <is>
          <t>Archive Imported Files</t>
        </is>
      </c>
      <c r="F11" s="11" t="inlineStr">
        <is>
          <t>Y</t>
        </is>
      </c>
    </row>
    <row r="12">
      <c r="A12" s="10" t="inlineStr">
        <is>
          <t>Owner</t>
        </is>
      </c>
      <c r="B12" s="11" t="inlineStr">
        <is>
          <t>Andrij Medwid, Senior Quality Engineer</t>
        </is>
      </c>
      <c r="C12" s="12" t="inlineStr"/>
      <c r="E12" s="10" t="inlineStr">
        <is>
          <t>Archive Subfolder</t>
        </is>
      </c>
      <c r="F12" s="11" t="inlineStr">
        <is>
          <t>archive</t>
        </is>
      </c>
    </row>
    <row r="13">
      <c r="A13" s="10" t="inlineStr">
        <is>
          <t>Status</t>
        </is>
      </c>
      <c r="B13" s="11" t="inlineStr">
        <is>
          <t>DRAFT</t>
        </is>
      </c>
      <c r="C13" s="12" t="inlineStr">
        <is>
          <t>DRAFT / ISSUED / SUPERSEDED</t>
        </is>
      </c>
      <c r="E13" s="10" t="inlineStr">
        <is>
          <t>Kiosk Cycle (sec)</t>
        </is>
      </c>
      <c r="F13" s="11" t="n">
        <v>20</v>
      </c>
    </row>
    <row r="14">
      <c r="E14" s="13" t="inlineStr">
        <is>
          <t>Charts plot the most recent 'Chart Window' points.</t>
        </is>
      </c>
    </row>
    <row r="15">
      <c r="A15" s="14" t="inlineStr">
        <is>
          <t>FEATURE DEFINITIONS</t>
        </is>
      </c>
    </row>
    <row r="16">
      <c r="A16" s="15" t="inlineStr">
        <is>
          <t>#</t>
        </is>
      </c>
      <c r="B16" s="15" t="inlineStr">
        <is>
          <t>Feature Name</t>
        </is>
      </c>
      <c r="C16" s="15" t="inlineStr">
        <is>
          <t>Nominal</t>
        </is>
      </c>
      <c r="D16" s="15" t="inlineStr">
        <is>
          <t>LSL</t>
        </is>
      </c>
      <c r="E16" s="15" t="inlineStr">
        <is>
          <t>USL</t>
        </is>
      </c>
      <c r="F16" s="15" t="inlineStr">
        <is>
          <t>Unit</t>
        </is>
      </c>
      <c r="G16" s="15" t="inlineStr">
        <is>
          <t>Active</t>
        </is>
      </c>
    </row>
    <row r="17">
      <c r="A17" s="16" t="n">
        <v>1</v>
      </c>
      <c r="B17" s="11" t="inlineStr">
        <is>
          <t>Feature 1</t>
        </is>
      </c>
      <c r="C17" s="17" t="n">
        <v>25</v>
      </c>
      <c r="D17" s="17" t="n">
        <v>24.76</v>
      </c>
      <c r="E17" s="17" t="n">
        <v>25.24</v>
      </c>
      <c r="F17" s="11" t="inlineStr">
        <is>
          <t>mm</t>
        </is>
      </c>
      <c r="G17" s="11" t="inlineStr">
        <is>
          <t>Y</t>
        </is>
      </c>
    </row>
    <row r="18">
      <c r="A18" s="16" t="n">
        <v>2</v>
      </c>
      <c r="B18" s="11" t="inlineStr">
        <is>
          <t>Feature 2</t>
        </is>
      </c>
      <c r="C18" s="17" t="n">
        <v>12.5</v>
      </c>
      <c r="D18" s="17" t="n">
        <v>12.22</v>
      </c>
      <c r="E18" s="17" t="n">
        <v>12.78</v>
      </c>
      <c r="F18" s="11" t="inlineStr">
        <is>
          <t>mm</t>
        </is>
      </c>
      <c r="G18" s="11" t="inlineStr">
        <is>
          <t>Y</t>
        </is>
      </c>
    </row>
    <row r="19">
      <c r="A19" s="16" t="n">
        <v>3</v>
      </c>
      <c r="B19" s="11" t="inlineStr">
        <is>
          <t>Feature 3</t>
        </is>
      </c>
      <c r="C19" s="17" t="n">
        <v>8</v>
      </c>
      <c r="D19" s="17" t="n">
        <v>7.8</v>
      </c>
      <c r="E19" s="17" t="n">
        <v>8.199999999999999</v>
      </c>
      <c r="F19" s="11" t="inlineStr">
        <is>
          <t>mm</t>
        </is>
      </c>
      <c r="G19" s="11" t="inlineStr">
        <is>
          <t>Y</t>
        </is>
      </c>
    </row>
    <row r="20">
      <c r="A20" s="16" t="n">
        <v>4</v>
      </c>
      <c r="B20" s="11" t="inlineStr">
        <is>
          <t>Feature 4</t>
        </is>
      </c>
      <c r="C20" s="17" t="n">
        <v>50</v>
      </c>
      <c r="D20" s="17" t="n">
        <v>49.2</v>
      </c>
      <c r="E20" s="17" t="n">
        <v>50.8</v>
      </c>
      <c r="F20" s="11" t="inlineStr">
        <is>
          <t>mm</t>
        </is>
      </c>
      <c r="G20" s="11" t="inlineStr">
        <is>
          <t>Y</t>
        </is>
      </c>
    </row>
    <row r="21">
      <c r="A21" s="16" t="n">
        <v>5</v>
      </c>
      <c r="B21" s="11" t="inlineStr">
        <is>
          <t>Feature 5</t>
        </is>
      </c>
      <c r="C21" s="17" t="n">
        <v>3.17</v>
      </c>
      <c r="D21" s="17" t="n">
        <v>3.122</v>
      </c>
      <c r="E21" s="17" t="n">
        <v>3.218</v>
      </c>
      <c r="F21" s="11" t="inlineStr">
        <is>
          <t>mm</t>
        </is>
      </c>
      <c r="G21" s="11" t="inlineStr">
        <is>
          <t>Y</t>
        </is>
      </c>
    </row>
    <row r="22">
      <c r="A22" s="16" t="n">
        <v>6</v>
      </c>
      <c r="B22" s="11" t="inlineStr">
        <is>
          <t>Feature 6</t>
        </is>
      </c>
      <c r="C22" s="17" t="n">
        <v>6.32</v>
      </c>
      <c r="D22" s="17" t="n">
        <v>6.208</v>
      </c>
      <c r="E22" s="17" t="n">
        <v>6.432</v>
      </c>
      <c r="F22" s="11" t="inlineStr">
        <is>
          <t>mm</t>
        </is>
      </c>
      <c r="G22" s="11" t="inlineStr">
        <is>
          <t>Y</t>
        </is>
      </c>
    </row>
    <row r="23">
      <c r="A23" s="16" t="n">
        <v>7</v>
      </c>
      <c r="B23" s="11" t="inlineStr">
        <is>
          <t>Feature 7</t>
        </is>
      </c>
      <c r="C23" s="17" t="n">
        <v>10.02</v>
      </c>
      <c r="D23" s="17" t="n">
        <v>9.94</v>
      </c>
      <c r="E23" s="17" t="n">
        <v>10.1</v>
      </c>
      <c r="F23" s="11" t="inlineStr">
        <is>
          <t>mm</t>
        </is>
      </c>
      <c r="G23" s="11" t="inlineStr">
        <is>
          <t>Y</t>
        </is>
      </c>
    </row>
    <row r="24">
      <c r="A24" s="16" t="n">
        <v>8</v>
      </c>
      <c r="B24" s="11" t="inlineStr">
        <is>
          <t>Feature 8</t>
        </is>
      </c>
      <c r="C24" s="17" t="n">
        <v>15</v>
      </c>
      <c r="D24" s="17" t="n">
        <v>14.72</v>
      </c>
      <c r="E24" s="17" t="n">
        <v>15.28</v>
      </c>
      <c r="F24" s="11" t="inlineStr">
        <is>
          <t>mm</t>
        </is>
      </c>
      <c r="G24" s="11" t="inlineStr">
        <is>
          <t>Y</t>
        </is>
      </c>
    </row>
    <row r="25">
      <c r="A25" s="16" t="n">
        <v>9</v>
      </c>
      <c r="B25" s="11" t="inlineStr">
        <is>
          <t>Feature 9</t>
        </is>
      </c>
      <c r="C25" s="17" t="n">
        <v>20</v>
      </c>
      <c r="D25" s="17" t="n">
        <v>19.76</v>
      </c>
      <c r="E25" s="17" t="n">
        <v>20.24</v>
      </c>
      <c r="F25" s="11" t="inlineStr">
        <is>
          <t>mm</t>
        </is>
      </c>
      <c r="G25" s="11" t="inlineStr">
        <is>
          <t>Y</t>
        </is>
      </c>
    </row>
    <row r="26">
      <c r="A26" s="16" t="n">
        <v>10</v>
      </c>
      <c r="B26" s="11" t="inlineStr">
        <is>
          <t>Feature 10</t>
        </is>
      </c>
      <c r="C26" s="17" t="n">
        <v>30</v>
      </c>
      <c r="D26" s="17" t="n">
        <v>29.56</v>
      </c>
      <c r="E26" s="17" t="n">
        <v>30.44</v>
      </c>
      <c r="F26" s="11" t="inlineStr">
        <is>
          <t>mm</t>
        </is>
      </c>
      <c r="G26" s="11" t="inlineStr">
        <is>
          <t>Y</t>
        </is>
      </c>
    </row>
    <row r="27">
      <c r="A27" s="16" t="n">
        <v>11</v>
      </c>
      <c r="B27" s="11" t="inlineStr">
        <is>
          <t>Feature 11</t>
        </is>
      </c>
      <c r="C27" s="17" t="n"/>
      <c r="D27" s="17" t="n"/>
      <c r="E27" s="17" t="n"/>
      <c r="F27" s="11" t="inlineStr">
        <is>
          <t>mm</t>
        </is>
      </c>
      <c r="G27" s="11" t="inlineStr">
        <is>
          <t>N</t>
        </is>
      </c>
    </row>
    <row r="28">
      <c r="A28" s="16" t="n">
        <v>12</v>
      </c>
      <c r="B28" s="11" t="inlineStr">
        <is>
          <t>Feature 12</t>
        </is>
      </c>
      <c r="C28" s="17" t="n"/>
      <c r="D28" s="17" t="n"/>
      <c r="E28" s="17" t="n"/>
      <c r="F28" s="11" t="inlineStr">
        <is>
          <t>mm</t>
        </is>
      </c>
      <c r="G28" s="11" t="inlineStr">
        <is>
          <t>N</t>
        </is>
      </c>
    </row>
    <row r="29">
      <c r="A29" s="16" t="n">
        <v>13</v>
      </c>
      <c r="B29" s="11" t="inlineStr">
        <is>
          <t>Feature 13</t>
        </is>
      </c>
      <c r="C29" s="17" t="n"/>
      <c r="D29" s="17" t="n"/>
      <c r="E29" s="17" t="n"/>
      <c r="F29" s="11" t="inlineStr">
        <is>
          <t>mm</t>
        </is>
      </c>
      <c r="G29" s="11" t="inlineStr">
        <is>
          <t>N</t>
        </is>
      </c>
    </row>
    <row r="30">
      <c r="A30" s="16" t="n">
        <v>14</v>
      </c>
      <c r="B30" s="11" t="inlineStr">
        <is>
          <t>Feature 14</t>
        </is>
      </c>
      <c r="C30" s="17" t="n"/>
      <c r="D30" s="17" t="n"/>
      <c r="E30" s="17" t="n"/>
      <c r="F30" s="11" t="inlineStr">
        <is>
          <t>mm</t>
        </is>
      </c>
      <c r="G30" s="11" t="inlineStr">
        <is>
          <t>N</t>
        </is>
      </c>
    </row>
    <row r="31">
      <c r="A31" s="16" t="n">
        <v>15</v>
      </c>
      <c r="B31" s="11" t="inlineStr">
        <is>
          <t>Feature 15</t>
        </is>
      </c>
      <c r="C31" s="17" t="n"/>
      <c r="D31" s="17" t="n"/>
      <c r="E31" s="17" t="n"/>
      <c r="F31" s="11" t="inlineStr">
        <is>
          <t>mm</t>
        </is>
      </c>
      <c r="G31" s="11" t="inlineStr">
        <is>
          <t>N</t>
        </is>
      </c>
    </row>
    <row r="32">
      <c r="A32" s="16" t="n">
        <v>16</v>
      </c>
      <c r="B32" s="11" t="inlineStr">
        <is>
          <t>Feature 16</t>
        </is>
      </c>
      <c r="C32" s="17" t="n"/>
      <c r="D32" s="17" t="n"/>
      <c r="E32" s="17" t="n"/>
      <c r="F32" s="11" t="inlineStr">
        <is>
          <t>mm</t>
        </is>
      </c>
      <c r="G32" s="11" t="inlineStr">
        <is>
          <t>N</t>
        </is>
      </c>
    </row>
    <row r="33">
      <c r="A33" s="16" t="n">
        <v>17</v>
      </c>
      <c r="B33" s="11" t="inlineStr">
        <is>
          <t>Feature 17</t>
        </is>
      </c>
      <c r="C33" s="17" t="n"/>
      <c r="D33" s="17" t="n"/>
      <c r="E33" s="17" t="n"/>
      <c r="F33" s="11" t="inlineStr">
        <is>
          <t>mm</t>
        </is>
      </c>
      <c r="G33" s="11" t="inlineStr">
        <is>
          <t>N</t>
        </is>
      </c>
    </row>
    <row r="34">
      <c r="A34" s="16" t="n">
        <v>18</v>
      </c>
      <c r="B34" s="11" t="inlineStr">
        <is>
          <t>Feature 18</t>
        </is>
      </c>
      <c r="C34" s="17" t="n"/>
      <c r="D34" s="17" t="n"/>
      <c r="E34" s="17" t="n"/>
      <c r="F34" s="11" t="inlineStr">
        <is>
          <t>mm</t>
        </is>
      </c>
      <c r="G34" s="11" t="inlineStr">
        <is>
          <t>N</t>
        </is>
      </c>
    </row>
    <row r="35">
      <c r="A35" s="16" t="n">
        <v>19</v>
      </c>
      <c r="B35" s="11" t="inlineStr">
        <is>
          <t>Feature 19</t>
        </is>
      </c>
      <c r="C35" s="17" t="n"/>
      <c r="D35" s="17" t="n"/>
      <c r="E35" s="17" t="n"/>
      <c r="F35" s="11" t="inlineStr">
        <is>
          <t>mm</t>
        </is>
      </c>
      <c r="G35" s="11" t="inlineStr">
        <is>
          <t>N</t>
        </is>
      </c>
    </row>
    <row r="36">
      <c r="A36" s="16" t="n">
        <v>20</v>
      </c>
      <c r="B36" s="11" t="inlineStr">
        <is>
          <t>Feature 20</t>
        </is>
      </c>
      <c r="C36" s="17" t="n"/>
      <c r="D36" s="17" t="n"/>
      <c r="E36" s="17" t="n"/>
      <c r="F36" s="11" t="inlineStr">
        <is>
          <t>mm</t>
        </is>
      </c>
      <c r="G36" s="11" t="inlineStr">
        <is>
          <t>N</t>
        </is>
      </c>
    </row>
    <row r="37">
      <c r="A37" s="16" t="n">
        <v>21</v>
      </c>
      <c r="B37" s="11" t="inlineStr">
        <is>
          <t>Feature 21</t>
        </is>
      </c>
      <c r="C37" s="17" t="n"/>
      <c r="D37" s="17" t="n"/>
      <c r="E37" s="17" t="n"/>
      <c r="F37" s="11" t="inlineStr">
        <is>
          <t>mm</t>
        </is>
      </c>
      <c r="G37" s="11" t="inlineStr">
        <is>
          <t>N</t>
        </is>
      </c>
    </row>
    <row r="38">
      <c r="A38" s="16" t="n">
        <v>22</v>
      </c>
      <c r="B38" s="11" t="inlineStr">
        <is>
          <t>Feature 22</t>
        </is>
      </c>
      <c r="C38" s="17" t="n"/>
      <c r="D38" s="17" t="n"/>
      <c r="E38" s="17" t="n"/>
      <c r="F38" s="11" t="inlineStr">
        <is>
          <t>mm</t>
        </is>
      </c>
      <c r="G38" s="11" t="inlineStr">
        <is>
          <t>N</t>
        </is>
      </c>
    </row>
    <row r="39">
      <c r="A39" s="16" t="n">
        <v>23</v>
      </c>
      <c r="B39" s="11" t="inlineStr">
        <is>
          <t>Feature 23</t>
        </is>
      </c>
      <c r="C39" s="17" t="n"/>
      <c r="D39" s="17" t="n"/>
      <c r="E39" s="17" t="n"/>
      <c r="F39" s="11" t="inlineStr">
        <is>
          <t>mm</t>
        </is>
      </c>
      <c r="G39" s="11" t="inlineStr">
        <is>
          <t>N</t>
        </is>
      </c>
    </row>
    <row r="40">
      <c r="A40" s="16" t="n">
        <v>24</v>
      </c>
      <c r="B40" s="11" t="inlineStr">
        <is>
          <t>Feature 24</t>
        </is>
      </c>
      <c r="C40" s="17" t="n"/>
      <c r="D40" s="17" t="n"/>
      <c r="E40" s="17" t="n"/>
      <c r="F40" s="11" t="inlineStr">
        <is>
          <t>mm</t>
        </is>
      </c>
      <c r="G40" s="11" t="inlineStr">
        <is>
          <t>N</t>
        </is>
      </c>
    </row>
    <row r="41">
      <c r="A41" s="16" t="n">
        <v>25</v>
      </c>
      <c r="B41" s="11" t="inlineStr">
        <is>
          <t>Feature 25</t>
        </is>
      </c>
      <c r="C41" s="17" t="n"/>
      <c r="D41" s="17" t="n"/>
      <c r="E41" s="17" t="n"/>
      <c r="F41" s="11" t="inlineStr">
        <is>
          <t>mm</t>
        </is>
      </c>
      <c r="G41" s="11" t="inlineStr">
        <is>
          <t>N</t>
        </is>
      </c>
    </row>
    <row r="42">
      <c r="A42" s="16" t="n">
        <v>26</v>
      </c>
      <c r="B42" s="11" t="inlineStr">
        <is>
          <t>Feature 26</t>
        </is>
      </c>
      <c r="C42" s="17" t="n"/>
      <c r="D42" s="17" t="n"/>
      <c r="E42" s="17" t="n"/>
      <c r="F42" s="11" t="inlineStr">
        <is>
          <t>mm</t>
        </is>
      </c>
      <c r="G42" s="11" t="inlineStr">
        <is>
          <t>N</t>
        </is>
      </c>
    </row>
    <row r="43">
      <c r="A43" s="16" t="n">
        <v>27</v>
      </c>
      <c r="B43" s="11" t="inlineStr">
        <is>
          <t>Feature 27</t>
        </is>
      </c>
      <c r="C43" s="17" t="n"/>
      <c r="D43" s="17" t="n"/>
      <c r="E43" s="17" t="n"/>
      <c r="F43" s="11" t="inlineStr">
        <is>
          <t>mm</t>
        </is>
      </c>
      <c r="G43" s="11" t="inlineStr">
        <is>
          <t>N</t>
        </is>
      </c>
    </row>
    <row r="44">
      <c r="A44" s="16" t="n">
        <v>28</v>
      </c>
      <c r="B44" s="11" t="inlineStr">
        <is>
          <t>Feature 28</t>
        </is>
      </c>
      <c r="C44" s="17" t="n"/>
      <c r="D44" s="17" t="n"/>
      <c r="E44" s="17" t="n"/>
      <c r="F44" s="11" t="inlineStr">
        <is>
          <t>mm</t>
        </is>
      </c>
      <c r="G44" s="11" t="inlineStr">
        <is>
          <t>N</t>
        </is>
      </c>
    </row>
    <row r="45">
      <c r="A45" s="16" t="n">
        <v>29</v>
      </c>
      <c r="B45" s="11" t="inlineStr">
        <is>
          <t>Feature 29</t>
        </is>
      </c>
      <c r="C45" s="17" t="n"/>
      <c r="D45" s="17" t="n"/>
      <c r="E45" s="17" t="n"/>
      <c r="F45" s="11" t="inlineStr">
        <is>
          <t>mm</t>
        </is>
      </c>
      <c r="G45" s="11" t="inlineStr">
        <is>
          <t>N</t>
        </is>
      </c>
    </row>
    <row r="46">
      <c r="A46" s="16" t="n">
        <v>30</v>
      </c>
      <c r="B46" s="11" t="inlineStr">
        <is>
          <t>Feature 30</t>
        </is>
      </c>
      <c r="C46" s="17" t="n"/>
      <c r="D46" s="17" t="n"/>
      <c r="E46" s="17" t="n"/>
      <c r="F46" s="11" t="inlineStr">
        <is>
          <t>mm</t>
        </is>
      </c>
      <c r="G46" s="11" t="inlineStr">
        <is>
          <t>N</t>
        </is>
      </c>
    </row>
    <row r="47">
      <c r="A47" s="16" t="n">
        <v>31</v>
      </c>
      <c r="B47" s="11" t="inlineStr">
        <is>
          <t>Feature 31</t>
        </is>
      </c>
      <c r="C47" s="17" t="n"/>
      <c r="D47" s="17" t="n"/>
      <c r="E47" s="17" t="n"/>
      <c r="F47" s="11" t="inlineStr">
        <is>
          <t>mm</t>
        </is>
      </c>
      <c r="G47" s="11" t="inlineStr">
        <is>
          <t>N</t>
        </is>
      </c>
    </row>
    <row r="48">
      <c r="A48" s="16" t="n">
        <v>32</v>
      </c>
      <c r="B48" s="11" t="inlineStr">
        <is>
          <t>Feature 32</t>
        </is>
      </c>
      <c r="C48" s="17" t="n"/>
      <c r="D48" s="17" t="n"/>
      <c r="E48" s="17" t="n"/>
      <c r="F48" s="11" t="inlineStr">
        <is>
          <t>mm</t>
        </is>
      </c>
      <c r="G48" s="11" t="inlineStr">
        <is>
          <t>N</t>
        </is>
      </c>
    </row>
    <row r="49">
      <c r="A49" s="16" t="n">
        <v>33</v>
      </c>
      <c r="B49" s="11" t="inlineStr">
        <is>
          <t>Feature 33</t>
        </is>
      </c>
      <c r="C49" s="17" t="n"/>
      <c r="D49" s="17" t="n"/>
      <c r="E49" s="17" t="n"/>
      <c r="F49" s="11" t="inlineStr">
        <is>
          <t>mm</t>
        </is>
      </c>
      <c r="G49" s="11" t="inlineStr">
        <is>
          <t>N</t>
        </is>
      </c>
    </row>
    <row r="50">
      <c r="A50" s="16" t="n">
        <v>34</v>
      </c>
      <c r="B50" s="11" t="inlineStr">
        <is>
          <t>Feature 34</t>
        </is>
      </c>
      <c r="C50" s="17" t="n"/>
      <c r="D50" s="17" t="n"/>
      <c r="E50" s="17" t="n"/>
      <c r="F50" s="11" t="inlineStr">
        <is>
          <t>mm</t>
        </is>
      </c>
      <c r="G50" s="11" t="inlineStr">
        <is>
          <t>N</t>
        </is>
      </c>
    </row>
    <row r="51">
      <c r="A51" s="16" t="n">
        <v>35</v>
      </c>
      <c r="B51" s="11" t="inlineStr">
        <is>
          <t>Feature 35</t>
        </is>
      </c>
      <c r="C51" s="17" t="n"/>
      <c r="D51" s="17" t="n"/>
      <c r="E51" s="17" t="n"/>
      <c r="F51" s="11" t="inlineStr">
        <is>
          <t>mm</t>
        </is>
      </c>
      <c r="G51" s="11" t="inlineStr">
        <is>
          <t>N</t>
        </is>
      </c>
    </row>
    <row r="52">
      <c r="A52" s="16" t="n">
        <v>36</v>
      </c>
      <c r="B52" s="11" t="inlineStr">
        <is>
          <t>Feature 36</t>
        </is>
      </c>
      <c r="C52" s="17" t="n"/>
      <c r="D52" s="17" t="n"/>
      <c r="E52" s="17" t="n"/>
      <c r="F52" s="11" t="inlineStr">
        <is>
          <t>mm</t>
        </is>
      </c>
      <c r="G52" s="11" t="inlineStr">
        <is>
          <t>N</t>
        </is>
      </c>
    </row>
    <row r="53">
      <c r="A53" s="16" t="n">
        <v>37</v>
      </c>
      <c r="B53" s="11" t="inlineStr">
        <is>
          <t>Feature 37</t>
        </is>
      </c>
      <c r="C53" s="17" t="n"/>
      <c r="D53" s="17" t="n"/>
      <c r="E53" s="17" t="n"/>
      <c r="F53" s="11" t="inlineStr">
        <is>
          <t>mm</t>
        </is>
      </c>
      <c r="G53" s="11" t="inlineStr">
        <is>
          <t>N</t>
        </is>
      </c>
    </row>
    <row r="54">
      <c r="A54" s="16" t="n">
        <v>38</v>
      </c>
      <c r="B54" s="11" t="inlineStr">
        <is>
          <t>Feature 38</t>
        </is>
      </c>
      <c r="C54" s="17" t="n"/>
      <c r="D54" s="17" t="n"/>
      <c r="E54" s="17" t="n"/>
      <c r="F54" s="11" t="inlineStr">
        <is>
          <t>mm</t>
        </is>
      </c>
      <c r="G54" s="11" t="inlineStr">
        <is>
          <t>N</t>
        </is>
      </c>
    </row>
    <row r="55">
      <c r="A55" s="16" t="n">
        <v>39</v>
      </c>
      <c r="B55" s="11" t="inlineStr">
        <is>
          <t>Feature 39</t>
        </is>
      </c>
      <c r="C55" s="17" t="n"/>
      <c r="D55" s="17" t="n"/>
      <c r="E55" s="17" t="n"/>
      <c r="F55" s="11" t="inlineStr">
        <is>
          <t>mm</t>
        </is>
      </c>
      <c r="G55" s="11" t="inlineStr">
        <is>
          <t>N</t>
        </is>
      </c>
    </row>
    <row r="56">
      <c r="A56" s="16" t="n">
        <v>40</v>
      </c>
      <c r="B56" s="11" t="inlineStr">
        <is>
          <t>Feature 40</t>
        </is>
      </c>
      <c r="C56" s="17" t="n"/>
      <c r="D56" s="17" t="n"/>
      <c r="E56" s="17" t="n"/>
      <c r="F56" s="11" t="inlineStr">
        <is>
          <t>mm</t>
        </is>
      </c>
      <c r="G56" s="11" t="inlineStr">
        <is>
          <t>N</t>
        </is>
      </c>
    </row>
    <row r="57">
      <c r="A57" s="16" t="n">
        <v>41</v>
      </c>
      <c r="B57" s="11" t="inlineStr">
        <is>
          <t>Feature 41</t>
        </is>
      </c>
      <c r="C57" s="17" t="n"/>
      <c r="D57" s="17" t="n"/>
      <c r="E57" s="17" t="n"/>
      <c r="F57" s="11" t="inlineStr">
        <is>
          <t>mm</t>
        </is>
      </c>
      <c r="G57" s="11" t="inlineStr">
        <is>
          <t>N</t>
        </is>
      </c>
    </row>
    <row r="58">
      <c r="A58" s="16" t="n">
        <v>42</v>
      </c>
      <c r="B58" s="11" t="inlineStr">
        <is>
          <t>Feature 42</t>
        </is>
      </c>
      <c r="C58" s="17" t="n"/>
      <c r="D58" s="17" t="n"/>
      <c r="E58" s="17" t="n"/>
      <c r="F58" s="11" t="inlineStr">
        <is>
          <t>mm</t>
        </is>
      </c>
      <c r="G58" s="11" t="inlineStr">
        <is>
          <t>N</t>
        </is>
      </c>
    </row>
    <row r="59">
      <c r="A59" s="16" t="n">
        <v>43</v>
      </c>
      <c r="B59" s="11" t="inlineStr">
        <is>
          <t>Feature 43</t>
        </is>
      </c>
      <c r="C59" s="17" t="n"/>
      <c r="D59" s="17" t="n"/>
      <c r="E59" s="17" t="n"/>
      <c r="F59" s="11" t="inlineStr">
        <is>
          <t>mm</t>
        </is>
      </c>
      <c r="G59" s="11" t="inlineStr">
        <is>
          <t>N</t>
        </is>
      </c>
    </row>
    <row r="60">
      <c r="A60" s="16" t="n">
        <v>44</v>
      </c>
      <c r="B60" s="11" t="inlineStr">
        <is>
          <t>Feature 44</t>
        </is>
      </c>
      <c r="C60" s="17" t="n"/>
      <c r="D60" s="17" t="n"/>
      <c r="E60" s="17" t="n"/>
      <c r="F60" s="11" t="inlineStr">
        <is>
          <t>mm</t>
        </is>
      </c>
      <c r="G60" s="11" t="inlineStr">
        <is>
          <t>N</t>
        </is>
      </c>
    </row>
    <row r="61">
      <c r="A61" s="16" t="n">
        <v>45</v>
      </c>
      <c r="B61" s="11" t="inlineStr">
        <is>
          <t>Feature 45</t>
        </is>
      </c>
      <c r="C61" s="17" t="n"/>
      <c r="D61" s="17" t="n"/>
      <c r="E61" s="17" t="n"/>
      <c r="F61" s="11" t="inlineStr">
        <is>
          <t>mm</t>
        </is>
      </c>
      <c r="G61" s="11" t="inlineStr">
        <is>
          <t>N</t>
        </is>
      </c>
    </row>
    <row r="62">
      <c r="A62" s="16" t="n">
        <v>46</v>
      </c>
      <c r="B62" s="11" t="inlineStr">
        <is>
          <t>Feature 46</t>
        </is>
      </c>
      <c r="C62" s="17" t="n"/>
      <c r="D62" s="17" t="n"/>
      <c r="E62" s="17" t="n"/>
      <c r="F62" s="11" t="inlineStr">
        <is>
          <t>mm</t>
        </is>
      </c>
      <c r="G62" s="11" t="inlineStr">
        <is>
          <t>N</t>
        </is>
      </c>
    </row>
    <row r="63">
      <c r="A63" s="16" t="n">
        <v>47</v>
      </c>
      <c r="B63" s="11" t="inlineStr">
        <is>
          <t>Feature 47</t>
        </is>
      </c>
      <c r="C63" s="17" t="n"/>
      <c r="D63" s="17" t="n"/>
      <c r="E63" s="17" t="n"/>
      <c r="F63" s="11" t="inlineStr">
        <is>
          <t>mm</t>
        </is>
      </c>
      <c r="G63" s="11" t="inlineStr">
        <is>
          <t>N</t>
        </is>
      </c>
    </row>
    <row r="64">
      <c r="A64" s="16" t="n">
        <v>48</v>
      </c>
      <c r="B64" s="11" t="inlineStr">
        <is>
          <t>Feature 48</t>
        </is>
      </c>
      <c r="C64" s="17" t="n"/>
      <c r="D64" s="17" t="n"/>
      <c r="E64" s="17" t="n"/>
      <c r="F64" s="11" t="inlineStr">
        <is>
          <t>mm</t>
        </is>
      </c>
      <c r="G64" s="11" t="inlineStr">
        <is>
          <t>N</t>
        </is>
      </c>
    </row>
    <row r="65">
      <c r="A65" s="16" t="n">
        <v>49</v>
      </c>
      <c r="B65" s="11" t="inlineStr">
        <is>
          <t>Feature 49</t>
        </is>
      </c>
      <c r="C65" s="17" t="n"/>
      <c r="D65" s="17" t="n"/>
      <c r="E65" s="17" t="n"/>
      <c r="F65" s="11" t="inlineStr">
        <is>
          <t>mm</t>
        </is>
      </c>
      <c r="G65" s="11" t="inlineStr">
        <is>
          <t>N</t>
        </is>
      </c>
    </row>
    <row r="66">
      <c r="A66" s="16" t="n">
        <v>50</v>
      </c>
      <c r="B66" s="11" t="inlineStr">
        <is>
          <t>Feature 50</t>
        </is>
      </c>
      <c r="C66" s="17" t="n"/>
      <c r="D66" s="17" t="n"/>
      <c r="E66" s="17" t="n"/>
      <c r="F66" s="11" t="inlineStr">
        <is>
          <t>mm</t>
        </is>
      </c>
      <c r="G66" s="11" t="inlineStr">
        <is>
          <t>N</t>
        </is>
      </c>
    </row>
  </sheetData>
  <mergeCells count="2">
    <mergeCell ref="E4:F4"/>
    <mergeCell ref="A1:G1"/>
  </mergeCells>
  <dataValidations count="1">
    <dataValidation sqref="G17:G66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0022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11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</cols>
  <sheetData>
    <row r="1" ht="24" customHeight="1">
      <c r="A1" s="1" t="inlineStr">
        <is>
          <t>SPC CALCULATOR v13 - DATA ENTRY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Type measurements from column H onward. Every chart in the workbook follows this sheet.</t>
        </is>
      </c>
    </row>
    <row r="4">
      <c r="A4" s="18" t="inlineStr">
        <is>
          <t>Sample #</t>
        </is>
      </c>
      <c r="B4" s="18" t="inlineStr">
        <is>
          <t>Subgroup</t>
        </is>
      </c>
      <c r="C4" s="18" t="inlineStr">
        <is>
          <t>Date</t>
        </is>
      </c>
      <c r="D4" s="18" t="inlineStr">
        <is>
          <t>Shift</t>
        </is>
      </c>
      <c r="E4" s="18" t="inlineStr">
        <is>
          <t>Operator</t>
        </is>
      </c>
      <c r="F4" s="18" t="inlineStr">
        <is>
          <t>Tool ID</t>
        </is>
      </c>
      <c r="G4" s="18" t="inlineStr">
        <is>
          <t>Cluster</t>
        </is>
      </c>
      <c r="H4" s="18">
        <f>IF(Settings!G17="Y",Settings!B17,"")</f>
        <v/>
      </c>
      <c r="I4" s="18">
        <f>IF(Settings!G18="Y",Settings!B18,"")</f>
        <v/>
      </c>
      <c r="J4" s="18">
        <f>IF(Settings!G19="Y",Settings!B19,"")</f>
        <v/>
      </c>
      <c r="K4" s="18">
        <f>IF(Settings!G20="Y",Settings!B20,"")</f>
        <v/>
      </c>
      <c r="L4" s="18">
        <f>IF(Settings!G21="Y",Settings!B21,"")</f>
        <v/>
      </c>
      <c r="M4" s="18">
        <f>IF(Settings!G22="Y",Settings!B22,"")</f>
        <v/>
      </c>
      <c r="N4" s="18">
        <f>IF(Settings!G23="Y",Settings!B23,"")</f>
        <v/>
      </c>
      <c r="O4" s="18">
        <f>IF(Settings!G24="Y",Settings!B24,"")</f>
        <v/>
      </c>
      <c r="P4" s="18">
        <f>IF(Settings!G25="Y",Settings!B25,"")</f>
        <v/>
      </c>
      <c r="Q4" s="18">
        <f>IF(Settings!G26="Y",Settings!B26,"")</f>
        <v/>
      </c>
      <c r="R4" s="18">
        <f>IF(Settings!G27="Y",Settings!B27,"")</f>
        <v/>
      </c>
      <c r="S4" s="18">
        <f>IF(Settings!G28="Y",Settings!B28,"")</f>
        <v/>
      </c>
      <c r="T4" s="18">
        <f>IF(Settings!G29="Y",Settings!B29,"")</f>
        <v/>
      </c>
      <c r="U4" s="18">
        <f>IF(Settings!G30="Y",Settings!B30,"")</f>
        <v/>
      </c>
      <c r="V4" s="18">
        <f>IF(Settings!G31="Y",Settings!B31,"")</f>
        <v/>
      </c>
      <c r="W4" s="18">
        <f>IF(Settings!G32="Y",Settings!B32,"")</f>
        <v/>
      </c>
      <c r="X4" s="18">
        <f>IF(Settings!G33="Y",Settings!B33,"")</f>
        <v/>
      </c>
      <c r="Y4" s="18">
        <f>IF(Settings!G34="Y",Settings!B34,"")</f>
        <v/>
      </c>
      <c r="Z4" s="18">
        <f>IF(Settings!G35="Y",Settings!B35,"")</f>
        <v/>
      </c>
      <c r="AA4" s="18">
        <f>IF(Settings!G36="Y",Settings!B36,"")</f>
        <v/>
      </c>
      <c r="AB4" s="18">
        <f>IF(Settings!G37="Y",Settings!B37,"")</f>
        <v/>
      </c>
      <c r="AC4" s="18">
        <f>IF(Settings!G38="Y",Settings!B38,"")</f>
        <v/>
      </c>
      <c r="AD4" s="18">
        <f>IF(Settings!G39="Y",Settings!B39,"")</f>
        <v/>
      </c>
      <c r="AE4" s="18">
        <f>IF(Settings!G40="Y",Settings!B40,"")</f>
        <v/>
      </c>
      <c r="AF4" s="18">
        <f>IF(Settings!G41="Y",Settings!B41,"")</f>
        <v/>
      </c>
      <c r="AG4" s="18">
        <f>IF(Settings!G42="Y",Settings!B42,"")</f>
        <v/>
      </c>
      <c r="AH4" s="18">
        <f>IF(Settings!G43="Y",Settings!B43,"")</f>
        <v/>
      </c>
      <c r="AI4" s="18">
        <f>IF(Settings!G44="Y",Settings!B44,"")</f>
        <v/>
      </c>
      <c r="AJ4" s="18">
        <f>IF(Settings!G45="Y",Settings!B45,"")</f>
        <v/>
      </c>
      <c r="AK4" s="18">
        <f>IF(Settings!G46="Y",Settings!B46,"")</f>
        <v/>
      </c>
      <c r="AL4" s="18">
        <f>IF(Settings!G47="Y",Settings!B47,"")</f>
        <v/>
      </c>
      <c r="AM4" s="18">
        <f>IF(Settings!G48="Y",Settings!B48,"")</f>
        <v/>
      </c>
      <c r="AN4" s="18">
        <f>IF(Settings!G49="Y",Settings!B49,"")</f>
        <v/>
      </c>
      <c r="AO4" s="18">
        <f>IF(Settings!G50="Y",Settings!B50,"")</f>
        <v/>
      </c>
      <c r="AP4" s="18">
        <f>IF(Settings!G51="Y",Settings!B51,"")</f>
        <v/>
      </c>
      <c r="AQ4" s="18">
        <f>IF(Settings!G52="Y",Settings!B52,"")</f>
        <v/>
      </c>
      <c r="AR4" s="18">
        <f>IF(Settings!G53="Y",Settings!B53,"")</f>
        <v/>
      </c>
      <c r="AS4" s="18">
        <f>IF(Settings!G54="Y",Settings!B54,"")</f>
        <v/>
      </c>
      <c r="AT4" s="18">
        <f>IF(Settings!G55="Y",Settings!B55,"")</f>
        <v/>
      </c>
      <c r="AU4" s="18">
        <f>IF(Settings!G56="Y",Settings!B56,"")</f>
        <v/>
      </c>
      <c r="AV4" s="18">
        <f>IF(Settings!G57="Y",Settings!B57,"")</f>
        <v/>
      </c>
      <c r="AW4" s="18">
        <f>IF(Settings!G58="Y",Settings!B58,"")</f>
        <v/>
      </c>
      <c r="AX4" s="18">
        <f>IF(Settings!G59="Y",Settings!B59,"")</f>
        <v/>
      </c>
      <c r="AY4" s="18">
        <f>IF(Settings!G60="Y",Settings!B60,"")</f>
        <v/>
      </c>
      <c r="AZ4" s="18">
        <f>IF(Settings!G61="Y",Settings!B61,"")</f>
        <v/>
      </c>
      <c r="BA4" s="18">
        <f>IF(Settings!G62="Y",Settings!B62,"")</f>
        <v/>
      </c>
      <c r="BB4" s="18">
        <f>IF(Settings!G63="Y",Settings!B63,"")</f>
        <v/>
      </c>
      <c r="BC4" s="18">
        <f>IF(Settings!G64="Y",Settings!B64,"")</f>
        <v/>
      </c>
      <c r="BD4" s="18">
        <f>IF(Settings!G65="Y",Settings!B65,"")</f>
        <v/>
      </c>
      <c r="BE4" s="18">
        <f>IF(Settings!G66="Y",Settings!B66,"")</f>
        <v/>
      </c>
    </row>
    <row r="5">
      <c r="A5" s="13">
        <f>IF(H5="","",ROW()-4)</f>
        <v/>
      </c>
      <c r="B5" s="13">
        <f>IF(H5="","",ROW()-4)</f>
        <v/>
      </c>
      <c r="C5" s="19" t="inlineStr">
        <is>
          <t>2026-07-02</t>
        </is>
      </c>
      <c r="D5" s="19" t="inlineStr">
        <is>
          <t>A</t>
        </is>
      </c>
      <c r="E5" s="19" t="inlineStr">
        <is>
          <t>OP1</t>
        </is>
      </c>
      <c r="F5" s="19" t="inlineStr">
        <is>
          <t>T01</t>
        </is>
      </c>
      <c r="G5" s="19" t="n"/>
      <c r="H5" s="20" t="n">
        <v>25.0299</v>
      </c>
      <c r="I5" s="20" t="n">
        <v>12.4614</v>
      </c>
      <c r="J5" s="20" t="n">
        <v>7.9877</v>
      </c>
      <c r="K5" s="20" t="n">
        <v>49.9469</v>
      </c>
      <c r="L5" s="20" t="n">
        <v>3.1644</v>
      </c>
      <c r="M5" s="20" t="n">
        <v>6.3588</v>
      </c>
      <c r="N5" s="20" t="n">
        <v>10.0064</v>
      </c>
      <c r="O5" s="20" t="n">
        <v>14.9009</v>
      </c>
      <c r="P5" s="20" t="n">
        <v>20.0588</v>
      </c>
      <c r="Q5" s="20" t="n">
        <v>29.8416</v>
      </c>
    </row>
    <row r="6">
      <c r="A6" s="13">
        <f>IF(H6="","",ROW()-4)</f>
        <v/>
      </c>
      <c r="B6" s="13">
        <f>IF(H6="","",ROW()-4)</f>
        <v/>
      </c>
      <c r="C6" s="19" t="inlineStr">
        <is>
          <t>2026-07-03</t>
        </is>
      </c>
      <c r="D6" s="19" t="inlineStr">
        <is>
          <t>B</t>
        </is>
      </c>
      <c r="E6" s="19" t="inlineStr">
        <is>
          <t>OP2</t>
        </is>
      </c>
      <c r="F6" s="19" t="inlineStr">
        <is>
          <t>T02</t>
        </is>
      </c>
      <c r="G6" s="19" t="n"/>
      <c r="H6" s="20" t="n">
        <v>25.0135</v>
      </c>
      <c r="I6" s="20" t="n">
        <v>12.5357</v>
      </c>
      <c r="J6" s="20" t="n">
        <v>8.0434</v>
      </c>
      <c r="K6" s="20" t="n">
        <v>49.8052</v>
      </c>
      <c r="L6" s="20" t="n">
        <v>3.1484</v>
      </c>
      <c r="M6" s="20" t="n">
        <v>6.2908</v>
      </c>
      <c r="N6" s="20" t="n">
        <v>10.065</v>
      </c>
      <c r="O6" s="20" t="n">
        <v>14.9886</v>
      </c>
      <c r="P6" s="20" t="n">
        <v>20.087</v>
      </c>
      <c r="Q6" s="20" t="n">
        <v>29.9475</v>
      </c>
    </row>
    <row r="7">
      <c r="A7" s="13">
        <f>IF(H7="","",ROW()-4)</f>
        <v/>
      </c>
      <c r="B7" s="13">
        <f>IF(H7="","",ROW()-4)</f>
        <v/>
      </c>
      <c r="C7" s="19" t="inlineStr">
        <is>
          <t>2026-07-04</t>
        </is>
      </c>
      <c r="D7" s="19" t="inlineStr">
        <is>
          <t>C</t>
        </is>
      </c>
      <c r="E7" s="19" t="inlineStr">
        <is>
          <t>OP3</t>
        </is>
      </c>
      <c r="F7" s="19" t="inlineStr">
        <is>
          <t>T03</t>
        </is>
      </c>
      <c r="G7" s="19" t="n"/>
      <c r="H7" s="20" t="n">
        <v>25.0489</v>
      </c>
      <c r="I7" s="20" t="n">
        <v>12.5464</v>
      </c>
      <c r="J7" s="20" t="n">
        <v>7.8927</v>
      </c>
      <c r="K7" s="20" t="n">
        <v>49.9122</v>
      </c>
      <c r="L7" s="20" t="n">
        <v>3.1711</v>
      </c>
      <c r="M7" s="20" t="n">
        <v>6.2807</v>
      </c>
      <c r="N7" s="20" t="n">
        <v>10.0633</v>
      </c>
      <c r="O7" s="20" t="n">
        <v>15.0748</v>
      </c>
      <c r="P7" s="20" t="n">
        <v>20.0639</v>
      </c>
      <c r="Q7" s="20" t="n">
        <v>29.9953</v>
      </c>
    </row>
    <row r="8">
      <c r="A8" s="13">
        <f>IF(H8="","",ROW()-4)</f>
        <v/>
      </c>
      <c r="B8" s="13">
        <f>IF(H8="","",ROW()-4)</f>
        <v/>
      </c>
      <c r="C8" s="19" t="inlineStr">
        <is>
          <t>2026-07-05</t>
        </is>
      </c>
      <c r="D8" s="19" t="inlineStr">
        <is>
          <t>A</t>
        </is>
      </c>
      <c r="E8" s="19" t="inlineStr">
        <is>
          <t>OP1</t>
        </is>
      </c>
      <c r="F8" s="19" t="inlineStr">
        <is>
          <t>T01</t>
        </is>
      </c>
      <c r="G8" s="19" t="n"/>
      <c r="H8" s="20" t="n">
        <v>24.9139</v>
      </c>
      <c r="I8" s="20" t="n">
        <v>12.4755</v>
      </c>
      <c r="J8" s="20" t="n">
        <v>8.040900000000001</v>
      </c>
      <c r="K8" s="20" t="n">
        <v>50.2694</v>
      </c>
      <c r="L8" s="20" t="n">
        <v>3.1664</v>
      </c>
      <c r="M8" s="20" t="n">
        <v>6.3147</v>
      </c>
      <c r="N8" s="20" t="n">
        <v>9.992900000000001</v>
      </c>
      <c r="O8" s="20" t="n">
        <v>14.9534</v>
      </c>
      <c r="P8" s="20" t="n">
        <v>20.0371</v>
      </c>
      <c r="Q8" s="20" t="n">
        <v>29.9516</v>
      </c>
    </row>
    <row r="9">
      <c r="A9" s="13">
        <f>IF(H9="","",ROW()-4)</f>
        <v/>
      </c>
      <c r="B9" s="13">
        <f>IF(H9="","",ROW()-4)</f>
        <v/>
      </c>
      <c r="C9" s="19" t="inlineStr">
        <is>
          <t>2026-07-06</t>
        </is>
      </c>
      <c r="D9" s="19" t="inlineStr">
        <is>
          <t>B</t>
        </is>
      </c>
      <c r="E9" s="19" t="inlineStr">
        <is>
          <t>OP2</t>
        </is>
      </c>
      <c r="F9" s="19" t="inlineStr">
        <is>
          <t>T02</t>
        </is>
      </c>
      <c r="G9" s="19" t="n"/>
      <c r="H9" s="20" t="n">
        <v>25.0293</v>
      </c>
      <c r="I9" s="20" t="n">
        <v>12.5171</v>
      </c>
      <c r="J9" s="20" t="n">
        <v>7.9491</v>
      </c>
      <c r="K9" s="20" t="n">
        <v>50.0077</v>
      </c>
      <c r="L9" s="20" t="n">
        <v>3.1722</v>
      </c>
      <c r="M9" s="20" t="n">
        <v>6.2928</v>
      </c>
      <c r="N9" s="20" t="n">
        <v>9.9834</v>
      </c>
      <c r="O9" s="20" t="n">
        <v>14.9605</v>
      </c>
      <c r="P9" s="20" t="n">
        <v>20.0318</v>
      </c>
      <c r="Q9" s="20" t="n">
        <v>29.6496</v>
      </c>
    </row>
    <row r="10">
      <c r="A10" s="13">
        <f>IF(H10="","",ROW()-4)</f>
        <v/>
      </c>
      <c r="B10" s="13">
        <f>IF(H10="","",ROW()-4)</f>
        <v/>
      </c>
      <c r="C10" s="19" t="inlineStr">
        <is>
          <t>2026-07-07</t>
        </is>
      </c>
      <c r="D10" s="19" t="inlineStr">
        <is>
          <t>C</t>
        </is>
      </c>
      <c r="E10" s="19" t="inlineStr">
        <is>
          <t>OP3</t>
        </is>
      </c>
      <c r="F10" s="19" t="inlineStr">
        <is>
          <t>T03</t>
        </is>
      </c>
      <c r="G10" s="19" t="n"/>
      <c r="H10" s="20" t="n">
        <v>25.021</v>
      </c>
      <c r="I10" s="20" t="n">
        <v>12.4868</v>
      </c>
      <c r="J10" s="20" t="n">
        <v>7.9857</v>
      </c>
      <c r="K10" s="20" t="n">
        <v>50.1995</v>
      </c>
      <c r="L10" s="20" t="n">
        <v>3.1746</v>
      </c>
      <c r="M10" s="20" t="n">
        <v>6.3208</v>
      </c>
      <c r="N10" s="20" t="n">
        <v>9.9887</v>
      </c>
      <c r="O10" s="20" t="n">
        <v>15.0139</v>
      </c>
      <c r="P10" s="20" t="n">
        <v>19.9802</v>
      </c>
      <c r="Q10" s="20" t="n">
        <v>29.9917</v>
      </c>
    </row>
    <row r="11">
      <c r="A11" s="13">
        <f>IF(H11="","",ROW()-4)</f>
        <v/>
      </c>
      <c r="B11" s="13">
        <f>IF(H11="","",ROW()-4)</f>
        <v/>
      </c>
      <c r="C11" s="19" t="inlineStr">
        <is>
          <t>2026-07-08</t>
        </is>
      </c>
      <c r="D11" s="19" t="inlineStr">
        <is>
          <t>A</t>
        </is>
      </c>
      <c r="E11" s="19" t="inlineStr">
        <is>
          <t>OP1</t>
        </is>
      </c>
      <c r="F11" s="19" t="inlineStr">
        <is>
          <t>T01</t>
        </is>
      </c>
      <c r="G11" s="19" t="n"/>
      <c r="H11" s="20" t="n">
        <v>25.0503</v>
      </c>
      <c r="I11" s="20" t="n">
        <v>12.5301</v>
      </c>
      <c r="J11" s="20" t="n">
        <v>7.9254</v>
      </c>
      <c r="K11" s="20" t="n">
        <v>50.3024</v>
      </c>
      <c r="L11" s="20" t="n">
        <v>3.1616</v>
      </c>
      <c r="M11" s="20" t="n">
        <v>6.2626</v>
      </c>
      <c r="N11" s="20" t="n">
        <v>10.0151</v>
      </c>
      <c r="O11" s="20" t="n">
        <v>14.971</v>
      </c>
      <c r="P11" s="20" t="n">
        <v>20.0391</v>
      </c>
      <c r="Q11" s="20" t="n">
        <v>29.9619</v>
      </c>
    </row>
    <row r="12">
      <c r="A12" s="13">
        <f>IF(H12="","",ROW()-4)</f>
        <v/>
      </c>
      <c r="B12" s="13">
        <f>IF(H12="","",ROW()-4)</f>
        <v/>
      </c>
      <c r="C12" s="19" t="inlineStr">
        <is>
          <t>2026-07-09</t>
        </is>
      </c>
      <c r="D12" s="19" t="inlineStr">
        <is>
          <t>B</t>
        </is>
      </c>
      <c r="E12" s="19" t="inlineStr">
        <is>
          <t>OP2</t>
        </is>
      </c>
      <c r="F12" s="19" t="inlineStr">
        <is>
          <t>T02</t>
        </is>
      </c>
      <c r="G12" s="19" t="n"/>
      <c r="H12" s="20" t="n">
        <v>25.0967</v>
      </c>
      <c r="I12" s="20" t="n">
        <v>12.5871</v>
      </c>
      <c r="J12" s="20" t="n">
        <v>7.9636</v>
      </c>
      <c r="K12" s="20" t="n">
        <v>49.7933</v>
      </c>
      <c r="L12" s="20" t="n">
        <v>3.165</v>
      </c>
      <c r="M12" s="20" t="n">
        <v>6.3185</v>
      </c>
      <c r="N12" s="20" t="n">
        <v>10.0085</v>
      </c>
      <c r="O12" s="20" t="n">
        <v>15.0481</v>
      </c>
      <c r="P12" s="20" t="n">
        <v>19.9618</v>
      </c>
      <c r="Q12" s="20" t="n">
        <v>29.953</v>
      </c>
    </row>
    <row r="13">
      <c r="A13" s="13">
        <f>IF(H13="","",ROW()-4)</f>
        <v/>
      </c>
      <c r="B13" s="13">
        <f>IF(H13="","",ROW()-4)</f>
        <v/>
      </c>
      <c r="C13" s="19" t="inlineStr">
        <is>
          <t>2026-07-10</t>
        </is>
      </c>
      <c r="D13" s="19" t="inlineStr">
        <is>
          <t>C</t>
        </is>
      </c>
      <c r="E13" s="19" t="inlineStr">
        <is>
          <t>OP3</t>
        </is>
      </c>
      <c r="F13" s="19" t="inlineStr">
        <is>
          <t>T03</t>
        </is>
      </c>
      <c r="G13" s="19" t="n"/>
      <c r="H13" s="20" t="n">
        <v>24.9403</v>
      </c>
      <c r="I13" s="20" t="n">
        <v>12.4637</v>
      </c>
      <c r="J13" s="20" t="n">
        <v>8.0343</v>
      </c>
      <c r="K13" s="20" t="n">
        <v>50.3662</v>
      </c>
      <c r="L13" s="20" t="n">
        <v>3.1678</v>
      </c>
      <c r="M13" s="20" t="n">
        <v>6.2868</v>
      </c>
      <c r="N13" s="20" t="n">
        <v>10.0084</v>
      </c>
      <c r="O13" s="20" t="n">
        <v>15.0646</v>
      </c>
      <c r="P13" s="20" t="n">
        <v>20.0031</v>
      </c>
      <c r="Q13" s="20" t="n">
        <v>29.9903</v>
      </c>
    </row>
    <row r="14">
      <c r="A14" s="13">
        <f>IF(H14="","",ROW()-4)</f>
        <v/>
      </c>
      <c r="B14" s="13">
        <f>IF(H14="","",ROW()-4)</f>
        <v/>
      </c>
      <c r="C14" s="19" t="inlineStr">
        <is>
          <t>2026-07-11</t>
        </is>
      </c>
      <c r="D14" s="19" t="inlineStr">
        <is>
          <t>A</t>
        </is>
      </c>
      <c r="E14" s="19" t="inlineStr">
        <is>
          <t>OP1</t>
        </is>
      </c>
      <c r="F14" s="19" t="inlineStr">
        <is>
          <t>T01</t>
        </is>
      </c>
      <c r="G14" s="19" t="n"/>
      <c r="H14" s="20" t="n">
        <v>24.8808</v>
      </c>
      <c r="I14" s="20" t="n">
        <v>12.4055</v>
      </c>
      <c r="J14" s="20" t="n">
        <v>8.049799999999999</v>
      </c>
      <c r="K14" s="20" t="n">
        <v>49.8887</v>
      </c>
      <c r="L14" s="20" t="n">
        <v>3.1726</v>
      </c>
      <c r="M14" s="20" t="n">
        <v>6.3258</v>
      </c>
      <c r="N14" s="20" t="n">
        <v>10.0436</v>
      </c>
      <c r="O14" s="20" t="n">
        <v>14.9974</v>
      </c>
      <c r="P14" s="20" t="n">
        <v>19.9681</v>
      </c>
      <c r="Q14" s="20" t="n">
        <v>30.0016</v>
      </c>
    </row>
    <row r="15">
      <c r="A15" s="13">
        <f>IF(H15="","",ROW()-4)</f>
        <v/>
      </c>
      <c r="B15" s="13">
        <f>IF(H15="","",ROW()-4)</f>
        <v/>
      </c>
      <c r="C15" s="19" t="inlineStr">
        <is>
          <t>2026-07-12</t>
        </is>
      </c>
      <c r="D15" s="19" t="inlineStr">
        <is>
          <t>B</t>
        </is>
      </c>
      <c r="E15" s="19" t="inlineStr">
        <is>
          <t>OP2</t>
        </is>
      </c>
      <c r="F15" s="19" t="inlineStr">
        <is>
          <t>T02</t>
        </is>
      </c>
      <c r="G15" s="19" t="n"/>
      <c r="H15" s="20" t="n">
        <v>24.9368</v>
      </c>
      <c r="I15" s="20" t="n">
        <v>12.509</v>
      </c>
      <c r="J15" s="20" t="n">
        <v>7.976</v>
      </c>
      <c r="K15" s="20" t="n">
        <v>50.0298</v>
      </c>
      <c r="L15" s="20" t="n">
        <v>3.1661</v>
      </c>
      <c r="M15" s="20" t="n">
        <v>6.301</v>
      </c>
      <c r="N15" s="20" t="n">
        <v>10.0034</v>
      </c>
      <c r="O15" s="20" t="n">
        <v>14.9439</v>
      </c>
      <c r="P15" s="20" t="n">
        <v>19.9605</v>
      </c>
      <c r="Q15" s="20" t="n">
        <v>29.9558</v>
      </c>
    </row>
    <row r="16">
      <c r="A16" s="13">
        <f>IF(H16="","",ROW()-4)</f>
        <v/>
      </c>
      <c r="B16" s="13">
        <f>IF(H16="","",ROW()-4)</f>
        <v/>
      </c>
      <c r="C16" s="19" t="inlineStr">
        <is>
          <t>2026-07-13</t>
        </is>
      </c>
      <c r="D16" s="19" t="inlineStr">
        <is>
          <t>C</t>
        </is>
      </c>
      <c r="E16" s="19" t="inlineStr">
        <is>
          <t>OP3</t>
        </is>
      </c>
      <c r="F16" s="19" t="inlineStr">
        <is>
          <t>T03</t>
        </is>
      </c>
      <c r="G16" s="19" t="n"/>
      <c r="H16" s="20" t="n">
        <v>25.1267</v>
      </c>
      <c r="I16" s="20" t="n">
        <v>12.4524</v>
      </c>
      <c r="J16" s="20" t="n">
        <v>8.019399999999999</v>
      </c>
      <c r="K16" s="20" t="n">
        <v>50.2784</v>
      </c>
      <c r="L16" s="20" t="n">
        <v>3.184</v>
      </c>
      <c r="M16" s="20" t="n">
        <v>6.3026</v>
      </c>
      <c r="N16" s="20" t="n">
        <v>10.0199</v>
      </c>
      <c r="O16" s="20" t="n">
        <v>15.0645</v>
      </c>
      <c r="P16" s="20" t="n">
        <v>19.9884</v>
      </c>
      <c r="Q16" s="20" t="n">
        <v>29.7797</v>
      </c>
    </row>
    <row r="17">
      <c r="A17" s="13">
        <f>IF(H17="","",ROW()-4)</f>
        <v/>
      </c>
      <c r="B17" s="13">
        <f>IF(H17="","",ROW()-4)</f>
        <v/>
      </c>
      <c r="C17" s="19" t="inlineStr">
        <is>
          <t>2026-07-14</t>
        </is>
      </c>
      <c r="D17" s="19" t="inlineStr">
        <is>
          <t>A</t>
        </is>
      </c>
      <c r="E17" s="19" t="inlineStr">
        <is>
          <t>OP1</t>
        </is>
      </c>
      <c r="F17" s="19" t="inlineStr">
        <is>
          <t>T01</t>
        </is>
      </c>
      <c r="G17" s="19" t="n"/>
      <c r="H17" s="20" t="n">
        <v>24.9216</v>
      </c>
      <c r="I17" s="20" t="n">
        <v>12.4331</v>
      </c>
      <c r="J17" s="20" t="n">
        <v>8.060499999999999</v>
      </c>
      <c r="K17" s="20" t="n">
        <v>49.7291</v>
      </c>
      <c r="L17" s="20" t="n">
        <v>3.1736</v>
      </c>
      <c r="M17" s="20" t="n">
        <v>6.2963</v>
      </c>
      <c r="N17" s="20" t="n">
        <v>10.0535</v>
      </c>
      <c r="O17" s="20" t="n">
        <v>15.0265</v>
      </c>
      <c r="P17" s="20" t="n">
        <v>19.9844</v>
      </c>
      <c r="Q17" s="20" t="n">
        <v>29.8457</v>
      </c>
    </row>
    <row r="18">
      <c r="A18" s="13">
        <f>IF(H18="","",ROW()-4)</f>
        <v/>
      </c>
      <c r="B18" s="13">
        <f>IF(H18="","",ROW()-4)</f>
        <v/>
      </c>
      <c r="C18" s="19" t="inlineStr">
        <is>
          <t>2026-07-15</t>
        </is>
      </c>
      <c r="D18" s="19" t="inlineStr">
        <is>
          <t>B</t>
        </is>
      </c>
      <c r="E18" s="19" t="inlineStr">
        <is>
          <t>OP2</t>
        </is>
      </c>
      <c r="F18" s="19" t="inlineStr">
        <is>
          <t>T02</t>
        </is>
      </c>
      <c r="G18" s="19" t="n"/>
      <c r="H18" s="20" t="n">
        <v>24.951</v>
      </c>
      <c r="I18" s="20" t="n">
        <v>12.5052</v>
      </c>
      <c r="J18" s="20" t="n">
        <v>8.0771</v>
      </c>
      <c r="K18" s="20" t="n">
        <v>49.9802</v>
      </c>
      <c r="L18" s="20" t="n">
        <v>3.155</v>
      </c>
      <c r="M18" s="20" t="n">
        <v>6.2975</v>
      </c>
      <c r="N18" s="20" t="n">
        <v>10.0028</v>
      </c>
      <c r="O18" s="20" t="n">
        <v>14.9839</v>
      </c>
      <c r="P18" s="20" t="n">
        <v>20.1361</v>
      </c>
      <c r="Q18" s="20" t="n">
        <v>29.9367</v>
      </c>
    </row>
    <row r="19">
      <c r="A19" s="13">
        <f>IF(H19="","",ROW()-4)</f>
        <v/>
      </c>
      <c r="B19" s="13">
        <f>IF(H19="","",ROW()-4)</f>
        <v/>
      </c>
      <c r="C19" s="19" t="inlineStr">
        <is>
          <t>2026-07-16</t>
        </is>
      </c>
      <c r="D19" s="19" t="inlineStr">
        <is>
          <t>C</t>
        </is>
      </c>
      <c r="E19" s="19" t="inlineStr">
        <is>
          <t>OP3</t>
        </is>
      </c>
      <c r="F19" s="19" t="inlineStr">
        <is>
          <t>T03</t>
        </is>
      </c>
      <c r="G19" s="19" t="n"/>
      <c r="H19" s="20" t="n">
        <v>24.9697</v>
      </c>
      <c r="I19" s="20" t="n">
        <v>12.4969</v>
      </c>
      <c r="J19" s="20" t="n">
        <v>7.9661</v>
      </c>
      <c r="K19" s="20" t="n">
        <v>49.9625</v>
      </c>
      <c r="L19" s="20" t="n">
        <v>3.1868</v>
      </c>
      <c r="M19" s="20" t="n">
        <v>6.3148</v>
      </c>
      <c r="N19" s="20" t="n">
        <v>9.993499999999999</v>
      </c>
      <c r="O19" s="20" t="n">
        <v>14.9316</v>
      </c>
      <c r="P19" s="20" t="n">
        <v>20.0147</v>
      </c>
      <c r="Q19" s="20" t="n">
        <v>30.0106</v>
      </c>
    </row>
    <row r="20">
      <c r="A20" s="13">
        <f>IF(H20="","",ROW()-4)</f>
        <v/>
      </c>
      <c r="B20" s="13">
        <f>IF(H20="","",ROW()-4)</f>
        <v/>
      </c>
      <c r="C20" s="19" t="inlineStr">
        <is>
          <t>2026-07-17</t>
        </is>
      </c>
      <c r="D20" s="19" t="inlineStr">
        <is>
          <t>A</t>
        </is>
      </c>
      <c r="E20" s="19" t="inlineStr">
        <is>
          <t>OP1</t>
        </is>
      </c>
      <c r="F20" s="19" t="inlineStr">
        <is>
          <t>T01</t>
        </is>
      </c>
      <c r="G20" s="19" t="n"/>
      <c r="H20" s="20" t="n">
        <v>25.0298</v>
      </c>
      <c r="I20" s="20" t="n">
        <v>12.6812</v>
      </c>
      <c r="J20" s="20" t="n">
        <v>8.041700000000001</v>
      </c>
      <c r="K20" s="20" t="n">
        <v>49.8233</v>
      </c>
      <c r="L20" s="20" t="n">
        <v>3.1743</v>
      </c>
      <c r="M20" s="20" t="n">
        <v>6.3284</v>
      </c>
      <c r="N20" s="20" t="n">
        <v>10.009</v>
      </c>
      <c r="O20" s="20" t="n">
        <v>14.9024</v>
      </c>
      <c r="P20" s="20" t="n">
        <v>19.9171</v>
      </c>
      <c r="Q20" s="20" t="n">
        <v>30.0797</v>
      </c>
    </row>
    <row r="21">
      <c r="A21" s="13">
        <f>IF(H21="","",ROW()-4)</f>
        <v/>
      </c>
      <c r="B21" s="13">
        <f>IF(H21="","",ROW()-4)</f>
        <v/>
      </c>
      <c r="C21" s="19" t="inlineStr">
        <is>
          <t>2026-07-18</t>
        </is>
      </c>
      <c r="D21" s="19" t="inlineStr">
        <is>
          <t>B</t>
        </is>
      </c>
      <c r="E21" s="19" t="inlineStr">
        <is>
          <t>OP2</t>
        </is>
      </c>
      <c r="F21" s="19" t="inlineStr">
        <is>
          <t>T02</t>
        </is>
      </c>
      <c r="G21" s="19" t="n"/>
      <c r="H21" s="20" t="n">
        <v>25.0337</v>
      </c>
      <c r="I21" s="20" t="n">
        <v>12.4397</v>
      </c>
      <c r="J21" s="20" t="n">
        <v>7.9464</v>
      </c>
      <c r="K21" s="20" t="n">
        <v>50.1409</v>
      </c>
      <c r="L21" s="20" t="n">
        <v>3.2019</v>
      </c>
      <c r="M21" s="20" t="n">
        <v>6.3582</v>
      </c>
      <c r="N21" s="20" t="n">
        <v>10.0618</v>
      </c>
      <c r="O21" s="20" t="n">
        <v>15.0631</v>
      </c>
      <c r="P21" s="20" t="n">
        <v>19.9931</v>
      </c>
      <c r="Q21" s="20" t="n">
        <v>29.8852</v>
      </c>
    </row>
    <row r="22">
      <c r="A22" s="13">
        <f>IF(H22="","",ROW()-4)</f>
        <v/>
      </c>
      <c r="B22" s="13">
        <f>IF(H22="","",ROW()-4)</f>
        <v/>
      </c>
      <c r="C22" s="19" t="inlineStr">
        <is>
          <t>2026-07-19</t>
        </is>
      </c>
      <c r="D22" s="19" t="inlineStr">
        <is>
          <t>C</t>
        </is>
      </c>
      <c r="E22" s="19" t="inlineStr">
        <is>
          <t>OP3</t>
        </is>
      </c>
      <c r="F22" s="19" t="inlineStr">
        <is>
          <t>T03</t>
        </is>
      </c>
      <c r="G22" s="19" t="n"/>
      <c r="H22" s="20" t="n">
        <v>25.1319</v>
      </c>
      <c r="I22" s="20" t="n">
        <v>12.6637</v>
      </c>
      <c r="J22" s="20" t="n">
        <v>7.9998</v>
      </c>
      <c r="K22" s="20" t="n">
        <v>49.8184</v>
      </c>
      <c r="L22" s="20" t="n">
        <v>3.1825</v>
      </c>
      <c r="M22" s="20" t="n">
        <v>6.3004</v>
      </c>
      <c r="N22" s="20" t="n">
        <v>10.0045</v>
      </c>
      <c r="O22" s="20" t="n">
        <v>15.0706</v>
      </c>
      <c r="P22" s="20" t="n">
        <v>19.9987</v>
      </c>
      <c r="Q22" s="20" t="n">
        <v>30.3031</v>
      </c>
    </row>
    <row r="23">
      <c r="A23" s="13">
        <f>IF(H23="","",ROW()-4)</f>
        <v/>
      </c>
      <c r="B23" s="13">
        <f>IF(H23="","",ROW()-4)</f>
        <v/>
      </c>
      <c r="C23" s="19" t="inlineStr">
        <is>
          <t>2026-07-20</t>
        </is>
      </c>
      <c r="D23" s="19" t="inlineStr">
        <is>
          <t>A</t>
        </is>
      </c>
      <c r="E23" s="19" t="inlineStr">
        <is>
          <t>OP1</t>
        </is>
      </c>
      <c r="F23" s="19" t="inlineStr">
        <is>
          <t>T01</t>
        </is>
      </c>
      <c r="G23" s="19" t="n"/>
      <c r="H23" s="20" t="n">
        <v>24.984</v>
      </c>
      <c r="I23" s="20" t="n">
        <v>12.4383</v>
      </c>
      <c r="J23" s="20" t="n">
        <v>7.9839</v>
      </c>
      <c r="K23" s="20" t="n">
        <v>49.9389</v>
      </c>
      <c r="L23" s="20" t="n">
        <v>3.1592</v>
      </c>
      <c r="M23" s="20" t="n">
        <v>6.2472</v>
      </c>
      <c r="N23" s="20" t="n">
        <v>10.0221</v>
      </c>
      <c r="O23" s="20" t="n">
        <v>15.0106</v>
      </c>
      <c r="P23" s="20" t="n">
        <v>20.0423</v>
      </c>
      <c r="Q23" s="20" t="n">
        <v>29.9805</v>
      </c>
    </row>
    <row r="24">
      <c r="A24" s="13">
        <f>IF(H24="","",ROW()-4)</f>
        <v/>
      </c>
      <c r="B24" s="13">
        <f>IF(H24="","",ROW()-4)</f>
        <v/>
      </c>
      <c r="C24" s="19" t="inlineStr">
        <is>
          <t>2026-07-21</t>
        </is>
      </c>
      <c r="D24" s="19" t="inlineStr">
        <is>
          <t>B</t>
        </is>
      </c>
      <c r="E24" s="19" t="inlineStr">
        <is>
          <t>OP2</t>
        </is>
      </c>
      <c r="F24" s="19" t="inlineStr">
        <is>
          <t>T02</t>
        </is>
      </c>
      <c r="G24" s="19" t="n"/>
      <c r="H24" s="20" t="n">
        <v>25.0236</v>
      </c>
      <c r="I24" s="20" t="n">
        <v>12.514</v>
      </c>
      <c r="J24" s="20" t="n">
        <v>7.941</v>
      </c>
      <c r="K24" s="20" t="n">
        <v>49.5796</v>
      </c>
      <c r="L24" s="20" t="n">
        <v>3.1696</v>
      </c>
      <c r="M24" s="20" t="n">
        <v>6.3543</v>
      </c>
      <c r="N24" s="20" t="n">
        <v>9.9826</v>
      </c>
      <c r="O24" s="20" t="n">
        <v>15.0234</v>
      </c>
      <c r="P24" s="20" t="n">
        <v>20.0994</v>
      </c>
      <c r="Q24" s="20" t="n">
        <v>29.9881</v>
      </c>
    </row>
    <row r="25">
      <c r="A25" s="13">
        <f>IF(H25="","",ROW()-4)</f>
        <v/>
      </c>
      <c r="B25" s="13">
        <f>IF(H25="","",ROW()-4)</f>
        <v/>
      </c>
      <c r="C25" s="19" t="inlineStr">
        <is>
          <t>2026-07-22</t>
        </is>
      </c>
      <c r="D25" s="19" t="inlineStr">
        <is>
          <t>C</t>
        </is>
      </c>
      <c r="E25" s="19" t="inlineStr">
        <is>
          <t>OP3</t>
        </is>
      </c>
      <c r="F25" s="19" t="inlineStr">
        <is>
          <t>T03</t>
        </is>
      </c>
      <c r="G25" s="19" t="n"/>
      <c r="H25" s="20" t="n">
        <v>25.0213</v>
      </c>
      <c r="I25" s="20" t="n">
        <v>12.3995</v>
      </c>
      <c r="J25" s="20" t="n">
        <v>7.9318</v>
      </c>
      <c r="K25" s="20" t="n">
        <v>50.0584</v>
      </c>
      <c r="L25" s="20" t="n">
        <v>3.1725</v>
      </c>
      <c r="M25" s="20" t="n">
        <v>6.3328</v>
      </c>
      <c r="N25" s="20" t="n">
        <v>10.0206</v>
      </c>
      <c r="O25" s="20" t="n">
        <v>15.1032</v>
      </c>
      <c r="P25" s="20" t="n">
        <v>19.9438</v>
      </c>
      <c r="Q25" s="20" t="n">
        <v>30.0753</v>
      </c>
    </row>
    <row r="26">
      <c r="A26" s="13">
        <f>IF(H26="","",ROW()-4)</f>
        <v/>
      </c>
      <c r="B26" s="13">
        <f>IF(H26="","",ROW()-4)</f>
        <v/>
      </c>
      <c r="C26" s="19" t="inlineStr">
        <is>
          <t>2026-07-23</t>
        </is>
      </c>
      <c r="D26" s="19" t="inlineStr">
        <is>
          <t>A</t>
        </is>
      </c>
      <c r="E26" s="19" t="inlineStr">
        <is>
          <t>OP1</t>
        </is>
      </c>
      <c r="F26" s="19" t="inlineStr">
        <is>
          <t>T01</t>
        </is>
      </c>
      <c r="G26" s="19" t="n"/>
      <c r="H26" s="20" t="n">
        <v>25.0089</v>
      </c>
      <c r="I26" s="20" t="n">
        <v>12.4197</v>
      </c>
      <c r="J26" s="20" t="n">
        <v>8.1295</v>
      </c>
      <c r="K26" s="20" t="n">
        <v>49.9184</v>
      </c>
      <c r="L26" s="20" t="n">
        <v>3.159</v>
      </c>
      <c r="M26" s="20" t="n">
        <v>6.3308</v>
      </c>
      <c r="N26" s="20" t="n">
        <v>10.0184</v>
      </c>
      <c r="O26" s="20" t="n">
        <v>15.0736</v>
      </c>
      <c r="P26" s="20" t="n">
        <v>19.9478</v>
      </c>
      <c r="Q26" s="20" t="n">
        <v>29.9541</v>
      </c>
    </row>
    <row r="27">
      <c r="A27" s="13">
        <f>IF(H27="","",ROW()-4)</f>
        <v/>
      </c>
      <c r="B27" s="13">
        <f>IF(H27="","",ROW()-4)</f>
        <v/>
      </c>
      <c r="C27" s="19" t="inlineStr">
        <is>
          <t>2026-07-24</t>
        </is>
      </c>
      <c r="D27" s="19" t="inlineStr">
        <is>
          <t>B</t>
        </is>
      </c>
      <c r="E27" s="19" t="inlineStr">
        <is>
          <t>OP2</t>
        </is>
      </c>
      <c r="F27" s="19" t="inlineStr">
        <is>
          <t>T02</t>
        </is>
      </c>
      <c r="G27" s="19" t="n"/>
      <c r="H27" s="20" t="n">
        <v>24.9122</v>
      </c>
      <c r="I27" s="20" t="n">
        <v>12.3422</v>
      </c>
      <c r="J27" s="20" t="n">
        <v>7.9268</v>
      </c>
      <c r="K27" s="20" t="n">
        <v>49.9007</v>
      </c>
      <c r="L27" s="20" t="n">
        <v>3.1666</v>
      </c>
      <c r="M27" s="20" t="n">
        <v>6.3578</v>
      </c>
      <c r="N27" s="20" t="n">
        <v>10.02</v>
      </c>
      <c r="O27" s="20" t="n">
        <v>14.9835</v>
      </c>
      <c r="P27" s="20" t="n">
        <v>20.0081</v>
      </c>
      <c r="Q27" s="20" t="n">
        <v>30.1689</v>
      </c>
    </row>
    <row r="28">
      <c r="A28" s="13">
        <f>IF(H28="","",ROW()-4)</f>
        <v/>
      </c>
      <c r="B28" s="13">
        <f>IF(H28="","",ROW()-4)</f>
        <v/>
      </c>
      <c r="C28" s="19" t="inlineStr">
        <is>
          <t>2026-07-25</t>
        </is>
      </c>
      <c r="D28" s="19" t="inlineStr">
        <is>
          <t>C</t>
        </is>
      </c>
      <c r="E28" s="19" t="inlineStr">
        <is>
          <t>OP3</t>
        </is>
      </c>
      <c r="F28" s="19" t="inlineStr">
        <is>
          <t>T03</t>
        </is>
      </c>
      <c r="G28" s="19" t="n"/>
      <c r="H28" s="20" t="n">
        <v>24.9682</v>
      </c>
      <c r="I28" s="20" t="n">
        <v>12.4959</v>
      </c>
      <c r="J28" s="20" t="n">
        <v>8.0253</v>
      </c>
      <c r="K28" s="20" t="n">
        <v>50.3273</v>
      </c>
      <c r="L28" s="20" t="n">
        <v>3.1924</v>
      </c>
      <c r="M28" s="20" t="n">
        <v>6.3379</v>
      </c>
      <c r="N28" s="20" t="n">
        <v>9.981</v>
      </c>
      <c r="O28" s="20" t="n">
        <v>15.1454</v>
      </c>
      <c r="P28" s="20" t="n">
        <v>20.0919</v>
      </c>
      <c r="Q28" s="20" t="n">
        <v>29.9651</v>
      </c>
    </row>
    <row r="29">
      <c r="A29" s="13">
        <f>IF(H29="","",ROW()-4)</f>
        <v/>
      </c>
      <c r="B29" s="13">
        <f>IF(H29="","",ROW()-4)</f>
        <v/>
      </c>
      <c r="C29" s="19" t="inlineStr">
        <is>
          <t>2026-07-26</t>
        </is>
      </c>
      <c r="D29" s="19" t="inlineStr">
        <is>
          <t>A</t>
        </is>
      </c>
      <c r="E29" s="19" t="inlineStr">
        <is>
          <t>OP1</t>
        </is>
      </c>
      <c r="F29" s="19" t="inlineStr">
        <is>
          <t>T01</t>
        </is>
      </c>
      <c r="G29" s="19" t="n"/>
      <c r="H29" s="20" t="n">
        <v>25.0625</v>
      </c>
      <c r="I29" s="20" t="n">
        <v>12.5003</v>
      </c>
      <c r="J29" s="20" t="n">
        <v>8.023099999999999</v>
      </c>
      <c r="K29" s="20" t="n">
        <v>50.1365</v>
      </c>
      <c r="L29" s="20" t="n">
        <v>3.1726</v>
      </c>
      <c r="M29" s="20" t="n">
        <v>6.3148</v>
      </c>
      <c r="N29" s="20" t="n">
        <v>10.0205</v>
      </c>
      <c r="O29" s="20" t="n">
        <v>15.1056</v>
      </c>
      <c r="P29" s="20" t="n">
        <v>20.0472</v>
      </c>
      <c r="Q29" s="20" t="n">
        <v>29.9903</v>
      </c>
    </row>
    <row r="30">
      <c r="A30" s="13">
        <f>IF(H30="","",ROW()-4)</f>
        <v/>
      </c>
      <c r="B30" s="13">
        <f>IF(H30="","",ROW()-4)</f>
        <v/>
      </c>
      <c r="C30" s="19" t="inlineStr">
        <is>
          <t>2026-07-27</t>
        </is>
      </c>
      <c r="D30" s="19" t="inlineStr">
        <is>
          <t>B</t>
        </is>
      </c>
      <c r="E30" s="19" t="inlineStr">
        <is>
          <t>OP2</t>
        </is>
      </c>
      <c r="F30" s="19" t="inlineStr">
        <is>
          <t>T02</t>
        </is>
      </c>
      <c r="G30" s="19" t="n"/>
      <c r="H30" s="20" t="n">
        <v>24.9131</v>
      </c>
      <c r="I30" s="20" t="n">
        <v>12.5768</v>
      </c>
      <c r="J30" s="20" t="n">
        <v>8.0372</v>
      </c>
      <c r="K30" s="20" t="n">
        <v>50.0505</v>
      </c>
      <c r="L30" s="20" t="n">
        <v>3.174</v>
      </c>
      <c r="M30" s="20" t="n">
        <v>6.3609</v>
      </c>
      <c r="N30" s="20" t="n">
        <v>10.0472</v>
      </c>
      <c r="O30" s="20" t="n">
        <v>14.9115</v>
      </c>
      <c r="P30" s="20" t="n">
        <v>20.0599</v>
      </c>
      <c r="Q30" s="20" t="n">
        <v>29.8945</v>
      </c>
    </row>
    <row r="31">
      <c r="A31" s="13">
        <f>IF(H31="","",ROW()-4)</f>
        <v/>
      </c>
      <c r="B31" s="13">
        <f>IF(H31="","",ROW()-4)</f>
        <v/>
      </c>
      <c r="C31" s="19" t="inlineStr">
        <is>
          <t>2026-07-28</t>
        </is>
      </c>
      <c r="D31" s="19" t="inlineStr">
        <is>
          <t>C</t>
        </is>
      </c>
      <c r="E31" s="19" t="inlineStr">
        <is>
          <t>OP3</t>
        </is>
      </c>
      <c r="F31" s="19" t="inlineStr">
        <is>
          <t>T03</t>
        </is>
      </c>
      <c r="G31" s="19" t="n"/>
      <c r="H31" s="20" t="n">
        <v>24.9473</v>
      </c>
      <c r="I31" s="20" t="n">
        <v>12.3833</v>
      </c>
      <c r="J31" s="20" t="n">
        <v>8.0435</v>
      </c>
      <c r="K31" s="20" t="n">
        <v>50.0662</v>
      </c>
      <c r="L31" s="20" t="n">
        <v>3.1766</v>
      </c>
      <c r="M31" s="20" t="n">
        <v>6.3446</v>
      </c>
      <c r="N31" s="20" t="n">
        <v>9.982200000000001</v>
      </c>
      <c r="O31" s="20" t="n">
        <v>15.0925</v>
      </c>
      <c r="P31" s="20" t="n">
        <v>20.0527</v>
      </c>
      <c r="Q31" s="20" t="n">
        <v>29.9993</v>
      </c>
    </row>
    <row r="32">
      <c r="A32" s="13">
        <f>IF(H32="","",ROW()-4)</f>
        <v/>
      </c>
      <c r="B32" s="13">
        <f>IF(H32="","",ROW()-4)</f>
        <v/>
      </c>
      <c r="C32" s="19" t="inlineStr">
        <is>
          <t>2026-07-29</t>
        </is>
      </c>
      <c r="D32" s="19" t="inlineStr">
        <is>
          <t>A</t>
        </is>
      </c>
      <c r="E32" s="19" t="inlineStr">
        <is>
          <t>OP1</t>
        </is>
      </c>
      <c r="F32" s="19" t="inlineStr">
        <is>
          <t>T01</t>
        </is>
      </c>
      <c r="G32" s="19" t="n"/>
      <c r="H32" s="20" t="n">
        <v>24.9782</v>
      </c>
      <c r="I32" s="20" t="n">
        <v>12.5093</v>
      </c>
      <c r="J32" s="20" t="n">
        <v>7.8529</v>
      </c>
      <c r="K32" s="20" t="n">
        <v>50.023</v>
      </c>
      <c r="L32" s="20" t="n">
        <v>3.1643</v>
      </c>
      <c r="M32" s="20" t="n">
        <v>6.3538</v>
      </c>
      <c r="N32" s="20" t="n">
        <v>10.0148</v>
      </c>
      <c r="O32" s="20" t="n">
        <v>14.9675</v>
      </c>
      <c r="P32" s="20" t="n">
        <v>20.0797</v>
      </c>
      <c r="Q32" s="20" t="n">
        <v>29.8407</v>
      </c>
    </row>
    <row r="33">
      <c r="A33" s="13">
        <f>IF(H33="","",ROW()-4)</f>
        <v/>
      </c>
      <c r="B33" s="13">
        <f>IF(H33="","",ROW()-4)</f>
        <v/>
      </c>
      <c r="C33" s="19" t="inlineStr">
        <is>
          <t>2026-07-30</t>
        </is>
      </c>
      <c r="D33" s="19" t="inlineStr">
        <is>
          <t>B</t>
        </is>
      </c>
      <c r="E33" s="19" t="inlineStr">
        <is>
          <t>OP2</t>
        </is>
      </c>
      <c r="F33" s="19" t="inlineStr">
        <is>
          <t>T02</t>
        </is>
      </c>
      <c r="G33" s="19" t="n"/>
      <c r="H33" s="20" t="n">
        <v>25.1589</v>
      </c>
      <c r="I33" s="20" t="n">
        <v>12.5559</v>
      </c>
      <c r="J33" s="20" t="n">
        <v>7.9815</v>
      </c>
      <c r="K33" s="20" t="n">
        <v>49.8882</v>
      </c>
      <c r="L33" s="20" t="n">
        <v>3.162</v>
      </c>
      <c r="M33" s="20" t="n">
        <v>6.3395</v>
      </c>
      <c r="N33" s="20" t="n">
        <v>10.0187</v>
      </c>
      <c r="O33" s="20" t="n">
        <v>14.9867</v>
      </c>
      <c r="P33" s="20" t="n">
        <v>19.992</v>
      </c>
      <c r="Q33" s="20" t="n">
        <v>29.975</v>
      </c>
    </row>
    <row r="34">
      <c r="A34" s="13">
        <f>IF(H34="","",ROW()-4)</f>
        <v/>
      </c>
      <c r="B34" s="13">
        <f>IF(H34="","",ROW()-4)</f>
        <v/>
      </c>
      <c r="C34" s="19" t="inlineStr">
        <is>
          <t>2026-07-31</t>
        </is>
      </c>
      <c r="D34" s="19" t="inlineStr">
        <is>
          <t>C</t>
        </is>
      </c>
      <c r="E34" s="19" t="inlineStr">
        <is>
          <t>OP3</t>
        </is>
      </c>
      <c r="F34" s="19" t="inlineStr">
        <is>
          <t>T03</t>
        </is>
      </c>
      <c r="G34" s="19" t="n"/>
      <c r="H34" s="20" t="n">
        <v>24.9678</v>
      </c>
      <c r="I34" s="20" t="n">
        <v>12.4154</v>
      </c>
      <c r="J34" s="20" t="n">
        <v>7.9872</v>
      </c>
      <c r="K34" s="20" t="n">
        <v>49.9393</v>
      </c>
      <c r="L34" s="20" t="n">
        <v>3.1907</v>
      </c>
      <c r="M34" s="20" t="n">
        <v>6.296</v>
      </c>
      <c r="N34" s="20" t="n">
        <v>10.0286</v>
      </c>
      <c r="O34" s="20" t="n">
        <v>15.0637</v>
      </c>
      <c r="P34" s="20" t="n">
        <v>19.9519</v>
      </c>
      <c r="Q34" s="20" t="n">
        <v>29.8935</v>
      </c>
    </row>
    <row r="35">
      <c r="A35" s="13">
        <f>IF(H35="","",ROW()-4)</f>
        <v/>
      </c>
      <c r="B35" s="13">
        <f>IF(H35="","",ROW()-4)</f>
        <v/>
      </c>
      <c r="C35" s="19" t="inlineStr">
        <is>
          <t>2026-08-01</t>
        </is>
      </c>
      <c r="D35" s="19" t="inlineStr">
        <is>
          <t>A</t>
        </is>
      </c>
      <c r="E35" s="19" t="inlineStr">
        <is>
          <t>OP1</t>
        </is>
      </c>
      <c r="F35" s="19" t="inlineStr">
        <is>
          <t>T01</t>
        </is>
      </c>
      <c r="G35" s="19" t="n"/>
      <c r="H35" s="20" t="n">
        <v>24.9247</v>
      </c>
      <c r="I35" s="20" t="n">
        <v>12.4639</v>
      </c>
      <c r="J35" s="20" t="n">
        <v>8.032299999999999</v>
      </c>
      <c r="K35" s="20" t="n">
        <v>50.0872</v>
      </c>
      <c r="L35" s="20" t="n">
        <v>3.1705</v>
      </c>
      <c r="M35" s="20" t="n">
        <v>6.3396</v>
      </c>
      <c r="N35" s="20" t="n">
        <v>10.0132</v>
      </c>
      <c r="O35" s="20" t="n">
        <v>15.044</v>
      </c>
      <c r="P35" s="20" t="n">
        <v>20.0603</v>
      </c>
      <c r="Q35" s="20" t="n">
        <v>29.8903</v>
      </c>
    </row>
    <row r="36">
      <c r="A36" s="13">
        <f>IF(H36="","",ROW()-4)</f>
        <v/>
      </c>
      <c r="B36" s="13">
        <f>IF(H36="","",ROW()-4)</f>
        <v/>
      </c>
      <c r="C36" s="19" t="inlineStr">
        <is>
          <t>2026-08-02</t>
        </is>
      </c>
      <c r="D36" s="19" t="inlineStr">
        <is>
          <t>B</t>
        </is>
      </c>
      <c r="E36" s="19" t="inlineStr">
        <is>
          <t>OP2</t>
        </is>
      </c>
      <c r="F36" s="19" t="inlineStr">
        <is>
          <t>T02</t>
        </is>
      </c>
      <c r="G36" s="19" t="n"/>
      <c r="H36" s="20" t="n">
        <v>24.9135</v>
      </c>
      <c r="I36" s="20" t="n">
        <v>12.3586</v>
      </c>
      <c r="J36" s="20" t="n">
        <v>8.0092</v>
      </c>
      <c r="K36" s="20" t="n">
        <v>49.8552</v>
      </c>
      <c r="L36" s="20" t="n">
        <v>3.1639</v>
      </c>
      <c r="M36" s="20" t="n">
        <v>6.3332</v>
      </c>
      <c r="N36" s="20" t="n">
        <v>10.0211</v>
      </c>
      <c r="O36" s="20" t="n">
        <v>14.9862</v>
      </c>
      <c r="P36" s="20" t="n">
        <v>19.945</v>
      </c>
      <c r="Q36" s="20" t="n">
        <v>30.0565</v>
      </c>
    </row>
    <row r="37">
      <c r="A37" s="13">
        <f>IF(H37="","",ROW()-4)</f>
        <v/>
      </c>
      <c r="B37" s="13">
        <f>IF(H37="","",ROW()-4)</f>
        <v/>
      </c>
      <c r="C37" s="19" t="inlineStr">
        <is>
          <t>2026-08-03</t>
        </is>
      </c>
      <c r="D37" s="19" t="inlineStr">
        <is>
          <t>C</t>
        </is>
      </c>
      <c r="E37" s="19" t="inlineStr">
        <is>
          <t>OP3</t>
        </is>
      </c>
      <c r="F37" s="19" t="inlineStr">
        <is>
          <t>T03</t>
        </is>
      </c>
      <c r="G37" s="19" t="n"/>
      <c r="H37" s="20" t="n">
        <v>24.9322</v>
      </c>
      <c r="I37" s="20" t="n">
        <v>12.418</v>
      </c>
      <c r="J37" s="20" t="n">
        <v>8.0688</v>
      </c>
      <c r="K37" s="20" t="n">
        <v>50.0734</v>
      </c>
      <c r="L37" s="20" t="n">
        <v>3.1582</v>
      </c>
      <c r="M37" s="20" t="n">
        <v>6.3054</v>
      </c>
      <c r="N37" s="20" t="n">
        <v>10.0365</v>
      </c>
      <c r="O37" s="20" t="n">
        <v>15.0455</v>
      </c>
      <c r="P37" s="20" t="n">
        <v>20.0503</v>
      </c>
      <c r="Q37" s="20" t="n">
        <v>30.1193</v>
      </c>
    </row>
    <row r="38">
      <c r="A38" s="13">
        <f>IF(H38="","",ROW()-4)</f>
        <v/>
      </c>
      <c r="B38" s="13">
        <f>IF(H38="","",ROW()-4)</f>
        <v/>
      </c>
      <c r="C38" s="19" t="inlineStr">
        <is>
          <t>2026-08-04</t>
        </is>
      </c>
      <c r="D38" s="19" t="inlineStr">
        <is>
          <t>A</t>
        </is>
      </c>
      <c r="E38" s="19" t="inlineStr">
        <is>
          <t>OP1</t>
        </is>
      </c>
      <c r="F38" s="19" t="inlineStr">
        <is>
          <t>T01</t>
        </is>
      </c>
      <c r="G38" s="19" t="n"/>
      <c r="H38" s="20" t="n">
        <v>24.8707</v>
      </c>
      <c r="I38" s="20" t="n">
        <v>12.5375</v>
      </c>
      <c r="J38" s="20" t="n">
        <v>8.020200000000001</v>
      </c>
      <c r="K38" s="20" t="n">
        <v>49.7221</v>
      </c>
      <c r="L38" s="20" t="n">
        <v>3.1711</v>
      </c>
      <c r="M38" s="20" t="n">
        <v>6.2708</v>
      </c>
      <c r="N38" s="20" t="n">
        <v>10.02</v>
      </c>
      <c r="O38" s="20" t="n">
        <v>14.9483</v>
      </c>
      <c r="P38" s="20" t="n">
        <v>20.0116</v>
      </c>
      <c r="Q38" s="20" t="n">
        <v>29.8638</v>
      </c>
    </row>
    <row r="39">
      <c r="A39" s="13">
        <f>IF(H39="","",ROW()-4)</f>
        <v/>
      </c>
      <c r="B39" s="13">
        <f>IF(H39="","",ROW()-4)</f>
        <v/>
      </c>
      <c r="C39" s="19" t="inlineStr">
        <is>
          <t>2026-08-05</t>
        </is>
      </c>
      <c r="D39" s="19" t="inlineStr">
        <is>
          <t>B</t>
        </is>
      </c>
      <c r="E39" s="19" t="inlineStr">
        <is>
          <t>OP2</t>
        </is>
      </c>
      <c r="F39" s="19" t="inlineStr">
        <is>
          <t>T02</t>
        </is>
      </c>
      <c r="G39" s="19" t="n"/>
      <c r="H39" s="20" t="n">
        <v>25.0908</v>
      </c>
      <c r="I39" s="20" t="n">
        <v>12.4132</v>
      </c>
      <c r="J39" s="20" t="n">
        <v>8.0061</v>
      </c>
      <c r="K39" s="20" t="n">
        <v>50.0084</v>
      </c>
      <c r="L39" s="20" t="n">
        <v>3.1824</v>
      </c>
      <c r="M39" s="20" t="n">
        <v>6.2933</v>
      </c>
      <c r="N39" s="20" t="n">
        <v>10.0113</v>
      </c>
      <c r="O39" s="20" t="n">
        <v>14.9812</v>
      </c>
      <c r="P39" s="20" t="n">
        <v>19.9581</v>
      </c>
      <c r="Q39" s="20" t="n">
        <v>30.0098</v>
      </c>
    </row>
    <row r="40">
      <c r="A40" s="13">
        <f>IF(H40="","",ROW()-4)</f>
        <v/>
      </c>
      <c r="B40" s="13">
        <f>IF(H40="","",ROW()-4)</f>
        <v/>
      </c>
      <c r="C40" s="19" t="inlineStr">
        <is>
          <t>2026-08-06</t>
        </is>
      </c>
      <c r="D40" s="19" t="inlineStr">
        <is>
          <t>C</t>
        </is>
      </c>
      <c r="E40" s="19" t="inlineStr">
        <is>
          <t>OP3</t>
        </is>
      </c>
      <c r="F40" s="19" t="inlineStr">
        <is>
          <t>T03</t>
        </is>
      </c>
      <c r="G40" s="19" t="n"/>
      <c r="H40" s="20" t="n">
        <v>24.897</v>
      </c>
      <c r="I40" s="20" t="n">
        <v>12.5491</v>
      </c>
      <c r="J40" s="20" t="n">
        <v>7.9478</v>
      </c>
      <c r="K40" s="20" t="n">
        <v>50.3168</v>
      </c>
      <c r="L40" s="20" t="n">
        <v>3.1617</v>
      </c>
      <c r="M40" s="20" t="n">
        <v>6.3301</v>
      </c>
      <c r="N40" s="20" t="n">
        <v>10.0279</v>
      </c>
      <c r="O40" s="20" t="n">
        <v>15.0032</v>
      </c>
      <c r="P40" s="20" t="n">
        <v>20.1692</v>
      </c>
      <c r="Q40" s="20" t="n">
        <v>30.0783</v>
      </c>
    </row>
    <row r="41">
      <c r="A41" s="13">
        <f>IF(H41="","",ROW()-4)</f>
        <v/>
      </c>
      <c r="B41" s="13">
        <f>IF(H41="","",ROW()-4)</f>
        <v/>
      </c>
      <c r="C41" s="19" t="inlineStr">
        <is>
          <t>2026-08-07</t>
        </is>
      </c>
      <c r="D41" s="19" t="inlineStr">
        <is>
          <t>A</t>
        </is>
      </c>
      <c r="E41" s="19" t="inlineStr">
        <is>
          <t>OP1</t>
        </is>
      </c>
      <c r="F41" s="19" t="inlineStr">
        <is>
          <t>T01</t>
        </is>
      </c>
      <c r="G41" s="19" t="n"/>
      <c r="H41" s="20" t="n">
        <v>25.0613</v>
      </c>
      <c r="I41" s="20" t="n">
        <v>12.522</v>
      </c>
      <c r="J41" s="20" t="n">
        <v>7.9776</v>
      </c>
      <c r="K41" s="20" t="n">
        <v>49.7463</v>
      </c>
      <c r="L41" s="20" t="n">
        <v>3.1598</v>
      </c>
      <c r="M41" s="20" t="n">
        <v>6.3144</v>
      </c>
      <c r="N41" s="20" t="n">
        <v>10.0546</v>
      </c>
      <c r="O41" s="20" t="n">
        <v>15.0011</v>
      </c>
      <c r="P41" s="20" t="n">
        <v>19.9919</v>
      </c>
      <c r="Q41" s="20" t="n">
        <v>30.1892</v>
      </c>
    </row>
    <row r="42">
      <c r="A42" s="13">
        <f>IF(H42="","",ROW()-4)</f>
        <v/>
      </c>
      <c r="B42" s="13">
        <f>IF(H42="","",ROW()-4)</f>
        <v/>
      </c>
      <c r="C42" s="19" t="inlineStr">
        <is>
          <t>2026-08-08</t>
        </is>
      </c>
      <c r="D42" s="19" t="inlineStr">
        <is>
          <t>B</t>
        </is>
      </c>
      <c r="E42" s="19" t="inlineStr">
        <is>
          <t>OP2</t>
        </is>
      </c>
      <c r="F42" s="19" t="inlineStr">
        <is>
          <t>T02</t>
        </is>
      </c>
      <c r="G42" s="19" t="n"/>
      <c r="H42" s="20" t="n">
        <v>25.0378</v>
      </c>
      <c r="I42" s="20" t="n">
        <v>12.4885</v>
      </c>
      <c r="J42" s="20" t="n">
        <v>8.0008</v>
      </c>
      <c r="K42" s="20" t="n">
        <v>50.2007</v>
      </c>
      <c r="L42" s="20" t="n">
        <v>3.168</v>
      </c>
      <c r="M42" s="20" t="n">
        <v>6.3653</v>
      </c>
      <c r="N42" s="20" t="n">
        <v>10.0327</v>
      </c>
      <c r="O42" s="20" t="n">
        <v>15.086</v>
      </c>
      <c r="P42" s="20" t="n">
        <v>19.9163</v>
      </c>
      <c r="Q42" s="20" t="n">
        <v>30.0703</v>
      </c>
    </row>
    <row r="43">
      <c r="A43" s="13">
        <f>IF(H43="","",ROW()-4)</f>
        <v/>
      </c>
      <c r="B43" s="13">
        <f>IF(H43="","",ROW()-4)</f>
        <v/>
      </c>
      <c r="C43" s="19" t="inlineStr">
        <is>
          <t>2026-08-09</t>
        </is>
      </c>
      <c r="D43" s="19" t="inlineStr">
        <is>
          <t>C</t>
        </is>
      </c>
      <c r="E43" s="19" t="inlineStr">
        <is>
          <t>OP3</t>
        </is>
      </c>
      <c r="F43" s="19" t="inlineStr">
        <is>
          <t>T03</t>
        </is>
      </c>
      <c r="G43" s="19" t="n"/>
      <c r="H43" s="20" t="n">
        <v>24.9264</v>
      </c>
      <c r="I43" s="20" t="n">
        <v>12.5189</v>
      </c>
      <c r="J43" s="20" t="n">
        <v>7.9903</v>
      </c>
      <c r="K43" s="20" t="n">
        <v>49.816</v>
      </c>
      <c r="L43" s="20" t="n">
        <v>3.1376</v>
      </c>
      <c r="M43" s="20" t="n">
        <v>6.3287</v>
      </c>
      <c r="N43" s="20" t="n">
        <v>10.0123</v>
      </c>
      <c r="O43" s="20" t="n">
        <v>14.9936</v>
      </c>
      <c r="P43" s="20" t="n">
        <v>19.963</v>
      </c>
      <c r="Q43" s="20" t="n">
        <v>29.9441</v>
      </c>
    </row>
    <row r="44">
      <c r="A44" s="13">
        <f>IF(H44="","",ROW()-4)</f>
        <v/>
      </c>
      <c r="B44" s="13">
        <f>IF(H44="","",ROW()-4)</f>
        <v/>
      </c>
      <c r="C44" s="19" t="inlineStr">
        <is>
          <t>2026-08-10</t>
        </is>
      </c>
      <c r="D44" s="19" t="inlineStr">
        <is>
          <t>A</t>
        </is>
      </c>
      <c r="E44" s="19" t="inlineStr">
        <is>
          <t>OP1</t>
        </is>
      </c>
      <c r="F44" s="19" t="inlineStr">
        <is>
          <t>T01</t>
        </is>
      </c>
      <c r="G44" s="19" t="n"/>
      <c r="H44" s="20" t="n">
        <v>24.9881</v>
      </c>
      <c r="I44" s="20" t="n">
        <v>12.4153</v>
      </c>
      <c r="J44" s="20" t="n">
        <v>7.9986</v>
      </c>
      <c r="K44" s="20" t="n">
        <v>50.1958</v>
      </c>
      <c r="L44" s="20" t="n">
        <v>3.1585</v>
      </c>
      <c r="M44" s="20" t="n">
        <v>6.3537</v>
      </c>
      <c r="N44" s="20" t="n">
        <v>10.0039</v>
      </c>
      <c r="O44" s="20" t="n">
        <v>15.08</v>
      </c>
      <c r="P44" s="20" t="n">
        <v>20.0085</v>
      </c>
      <c r="Q44" s="20" t="n">
        <v>30.0789</v>
      </c>
    </row>
    <row r="45">
      <c r="A45" s="13">
        <f>IF(H45="","",ROW()-4)</f>
        <v/>
      </c>
      <c r="B45" s="13">
        <f>IF(H45="","",ROW()-4)</f>
        <v/>
      </c>
      <c r="C45" s="19" t="inlineStr">
        <is>
          <t>2026-08-11</t>
        </is>
      </c>
      <c r="D45" s="19" t="inlineStr">
        <is>
          <t>B</t>
        </is>
      </c>
      <c r="E45" s="19" t="inlineStr">
        <is>
          <t>OP2</t>
        </is>
      </c>
      <c r="F45" s="19" t="inlineStr">
        <is>
          <t>T02</t>
        </is>
      </c>
      <c r="G45" s="19" t="n"/>
      <c r="H45" s="20" t="n">
        <v>24.8335</v>
      </c>
      <c r="I45" s="20" t="n">
        <v>12.6174</v>
      </c>
      <c r="J45" s="20" t="n">
        <v>7.9492</v>
      </c>
      <c r="K45" s="20" t="n">
        <v>50.2263</v>
      </c>
      <c r="L45" s="20" t="n">
        <v>3.1695</v>
      </c>
      <c r="M45" s="20" t="n">
        <v>6.3438</v>
      </c>
      <c r="N45" s="20" t="n">
        <v>10.0225</v>
      </c>
      <c r="O45" s="20" t="n">
        <v>14.9051</v>
      </c>
      <c r="P45" s="20" t="n">
        <v>20.0222</v>
      </c>
      <c r="Q45" s="20" t="n">
        <v>30.0686</v>
      </c>
    </row>
    <row r="46">
      <c r="A46" s="13">
        <f>IF(H46="","",ROW()-4)</f>
        <v/>
      </c>
      <c r="B46" s="13">
        <f>IF(H46="","",ROW()-4)</f>
        <v/>
      </c>
      <c r="C46" s="19" t="inlineStr">
        <is>
          <t>2026-08-12</t>
        </is>
      </c>
      <c r="D46" s="19" t="inlineStr">
        <is>
          <t>C</t>
        </is>
      </c>
      <c r="E46" s="19" t="inlineStr">
        <is>
          <t>OP3</t>
        </is>
      </c>
      <c r="F46" s="19" t="inlineStr">
        <is>
          <t>T03</t>
        </is>
      </c>
      <c r="G46" s="19" t="n"/>
      <c r="H46" s="20" t="n">
        <v>25.0402</v>
      </c>
      <c r="I46" s="20" t="n">
        <v>12.5264</v>
      </c>
      <c r="J46" s="20" t="n">
        <v>7.9828</v>
      </c>
      <c r="K46" s="20" t="n">
        <v>50.4465</v>
      </c>
      <c r="L46" s="20" t="n">
        <v>3.1652</v>
      </c>
      <c r="M46" s="20" t="n">
        <v>6.3555</v>
      </c>
      <c r="N46" s="20" t="n">
        <v>9.9938</v>
      </c>
      <c r="O46" s="20" t="n">
        <v>14.8328</v>
      </c>
      <c r="P46" s="20" t="n">
        <v>19.991</v>
      </c>
      <c r="Q46" s="20" t="n">
        <v>30.0303</v>
      </c>
    </row>
    <row r="47">
      <c r="A47" s="13">
        <f>IF(H47="","",ROW()-4)</f>
        <v/>
      </c>
      <c r="B47" s="13">
        <f>IF(H47="","",ROW()-4)</f>
        <v/>
      </c>
      <c r="C47" s="19" t="inlineStr">
        <is>
          <t>2026-08-13</t>
        </is>
      </c>
      <c r="D47" s="19" t="inlineStr">
        <is>
          <t>A</t>
        </is>
      </c>
      <c r="E47" s="19" t="inlineStr">
        <is>
          <t>OP1</t>
        </is>
      </c>
      <c r="F47" s="19" t="inlineStr">
        <is>
          <t>T01</t>
        </is>
      </c>
      <c r="G47" s="19" t="n"/>
      <c r="H47" s="20" t="n">
        <v>25.0217</v>
      </c>
      <c r="I47" s="20" t="n">
        <v>12.5199</v>
      </c>
      <c r="J47" s="20" t="n">
        <v>7.9565</v>
      </c>
      <c r="K47" s="20" t="n">
        <v>50.0827</v>
      </c>
      <c r="L47" s="20" t="n">
        <v>3.1621</v>
      </c>
      <c r="M47" s="20" t="n">
        <v>6.3289</v>
      </c>
      <c r="N47" s="20" t="n">
        <v>10.0293</v>
      </c>
      <c r="O47" s="20" t="n">
        <v>15.122</v>
      </c>
      <c r="P47" s="20" t="n">
        <v>20.0957</v>
      </c>
      <c r="Q47" s="20" t="n">
        <v>30.0527</v>
      </c>
    </row>
    <row r="48">
      <c r="A48" s="13">
        <f>IF(H48="","",ROW()-4)</f>
        <v/>
      </c>
      <c r="B48" s="13">
        <f>IF(H48="","",ROW()-4)</f>
        <v/>
      </c>
      <c r="C48" s="19" t="inlineStr">
        <is>
          <t>2026-08-14</t>
        </is>
      </c>
      <c r="D48" s="19" t="inlineStr">
        <is>
          <t>B</t>
        </is>
      </c>
      <c r="E48" s="19" t="inlineStr">
        <is>
          <t>OP2</t>
        </is>
      </c>
      <c r="F48" s="19" t="inlineStr">
        <is>
          <t>T02</t>
        </is>
      </c>
      <c r="G48" s="19" t="n"/>
      <c r="H48" s="20" t="n">
        <v>24.9828</v>
      </c>
      <c r="I48" s="20" t="n">
        <v>12.3917</v>
      </c>
      <c r="J48" s="20" t="n">
        <v>7.9792</v>
      </c>
      <c r="K48" s="20" t="n">
        <v>50.2807</v>
      </c>
      <c r="L48" s="20" t="n">
        <v>3.151</v>
      </c>
      <c r="M48" s="20" t="n">
        <v>6.3108</v>
      </c>
      <c r="N48" s="20" t="n">
        <v>10.0131</v>
      </c>
      <c r="O48" s="20" t="n">
        <v>15.047</v>
      </c>
      <c r="P48" s="20" t="n">
        <v>19.9351</v>
      </c>
      <c r="Q48" s="20" t="n">
        <v>29.882</v>
      </c>
    </row>
    <row r="49">
      <c r="A49" s="13">
        <f>IF(H49="","",ROW()-4)</f>
        <v/>
      </c>
      <c r="B49" s="13">
        <f>IF(H49="","",ROW()-4)</f>
        <v/>
      </c>
      <c r="C49" s="19" t="inlineStr">
        <is>
          <t>2026-08-15</t>
        </is>
      </c>
      <c r="D49" s="19" t="inlineStr">
        <is>
          <t>C</t>
        </is>
      </c>
      <c r="E49" s="19" t="inlineStr">
        <is>
          <t>OP3</t>
        </is>
      </c>
      <c r="F49" s="19" t="inlineStr">
        <is>
          <t>T03</t>
        </is>
      </c>
      <c r="G49" s="19" t="n"/>
      <c r="H49" s="20" t="n">
        <v>24.8963</v>
      </c>
      <c r="I49" s="20" t="n">
        <v>12.4959</v>
      </c>
      <c r="J49" s="20" t="n">
        <v>8.030799999999999</v>
      </c>
      <c r="K49" s="20" t="n">
        <v>50.4717</v>
      </c>
      <c r="L49" s="20" t="n">
        <v>3.1748</v>
      </c>
      <c r="M49" s="20" t="n">
        <v>6.3729</v>
      </c>
      <c r="N49" s="20" t="n">
        <v>10.0173</v>
      </c>
      <c r="O49" s="20" t="n">
        <v>14.9806</v>
      </c>
      <c r="P49" s="20" t="n">
        <v>19.9421</v>
      </c>
      <c r="Q49" s="20" t="n">
        <v>29.8346</v>
      </c>
    </row>
    <row r="50">
      <c r="A50" s="13">
        <f>IF(H50="","",ROW()-4)</f>
        <v/>
      </c>
      <c r="B50" s="13">
        <f>IF(H50="","",ROW()-4)</f>
        <v/>
      </c>
      <c r="C50" s="19" t="inlineStr">
        <is>
          <t>2026-08-16</t>
        </is>
      </c>
      <c r="D50" s="19" t="inlineStr">
        <is>
          <t>A</t>
        </is>
      </c>
      <c r="E50" s="19" t="inlineStr">
        <is>
          <t>OP1</t>
        </is>
      </c>
      <c r="F50" s="19" t="inlineStr">
        <is>
          <t>T01</t>
        </is>
      </c>
      <c r="G50" s="19" t="n"/>
      <c r="H50" s="20" t="n">
        <v>24.983</v>
      </c>
      <c r="I50" s="20" t="n">
        <v>12.4985</v>
      </c>
      <c r="J50" s="20" t="n">
        <v>8.037800000000001</v>
      </c>
      <c r="K50" s="20" t="n">
        <v>50.2204</v>
      </c>
      <c r="L50" s="20" t="n">
        <v>3.1638</v>
      </c>
      <c r="M50" s="20" t="n">
        <v>6.3132</v>
      </c>
      <c r="N50" s="20" t="n">
        <v>9.9902</v>
      </c>
      <c r="O50" s="20" t="n">
        <v>14.9875</v>
      </c>
      <c r="P50" s="20" t="n">
        <v>20.0077</v>
      </c>
      <c r="Q50" s="20" t="n">
        <v>29.9765</v>
      </c>
    </row>
    <row r="51">
      <c r="A51" s="13">
        <f>IF(H51="","",ROW()-4)</f>
        <v/>
      </c>
      <c r="B51" s="13">
        <f>IF(H51="","",ROW()-4)</f>
        <v/>
      </c>
      <c r="C51" s="19" t="inlineStr">
        <is>
          <t>2026-08-17</t>
        </is>
      </c>
      <c r="D51" s="19" t="inlineStr">
        <is>
          <t>B</t>
        </is>
      </c>
      <c r="E51" s="19" t="inlineStr">
        <is>
          <t>OP2</t>
        </is>
      </c>
      <c r="F51" s="19" t="inlineStr">
        <is>
          <t>T02</t>
        </is>
      </c>
      <c r="G51" s="19" t="n"/>
      <c r="H51" s="20" t="n">
        <v>25.081</v>
      </c>
      <c r="I51" s="20" t="n">
        <v>12.6571</v>
      </c>
      <c r="J51" s="20" t="n">
        <v>8.0182</v>
      </c>
      <c r="K51" s="20" t="n">
        <v>50.5636</v>
      </c>
      <c r="L51" s="20" t="n">
        <v>3.1954</v>
      </c>
      <c r="M51" s="20" t="n">
        <v>6.3298</v>
      </c>
      <c r="N51" s="20" t="n">
        <v>10.025</v>
      </c>
      <c r="O51" s="20" t="n">
        <v>15.0492</v>
      </c>
      <c r="P51" s="20" t="n">
        <v>19.8377</v>
      </c>
      <c r="Q51" s="20" t="n">
        <v>30.0407</v>
      </c>
    </row>
    <row r="52">
      <c r="A52" s="13">
        <f>IF(H52="","",ROW()-4)</f>
        <v/>
      </c>
      <c r="B52" s="13">
        <f>IF(H52="","",ROW()-4)</f>
        <v/>
      </c>
      <c r="C52" s="19" t="inlineStr">
        <is>
          <t>2026-08-18</t>
        </is>
      </c>
      <c r="D52" s="19" t="inlineStr">
        <is>
          <t>C</t>
        </is>
      </c>
      <c r="E52" s="19" t="inlineStr">
        <is>
          <t>OP3</t>
        </is>
      </c>
      <c r="F52" s="19" t="inlineStr">
        <is>
          <t>T03</t>
        </is>
      </c>
      <c r="G52" s="19" t="n"/>
      <c r="H52" s="20" t="n">
        <v>25.0509</v>
      </c>
      <c r="I52" s="20" t="n">
        <v>12.4753</v>
      </c>
      <c r="J52" s="20" t="n">
        <v>8.006399999999999</v>
      </c>
      <c r="K52" s="20" t="n">
        <v>49.6205</v>
      </c>
      <c r="L52" s="20" t="n">
        <v>3.1664</v>
      </c>
      <c r="M52" s="20" t="n">
        <v>6.2954</v>
      </c>
      <c r="N52" s="20" t="n">
        <v>10.0579</v>
      </c>
      <c r="O52" s="20" t="n">
        <v>15.0651</v>
      </c>
      <c r="P52" s="20" t="n">
        <v>19.8661</v>
      </c>
      <c r="Q52" s="20" t="n">
        <v>29.9859</v>
      </c>
    </row>
    <row r="53">
      <c r="A53" s="13">
        <f>IF(H53="","",ROW()-4)</f>
        <v/>
      </c>
      <c r="B53" s="13">
        <f>IF(H53="","",ROW()-4)</f>
        <v/>
      </c>
      <c r="C53" s="19" t="inlineStr">
        <is>
          <t>2026-08-19</t>
        </is>
      </c>
      <c r="D53" s="19" t="inlineStr">
        <is>
          <t>A</t>
        </is>
      </c>
      <c r="E53" s="19" t="inlineStr">
        <is>
          <t>OP1</t>
        </is>
      </c>
      <c r="F53" s="19" t="inlineStr">
        <is>
          <t>T01</t>
        </is>
      </c>
      <c r="G53" s="19" t="n"/>
      <c r="H53" s="20" t="n">
        <v>25.0823</v>
      </c>
      <c r="I53" s="20" t="n">
        <v>12.6105</v>
      </c>
      <c r="J53" s="20" t="n">
        <v>7.9484</v>
      </c>
      <c r="K53" s="20" t="n">
        <v>49.9103</v>
      </c>
      <c r="L53" s="20" t="n">
        <v>3.183</v>
      </c>
      <c r="M53" s="20" t="n">
        <v>6.3433</v>
      </c>
      <c r="N53" s="20" t="n">
        <v>10.0219</v>
      </c>
      <c r="O53" s="20" t="n">
        <v>14.9864</v>
      </c>
      <c r="P53" s="20" t="n">
        <v>20.0048</v>
      </c>
      <c r="Q53" s="20" t="n">
        <v>29.9594</v>
      </c>
    </row>
    <row r="54">
      <c r="A54" s="13">
        <f>IF(H54="","",ROW()-4)</f>
        <v/>
      </c>
      <c r="B54" s="13">
        <f>IF(H54="","",ROW()-4)</f>
        <v/>
      </c>
      <c r="C54" s="19" t="inlineStr">
        <is>
          <t>2026-08-20</t>
        </is>
      </c>
      <c r="D54" s="19" t="inlineStr">
        <is>
          <t>B</t>
        </is>
      </c>
      <c r="E54" s="19" t="inlineStr">
        <is>
          <t>OP2</t>
        </is>
      </c>
      <c r="F54" s="19" t="inlineStr">
        <is>
          <t>T02</t>
        </is>
      </c>
      <c r="G54" s="19" t="n"/>
      <c r="H54" s="20" t="n">
        <v>25.0976</v>
      </c>
      <c r="I54" s="20" t="n">
        <v>12.5156</v>
      </c>
      <c r="J54" s="20" t="n">
        <v>8.0143</v>
      </c>
      <c r="K54" s="20" t="n">
        <v>50.085</v>
      </c>
      <c r="L54" s="20" t="n">
        <v>3.1597</v>
      </c>
      <c r="M54" s="20" t="n">
        <v>6.2581</v>
      </c>
      <c r="N54" s="20" t="n">
        <v>10.039</v>
      </c>
      <c r="O54" s="20" t="n">
        <v>15.025</v>
      </c>
      <c r="P54" s="20" t="n">
        <v>20.067</v>
      </c>
      <c r="Q54" s="20" t="n">
        <v>30.0823</v>
      </c>
    </row>
    <row r="55">
      <c r="A55" s="13">
        <f>IF(H55="","",ROW()-4)</f>
        <v/>
      </c>
      <c r="B55" s="13">
        <f>IF(H55="","",ROW()-4)</f>
        <v/>
      </c>
      <c r="C55" s="19" t="inlineStr">
        <is>
          <t>2026-08-21</t>
        </is>
      </c>
      <c r="D55" s="19" t="inlineStr">
        <is>
          <t>C</t>
        </is>
      </c>
      <c r="E55" s="19" t="inlineStr">
        <is>
          <t>OP3</t>
        </is>
      </c>
      <c r="F55" s="19" t="inlineStr">
        <is>
          <t>T03</t>
        </is>
      </c>
      <c r="G55" s="19" t="n"/>
      <c r="H55" s="20" t="n">
        <v>25.059</v>
      </c>
      <c r="I55" s="20" t="n">
        <v>12.5524</v>
      </c>
      <c r="J55" s="20" t="n">
        <v>8.014200000000001</v>
      </c>
      <c r="K55" s="20" t="n">
        <v>50.2727</v>
      </c>
      <c r="L55" s="20" t="n">
        <v>3.1808</v>
      </c>
      <c r="M55" s="20" t="n">
        <v>6.3385</v>
      </c>
      <c r="N55" s="20" t="n">
        <v>10.0366</v>
      </c>
      <c r="O55" s="20" t="n">
        <v>15.0581</v>
      </c>
      <c r="P55" s="20" t="n">
        <v>19.9921</v>
      </c>
      <c r="Q55" s="20" t="n">
        <v>29.9518</v>
      </c>
    </row>
    <row r="56">
      <c r="A56" s="13">
        <f>IF(H56="","",ROW()-4)</f>
        <v/>
      </c>
      <c r="B56" s="13">
        <f>IF(H56="","",ROW()-4)</f>
        <v/>
      </c>
      <c r="C56" s="19" t="inlineStr">
        <is>
          <t>2026-08-22</t>
        </is>
      </c>
      <c r="D56" s="19" t="inlineStr">
        <is>
          <t>A</t>
        </is>
      </c>
      <c r="E56" s="19" t="inlineStr">
        <is>
          <t>OP1</t>
        </is>
      </c>
      <c r="F56" s="19" t="inlineStr">
        <is>
          <t>T01</t>
        </is>
      </c>
      <c r="G56" s="19" t="n"/>
      <c r="H56" s="20" t="n">
        <v>25.0928</v>
      </c>
      <c r="I56" s="20" t="n">
        <v>12.474</v>
      </c>
      <c r="J56" s="20" t="n">
        <v>7.9616</v>
      </c>
      <c r="K56" s="20" t="n">
        <v>50.0487</v>
      </c>
      <c r="L56" s="20" t="n">
        <v>3.1629</v>
      </c>
      <c r="M56" s="20" t="n">
        <v>6.2857</v>
      </c>
      <c r="N56" s="20" t="n">
        <v>10.0051</v>
      </c>
      <c r="O56" s="20" t="n">
        <v>15.017</v>
      </c>
      <c r="P56" s="20" t="n">
        <v>19.9284</v>
      </c>
      <c r="Q56" s="20" t="n">
        <v>30.0266</v>
      </c>
    </row>
    <row r="57">
      <c r="A57" s="13">
        <f>IF(H57="","",ROW()-4)</f>
        <v/>
      </c>
      <c r="B57" s="13">
        <f>IF(H57="","",ROW()-4)</f>
        <v/>
      </c>
      <c r="C57" s="19" t="inlineStr">
        <is>
          <t>2026-08-23</t>
        </is>
      </c>
      <c r="D57" s="19" t="inlineStr">
        <is>
          <t>B</t>
        </is>
      </c>
      <c r="E57" s="19" t="inlineStr">
        <is>
          <t>OP2</t>
        </is>
      </c>
      <c r="F57" s="19" t="inlineStr">
        <is>
          <t>T02</t>
        </is>
      </c>
      <c r="G57" s="19" t="n"/>
      <c r="H57" s="20" t="n">
        <v>24.9601</v>
      </c>
      <c r="I57" s="20" t="n">
        <v>12.3885</v>
      </c>
      <c r="J57" s="20" t="n">
        <v>7.9952</v>
      </c>
      <c r="K57" s="20" t="n">
        <v>50.23</v>
      </c>
      <c r="L57" s="20" t="n">
        <v>3.1525</v>
      </c>
      <c r="M57" s="20" t="n">
        <v>6.3159</v>
      </c>
      <c r="N57" s="20" t="n">
        <v>10.0074</v>
      </c>
      <c r="O57" s="20" t="n">
        <v>15.1548</v>
      </c>
      <c r="P57" s="20" t="n">
        <v>19.9393</v>
      </c>
      <c r="Q57" s="20" t="n">
        <v>29.8265</v>
      </c>
    </row>
    <row r="58">
      <c r="A58" s="13">
        <f>IF(H58="","",ROW()-4)</f>
        <v/>
      </c>
      <c r="B58" s="13">
        <f>IF(H58="","",ROW()-4)</f>
        <v/>
      </c>
      <c r="C58" s="19" t="inlineStr">
        <is>
          <t>2026-08-24</t>
        </is>
      </c>
      <c r="D58" s="19" t="inlineStr">
        <is>
          <t>C</t>
        </is>
      </c>
      <c r="E58" s="19" t="inlineStr">
        <is>
          <t>OP3</t>
        </is>
      </c>
      <c r="F58" s="19" t="inlineStr">
        <is>
          <t>T03</t>
        </is>
      </c>
      <c r="G58" s="19" t="n"/>
      <c r="H58" s="20" t="n">
        <v>25.0538</v>
      </c>
      <c r="I58" s="20" t="n">
        <v>12.4666</v>
      </c>
      <c r="J58" s="20" t="n">
        <v>7.9189</v>
      </c>
      <c r="K58" s="20" t="n">
        <v>49.7944</v>
      </c>
      <c r="L58" s="20" t="n">
        <v>3.1534</v>
      </c>
      <c r="M58" s="20" t="n">
        <v>6.342</v>
      </c>
      <c r="N58" s="20" t="n">
        <v>10.0584</v>
      </c>
      <c r="O58" s="20" t="n">
        <v>15.0086</v>
      </c>
      <c r="P58" s="20" t="n">
        <v>19.9805</v>
      </c>
      <c r="Q58" s="20" t="n">
        <v>30.0069</v>
      </c>
    </row>
    <row r="59">
      <c r="A59" s="13">
        <f>IF(H59="","",ROW()-4)</f>
        <v/>
      </c>
      <c r="B59" s="13">
        <f>IF(H59="","",ROW()-4)</f>
        <v/>
      </c>
      <c r="C59" s="19" t="inlineStr">
        <is>
          <t>2026-08-25</t>
        </is>
      </c>
      <c r="D59" s="19" t="inlineStr">
        <is>
          <t>A</t>
        </is>
      </c>
      <c r="E59" s="19" t="inlineStr">
        <is>
          <t>OP1</t>
        </is>
      </c>
      <c r="F59" s="19" t="inlineStr">
        <is>
          <t>T01</t>
        </is>
      </c>
      <c r="G59" s="19" t="n"/>
      <c r="H59" s="20" t="n">
        <v>24.9703</v>
      </c>
      <c r="I59" s="20" t="n">
        <v>12.512</v>
      </c>
      <c r="J59" s="20" t="n">
        <v>8.0097</v>
      </c>
      <c r="K59" s="20" t="n">
        <v>49.6672</v>
      </c>
      <c r="L59" s="20" t="n">
        <v>3.1777</v>
      </c>
      <c r="M59" s="20" t="n">
        <v>6.3202</v>
      </c>
      <c r="N59" s="20" t="n">
        <v>10.015</v>
      </c>
      <c r="O59" s="20" t="n">
        <v>15.2084</v>
      </c>
      <c r="P59" s="20" t="n">
        <v>19.9795</v>
      </c>
      <c r="Q59" s="20" t="n">
        <v>29.8992</v>
      </c>
    </row>
    <row r="60">
      <c r="A60" s="13">
        <f>IF(H60="","",ROW()-4)</f>
        <v/>
      </c>
      <c r="B60" s="13">
        <f>IF(H60="","",ROW()-4)</f>
        <v/>
      </c>
      <c r="C60" s="19" t="inlineStr">
        <is>
          <t>2026-08-26</t>
        </is>
      </c>
      <c r="D60" s="19" t="inlineStr">
        <is>
          <t>B</t>
        </is>
      </c>
      <c r="E60" s="19" t="inlineStr">
        <is>
          <t>OP2</t>
        </is>
      </c>
      <c r="F60" s="19" t="inlineStr">
        <is>
          <t>T02</t>
        </is>
      </c>
      <c r="G60" s="19" t="n"/>
      <c r="H60" s="20" t="n">
        <v>25.0886</v>
      </c>
      <c r="I60" s="20" t="n">
        <v>12.4577</v>
      </c>
      <c r="J60" s="20" t="n">
        <v>7.9211</v>
      </c>
      <c r="K60" s="20" t="n">
        <v>49.9787</v>
      </c>
      <c r="L60" s="20" t="n">
        <v>3.1811</v>
      </c>
      <c r="M60" s="20" t="n">
        <v>6.3198</v>
      </c>
      <c r="N60" s="20" t="n">
        <v>10.0223</v>
      </c>
      <c r="O60" s="20" t="n">
        <v>14.9396</v>
      </c>
      <c r="P60" s="20" t="n">
        <v>19.9986</v>
      </c>
      <c r="Q60" s="20" t="n">
        <v>30.1398</v>
      </c>
    </row>
    <row r="61">
      <c r="A61" s="13">
        <f>IF(H61="","",ROW()-4)</f>
        <v/>
      </c>
      <c r="B61" s="13">
        <f>IF(H61="","",ROW()-4)</f>
        <v/>
      </c>
      <c r="C61" s="19" t="inlineStr">
        <is>
          <t>2026-08-27</t>
        </is>
      </c>
      <c r="D61" s="19" t="inlineStr">
        <is>
          <t>C</t>
        </is>
      </c>
      <c r="E61" s="19" t="inlineStr">
        <is>
          <t>OP3</t>
        </is>
      </c>
      <c r="F61" s="19" t="inlineStr">
        <is>
          <t>T03</t>
        </is>
      </c>
      <c r="G61" s="19" t="n"/>
      <c r="H61" s="20" t="n">
        <v>25.0421</v>
      </c>
      <c r="I61" s="20" t="n">
        <v>12.4606</v>
      </c>
      <c r="J61" s="20" t="n">
        <v>8.068899999999999</v>
      </c>
      <c r="K61" s="20" t="n">
        <v>49.9844</v>
      </c>
      <c r="L61" s="20" t="n">
        <v>3.1524</v>
      </c>
      <c r="M61" s="20" t="n">
        <v>6.3183</v>
      </c>
      <c r="N61" s="20" t="n">
        <v>9.997199999999999</v>
      </c>
      <c r="O61" s="20" t="n">
        <v>14.8941</v>
      </c>
      <c r="P61" s="20" t="n">
        <v>19.9847</v>
      </c>
      <c r="Q61" s="20" t="n">
        <v>30.1363</v>
      </c>
    </row>
    <row r="62">
      <c r="A62" s="13">
        <f>IF(H62="","",ROW()-4)</f>
        <v/>
      </c>
      <c r="B62" s="13">
        <f>IF(H62="","",ROW()-4)</f>
        <v/>
      </c>
      <c r="C62" s="19" t="inlineStr">
        <is>
          <t>2026-08-28</t>
        </is>
      </c>
      <c r="D62" s="19" t="inlineStr">
        <is>
          <t>A</t>
        </is>
      </c>
      <c r="E62" s="19" t="inlineStr">
        <is>
          <t>OP1</t>
        </is>
      </c>
      <c r="F62" s="19" t="inlineStr">
        <is>
          <t>T01</t>
        </is>
      </c>
      <c r="G62" s="19" t="n"/>
      <c r="H62" s="20" t="n">
        <v>25.0341</v>
      </c>
      <c r="I62" s="20" t="n">
        <v>12.4982</v>
      </c>
      <c r="J62" s="20" t="n">
        <v>8.0542</v>
      </c>
      <c r="K62" s="20" t="n">
        <v>49.9424</v>
      </c>
      <c r="L62" s="20" t="n">
        <v>3.1828</v>
      </c>
      <c r="M62" s="20" t="n">
        <v>6.3283</v>
      </c>
      <c r="N62" s="20" t="n">
        <v>9.9856</v>
      </c>
      <c r="O62" s="20" t="n">
        <v>14.9806</v>
      </c>
      <c r="P62" s="20" t="n">
        <v>19.9509</v>
      </c>
      <c r="Q62" s="20" t="n">
        <v>29.8593</v>
      </c>
    </row>
    <row r="63">
      <c r="A63" s="13">
        <f>IF(H63="","",ROW()-4)</f>
        <v/>
      </c>
      <c r="B63" s="13">
        <f>IF(H63="","",ROW()-4)</f>
        <v/>
      </c>
      <c r="C63" s="19" t="inlineStr">
        <is>
          <t>2026-08-29</t>
        </is>
      </c>
      <c r="D63" s="19" t="inlineStr">
        <is>
          <t>B</t>
        </is>
      </c>
      <c r="E63" s="19" t="inlineStr">
        <is>
          <t>OP2</t>
        </is>
      </c>
      <c r="F63" s="19" t="inlineStr">
        <is>
          <t>T02</t>
        </is>
      </c>
      <c r="G63" s="19" t="n"/>
      <c r="H63" s="20" t="n">
        <v>24.991</v>
      </c>
      <c r="I63" s="20" t="n">
        <v>12.486</v>
      </c>
      <c r="J63" s="20" t="n">
        <v>7.944</v>
      </c>
      <c r="K63" s="20" t="n">
        <v>50.3345</v>
      </c>
      <c r="L63" s="20" t="n">
        <v>3.1855</v>
      </c>
      <c r="M63" s="20" t="n">
        <v>6.347</v>
      </c>
      <c r="N63" s="20" t="n">
        <v>10.0254</v>
      </c>
      <c r="O63" s="20" t="n">
        <v>14.9992</v>
      </c>
      <c r="P63" s="20" t="n">
        <v>20.0343</v>
      </c>
      <c r="Q63" s="20" t="n">
        <v>30.0603</v>
      </c>
    </row>
    <row r="64">
      <c r="A64" s="13">
        <f>IF(H64="","",ROW()-4)</f>
        <v/>
      </c>
      <c r="B64" s="13">
        <f>IF(H64="","",ROW()-4)</f>
        <v/>
      </c>
      <c r="C64" s="19" t="inlineStr">
        <is>
          <t>2026-08-30</t>
        </is>
      </c>
      <c r="D64" s="19" t="inlineStr">
        <is>
          <t>C</t>
        </is>
      </c>
      <c r="E64" s="19" t="inlineStr">
        <is>
          <t>OP3</t>
        </is>
      </c>
      <c r="F64" s="19" t="inlineStr">
        <is>
          <t>T03</t>
        </is>
      </c>
      <c r="G64" s="19" t="n"/>
      <c r="H64" s="20" t="n">
        <v>24.9226</v>
      </c>
      <c r="I64" s="20" t="n">
        <v>12.4355</v>
      </c>
      <c r="J64" s="20" t="n">
        <v>7.9812</v>
      </c>
      <c r="K64" s="20" t="n">
        <v>49.5156</v>
      </c>
      <c r="L64" s="20" t="n">
        <v>3.1999</v>
      </c>
      <c r="M64" s="20" t="n">
        <v>6.388</v>
      </c>
      <c r="N64" s="20" t="n">
        <v>10.0117</v>
      </c>
      <c r="O64" s="20" t="n">
        <v>15.0601</v>
      </c>
      <c r="P64" s="20" t="n">
        <v>19.9977</v>
      </c>
      <c r="Q64" s="20" t="n">
        <v>29.962</v>
      </c>
    </row>
    <row r="65">
      <c r="A65" s="13">
        <f>IF(H65="","",ROW()-4)</f>
        <v/>
      </c>
      <c r="B65" s="13">
        <f>IF(H65="","",ROW()-4)</f>
        <v/>
      </c>
      <c r="C65" s="19" t="inlineStr">
        <is>
          <t>2026-08-31</t>
        </is>
      </c>
      <c r="D65" s="19" t="inlineStr">
        <is>
          <t>A</t>
        </is>
      </c>
      <c r="E65" s="19" t="inlineStr">
        <is>
          <t>OP1</t>
        </is>
      </c>
      <c r="F65" s="19" t="inlineStr">
        <is>
          <t>T01</t>
        </is>
      </c>
      <c r="G65" s="19" t="n"/>
      <c r="H65" s="20" t="n">
        <v>25.0113</v>
      </c>
      <c r="I65" s="20" t="n">
        <v>12.5334</v>
      </c>
      <c r="J65" s="20" t="n">
        <v>7.908</v>
      </c>
      <c r="K65" s="20" t="n">
        <v>49.8317</v>
      </c>
      <c r="L65" s="20" t="n">
        <v>3.163</v>
      </c>
      <c r="M65" s="20" t="n">
        <v>6.2894</v>
      </c>
      <c r="N65" s="20" t="n">
        <v>9.997199999999999</v>
      </c>
      <c r="O65" s="20" t="n">
        <v>15.1351</v>
      </c>
      <c r="P65" s="20" t="n">
        <v>20.0427</v>
      </c>
      <c r="Q65" s="20" t="n">
        <v>29.9357</v>
      </c>
    </row>
    <row r="66">
      <c r="A66" s="13">
        <f>IF(H66="","",ROW()-4)</f>
        <v/>
      </c>
      <c r="B66" s="13">
        <f>IF(H66="","",ROW()-4)</f>
        <v/>
      </c>
      <c r="C66" s="19" t="inlineStr">
        <is>
          <t>2026-09-01</t>
        </is>
      </c>
      <c r="D66" s="19" t="inlineStr">
        <is>
          <t>B</t>
        </is>
      </c>
      <c r="E66" s="19" t="inlineStr">
        <is>
          <t>OP2</t>
        </is>
      </c>
      <c r="F66" s="19" t="inlineStr">
        <is>
          <t>T02</t>
        </is>
      </c>
      <c r="G66" s="19" t="n"/>
      <c r="H66" s="20" t="n">
        <v>24.9663</v>
      </c>
      <c r="I66" s="20" t="n">
        <v>12.3412</v>
      </c>
      <c r="J66" s="20" t="n">
        <v>8.007099999999999</v>
      </c>
      <c r="K66" s="20" t="n">
        <v>50.028</v>
      </c>
      <c r="L66" s="20" t="n">
        <v>3.1698</v>
      </c>
      <c r="M66" s="20" t="n">
        <v>6.3235</v>
      </c>
      <c r="N66" s="20" t="n">
        <v>10.0079</v>
      </c>
      <c r="O66" s="20" t="n">
        <v>14.9744</v>
      </c>
      <c r="P66" s="20" t="n">
        <v>20.121</v>
      </c>
      <c r="Q66" s="20" t="n">
        <v>29.9282</v>
      </c>
    </row>
    <row r="67">
      <c r="A67" s="13">
        <f>IF(H67="","",ROW()-4)</f>
        <v/>
      </c>
      <c r="B67" s="13">
        <f>IF(H67="","",ROW()-4)</f>
        <v/>
      </c>
      <c r="C67" s="19" t="inlineStr">
        <is>
          <t>2026-09-02</t>
        </is>
      </c>
      <c r="D67" s="19" t="inlineStr">
        <is>
          <t>C</t>
        </is>
      </c>
      <c r="E67" s="19" t="inlineStr">
        <is>
          <t>OP3</t>
        </is>
      </c>
      <c r="F67" s="19" t="inlineStr">
        <is>
          <t>T03</t>
        </is>
      </c>
      <c r="G67" s="19" t="n"/>
      <c r="H67" s="20" t="n">
        <v>25.0083</v>
      </c>
      <c r="I67" s="20" t="n">
        <v>12.452</v>
      </c>
      <c r="J67" s="20" t="n">
        <v>7.9866</v>
      </c>
      <c r="K67" s="20" t="n">
        <v>50.1424</v>
      </c>
      <c r="L67" s="20" t="n">
        <v>3.1821</v>
      </c>
      <c r="M67" s="20" t="n">
        <v>6.3145</v>
      </c>
      <c r="N67" s="20" t="n">
        <v>10.0427</v>
      </c>
      <c r="O67" s="20" t="n">
        <v>14.9499</v>
      </c>
      <c r="P67" s="20" t="n">
        <v>19.9523</v>
      </c>
      <c r="Q67" s="20" t="n">
        <v>30.0321</v>
      </c>
    </row>
    <row r="68">
      <c r="A68" s="13">
        <f>IF(H68="","",ROW()-4)</f>
        <v/>
      </c>
      <c r="B68" s="13">
        <f>IF(H68="","",ROW()-4)</f>
        <v/>
      </c>
      <c r="C68" s="19" t="inlineStr">
        <is>
          <t>2026-09-03</t>
        </is>
      </c>
      <c r="D68" s="19" t="inlineStr">
        <is>
          <t>A</t>
        </is>
      </c>
      <c r="E68" s="19" t="inlineStr">
        <is>
          <t>OP1</t>
        </is>
      </c>
      <c r="F68" s="19" t="inlineStr">
        <is>
          <t>T01</t>
        </is>
      </c>
      <c r="G68" s="19" t="n"/>
      <c r="H68" s="20" t="n">
        <v>24.9984</v>
      </c>
      <c r="I68" s="20" t="n">
        <v>12.5481</v>
      </c>
      <c r="J68" s="20" t="n">
        <v>7.9725</v>
      </c>
      <c r="K68" s="20" t="n">
        <v>50.2673</v>
      </c>
      <c r="L68" s="20" t="n">
        <v>3.16</v>
      </c>
      <c r="M68" s="20" t="n">
        <v>6.3006</v>
      </c>
      <c r="N68" s="20" t="n">
        <v>10.0209</v>
      </c>
      <c r="O68" s="20" t="n">
        <v>15.0069</v>
      </c>
      <c r="P68" s="20" t="n">
        <v>19.9995</v>
      </c>
      <c r="Q68" s="20" t="n">
        <v>30.0712</v>
      </c>
    </row>
    <row r="69">
      <c r="A69" s="13">
        <f>IF(H69="","",ROW()-4)</f>
        <v/>
      </c>
      <c r="B69" s="13">
        <f>IF(H69="","",ROW()-4)</f>
        <v/>
      </c>
      <c r="C69" s="19" t="inlineStr">
        <is>
          <t>2026-09-04</t>
        </is>
      </c>
      <c r="D69" s="19" t="inlineStr">
        <is>
          <t>B</t>
        </is>
      </c>
      <c r="E69" s="19" t="inlineStr">
        <is>
          <t>OP2</t>
        </is>
      </c>
      <c r="F69" s="19" t="inlineStr">
        <is>
          <t>T02</t>
        </is>
      </c>
      <c r="G69" s="19" t="n"/>
      <c r="H69" s="20" t="n">
        <v>24.942</v>
      </c>
      <c r="I69" s="20" t="n">
        <v>12.5676</v>
      </c>
      <c r="J69" s="20" t="n">
        <v>7.9435</v>
      </c>
      <c r="K69" s="20" t="n">
        <v>49.5836</v>
      </c>
      <c r="L69" s="20" t="n">
        <v>3.1681</v>
      </c>
      <c r="M69" s="20" t="n">
        <v>6.3036</v>
      </c>
      <c r="N69" s="20" t="n">
        <v>10.0368</v>
      </c>
      <c r="O69" s="20" t="n">
        <v>15.025</v>
      </c>
      <c r="P69" s="20" t="n">
        <v>19.9576</v>
      </c>
      <c r="Q69" s="20" t="n">
        <v>29.8658</v>
      </c>
    </row>
    <row r="70">
      <c r="A70" s="13">
        <f>IF(H70="","",ROW()-4)</f>
        <v/>
      </c>
      <c r="B70" s="13">
        <f>IF(H70="","",ROW()-4)</f>
        <v/>
      </c>
      <c r="C70" s="19" t="inlineStr">
        <is>
          <t>2026-09-05</t>
        </is>
      </c>
      <c r="D70" s="19" t="inlineStr">
        <is>
          <t>C</t>
        </is>
      </c>
      <c r="E70" s="19" t="inlineStr">
        <is>
          <t>OP3</t>
        </is>
      </c>
      <c r="F70" s="19" t="inlineStr">
        <is>
          <t>T03</t>
        </is>
      </c>
      <c r="G70" s="19" t="n"/>
      <c r="H70" s="20" t="n">
        <v>24.9664</v>
      </c>
      <c r="I70" s="20" t="n">
        <v>12.5032</v>
      </c>
      <c r="J70" s="20" t="n">
        <v>8.031499999999999</v>
      </c>
      <c r="K70" s="20" t="n">
        <v>50.1632</v>
      </c>
      <c r="L70" s="20" t="n">
        <v>3.1806</v>
      </c>
      <c r="M70" s="20" t="n">
        <v>6.3034</v>
      </c>
      <c r="N70" s="20" t="n">
        <v>9.990399999999999</v>
      </c>
      <c r="O70" s="20" t="n">
        <v>15.093</v>
      </c>
      <c r="P70" s="20" t="n">
        <v>19.9919</v>
      </c>
      <c r="Q70" s="20" t="n">
        <v>30.1876</v>
      </c>
    </row>
    <row r="71">
      <c r="A71" s="13">
        <f>IF(H71="","",ROW()-4)</f>
        <v/>
      </c>
      <c r="B71" s="13">
        <f>IF(H71="","",ROW()-4)</f>
        <v/>
      </c>
      <c r="C71" s="19" t="inlineStr">
        <is>
          <t>2026-09-06</t>
        </is>
      </c>
      <c r="D71" s="19" t="inlineStr">
        <is>
          <t>A</t>
        </is>
      </c>
      <c r="E71" s="19" t="inlineStr">
        <is>
          <t>OP1</t>
        </is>
      </c>
      <c r="F71" s="19" t="inlineStr">
        <is>
          <t>T01</t>
        </is>
      </c>
      <c r="G71" s="19" t="n"/>
      <c r="H71" s="20" t="n">
        <v>25.0697</v>
      </c>
      <c r="I71" s="20" t="n">
        <v>12.4511</v>
      </c>
      <c r="J71" s="20" t="n">
        <v>8.007099999999999</v>
      </c>
      <c r="K71" s="20" t="n">
        <v>49.949</v>
      </c>
      <c r="L71" s="20" t="n">
        <v>3.1758</v>
      </c>
      <c r="M71" s="20" t="n">
        <v>6.3465</v>
      </c>
      <c r="N71" s="20" t="n">
        <v>10.033</v>
      </c>
      <c r="O71" s="20" t="n">
        <v>14.9978</v>
      </c>
      <c r="P71" s="20" t="n">
        <v>19.9778</v>
      </c>
      <c r="Q71" s="20" t="n">
        <v>29.8814</v>
      </c>
    </row>
    <row r="72">
      <c r="A72" s="13">
        <f>IF(H72="","",ROW()-4)</f>
        <v/>
      </c>
      <c r="B72" s="13">
        <f>IF(H72="","",ROW()-4)</f>
        <v/>
      </c>
      <c r="C72" s="19" t="inlineStr">
        <is>
          <t>2026-09-07</t>
        </is>
      </c>
      <c r="D72" s="19" t="inlineStr">
        <is>
          <t>B</t>
        </is>
      </c>
      <c r="E72" s="19" t="inlineStr">
        <is>
          <t>OP2</t>
        </is>
      </c>
      <c r="F72" s="19" t="inlineStr">
        <is>
          <t>T02</t>
        </is>
      </c>
      <c r="G72" s="19" t="n"/>
      <c r="H72" s="20" t="n">
        <v>25.0198</v>
      </c>
      <c r="I72" s="20" t="n">
        <v>12.6971</v>
      </c>
      <c r="J72" s="20" t="n">
        <v>7.9537</v>
      </c>
      <c r="K72" s="20" t="n">
        <v>49.8728</v>
      </c>
      <c r="L72" s="20" t="n">
        <v>3.1995</v>
      </c>
      <c r="M72" s="20" t="n">
        <v>6.3227</v>
      </c>
      <c r="N72" s="20" t="n">
        <v>10.0315</v>
      </c>
      <c r="O72" s="20" t="n">
        <v>15.032</v>
      </c>
      <c r="P72" s="20" t="n">
        <v>20.0314</v>
      </c>
      <c r="Q72" s="20" t="n">
        <v>30.1487</v>
      </c>
    </row>
    <row r="73">
      <c r="A73" s="13">
        <f>IF(H73="","",ROW()-4)</f>
        <v/>
      </c>
      <c r="B73" s="13">
        <f>IF(H73="","",ROW()-4)</f>
        <v/>
      </c>
      <c r="C73" s="19" t="inlineStr">
        <is>
          <t>2026-09-08</t>
        </is>
      </c>
      <c r="D73" s="19" t="inlineStr">
        <is>
          <t>C</t>
        </is>
      </c>
      <c r="E73" s="19" t="inlineStr">
        <is>
          <t>OP3</t>
        </is>
      </c>
      <c r="F73" s="19" t="inlineStr">
        <is>
          <t>T03</t>
        </is>
      </c>
      <c r="G73" s="19" t="n"/>
      <c r="H73" s="20" t="n">
        <v>25.036</v>
      </c>
      <c r="I73" s="20" t="n">
        <v>12.5334</v>
      </c>
      <c r="J73" s="20" t="n">
        <v>7.9913</v>
      </c>
      <c r="K73" s="20" t="n">
        <v>50.0065</v>
      </c>
      <c r="L73" s="20" t="n">
        <v>3.179</v>
      </c>
      <c r="M73" s="20" t="n">
        <v>6.3341</v>
      </c>
      <c r="N73" s="20" t="n">
        <v>10.0317</v>
      </c>
      <c r="O73" s="20" t="n">
        <v>14.9898</v>
      </c>
      <c r="P73" s="20" t="n">
        <v>19.9151</v>
      </c>
      <c r="Q73" s="20" t="n">
        <v>29.8971</v>
      </c>
    </row>
    <row r="74">
      <c r="A74" s="13">
        <f>IF(H74="","",ROW()-4)</f>
        <v/>
      </c>
      <c r="B74" s="13">
        <f>IF(H74="","",ROW()-4)</f>
        <v/>
      </c>
      <c r="C74" s="19" t="inlineStr">
        <is>
          <t>2026-09-09</t>
        </is>
      </c>
      <c r="D74" s="19" t="inlineStr">
        <is>
          <t>A</t>
        </is>
      </c>
      <c r="E74" s="19" t="inlineStr">
        <is>
          <t>OP1</t>
        </is>
      </c>
      <c r="F74" s="19" t="inlineStr">
        <is>
          <t>T01</t>
        </is>
      </c>
      <c r="G74" s="19" t="n"/>
      <c r="H74" s="20" t="n">
        <v>24.9892</v>
      </c>
      <c r="I74" s="20" t="n">
        <v>12.514</v>
      </c>
      <c r="J74" s="20" t="n">
        <v>7.9652</v>
      </c>
      <c r="K74" s="20" t="n">
        <v>50.2794</v>
      </c>
      <c r="L74" s="20" t="n">
        <v>3.1629</v>
      </c>
      <c r="M74" s="20" t="n">
        <v>6.3118</v>
      </c>
      <c r="N74" s="20" t="n">
        <v>10.0076</v>
      </c>
      <c r="O74" s="20" t="n">
        <v>14.929</v>
      </c>
      <c r="P74" s="20" t="n">
        <v>20.0323</v>
      </c>
      <c r="Q74" s="20" t="n">
        <v>30.063</v>
      </c>
    </row>
    <row r="75">
      <c r="A75" s="13">
        <f>IF(H75="","",ROW()-4)</f>
        <v/>
      </c>
      <c r="B75" s="13">
        <f>IF(H75="","",ROW()-4)</f>
        <v/>
      </c>
      <c r="C75" s="19" t="inlineStr">
        <is>
          <t>2026-09-10</t>
        </is>
      </c>
      <c r="D75" s="19" t="inlineStr">
        <is>
          <t>B</t>
        </is>
      </c>
      <c r="E75" s="19" t="inlineStr">
        <is>
          <t>OP2</t>
        </is>
      </c>
      <c r="F75" s="19" t="inlineStr">
        <is>
          <t>T02</t>
        </is>
      </c>
      <c r="G75" s="19" t="n"/>
      <c r="H75" s="20" t="n">
        <v>24.8821</v>
      </c>
      <c r="I75" s="20" t="n">
        <v>12.4987</v>
      </c>
      <c r="J75" s="20" t="n">
        <v>7.984</v>
      </c>
      <c r="K75" s="20" t="n">
        <v>50.118</v>
      </c>
      <c r="L75" s="20" t="n">
        <v>3.1714</v>
      </c>
      <c r="M75" s="20" t="n">
        <v>6.3562</v>
      </c>
      <c r="N75" s="20" t="n">
        <v>10.0346</v>
      </c>
      <c r="O75" s="20" t="n">
        <v>14.8851</v>
      </c>
      <c r="P75" s="20" t="n">
        <v>19.8787</v>
      </c>
      <c r="Q75" s="20" t="n">
        <v>30.0325</v>
      </c>
    </row>
    <row r="76">
      <c r="A76" s="13">
        <f>IF(H76="","",ROW()-4)</f>
        <v/>
      </c>
      <c r="B76" s="13">
        <f>IF(H76="","",ROW()-4)</f>
        <v/>
      </c>
      <c r="C76" s="19" t="inlineStr">
        <is>
          <t>2026-09-11</t>
        </is>
      </c>
      <c r="D76" s="19" t="inlineStr">
        <is>
          <t>C</t>
        </is>
      </c>
      <c r="E76" s="19" t="inlineStr">
        <is>
          <t>OP3</t>
        </is>
      </c>
      <c r="F76" s="19" t="inlineStr">
        <is>
          <t>T03</t>
        </is>
      </c>
      <c r="G76" s="19" t="n"/>
      <c r="H76" s="20" t="n">
        <v>24.9633</v>
      </c>
      <c r="I76" s="20" t="n">
        <v>12.5078</v>
      </c>
      <c r="J76" s="20" t="n">
        <v>8.0184</v>
      </c>
      <c r="K76" s="20" t="n">
        <v>49.8011</v>
      </c>
      <c r="L76" s="20" t="n">
        <v>3.159</v>
      </c>
      <c r="M76" s="20" t="n">
        <v>6.2941</v>
      </c>
      <c r="N76" s="20" t="n">
        <v>10.0281</v>
      </c>
      <c r="O76" s="20" t="n">
        <v>14.9331</v>
      </c>
      <c r="P76" s="20" t="n">
        <v>19.9744</v>
      </c>
      <c r="Q76" s="20" t="n">
        <v>30.0727</v>
      </c>
    </row>
    <row r="77">
      <c r="A77" s="13">
        <f>IF(H77="","",ROW()-4)</f>
        <v/>
      </c>
      <c r="B77" s="13">
        <f>IF(H77="","",ROW()-4)</f>
        <v/>
      </c>
      <c r="C77" s="19" t="inlineStr">
        <is>
          <t>2026-09-12</t>
        </is>
      </c>
      <c r="D77" s="19" t="inlineStr">
        <is>
          <t>A</t>
        </is>
      </c>
      <c r="E77" s="19" t="inlineStr">
        <is>
          <t>OP1</t>
        </is>
      </c>
      <c r="F77" s="19" t="inlineStr">
        <is>
          <t>T01</t>
        </is>
      </c>
      <c r="G77" s="19" t="n"/>
      <c r="H77" s="20" t="n">
        <v>24.96</v>
      </c>
      <c r="I77" s="20" t="n">
        <v>12.5286</v>
      </c>
      <c r="J77" s="20" t="n">
        <v>7.9981</v>
      </c>
      <c r="K77" s="20" t="n">
        <v>50.2371</v>
      </c>
      <c r="L77" s="20" t="n">
        <v>3.1737</v>
      </c>
      <c r="M77" s="20" t="n">
        <v>6.2978</v>
      </c>
      <c r="N77" s="20" t="n">
        <v>10.0262</v>
      </c>
      <c r="O77" s="20" t="n">
        <v>14.9818</v>
      </c>
      <c r="P77" s="20" t="n">
        <v>20.023</v>
      </c>
      <c r="Q77" s="20" t="n">
        <v>30.0805</v>
      </c>
    </row>
    <row r="78">
      <c r="A78" s="13">
        <f>IF(H78="","",ROW()-4)</f>
        <v/>
      </c>
      <c r="B78" s="13">
        <f>IF(H78="","",ROW()-4)</f>
        <v/>
      </c>
      <c r="C78" s="19" t="inlineStr">
        <is>
          <t>2026-09-13</t>
        </is>
      </c>
      <c r="D78" s="19" t="inlineStr">
        <is>
          <t>B</t>
        </is>
      </c>
      <c r="E78" s="19" t="inlineStr">
        <is>
          <t>OP2</t>
        </is>
      </c>
      <c r="F78" s="19" t="inlineStr">
        <is>
          <t>T02</t>
        </is>
      </c>
      <c r="G78" s="19" t="n"/>
      <c r="H78" s="20" t="n">
        <v>25.0465</v>
      </c>
      <c r="I78" s="20" t="n">
        <v>12.4814</v>
      </c>
      <c r="J78" s="20" t="n">
        <v>8.068</v>
      </c>
      <c r="K78" s="20" t="n">
        <v>49.976</v>
      </c>
      <c r="L78" s="20" t="n">
        <v>3.1652</v>
      </c>
      <c r="M78" s="20" t="n">
        <v>6.3268</v>
      </c>
      <c r="N78" s="20" t="n">
        <v>9.9941</v>
      </c>
      <c r="O78" s="20" t="n">
        <v>15.0166</v>
      </c>
      <c r="P78" s="20" t="n">
        <v>19.9694</v>
      </c>
      <c r="Q78" s="20" t="n">
        <v>30.0796</v>
      </c>
    </row>
    <row r="79">
      <c r="A79" s="13">
        <f>IF(H79="","",ROW()-4)</f>
        <v/>
      </c>
      <c r="B79" s="13">
        <f>IF(H79="","",ROW()-4)</f>
        <v/>
      </c>
      <c r="C79" s="19" t="inlineStr">
        <is>
          <t>2026-09-14</t>
        </is>
      </c>
      <c r="D79" s="19" t="inlineStr">
        <is>
          <t>C</t>
        </is>
      </c>
      <c r="E79" s="19" t="inlineStr">
        <is>
          <t>OP3</t>
        </is>
      </c>
      <c r="F79" s="19" t="inlineStr">
        <is>
          <t>T03</t>
        </is>
      </c>
      <c r="G79" s="19" t="n"/>
      <c r="H79" s="20" t="n">
        <v>24.9842</v>
      </c>
      <c r="I79" s="20" t="n">
        <v>12.5164</v>
      </c>
      <c r="J79" s="20" t="n">
        <v>8.0617</v>
      </c>
      <c r="K79" s="20" t="n">
        <v>49.7462</v>
      </c>
      <c r="L79" s="20" t="n">
        <v>3.1809</v>
      </c>
      <c r="M79" s="20" t="n">
        <v>6.3727</v>
      </c>
      <c r="N79" s="20" t="n">
        <v>9.9984</v>
      </c>
      <c r="O79" s="20" t="n">
        <v>14.9431</v>
      </c>
      <c r="P79" s="20" t="n">
        <v>19.9122</v>
      </c>
      <c r="Q79" s="20" t="n">
        <v>29.9799</v>
      </c>
    </row>
    <row r="80">
      <c r="A80" s="13">
        <f>IF(H80="","",ROW()-4)</f>
        <v/>
      </c>
      <c r="B80" s="13">
        <f>IF(H80="","",ROW()-4)</f>
        <v/>
      </c>
      <c r="C80" s="19" t="inlineStr">
        <is>
          <t>2026-09-15</t>
        </is>
      </c>
      <c r="D80" s="19" t="inlineStr">
        <is>
          <t>A</t>
        </is>
      </c>
      <c r="E80" s="19" t="inlineStr">
        <is>
          <t>OP1</t>
        </is>
      </c>
      <c r="F80" s="19" t="inlineStr">
        <is>
          <t>T01</t>
        </is>
      </c>
      <c r="G80" s="19" t="n"/>
      <c r="H80" s="20" t="n">
        <v>25.0463</v>
      </c>
      <c r="I80" s="20" t="n">
        <v>12.47</v>
      </c>
      <c r="J80" s="20" t="n">
        <v>8.109299999999999</v>
      </c>
      <c r="K80" s="20" t="n">
        <v>49.748</v>
      </c>
      <c r="L80" s="20" t="n">
        <v>3.1841</v>
      </c>
      <c r="M80" s="20" t="n">
        <v>6.2978</v>
      </c>
      <c r="N80" s="20" t="n">
        <v>10.0385</v>
      </c>
      <c r="O80" s="20" t="n">
        <v>15.0954</v>
      </c>
      <c r="P80" s="20" t="n">
        <v>19.9789</v>
      </c>
      <c r="Q80" s="20" t="n">
        <v>29.9379</v>
      </c>
    </row>
    <row r="81">
      <c r="A81" s="13">
        <f>IF(H81="","",ROW()-4)</f>
        <v/>
      </c>
      <c r="B81" s="13">
        <f>IF(H81="","",ROW()-4)</f>
        <v/>
      </c>
      <c r="C81" s="19" t="inlineStr">
        <is>
          <t>2026-09-16</t>
        </is>
      </c>
      <c r="D81" s="19" t="inlineStr">
        <is>
          <t>B</t>
        </is>
      </c>
      <c r="E81" s="19" t="inlineStr">
        <is>
          <t>OP2</t>
        </is>
      </c>
      <c r="F81" s="19" t="inlineStr">
        <is>
          <t>T02</t>
        </is>
      </c>
      <c r="G81" s="19" t="n"/>
      <c r="H81" s="20" t="n">
        <v>24.9305</v>
      </c>
      <c r="I81" s="20" t="n">
        <v>12.4967</v>
      </c>
      <c r="J81" s="20" t="n">
        <v>7.916</v>
      </c>
      <c r="K81" s="20" t="n">
        <v>50.0949</v>
      </c>
      <c r="L81" s="20" t="n">
        <v>3.1685</v>
      </c>
      <c r="M81" s="20" t="n">
        <v>6.2639</v>
      </c>
      <c r="N81" s="20" t="n">
        <v>10.0097</v>
      </c>
      <c r="O81" s="20" t="n">
        <v>14.9625</v>
      </c>
      <c r="P81" s="20" t="n">
        <v>20.0628</v>
      </c>
      <c r="Q81" s="20" t="n">
        <v>29.8323</v>
      </c>
    </row>
    <row r="82">
      <c r="A82" s="13">
        <f>IF(H82="","",ROW()-4)</f>
        <v/>
      </c>
      <c r="B82" s="13">
        <f>IF(H82="","",ROW()-4)</f>
        <v/>
      </c>
      <c r="C82" s="19" t="inlineStr">
        <is>
          <t>2026-09-17</t>
        </is>
      </c>
      <c r="D82" s="19" t="inlineStr">
        <is>
          <t>C</t>
        </is>
      </c>
      <c r="E82" s="19" t="inlineStr">
        <is>
          <t>OP3</t>
        </is>
      </c>
      <c r="F82" s="19" t="inlineStr">
        <is>
          <t>T03</t>
        </is>
      </c>
      <c r="G82" s="19" t="n"/>
      <c r="H82" s="20" t="n">
        <v>24.9549</v>
      </c>
      <c r="I82" s="20" t="n">
        <v>12.5968</v>
      </c>
      <c r="J82" s="20" t="n">
        <v>7.9081</v>
      </c>
      <c r="K82" s="20" t="n">
        <v>49.9222</v>
      </c>
      <c r="L82" s="20" t="n">
        <v>3.1711</v>
      </c>
      <c r="M82" s="20" t="n">
        <v>6.2775</v>
      </c>
      <c r="N82" s="20" t="n">
        <v>10.0339</v>
      </c>
      <c r="O82" s="20" t="n">
        <v>14.9931</v>
      </c>
      <c r="P82" s="20" t="n">
        <v>20.0638</v>
      </c>
      <c r="Q82" s="20" t="n">
        <v>29.8481</v>
      </c>
    </row>
    <row r="83">
      <c r="A83" s="13">
        <f>IF(H83="","",ROW()-4)</f>
        <v/>
      </c>
      <c r="B83" s="13">
        <f>IF(H83="","",ROW()-4)</f>
        <v/>
      </c>
      <c r="C83" s="19" t="inlineStr">
        <is>
          <t>2026-09-18</t>
        </is>
      </c>
      <c r="D83" s="19" t="inlineStr">
        <is>
          <t>A</t>
        </is>
      </c>
      <c r="E83" s="19" t="inlineStr">
        <is>
          <t>OP1</t>
        </is>
      </c>
      <c r="F83" s="19" t="inlineStr">
        <is>
          <t>T01</t>
        </is>
      </c>
      <c r="G83" s="19" t="n"/>
      <c r="H83" s="20" t="n">
        <v>25.0148</v>
      </c>
      <c r="I83" s="20" t="n">
        <v>12.4549</v>
      </c>
      <c r="J83" s="20" t="n">
        <v>8.0733</v>
      </c>
      <c r="K83" s="20" t="n">
        <v>49.7816</v>
      </c>
      <c r="L83" s="20" t="n">
        <v>3.1684</v>
      </c>
      <c r="M83" s="20" t="n">
        <v>6.3886</v>
      </c>
      <c r="N83" s="20" t="n">
        <v>10.0044</v>
      </c>
      <c r="O83" s="20" t="n">
        <v>15.2391</v>
      </c>
      <c r="P83" s="20" t="n">
        <v>19.9438</v>
      </c>
      <c r="Q83" s="20" t="n">
        <v>30.054</v>
      </c>
    </row>
    <row r="84">
      <c r="A84" s="13">
        <f>IF(H84="","",ROW()-4)</f>
        <v/>
      </c>
      <c r="B84" s="13">
        <f>IF(H84="","",ROW()-4)</f>
        <v/>
      </c>
      <c r="C84" s="19" t="inlineStr">
        <is>
          <t>2026-09-19</t>
        </is>
      </c>
      <c r="D84" s="19" t="inlineStr">
        <is>
          <t>B</t>
        </is>
      </c>
      <c r="E84" s="19" t="inlineStr">
        <is>
          <t>OP2</t>
        </is>
      </c>
      <c r="F84" s="19" t="inlineStr">
        <is>
          <t>T02</t>
        </is>
      </c>
      <c r="G84" s="19" t="n"/>
      <c r="H84" s="20" t="n">
        <v>25.0329</v>
      </c>
      <c r="I84" s="20" t="n">
        <v>12.6472</v>
      </c>
      <c r="J84" s="20" t="n">
        <v>7.9681</v>
      </c>
      <c r="K84" s="20" t="n">
        <v>49.9654</v>
      </c>
      <c r="L84" s="20" t="n">
        <v>3.1657</v>
      </c>
      <c r="M84" s="20" t="n">
        <v>6.3392</v>
      </c>
      <c r="N84" s="20" t="n">
        <v>10.0297</v>
      </c>
      <c r="O84" s="20" t="n">
        <v>15.0296</v>
      </c>
      <c r="P84" s="20" t="n">
        <v>20.016</v>
      </c>
      <c r="Q84" s="20" t="n">
        <v>29.8652</v>
      </c>
    </row>
    <row r="85">
      <c r="A85" s="13">
        <f>IF(H85="","",ROW()-4)</f>
        <v/>
      </c>
      <c r="B85" s="13">
        <f>IF(H85="","",ROW()-4)</f>
        <v/>
      </c>
      <c r="C85" s="19" t="inlineStr">
        <is>
          <t>2026-09-20</t>
        </is>
      </c>
      <c r="D85" s="19" t="inlineStr">
        <is>
          <t>C</t>
        </is>
      </c>
      <c r="E85" s="19" t="inlineStr">
        <is>
          <t>OP3</t>
        </is>
      </c>
      <c r="F85" s="19" t="inlineStr">
        <is>
          <t>T03</t>
        </is>
      </c>
      <c r="G85" s="19" t="n"/>
      <c r="H85" s="20" t="n">
        <v>24.9751</v>
      </c>
      <c r="I85" s="20" t="n">
        <v>12.5269</v>
      </c>
      <c r="J85" s="20" t="n">
        <v>7.9496</v>
      </c>
      <c r="K85" s="20" t="n">
        <v>50.4088</v>
      </c>
      <c r="L85" s="20" t="n">
        <v>3.1609</v>
      </c>
      <c r="M85" s="20" t="n">
        <v>6.2989</v>
      </c>
      <c r="N85" s="20" t="n">
        <v>10.0274</v>
      </c>
      <c r="O85" s="20" t="n">
        <v>15.0412</v>
      </c>
      <c r="P85" s="20" t="n">
        <v>19.9108</v>
      </c>
      <c r="Q85" s="20" t="n">
        <v>30.0694</v>
      </c>
    </row>
    <row r="86">
      <c r="A86" s="13">
        <f>IF(H86="","",ROW()-4)</f>
        <v/>
      </c>
      <c r="B86" s="13">
        <f>IF(H86="","",ROW()-4)</f>
        <v/>
      </c>
      <c r="C86" s="19" t="inlineStr">
        <is>
          <t>2026-09-21</t>
        </is>
      </c>
      <c r="D86" s="19" t="inlineStr">
        <is>
          <t>A</t>
        </is>
      </c>
      <c r="E86" s="19" t="inlineStr">
        <is>
          <t>OP1</t>
        </is>
      </c>
      <c r="F86" s="19" t="inlineStr">
        <is>
          <t>T01</t>
        </is>
      </c>
      <c r="G86" s="19" t="n"/>
      <c r="H86" s="20" t="n">
        <v>25.0399</v>
      </c>
      <c r="I86" s="20" t="n">
        <v>12.5995</v>
      </c>
      <c r="J86" s="20" t="n">
        <v>7.9476</v>
      </c>
      <c r="K86" s="20" t="n">
        <v>49.963</v>
      </c>
      <c r="L86" s="20" t="n">
        <v>3.1682</v>
      </c>
      <c r="M86" s="20" t="n">
        <v>6.2812</v>
      </c>
      <c r="N86" s="20" t="n">
        <v>10.0119</v>
      </c>
      <c r="O86" s="20" t="n">
        <v>15.0624</v>
      </c>
      <c r="P86" s="20" t="n">
        <v>19.9738</v>
      </c>
      <c r="Q86" s="20" t="n">
        <v>29.893</v>
      </c>
    </row>
    <row r="87">
      <c r="A87" s="13">
        <f>IF(H87="","",ROW()-4)</f>
        <v/>
      </c>
      <c r="B87" s="13">
        <f>IF(H87="","",ROW()-4)</f>
        <v/>
      </c>
      <c r="C87" s="19" t="inlineStr">
        <is>
          <t>2026-09-22</t>
        </is>
      </c>
      <c r="D87" s="19" t="inlineStr">
        <is>
          <t>B</t>
        </is>
      </c>
      <c r="E87" s="19" t="inlineStr">
        <is>
          <t>OP2</t>
        </is>
      </c>
      <c r="F87" s="19" t="inlineStr">
        <is>
          <t>T02</t>
        </is>
      </c>
      <c r="G87" s="19" t="n"/>
      <c r="H87" s="20" t="n">
        <v>24.995</v>
      </c>
      <c r="I87" s="20" t="n">
        <v>12.4568</v>
      </c>
      <c r="J87" s="20" t="n">
        <v>8.037000000000001</v>
      </c>
      <c r="K87" s="20" t="n">
        <v>50.0571</v>
      </c>
      <c r="L87" s="20" t="n">
        <v>3.1688</v>
      </c>
      <c r="M87" s="20" t="n">
        <v>6.3032</v>
      </c>
      <c r="N87" s="20" t="n">
        <v>10.0148</v>
      </c>
      <c r="O87" s="20" t="n">
        <v>14.8915</v>
      </c>
      <c r="P87" s="20" t="n">
        <v>19.9993</v>
      </c>
      <c r="Q87" s="20" t="n">
        <v>30.171</v>
      </c>
    </row>
    <row r="88">
      <c r="A88" s="13">
        <f>IF(H88="","",ROW()-4)</f>
        <v/>
      </c>
      <c r="B88" s="13">
        <f>IF(H88="","",ROW()-4)</f>
        <v/>
      </c>
      <c r="C88" s="19" t="inlineStr">
        <is>
          <t>2026-09-23</t>
        </is>
      </c>
      <c r="D88" s="19" t="inlineStr">
        <is>
          <t>C</t>
        </is>
      </c>
      <c r="E88" s="19" t="inlineStr">
        <is>
          <t>OP3</t>
        </is>
      </c>
      <c r="F88" s="19" t="inlineStr">
        <is>
          <t>T03</t>
        </is>
      </c>
      <c r="G88" s="19" t="n"/>
      <c r="H88" s="20" t="n">
        <v>24.9494</v>
      </c>
      <c r="I88" s="20" t="n">
        <v>12.4751</v>
      </c>
      <c r="J88" s="20" t="n">
        <v>7.9125</v>
      </c>
      <c r="K88" s="20" t="n">
        <v>49.7658</v>
      </c>
      <c r="L88" s="20" t="n">
        <v>3.1721</v>
      </c>
      <c r="M88" s="20" t="n">
        <v>6.2712</v>
      </c>
      <c r="N88" s="20" t="n">
        <v>10.0108</v>
      </c>
      <c r="O88" s="20" t="n">
        <v>14.9855</v>
      </c>
      <c r="P88" s="20" t="n">
        <v>20.0107</v>
      </c>
      <c r="Q88" s="20" t="n">
        <v>30.1308</v>
      </c>
    </row>
    <row r="89">
      <c r="A89" s="13">
        <f>IF(H89="","",ROW()-4)</f>
        <v/>
      </c>
      <c r="B89" s="13">
        <f>IF(H89="","",ROW()-4)</f>
        <v/>
      </c>
      <c r="C89" s="19" t="inlineStr">
        <is>
          <t>2026-09-24</t>
        </is>
      </c>
      <c r="D89" s="19" t="inlineStr">
        <is>
          <t>A</t>
        </is>
      </c>
      <c r="E89" s="19" t="inlineStr">
        <is>
          <t>OP1</t>
        </is>
      </c>
      <c r="F89" s="19" t="inlineStr">
        <is>
          <t>T01</t>
        </is>
      </c>
      <c r="G89" s="19" t="n"/>
      <c r="H89" s="20" t="n">
        <v>24.9362</v>
      </c>
      <c r="I89" s="20" t="n">
        <v>12.4378</v>
      </c>
      <c r="J89" s="20" t="n">
        <v>7.9986</v>
      </c>
      <c r="K89" s="20" t="n">
        <v>49.8417</v>
      </c>
      <c r="L89" s="20" t="n">
        <v>3.1612</v>
      </c>
      <c r="M89" s="20" t="n">
        <v>6.3406</v>
      </c>
      <c r="N89" s="20" t="n">
        <v>9.9976</v>
      </c>
      <c r="O89" s="20" t="n">
        <v>14.8607</v>
      </c>
      <c r="P89" s="20" t="n">
        <v>20.0353</v>
      </c>
      <c r="Q89" s="20" t="n">
        <v>29.94</v>
      </c>
    </row>
    <row r="90">
      <c r="A90" s="13">
        <f>IF(H90="","",ROW()-4)</f>
        <v/>
      </c>
      <c r="B90" s="13">
        <f>IF(H90="","",ROW()-4)</f>
        <v/>
      </c>
      <c r="C90" s="19" t="inlineStr">
        <is>
          <t>2026-09-25</t>
        </is>
      </c>
      <c r="D90" s="19" t="inlineStr">
        <is>
          <t>B</t>
        </is>
      </c>
      <c r="E90" s="19" t="inlineStr">
        <is>
          <t>OP2</t>
        </is>
      </c>
      <c r="F90" s="19" t="inlineStr">
        <is>
          <t>T02</t>
        </is>
      </c>
      <c r="G90" s="19" t="n"/>
      <c r="H90" s="20" t="n">
        <v>25.0013</v>
      </c>
      <c r="I90" s="20" t="n">
        <v>12.488</v>
      </c>
      <c r="J90" s="20" t="n">
        <v>8.057600000000001</v>
      </c>
      <c r="K90" s="20" t="n">
        <v>49.9397</v>
      </c>
      <c r="L90" s="20" t="n">
        <v>3.1633</v>
      </c>
      <c r="M90" s="20" t="n">
        <v>6.3456</v>
      </c>
      <c r="N90" s="20" t="n">
        <v>10.0197</v>
      </c>
      <c r="O90" s="20" t="n">
        <v>15.1349</v>
      </c>
      <c r="P90" s="20" t="n">
        <v>19.9963</v>
      </c>
      <c r="Q90" s="20" t="n">
        <v>29.9963</v>
      </c>
    </row>
    <row r="91">
      <c r="A91" s="13">
        <f>IF(H91="","",ROW()-4)</f>
        <v/>
      </c>
      <c r="B91" s="13">
        <f>IF(H91="","",ROW()-4)</f>
        <v/>
      </c>
      <c r="C91" s="19" t="inlineStr">
        <is>
          <t>2026-09-26</t>
        </is>
      </c>
      <c r="D91" s="19" t="inlineStr">
        <is>
          <t>C</t>
        </is>
      </c>
      <c r="E91" s="19" t="inlineStr">
        <is>
          <t>OP3</t>
        </is>
      </c>
      <c r="F91" s="19" t="inlineStr">
        <is>
          <t>T03</t>
        </is>
      </c>
      <c r="G91" s="19" t="n"/>
      <c r="H91" s="20" t="n">
        <v>24.8918</v>
      </c>
      <c r="I91" s="20" t="n">
        <v>12.5011</v>
      </c>
      <c r="J91" s="20" t="n">
        <v>8.050700000000001</v>
      </c>
      <c r="K91" s="20" t="n">
        <v>50.0132</v>
      </c>
      <c r="L91" s="20" t="n">
        <v>3.1753</v>
      </c>
      <c r="M91" s="20" t="n">
        <v>6.3438</v>
      </c>
      <c r="N91" s="20" t="n">
        <v>10.0154</v>
      </c>
      <c r="O91" s="20" t="n">
        <v>14.9832</v>
      </c>
      <c r="P91" s="20" t="n">
        <v>19.9843</v>
      </c>
      <c r="Q91" s="20" t="n">
        <v>30.0095</v>
      </c>
    </row>
    <row r="92">
      <c r="A92" s="13">
        <f>IF(H92="","",ROW()-4)</f>
        <v/>
      </c>
      <c r="B92" s="13">
        <f>IF(H92="","",ROW()-4)</f>
        <v/>
      </c>
      <c r="C92" s="19" t="inlineStr">
        <is>
          <t>2026-09-27</t>
        </is>
      </c>
      <c r="D92" s="19" t="inlineStr">
        <is>
          <t>A</t>
        </is>
      </c>
      <c r="E92" s="19" t="inlineStr">
        <is>
          <t>OP1</t>
        </is>
      </c>
      <c r="F92" s="19" t="inlineStr">
        <is>
          <t>T01</t>
        </is>
      </c>
      <c r="G92" s="19" t="n"/>
      <c r="H92" s="20" t="n">
        <v>24.9888</v>
      </c>
      <c r="I92" s="20" t="n">
        <v>12.4857</v>
      </c>
      <c r="J92" s="20" t="n">
        <v>8.025499999999999</v>
      </c>
      <c r="K92" s="20" t="n">
        <v>49.6985</v>
      </c>
      <c r="L92" s="20" t="n">
        <v>3.1646</v>
      </c>
      <c r="M92" s="20" t="n">
        <v>6.3456</v>
      </c>
      <c r="N92" s="20" t="n">
        <v>10.0084</v>
      </c>
      <c r="O92" s="20" t="n">
        <v>15.0244</v>
      </c>
      <c r="P92" s="20" t="n">
        <v>19.9013</v>
      </c>
      <c r="Q92" s="20" t="n">
        <v>29.7644</v>
      </c>
    </row>
    <row r="93">
      <c r="A93" s="13">
        <f>IF(H93="","",ROW()-4)</f>
        <v/>
      </c>
      <c r="B93" s="13">
        <f>IF(H93="","",ROW()-4)</f>
        <v/>
      </c>
      <c r="C93" s="19" t="inlineStr">
        <is>
          <t>2026-09-28</t>
        </is>
      </c>
      <c r="D93" s="19" t="inlineStr">
        <is>
          <t>B</t>
        </is>
      </c>
      <c r="E93" s="19" t="inlineStr">
        <is>
          <t>OP2</t>
        </is>
      </c>
      <c r="F93" s="19" t="inlineStr">
        <is>
          <t>T02</t>
        </is>
      </c>
      <c r="G93" s="19" t="n"/>
      <c r="H93" s="20" t="n">
        <v>24.9776</v>
      </c>
      <c r="I93" s="20" t="n">
        <v>12.63</v>
      </c>
      <c r="J93" s="20" t="n">
        <v>8.039199999999999</v>
      </c>
      <c r="K93" s="20" t="n">
        <v>50.1911</v>
      </c>
      <c r="L93" s="20" t="n">
        <v>3.1811</v>
      </c>
      <c r="M93" s="20" t="n">
        <v>6.3118</v>
      </c>
      <c r="N93" s="20" t="n">
        <v>10.0026</v>
      </c>
      <c r="O93" s="20" t="n">
        <v>14.8865</v>
      </c>
      <c r="P93" s="20" t="n">
        <v>20.1222</v>
      </c>
      <c r="Q93" s="20" t="n">
        <v>29.858</v>
      </c>
    </row>
    <row r="94">
      <c r="A94" s="13">
        <f>IF(H94="","",ROW()-4)</f>
        <v/>
      </c>
      <c r="B94" s="13">
        <f>IF(H94="","",ROW()-4)</f>
        <v/>
      </c>
      <c r="C94" s="19" t="inlineStr">
        <is>
          <t>2026-09-29</t>
        </is>
      </c>
      <c r="D94" s="19" t="inlineStr">
        <is>
          <t>C</t>
        </is>
      </c>
      <c r="E94" s="19" t="inlineStr">
        <is>
          <t>OP3</t>
        </is>
      </c>
      <c r="F94" s="19" t="inlineStr">
        <is>
          <t>T03</t>
        </is>
      </c>
      <c r="G94" s="19" t="n"/>
      <c r="H94" s="20" t="n">
        <v>25.005</v>
      </c>
      <c r="I94" s="20" t="n">
        <v>12.4941</v>
      </c>
      <c r="J94" s="20" t="n">
        <v>8.011100000000001</v>
      </c>
      <c r="K94" s="20" t="n">
        <v>50.0116</v>
      </c>
      <c r="L94" s="20" t="n">
        <v>3.1634</v>
      </c>
      <c r="M94" s="20" t="n">
        <v>6.3046</v>
      </c>
      <c r="N94" s="20" t="n">
        <v>10.0113</v>
      </c>
      <c r="O94" s="20" t="n">
        <v>14.8558</v>
      </c>
      <c r="P94" s="20" t="n">
        <v>19.9323</v>
      </c>
      <c r="Q94" s="20" t="n">
        <v>29.8967</v>
      </c>
    </row>
    <row r="95">
      <c r="A95" s="13">
        <f>IF(H95="","",ROW()-4)</f>
        <v/>
      </c>
      <c r="B95" s="13">
        <f>IF(H95="","",ROW()-4)</f>
        <v/>
      </c>
      <c r="C95" s="19" t="inlineStr">
        <is>
          <t>2026-09-30</t>
        </is>
      </c>
      <c r="D95" s="19" t="inlineStr">
        <is>
          <t>A</t>
        </is>
      </c>
      <c r="E95" s="19" t="inlineStr">
        <is>
          <t>OP1</t>
        </is>
      </c>
      <c r="F95" s="19" t="inlineStr">
        <is>
          <t>T01</t>
        </is>
      </c>
      <c r="G95" s="19" t="n"/>
      <c r="H95" s="20" t="n">
        <v>25.0078</v>
      </c>
      <c r="I95" s="20" t="n">
        <v>12.3861</v>
      </c>
      <c r="J95" s="20" t="n">
        <v>7.9677</v>
      </c>
      <c r="K95" s="20" t="n">
        <v>49.7912</v>
      </c>
      <c r="L95" s="20" t="n">
        <v>3.1715</v>
      </c>
      <c r="M95" s="20" t="n">
        <v>6.2725</v>
      </c>
      <c r="N95" s="20" t="n">
        <v>10.0455</v>
      </c>
      <c r="O95" s="20" t="n">
        <v>14.9587</v>
      </c>
      <c r="P95" s="20" t="n">
        <v>19.9743</v>
      </c>
      <c r="Q95" s="20" t="n">
        <v>30.0933</v>
      </c>
    </row>
    <row r="96">
      <c r="A96" s="13">
        <f>IF(H96="","",ROW()-4)</f>
        <v/>
      </c>
      <c r="B96" s="13">
        <f>IF(H96="","",ROW()-4)</f>
        <v/>
      </c>
      <c r="C96" s="19" t="inlineStr">
        <is>
          <t>2026-10-01</t>
        </is>
      </c>
      <c r="D96" s="19" t="inlineStr">
        <is>
          <t>B</t>
        </is>
      </c>
      <c r="E96" s="19" t="inlineStr">
        <is>
          <t>OP2</t>
        </is>
      </c>
      <c r="F96" s="19" t="inlineStr">
        <is>
          <t>T02</t>
        </is>
      </c>
      <c r="G96" s="19" t="n"/>
      <c r="H96" s="20" t="n">
        <v>24.9303</v>
      </c>
      <c r="I96" s="20" t="n">
        <v>12.46</v>
      </c>
      <c r="J96" s="20" t="n">
        <v>8.041600000000001</v>
      </c>
      <c r="K96" s="20" t="n">
        <v>50.0276</v>
      </c>
      <c r="L96" s="20" t="n">
        <v>3.184</v>
      </c>
      <c r="M96" s="20" t="n">
        <v>6.3255</v>
      </c>
      <c r="N96" s="20" t="n">
        <v>10.0384</v>
      </c>
      <c r="O96" s="20" t="n">
        <v>14.9722</v>
      </c>
      <c r="P96" s="20" t="n">
        <v>19.9097</v>
      </c>
      <c r="Q96" s="20" t="n">
        <v>30.066</v>
      </c>
    </row>
    <row r="97">
      <c r="A97" s="13">
        <f>IF(H97="","",ROW()-4)</f>
        <v/>
      </c>
      <c r="B97" s="13">
        <f>IF(H97="","",ROW()-4)</f>
        <v/>
      </c>
      <c r="C97" s="19" t="inlineStr">
        <is>
          <t>2026-10-02</t>
        </is>
      </c>
      <c r="D97" s="19" t="inlineStr">
        <is>
          <t>C</t>
        </is>
      </c>
      <c r="E97" s="19" t="inlineStr">
        <is>
          <t>OP3</t>
        </is>
      </c>
      <c r="F97" s="19" t="inlineStr">
        <is>
          <t>T03</t>
        </is>
      </c>
      <c r="G97" s="19" t="n"/>
      <c r="H97" s="20" t="n">
        <v>25.039</v>
      </c>
      <c r="I97" s="20" t="n">
        <v>12.7177</v>
      </c>
      <c r="J97" s="20" t="n">
        <v>8.0466</v>
      </c>
      <c r="K97" s="20" t="n">
        <v>49.8533</v>
      </c>
      <c r="L97" s="20" t="n">
        <v>3.1586</v>
      </c>
      <c r="M97" s="20" t="n">
        <v>6.2855</v>
      </c>
      <c r="N97" s="20" t="n">
        <v>10.0379</v>
      </c>
      <c r="O97" s="20" t="n">
        <v>14.9963</v>
      </c>
      <c r="P97" s="20" t="n">
        <v>20.1585</v>
      </c>
      <c r="Q97" s="20" t="n">
        <v>29.9015</v>
      </c>
    </row>
    <row r="98">
      <c r="A98" s="13">
        <f>IF(H98="","",ROW()-4)</f>
        <v/>
      </c>
      <c r="B98" s="13">
        <f>IF(H98="","",ROW()-4)</f>
        <v/>
      </c>
      <c r="C98" s="19" t="inlineStr">
        <is>
          <t>2026-10-03</t>
        </is>
      </c>
      <c r="D98" s="19" t="inlineStr">
        <is>
          <t>A</t>
        </is>
      </c>
      <c r="E98" s="19" t="inlineStr">
        <is>
          <t>OP1</t>
        </is>
      </c>
      <c r="F98" s="19" t="inlineStr">
        <is>
          <t>T01</t>
        </is>
      </c>
      <c r="G98" s="19" t="n"/>
      <c r="H98" s="20" t="n">
        <v>25.021</v>
      </c>
      <c r="I98" s="20" t="n">
        <v>12.5312</v>
      </c>
      <c r="J98" s="20" t="n">
        <v>7.995</v>
      </c>
      <c r="K98" s="20" t="n">
        <v>49.7241</v>
      </c>
      <c r="L98" s="20" t="n">
        <v>3.1754</v>
      </c>
      <c r="M98" s="20" t="n">
        <v>6.2784</v>
      </c>
      <c r="N98" s="20" t="n">
        <v>9.9658</v>
      </c>
      <c r="O98" s="20" t="n">
        <v>14.9881</v>
      </c>
      <c r="P98" s="20" t="n">
        <v>20.0642</v>
      </c>
      <c r="Q98" s="20" t="n">
        <v>30.0627</v>
      </c>
    </row>
    <row r="99">
      <c r="A99" s="13">
        <f>IF(H99="","",ROW()-4)</f>
        <v/>
      </c>
      <c r="B99" s="13">
        <f>IF(H99="","",ROW()-4)</f>
        <v/>
      </c>
      <c r="C99" s="19" t="inlineStr">
        <is>
          <t>2026-10-04</t>
        </is>
      </c>
      <c r="D99" s="19" t="inlineStr">
        <is>
          <t>B</t>
        </is>
      </c>
      <c r="E99" s="19" t="inlineStr">
        <is>
          <t>OP2</t>
        </is>
      </c>
      <c r="F99" s="19" t="inlineStr">
        <is>
          <t>T02</t>
        </is>
      </c>
      <c r="G99" s="19" t="n"/>
      <c r="H99" s="20" t="n">
        <v>25.1136</v>
      </c>
      <c r="I99" s="20" t="n">
        <v>12.4064</v>
      </c>
      <c r="J99" s="20" t="n">
        <v>7.9693</v>
      </c>
      <c r="K99" s="20" t="n">
        <v>49.9494</v>
      </c>
      <c r="L99" s="20" t="n">
        <v>3.1761</v>
      </c>
      <c r="M99" s="20" t="n">
        <v>6.3045</v>
      </c>
      <c r="N99" s="20" t="n">
        <v>9.987500000000001</v>
      </c>
      <c r="O99" s="20" t="n">
        <v>15.0743</v>
      </c>
      <c r="P99" s="20" t="n">
        <v>19.9786</v>
      </c>
      <c r="Q99" s="20" t="n">
        <v>30.148</v>
      </c>
    </row>
    <row r="100">
      <c r="A100" s="13">
        <f>IF(H100="","",ROW()-4)</f>
        <v/>
      </c>
      <c r="B100" s="13">
        <f>IF(H100="","",ROW()-4)</f>
        <v/>
      </c>
      <c r="C100" s="19" t="inlineStr">
        <is>
          <t>2026-10-05</t>
        </is>
      </c>
      <c r="D100" s="19" t="inlineStr">
        <is>
          <t>C</t>
        </is>
      </c>
      <c r="E100" s="19" t="inlineStr">
        <is>
          <t>OP3</t>
        </is>
      </c>
      <c r="F100" s="19" t="inlineStr">
        <is>
          <t>T03</t>
        </is>
      </c>
      <c r="G100" s="19" t="n"/>
      <c r="H100" s="20" t="n">
        <v>24.9311</v>
      </c>
      <c r="I100" s="20" t="n">
        <v>12.4137</v>
      </c>
      <c r="J100" s="20" t="n">
        <v>7.9483</v>
      </c>
      <c r="K100" s="20" t="n">
        <v>50.1259</v>
      </c>
      <c r="L100" s="20" t="n">
        <v>3.1642</v>
      </c>
      <c r="M100" s="20" t="n">
        <v>6.2549</v>
      </c>
      <c r="N100" s="20" t="n">
        <v>10.025</v>
      </c>
      <c r="O100" s="20" t="n">
        <v>15.0621</v>
      </c>
      <c r="P100" s="20" t="n">
        <v>19.9484</v>
      </c>
      <c r="Q100" s="20" t="n">
        <v>29.8537</v>
      </c>
    </row>
    <row r="101">
      <c r="A101" s="13">
        <f>IF(H101="","",ROW()-4)</f>
        <v/>
      </c>
      <c r="B101" s="13">
        <f>IF(H101="","",ROW()-4)</f>
        <v/>
      </c>
      <c r="C101" s="19" t="inlineStr">
        <is>
          <t>2026-10-06</t>
        </is>
      </c>
      <c r="D101" s="19" t="inlineStr">
        <is>
          <t>A</t>
        </is>
      </c>
      <c r="E101" s="19" t="inlineStr">
        <is>
          <t>OP1</t>
        </is>
      </c>
      <c r="F101" s="19" t="inlineStr">
        <is>
          <t>T01</t>
        </is>
      </c>
      <c r="G101" s="19" t="n"/>
      <c r="H101" s="20" t="n">
        <v>25.0299</v>
      </c>
      <c r="I101" s="20" t="n">
        <v>12.608</v>
      </c>
      <c r="J101" s="20" t="n">
        <v>8.005599999999999</v>
      </c>
      <c r="K101" s="20" t="n">
        <v>50.0008</v>
      </c>
      <c r="L101" s="20" t="n">
        <v>3.1832</v>
      </c>
      <c r="M101" s="20" t="n">
        <v>6.304</v>
      </c>
      <c r="N101" s="20" t="n">
        <v>9.9869</v>
      </c>
      <c r="O101" s="20" t="n">
        <v>14.8942</v>
      </c>
      <c r="P101" s="20" t="n">
        <v>19.951</v>
      </c>
      <c r="Q101" s="20" t="n">
        <v>30.0873</v>
      </c>
    </row>
    <row r="102">
      <c r="A102" s="13">
        <f>IF(H102="","",ROW()-4)</f>
        <v/>
      </c>
      <c r="B102" s="13">
        <f>IF(H102="","",ROW()-4)</f>
        <v/>
      </c>
      <c r="C102" s="19" t="inlineStr">
        <is>
          <t>2026-10-07</t>
        </is>
      </c>
      <c r="D102" s="19" t="inlineStr">
        <is>
          <t>B</t>
        </is>
      </c>
      <c r="E102" s="19" t="inlineStr">
        <is>
          <t>OP2</t>
        </is>
      </c>
      <c r="F102" s="19" t="inlineStr">
        <is>
          <t>T02</t>
        </is>
      </c>
      <c r="G102" s="19" t="n"/>
      <c r="H102" s="20" t="n">
        <v>24.9211</v>
      </c>
      <c r="I102" s="20" t="n">
        <v>12.4956</v>
      </c>
      <c r="J102" s="20" t="n">
        <v>8.0069</v>
      </c>
      <c r="K102" s="20" t="n">
        <v>49.5962</v>
      </c>
      <c r="L102" s="20" t="n">
        <v>3.1662</v>
      </c>
      <c r="M102" s="20" t="n">
        <v>6.3821</v>
      </c>
      <c r="N102" s="20" t="n">
        <v>10.0302</v>
      </c>
      <c r="O102" s="20" t="n">
        <v>15.0538</v>
      </c>
      <c r="P102" s="20" t="n">
        <v>20.0465</v>
      </c>
      <c r="Q102" s="20" t="n">
        <v>30.072</v>
      </c>
    </row>
    <row r="103">
      <c r="A103" s="13">
        <f>IF(H103="","",ROW()-4)</f>
        <v/>
      </c>
      <c r="B103" s="13">
        <f>IF(H103="","",ROW()-4)</f>
        <v/>
      </c>
      <c r="C103" s="19" t="inlineStr">
        <is>
          <t>2026-10-08</t>
        </is>
      </c>
      <c r="D103" s="19" t="inlineStr">
        <is>
          <t>C</t>
        </is>
      </c>
      <c r="E103" s="19" t="inlineStr">
        <is>
          <t>OP3</t>
        </is>
      </c>
      <c r="F103" s="19" t="inlineStr">
        <is>
          <t>T03</t>
        </is>
      </c>
      <c r="G103" s="19" t="n"/>
      <c r="H103" s="20" t="n">
        <v>25.0458</v>
      </c>
      <c r="I103" s="20" t="n">
        <v>12.521</v>
      </c>
      <c r="J103" s="20" t="n">
        <v>8.117000000000001</v>
      </c>
      <c r="K103" s="20" t="n">
        <v>50.2835</v>
      </c>
      <c r="L103" s="20" t="n">
        <v>3.1701</v>
      </c>
      <c r="M103" s="20" t="n">
        <v>6.2986</v>
      </c>
      <c r="N103" s="20" t="n">
        <v>9.995200000000001</v>
      </c>
      <c r="O103" s="20" t="n">
        <v>15.0059</v>
      </c>
      <c r="P103" s="20" t="n">
        <v>19.9732</v>
      </c>
      <c r="Q103" s="20" t="n">
        <v>30.1442</v>
      </c>
    </row>
    <row r="104">
      <c r="A104" s="13">
        <f>IF(H104="","",ROW()-4)</f>
        <v/>
      </c>
      <c r="B104" s="13">
        <f>IF(H104="","",ROW()-4)</f>
        <v/>
      </c>
      <c r="C104" s="19" t="inlineStr">
        <is>
          <t>2026-10-09</t>
        </is>
      </c>
      <c r="D104" s="19" t="inlineStr">
        <is>
          <t>A</t>
        </is>
      </c>
      <c r="E104" s="19" t="inlineStr">
        <is>
          <t>OP1</t>
        </is>
      </c>
      <c r="F104" s="19" t="inlineStr">
        <is>
          <t>T01</t>
        </is>
      </c>
      <c r="G104" s="19" t="n"/>
      <c r="H104" s="20" t="n">
        <v>25.1055</v>
      </c>
      <c r="I104" s="20" t="n">
        <v>12.6182</v>
      </c>
      <c r="J104" s="20" t="n">
        <v>8.0411</v>
      </c>
      <c r="K104" s="20" t="n">
        <v>49.7901</v>
      </c>
      <c r="L104" s="20" t="n">
        <v>3.1822</v>
      </c>
      <c r="M104" s="20" t="n">
        <v>6.3063</v>
      </c>
      <c r="N104" s="20" t="n">
        <v>10.0007</v>
      </c>
      <c r="O104" s="20" t="n">
        <v>14.8232</v>
      </c>
      <c r="P104" s="20" t="n">
        <v>19.9699</v>
      </c>
      <c r="Q104" s="20" t="n">
        <v>29.9563</v>
      </c>
    </row>
    <row r="105">
      <c r="A105" s="13">
        <f>IF(H105="","",ROW()-4)</f>
        <v/>
      </c>
      <c r="B105" s="13">
        <f>IF(H105="","",ROW()-4)</f>
        <v/>
      </c>
    </row>
    <row r="106">
      <c r="A106" s="13">
        <f>IF(H106="","",ROW()-4)</f>
        <v/>
      </c>
      <c r="B106" s="13">
        <f>IF(H106="","",ROW()-4)</f>
        <v/>
      </c>
    </row>
    <row r="107">
      <c r="A107" s="13">
        <f>IF(H107="","",ROW()-4)</f>
        <v/>
      </c>
      <c r="B107" s="13">
        <f>IF(H107="","",ROW()-4)</f>
        <v/>
      </c>
    </row>
    <row r="108">
      <c r="A108" s="13">
        <f>IF(H108="","",ROW()-4)</f>
        <v/>
      </c>
      <c r="B108" s="13">
        <f>IF(H108="","",ROW()-4)</f>
        <v/>
      </c>
    </row>
    <row r="109">
      <c r="A109" s="13">
        <f>IF(H109="","",ROW()-4)</f>
        <v/>
      </c>
      <c r="B109" s="13">
        <f>IF(H109="","",ROW()-4)</f>
        <v/>
      </c>
    </row>
    <row r="110">
      <c r="A110" s="13">
        <f>IF(H110="","",ROW()-4)</f>
        <v/>
      </c>
      <c r="B110" s="13">
        <f>IF(H110="","",ROW()-4)</f>
        <v/>
      </c>
    </row>
    <row r="111">
      <c r="A111" s="13">
        <f>IF(H111="","",ROW()-4)</f>
        <v/>
      </c>
      <c r="B111" s="13">
        <f>IF(H111="","",ROW()-4)</f>
        <v/>
      </c>
    </row>
    <row r="112">
      <c r="A112" s="13">
        <f>IF(H112="","",ROW()-4)</f>
        <v/>
      </c>
      <c r="B112" s="13">
        <f>IF(H112="","",ROW()-4)</f>
        <v/>
      </c>
    </row>
    <row r="113">
      <c r="A113" s="13">
        <f>IF(H113="","",ROW()-4)</f>
        <v/>
      </c>
      <c r="B113" s="13">
        <f>IF(H113="","",ROW()-4)</f>
        <v/>
      </c>
    </row>
    <row r="114">
      <c r="A114" s="13">
        <f>IF(H114="","",ROW()-4)</f>
        <v/>
      </c>
      <c r="B114" s="13">
        <f>IF(H114="","",ROW()-4)</f>
        <v/>
      </c>
    </row>
    <row r="115">
      <c r="A115" s="13">
        <f>IF(H115="","",ROW()-4)</f>
        <v/>
      </c>
      <c r="B115" s="13">
        <f>IF(H115="","",ROW()-4)</f>
        <v/>
      </c>
    </row>
    <row r="116">
      <c r="A116" s="13">
        <f>IF(H116="","",ROW()-4)</f>
        <v/>
      </c>
      <c r="B116" s="13">
        <f>IF(H116="","",ROW()-4)</f>
        <v/>
      </c>
    </row>
    <row r="117">
      <c r="A117" s="13">
        <f>IF(H117="","",ROW()-4)</f>
        <v/>
      </c>
      <c r="B117" s="13">
        <f>IF(H117="","",ROW()-4)</f>
        <v/>
      </c>
    </row>
    <row r="118">
      <c r="A118" s="13">
        <f>IF(H118="","",ROW()-4)</f>
        <v/>
      </c>
      <c r="B118" s="13">
        <f>IF(H118="","",ROW()-4)</f>
        <v/>
      </c>
    </row>
    <row r="119">
      <c r="A119" s="13">
        <f>IF(H119="","",ROW()-4)</f>
        <v/>
      </c>
      <c r="B119" s="13">
        <f>IF(H119="","",ROW()-4)</f>
        <v/>
      </c>
    </row>
    <row r="120">
      <c r="A120" s="13">
        <f>IF(H120="","",ROW()-4)</f>
        <v/>
      </c>
      <c r="B120" s="13">
        <f>IF(H120="","",ROW()-4)</f>
        <v/>
      </c>
    </row>
    <row r="121">
      <c r="A121" s="13">
        <f>IF(H121="","",ROW()-4)</f>
        <v/>
      </c>
      <c r="B121" s="13">
        <f>IF(H121="","",ROW()-4)</f>
        <v/>
      </c>
    </row>
    <row r="122">
      <c r="A122" s="13">
        <f>IF(H122="","",ROW()-4)</f>
        <v/>
      </c>
      <c r="B122" s="13">
        <f>IF(H122="","",ROW()-4)</f>
        <v/>
      </c>
    </row>
    <row r="123">
      <c r="A123" s="13">
        <f>IF(H123="","",ROW()-4)</f>
        <v/>
      </c>
      <c r="B123" s="13">
        <f>IF(H123="","",ROW()-4)</f>
        <v/>
      </c>
    </row>
    <row r="124">
      <c r="A124" s="13">
        <f>IF(H124="","",ROW()-4)</f>
        <v/>
      </c>
      <c r="B124" s="13">
        <f>IF(H124="","",ROW()-4)</f>
        <v/>
      </c>
    </row>
    <row r="125">
      <c r="A125" s="13">
        <f>IF(H125="","",ROW()-4)</f>
        <v/>
      </c>
      <c r="B125" s="13">
        <f>IF(H125="","",ROW()-4)</f>
        <v/>
      </c>
    </row>
    <row r="126">
      <c r="A126" s="13">
        <f>IF(H126="","",ROW()-4)</f>
        <v/>
      </c>
      <c r="B126" s="13">
        <f>IF(H126="","",ROW()-4)</f>
        <v/>
      </c>
    </row>
    <row r="127">
      <c r="A127" s="13">
        <f>IF(H127="","",ROW()-4)</f>
        <v/>
      </c>
      <c r="B127" s="13">
        <f>IF(H127="","",ROW()-4)</f>
        <v/>
      </c>
    </row>
    <row r="128">
      <c r="A128" s="13">
        <f>IF(H128="","",ROW()-4)</f>
        <v/>
      </c>
      <c r="B128" s="13">
        <f>IF(H128="","",ROW()-4)</f>
        <v/>
      </c>
    </row>
    <row r="129">
      <c r="A129" s="13">
        <f>IF(H129="","",ROW()-4)</f>
        <v/>
      </c>
      <c r="B129" s="13">
        <f>IF(H129="","",ROW()-4)</f>
        <v/>
      </c>
    </row>
    <row r="130">
      <c r="A130" s="13">
        <f>IF(H130="","",ROW()-4)</f>
        <v/>
      </c>
      <c r="B130" s="13">
        <f>IF(H130="","",ROW()-4)</f>
        <v/>
      </c>
    </row>
    <row r="131">
      <c r="A131" s="13">
        <f>IF(H131="","",ROW()-4)</f>
        <v/>
      </c>
      <c r="B131" s="13">
        <f>IF(H131="","",ROW()-4)</f>
        <v/>
      </c>
    </row>
    <row r="132">
      <c r="A132" s="13">
        <f>IF(H132="","",ROW()-4)</f>
        <v/>
      </c>
      <c r="B132" s="13">
        <f>IF(H132="","",ROW()-4)</f>
        <v/>
      </c>
    </row>
    <row r="133">
      <c r="A133" s="13">
        <f>IF(H133="","",ROW()-4)</f>
        <v/>
      </c>
      <c r="B133" s="13">
        <f>IF(H133="","",ROW()-4)</f>
        <v/>
      </c>
    </row>
    <row r="134">
      <c r="A134" s="13">
        <f>IF(H134="","",ROW()-4)</f>
        <v/>
      </c>
      <c r="B134" s="13">
        <f>IF(H134="","",ROW()-4)</f>
        <v/>
      </c>
    </row>
    <row r="135">
      <c r="A135" s="13">
        <f>IF(H135="","",ROW()-4)</f>
        <v/>
      </c>
      <c r="B135" s="13">
        <f>IF(H135="","",ROW()-4)</f>
        <v/>
      </c>
    </row>
    <row r="136">
      <c r="A136" s="13">
        <f>IF(H136="","",ROW()-4)</f>
        <v/>
      </c>
      <c r="B136" s="13">
        <f>IF(H136="","",ROW()-4)</f>
        <v/>
      </c>
    </row>
    <row r="137">
      <c r="A137" s="13">
        <f>IF(H137="","",ROW()-4)</f>
        <v/>
      </c>
      <c r="B137" s="13">
        <f>IF(H137="","",ROW()-4)</f>
        <v/>
      </c>
    </row>
    <row r="138">
      <c r="A138" s="13">
        <f>IF(H138="","",ROW()-4)</f>
        <v/>
      </c>
      <c r="B138" s="13">
        <f>IF(H138="","",ROW()-4)</f>
        <v/>
      </c>
    </row>
    <row r="139">
      <c r="A139" s="13">
        <f>IF(H139="","",ROW()-4)</f>
        <v/>
      </c>
      <c r="B139" s="13">
        <f>IF(H139="","",ROW()-4)</f>
        <v/>
      </c>
    </row>
    <row r="140">
      <c r="A140" s="13">
        <f>IF(H140="","",ROW()-4)</f>
        <v/>
      </c>
      <c r="B140" s="13">
        <f>IF(H140="","",ROW()-4)</f>
        <v/>
      </c>
    </row>
    <row r="141">
      <c r="A141" s="13">
        <f>IF(H141="","",ROW()-4)</f>
        <v/>
      </c>
      <c r="B141" s="13">
        <f>IF(H141="","",ROW()-4)</f>
        <v/>
      </c>
    </row>
    <row r="142">
      <c r="A142" s="13">
        <f>IF(H142="","",ROW()-4)</f>
        <v/>
      </c>
      <c r="B142" s="13">
        <f>IF(H142="","",ROW()-4)</f>
        <v/>
      </c>
    </row>
    <row r="143">
      <c r="A143" s="13">
        <f>IF(H143="","",ROW()-4)</f>
        <v/>
      </c>
      <c r="B143" s="13">
        <f>IF(H143="","",ROW()-4)</f>
        <v/>
      </c>
    </row>
    <row r="144">
      <c r="A144" s="13">
        <f>IF(H144="","",ROW()-4)</f>
        <v/>
      </c>
      <c r="B144" s="13">
        <f>IF(H144="","",ROW()-4)</f>
        <v/>
      </c>
    </row>
    <row r="145">
      <c r="A145" s="13">
        <f>IF(H145="","",ROW()-4)</f>
        <v/>
      </c>
      <c r="B145" s="13">
        <f>IF(H145="","",ROW()-4)</f>
        <v/>
      </c>
    </row>
    <row r="146">
      <c r="A146" s="13">
        <f>IF(H146="","",ROW()-4)</f>
        <v/>
      </c>
      <c r="B146" s="13">
        <f>IF(H146="","",ROW()-4)</f>
        <v/>
      </c>
    </row>
    <row r="147">
      <c r="A147" s="13">
        <f>IF(H147="","",ROW()-4)</f>
        <v/>
      </c>
      <c r="B147" s="13">
        <f>IF(H147="","",ROW()-4)</f>
        <v/>
      </c>
    </row>
    <row r="148">
      <c r="A148" s="13">
        <f>IF(H148="","",ROW()-4)</f>
        <v/>
      </c>
      <c r="B148" s="13">
        <f>IF(H148="","",ROW()-4)</f>
        <v/>
      </c>
    </row>
    <row r="149">
      <c r="A149" s="13">
        <f>IF(H149="","",ROW()-4)</f>
        <v/>
      </c>
      <c r="B149" s="13">
        <f>IF(H149="","",ROW()-4)</f>
        <v/>
      </c>
    </row>
    <row r="150">
      <c r="A150" s="13">
        <f>IF(H150="","",ROW()-4)</f>
        <v/>
      </c>
      <c r="B150" s="13">
        <f>IF(H150="","",ROW()-4)</f>
        <v/>
      </c>
    </row>
    <row r="151">
      <c r="A151" s="13">
        <f>IF(H151="","",ROW()-4)</f>
        <v/>
      </c>
      <c r="B151" s="13">
        <f>IF(H151="","",ROW()-4)</f>
        <v/>
      </c>
    </row>
    <row r="152">
      <c r="A152" s="13">
        <f>IF(H152="","",ROW()-4)</f>
        <v/>
      </c>
      <c r="B152" s="13">
        <f>IF(H152="","",ROW()-4)</f>
        <v/>
      </c>
    </row>
    <row r="153">
      <c r="A153" s="13">
        <f>IF(H153="","",ROW()-4)</f>
        <v/>
      </c>
      <c r="B153" s="13">
        <f>IF(H153="","",ROW()-4)</f>
        <v/>
      </c>
    </row>
    <row r="154">
      <c r="A154" s="13">
        <f>IF(H154="","",ROW()-4)</f>
        <v/>
      </c>
      <c r="B154" s="13">
        <f>IF(H154="","",ROW()-4)</f>
        <v/>
      </c>
    </row>
    <row r="155">
      <c r="A155" s="13">
        <f>IF(H155="","",ROW()-4)</f>
        <v/>
      </c>
      <c r="B155" s="13">
        <f>IF(H155="","",ROW()-4)</f>
        <v/>
      </c>
    </row>
    <row r="156">
      <c r="A156" s="13">
        <f>IF(H156="","",ROW()-4)</f>
        <v/>
      </c>
      <c r="B156" s="13">
        <f>IF(H156="","",ROW()-4)</f>
        <v/>
      </c>
    </row>
    <row r="157">
      <c r="A157" s="13">
        <f>IF(H157="","",ROW()-4)</f>
        <v/>
      </c>
      <c r="B157" s="13">
        <f>IF(H157="","",ROW()-4)</f>
        <v/>
      </c>
    </row>
    <row r="158">
      <c r="A158" s="13">
        <f>IF(H158="","",ROW()-4)</f>
        <v/>
      </c>
      <c r="B158" s="13">
        <f>IF(H158="","",ROW()-4)</f>
        <v/>
      </c>
    </row>
    <row r="159">
      <c r="A159" s="13">
        <f>IF(H159="","",ROW()-4)</f>
        <v/>
      </c>
      <c r="B159" s="13">
        <f>IF(H159="","",ROW()-4)</f>
        <v/>
      </c>
    </row>
    <row r="160">
      <c r="A160" s="13">
        <f>IF(H160="","",ROW()-4)</f>
        <v/>
      </c>
      <c r="B160" s="13">
        <f>IF(H160="","",ROW()-4)</f>
        <v/>
      </c>
    </row>
    <row r="161">
      <c r="A161" s="13">
        <f>IF(H161="","",ROW()-4)</f>
        <v/>
      </c>
      <c r="B161" s="13">
        <f>IF(H161="","",ROW()-4)</f>
        <v/>
      </c>
    </row>
    <row r="162">
      <c r="A162" s="13">
        <f>IF(H162="","",ROW()-4)</f>
        <v/>
      </c>
      <c r="B162" s="13">
        <f>IF(H162="","",ROW()-4)</f>
        <v/>
      </c>
    </row>
    <row r="163">
      <c r="A163" s="13">
        <f>IF(H163="","",ROW()-4)</f>
        <v/>
      </c>
      <c r="B163" s="13">
        <f>IF(H163="","",ROW()-4)</f>
        <v/>
      </c>
    </row>
    <row r="164">
      <c r="A164" s="13">
        <f>IF(H164="","",ROW()-4)</f>
        <v/>
      </c>
      <c r="B164" s="13">
        <f>IF(H164="","",ROW()-4)</f>
        <v/>
      </c>
    </row>
    <row r="165">
      <c r="A165" s="13">
        <f>IF(H165="","",ROW()-4)</f>
        <v/>
      </c>
      <c r="B165" s="13">
        <f>IF(H165="","",ROW()-4)</f>
        <v/>
      </c>
    </row>
    <row r="166">
      <c r="A166" s="13">
        <f>IF(H166="","",ROW()-4)</f>
        <v/>
      </c>
      <c r="B166" s="13">
        <f>IF(H166="","",ROW()-4)</f>
        <v/>
      </c>
    </row>
    <row r="167">
      <c r="A167" s="13">
        <f>IF(H167="","",ROW()-4)</f>
        <v/>
      </c>
      <c r="B167" s="13">
        <f>IF(H167="","",ROW()-4)</f>
        <v/>
      </c>
    </row>
    <row r="168">
      <c r="A168" s="13">
        <f>IF(H168="","",ROW()-4)</f>
        <v/>
      </c>
      <c r="B168" s="13">
        <f>IF(H168="","",ROW()-4)</f>
        <v/>
      </c>
    </row>
    <row r="169">
      <c r="A169" s="13">
        <f>IF(H169="","",ROW()-4)</f>
        <v/>
      </c>
      <c r="B169" s="13">
        <f>IF(H169="","",ROW()-4)</f>
        <v/>
      </c>
    </row>
    <row r="170">
      <c r="A170" s="13">
        <f>IF(H170="","",ROW()-4)</f>
        <v/>
      </c>
      <c r="B170" s="13">
        <f>IF(H170="","",ROW()-4)</f>
        <v/>
      </c>
    </row>
    <row r="171">
      <c r="A171" s="13">
        <f>IF(H171="","",ROW()-4)</f>
        <v/>
      </c>
      <c r="B171" s="13">
        <f>IF(H171="","",ROW()-4)</f>
        <v/>
      </c>
    </row>
    <row r="172">
      <c r="A172" s="13">
        <f>IF(H172="","",ROW()-4)</f>
        <v/>
      </c>
      <c r="B172" s="13">
        <f>IF(H172="","",ROW()-4)</f>
        <v/>
      </c>
    </row>
    <row r="173">
      <c r="A173" s="13">
        <f>IF(H173="","",ROW()-4)</f>
        <v/>
      </c>
      <c r="B173" s="13">
        <f>IF(H173="","",ROW()-4)</f>
        <v/>
      </c>
    </row>
    <row r="174">
      <c r="A174" s="13">
        <f>IF(H174="","",ROW()-4)</f>
        <v/>
      </c>
      <c r="B174" s="13">
        <f>IF(H174="","",ROW()-4)</f>
        <v/>
      </c>
    </row>
    <row r="175">
      <c r="A175" s="13">
        <f>IF(H175="","",ROW()-4)</f>
        <v/>
      </c>
      <c r="B175" s="13">
        <f>IF(H175="","",ROW()-4)</f>
        <v/>
      </c>
    </row>
    <row r="176">
      <c r="A176" s="13">
        <f>IF(H176="","",ROW()-4)</f>
        <v/>
      </c>
      <c r="B176" s="13">
        <f>IF(H176="","",ROW()-4)</f>
        <v/>
      </c>
    </row>
    <row r="177">
      <c r="A177" s="13">
        <f>IF(H177="","",ROW()-4)</f>
        <v/>
      </c>
      <c r="B177" s="13">
        <f>IF(H177="","",ROW()-4)</f>
        <v/>
      </c>
    </row>
    <row r="178">
      <c r="A178" s="13">
        <f>IF(H178="","",ROW()-4)</f>
        <v/>
      </c>
      <c r="B178" s="13">
        <f>IF(H178="","",ROW()-4)</f>
        <v/>
      </c>
    </row>
    <row r="179">
      <c r="A179" s="13">
        <f>IF(H179="","",ROW()-4)</f>
        <v/>
      </c>
      <c r="B179" s="13">
        <f>IF(H179="","",ROW()-4)</f>
        <v/>
      </c>
    </row>
    <row r="180">
      <c r="A180" s="13">
        <f>IF(H180="","",ROW()-4)</f>
        <v/>
      </c>
      <c r="B180" s="13">
        <f>IF(H180="","",ROW()-4)</f>
        <v/>
      </c>
    </row>
    <row r="181">
      <c r="A181" s="13">
        <f>IF(H181="","",ROW()-4)</f>
        <v/>
      </c>
      <c r="B181" s="13">
        <f>IF(H181="","",ROW()-4)</f>
        <v/>
      </c>
    </row>
    <row r="182">
      <c r="A182" s="13">
        <f>IF(H182="","",ROW()-4)</f>
        <v/>
      </c>
      <c r="B182" s="13">
        <f>IF(H182="","",ROW()-4)</f>
        <v/>
      </c>
    </row>
    <row r="183">
      <c r="A183" s="13">
        <f>IF(H183="","",ROW()-4)</f>
        <v/>
      </c>
      <c r="B183" s="13">
        <f>IF(H183="","",ROW()-4)</f>
        <v/>
      </c>
    </row>
    <row r="184">
      <c r="A184" s="13">
        <f>IF(H184="","",ROW()-4)</f>
        <v/>
      </c>
      <c r="B184" s="13">
        <f>IF(H184="","",ROW()-4)</f>
        <v/>
      </c>
    </row>
    <row r="185">
      <c r="A185" s="13">
        <f>IF(H185="","",ROW()-4)</f>
        <v/>
      </c>
      <c r="B185" s="13">
        <f>IF(H185="","",ROW()-4)</f>
        <v/>
      </c>
    </row>
    <row r="186">
      <c r="A186" s="13">
        <f>IF(H186="","",ROW()-4)</f>
        <v/>
      </c>
      <c r="B186" s="13">
        <f>IF(H186="","",ROW()-4)</f>
        <v/>
      </c>
    </row>
    <row r="187">
      <c r="A187" s="13">
        <f>IF(H187="","",ROW()-4)</f>
        <v/>
      </c>
      <c r="B187" s="13">
        <f>IF(H187="","",ROW()-4)</f>
        <v/>
      </c>
    </row>
    <row r="188">
      <c r="A188" s="13">
        <f>IF(H188="","",ROW()-4)</f>
        <v/>
      </c>
      <c r="B188" s="13">
        <f>IF(H188="","",ROW()-4)</f>
        <v/>
      </c>
    </row>
    <row r="189">
      <c r="A189" s="13">
        <f>IF(H189="","",ROW()-4)</f>
        <v/>
      </c>
      <c r="B189" s="13">
        <f>IF(H189="","",ROW()-4)</f>
        <v/>
      </c>
    </row>
    <row r="190">
      <c r="A190" s="13">
        <f>IF(H190="","",ROW()-4)</f>
        <v/>
      </c>
      <c r="B190" s="13">
        <f>IF(H190="","",ROW()-4)</f>
        <v/>
      </c>
    </row>
    <row r="191">
      <c r="A191" s="13">
        <f>IF(H191="","",ROW()-4)</f>
        <v/>
      </c>
      <c r="B191" s="13">
        <f>IF(H191="","",ROW()-4)</f>
        <v/>
      </c>
    </row>
    <row r="192">
      <c r="A192" s="13">
        <f>IF(H192="","",ROW()-4)</f>
        <v/>
      </c>
      <c r="B192" s="13">
        <f>IF(H192="","",ROW()-4)</f>
        <v/>
      </c>
    </row>
    <row r="193">
      <c r="A193" s="13">
        <f>IF(H193="","",ROW()-4)</f>
        <v/>
      </c>
      <c r="B193" s="13">
        <f>IF(H193="","",ROW()-4)</f>
        <v/>
      </c>
    </row>
    <row r="194">
      <c r="A194" s="13">
        <f>IF(H194="","",ROW()-4)</f>
        <v/>
      </c>
      <c r="B194" s="13">
        <f>IF(H194="","",ROW()-4)</f>
        <v/>
      </c>
    </row>
    <row r="195">
      <c r="A195" s="13">
        <f>IF(H195="","",ROW()-4)</f>
        <v/>
      </c>
      <c r="B195" s="13">
        <f>IF(H195="","",ROW()-4)</f>
        <v/>
      </c>
    </row>
    <row r="196">
      <c r="A196" s="13">
        <f>IF(H196="","",ROW()-4)</f>
        <v/>
      </c>
      <c r="B196" s="13">
        <f>IF(H196="","",ROW()-4)</f>
        <v/>
      </c>
    </row>
    <row r="197">
      <c r="A197" s="13">
        <f>IF(H197="","",ROW()-4)</f>
        <v/>
      </c>
      <c r="B197" s="13">
        <f>IF(H197="","",ROW()-4)</f>
        <v/>
      </c>
    </row>
    <row r="198">
      <c r="A198" s="13">
        <f>IF(H198="","",ROW()-4)</f>
        <v/>
      </c>
      <c r="B198" s="13">
        <f>IF(H198="","",ROW()-4)</f>
        <v/>
      </c>
    </row>
    <row r="199">
      <c r="A199" s="13">
        <f>IF(H199="","",ROW()-4)</f>
        <v/>
      </c>
      <c r="B199" s="13">
        <f>IF(H199="","",ROW()-4)</f>
        <v/>
      </c>
    </row>
    <row r="200">
      <c r="A200" s="13">
        <f>IF(H200="","",ROW()-4)</f>
        <v/>
      </c>
      <c r="B200" s="13">
        <f>IF(H200="","",ROW()-4)</f>
        <v/>
      </c>
    </row>
    <row r="201">
      <c r="A201" s="13">
        <f>IF(H201="","",ROW()-4)</f>
        <v/>
      </c>
      <c r="B201" s="13">
        <f>IF(H201="","",ROW()-4)</f>
        <v/>
      </c>
    </row>
    <row r="202">
      <c r="A202" s="13">
        <f>IF(H202="","",ROW()-4)</f>
        <v/>
      </c>
      <c r="B202" s="13">
        <f>IF(H202="","",ROW()-4)</f>
        <v/>
      </c>
    </row>
    <row r="203">
      <c r="A203" s="13">
        <f>IF(H203="","",ROW()-4)</f>
        <v/>
      </c>
      <c r="B203" s="13">
        <f>IF(H203="","",ROW()-4)</f>
        <v/>
      </c>
    </row>
    <row r="204">
      <c r="A204" s="13">
        <f>IF(H204="","",ROW()-4)</f>
        <v/>
      </c>
      <c r="B204" s="13">
        <f>IF(H204="","",ROW()-4)</f>
        <v/>
      </c>
    </row>
    <row r="205">
      <c r="A205" s="13">
        <f>IF(H205="","",ROW()-4)</f>
        <v/>
      </c>
      <c r="B205" s="13">
        <f>IF(H205="","",ROW()-4)</f>
        <v/>
      </c>
    </row>
    <row r="206">
      <c r="A206" s="13">
        <f>IF(H206="","",ROW()-4)</f>
        <v/>
      </c>
      <c r="B206" s="13">
        <f>IF(H206="","",ROW()-4)</f>
        <v/>
      </c>
    </row>
    <row r="207">
      <c r="A207" s="13">
        <f>IF(H207="","",ROW()-4)</f>
        <v/>
      </c>
      <c r="B207" s="13">
        <f>IF(H207="","",ROW()-4)</f>
        <v/>
      </c>
    </row>
    <row r="208">
      <c r="A208" s="13">
        <f>IF(H208="","",ROW()-4)</f>
        <v/>
      </c>
      <c r="B208" s="13">
        <f>IF(H208="","",ROW()-4)</f>
        <v/>
      </c>
    </row>
    <row r="209">
      <c r="A209" s="13">
        <f>IF(H209="","",ROW()-4)</f>
        <v/>
      </c>
      <c r="B209" s="13">
        <f>IF(H209="","",ROW()-4)</f>
        <v/>
      </c>
    </row>
    <row r="210">
      <c r="A210" s="13">
        <f>IF(H210="","",ROW()-4)</f>
        <v/>
      </c>
      <c r="B210" s="13">
        <f>IF(H210="","",ROW()-4)</f>
        <v/>
      </c>
    </row>
    <row r="211">
      <c r="A211" s="13">
        <f>IF(H211="","",ROW()-4)</f>
        <v/>
      </c>
      <c r="B211" s="13">
        <f>IF(H211="","",ROW()-4)</f>
        <v/>
      </c>
    </row>
    <row r="212">
      <c r="A212" s="13">
        <f>IF(H212="","",ROW()-4)</f>
        <v/>
      </c>
      <c r="B212" s="13">
        <f>IF(H212="","",ROW()-4)</f>
        <v/>
      </c>
    </row>
    <row r="213">
      <c r="A213" s="13">
        <f>IF(H213="","",ROW()-4)</f>
        <v/>
      </c>
      <c r="B213" s="13">
        <f>IF(H213="","",ROW()-4)</f>
        <v/>
      </c>
    </row>
    <row r="214">
      <c r="A214" s="13">
        <f>IF(H214="","",ROW()-4)</f>
        <v/>
      </c>
      <c r="B214" s="13">
        <f>IF(H214="","",ROW()-4)</f>
        <v/>
      </c>
    </row>
    <row r="215">
      <c r="A215" s="13">
        <f>IF(H215="","",ROW()-4)</f>
        <v/>
      </c>
      <c r="B215" s="13">
        <f>IF(H215="","",ROW()-4)</f>
        <v/>
      </c>
    </row>
    <row r="216">
      <c r="A216" s="13">
        <f>IF(H216="","",ROW()-4)</f>
        <v/>
      </c>
      <c r="B216" s="13">
        <f>IF(H216="","",ROW()-4)</f>
        <v/>
      </c>
    </row>
    <row r="217">
      <c r="A217" s="13">
        <f>IF(H217="","",ROW()-4)</f>
        <v/>
      </c>
      <c r="B217" s="13">
        <f>IF(H217="","",ROW()-4)</f>
        <v/>
      </c>
    </row>
    <row r="218">
      <c r="A218" s="13">
        <f>IF(H218="","",ROW()-4)</f>
        <v/>
      </c>
      <c r="B218" s="13">
        <f>IF(H218="","",ROW()-4)</f>
        <v/>
      </c>
    </row>
    <row r="219">
      <c r="A219" s="13">
        <f>IF(H219="","",ROW()-4)</f>
        <v/>
      </c>
      <c r="B219" s="13">
        <f>IF(H219="","",ROW()-4)</f>
        <v/>
      </c>
    </row>
    <row r="220">
      <c r="A220" s="13">
        <f>IF(H220="","",ROW()-4)</f>
        <v/>
      </c>
      <c r="B220" s="13">
        <f>IF(H220="","",ROW()-4)</f>
        <v/>
      </c>
    </row>
    <row r="221">
      <c r="A221" s="13">
        <f>IF(H221="","",ROW()-4)</f>
        <v/>
      </c>
      <c r="B221" s="13">
        <f>IF(H221="","",ROW()-4)</f>
        <v/>
      </c>
    </row>
    <row r="222">
      <c r="A222" s="13">
        <f>IF(H222="","",ROW()-4)</f>
        <v/>
      </c>
      <c r="B222" s="13">
        <f>IF(H222="","",ROW()-4)</f>
        <v/>
      </c>
    </row>
    <row r="223">
      <c r="A223" s="13">
        <f>IF(H223="","",ROW()-4)</f>
        <v/>
      </c>
      <c r="B223" s="13">
        <f>IF(H223="","",ROW()-4)</f>
        <v/>
      </c>
    </row>
    <row r="224">
      <c r="A224" s="13">
        <f>IF(H224="","",ROW()-4)</f>
        <v/>
      </c>
      <c r="B224" s="13">
        <f>IF(H224="","",ROW()-4)</f>
        <v/>
      </c>
    </row>
    <row r="225">
      <c r="A225" s="13">
        <f>IF(H225="","",ROW()-4)</f>
        <v/>
      </c>
      <c r="B225" s="13">
        <f>IF(H225="","",ROW()-4)</f>
        <v/>
      </c>
    </row>
    <row r="226">
      <c r="A226" s="13">
        <f>IF(H226="","",ROW()-4)</f>
        <v/>
      </c>
      <c r="B226" s="13">
        <f>IF(H226="","",ROW()-4)</f>
        <v/>
      </c>
    </row>
    <row r="227">
      <c r="A227" s="13">
        <f>IF(H227="","",ROW()-4)</f>
        <v/>
      </c>
      <c r="B227" s="13">
        <f>IF(H227="","",ROW()-4)</f>
        <v/>
      </c>
    </row>
    <row r="228">
      <c r="A228" s="13">
        <f>IF(H228="","",ROW()-4)</f>
        <v/>
      </c>
      <c r="B228" s="13">
        <f>IF(H228="","",ROW()-4)</f>
        <v/>
      </c>
    </row>
    <row r="229">
      <c r="A229" s="13">
        <f>IF(H229="","",ROW()-4)</f>
        <v/>
      </c>
      <c r="B229" s="13">
        <f>IF(H229="","",ROW()-4)</f>
        <v/>
      </c>
    </row>
    <row r="230">
      <c r="A230" s="13">
        <f>IF(H230="","",ROW()-4)</f>
        <v/>
      </c>
      <c r="B230" s="13">
        <f>IF(H230="","",ROW()-4)</f>
        <v/>
      </c>
    </row>
    <row r="231">
      <c r="A231" s="13">
        <f>IF(H231="","",ROW()-4)</f>
        <v/>
      </c>
      <c r="B231" s="13">
        <f>IF(H231="","",ROW()-4)</f>
        <v/>
      </c>
    </row>
    <row r="232">
      <c r="A232" s="13">
        <f>IF(H232="","",ROW()-4)</f>
        <v/>
      </c>
      <c r="B232" s="13">
        <f>IF(H232="","",ROW()-4)</f>
        <v/>
      </c>
    </row>
    <row r="233">
      <c r="A233" s="13">
        <f>IF(H233="","",ROW()-4)</f>
        <v/>
      </c>
      <c r="B233" s="13">
        <f>IF(H233="","",ROW()-4)</f>
        <v/>
      </c>
    </row>
    <row r="234">
      <c r="A234" s="13">
        <f>IF(H234="","",ROW()-4)</f>
        <v/>
      </c>
      <c r="B234" s="13">
        <f>IF(H234="","",ROW()-4)</f>
        <v/>
      </c>
    </row>
    <row r="235">
      <c r="A235" s="13">
        <f>IF(H235="","",ROW()-4)</f>
        <v/>
      </c>
      <c r="B235" s="13">
        <f>IF(H235="","",ROW()-4)</f>
        <v/>
      </c>
    </row>
    <row r="236">
      <c r="A236" s="13">
        <f>IF(H236="","",ROW()-4)</f>
        <v/>
      </c>
      <c r="B236" s="13">
        <f>IF(H236="","",ROW()-4)</f>
        <v/>
      </c>
    </row>
    <row r="237">
      <c r="A237" s="13">
        <f>IF(H237="","",ROW()-4)</f>
        <v/>
      </c>
      <c r="B237" s="13">
        <f>IF(H237="","",ROW()-4)</f>
        <v/>
      </c>
    </row>
    <row r="238">
      <c r="A238" s="13">
        <f>IF(H238="","",ROW()-4)</f>
        <v/>
      </c>
      <c r="B238" s="13">
        <f>IF(H238="","",ROW()-4)</f>
        <v/>
      </c>
    </row>
    <row r="239">
      <c r="A239" s="13">
        <f>IF(H239="","",ROW()-4)</f>
        <v/>
      </c>
      <c r="B239" s="13">
        <f>IF(H239="","",ROW()-4)</f>
        <v/>
      </c>
    </row>
    <row r="240">
      <c r="A240" s="13">
        <f>IF(H240="","",ROW()-4)</f>
        <v/>
      </c>
      <c r="B240" s="13">
        <f>IF(H240="","",ROW()-4)</f>
        <v/>
      </c>
    </row>
    <row r="241">
      <c r="A241" s="13">
        <f>IF(H241="","",ROW()-4)</f>
        <v/>
      </c>
      <c r="B241" s="13">
        <f>IF(H241="","",ROW()-4)</f>
        <v/>
      </c>
    </row>
    <row r="242">
      <c r="A242" s="13">
        <f>IF(H242="","",ROW()-4)</f>
        <v/>
      </c>
      <c r="B242" s="13">
        <f>IF(H242="","",ROW()-4)</f>
        <v/>
      </c>
    </row>
    <row r="243">
      <c r="A243" s="13">
        <f>IF(H243="","",ROW()-4)</f>
        <v/>
      </c>
      <c r="B243" s="13">
        <f>IF(H243="","",ROW()-4)</f>
        <v/>
      </c>
    </row>
    <row r="244">
      <c r="A244" s="13">
        <f>IF(H244="","",ROW()-4)</f>
        <v/>
      </c>
      <c r="B244" s="13">
        <f>IF(H244="","",ROW()-4)</f>
        <v/>
      </c>
    </row>
    <row r="245">
      <c r="A245" s="13">
        <f>IF(H245="","",ROW()-4)</f>
        <v/>
      </c>
      <c r="B245" s="13">
        <f>IF(H245="","",ROW()-4)</f>
        <v/>
      </c>
    </row>
    <row r="246">
      <c r="A246" s="13">
        <f>IF(H246="","",ROW()-4)</f>
        <v/>
      </c>
      <c r="B246" s="13">
        <f>IF(H246="","",ROW()-4)</f>
        <v/>
      </c>
    </row>
    <row r="247">
      <c r="A247" s="13">
        <f>IF(H247="","",ROW()-4)</f>
        <v/>
      </c>
      <c r="B247" s="13">
        <f>IF(H247="","",ROW()-4)</f>
        <v/>
      </c>
    </row>
    <row r="248">
      <c r="A248" s="13">
        <f>IF(H248="","",ROW()-4)</f>
        <v/>
      </c>
      <c r="B248" s="13">
        <f>IF(H248="","",ROW()-4)</f>
        <v/>
      </c>
    </row>
    <row r="249">
      <c r="A249" s="13">
        <f>IF(H249="","",ROW()-4)</f>
        <v/>
      </c>
      <c r="B249" s="13">
        <f>IF(H249="","",ROW()-4)</f>
        <v/>
      </c>
    </row>
    <row r="250">
      <c r="A250" s="13">
        <f>IF(H250="","",ROW()-4)</f>
        <v/>
      </c>
      <c r="B250" s="13">
        <f>IF(H250="","",ROW()-4)</f>
        <v/>
      </c>
    </row>
    <row r="251">
      <c r="A251" s="13">
        <f>IF(H251="","",ROW()-4)</f>
        <v/>
      </c>
      <c r="B251" s="13">
        <f>IF(H251="","",ROW()-4)</f>
        <v/>
      </c>
    </row>
    <row r="252">
      <c r="A252" s="13">
        <f>IF(H252="","",ROW()-4)</f>
        <v/>
      </c>
      <c r="B252" s="13">
        <f>IF(H252="","",ROW()-4)</f>
        <v/>
      </c>
    </row>
    <row r="253">
      <c r="A253" s="13">
        <f>IF(H253="","",ROW()-4)</f>
        <v/>
      </c>
      <c r="B253" s="13">
        <f>IF(H253="","",ROW()-4)</f>
        <v/>
      </c>
    </row>
    <row r="254">
      <c r="A254" s="13">
        <f>IF(H254="","",ROW()-4)</f>
        <v/>
      </c>
      <c r="B254" s="13">
        <f>IF(H254="","",ROW()-4)</f>
        <v/>
      </c>
    </row>
    <row r="255">
      <c r="A255" s="13">
        <f>IF(H255="","",ROW()-4)</f>
        <v/>
      </c>
      <c r="B255" s="13">
        <f>IF(H255="","",ROW()-4)</f>
        <v/>
      </c>
    </row>
    <row r="256">
      <c r="A256" s="13">
        <f>IF(H256="","",ROW()-4)</f>
        <v/>
      </c>
      <c r="B256" s="13">
        <f>IF(H256="","",ROW()-4)</f>
        <v/>
      </c>
    </row>
    <row r="257">
      <c r="A257" s="13">
        <f>IF(H257="","",ROW()-4)</f>
        <v/>
      </c>
      <c r="B257" s="13">
        <f>IF(H257="","",ROW()-4)</f>
        <v/>
      </c>
    </row>
    <row r="258">
      <c r="A258" s="13">
        <f>IF(H258="","",ROW()-4)</f>
        <v/>
      </c>
      <c r="B258" s="13">
        <f>IF(H258="","",ROW()-4)</f>
        <v/>
      </c>
    </row>
    <row r="259">
      <c r="A259" s="13">
        <f>IF(H259="","",ROW()-4)</f>
        <v/>
      </c>
      <c r="B259" s="13">
        <f>IF(H259="","",ROW()-4)</f>
        <v/>
      </c>
    </row>
    <row r="260">
      <c r="A260" s="13">
        <f>IF(H260="","",ROW()-4)</f>
        <v/>
      </c>
      <c r="B260" s="13">
        <f>IF(H260="","",ROW()-4)</f>
        <v/>
      </c>
    </row>
    <row r="261">
      <c r="A261" s="13">
        <f>IF(H261="","",ROW()-4)</f>
        <v/>
      </c>
      <c r="B261" s="13">
        <f>IF(H261="","",ROW()-4)</f>
        <v/>
      </c>
    </row>
    <row r="262">
      <c r="A262" s="13">
        <f>IF(H262="","",ROW()-4)</f>
        <v/>
      </c>
      <c r="B262" s="13">
        <f>IF(H262="","",ROW()-4)</f>
        <v/>
      </c>
    </row>
    <row r="263">
      <c r="A263" s="13">
        <f>IF(H263="","",ROW()-4)</f>
        <v/>
      </c>
      <c r="B263" s="13">
        <f>IF(H263="","",ROW()-4)</f>
        <v/>
      </c>
    </row>
    <row r="264">
      <c r="A264" s="13">
        <f>IF(H264="","",ROW()-4)</f>
        <v/>
      </c>
      <c r="B264" s="13">
        <f>IF(H264="","",ROW()-4)</f>
        <v/>
      </c>
    </row>
    <row r="265">
      <c r="A265" s="13">
        <f>IF(H265="","",ROW()-4)</f>
        <v/>
      </c>
      <c r="B265" s="13">
        <f>IF(H265="","",ROW()-4)</f>
        <v/>
      </c>
    </row>
    <row r="266">
      <c r="A266" s="13">
        <f>IF(H266="","",ROW()-4)</f>
        <v/>
      </c>
      <c r="B266" s="13">
        <f>IF(H266="","",ROW()-4)</f>
        <v/>
      </c>
    </row>
    <row r="267">
      <c r="A267" s="13">
        <f>IF(H267="","",ROW()-4)</f>
        <v/>
      </c>
      <c r="B267" s="13">
        <f>IF(H267="","",ROW()-4)</f>
        <v/>
      </c>
    </row>
    <row r="268">
      <c r="A268" s="13">
        <f>IF(H268="","",ROW()-4)</f>
        <v/>
      </c>
      <c r="B268" s="13">
        <f>IF(H268="","",ROW()-4)</f>
        <v/>
      </c>
    </row>
    <row r="269">
      <c r="A269" s="13">
        <f>IF(H269="","",ROW()-4)</f>
        <v/>
      </c>
      <c r="B269" s="13">
        <f>IF(H269="","",ROW()-4)</f>
        <v/>
      </c>
    </row>
    <row r="270">
      <c r="A270" s="13">
        <f>IF(H270="","",ROW()-4)</f>
        <v/>
      </c>
      <c r="B270" s="13">
        <f>IF(H270="","",ROW()-4)</f>
        <v/>
      </c>
    </row>
    <row r="271">
      <c r="A271" s="13">
        <f>IF(H271="","",ROW()-4)</f>
        <v/>
      </c>
      <c r="B271" s="13">
        <f>IF(H271="","",ROW()-4)</f>
        <v/>
      </c>
    </row>
    <row r="272">
      <c r="A272" s="13">
        <f>IF(H272="","",ROW()-4)</f>
        <v/>
      </c>
      <c r="B272" s="13">
        <f>IF(H272="","",ROW()-4)</f>
        <v/>
      </c>
    </row>
    <row r="273">
      <c r="A273" s="13">
        <f>IF(H273="","",ROW()-4)</f>
        <v/>
      </c>
      <c r="B273" s="13">
        <f>IF(H273="","",ROW()-4)</f>
        <v/>
      </c>
    </row>
    <row r="274">
      <c r="A274" s="13">
        <f>IF(H274="","",ROW()-4)</f>
        <v/>
      </c>
      <c r="B274" s="13">
        <f>IF(H274="","",ROW()-4)</f>
        <v/>
      </c>
    </row>
    <row r="275">
      <c r="A275" s="13">
        <f>IF(H275="","",ROW()-4)</f>
        <v/>
      </c>
      <c r="B275" s="13">
        <f>IF(H275="","",ROW()-4)</f>
        <v/>
      </c>
    </row>
    <row r="276">
      <c r="A276" s="13">
        <f>IF(H276="","",ROW()-4)</f>
        <v/>
      </c>
      <c r="B276" s="13">
        <f>IF(H276="","",ROW()-4)</f>
        <v/>
      </c>
    </row>
    <row r="277">
      <c r="A277" s="13">
        <f>IF(H277="","",ROW()-4)</f>
        <v/>
      </c>
      <c r="B277" s="13">
        <f>IF(H277="","",ROW()-4)</f>
        <v/>
      </c>
    </row>
    <row r="278">
      <c r="A278" s="13">
        <f>IF(H278="","",ROW()-4)</f>
        <v/>
      </c>
      <c r="B278" s="13">
        <f>IF(H278="","",ROW()-4)</f>
        <v/>
      </c>
    </row>
    <row r="279">
      <c r="A279" s="13">
        <f>IF(H279="","",ROW()-4)</f>
        <v/>
      </c>
      <c r="B279" s="13">
        <f>IF(H279="","",ROW()-4)</f>
        <v/>
      </c>
    </row>
    <row r="280">
      <c r="A280" s="13">
        <f>IF(H280="","",ROW()-4)</f>
        <v/>
      </c>
      <c r="B280" s="13">
        <f>IF(H280="","",ROW()-4)</f>
        <v/>
      </c>
    </row>
    <row r="281">
      <c r="A281" s="13">
        <f>IF(H281="","",ROW()-4)</f>
        <v/>
      </c>
      <c r="B281" s="13">
        <f>IF(H281="","",ROW()-4)</f>
        <v/>
      </c>
    </row>
    <row r="282">
      <c r="A282" s="13">
        <f>IF(H282="","",ROW()-4)</f>
        <v/>
      </c>
      <c r="B282" s="13">
        <f>IF(H282="","",ROW()-4)</f>
        <v/>
      </c>
    </row>
    <row r="283">
      <c r="A283" s="13">
        <f>IF(H283="","",ROW()-4)</f>
        <v/>
      </c>
      <c r="B283" s="13">
        <f>IF(H283="","",ROW()-4)</f>
        <v/>
      </c>
    </row>
    <row r="284">
      <c r="A284" s="13">
        <f>IF(H284="","",ROW()-4)</f>
        <v/>
      </c>
      <c r="B284" s="13">
        <f>IF(H284="","",ROW()-4)</f>
        <v/>
      </c>
    </row>
    <row r="285">
      <c r="A285" s="13">
        <f>IF(H285="","",ROW()-4)</f>
        <v/>
      </c>
      <c r="B285" s="13">
        <f>IF(H285="","",ROW()-4)</f>
        <v/>
      </c>
    </row>
    <row r="286">
      <c r="A286" s="13">
        <f>IF(H286="","",ROW()-4)</f>
        <v/>
      </c>
      <c r="B286" s="13">
        <f>IF(H286="","",ROW()-4)</f>
        <v/>
      </c>
    </row>
    <row r="287">
      <c r="A287" s="13">
        <f>IF(H287="","",ROW()-4)</f>
        <v/>
      </c>
      <c r="B287" s="13">
        <f>IF(H287="","",ROW()-4)</f>
        <v/>
      </c>
    </row>
    <row r="288">
      <c r="A288" s="13">
        <f>IF(H288="","",ROW()-4)</f>
        <v/>
      </c>
      <c r="B288" s="13">
        <f>IF(H288="","",ROW()-4)</f>
        <v/>
      </c>
    </row>
    <row r="289">
      <c r="A289" s="13">
        <f>IF(H289="","",ROW()-4)</f>
        <v/>
      </c>
      <c r="B289" s="13">
        <f>IF(H289="","",ROW()-4)</f>
        <v/>
      </c>
    </row>
    <row r="290">
      <c r="A290" s="13">
        <f>IF(H290="","",ROW()-4)</f>
        <v/>
      </c>
      <c r="B290" s="13">
        <f>IF(H290="","",ROW()-4)</f>
        <v/>
      </c>
    </row>
    <row r="291">
      <c r="A291" s="13">
        <f>IF(H291="","",ROW()-4)</f>
        <v/>
      </c>
      <c r="B291" s="13">
        <f>IF(H291="","",ROW()-4)</f>
        <v/>
      </c>
    </row>
    <row r="292">
      <c r="A292" s="13">
        <f>IF(H292="","",ROW()-4)</f>
        <v/>
      </c>
      <c r="B292" s="13">
        <f>IF(H292="","",ROW()-4)</f>
        <v/>
      </c>
    </row>
    <row r="293">
      <c r="A293" s="13">
        <f>IF(H293="","",ROW()-4)</f>
        <v/>
      </c>
      <c r="B293" s="13">
        <f>IF(H293="","",ROW()-4)</f>
        <v/>
      </c>
    </row>
    <row r="294">
      <c r="A294" s="13">
        <f>IF(H294="","",ROW()-4)</f>
        <v/>
      </c>
      <c r="B294" s="13">
        <f>IF(H294="","",ROW()-4)</f>
        <v/>
      </c>
    </row>
    <row r="295">
      <c r="A295" s="13">
        <f>IF(H295="","",ROW()-4)</f>
        <v/>
      </c>
      <c r="B295" s="13">
        <f>IF(H295="","",ROW()-4)</f>
        <v/>
      </c>
    </row>
    <row r="296">
      <c r="A296" s="13">
        <f>IF(H296="","",ROW()-4)</f>
        <v/>
      </c>
      <c r="B296" s="13">
        <f>IF(H296="","",ROW()-4)</f>
        <v/>
      </c>
    </row>
    <row r="297">
      <c r="A297" s="13">
        <f>IF(H297="","",ROW()-4)</f>
        <v/>
      </c>
      <c r="B297" s="13">
        <f>IF(H297="","",ROW()-4)</f>
        <v/>
      </c>
    </row>
    <row r="298">
      <c r="A298" s="13">
        <f>IF(H298="","",ROW()-4)</f>
        <v/>
      </c>
      <c r="B298" s="13">
        <f>IF(H298="","",ROW()-4)</f>
        <v/>
      </c>
    </row>
    <row r="299">
      <c r="A299" s="13">
        <f>IF(H299="","",ROW()-4)</f>
        <v/>
      </c>
      <c r="B299" s="13">
        <f>IF(H299="","",ROW()-4)</f>
        <v/>
      </c>
    </row>
    <row r="300">
      <c r="A300" s="13">
        <f>IF(H300="","",ROW()-4)</f>
        <v/>
      </c>
      <c r="B300" s="13">
        <f>IF(H300="","",ROW()-4)</f>
        <v/>
      </c>
    </row>
    <row r="301">
      <c r="A301" s="13">
        <f>IF(H301="","",ROW()-4)</f>
        <v/>
      </c>
      <c r="B301" s="13">
        <f>IF(H301="","",ROW()-4)</f>
        <v/>
      </c>
    </row>
    <row r="302">
      <c r="A302" s="13">
        <f>IF(H302="","",ROW()-4)</f>
        <v/>
      </c>
      <c r="B302" s="13">
        <f>IF(H302="","",ROW()-4)</f>
        <v/>
      </c>
    </row>
    <row r="303">
      <c r="A303" s="13">
        <f>IF(H303="","",ROW()-4)</f>
        <v/>
      </c>
      <c r="B303" s="13">
        <f>IF(H303="","",ROW()-4)</f>
        <v/>
      </c>
    </row>
    <row r="304">
      <c r="A304" s="13">
        <f>IF(H304="","",ROW()-4)</f>
        <v/>
      </c>
      <c r="B304" s="13">
        <f>IF(H304="","",ROW()-4)</f>
        <v/>
      </c>
    </row>
    <row r="305">
      <c r="A305" s="13">
        <f>IF(H305="","",ROW()-4)</f>
        <v/>
      </c>
      <c r="B305" s="13">
        <f>IF(H305="","",ROW()-4)</f>
        <v/>
      </c>
    </row>
    <row r="306">
      <c r="A306" s="13">
        <f>IF(H306="","",ROW()-4)</f>
        <v/>
      </c>
      <c r="B306" s="13">
        <f>IF(H306="","",ROW()-4)</f>
        <v/>
      </c>
    </row>
    <row r="307">
      <c r="A307" s="13">
        <f>IF(H307="","",ROW()-4)</f>
        <v/>
      </c>
      <c r="B307" s="13">
        <f>IF(H307="","",ROW()-4)</f>
        <v/>
      </c>
    </row>
    <row r="308">
      <c r="A308" s="13">
        <f>IF(H308="","",ROW()-4)</f>
        <v/>
      </c>
      <c r="B308" s="13">
        <f>IF(H308="","",ROW()-4)</f>
        <v/>
      </c>
    </row>
    <row r="309">
      <c r="A309" s="13">
        <f>IF(H309="","",ROW()-4)</f>
        <v/>
      </c>
      <c r="B309" s="13">
        <f>IF(H309="","",ROW()-4)</f>
        <v/>
      </c>
    </row>
    <row r="310">
      <c r="A310" s="13">
        <f>IF(H310="","",ROW()-4)</f>
        <v/>
      </c>
      <c r="B310" s="13">
        <f>IF(H310="","",ROW()-4)</f>
        <v/>
      </c>
    </row>
    <row r="311">
      <c r="A311" s="13">
        <f>IF(H311="","",ROW()-4)</f>
        <v/>
      </c>
      <c r="B311" s="13">
        <f>IF(H311="","",ROW()-4)</f>
        <v/>
      </c>
    </row>
    <row r="312">
      <c r="A312" s="13">
        <f>IF(H312="","",ROW()-4)</f>
        <v/>
      </c>
      <c r="B312" s="13">
        <f>IF(H312="","",ROW()-4)</f>
        <v/>
      </c>
    </row>
    <row r="313">
      <c r="A313" s="13">
        <f>IF(H313="","",ROW()-4)</f>
        <v/>
      </c>
      <c r="B313" s="13">
        <f>IF(H313="","",ROW()-4)</f>
        <v/>
      </c>
    </row>
    <row r="314">
      <c r="A314" s="13">
        <f>IF(H314="","",ROW()-4)</f>
        <v/>
      </c>
      <c r="B314" s="13">
        <f>IF(H314="","",ROW()-4)</f>
        <v/>
      </c>
    </row>
    <row r="315">
      <c r="A315" s="13">
        <f>IF(H315="","",ROW()-4)</f>
        <v/>
      </c>
      <c r="B315" s="13">
        <f>IF(H315="","",ROW()-4)</f>
        <v/>
      </c>
    </row>
    <row r="316">
      <c r="A316" s="13">
        <f>IF(H316="","",ROW()-4)</f>
        <v/>
      </c>
      <c r="B316" s="13">
        <f>IF(H316="","",ROW()-4)</f>
        <v/>
      </c>
    </row>
    <row r="317">
      <c r="A317" s="13">
        <f>IF(H317="","",ROW()-4)</f>
        <v/>
      </c>
      <c r="B317" s="13">
        <f>IF(H317="","",ROW()-4)</f>
        <v/>
      </c>
    </row>
    <row r="318">
      <c r="A318" s="13">
        <f>IF(H318="","",ROW()-4)</f>
        <v/>
      </c>
      <c r="B318" s="13">
        <f>IF(H318="","",ROW()-4)</f>
        <v/>
      </c>
    </row>
    <row r="319">
      <c r="A319" s="13">
        <f>IF(H319="","",ROW()-4)</f>
        <v/>
      </c>
      <c r="B319" s="13">
        <f>IF(H319="","",ROW()-4)</f>
        <v/>
      </c>
    </row>
    <row r="320">
      <c r="A320" s="13">
        <f>IF(H320="","",ROW()-4)</f>
        <v/>
      </c>
      <c r="B320" s="13">
        <f>IF(H320="","",ROW()-4)</f>
        <v/>
      </c>
    </row>
    <row r="321">
      <c r="A321" s="13">
        <f>IF(H321="","",ROW()-4)</f>
        <v/>
      </c>
      <c r="B321" s="13">
        <f>IF(H321="","",ROW()-4)</f>
        <v/>
      </c>
    </row>
    <row r="322">
      <c r="A322" s="13">
        <f>IF(H322="","",ROW()-4)</f>
        <v/>
      </c>
      <c r="B322" s="13">
        <f>IF(H322="","",ROW()-4)</f>
        <v/>
      </c>
    </row>
    <row r="323">
      <c r="A323" s="13">
        <f>IF(H323="","",ROW()-4)</f>
        <v/>
      </c>
      <c r="B323" s="13">
        <f>IF(H323="","",ROW()-4)</f>
        <v/>
      </c>
    </row>
    <row r="324">
      <c r="A324" s="13">
        <f>IF(H324="","",ROW()-4)</f>
        <v/>
      </c>
      <c r="B324" s="13">
        <f>IF(H324="","",ROW()-4)</f>
        <v/>
      </c>
    </row>
    <row r="325">
      <c r="A325" s="13">
        <f>IF(H325="","",ROW()-4)</f>
        <v/>
      </c>
      <c r="B325" s="13">
        <f>IF(H325="","",ROW()-4)</f>
        <v/>
      </c>
    </row>
    <row r="326">
      <c r="A326" s="13">
        <f>IF(H326="","",ROW()-4)</f>
        <v/>
      </c>
      <c r="B326" s="13">
        <f>IF(H326="","",ROW()-4)</f>
        <v/>
      </c>
    </row>
    <row r="327">
      <c r="A327" s="13">
        <f>IF(H327="","",ROW()-4)</f>
        <v/>
      </c>
      <c r="B327" s="13">
        <f>IF(H327="","",ROW()-4)</f>
        <v/>
      </c>
    </row>
    <row r="328">
      <c r="A328" s="13">
        <f>IF(H328="","",ROW()-4)</f>
        <v/>
      </c>
      <c r="B328" s="13">
        <f>IF(H328="","",ROW()-4)</f>
        <v/>
      </c>
    </row>
    <row r="329">
      <c r="A329" s="13">
        <f>IF(H329="","",ROW()-4)</f>
        <v/>
      </c>
      <c r="B329" s="13">
        <f>IF(H329="","",ROW()-4)</f>
        <v/>
      </c>
    </row>
    <row r="330">
      <c r="A330" s="13">
        <f>IF(H330="","",ROW()-4)</f>
        <v/>
      </c>
      <c r="B330" s="13">
        <f>IF(H330="","",ROW()-4)</f>
        <v/>
      </c>
    </row>
    <row r="331">
      <c r="A331" s="13">
        <f>IF(H331="","",ROW()-4)</f>
        <v/>
      </c>
      <c r="B331" s="13">
        <f>IF(H331="","",ROW()-4)</f>
        <v/>
      </c>
    </row>
    <row r="332">
      <c r="A332" s="13">
        <f>IF(H332="","",ROW()-4)</f>
        <v/>
      </c>
      <c r="B332" s="13">
        <f>IF(H332="","",ROW()-4)</f>
        <v/>
      </c>
    </row>
    <row r="333">
      <c r="A333" s="13">
        <f>IF(H333="","",ROW()-4)</f>
        <v/>
      </c>
      <c r="B333" s="13">
        <f>IF(H333="","",ROW()-4)</f>
        <v/>
      </c>
    </row>
    <row r="334">
      <c r="A334" s="13">
        <f>IF(H334="","",ROW()-4)</f>
        <v/>
      </c>
      <c r="B334" s="13">
        <f>IF(H334="","",ROW()-4)</f>
        <v/>
      </c>
    </row>
    <row r="335">
      <c r="A335" s="13">
        <f>IF(H335="","",ROW()-4)</f>
        <v/>
      </c>
      <c r="B335" s="13">
        <f>IF(H335="","",ROW()-4)</f>
        <v/>
      </c>
    </row>
    <row r="336">
      <c r="A336" s="13">
        <f>IF(H336="","",ROW()-4)</f>
        <v/>
      </c>
      <c r="B336" s="13">
        <f>IF(H336="","",ROW()-4)</f>
        <v/>
      </c>
    </row>
    <row r="337">
      <c r="A337" s="13">
        <f>IF(H337="","",ROW()-4)</f>
        <v/>
      </c>
      <c r="B337" s="13">
        <f>IF(H337="","",ROW()-4)</f>
        <v/>
      </c>
    </row>
    <row r="338">
      <c r="A338" s="13">
        <f>IF(H338="","",ROW()-4)</f>
        <v/>
      </c>
      <c r="B338" s="13">
        <f>IF(H338="","",ROW()-4)</f>
        <v/>
      </c>
    </row>
    <row r="339">
      <c r="A339" s="13">
        <f>IF(H339="","",ROW()-4)</f>
        <v/>
      </c>
      <c r="B339" s="13">
        <f>IF(H339="","",ROW()-4)</f>
        <v/>
      </c>
    </row>
    <row r="340">
      <c r="A340" s="13">
        <f>IF(H340="","",ROW()-4)</f>
        <v/>
      </c>
      <c r="B340" s="13">
        <f>IF(H340="","",ROW()-4)</f>
        <v/>
      </c>
    </row>
    <row r="341">
      <c r="A341" s="13">
        <f>IF(H341="","",ROW()-4)</f>
        <v/>
      </c>
      <c r="B341" s="13">
        <f>IF(H341="","",ROW()-4)</f>
        <v/>
      </c>
    </row>
    <row r="342">
      <c r="A342" s="13">
        <f>IF(H342="","",ROW()-4)</f>
        <v/>
      </c>
      <c r="B342" s="13">
        <f>IF(H342="","",ROW()-4)</f>
        <v/>
      </c>
    </row>
    <row r="343">
      <c r="A343" s="13">
        <f>IF(H343="","",ROW()-4)</f>
        <v/>
      </c>
      <c r="B343" s="13">
        <f>IF(H343="","",ROW()-4)</f>
        <v/>
      </c>
    </row>
    <row r="344">
      <c r="A344" s="13">
        <f>IF(H344="","",ROW()-4)</f>
        <v/>
      </c>
      <c r="B344" s="13">
        <f>IF(H344="","",ROW()-4)</f>
        <v/>
      </c>
    </row>
    <row r="345">
      <c r="A345" s="13">
        <f>IF(H345="","",ROW()-4)</f>
        <v/>
      </c>
      <c r="B345" s="13">
        <f>IF(H345="","",ROW()-4)</f>
        <v/>
      </c>
    </row>
    <row r="346">
      <c r="A346" s="13">
        <f>IF(H346="","",ROW()-4)</f>
        <v/>
      </c>
      <c r="B346" s="13">
        <f>IF(H346="","",ROW()-4)</f>
        <v/>
      </c>
    </row>
    <row r="347">
      <c r="A347" s="13">
        <f>IF(H347="","",ROW()-4)</f>
        <v/>
      </c>
      <c r="B347" s="13">
        <f>IF(H347="","",ROW()-4)</f>
        <v/>
      </c>
    </row>
    <row r="348">
      <c r="A348" s="13">
        <f>IF(H348="","",ROW()-4)</f>
        <v/>
      </c>
      <c r="B348" s="13">
        <f>IF(H348="","",ROW()-4)</f>
        <v/>
      </c>
    </row>
    <row r="349">
      <c r="A349" s="13">
        <f>IF(H349="","",ROW()-4)</f>
        <v/>
      </c>
      <c r="B349" s="13">
        <f>IF(H349="","",ROW()-4)</f>
        <v/>
      </c>
    </row>
    <row r="350">
      <c r="A350" s="13">
        <f>IF(H350="","",ROW()-4)</f>
        <v/>
      </c>
      <c r="B350" s="13">
        <f>IF(H350="","",ROW()-4)</f>
        <v/>
      </c>
    </row>
    <row r="351">
      <c r="A351" s="13">
        <f>IF(H351="","",ROW()-4)</f>
        <v/>
      </c>
      <c r="B351" s="13">
        <f>IF(H351="","",ROW()-4)</f>
        <v/>
      </c>
    </row>
    <row r="352">
      <c r="A352" s="13">
        <f>IF(H352="","",ROW()-4)</f>
        <v/>
      </c>
      <c r="B352" s="13">
        <f>IF(H352="","",ROW()-4)</f>
        <v/>
      </c>
    </row>
    <row r="353">
      <c r="A353" s="13">
        <f>IF(H353="","",ROW()-4)</f>
        <v/>
      </c>
      <c r="B353" s="13">
        <f>IF(H353="","",ROW()-4)</f>
        <v/>
      </c>
    </row>
    <row r="354">
      <c r="A354" s="13">
        <f>IF(H354="","",ROW()-4)</f>
        <v/>
      </c>
      <c r="B354" s="13">
        <f>IF(H354="","",ROW()-4)</f>
        <v/>
      </c>
    </row>
    <row r="355">
      <c r="A355" s="13">
        <f>IF(H355="","",ROW()-4)</f>
        <v/>
      </c>
      <c r="B355" s="13">
        <f>IF(H355="","",ROW()-4)</f>
        <v/>
      </c>
    </row>
    <row r="356">
      <c r="A356" s="13">
        <f>IF(H356="","",ROW()-4)</f>
        <v/>
      </c>
      <c r="B356" s="13">
        <f>IF(H356="","",ROW()-4)</f>
        <v/>
      </c>
    </row>
    <row r="357">
      <c r="A357" s="13">
        <f>IF(H357="","",ROW()-4)</f>
        <v/>
      </c>
      <c r="B357" s="13">
        <f>IF(H357="","",ROW()-4)</f>
        <v/>
      </c>
    </row>
    <row r="358">
      <c r="A358" s="13">
        <f>IF(H358="","",ROW()-4)</f>
        <v/>
      </c>
      <c r="B358" s="13">
        <f>IF(H358="","",ROW()-4)</f>
        <v/>
      </c>
    </row>
    <row r="359">
      <c r="A359" s="13">
        <f>IF(H359="","",ROW()-4)</f>
        <v/>
      </c>
      <c r="B359" s="13">
        <f>IF(H359="","",ROW()-4)</f>
        <v/>
      </c>
    </row>
    <row r="360">
      <c r="A360" s="13">
        <f>IF(H360="","",ROW()-4)</f>
        <v/>
      </c>
      <c r="B360" s="13">
        <f>IF(H360="","",ROW()-4)</f>
        <v/>
      </c>
    </row>
    <row r="361">
      <c r="A361" s="13">
        <f>IF(H361="","",ROW()-4)</f>
        <v/>
      </c>
      <c r="B361" s="13">
        <f>IF(H361="","",ROW()-4)</f>
        <v/>
      </c>
    </row>
    <row r="362">
      <c r="A362" s="13">
        <f>IF(H362="","",ROW()-4)</f>
        <v/>
      </c>
      <c r="B362" s="13">
        <f>IF(H362="","",ROW()-4)</f>
        <v/>
      </c>
    </row>
    <row r="363">
      <c r="A363" s="13">
        <f>IF(H363="","",ROW()-4)</f>
        <v/>
      </c>
      <c r="B363" s="13">
        <f>IF(H363="","",ROW()-4)</f>
        <v/>
      </c>
    </row>
    <row r="364">
      <c r="A364" s="13">
        <f>IF(H364="","",ROW()-4)</f>
        <v/>
      </c>
      <c r="B364" s="13">
        <f>IF(H364="","",ROW()-4)</f>
        <v/>
      </c>
    </row>
    <row r="365">
      <c r="A365" s="13">
        <f>IF(H365="","",ROW()-4)</f>
        <v/>
      </c>
      <c r="B365" s="13">
        <f>IF(H365="","",ROW()-4)</f>
        <v/>
      </c>
    </row>
    <row r="366">
      <c r="A366" s="13">
        <f>IF(H366="","",ROW()-4)</f>
        <v/>
      </c>
      <c r="B366" s="13">
        <f>IF(H366="","",ROW()-4)</f>
        <v/>
      </c>
    </row>
    <row r="367">
      <c r="A367" s="13">
        <f>IF(H367="","",ROW()-4)</f>
        <v/>
      </c>
      <c r="B367" s="13">
        <f>IF(H367="","",ROW()-4)</f>
        <v/>
      </c>
    </row>
    <row r="368">
      <c r="A368" s="13">
        <f>IF(H368="","",ROW()-4)</f>
        <v/>
      </c>
      <c r="B368" s="13">
        <f>IF(H368="","",ROW()-4)</f>
        <v/>
      </c>
    </row>
    <row r="369">
      <c r="A369" s="13">
        <f>IF(H369="","",ROW()-4)</f>
        <v/>
      </c>
      <c r="B369" s="13">
        <f>IF(H369="","",ROW()-4)</f>
        <v/>
      </c>
    </row>
    <row r="370">
      <c r="A370" s="13">
        <f>IF(H370="","",ROW()-4)</f>
        <v/>
      </c>
      <c r="B370" s="13">
        <f>IF(H370="","",ROW()-4)</f>
        <v/>
      </c>
    </row>
    <row r="371">
      <c r="A371" s="13">
        <f>IF(H371="","",ROW()-4)</f>
        <v/>
      </c>
      <c r="B371" s="13">
        <f>IF(H371="","",ROW()-4)</f>
        <v/>
      </c>
    </row>
    <row r="372">
      <c r="A372" s="13">
        <f>IF(H372="","",ROW()-4)</f>
        <v/>
      </c>
      <c r="B372" s="13">
        <f>IF(H372="","",ROW()-4)</f>
        <v/>
      </c>
    </row>
    <row r="373">
      <c r="A373" s="13">
        <f>IF(H373="","",ROW()-4)</f>
        <v/>
      </c>
      <c r="B373" s="13">
        <f>IF(H373="","",ROW()-4)</f>
        <v/>
      </c>
    </row>
    <row r="374">
      <c r="A374" s="13">
        <f>IF(H374="","",ROW()-4)</f>
        <v/>
      </c>
      <c r="B374" s="13">
        <f>IF(H374="","",ROW()-4)</f>
        <v/>
      </c>
    </row>
    <row r="375">
      <c r="A375" s="13">
        <f>IF(H375="","",ROW()-4)</f>
        <v/>
      </c>
      <c r="B375" s="13">
        <f>IF(H375="","",ROW()-4)</f>
        <v/>
      </c>
    </row>
    <row r="376">
      <c r="A376" s="13">
        <f>IF(H376="","",ROW()-4)</f>
        <v/>
      </c>
      <c r="B376" s="13">
        <f>IF(H376="","",ROW()-4)</f>
        <v/>
      </c>
    </row>
    <row r="377">
      <c r="A377" s="13">
        <f>IF(H377="","",ROW()-4)</f>
        <v/>
      </c>
      <c r="B377" s="13">
        <f>IF(H377="","",ROW()-4)</f>
        <v/>
      </c>
    </row>
    <row r="378">
      <c r="A378" s="13">
        <f>IF(H378="","",ROW()-4)</f>
        <v/>
      </c>
      <c r="B378" s="13">
        <f>IF(H378="","",ROW()-4)</f>
        <v/>
      </c>
    </row>
    <row r="379">
      <c r="A379" s="13">
        <f>IF(H379="","",ROW()-4)</f>
        <v/>
      </c>
      <c r="B379" s="13">
        <f>IF(H379="","",ROW()-4)</f>
        <v/>
      </c>
    </row>
    <row r="380">
      <c r="A380" s="13">
        <f>IF(H380="","",ROW()-4)</f>
        <v/>
      </c>
      <c r="B380" s="13">
        <f>IF(H380="","",ROW()-4)</f>
        <v/>
      </c>
    </row>
    <row r="381">
      <c r="A381" s="13">
        <f>IF(H381="","",ROW()-4)</f>
        <v/>
      </c>
      <c r="B381" s="13">
        <f>IF(H381="","",ROW()-4)</f>
        <v/>
      </c>
    </row>
    <row r="382">
      <c r="A382" s="13">
        <f>IF(H382="","",ROW()-4)</f>
        <v/>
      </c>
      <c r="B382" s="13">
        <f>IF(H382="","",ROW()-4)</f>
        <v/>
      </c>
    </row>
    <row r="383">
      <c r="A383" s="13">
        <f>IF(H383="","",ROW()-4)</f>
        <v/>
      </c>
      <c r="B383" s="13">
        <f>IF(H383="","",ROW()-4)</f>
        <v/>
      </c>
    </row>
    <row r="384">
      <c r="A384" s="13">
        <f>IF(H384="","",ROW()-4)</f>
        <v/>
      </c>
      <c r="B384" s="13">
        <f>IF(H384="","",ROW()-4)</f>
        <v/>
      </c>
    </row>
    <row r="385">
      <c r="A385" s="13">
        <f>IF(H385="","",ROW()-4)</f>
        <v/>
      </c>
      <c r="B385" s="13">
        <f>IF(H385="","",ROW()-4)</f>
        <v/>
      </c>
    </row>
    <row r="386">
      <c r="A386" s="13">
        <f>IF(H386="","",ROW()-4)</f>
        <v/>
      </c>
      <c r="B386" s="13">
        <f>IF(H386="","",ROW()-4)</f>
        <v/>
      </c>
    </row>
    <row r="387">
      <c r="A387" s="13">
        <f>IF(H387="","",ROW()-4)</f>
        <v/>
      </c>
      <c r="B387" s="13">
        <f>IF(H387="","",ROW()-4)</f>
        <v/>
      </c>
    </row>
    <row r="388">
      <c r="A388" s="13">
        <f>IF(H388="","",ROW()-4)</f>
        <v/>
      </c>
      <c r="B388" s="13">
        <f>IF(H388="","",ROW()-4)</f>
        <v/>
      </c>
    </row>
    <row r="389">
      <c r="A389" s="13">
        <f>IF(H389="","",ROW()-4)</f>
        <v/>
      </c>
      <c r="B389" s="13">
        <f>IF(H389="","",ROW()-4)</f>
        <v/>
      </c>
    </row>
    <row r="390">
      <c r="A390" s="13">
        <f>IF(H390="","",ROW()-4)</f>
        <v/>
      </c>
      <c r="B390" s="13">
        <f>IF(H390="","",ROW()-4)</f>
        <v/>
      </c>
    </row>
    <row r="391">
      <c r="A391" s="13">
        <f>IF(H391="","",ROW()-4)</f>
        <v/>
      </c>
      <c r="B391" s="13">
        <f>IF(H391="","",ROW()-4)</f>
        <v/>
      </c>
    </row>
    <row r="392">
      <c r="A392" s="13">
        <f>IF(H392="","",ROW()-4)</f>
        <v/>
      </c>
      <c r="B392" s="13">
        <f>IF(H392="","",ROW()-4)</f>
        <v/>
      </c>
    </row>
    <row r="393">
      <c r="A393" s="13">
        <f>IF(H393="","",ROW()-4)</f>
        <v/>
      </c>
      <c r="B393" s="13">
        <f>IF(H393="","",ROW()-4)</f>
        <v/>
      </c>
    </row>
    <row r="394">
      <c r="A394" s="13">
        <f>IF(H394="","",ROW()-4)</f>
        <v/>
      </c>
      <c r="B394" s="13">
        <f>IF(H394="","",ROW()-4)</f>
        <v/>
      </c>
    </row>
    <row r="395">
      <c r="A395" s="13">
        <f>IF(H395="","",ROW()-4)</f>
        <v/>
      </c>
      <c r="B395" s="13">
        <f>IF(H395="","",ROW()-4)</f>
        <v/>
      </c>
    </row>
    <row r="396">
      <c r="A396" s="13">
        <f>IF(H396="","",ROW()-4)</f>
        <v/>
      </c>
      <c r="B396" s="13">
        <f>IF(H396="","",ROW()-4)</f>
        <v/>
      </c>
    </row>
    <row r="397">
      <c r="A397" s="13">
        <f>IF(H397="","",ROW()-4)</f>
        <v/>
      </c>
      <c r="B397" s="13">
        <f>IF(H397="","",ROW()-4)</f>
        <v/>
      </c>
    </row>
    <row r="398">
      <c r="A398" s="13">
        <f>IF(H398="","",ROW()-4)</f>
        <v/>
      </c>
      <c r="B398" s="13">
        <f>IF(H398="","",ROW()-4)</f>
        <v/>
      </c>
    </row>
    <row r="399">
      <c r="A399" s="13">
        <f>IF(H399="","",ROW()-4)</f>
        <v/>
      </c>
      <c r="B399" s="13">
        <f>IF(H399="","",ROW()-4)</f>
        <v/>
      </c>
    </row>
    <row r="400">
      <c r="A400" s="13">
        <f>IF(H400="","",ROW()-4)</f>
        <v/>
      </c>
      <c r="B400" s="13">
        <f>IF(H400="","",ROW()-4)</f>
        <v/>
      </c>
    </row>
    <row r="401">
      <c r="A401" s="13">
        <f>IF(H401="","",ROW()-4)</f>
        <v/>
      </c>
      <c r="B401" s="13">
        <f>IF(H401="","",ROW()-4)</f>
        <v/>
      </c>
    </row>
    <row r="402">
      <c r="A402" s="13">
        <f>IF(H402="","",ROW()-4)</f>
        <v/>
      </c>
      <c r="B402" s="13">
        <f>IF(H402="","",ROW()-4)</f>
        <v/>
      </c>
    </row>
    <row r="403">
      <c r="A403" s="13">
        <f>IF(H403="","",ROW()-4)</f>
        <v/>
      </c>
      <c r="B403" s="13">
        <f>IF(H403="","",ROW()-4)</f>
        <v/>
      </c>
    </row>
    <row r="404">
      <c r="A404" s="13">
        <f>IF(H404="","",ROW()-4)</f>
        <v/>
      </c>
      <c r="B404" s="13">
        <f>IF(H404="","",ROW()-4)</f>
        <v/>
      </c>
    </row>
    <row r="405">
      <c r="A405" s="13">
        <f>IF(H405="","",ROW()-4)</f>
        <v/>
      </c>
      <c r="B405" s="13">
        <f>IF(H405="","",ROW()-4)</f>
        <v/>
      </c>
    </row>
    <row r="406">
      <c r="A406" s="13">
        <f>IF(H406="","",ROW()-4)</f>
        <v/>
      </c>
      <c r="B406" s="13">
        <f>IF(H406="","",ROW()-4)</f>
        <v/>
      </c>
    </row>
    <row r="407">
      <c r="A407" s="13">
        <f>IF(H407="","",ROW()-4)</f>
        <v/>
      </c>
      <c r="B407" s="13">
        <f>IF(H407="","",ROW()-4)</f>
        <v/>
      </c>
    </row>
    <row r="408">
      <c r="A408" s="13">
        <f>IF(H408="","",ROW()-4)</f>
        <v/>
      </c>
      <c r="B408" s="13">
        <f>IF(H408="","",ROW()-4)</f>
        <v/>
      </c>
    </row>
    <row r="409">
      <c r="A409" s="13">
        <f>IF(H409="","",ROW()-4)</f>
        <v/>
      </c>
      <c r="B409" s="13">
        <f>IF(H409="","",ROW()-4)</f>
        <v/>
      </c>
    </row>
    <row r="410">
      <c r="A410" s="13">
        <f>IF(H410="","",ROW()-4)</f>
        <v/>
      </c>
      <c r="B410" s="13">
        <f>IF(H410="","",ROW()-4)</f>
        <v/>
      </c>
    </row>
    <row r="411">
      <c r="A411" s="13">
        <f>IF(H411="","",ROW()-4)</f>
        <v/>
      </c>
      <c r="B411" s="13">
        <f>IF(H411="","",ROW()-4)</f>
        <v/>
      </c>
    </row>
    <row r="412">
      <c r="A412" s="13">
        <f>IF(H412="","",ROW()-4)</f>
        <v/>
      </c>
      <c r="B412" s="13">
        <f>IF(H412="","",ROW()-4)</f>
        <v/>
      </c>
    </row>
    <row r="413">
      <c r="A413" s="13">
        <f>IF(H413="","",ROW()-4)</f>
        <v/>
      </c>
      <c r="B413" s="13">
        <f>IF(H413="","",ROW()-4)</f>
        <v/>
      </c>
    </row>
    <row r="414">
      <c r="A414" s="13">
        <f>IF(H414="","",ROW()-4)</f>
        <v/>
      </c>
      <c r="B414" s="13">
        <f>IF(H414="","",ROW()-4)</f>
        <v/>
      </c>
    </row>
    <row r="415">
      <c r="A415" s="13">
        <f>IF(H415="","",ROW()-4)</f>
        <v/>
      </c>
      <c r="B415" s="13">
        <f>IF(H415="","",ROW()-4)</f>
        <v/>
      </c>
    </row>
    <row r="416">
      <c r="A416" s="13">
        <f>IF(H416="","",ROW()-4)</f>
        <v/>
      </c>
      <c r="B416" s="13">
        <f>IF(H416="","",ROW()-4)</f>
        <v/>
      </c>
    </row>
    <row r="417">
      <c r="A417" s="13">
        <f>IF(H417="","",ROW()-4)</f>
        <v/>
      </c>
      <c r="B417" s="13">
        <f>IF(H417="","",ROW()-4)</f>
        <v/>
      </c>
    </row>
    <row r="418">
      <c r="A418" s="13">
        <f>IF(H418="","",ROW()-4)</f>
        <v/>
      </c>
      <c r="B418" s="13">
        <f>IF(H418="","",ROW()-4)</f>
        <v/>
      </c>
    </row>
    <row r="419">
      <c r="A419" s="13">
        <f>IF(H419="","",ROW()-4)</f>
        <v/>
      </c>
      <c r="B419" s="13">
        <f>IF(H419="","",ROW()-4)</f>
        <v/>
      </c>
    </row>
    <row r="420">
      <c r="A420" s="13">
        <f>IF(H420="","",ROW()-4)</f>
        <v/>
      </c>
      <c r="B420" s="13">
        <f>IF(H420="","",ROW()-4)</f>
        <v/>
      </c>
    </row>
    <row r="421">
      <c r="A421" s="13">
        <f>IF(H421="","",ROW()-4)</f>
        <v/>
      </c>
      <c r="B421" s="13">
        <f>IF(H421="","",ROW()-4)</f>
        <v/>
      </c>
    </row>
    <row r="422">
      <c r="A422" s="13">
        <f>IF(H422="","",ROW()-4)</f>
        <v/>
      </c>
      <c r="B422" s="13">
        <f>IF(H422="","",ROW()-4)</f>
        <v/>
      </c>
    </row>
    <row r="423">
      <c r="A423" s="13">
        <f>IF(H423="","",ROW()-4)</f>
        <v/>
      </c>
      <c r="B423" s="13">
        <f>IF(H423="","",ROW()-4)</f>
        <v/>
      </c>
    </row>
    <row r="424">
      <c r="A424" s="13">
        <f>IF(H424="","",ROW()-4)</f>
        <v/>
      </c>
      <c r="B424" s="13">
        <f>IF(H424="","",ROW()-4)</f>
        <v/>
      </c>
    </row>
    <row r="425">
      <c r="A425" s="13">
        <f>IF(H425="","",ROW()-4)</f>
        <v/>
      </c>
      <c r="B425" s="13">
        <f>IF(H425="","",ROW()-4)</f>
        <v/>
      </c>
    </row>
    <row r="426">
      <c r="A426" s="13">
        <f>IF(H426="","",ROW()-4)</f>
        <v/>
      </c>
      <c r="B426" s="13">
        <f>IF(H426="","",ROW()-4)</f>
        <v/>
      </c>
    </row>
    <row r="427">
      <c r="A427" s="13">
        <f>IF(H427="","",ROW()-4)</f>
        <v/>
      </c>
      <c r="B427" s="13">
        <f>IF(H427="","",ROW()-4)</f>
        <v/>
      </c>
    </row>
    <row r="428">
      <c r="A428" s="13">
        <f>IF(H428="","",ROW()-4)</f>
        <v/>
      </c>
      <c r="B428" s="13">
        <f>IF(H428="","",ROW()-4)</f>
        <v/>
      </c>
    </row>
    <row r="429">
      <c r="A429" s="13">
        <f>IF(H429="","",ROW()-4)</f>
        <v/>
      </c>
      <c r="B429" s="13">
        <f>IF(H429="","",ROW()-4)</f>
        <v/>
      </c>
    </row>
    <row r="430">
      <c r="A430" s="13">
        <f>IF(H430="","",ROW()-4)</f>
        <v/>
      </c>
      <c r="B430" s="13">
        <f>IF(H430="","",ROW()-4)</f>
        <v/>
      </c>
    </row>
    <row r="431">
      <c r="A431" s="13">
        <f>IF(H431="","",ROW()-4)</f>
        <v/>
      </c>
      <c r="B431" s="13">
        <f>IF(H431="","",ROW()-4)</f>
        <v/>
      </c>
    </row>
    <row r="432">
      <c r="A432" s="13">
        <f>IF(H432="","",ROW()-4)</f>
        <v/>
      </c>
      <c r="B432" s="13">
        <f>IF(H432="","",ROW()-4)</f>
        <v/>
      </c>
    </row>
    <row r="433">
      <c r="A433" s="13">
        <f>IF(H433="","",ROW()-4)</f>
        <v/>
      </c>
      <c r="B433" s="13">
        <f>IF(H433="","",ROW()-4)</f>
        <v/>
      </c>
    </row>
    <row r="434">
      <c r="A434" s="13">
        <f>IF(H434="","",ROW()-4)</f>
        <v/>
      </c>
      <c r="B434" s="13">
        <f>IF(H434="","",ROW()-4)</f>
        <v/>
      </c>
    </row>
    <row r="435">
      <c r="A435" s="13">
        <f>IF(H435="","",ROW()-4)</f>
        <v/>
      </c>
      <c r="B435" s="13">
        <f>IF(H435="","",ROW()-4)</f>
        <v/>
      </c>
    </row>
    <row r="436">
      <c r="A436" s="13">
        <f>IF(H436="","",ROW()-4)</f>
        <v/>
      </c>
      <c r="B436" s="13">
        <f>IF(H436="","",ROW()-4)</f>
        <v/>
      </c>
    </row>
    <row r="437">
      <c r="A437" s="13">
        <f>IF(H437="","",ROW()-4)</f>
        <v/>
      </c>
      <c r="B437" s="13">
        <f>IF(H437="","",ROW()-4)</f>
        <v/>
      </c>
    </row>
    <row r="438">
      <c r="A438" s="13">
        <f>IF(H438="","",ROW()-4)</f>
        <v/>
      </c>
      <c r="B438" s="13">
        <f>IF(H438="","",ROW()-4)</f>
        <v/>
      </c>
    </row>
    <row r="439">
      <c r="A439" s="13">
        <f>IF(H439="","",ROW()-4)</f>
        <v/>
      </c>
      <c r="B439" s="13">
        <f>IF(H439="","",ROW()-4)</f>
        <v/>
      </c>
    </row>
    <row r="440">
      <c r="A440" s="13">
        <f>IF(H440="","",ROW()-4)</f>
        <v/>
      </c>
      <c r="B440" s="13">
        <f>IF(H440="","",ROW()-4)</f>
        <v/>
      </c>
    </row>
    <row r="441">
      <c r="A441" s="13">
        <f>IF(H441="","",ROW()-4)</f>
        <v/>
      </c>
      <c r="B441" s="13">
        <f>IF(H441="","",ROW()-4)</f>
        <v/>
      </c>
    </row>
    <row r="442">
      <c r="A442" s="13">
        <f>IF(H442="","",ROW()-4)</f>
        <v/>
      </c>
      <c r="B442" s="13">
        <f>IF(H442="","",ROW()-4)</f>
        <v/>
      </c>
    </row>
    <row r="443">
      <c r="A443" s="13">
        <f>IF(H443="","",ROW()-4)</f>
        <v/>
      </c>
      <c r="B443" s="13">
        <f>IF(H443="","",ROW()-4)</f>
        <v/>
      </c>
    </row>
    <row r="444">
      <c r="A444" s="13">
        <f>IF(H444="","",ROW()-4)</f>
        <v/>
      </c>
      <c r="B444" s="13">
        <f>IF(H444="","",ROW()-4)</f>
        <v/>
      </c>
    </row>
    <row r="445">
      <c r="A445" s="13">
        <f>IF(H445="","",ROW()-4)</f>
        <v/>
      </c>
      <c r="B445" s="13">
        <f>IF(H445="","",ROW()-4)</f>
        <v/>
      </c>
    </row>
    <row r="446">
      <c r="A446" s="13">
        <f>IF(H446="","",ROW()-4)</f>
        <v/>
      </c>
      <c r="B446" s="13">
        <f>IF(H446="","",ROW()-4)</f>
        <v/>
      </c>
    </row>
    <row r="447">
      <c r="A447" s="13">
        <f>IF(H447="","",ROW()-4)</f>
        <v/>
      </c>
      <c r="B447" s="13">
        <f>IF(H447="","",ROW()-4)</f>
        <v/>
      </c>
    </row>
    <row r="448">
      <c r="A448" s="13">
        <f>IF(H448="","",ROW()-4)</f>
        <v/>
      </c>
      <c r="B448" s="13">
        <f>IF(H448="","",ROW()-4)</f>
        <v/>
      </c>
    </row>
    <row r="449">
      <c r="A449" s="13">
        <f>IF(H449="","",ROW()-4)</f>
        <v/>
      </c>
      <c r="B449" s="13">
        <f>IF(H449="","",ROW()-4)</f>
        <v/>
      </c>
    </row>
    <row r="450">
      <c r="A450" s="13">
        <f>IF(H450="","",ROW()-4)</f>
        <v/>
      </c>
      <c r="B450" s="13">
        <f>IF(H450="","",ROW()-4)</f>
        <v/>
      </c>
    </row>
    <row r="451">
      <c r="A451" s="13">
        <f>IF(H451="","",ROW()-4)</f>
        <v/>
      </c>
      <c r="B451" s="13">
        <f>IF(H451="","",ROW()-4)</f>
        <v/>
      </c>
    </row>
    <row r="452">
      <c r="A452" s="13">
        <f>IF(H452="","",ROW()-4)</f>
        <v/>
      </c>
      <c r="B452" s="13">
        <f>IF(H452="","",ROW()-4)</f>
        <v/>
      </c>
    </row>
    <row r="453">
      <c r="A453" s="13">
        <f>IF(H453="","",ROW()-4)</f>
        <v/>
      </c>
      <c r="B453" s="13">
        <f>IF(H453="","",ROW()-4)</f>
        <v/>
      </c>
    </row>
    <row r="454">
      <c r="A454" s="13">
        <f>IF(H454="","",ROW()-4)</f>
        <v/>
      </c>
      <c r="B454" s="13">
        <f>IF(H454="","",ROW()-4)</f>
        <v/>
      </c>
    </row>
    <row r="455">
      <c r="A455" s="13">
        <f>IF(H455="","",ROW()-4)</f>
        <v/>
      </c>
      <c r="B455" s="13">
        <f>IF(H455="","",ROW()-4)</f>
        <v/>
      </c>
    </row>
    <row r="456">
      <c r="A456" s="13">
        <f>IF(H456="","",ROW()-4)</f>
        <v/>
      </c>
      <c r="B456" s="13">
        <f>IF(H456="","",ROW()-4)</f>
        <v/>
      </c>
    </row>
    <row r="457">
      <c r="A457" s="13">
        <f>IF(H457="","",ROW()-4)</f>
        <v/>
      </c>
      <c r="B457" s="13">
        <f>IF(H457="","",ROW()-4)</f>
        <v/>
      </c>
    </row>
    <row r="458">
      <c r="A458" s="13">
        <f>IF(H458="","",ROW()-4)</f>
        <v/>
      </c>
      <c r="B458" s="13">
        <f>IF(H458="","",ROW()-4)</f>
        <v/>
      </c>
    </row>
    <row r="459">
      <c r="A459" s="13">
        <f>IF(H459="","",ROW()-4)</f>
        <v/>
      </c>
      <c r="B459" s="13">
        <f>IF(H459="","",ROW()-4)</f>
        <v/>
      </c>
    </row>
    <row r="460">
      <c r="A460" s="13">
        <f>IF(H460="","",ROW()-4)</f>
        <v/>
      </c>
      <c r="B460" s="13">
        <f>IF(H460="","",ROW()-4)</f>
        <v/>
      </c>
    </row>
    <row r="461">
      <c r="A461" s="13">
        <f>IF(H461="","",ROW()-4)</f>
        <v/>
      </c>
      <c r="B461" s="13">
        <f>IF(H461="","",ROW()-4)</f>
        <v/>
      </c>
    </row>
    <row r="462">
      <c r="A462" s="13">
        <f>IF(H462="","",ROW()-4)</f>
        <v/>
      </c>
      <c r="B462" s="13">
        <f>IF(H462="","",ROW()-4)</f>
        <v/>
      </c>
    </row>
    <row r="463">
      <c r="A463" s="13">
        <f>IF(H463="","",ROW()-4)</f>
        <v/>
      </c>
      <c r="B463" s="13">
        <f>IF(H463="","",ROW()-4)</f>
        <v/>
      </c>
    </row>
    <row r="464">
      <c r="A464" s="13">
        <f>IF(H464="","",ROW()-4)</f>
        <v/>
      </c>
      <c r="B464" s="13">
        <f>IF(H464="","",ROW()-4)</f>
        <v/>
      </c>
    </row>
    <row r="465">
      <c r="A465" s="13">
        <f>IF(H465="","",ROW()-4)</f>
        <v/>
      </c>
      <c r="B465" s="13">
        <f>IF(H465="","",ROW()-4)</f>
        <v/>
      </c>
    </row>
    <row r="466">
      <c r="A466" s="13">
        <f>IF(H466="","",ROW()-4)</f>
        <v/>
      </c>
      <c r="B466" s="13">
        <f>IF(H466="","",ROW()-4)</f>
        <v/>
      </c>
    </row>
    <row r="467">
      <c r="A467" s="13">
        <f>IF(H467="","",ROW()-4)</f>
        <v/>
      </c>
      <c r="B467" s="13">
        <f>IF(H467="","",ROW()-4)</f>
        <v/>
      </c>
    </row>
    <row r="468">
      <c r="A468" s="13">
        <f>IF(H468="","",ROW()-4)</f>
        <v/>
      </c>
      <c r="B468" s="13">
        <f>IF(H468="","",ROW()-4)</f>
        <v/>
      </c>
    </row>
    <row r="469">
      <c r="A469" s="13">
        <f>IF(H469="","",ROW()-4)</f>
        <v/>
      </c>
      <c r="B469" s="13">
        <f>IF(H469="","",ROW()-4)</f>
        <v/>
      </c>
    </row>
    <row r="470">
      <c r="A470" s="13">
        <f>IF(H470="","",ROW()-4)</f>
        <v/>
      </c>
      <c r="B470" s="13">
        <f>IF(H470="","",ROW()-4)</f>
        <v/>
      </c>
    </row>
    <row r="471">
      <c r="A471" s="13">
        <f>IF(H471="","",ROW()-4)</f>
        <v/>
      </c>
      <c r="B471" s="13">
        <f>IF(H471="","",ROW()-4)</f>
        <v/>
      </c>
    </row>
    <row r="472">
      <c r="A472" s="13">
        <f>IF(H472="","",ROW()-4)</f>
        <v/>
      </c>
      <c r="B472" s="13">
        <f>IF(H472="","",ROW()-4)</f>
        <v/>
      </c>
    </row>
    <row r="473">
      <c r="A473" s="13">
        <f>IF(H473="","",ROW()-4)</f>
        <v/>
      </c>
      <c r="B473" s="13">
        <f>IF(H473="","",ROW()-4)</f>
        <v/>
      </c>
    </row>
    <row r="474">
      <c r="A474" s="13">
        <f>IF(H474="","",ROW()-4)</f>
        <v/>
      </c>
      <c r="B474" s="13">
        <f>IF(H474="","",ROW()-4)</f>
        <v/>
      </c>
    </row>
    <row r="475">
      <c r="A475" s="13">
        <f>IF(H475="","",ROW()-4)</f>
        <v/>
      </c>
      <c r="B475" s="13">
        <f>IF(H475="","",ROW()-4)</f>
        <v/>
      </c>
    </row>
    <row r="476">
      <c r="A476" s="13">
        <f>IF(H476="","",ROW()-4)</f>
        <v/>
      </c>
      <c r="B476" s="13">
        <f>IF(H476="","",ROW()-4)</f>
        <v/>
      </c>
    </row>
    <row r="477">
      <c r="A477" s="13">
        <f>IF(H477="","",ROW()-4)</f>
        <v/>
      </c>
      <c r="B477" s="13">
        <f>IF(H477="","",ROW()-4)</f>
        <v/>
      </c>
    </row>
    <row r="478">
      <c r="A478" s="13">
        <f>IF(H478="","",ROW()-4)</f>
        <v/>
      </c>
      <c r="B478" s="13">
        <f>IF(H478="","",ROW()-4)</f>
        <v/>
      </c>
    </row>
    <row r="479">
      <c r="A479" s="13">
        <f>IF(H479="","",ROW()-4)</f>
        <v/>
      </c>
      <c r="B479" s="13">
        <f>IF(H479="","",ROW()-4)</f>
        <v/>
      </c>
    </row>
    <row r="480">
      <c r="A480" s="13">
        <f>IF(H480="","",ROW()-4)</f>
        <v/>
      </c>
      <c r="B480" s="13">
        <f>IF(H480="","",ROW()-4)</f>
        <v/>
      </c>
    </row>
    <row r="481">
      <c r="A481" s="13">
        <f>IF(H481="","",ROW()-4)</f>
        <v/>
      </c>
      <c r="B481" s="13">
        <f>IF(H481="","",ROW()-4)</f>
        <v/>
      </c>
    </row>
    <row r="482">
      <c r="A482" s="13">
        <f>IF(H482="","",ROW()-4)</f>
        <v/>
      </c>
      <c r="B482" s="13">
        <f>IF(H482="","",ROW()-4)</f>
        <v/>
      </c>
    </row>
    <row r="483">
      <c r="A483" s="13">
        <f>IF(H483="","",ROW()-4)</f>
        <v/>
      </c>
      <c r="B483" s="13">
        <f>IF(H483="","",ROW()-4)</f>
        <v/>
      </c>
    </row>
    <row r="484">
      <c r="A484" s="13">
        <f>IF(H484="","",ROW()-4)</f>
        <v/>
      </c>
      <c r="B484" s="13">
        <f>IF(H484="","",ROW()-4)</f>
        <v/>
      </c>
    </row>
    <row r="485">
      <c r="A485" s="13">
        <f>IF(H485="","",ROW()-4)</f>
        <v/>
      </c>
      <c r="B485" s="13">
        <f>IF(H485="","",ROW()-4)</f>
        <v/>
      </c>
    </row>
    <row r="486">
      <c r="A486" s="13">
        <f>IF(H486="","",ROW()-4)</f>
        <v/>
      </c>
      <c r="B486" s="13">
        <f>IF(H486="","",ROW()-4)</f>
        <v/>
      </c>
    </row>
    <row r="487">
      <c r="A487" s="13">
        <f>IF(H487="","",ROW()-4)</f>
        <v/>
      </c>
      <c r="B487" s="13">
        <f>IF(H487="","",ROW()-4)</f>
        <v/>
      </c>
    </row>
    <row r="488">
      <c r="A488" s="13">
        <f>IF(H488="","",ROW()-4)</f>
        <v/>
      </c>
      <c r="B488" s="13">
        <f>IF(H488="","",ROW()-4)</f>
        <v/>
      </c>
    </row>
    <row r="489">
      <c r="A489" s="13">
        <f>IF(H489="","",ROW()-4)</f>
        <v/>
      </c>
      <c r="B489" s="13">
        <f>IF(H489="","",ROW()-4)</f>
        <v/>
      </c>
    </row>
    <row r="490">
      <c r="A490" s="13">
        <f>IF(H490="","",ROW()-4)</f>
        <v/>
      </c>
      <c r="B490" s="13">
        <f>IF(H490="","",ROW()-4)</f>
        <v/>
      </c>
    </row>
    <row r="491">
      <c r="A491" s="13">
        <f>IF(H491="","",ROW()-4)</f>
        <v/>
      </c>
      <c r="B491" s="13">
        <f>IF(H491="","",ROW()-4)</f>
        <v/>
      </c>
    </row>
    <row r="492">
      <c r="A492" s="13">
        <f>IF(H492="","",ROW()-4)</f>
        <v/>
      </c>
      <c r="B492" s="13">
        <f>IF(H492="","",ROW()-4)</f>
        <v/>
      </c>
    </row>
    <row r="493">
      <c r="A493" s="13">
        <f>IF(H493="","",ROW()-4)</f>
        <v/>
      </c>
      <c r="B493" s="13">
        <f>IF(H493="","",ROW()-4)</f>
        <v/>
      </c>
    </row>
    <row r="494">
      <c r="A494" s="13">
        <f>IF(H494="","",ROW()-4)</f>
        <v/>
      </c>
      <c r="B494" s="13">
        <f>IF(H494="","",ROW()-4)</f>
        <v/>
      </c>
    </row>
    <row r="495">
      <c r="A495" s="13">
        <f>IF(H495="","",ROW()-4)</f>
        <v/>
      </c>
      <c r="B495" s="13">
        <f>IF(H495="","",ROW()-4)</f>
        <v/>
      </c>
    </row>
    <row r="496">
      <c r="A496" s="13">
        <f>IF(H496="","",ROW()-4)</f>
        <v/>
      </c>
      <c r="B496" s="13">
        <f>IF(H496="","",ROW()-4)</f>
        <v/>
      </c>
    </row>
    <row r="497">
      <c r="A497" s="13">
        <f>IF(H497="","",ROW()-4)</f>
        <v/>
      </c>
      <c r="B497" s="13">
        <f>IF(H497="","",ROW()-4)</f>
        <v/>
      </c>
    </row>
    <row r="498">
      <c r="A498" s="13">
        <f>IF(H498="","",ROW()-4)</f>
        <v/>
      </c>
      <c r="B498" s="13">
        <f>IF(H498="","",ROW()-4)</f>
        <v/>
      </c>
    </row>
    <row r="499">
      <c r="A499" s="13">
        <f>IF(H499="","",ROW()-4)</f>
        <v/>
      </c>
      <c r="B499" s="13">
        <f>IF(H499="","",ROW()-4)</f>
        <v/>
      </c>
    </row>
    <row r="500">
      <c r="A500" s="13">
        <f>IF(H500="","",ROW()-4)</f>
        <v/>
      </c>
      <c r="B500" s="13">
        <f>IF(H500="","",ROW()-4)</f>
        <v/>
      </c>
    </row>
    <row r="501">
      <c r="A501" s="13">
        <f>IF(H501="","",ROW()-4)</f>
        <v/>
      </c>
      <c r="B501" s="13">
        <f>IF(H501="","",ROW()-4)</f>
        <v/>
      </c>
    </row>
    <row r="502">
      <c r="A502" s="13">
        <f>IF(H502="","",ROW()-4)</f>
        <v/>
      </c>
      <c r="B502" s="13">
        <f>IF(H502="","",ROW()-4)</f>
        <v/>
      </c>
    </row>
    <row r="503">
      <c r="A503" s="13">
        <f>IF(H503="","",ROW()-4)</f>
        <v/>
      </c>
      <c r="B503" s="13">
        <f>IF(H503="","",ROW()-4)</f>
        <v/>
      </c>
    </row>
    <row r="504">
      <c r="A504" s="13">
        <f>IF(H504="","",ROW()-4)</f>
        <v/>
      </c>
      <c r="B504" s="13">
        <f>IF(H504="","",ROW()-4)</f>
        <v/>
      </c>
    </row>
    <row r="505">
      <c r="A505" s="13">
        <f>IF(H505="","",ROW()-4)</f>
        <v/>
      </c>
      <c r="B505" s="13">
        <f>IF(H505="","",ROW()-4)</f>
        <v/>
      </c>
    </row>
    <row r="506">
      <c r="A506" s="13">
        <f>IF(H506="","",ROW()-4)</f>
        <v/>
      </c>
      <c r="B506" s="13">
        <f>IF(H506="","",ROW()-4)</f>
        <v/>
      </c>
    </row>
    <row r="507">
      <c r="A507" s="13">
        <f>IF(H507="","",ROW()-4)</f>
        <v/>
      </c>
      <c r="B507" s="13">
        <f>IF(H507="","",ROW()-4)</f>
        <v/>
      </c>
    </row>
    <row r="508">
      <c r="A508" s="13">
        <f>IF(H508="","",ROW()-4)</f>
        <v/>
      </c>
      <c r="B508" s="13">
        <f>IF(H508="","",ROW()-4)</f>
        <v/>
      </c>
    </row>
    <row r="509">
      <c r="A509" s="13">
        <f>IF(H509="","",ROW()-4)</f>
        <v/>
      </c>
      <c r="B509" s="13">
        <f>IF(H509="","",ROW()-4)</f>
        <v/>
      </c>
    </row>
    <row r="510">
      <c r="A510" s="13">
        <f>IF(H510="","",ROW()-4)</f>
        <v/>
      </c>
      <c r="B510" s="13">
        <f>IF(H510="","",ROW()-4)</f>
        <v/>
      </c>
    </row>
    <row r="511">
      <c r="A511" s="13">
        <f>IF(H511="","",ROW()-4)</f>
        <v/>
      </c>
      <c r="B511" s="13">
        <f>IF(H511="","",ROW()-4)</f>
        <v/>
      </c>
    </row>
    <row r="512">
      <c r="A512" s="13">
        <f>IF(H512="","",ROW()-4)</f>
        <v/>
      </c>
      <c r="B512" s="13">
        <f>IF(H512="","",ROW()-4)</f>
        <v/>
      </c>
    </row>
    <row r="513">
      <c r="A513" s="13">
        <f>IF(H513="","",ROW()-4)</f>
        <v/>
      </c>
      <c r="B513" s="13">
        <f>IF(H513="","",ROW()-4)</f>
        <v/>
      </c>
    </row>
    <row r="514">
      <c r="A514" s="13">
        <f>IF(H514="","",ROW()-4)</f>
        <v/>
      </c>
      <c r="B514" s="13">
        <f>IF(H514="","",ROW()-4)</f>
        <v/>
      </c>
    </row>
    <row r="515">
      <c r="A515" s="13">
        <f>IF(H515="","",ROW()-4)</f>
        <v/>
      </c>
      <c r="B515" s="13">
        <f>IF(H515="","",ROW()-4)</f>
        <v/>
      </c>
    </row>
    <row r="516">
      <c r="A516" s="13">
        <f>IF(H516="","",ROW()-4)</f>
        <v/>
      </c>
      <c r="B516" s="13">
        <f>IF(H516="","",ROW()-4)</f>
        <v/>
      </c>
    </row>
    <row r="517">
      <c r="A517" s="13">
        <f>IF(H517="","",ROW()-4)</f>
        <v/>
      </c>
      <c r="B517" s="13">
        <f>IF(H517="","",ROW()-4)</f>
        <v/>
      </c>
    </row>
    <row r="518">
      <c r="A518" s="13">
        <f>IF(H518="","",ROW()-4)</f>
        <v/>
      </c>
      <c r="B518" s="13">
        <f>IF(H518="","",ROW()-4)</f>
        <v/>
      </c>
    </row>
    <row r="519">
      <c r="A519" s="13">
        <f>IF(H519="","",ROW()-4)</f>
        <v/>
      </c>
      <c r="B519" s="13">
        <f>IF(H519="","",ROW()-4)</f>
        <v/>
      </c>
    </row>
    <row r="520">
      <c r="A520" s="13">
        <f>IF(H520="","",ROW()-4)</f>
        <v/>
      </c>
      <c r="B520" s="13">
        <f>IF(H520="","",ROW()-4)</f>
        <v/>
      </c>
    </row>
    <row r="521">
      <c r="A521" s="13">
        <f>IF(H521="","",ROW()-4)</f>
        <v/>
      </c>
      <c r="B521" s="13">
        <f>IF(H521="","",ROW()-4)</f>
        <v/>
      </c>
    </row>
    <row r="522">
      <c r="A522" s="13">
        <f>IF(H522="","",ROW()-4)</f>
        <v/>
      </c>
      <c r="B522" s="13">
        <f>IF(H522="","",ROW()-4)</f>
        <v/>
      </c>
    </row>
    <row r="523">
      <c r="A523" s="13">
        <f>IF(H523="","",ROW()-4)</f>
        <v/>
      </c>
      <c r="B523" s="13">
        <f>IF(H523="","",ROW()-4)</f>
        <v/>
      </c>
    </row>
    <row r="524">
      <c r="A524" s="13">
        <f>IF(H524="","",ROW()-4)</f>
        <v/>
      </c>
      <c r="B524" s="13">
        <f>IF(H524="","",ROW()-4)</f>
        <v/>
      </c>
    </row>
    <row r="525">
      <c r="A525" s="13">
        <f>IF(H525="","",ROW()-4)</f>
        <v/>
      </c>
      <c r="B525" s="13">
        <f>IF(H525="","",ROW()-4)</f>
        <v/>
      </c>
    </row>
    <row r="526">
      <c r="A526" s="13">
        <f>IF(H526="","",ROW()-4)</f>
        <v/>
      </c>
      <c r="B526" s="13">
        <f>IF(H526="","",ROW()-4)</f>
        <v/>
      </c>
    </row>
    <row r="527">
      <c r="A527" s="13">
        <f>IF(H527="","",ROW()-4)</f>
        <v/>
      </c>
      <c r="B527" s="13">
        <f>IF(H527="","",ROW()-4)</f>
        <v/>
      </c>
    </row>
    <row r="528">
      <c r="A528" s="13">
        <f>IF(H528="","",ROW()-4)</f>
        <v/>
      </c>
      <c r="B528" s="13">
        <f>IF(H528="","",ROW()-4)</f>
        <v/>
      </c>
    </row>
    <row r="529">
      <c r="A529" s="13">
        <f>IF(H529="","",ROW()-4)</f>
        <v/>
      </c>
      <c r="B529" s="13">
        <f>IF(H529="","",ROW()-4)</f>
        <v/>
      </c>
    </row>
    <row r="530">
      <c r="A530" s="13">
        <f>IF(H530="","",ROW()-4)</f>
        <v/>
      </c>
      <c r="B530" s="13">
        <f>IF(H530="","",ROW()-4)</f>
        <v/>
      </c>
    </row>
    <row r="531">
      <c r="A531" s="13">
        <f>IF(H531="","",ROW()-4)</f>
        <v/>
      </c>
      <c r="B531" s="13">
        <f>IF(H531="","",ROW()-4)</f>
        <v/>
      </c>
    </row>
    <row r="532">
      <c r="A532" s="13">
        <f>IF(H532="","",ROW()-4)</f>
        <v/>
      </c>
      <c r="B532" s="13">
        <f>IF(H532="","",ROW()-4)</f>
        <v/>
      </c>
    </row>
    <row r="533">
      <c r="A533" s="13">
        <f>IF(H533="","",ROW()-4)</f>
        <v/>
      </c>
      <c r="B533" s="13">
        <f>IF(H533="","",ROW()-4)</f>
        <v/>
      </c>
    </row>
    <row r="534">
      <c r="A534" s="13">
        <f>IF(H534="","",ROW()-4)</f>
        <v/>
      </c>
      <c r="B534" s="13">
        <f>IF(H534="","",ROW()-4)</f>
        <v/>
      </c>
    </row>
    <row r="535">
      <c r="A535" s="13">
        <f>IF(H535="","",ROW()-4)</f>
        <v/>
      </c>
      <c r="B535" s="13">
        <f>IF(H535="","",ROW()-4)</f>
        <v/>
      </c>
    </row>
    <row r="536">
      <c r="A536" s="13">
        <f>IF(H536="","",ROW()-4)</f>
        <v/>
      </c>
      <c r="B536" s="13">
        <f>IF(H536="","",ROW()-4)</f>
        <v/>
      </c>
    </row>
    <row r="537">
      <c r="A537" s="13">
        <f>IF(H537="","",ROW()-4)</f>
        <v/>
      </c>
      <c r="B537" s="13">
        <f>IF(H537="","",ROW()-4)</f>
        <v/>
      </c>
    </row>
    <row r="538">
      <c r="A538" s="13">
        <f>IF(H538="","",ROW()-4)</f>
        <v/>
      </c>
      <c r="B538" s="13">
        <f>IF(H538="","",ROW()-4)</f>
        <v/>
      </c>
    </row>
    <row r="539">
      <c r="A539" s="13">
        <f>IF(H539="","",ROW()-4)</f>
        <v/>
      </c>
      <c r="B539" s="13">
        <f>IF(H539="","",ROW()-4)</f>
        <v/>
      </c>
    </row>
    <row r="540">
      <c r="A540" s="13">
        <f>IF(H540="","",ROW()-4)</f>
        <v/>
      </c>
      <c r="B540" s="13">
        <f>IF(H540="","",ROW()-4)</f>
        <v/>
      </c>
    </row>
    <row r="541">
      <c r="A541" s="13">
        <f>IF(H541="","",ROW()-4)</f>
        <v/>
      </c>
      <c r="B541" s="13">
        <f>IF(H541="","",ROW()-4)</f>
        <v/>
      </c>
    </row>
    <row r="542">
      <c r="A542" s="13">
        <f>IF(H542="","",ROW()-4)</f>
        <v/>
      </c>
      <c r="B542" s="13">
        <f>IF(H542="","",ROW()-4)</f>
        <v/>
      </c>
    </row>
    <row r="543">
      <c r="A543" s="13">
        <f>IF(H543="","",ROW()-4)</f>
        <v/>
      </c>
      <c r="B543" s="13">
        <f>IF(H543="","",ROW()-4)</f>
        <v/>
      </c>
    </row>
    <row r="544">
      <c r="A544" s="13">
        <f>IF(H544="","",ROW()-4)</f>
        <v/>
      </c>
      <c r="B544" s="13">
        <f>IF(H544="","",ROW()-4)</f>
        <v/>
      </c>
    </row>
    <row r="545">
      <c r="A545" s="13">
        <f>IF(H545="","",ROW()-4)</f>
        <v/>
      </c>
      <c r="B545" s="13">
        <f>IF(H545="","",ROW()-4)</f>
        <v/>
      </c>
    </row>
    <row r="546">
      <c r="A546" s="13">
        <f>IF(H546="","",ROW()-4)</f>
        <v/>
      </c>
      <c r="B546" s="13">
        <f>IF(H546="","",ROW()-4)</f>
        <v/>
      </c>
    </row>
    <row r="547">
      <c r="A547" s="13">
        <f>IF(H547="","",ROW()-4)</f>
        <v/>
      </c>
      <c r="B547" s="13">
        <f>IF(H547="","",ROW()-4)</f>
        <v/>
      </c>
    </row>
    <row r="548">
      <c r="A548" s="13">
        <f>IF(H548="","",ROW()-4)</f>
        <v/>
      </c>
      <c r="B548" s="13">
        <f>IF(H548="","",ROW()-4)</f>
        <v/>
      </c>
    </row>
    <row r="549">
      <c r="A549" s="13">
        <f>IF(H549="","",ROW()-4)</f>
        <v/>
      </c>
      <c r="B549" s="13">
        <f>IF(H549="","",ROW()-4)</f>
        <v/>
      </c>
    </row>
    <row r="550">
      <c r="A550" s="13">
        <f>IF(H550="","",ROW()-4)</f>
        <v/>
      </c>
      <c r="B550" s="13">
        <f>IF(H550="","",ROW()-4)</f>
        <v/>
      </c>
    </row>
    <row r="551">
      <c r="A551" s="13">
        <f>IF(H551="","",ROW()-4)</f>
        <v/>
      </c>
      <c r="B551" s="13">
        <f>IF(H551="","",ROW()-4)</f>
        <v/>
      </c>
    </row>
    <row r="552">
      <c r="A552" s="13">
        <f>IF(H552="","",ROW()-4)</f>
        <v/>
      </c>
      <c r="B552" s="13">
        <f>IF(H552="","",ROW()-4)</f>
        <v/>
      </c>
    </row>
    <row r="553">
      <c r="A553" s="13">
        <f>IF(H553="","",ROW()-4)</f>
        <v/>
      </c>
      <c r="B553" s="13">
        <f>IF(H553="","",ROW()-4)</f>
        <v/>
      </c>
    </row>
    <row r="554">
      <c r="A554" s="13">
        <f>IF(H554="","",ROW()-4)</f>
        <v/>
      </c>
      <c r="B554" s="13">
        <f>IF(H554="","",ROW()-4)</f>
        <v/>
      </c>
    </row>
    <row r="555">
      <c r="A555" s="13">
        <f>IF(H555="","",ROW()-4)</f>
        <v/>
      </c>
      <c r="B555" s="13">
        <f>IF(H555="","",ROW()-4)</f>
        <v/>
      </c>
    </row>
    <row r="556">
      <c r="A556" s="13">
        <f>IF(H556="","",ROW()-4)</f>
        <v/>
      </c>
      <c r="B556" s="13">
        <f>IF(H556="","",ROW()-4)</f>
        <v/>
      </c>
    </row>
    <row r="557">
      <c r="A557" s="13">
        <f>IF(H557="","",ROW()-4)</f>
        <v/>
      </c>
      <c r="B557" s="13">
        <f>IF(H557="","",ROW()-4)</f>
        <v/>
      </c>
    </row>
    <row r="558">
      <c r="A558" s="13">
        <f>IF(H558="","",ROW()-4)</f>
        <v/>
      </c>
      <c r="B558" s="13">
        <f>IF(H558="","",ROW()-4)</f>
        <v/>
      </c>
    </row>
    <row r="559">
      <c r="A559" s="13">
        <f>IF(H559="","",ROW()-4)</f>
        <v/>
      </c>
      <c r="B559" s="13">
        <f>IF(H559="","",ROW()-4)</f>
        <v/>
      </c>
    </row>
    <row r="560">
      <c r="A560" s="13">
        <f>IF(H560="","",ROW()-4)</f>
        <v/>
      </c>
      <c r="B560" s="13">
        <f>IF(H560="","",ROW()-4)</f>
        <v/>
      </c>
    </row>
    <row r="561">
      <c r="A561" s="13">
        <f>IF(H561="","",ROW()-4)</f>
        <v/>
      </c>
      <c r="B561" s="13">
        <f>IF(H561="","",ROW()-4)</f>
        <v/>
      </c>
    </row>
    <row r="562">
      <c r="A562" s="13">
        <f>IF(H562="","",ROW()-4)</f>
        <v/>
      </c>
      <c r="B562" s="13">
        <f>IF(H562="","",ROW()-4)</f>
        <v/>
      </c>
    </row>
    <row r="563">
      <c r="A563" s="13">
        <f>IF(H563="","",ROW()-4)</f>
        <v/>
      </c>
      <c r="B563" s="13">
        <f>IF(H563="","",ROW()-4)</f>
        <v/>
      </c>
    </row>
    <row r="564">
      <c r="A564" s="13">
        <f>IF(H564="","",ROW()-4)</f>
        <v/>
      </c>
      <c r="B564" s="13">
        <f>IF(H564="","",ROW()-4)</f>
        <v/>
      </c>
    </row>
    <row r="565">
      <c r="A565" s="13">
        <f>IF(H565="","",ROW()-4)</f>
        <v/>
      </c>
      <c r="B565" s="13">
        <f>IF(H565="","",ROW()-4)</f>
        <v/>
      </c>
    </row>
    <row r="566">
      <c r="A566" s="13">
        <f>IF(H566="","",ROW()-4)</f>
        <v/>
      </c>
      <c r="B566" s="13">
        <f>IF(H566="","",ROW()-4)</f>
        <v/>
      </c>
    </row>
    <row r="567">
      <c r="A567" s="13">
        <f>IF(H567="","",ROW()-4)</f>
        <v/>
      </c>
      <c r="B567" s="13">
        <f>IF(H567="","",ROW()-4)</f>
        <v/>
      </c>
    </row>
    <row r="568">
      <c r="A568" s="13">
        <f>IF(H568="","",ROW()-4)</f>
        <v/>
      </c>
      <c r="B568" s="13">
        <f>IF(H568="","",ROW()-4)</f>
        <v/>
      </c>
    </row>
    <row r="569">
      <c r="A569" s="13">
        <f>IF(H569="","",ROW()-4)</f>
        <v/>
      </c>
      <c r="B569" s="13">
        <f>IF(H569="","",ROW()-4)</f>
        <v/>
      </c>
    </row>
    <row r="570">
      <c r="A570" s="13">
        <f>IF(H570="","",ROW()-4)</f>
        <v/>
      </c>
      <c r="B570" s="13">
        <f>IF(H570="","",ROW()-4)</f>
        <v/>
      </c>
    </row>
    <row r="571">
      <c r="A571" s="13">
        <f>IF(H571="","",ROW()-4)</f>
        <v/>
      </c>
      <c r="B571" s="13">
        <f>IF(H571="","",ROW()-4)</f>
        <v/>
      </c>
    </row>
    <row r="572">
      <c r="A572" s="13">
        <f>IF(H572="","",ROW()-4)</f>
        <v/>
      </c>
      <c r="B572" s="13">
        <f>IF(H572="","",ROW()-4)</f>
        <v/>
      </c>
    </row>
    <row r="573">
      <c r="A573" s="13">
        <f>IF(H573="","",ROW()-4)</f>
        <v/>
      </c>
      <c r="B573" s="13">
        <f>IF(H573="","",ROW()-4)</f>
        <v/>
      </c>
    </row>
    <row r="574">
      <c r="A574" s="13">
        <f>IF(H574="","",ROW()-4)</f>
        <v/>
      </c>
      <c r="B574" s="13">
        <f>IF(H574="","",ROW()-4)</f>
        <v/>
      </c>
    </row>
    <row r="575">
      <c r="A575" s="13">
        <f>IF(H575="","",ROW()-4)</f>
        <v/>
      </c>
      <c r="B575" s="13">
        <f>IF(H575="","",ROW()-4)</f>
        <v/>
      </c>
    </row>
    <row r="576">
      <c r="A576" s="13">
        <f>IF(H576="","",ROW()-4)</f>
        <v/>
      </c>
      <c r="B576" s="13">
        <f>IF(H576="","",ROW()-4)</f>
        <v/>
      </c>
    </row>
    <row r="577">
      <c r="A577" s="13">
        <f>IF(H577="","",ROW()-4)</f>
        <v/>
      </c>
      <c r="B577" s="13">
        <f>IF(H577="","",ROW()-4)</f>
        <v/>
      </c>
    </row>
    <row r="578">
      <c r="A578" s="13">
        <f>IF(H578="","",ROW()-4)</f>
        <v/>
      </c>
      <c r="B578" s="13">
        <f>IF(H578="","",ROW()-4)</f>
        <v/>
      </c>
    </row>
    <row r="579">
      <c r="A579" s="13">
        <f>IF(H579="","",ROW()-4)</f>
        <v/>
      </c>
      <c r="B579" s="13">
        <f>IF(H579="","",ROW()-4)</f>
        <v/>
      </c>
    </row>
    <row r="580">
      <c r="A580" s="13">
        <f>IF(H580="","",ROW()-4)</f>
        <v/>
      </c>
      <c r="B580" s="13">
        <f>IF(H580="","",ROW()-4)</f>
        <v/>
      </c>
    </row>
    <row r="581">
      <c r="A581" s="13">
        <f>IF(H581="","",ROW()-4)</f>
        <v/>
      </c>
      <c r="B581" s="13">
        <f>IF(H581="","",ROW()-4)</f>
        <v/>
      </c>
    </row>
    <row r="582">
      <c r="A582" s="13">
        <f>IF(H582="","",ROW()-4)</f>
        <v/>
      </c>
      <c r="B582" s="13">
        <f>IF(H582="","",ROW()-4)</f>
        <v/>
      </c>
    </row>
    <row r="583">
      <c r="A583" s="13">
        <f>IF(H583="","",ROW()-4)</f>
        <v/>
      </c>
      <c r="B583" s="13">
        <f>IF(H583="","",ROW()-4)</f>
        <v/>
      </c>
    </row>
    <row r="584">
      <c r="A584" s="13">
        <f>IF(H584="","",ROW()-4)</f>
        <v/>
      </c>
      <c r="B584" s="13">
        <f>IF(H584="","",ROW()-4)</f>
        <v/>
      </c>
    </row>
    <row r="585">
      <c r="A585" s="13">
        <f>IF(H585="","",ROW()-4)</f>
        <v/>
      </c>
      <c r="B585" s="13">
        <f>IF(H585="","",ROW()-4)</f>
        <v/>
      </c>
    </row>
    <row r="586">
      <c r="A586" s="13">
        <f>IF(H586="","",ROW()-4)</f>
        <v/>
      </c>
      <c r="B586" s="13">
        <f>IF(H586="","",ROW()-4)</f>
        <v/>
      </c>
    </row>
    <row r="587">
      <c r="A587" s="13">
        <f>IF(H587="","",ROW()-4)</f>
        <v/>
      </c>
      <c r="B587" s="13">
        <f>IF(H587="","",ROW()-4)</f>
        <v/>
      </c>
    </row>
    <row r="588">
      <c r="A588" s="13">
        <f>IF(H588="","",ROW()-4)</f>
        <v/>
      </c>
      <c r="B588" s="13">
        <f>IF(H588="","",ROW()-4)</f>
        <v/>
      </c>
    </row>
    <row r="589">
      <c r="A589" s="13">
        <f>IF(H589="","",ROW()-4)</f>
        <v/>
      </c>
      <c r="B589" s="13">
        <f>IF(H589="","",ROW()-4)</f>
        <v/>
      </c>
    </row>
    <row r="590">
      <c r="A590" s="13">
        <f>IF(H590="","",ROW()-4)</f>
        <v/>
      </c>
      <c r="B590" s="13">
        <f>IF(H590="","",ROW()-4)</f>
        <v/>
      </c>
    </row>
    <row r="591">
      <c r="A591" s="13">
        <f>IF(H591="","",ROW()-4)</f>
        <v/>
      </c>
      <c r="B591" s="13">
        <f>IF(H591="","",ROW()-4)</f>
        <v/>
      </c>
    </row>
    <row r="592">
      <c r="A592" s="13">
        <f>IF(H592="","",ROW()-4)</f>
        <v/>
      </c>
      <c r="B592" s="13">
        <f>IF(H592="","",ROW()-4)</f>
        <v/>
      </c>
    </row>
    <row r="593">
      <c r="A593" s="13">
        <f>IF(H593="","",ROW()-4)</f>
        <v/>
      </c>
      <c r="B593" s="13">
        <f>IF(H593="","",ROW()-4)</f>
        <v/>
      </c>
    </row>
    <row r="594">
      <c r="A594" s="13">
        <f>IF(H594="","",ROW()-4)</f>
        <v/>
      </c>
      <c r="B594" s="13">
        <f>IF(H594="","",ROW()-4)</f>
        <v/>
      </c>
    </row>
    <row r="595">
      <c r="A595" s="13">
        <f>IF(H595="","",ROW()-4)</f>
        <v/>
      </c>
      <c r="B595" s="13">
        <f>IF(H595="","",ROW()-4)</f>
        <v/>
      </c>
    </row>
    <row r="596">
      <c r="A596" s="13">
        <f>IF(H596="","",ROW()-4)</f>
        <v/>
      </c>
      <c r="B596" s="13">
        <f>IF(H596="","",ROW()-4)</f>
        <v/>
      </c>
    </row>
    <row r="597">
      <c r="A597" s="13">
        <f>IF(H597="","",ROW()-4)</f>
        <v/>
      </c>
      <c r="B597" s="13">
        <f>IF(H597="","",ROW()-4)</f>
        <v/>
      </c>
    </row>
    <row r="598">
      <c r="A598" s="13">
        <f>IF(H598="","",ROW()-4)</f>
        <v/>
      </c>
      <c r="B598" s="13">
        <f>IF(H598="","",ROW()-4)</f>
        <v/>
      </c>
    </row>
    <row r="599">
      <c r="A599" s="13">
        <f>IF(H599="","",ROW()-4)</f>
        <v/>
      </c>
      <c r="B599" s="13">
        <f>IF(H599="","",ROW()-4)</f>
        <v/>
      </c>
    </row>
    <row r="600">
      <c r="A600" s="13">
        <f>IF(H600="","",ROW()-4)</f>
        <v/>
      </c>
      <c r="B600" s="13">
        <f>IF(H600="","",ROW()-4)</f>
        <v/>
      </c>
    </row>
    <row r="601">
      <c r="A601" s="13">
        <f>IF(H601="","",ROW()-4)</f>
        <v/>
      </c>
      <c r="B601" s="13">
        <f>IF(H601="","",ROW()-4)</f>
        <v/>
      </c>
    </row>
    <row r="602">
      <c r="A602" s="13">
        <f>IF(H602="","",ROW()-4)</f>
        <v/>
      </c>
      <c r="B602" s="13">
        <f>IF(H602="","",ROW()-4)</f>
        <v/>
      </c>
    </row>
    <row r="603">
      <c r="A603" s="13">
        <f>IF(H603="","",ROW()-4)</f>
        <v/>
      </c>
      <c r="B603" s="13">
        <f>IF(H603="","",ROW()-4)</f>
        <v/>
      </c>
    </row>
    <row r="604">
      <c r="A604" s="13">
        <f>IF(H604="","",ROW()-4)</f>
        <v/>
      </c>
      <c r="B604" s="13">
        <f>IF(H604="","",ROW()-4)</f>
        <v/>
      </c>
    </row>
    <row r="605">
      <c r="A605" s="13">
        <f>IF(H605="","",ROW()-4)</f>
        <v/>
      </c>
      <c r="B605" s="13">
        <f>IF(H605="","",ROW()-4)</f>
        <v/>
      </c>
    </row>
    <row r="606">
      <c r="A606" s="13">
        <f>IF(H606="","",ROW()-4)</f>
        <v/>
      </c>
      <c r="B606" s="13">
        <f>IF(H606="","",ROW()-4)</f>
        <v/>
      </c>
    </row>
    <row r="607">
      <c r="A607" s="13">
        <f>IF(H607="","",ROW()-4)</f>
        <v/>
      </c>
      <c r="B607" s="13">
        <f>IF(H607="","",ROW()-4)</f>
        <v/>
      </c>
    </row>
    <row r="608">
      <c r="A608" s="13">
        <f>IF(H608="","",ROW()-4)</f>
        <v/>
      </c>
      <c r="B608" s="13">
        <f>IF(H608="","",ROW()-4)</f>
        <v/>
      </c>
    </row>
    <row r="609">
      <c r="A609" s="13">
        <f>IF(H609="","",ROW()-4)</f>
        <v/>
      </c>
      <c r="B609" s="13">
        <f>IF(H609="","",ROW()-4)</f>
        <v/>
      </c>
    </row>
    <row r="610">
      <c r="A610" s="13">
        <f>IF(H610="","",ROW()-4)</f>
        <v/>
      </c>
      <c r="B610" s="13">
        <f>IF(H610="","",ROW()-4)</f>
        <v/>
      </c>
    </row>
    <row r="611">
      <c r="A611" s="13">
        <f>IF(H611="","",ROW()-4)</f>
        <v/>
      </c>
      <c r="B611" s="13">
        <f>IF(H611="","",ROW()-4)</f>
        <v/>
      </c>
    </row>
    <row r="612">
      <c r="A612" s="13">
        <f>IF(H612="","",ROW()-4)</f>
        <v/>
      </c>
      <c r="B612" s="13">
        <f>IF(H612="","",ROW()-4)</f>
        <v/>
      </c>
    </row>
    <row r="613">
      <c r="A613" s="13">
        <f>IF(H613="","",ROW()-4)</f>
        <v/>
      </c>
      <c r="B613" s="13">
        <f>IF(H613="","",ROW()-4)</f>
        <v/>
      </c>
    </row>
    <row r="614">
      <c r="A614" s="13">
        <f>IF(H614="","",ROW()-4)</f>
        <v/>
      </c>
      <c r="B614" s="13">
        <f>IF(H614="","",ROW()-4)</f>
        <v/>
      </c>
    </row>
    <row r="615">
      <c r="A615" s="13">
        <f>IF(H615="","",ROW()-4)</f>
        <v/>
      </c>
      <c r="B615" s="13">
        <f>IF(H615="","",ROW()-4)</f>
        <v/>
      </c>
    </row>
    <row r="616">
      <c r="A616" s="13">
        <f>IF(H616="","",ROW()-4)</f>
        <v/>
      </c>
      <c r="B616" s="13">
        <f>IF(H616="","",ROW()-4)</f>
        <v/>
      </c>
    </row>
    <row r="617">
      <c r="A617" s="13">
        <f>IF(H617="","",ROW()-4)</f>
        <v/>
      </c>
      <c r="B617" s="13">
        <f>IF(H617="","",ROW()-4)</f>
        <v/>
      </c>
    </row>
    <row r="618">
      <c r="A618" s="13">
        <f>IF(H618="","",ROW()-4)</f>
        <v/>
      </c>
      <c r="B618" s="13">
        <f>IF(H618="","",ROW()-4)</f>
        <v/>
      </c>
    </row>
    <row r="619">
      <c r="A619" s="13">
        <f>IF(H619="","",ROW()-4)</f>
        <v/>
      </c>
      <c r="B619" s="13">
        <f>IF(H619="","",ROW()-4)</f>
        <v/>
      </c>
    </row>
    <row r="620">
      <c r="A620" s="13">
        <f>IF(H620="","",ROW()-4)</f>
        <v/>
      </c>
      <c r="B620" s="13">
        <f>IF(H620="","",ROW()-4)</f>
        <v/>
      </c>
    </row>
    <row r="621">
      <c r="A621" s="13">
        <f>IF(H621="","",ROW()-4)</f>
        <v/>
      </c>
      <c r="B621" s="13">
        <f>IF(H621="","",ROW()-4)</f>
        <v/>
      </c>
    </row>
    <row r="622">
      <c r="A622" s="13">
        <f>IF(H622="","",ROW()-4)</f>
        <v/>
      </c>
      <c r="B622" s="13">
        <f>IF(H622="","",ROW()-4)</f>
        <v/>
      </c>
    </row>
    <row r="623">
      <c r="A623" s="13">
        <f>IF(H623="","",ROW()-4)</f>
        <v/>
      </c>
      <c r="B623" s="13">
        <f>IF(H623="","",ROW()-4)</f>
        <v/>
      </c>
    </row>
    <row r="624">
      <c r="A624" s="13">
        <f>IF(H624="","",ROW()-4)</f>
        <v/>
      </c>
      <c r="B624" s="13">
        <f>IF(H624="","",ROW()-4)</f>
        <v/>
      </c>
    </row>
    <row r="625">
      <c r="A625" s="13">
        <f>IF(H625="","",ROW()-4)</f>
        <v/>
      </c>
      <c r="B625" s="13">
        <f>IF(H625="","",ROW()-4)</f>
        <v/>
      </c>
    </row>
    <row r="626">
      <c r="A626" s="13">
        <f>IF(H626="","",ROW()-4)</f>
        <v/>
      </c>
      <c r="B626" s="13">
        <f>IF(H626="","",ROW()-4)</f>
        <v/>
      </c>
    </row>
    <row r="627">
      <c r="A627" s="13">
        <f>IF(H627="","",ROW()-4)</f>
        <v/>
      </c>
      <c r="B627" s="13">
        <f>IF(H627="","",ROW()-4)</f>
        <v/>
      </c>
    </row>
    <row r="628">
      <c r="A628" s="13">
        <f>IF(H628="","",ROW()-4)</f>
        <v/>
      </c>
      <c r="B628" s="13">
        <f>IF(H628="","",ROW()-4)</f>
        <v/>
      </c>
    </row>
    <row r="629">
      <c r="A629" s="13">
        <f>IF(H629="","",ROW()-4)</f>
        <v/>
      </c>
      <c r="B629" s="13">
        <f>IF(H629="","",ROW()-4)</f>
        <v/>
      </c>
    </row>
    <row r="630">
      <c r="A630" s="13">
        <f>IF(H630="","",ROW()-4)</f>
        <v/>
      </c>
      <c r="B630" s="13">
        <f>IF(H630="","",ROW()-4)</f>
        <v/>
      </c>
    </row>
    <row r="631">
      <c r="A631" s="13">
        <f>IF(H631="","",ROW()-4)</f>
        <v/>
      </c>
      <c r="B631" s="13">
        <f>IF(H631="","",ROW()-4)</f>
        <v/>
      </c>
    </row>
    <row r="632">
      <c r="A632" s="13">
        <f>IF(H632="","",ROW()-4)</f>
        <v/>
      </c>
      <c r="B632" s="13">
        <f>IF(H632="","",ROW()-4)</f>
        <v/>
      </c>
    </row>
    <row r="633">
      <c r="A633" s="13">
        <f>IF(H633="","",ROW()-4)</f>
        <v/>
      </c>
      <c r="B633" s="13">
        <f>IF(H633="","",ROW()-4)</f>
        <v/>
      </c>
    </row>
    <row r="634">
      <c r="A634" s="13">
        <f>IF(H634="","",ROW()-4)</f>
        <v/>
      </c>
      <c r="B634" s="13">
        <f>IF(H634="","",ROW()-4)</f>
        <v/>
      </c>
    </row>
    <row r="635">
      <c r="A635" s="13">
        <f>IF(H635="","",ROW()-4)</f>
        <v/>
      </c>
      <c r="B635" s="13">
        <f>IF(H635="","",ROW()-4)</f>
        <v/>
      </c>
    </row>
    <row r="636">
      <c r="A636" s="13">
        <f>IF(H636="","",ROW()-4)</f>
        <v/>
      </c>
      <c r="B636" s="13">
        <f>IF(H636="","",ROW()-4)</f>
        <v/>
      </c>
    </row>
    <row r="637">
      <c r="A637" s="13">
        <f>IF(H637="","",ROW()-4)</f>
        <v/>
      </c>
      <c r="B637" s="13">
        <f>IF(H637="","",ROW()-4)</f>
        <v/>
      </c>
    </row>
    <row r="638">
      <c r="A638" s="13">
        <f>IF(H638="","",ROW()-4)</f>
        <v/>
      </c>
      <c r="B638" s="13">
        <f>IF(H638="","",ROW()-4)</f>
        <v/>
      </c>
    </row>
    <row r="639">
      <c r="A639" s="13">
        <f>IF(H639="","",ROW()-4)</f>
        <v/>
      </c>
      <c r="B639" s="13">
        <f>IF(H639="","",ROW()-4)</f>
        <v/>
      </c>
    </row>
    <row r="640">
      <c r="A640" s="13">
        <f>IF(H640="","",ROW()-4)</f>
        <v/>
      </c>
      <c r="B640" s="13">
        <f>IF(H640="","",ROW()-4)</f>
        <v/>
      </c>
    </row>
    <row r="641">
      <c r="A641" s="13">
        <f>IF(H641="","",ROW()-4)</f>
        <v/>
      </c>
      <c r="B641" s="13">
        <f>IF(H641="","",ROW()-4)</f>
        <v/>
      </c>
    </row>
    <row r="642">
      <c r="A642" s="13">
        <f>IF(H642="","",ROW()-4)</f>
        <v/>
      </c>
      <c r="B642" s="13">
        <f>IF(H642="","",ROW()-4)</f>
        <v/>
      </c>
    </row>
    <row r="643">
      <c r="A643" s="13">
        <f>IF(H643="","",ROW()-4)</f>
        <v/>
      </c>
      <c r="B643" s="13">
        <f>IF(H643="","",ROW()-4)</f>
        <v/>
      </c>
    </row>
    <row r="644">
      <c r="A644" s="13">
        <f>IF(H644="","",ROW()-4)</f>
        <v/>
      </c>
      <c r="B644" s="13">
        <f>IF(H644="","",ROW()-4)</f>
        <v/>
      </c>
    </row>
    <row r="645">
      <c r="A645" s="13">
        <f>IF(H645="","",ROW()-4)</f>
        <v/>
      </c>
      <c r="B645" s="13">
        <f>IF(H645="","",ROW()-4)</f>
        <v/>
      </c>
    </row>
    <row r="646">
      <c r="A646" s="13">
        <f>IF(H646="","",ROW()-4)</f>
        <v/>
      </c>
      <c r="B646" s="13">
        <f>IF(H646="","",ROW()-4)</f>
        <v/>
      </c>
    </row>
    <row r="647">
      <c r="A647" s="13">
        <f>IF(H647="","",ROW()-4)</f>
        <v/>
      </c>
      <c r="B647" s="13">
        <f>IF(H647="","",ROW()-4)</f>
        <v/>
      </c>
    </row>
    <row r="648">
      <c r="A648" s="13">
        <f>IF(H648="","",ROW()-4)</f>
        <v/>
      </c>
      <c r="B648" s="13">
        <f>IF(H648="","",ROW()-4)</f>
        <v/>
      </c>
    </row>
    <row r="649">
      <c r="A649" s="13">
        <f>IF(H649="","",ROW()-4)</f>
        <v/>
      </c>
      <c r="B649" s="13">
        <f>IF(H649="","",ROW()-4)</f>
        <v/>
      </c>
    </row>
    <row r="650">
      <c r="A650" s="13">
        <f>IF(H650="","",ROW()-4)</f>
        <v/>
      </c>
      <c r="B650" s="13">
        <f>IF(H650="","",ROW()-4)</f>
        <v/>
      </c>
    </row>
    <row r="651">
      <c r="A651" s="13">
        <f>IF(H651="","",ROW()-4)</f>
        <v/>
      </c>
      <c r="B651" s="13">
        <f>IF(H651="","",ROW()-4)</f>
        <v/>
      </c>
    </row>
    <row r="652">
      <c r="A652" s="13">
        <f>IF(H652="","",ROW()-4)</f>
        <v/>
      </c>
      <c r="B652" s="13">
        <f>IF(H652="","",ROW()-4)</f>
        <v/>
      </c>
    </row>
    <row r="653">
      <c r="A653" s="13">
        <f>IF(H653="","",ROW()-4)</f>
        <v/>
      </c>
      <c r="B653" s="13">
        <f>IF(H653="","",ROW()-4)</f>
        <v/>
      </c>
    </row>
    <row r="654">
      <c r="A654" s="13">
        <f>IF(H654="","",ROW()-4)</f>
        <v/>
      </c>
      <c r="B654" s="13">
        <f>IF(H654="","",ROW()-4)</f>
        <v/>
      </c>
    </row>
    <row r="655">
      <c r="A655" s="13">
        <f>IF(H655="","",ROW()-4)</f>
        <v/>
      </c>
      <c r="B655" s="13">
        <f>IF(H655="","",ROW()-4)</f>
        <v/>
      </c>
    </row>
    <row r="656">
      <c r="A656" s="13">
        <f>IF(H656="","",ROW()-4)</f>
        <v/>
      </c>
      <c r="B656" s="13">
        <f>IF(H656="","",ROW()-4)</f>
        <v/>
      </c>
    </row>
    <row r="657">
      <c r="A657" s="13">
        <f>IF(H657="","",ROW()-4)</f>
        <v/>
      </c>
      <c r="B657" s="13">
        <f>IF(H657="","",ROW()-4)</f>
        <v/>
      </c>
    </row>
    <row r="658">
      <c r="A658" s="13">
        <f>IF(H658="","",ROW()-4)</f>
        <v/>
      </c>
      <c r="B658" s="13">
        <f>IF(H658="","",ROW()-4)</f>
        <v/>
      </c>
    </row>
    <row r="659">
      <c r="A659" s="13">
        <f>IF(H659="","",ROW()-4)</f>
        <v/>
      </c>
      <c r="B659" s="13">
        <f>IF(H659="","",ROW()-4)</f>
        <v/>
      </c>
    </row>
    <row r="660">
      <c r="A660" s="13">
        <f>IF(H660="","",ROW()-4)</f>
        <v/>
      </c>
      <c r="B660" s="13">
        <f>IF(H660="","",ROW()-4)</f>
        <v/>
      </c>
    </row>
    <row r="661">
      <c r="A661" s="13">
        <f>IF(H661="","",ROW()-4)</f>
        <v/>
      </c>
      <c r="B661" s="13">
        <f>IF(H661="","",ROW()-4)</f>
        <v/>
      </c>
    </row>
    <row r="662">
      <c r="A662" s="13">
        <f>IF(H662="","",ROW()-4)</f>
        <v/>
      </c>
      <c r="B662" s="13">
        <f>IF(H662="","",ROW()-4)</f>
        <v/>
      </c>
    </row>
    <row r="663">
      <c r="A663" s="13">
        <f>IF(H663="","",ROW()-4)</f>
        <v/>
      </c>
      <c r="B663" s="13">
        <f>IF(H663="","",ROW()-4)</f>
        <v/>
      </c>
    </row>
    <row r="664">
      <c r="A664" s="13">
        <f>IF(H664="","",ROW()-4)</f>
        <v/>
      </c>
      <c r="B664" s="13">
        <f>IF(H664="","",ROW()-4)</f>
        <v/>
      </c>
    </row>
    <row r="665">
      <c r="A665" s="13">
        <f>IF(H665="","",ROW()-4)</f>
        <v/>
      </c>
      <c r="B665" s="13">
        <f>IF(H665="","",ROW()-4)</f>
        <v/>
      </c>
    </row>
    <row r="666">
      <c r="A666" s="13">
        <f>IF(H666="","",ROW()-4)</f>
        <v/>
      </c>
      <c r="B666" s="13">
        <f>IF(H666="","",ROW()-4)</f>
        <v/>
      </c>
    </row>
    <row r="667">
      <c r="A667" s="13">
        <f>IF(H667="","",ROW()-4)</f>
        <v/>
      </c>
      <c r="B667" s="13">
        <f>IF(H667="","",ROW()-4)</f>
        <v/>
      </c>
    </row>
    <row r="668">
      <c r="A668" s="13">
        <f>IF(H668="","",ROW()-4)</f>
        <v/>
      </c>
      <c r="B668" s="13">
        <f>IF(H668="","",ROW()-4)</f>
        <v/>
      </c>
    </row>
    <row r="669">
      <c r="A669" s="13">
        <f>IF(H669="","",ROW()-4)</f>
        <v/>
      </c>
      <c r="B669" s="13">
        <f>IF(H669="","",ROW()-4)</f>
        <v/>
      </c>
    </row>
    <row r="670">
      <c r="A670" s="13">
        <f>IF(H670="","",ROW()-4)</f>
        <v/>
      </c>
      <c r="B670" s="13">
        <f>IF(H670="","",ROW()-4)</f>
        <v/>
      </c>
    </row>
    <row r="671">
      <c r="A671" s="13">
        <f>IF(H671="","",ROW()-4)</f>
        <v/>
      </c>
      <c r="B671" s="13">
        <f>IF(H671="","",ROW()-4)</f>
        <v/>
      </c>
    </row>
    <row r="672">
      <c r="A672" s="13">
        <f>IF(H672="","",ROW()-4)</f>
        <v/>
      </c>
      <c r="B672" s="13">
        <f>IF(H672="","",ROW()-4)</f>
        <v/>
      </c>
    </row>
    <row r="673">
      <c r="A673" s="13">
        <f>IF(H673="","",ROW()-4)</f>
        <v/>
      </c>
      <c r="B673" s="13">
        <f>IF(H673="","",ROW()-4)</f>
        <v/>
      </c>
    </row>
    <row r="674">
      <c r="A674" s="13">
        <f>IF(H674="","",ROW()-4)</f>
        <v/>
      </c>
      <c r="B674" s="13">
        <f>IF(H674="","",ROW()-4)</f>
        <v/>
      </c>
    </row>
    <row r="675">
      <c r="A675" s="13">
        <f>IF(H675="","",ROW()-4)</f>
        <v/>
      </c>
      <c r="B675" s="13">
        <f>IF(H675="","",ROW()-4)</f>
        <v/>
      </c>
    </row>
    <row r="676">
      <c r="A676" s="13">
        <f>IF(H676="","",ROW()-4)</f>
        <v/>
      </c>
      <c r="B676" s="13">
        <f>IF(H676="","",ROW()-4)</f>
        <v/>
      </c>
    </row>
    <row r="677">
      <c r="A677" s="13">
        <f>IF(H677="","",ROW()-4)</f>
        <v/>
      </c>
      <c r="B677" s="13">
        <f>IF(H677="","",ROW()-4)</f>
        <v/>
      </c>
    </row>
    <row r="678">
      <c r="A678" s="13">
        <f>IF(H678="","",ROW()-4)</f>
        <v/>
      </c>
      <c r="B678" s="13">
        <f>IF(H678="","",ROW()-4)</f>
        <v/>
      </c>
    </row>
    <row r="679">
      <c r="A679" s="13">
        <f>IF(H679="","",ROW()-4)</f>
        <v/>
      </c>
      <c r="B679" s="13">
        <f>IF(H679="","",ROW()-4)</f>
        <v/>
      </c>
    </row>
    <row r="680">
      <c r="A680" s="13">
        <f>IF(H680="","",ROW()-4)</f>
        <v/>
      </c>
      <c r="B680" s="13">
        <f>IF(H680="","",ROW()-4)</f>
        <v/>
      </c>
    </row>
    <row r="681">
      <c r="A681" s="13">
        <f>IF(H681="","",ROW()-4)</f>
        <v/>
      </c>
      <c r="B681" s="13">
        <f>IF(H681="","",ROW()-4)</f>
        <v/>
      </c>
    </row>
    <row r="682">
      <c r="A682" s="13">
        <f>IF(H682="","",ROW()-4)</f>
        <v/>
      </c>
      <c r="B682" s="13">
        <f>IF(H682="","",ROW()-4)</f>
        <v/>
      </c>
    </row>
    <row r="683">
      <c r="A683" s="13">
        <f>IF(H683="","",ROW()-4)</f>
        <v/>
      </c>
      <c r="B683" s="13">
        <f>IF(H683="","",ROW()-4)</f>
        <v/>
      </c>
    </row>
    <row r="684">
      <c r="A684" s="13">
        <f>IF(H684="","",ROW()-4)</f>
        <v/>
      </c>
      <c r="B684" s="13">
        <f>IF(H684="","",ROW()-4)</f>
        <v/>
      </c>
    </row>
    <row r="685">
      <c r="A685" s="13">
        <f>IF(H685="","",ROW()-4)</f>
        <v/>
      </c>
      <c r="B685" s="13">
        <f>IF(H685="","",ROW()-4)</f>
        <v/>
      </c>
    </row>
    <row r="686">
      <c r="A686" s="13">
        <f>IF(H686="","",ROW()-4)</f>
        <v/>
      </c>
      <c r="B686" s="13">
        <f>IF(H686="","",ROW()-4)</f>
        <v/>
      </c>
    </row>
    <row r="687">
      <c r="A687" s="13">
        <f>IF(H687="","",ROW()-4)</f>
        <v/>
      </c>
      <c r="B687" s="13">
        <f>IF(H687="","",ROW()-4)</f>
        <v/>
      </c>
    </row>
    <row r="688">
      <c r="A688" s="13">
        <f>IF(H688="","",ROW()-4)</f>
        <v/>
      </c>
      <c r="B688" s="13">
        <f>IF(H688="","",ROW()-4)</f>
        <v/>
      </c>
    </row>
    <row r="689">
      <c r="A689" s="13">
        <f>IF(H689="","",ROW()-4)</f>
        <v/>
      </c>
      <c r="B689" s="13">
        <f>IF(H689="","",ROW()-4)</f>
        <v/>
      </c>
    </row>
    <row r="690">
      <c r="A690" s="13">
        <f>IF(H690="","",ROW()-4)</f>
        <v/>
      </c>
      <c r="B690" s="13">
        <f>IF(H690="","",ROW()-4)</f>
        <v/>
      </c>
    </row>
    <row r="691">
      <c r="A691" s="13">
        <f>IF(H691="","",ROW()-4)</f>
        <v/>
      </c>
      <c r="B691" s="13">
        <f>IF(H691="","",ROW()-4)</f>
        <v/>
      </c>
    </row>
    <row r="692">
      <c r="A692" s="13">
        <f>IF(H692="","",ROW()-4)</f>
        <v/>
      </c>
      <c r="B692" s="13">
        <f>IF(H692="","",ROW()-4)</f>
        <v/>
      </c>
    </row>
    <row r="693">
      <c r="A693" s="13">
        <f>IF(H693="","",ROW()-4)</f>
        <v/>
      </c>
      <c r="B693" s="13">
        <f>IF(H693="","",ROW()-4)</f>
        <v/>
      </c>
    </row>
    <row r="694">
      <c r="A694" s="13">
        <f>IF(H694="","",ROW()-4)</f>
        <v/>
      </c>
      <c r="B694" s="13">
        <f>IF(H694="","",ROW()-4)</f>
        <v/>
      </c>
    </row>
    <row r="695">
      <c r="A695" s="13">
        <f>IF(H695="","",ROW()-4)</f>
        <v/>
      </c>
      <c r="B695" s="13">
        <f>IF(H695="","",ROW()-4)</f>
        <v/>
      </c>
    </row>
    <row r="696">
      <c r="A696" s="13">
        <f>IF(H696="","",ROW()-4)</f>
        <v/>
      </c>
      <c r="B696" s="13">
        <f>IF(H696="","",ROW()-4)</f>
        <v/>
      </c>
    </row>
    <row r="697">
      <c r="A697" s="13">
        <f>IF(H697="","",ROW()-4)</f>
        <v/>
      </c>
      <c r="B697" s="13">
        <f>IF(H697="","",ROW()-4)</f>
        <v/>
      </c>
    </row>
    <row r="698">
      <c r="A698" s="13">
        <f>IF(H698="","",ROW()-4)</f>
        <v/>
      </c>
      <c r="B698" s="13">
        <f>IF(H698="","",ROW()-4)</f>
        <v/>
      </c>
    </row>
    <row r="699">
      <c r="A699" s="13">
        <f>IF(H699="","",ROW()-4)</f>
        <v/>
      </c>
      <c r="B699" s="13">
        <f>IF(H699="","",ROW()-4)</f>
        <v/>
      </c>
    </row>
    <row r="700">
      <c r="A700" s="13">
        <f>IF(H700="","",ROW()-4)</f>
        <v/>
      </c>
      <c r="B700" s="13">
        <f>IF(H700="","",ROW()-4)</f>
        <v/>
      </c>
    </row>
    <row r="701">
      <c r="A701" s="13">
        <f>IF(H701="","",ROW()-4)</f>
        <v/>
      </c>
      <c r="B701" s="13">
        <f>IF(H701="","",ROW()-4)</f>
        <v/>
      </c>
    </row>
    <row r="702">
      <c r="A702" s="13">
        <f>IF(H702="","",ROW()-4)</f>
        <v/>
      </c>
      <c r="B702" s="13">
        <f>IF(H702="","",ROW()-4)</f>
        <v/>
      </c>
    </row>
    <row r="703">
      <c r="A703" s="13">
        <f>IF(H703="","",ROW()-4)</f>
        <v/>
      </c>
      <c r="B703" s="13">
        <f>IF(H703="","",ROW()-4)</f>
        <v/>
      </c>
    </row>
    <row r="704">
      <c r="A704" s="13">
        <f>IF(H704="","",ROW()-4)</f>
        <v/>
      </c>
      <c r="B704" s="13">
        <f>IF(H704="","",ROW()-4)</f>
        <v/>
      </c>
    </row>
    <row r="705">
      <c r="A705" s="13">
        <f>IF(H705="","",ROW()-4)</f>
        <v/>
      </c>
      <c r="B705" s="13">
        <f>IF(H705="","",ROW()-4)</f>
        <v/>
      </c>
    </row>
    <row r="706">
      <c r="A706" s="13">
        <f>IF(H706="","",ROW()-4)</f>
        <v/>
      </c>
      <c r="B706" s="13">
        <f>IF(H706="","",ROW()-4)</f>
        <v/>
      </c>
    </row>
    <row r="707">
      <c r="A707" s="13">
        <f>IF(H707="","",ROW()-4)</f>
        <v/>
      </c>
      <c r="B707" s="13">
        <f>IF(H707="","",ROW()-4)</f>
        <v/>
      </c>
    </row>
    <row r="708">
      <c r="A708" s="13">
        <f>IF(H708="","",ROW()-4)</f>
        <v/>
      </c>
      <c r="B708" s="13">
        <f>IF(H708="","",ROW()-4)</f>
        <v/>
      </c>
    </row>
    <row r="709">
      <c r="A709" s="13">
        <f>IF(H709="","",ROW()-4)</f>
        <v/>
      </c>
      <c r="B709" s="13">
        <f>IF(H709="","",ROW()-4)</f>
        <v/>
      </c>
    </row>
    <row r="710">
      <c r="A710" s="13">
        <f>IF(H710="","",ROW()-4)</f>
        <v/>
      </c>
      <c r="B710" s="13">
        <f>IF(H710="","",ROW()-4)</f>
        <v/>
      </c>
    </row>
    <row r="711">
      <c r="A711" s="13">
        <f>IF(H711="","",ROW()-4)</f>
        <v/>
      </c>
      <c r="B711" s="13">
        <f>IF(H711="","",ROW()-4)</f>
        <v/>
      </c>
    </row>
    <row r="712">
      <c r="A712" s="13">
        <f>IF(H712="","",ROW()-4)</f>
        <v/>
      </c>
      <c r="B712" s="13">
        <f>IF(H712="","",ROW()-4)</f>
        <v/>
      </c>
    </row>
    <row r="713">
      <c r="A713" s="13">
        <f>IF(H713="","",ROW()-4)</f>
        <v/>
      </c>
      <c r="B713" s="13">
        <f>IF(H713="","",ROW()-4)</f>
        <v/>
      </c>
    </row>
    <row r="714">
      <c r="A714" s="13">
        <f>IF(H714="","",ROW()-4)</f>
        <v/>
      </c>
      <c r="B714" s="13">
        <f>IF(H714="","",ROW()-4)</f>
        <v/>
      </c>
    </row>
    <row r="715">
      <c r="A715" s="13">
        <f>IF(H715="","",ROW()-4)</f>
        <v/>
      </c>
      <c r="B715" s="13">
        <f>IF(H715="","",ROW()-4)</f>
        <v/>
      </c>
    </row>
    <row r="716">
      <c r="A716" s="13">
        <f>IF(H716="","",ROW()-4)</f>
        <v/>
      </c>
      <c r="B716" s="13">
        <f>IF(H716="","",ROW()-4)</f>
        <v/>
      </c>
    </row>
    <row r="717">
      <c r="A717" s="13">
        <f>IF(H717="","",ROW()-4)</f>
        <v/>
      </c>
      <c r="B717" s="13">
        <f>IF(H717="","",ROW()-4)</f>
        <v/>
      </c>
    </row>
    <row r="718">
      <c r="A718" s="13">
        <f>IF(H718="","",ROW()-4)</f>
        <v/>
      </c>
      <c r="B718" s="13">
        <f>IF(H718="","",ROW()-4)</f>
        <v/>
      </c>
    </row>
    <row r="719">
      <c r="A719" s="13">
        <f>IF(H719="","",ROW()-4)</f>
        <v/>
      </c>
      <c r="B719" s="13">
        <f>IF(H719="","",ROW()-4)</f>
        <v/>
      </c>
    </row>
    <row r="720">
      <c r="A720" s="13">
        <f>IF(H720="","",ROW()-4)</f>
        <v/>
      </c>
      <c r="B720" s="13">
        <f>IF(H720="","",ROW()-4)</f>
        <v/>
      </c>
    </row>
    <row r="721">
      <c r="A721" s="13">
        <f>IF(H721="","",ROW()-4)</f>
        <v/>
      </c>
      <c r="B721" s="13">
        <f>IF(H721="","",ROW()-4)</f>
        <v/>
      </c>
    </row>
    <row r="722">
      <c r="A722" s="13">
        <f>IF(H722="","",ROW()-4)</f>
        <v/>
      </c>
      <c r="B722" s="13">
        <f>IF(H722="","",ROW()-4)</f>
        <v/>
      </c>
    </row>
    <row r="723">
      <c r="A723" s="13">
        <f>IF(H723="","",ROW()-4)</f>
        <v/>
      </c>
      <c r="B723" s="13">
        <f>IF(H723="","",ROW()-4)</f>
        <v/>
      </c>
    </row>
    <row r="724">
      <c r="A724" s="13">
        <f>IF(H724="","",ROW()-4)</f>
        <v/>
      </c>
      <c r="B724" s="13">
        <f>IF(H724="","",ROW()-4)</f>
        <v/>
      </c>
    </row>
    <row r="725">
      <c r="A725" s="13">
        <f>IF(H725="","",ROW()-4)</f>
        <v/>
      </c>
      <c r="B725" s="13">
        <f>IF(H725="","",ROW()-4)</f>
        <v/>
      </c>
    </row>
    <row r="726">
      <c r="A726" s="13">
        <f>IF(H726="","",ROW()-4)</f>
        <v/>
      </c>
      <c r="B726" s="13">
        <f>IF(H726="","",ROW()-4)</f>
        <v/>
      </c>
    </row>
    <row r="727">
      <c r="A727" s="13">
        <f>IF(H727="","",ROW()-4)</f>
        <v/>
      </c>
      <c r="B727" s="13">
        <f>IF(H727="","",ROW()-4)</f>
        <v/>
      </c>
    </row>
    <row r="728">
      <c r="A728" s="13">
        <f>IF(H728="","",ROW()-4)</f>
        <v/>
      </c>
      <c r="B728" s="13">
        <f>IF(H728="","",ROW()-4)</f>
        <v/>
      </c>
    </row>
    <row r="729">
      <c r="A729" s="13">
        <f>IF(H729="","",ROW()-4)</f>
        <v/>
      </c>
      <c r="B729" s="13">
        <f>IF(H729="","",ROW()-4)</f>
        <v/>
      </c>
    </row>
    <row r="730">
      <c r="A730" s="13">
        <f>IF(H730="","",ROW()-4)</f>
        <v/>
      </c>
      <c r="B730" s="13">
        <f>IF(H730="","",ROW()-4)</f>
        <v/>
      </c>
    </row>
    <row r="731">
      <c r="A731" s="13">
        <f>IF(H731="","",ROW()-4)</f>
        <v/>
      </c>
      <c r="B731" s="13">
        <f>IF(H731="","",ROW()-4)</f>
        <v/>
      </c>
    </row>
    <row r="732">
      <c r="A732" s="13">
        <f>IF(H732="","",ROW()-4)</f>
        <v/>
      </c>
      <c r="B732" s="13">
        <f>IF(H732="","",ROW()-4)</f>
        <v/>
      </c>
    </row>
    <row r="733">
      <c r="A733" s="13">
        <f>IF(H733="","",ROW()-4)</f>
        <v/>
      </c>
      <c r="B733" s="13">
        <f>IF(H733="","",ROW()-4)</f>
        <v/>
      </c>
    </row>
    <row r="734">
      <c r="A734" s="13">
        <f>IF(H734="","",ROW()-4)</f>
        <v/>
      </c>
      <c r="B734" s="13">
        <f>IF(H734="","",ROW()-4)</f>
        <v/>
      </c>
    </row>
    <row r="735">
      <c r="A735" s="13">
        <f>IF(H735="","",ROW()-4)</f>
        <v/>
      </c>
      <c r="B735" s="13">
        <f>IF(H735="","",ROW()-4)</f>
        <v/>
      </c>
    </row>
    <row r="736">
      <c r="A736" s="13">
        <f>IF(H736="","",ROW()-4)</f>
        <v/>
      </c>
      <c r="B736" s="13">
        <f>IF(H736="","",ROW()-4)</f>
        <v/>
      </c>
    </row>
    <row r="737">
      <c r="A737" s="13">
        <f>IF(H737="","",ROW()-4)</f>
        <v/>
      </c>
      <c r="B737" s="13">
        <f>IF(H737="","",ROW()-4)</f>
        <v/>
      </c>
    </row>
    <row r="738">
      <c r="A738" s="13">
        <f>IF(H738="","",ROW()-4)</f>
        <v/>
      </c>
      <c r="B738" s="13">
        <f>IF(H738="","",ROW()-4)</f>
        <v/>
      </c>
    </row>
    <row r="739">
      <c r="A739" s="13">
        <f>IF(H739="","",ROW()-4)</f>
        <v/>
      </c>
      <c r="B739" s="13">
        <f>IF(H739="","",ROW()-4)</f>
        <v/>
      </c>
    </row>
    <row r="740">
      <c r="A740" s="13">
        <f>IF(H740="","",ROW()-4)</f>
        <v/>
      </c>
      <c r="B740" s="13">
        <f>IF(H740="","",ROW()-4)</f>
        <v/>
      </c>
    </row>
    <row r="741">
      <c r="A741" s="13">
        <f>IF(H741="","",ROW()-4)</f>
        <v/>
      </c>
      <c r="B741" s="13">
        <f>IF(H741="","",ROW()-4)</f>
        <v/>
      </c>
    </row>
    <row r="742">
      <c r="A742" s="13">
        <f>IF(H742="","",ROW()-4)</f>
        <v/>
      </c>
      <c r="B742" s="13">
        <f>IF(H742="","",ROW()-4)</f>
        <v/>
      </c>
    </row>
    <row r="743">
      <c r="A743" s="13">
        <f>IF(H743="","",ROW()-4)</f>
        <v/>
      </c>
      <c r="B743" s="13">
        <f>IF(H743="","",ROW()-4)</f>
        <v/>
      </c>
    </row>
    <row r="744">
      <c r="A744" s="13">
        <f>IF(H744="","",ROW()-4)</f>
        <v/>
      </c>
      <c r="B744" s="13">
        <f>IF(H744="","",ROW()-4)</f>
        <v/>
      </c>
    </row>
    <row r="745">
      <c r="A745" s="13">
        <f>IF(H745="","",ROW()-4)</f>
        <v/>
      </c>
      <c r="B745" s="13">
        <f>IF(H745="","",ROW()-4)</f>
        <v/>
      </c>
    </row>
    <row r="746">
      <c r="A746" s="13">
        <f>IF(H746="","",ROW()-4)</f>
        <v/>
      </c>
      <c r="B746" s="13">
        <f>IF(H746="","",ROW()-4)</f>
        <v/>
      </c>
    </row>
    <row r="747">
      <c r="A747" s="13">
        <f>IF(H747="","",ROW()-4)</f>
        <v/>
      </c>
      <c r="B747" s="13">
        <f>IF(H747="","",ROW()-4)</f>
        <v/>
      </c>
    </row>
    <row r="748">
      <c r="A748" s="13">
        <f>IF(H748="","",ROW()-4)</f>
        <v/>
      </c>
      <c r="B748" s="13">
        <f>IF(H748="","",ROW()-4)</f>
        <v/>
      </c>
    </row>
    <row r="749">
      <c r="A749" s="13">
        <f>IF(H749="","",ROW()-4)</f>
        <v/>
      </c>
      <c r="B749" s="13">
        <f>IF(H749="","",ROW()-4)</f>
        <v/>
      </c>
    </row>
    <row r="750">
      <c r="A750" s="13">
        <f>IF(H750="","",ROW()-4)</f>
        <v/>
      </c>
      <c r="B750" s="13">
        <f>IF(H750="","",ROW()-4)</f>
        <v/>
      </c>
    </row>
    <row r="751">
      <c r="A751" s="13">
        <f>IF(H751="","",ROW()-4)</f>
        <v/>
      </c>
      <c r="B751" s="13">
        <f>IF(H751="","",ROW()-4)</f>
        <v/>
      </c>
    </row>
    <row r="752">
      <c r="A752" s="13">
        <f>IF(H752="","",ROW()-4)</f>
        <v/>
      </c>
      <c r="B752" s="13">
        <f>IF(H752="","",ROW()-4)</f>
        <v/>
      </c>
    </row>
    <row r="753">
      <c r="A753" s="13">
        <f>IF(H753="","",ROW()-4)</f>
        <v/>
      </c>
      <c r="B753" s="13">
        <f>IF(H753="","",ROW()-4)</f>
        <v/>
      </c>
    </row>
    <row r="754">
      <c r="A754" s="13">
        <f>IF(H754="","",ROW()-4)</f>
        <v/>
      </c>
      <c r="B754" s="13">
        <f>IF(H754="","",ROW()-4)</f>
        <v/>
      </c>
    </row>
    <row r="755">
      <c r="A755" s="13">
        <f>IF(H755="","",ROW()-4)</f>
        <v/>
      </c>
      <c r="B755" s="13">
        <f>IF(H755="","",ROW()-4)</f>
        <v/>
      </c>
    </row>
    <row r="756">
      <c r="A756" s="13">
        <f>IF(H756="","",ROW()-4)</f>
        <v/>
      </c>
      <c r="B756" s="13">
        <f>IF(H756="","",ROW()-4)</f>
        <v/>
      </c>
    </row>
    <row r="757">
      <c r="A757" s="13">
        <f>IF(H757="","",ROW()-4)</f>
        <v/>
      </c>
      <c r="B757" s="13">
        <f>IF(H757="","",ROW()-4)</f>
        <v/>
      </c>
    </row>
    <row r="758">
      <c r="A758" s="13">
        <f>IF(H758="","",ROW()-4)</f>
        <v/>
      </c>
      <c r="B758" s="13">
        <f>IF(H758="","",ROW()-4)</f>
        <v/>
      </c>
    </row>
    <row r="759">
      <c r="A759" s="13">
        <f>IF(H759="","",ROW()-4)</f>
        <v/>
      </c>
      <c r="B759" s="13">
        <f>IF(H759="","",ROW()-4)</f>
        <v/>
      </c>
    </row>
    <row r="760">
      <c r="A760" s="13">
        <f>IF(H760="","",ROW()-4)</f>
        <v/>
      </c>
      <c r="B760" s="13">
        <f>IF(H760="","",ROW()-4)</f>
        <v/>
      </c>
    </row>
    <row r="761">
      <c r="A761" s="13">
        <f>IF(H761="","",ROW()-4)</f>
        <v/>
      </c>
      <c r="B761" s="13">
        <f>IF(H761="","",ROW()-4)</f>
        <v/>
      </c>
    </row>
    <row r="762">
      <c r="A762" s="13">
        <f>IF(H762="","",ROW()-4)</f>
        <v/>
      </c>
      <c r="B762" s="13">
        <f>IF(H762="","",ROW()-4)</f>
        <v/>
      </c>
    </row>
    <row r="763">
      <c r="A763" s="13">
        <f>IF(H763="","",ROW()-4)</f>
        <v/>
      </c>
      <c r="B763" s="13">
        <f>IF(H763="","",ROW()-4)</f>
        <v/>
      </c>
    </row>
    <row r="764">
      <c r="A764" s="13">
        <f>IF(H764="","",ROW()-4)</f>
        <v/>
      </c>
      <c r="B764" s="13">
        <f>IF(H764="","",ROW()-4)</f>
        <v/>
      </c>
    </row>
    <row r="765">
      <c r="A765" s="13">
        <f>IF(H765="","",ROW()-4)</f>
        <v/>
      </c>
      <c r="B765" s="13">
        <f>IF(H765="","",ROW()-4)</f>
        <v/>
      </c>
    </row>
    <row r="766">
      <c r="A766" s="13">
        <f>IF(H766="","",ROW()-4)</f>
        <v/>
      </c>
      <c r="B766" s="13">
        <f>IF(H766="","",ROW()-4)</f>
        <v/>
      </c>
    </row>
    <row r="767">
      <c r="A767" s="13">
        <f>IF(H767="","",ROW()-4)</f>
        <v/>
      </c>
      <c r="B767" s="13">
        <f>IF(H767="","",ROW()-4)</f>
        <v/>
      </c>
    </row>
    <row r="768">
      <c r="A768" s="13">
        <f>IF(H768="","",ROW()-4)</f>
        <v/>
      </c>
      <c r="B768" s="13">
        <f>IF(H768="","",ROW()-4)</f>
        <v/>
      </c>
    </row>
    <row r="769">
      <c r="A769" s="13">
        <f>IF(H769="","",ROW()-4)</f>
        <v/>
      </c>
      <c r="B769" s="13">
        <f>IF(H769="","",ROW()-4)</f>
        <v/>
      </c>
    </row>
    <row r="770">
      <c r="A770" s="13">
        <f>IF(H770="","",ROW()-4)</f>
        <v/>
      </c>
      <c r="B770" s="13">
        <f>IF(H770="","",ROW()-4)</f>
        <v/>
      </c>
    </row>
    <row r="771">
      <c r="A771" s="13">
        <f>IF(H771="","",ROW()-4)</f>
        <v/>
      </c>
      <c r="B771" s="13">
        <f>IF(H771="","",ROW()-4)</f>
        <v/>
      </c>
    </row>
    <row r="772">
      <c r="A772" s="13">
        <f>IF(H772="","",ROW()-4)</f>
        <v/>
      </c>
      <c r="B772" s="13">
        <f>IF(H772="","",ROW()-4)</f>
        <v/>
      </c>
    </row>
    <row r="773">
      <c r="A773" s="13">
        <f>IF(H773="","",ROW()-4)</f>
        <v/>
      </c>
      <c r="B773" s="13">
        <f>IF(H773="","",ROW()-4)</f>
        <v/>
      </c>
    </row>
    <row r="774">
      <c r="A774" s="13">
        <f>IF(H774="","",ROW()-4)</f>
        <v/>
      </c>
      <c r="B774" s="13">
        <f>IF(H774="","",ROW()-4)</f>
        <v/>
      </c>
    </row>
    <row r="775">
      <c r="A775" s="13">
        <f>IF(H775="","",ROW()-4)</f>
        <v/>
      </c>
      <c r="B775" s="13">
        <f>IF(H775="","",ROW()-4)</f>
        <v/>
      </c>
    </row>
    <row r="776">
      <c r="A776" s="13">
        <f>IF(H776="","",ROW()-4)</f>
        <v/>
      </c>
      <c r="B776" s="13">
        <f>IF(H776="","",ROW()-4)</f>
        <v/>
      </c>
    </row>
    <row r="777">
      <c r="A777" s="13">
        <f>IF(H777="","",ROW()-4)</f>
        <v/>
      </c>
      <c r="B777" s="13">
        <f>IF(H777="","",ROW()-4)</f>
        <v/>
      </c>
    </row>
    <row r="778">
      <c r="A778" s="13">
        <f>IF(H778="","",ROW()-4)</f>
        <v/>
      </c>
      <c r="B778" s="13">
        <f>IF(H778="","",ROW()-4)</f>
        <v/>
      </c>
    </row>
    <row r="779">
      <c r="A779" s="13">
        <f>IF(H779="","",ROW()-4)</f>
        <v/>
      </c>
      <c r="B779" s="13">
        <f>IF(H779="","",ROW()-4)</f>
        <v/>
      </c>
    </row>
    <row r="780">
      <c r="A780" s="13">
        <f>IF(H780="","",ROW()-4)</f>
        <v/>
      </c>
      <c r="B780" s="13">
        <f>IF(H780="","",ROW()-4)</f>
        <v/>
      </c>
    </row>
    <row r="781">
      <c r="A781" s="13">
        <f>IF(H781="","",ROW()-4)</f>
        <v/>
      </c>
      <c r="B781" s="13">
        <f>IF(H781="","",ROW()-4)</f>
        <v/>
      </c>
    </row>
    <row r="782">
      <c r="A782" s="13">
        <f>IF(H782="","",ROW()-4)</f>
        <v/>
      </c>
      <c r="B782" s="13">
        <f>IF(H782="","",ROW()-4)</f>
        <v/>
      </c>
    </row>
    <row r="783">
      <c r="A783" s="13">
        <f>IF(H783="","",ROW()-4)</f>
        <v/>
      </c>
      <c r="B783" s="13">
        <f>IF(H783="","",ROW()-4)</f>
        <v/>
      </c>
    </row>
    <row r="784">
      <c r="A784" s="13">
        <f>IF(H784="","",ROW()-4)</f>
        <v/>
      </c>
      <c r="B784" s="13">
        <f>IF(H784="","",ROW()-4)</f>
        <v/>
      </c>
    </row>
    <row r="785">
      <c r="A785" s="13">
        <f>IF(H785="","",ROW()-4)</f>
        <v/>
      </c>
      <c r="B785" s="13">
        <f>IF(H785="","",ROW()-4)</f>
        <v/>
      </c>
    </row>
    <row r="786">
      <c r="A786" s="13">
        <f>IF(H786="","",ROW()-4)</f>
        <v/>
      </c>
      <c r="B786" s="13">
        <f>IF(H786="","",ROW()-4)</f>
        <v/>
      </c>
    </row>
    <row r="787">
      <c r="A787" s="13">
        <f>IF(H787="","",ROW()-4)</f>
        <v/>
      </c>
      <c r="B787" s="13">
        <f>IF(H787="","",ROW()-4)</f>
        <v/>
      </c>
    </row>
    <row r="788">
      <c r="A788" s="13">
        <f>IF(H788="","",ROW()-4)</f>
        <v/>
      </c>
      <c r="B788" s="13">
        <f>IF(H788="","",ROW()-4)</f>
        <v/>
      </c>
    </row>
    <row r="789">
      <c r="A789" s="13">
        <f>IF(H789="","",ROW()-4)</f>
        <v/>
      </c>
      <c r="B789" s="13">
        <f>IF(H789="","",ROW()-4)</f>
        <v/>
      </c>
    </row>
    <row r="790">
      <c r="A790" s="13">
        <f>IF(H790="","",ROW()-4)</f>
        <v/>
      </c>
      <c r="B790" s="13">
        <f>IF(H790="","",ROW()-4)</f>
        <v/>
      </c>
    </row>
    <row r="791">
      <c r="A791" s="13">
        <f>IF(H791="","",ROW()-4)</f>
        <v/>
      </c>
      <c r="B791" s="13">
        <f>IF(H791="","",ROW()-4)</f>
        <v/>
      </c>
    </row>
    <row r="792">
      <c r="A792" s="13">
        <f>IF(H792="","",ROW()-4)</f>
        <v/>
      </c>
      <c r="B792" s="13">
        <f>IF(H792="","",ROW()-4)</f>
        <v/>
      </c>
    </row>
    <row r="793">
      <c r="A793" s="13">
        <f>IF(H793="","",ROW()-4)</f>
        <v/>
      </c>
      <c r="B793" s="13">
        <f>IF(H793="","",ROW()-4)</f>
        <v/>
      </c>
    </row>
    <row r="794">
      <c r="A794" s="13">
        <f>IF(H794="","",ROW()-4)</f>
        <v/>
      </c>
      <c r="B794" s="13">
        <f>IF(H794="","",ROW()-4)</f>
        <v/>
      </c>
    </row>
    <row r="795">
      <c r="A795" s="13">
        <f>IF(H795="","",ROW()-4)</f>
        <v/>
      </c>
      <c r="B795" s="13">
        <f>IF(H795="","",ROW()-4)</f>
        <v/>
      </c>
    </row>
    <row r="796">
      <c r="A796" s="13">
        <f>IF(H796="","",ROW()-4)</f>
        <v/>
      </c>
      <c r="B796" s="13">
        <f>IF(H796="","",ROW()-4)</f>
        <v/>
      </c>
    </row>
    <row r="797">
      <c r="A797" s="13">
        <f>IF(H797="","",ROW()-4)</f>
        <v/>
      </c>
      <c r="B797" s="13">
        <f>IF(H797="","",ROW()-4)</f>
        <v/>
      </c>
    </row>
    <row r="798">
      <c r="A798" s="13">
        <f>IF(H798="","",ROW()-4)</f>
        <v/>
      </c>
      <c r="B798" s="13">
        <f>IF(H798="","",ROW()-4)</f>
        <v/>
      </c>
    </row>
    <row r="799">
      <c r="A799" s="13">
        <f>IF(H799="","",ROW()-4)</f>
        <v/>
      </c>
      <c r="B799" s="13">
        <f>IF(H799="","",ROW()-4)</f>
        <v/>
      </c>
    </row>
    <row r="800">
      <c r="A800" s="13">
        <f>IF(H800="","",ROW()-4)</f>
        <v/>
      </c>
      <c r="B800" s="13">
        <f>IF(H800="","",ROW()-4)</f>
        <v/>
      </c>
    </row>
    <row r="801">
      <c r="A801" s="13">
        <f>IF(H801="","",ROW()-4)</f>
        <v/>
      </c>
      <c r="B801" s="13">
        <f>IF(H801="","",ROW()-4)</f>
        <v/>
      </c>
    </row>
    <row r="802">
      <c r="A802" s="13">
        <f>IF(H802="","",ROW()-4)</f>
        <v/>
      </c>
      <c r="B802" s="13">
        <f>IF(H802="","",ROW()-4)</f>
        <v/>
      </c>
    </row>
    <row r="803">
      <c r="A803" s="13">
        <f>IF(H803="","",ROW()-4)</f>
        <v/>
      </c>
      <c r="B803" s="13">
        <f>IF(H803="","",ROW()-4)</f>
        <v/>
      </c>
    </row>
    <row r="804">
      <c r="A804" s="13">
        <f>IF(H804="","",ROW()-4)</f>
        <v/>
      </c>
      <c r="B804" s="13">
        <f>IF(H804="","",ROW()-4)</f>
        <v/>
      </c>
    </row>
    <row r="805">
      <c r="A805" s="13">
        <f>IF(H805="","",ROW()-4)</f>
        <v/>
      </c>
      <c r="B805" s="13">
        <f>IF(H805="","",ROW()-4)</f>
        <v/>
      </c>
    </row>
    <row r="806">
      <c r="A806" s="13">
        <f>IF(H806="","",ROW()-4)</f>
        <v/>
      </c>
      <c r="B806" s="13">
        <f>IF(H806="","",ROW()-4)</f>
        <v/>
      </c>
    </row>
    <row r="807">
      <c r="A807" s="13">
        <f>IF(H807="","",ROW()-4)</f>
        <v/>
      </c>
      <c r="B807" s="13">
        <f>IF(H807="","",ROW()-4)</f>
        <v/>
      </c>
    </row>
    <row r="808">
      <c r="A808" s="13">
        <f>IF(H808="","",ROW()-4)</f>
        <v/>
      </c>
      <c r="B808" s="13">
        <f>IF(H808="","",ROW()-4)</f>
        <v/>
      </c>
    </row>
    <row r="809">
      <c r="A809" s="13">
        <f>IF(H809="","",ROW()-4)</f>
        <v/>
      </c>
      <c r="B809" s="13">
        <f>IF(H809="","",ROW()-4)</f>
        <v/>
      </c>
    </row>
    <row r="810">
      <c r="A810" s="13">
        <f>IF(H810="","",ROW()-4)</f>
        <v/>
      </c>
      <c r="B810" s="13">
        <f>IF(H810="","",ROW()-4)</f>
        <v/>
      </c>
    </row>
    <row r="811">
      <c r="A811" s="13">
        <f>IF(H811="","",ROW()-4)</f>
        <v/>
      </c>
      <c r="B811" s="13">
        <f>IF(H811="","",ROW()-4)</f>
        <v/>
      </c>
    </row>
    <row r="812">
      <c r="A812" s="13">
        <f>IF(H812="","",ROW()-4)</f>
        <v/>
      </c>
      <c r="B812" s="13">
        <f>IF(H812="","",ROW()-4)</f>
        <v/>
      </c>
    </row>
    <row r="813">
      <c r="A813" s="13">
        <f>IF(H813="","",ROW()-4)</f>
        <v/>
      </c>
      <c r="B813" s="13">
        <f>IF(H813="","",ROW()-4)</f>
        <v/>
      </c>
    </row>
    <row r="814">
      <c r="A814" s="13">
        <f>IF(H814="","",ROW()-4)</f>
        <v/>
      </c>
      <c r="B814" s="13">
        <f>IF(H814="","",ROW()-4)</f>
        <v/>
      </c>
    </row>
    <row r="815">
      <c r="A815" s="13">
        <f>IF(H815="","",ROW()-4)</f>
        <v/>
      </c>
      <c r="B815" s="13">
        <f>IF(H815="","",ROW()-4)</f>
        <v/>
      </c>
    </row>
    <row r="816">
      <c r="A816" s="13">
        <f>IF(H816="","",ROW()-4)</f>
        <v/>
      </c>
      <c r="B816" s="13">
        <f>IF(H816="","",ROW()-4)</f>
        <v/>
      </c>
    </row>
    <row r="817">
      <c r="A817" s="13">
        <f>IF(H817="","",ROW()-4)</f>
        <v/>
      </c>
      <c r="B817" s="13">
        <f>IF(H817="","",ROW()-4)</f>
        <v/>
      </c>
    </row>
    <row r="818">
      <c r="A818" s="13">
        <f>IF(H818="","",ROW()-4)</f>
        <v/>
      </c>
      <c r="B818" s="13">
        <f>IF(H818="","",ROW()-4)</f>
        <v/>
      </c>
    </row>
    <row r="819">
      <c r="A819" s="13">
        <f>IF(H819="","",ROW()-4)</f>
        <v/>
      </c>
      <c r="B819" s="13">
        <f>IF(H819="","",ROW()-4)</f>
        <v/>
      </c>
    </row>
    <row r="820">
      <c r="A820" s="13">
        <f>IF(H820="","",ROW()-4)</f>
        <v/>
      </c>
      <c r="B820" s="13">
        <f>IF(H820="","",ROW()-4)</f>
        <v/>
      </c>
    </row>
    <row r="821">
      <c r="A821" s="13">
        <f>IF(H821="","",ROW()-4)</f>
        <v/>
      </c>
      <c r="B821" s="13">
        <f>IF(H821="","",ROW()-4)</f>
        <v/>
      </c>
    </row>
    <row r="822">
      <c r="A822" s="13">
        <f>IF(H822="","",ROW()-4)</f>
        <v/>
      </c>
      <c r="B822" s="13">
        <f>IF(H822="","",ROW()-4)</f>
        <v/>
      </c>
    </row>
    <row r="823">
      <c r="A823" s="13">
        <f>IF(H823="","",ROW()-4)</f>
        <v/>
      </c>
      <c r="B823" s="13">
        <f>IF(H823="","",ROW()-4)</f>
        <v/>
      </c>
    </row>
    <row r="824">
      <c r="A824" s="13">
        <f>IF(H824="","",ROW()-4)</f>
        <v/>
      </c>
      <c r="B824" s="13">
        <f>IF(H824="","",ROW()-4)</f>
        <v/>
      </c>
    </row>
    <row r="825">
      <c r="A825" s="13">
        <f>IF(H825="","",ROW()-4)</f>
        <v/>
      </c>
      <c r="B825" s="13">
        <f>IF(H825="","",ROW()-4)</f>
        <v/>
      </c>
    </row>
    <row r="826">
      <c r="A826" s="13">
        <f>IF(H826="","",ROW()-4)</f>
        <v/>
      </c>
      <c r="B826" s="13">
        <f>IF(H826="","",ROW()-4)</f>
        <v/>
      </c>
    </row>
    <row r="827">
      <c r="A827" s="13">
        <f>IF(H827="","",ROW()-4)</f>
        <v/>
      </c>
      <c r="B827" s="13">
        <f>IF(H827="","",ROW()-4)</f>
        <v/>
      </c>
    </row>
    <row r="828">
      <c r="A828" s="13">
        <f>IF(H828="","",ROW()-4)</f>
        <v/>
      </c>
      <c r="B828" s="13">
        <f>IF(H828="","",ROW()-4)</f>
        <v/>
      </c>
    </row>
    <row r="829">
      <c r="A829" s="13">
        <f>IF(H829="","",ROW()-4)</f>
        <v/>
      </c>
      <c r="B829" s="13">
        <f>IF(H829="","",ROW()-4)</f>
        <v/>
      </c>
    </row>
    <row r="830">
      <c r="A830" s="13">
        <f>IF(H830="","",ROW()-4)</f>
        <v/>
      </c>
      <c r="B830" s="13">
        <f>IF(H830="","",ROW()-4)</f>
        <v/>
      </c>
    </row>
    <row r="831">
      <c r="A831" s="13">
        <f>IF(H831="","",ROW()-4)</f>
        <v/>
      </c>
      <c r="B831" s="13">
        <f>IF(H831="","",ROW()-4)</f>
        <v/>
      </c>
    </row>
    <row r="832">
      <c r="A832" s="13">
        <f>IF(H832="","",ROW()-4)</f>
        <v/>
      </c>
      <c r="B832" s="13">
        <f>IF(H832="","",ROW()-4)</f>
        <v/>
      </c>
    </row>
    <row r="833">
      <c r="A833" s="13">
        <f>IF(H833="","",ROW()-4)</f>
        <v/>
      </c>
      <c r="B833" s="13">
        <f>IF(H833="","",ROW()-4)</f>
        <v/>
      </c>
    </row>
    <row r="834">
      <c r="A834" s="13">
        <f>IF(H834="","",ROW()-4)</f>
        <v/>
      </c>
      <c r="B834" s="13">
        <f>IF(H834="","",ROW()-4)</f>
        <v/>
      </c>
    </row>
    <row r="835">
      <c r="A835" s="13">
        <f>IF(H835="","",ROW()-4)</f>
        <v/>
      </c>
      <c r="B835" s="13">
        <f>IF(H835="","",ROW()-4)</f>
        <v/>
      </c>
    </row>
    <row r="836">
      <c r="A836" s="13">
        <f>IF(H836="","",ROW()-4)</f>
        <v/>
      </c>
      <c r="B836" s="13">
        <f>IF(H836="","",ROW()-4)</f>
        <v/>
      </c>
    </row>
    <row r="837">
      <c r="A837" s="13">
        <f>IF(H837="","",ROW()-4)</f>
        <v/>
      </c>
      <c r="B837" s="13">
        <f>IF(H837="","",ROW()-4)</f>
        <v/>
      </c>
    </row>
    <row r="838">
      <c r="A838" s="13">
        <f>IF(H838="","",ROW()-4)</f>
        <v/>
      </c>
      <c r="B838" s="13">
        <f>IF(H838="","",ROW()-4)</f>
        <v/>
      </c>
    </row>
    <row r="839">
      <c r="A839" s="13">
        <f>IF(H839="","",ROW()-4)</f>
        <v/>
      </c>
      <c r="B839" s="13">
        <f>IF(H839="","",ROW()-4)</f>
        <v/>
      </c>
    </row>
    <row r="840">
      <c r="A840" s="13">
        <f>IF(H840="","",ROW()-4)</f>
        <v/>
      </c>
      <c r="B840" s="13">
        <f>IF(H840="","",ROW()-4)</f>
        <v/>
      </c>
    </row>
    <row r="841">
      <c r="A841" s="13">
        <f>IF(H841="","",ROW()-4)</f>
        <v/>
      </c>
      <c r="B841" s="13">
        <f>IF(H841="","",ROW()-4)</f>
        <v/>
      </c>
    </row>
    <row r="842">
      <c r="A842" s="13">
        <f>IF(H842="","",ROW()-4)</f>
        <v/>
      </c>
      <c r="B842" s="13">
        <f>IF(H842="","",ROW()-4)</f>
        <v/>
      </c>
    </row>
    <row r="843">
      <c r="A843" s="13">
        <f>IF(H843="","",ROW()-4)</f>
        <v/>
      </c>
      <c r="B843" s="13">
        <f>IF(H843="","",ROW()-4)</f>
        <v/>
      </c>
    </row>
    <row r="844">
      <c r="A844" s="13">
        <f>IF(H844="","",ROW()-4)</f>
        <v/>
      </c>
      <c r="B844" s="13">
        <f>IF(H844="","",ROW()-4)</f>
        <v/>
      </c>
    </row>
    <row r="845">
      <c r="A845" s="13">
        <f>IF(H845="","",ROW()-4)</f>
        <v/>
      </c>
      <c r="B845" s="13">
        <f>IF(H845="","",ROW()-4)</f>
        <v/>
      </c>
    </row>
    <row r="846">
      <c r="A846" s="13">
        <f>IF(H846="","",ROW()-4)</f>
        <v/>
      </c>
      <c r="B846" s="13">
        <f>IF(H846="","",ROW()-4)</f>
        <v/>
      </c>
    </row>
    <row r="847">
      <c r="A847" s="13">
        <f>IF(H847="","",ROW()-4)</f>
        <v/>
      </c>
      <c r="B847" s="13">
        <f>IF(H847="","",ROW()-4)</f>
        <v/>
      </c>
    </row>
    <row r="848">
      <c r="A848" s="13">
        <f>IF(H848="","",ROW()-4)</f>
        <v/>
      </c>
      <c r="B848" s="13">
        <f>IF(H848="","",ROW()-4)</f>
        <v/>
      </c>
    </row>
    <row r="849">
      <c r="A849" s="13">
        <f>IF(H849="","",ROW()-4)</f>
        <v/>
      </c>
      <c r="B849" s="13">
        <f>IF(H849="","",ROW()-4)</f>
        <v/>
      </c>
    </row>
    <row r="850">
      <c r="A850" s="13">
        <f>IF(H850="","",ROW()-4)</f>
        <v/>
      </c>
      <c r="B850" s="13">
        <f>IF(H850="","",ROW()-4)</f>
        <v/>
      </c>
    </row>
    <row r="851">
      <c r="A851" s="13">
        <f>IF(H851="","",ROW()-4)</f>
        <v/>
      </c>
      <c r="B851" s="13">
        <f>IF(H851="","",ROW()-4)</f>
        <v/>
      </c>
    </row>
    <row r="852">
      <c r="A852" s="13">
        <f>IF(H852="","",ROW()-4)</f>
        <v/>
      </c>
      <c r="B852" s="13">
        <f>IF(H852="","",ROW()-4)</f>
        <v/>
      </c>
    </row>
    <row r="853">
      <c r="A853" s="13">
        <f>IF(H853="","",ROW()-4)</f>
        <v/>
      </c>
      <c r="B853" s="13">
        <f>IF(H853="","",ROW()-4)</f>
        <v/>
      </c>
    </row>
    <row r="854">
      <c r="A854" s="13">
        <f>IF(H854="","",ROW()-4)</f>
        <v/>
      </c>
      <c r="B854" s="13">
        <f>IF(H854="","",ROW()-4)</f>
        <v/>
      </c>
    </row>
    <row r="855">
      <c r="A855" s="13">
        <f>IF(H855="","",ROW()-4)</f>
        <v/>
      </c>
      <c r="B855" s="13">
        <f>IF(H855="","",ROW()-4)</f>
        <v/>
      </c>
    </row>
    <row r="856">
      <c r="A856" s="13">
        <f>IF(H856="","",ROW()-4)</f>
        <v/>
      </c>
      <c r="B856" s="13">
        <f>IF(H856="","",ROW()-4)</f>
        <v/>
      </c>
    </row>
    <row r="857">
      <c r="A857" s="13">
        <f>IF(H857="","",ROW()-4)</f>
        <v/>
      </c>
      <c r="B857" s="13">
        <f>IF(H857="","",ROW()-4)</f>
        <v/>
      </c>
    </row>
    <row r="858">
      <c r="A858" s="13">
        <f>IF(H858="","",ROW()-4)</f>
        <v/>
      </c>
      <c r="B858" s="13">
        <f>IF(H858="","",ROW()-4)</f>
        <v/>
      </c>
    </row>
    <row r="859">
      <c r="A859" s="13">
        <f>IF(H859="","",ROW()-4)</f>
        <v/>
      </c>
      <c r="B859" s="13">
        <f>IF(H859="","",ROW()-4)</f>
        <v/>
      </c>
    </row>
    <row r="860">
      <c r="A860" s="13">
        <f>IF(H860="","",ROW()-4)</f>
        <v/>
      </c>
      <c r="B860" s="13">
        <f>IF(H860="","",ROW()-4)</f>
        <v/>
      </c>
    </row>
    <row r="861">
      <c r="A861" s="13">
        <f>IF(H861="","",ROW()-4)</f>
        <v/>
      </c>
      <c r="B861" s="13">
        <f>IF(H861="","",ROW()-4)</f>
        <v/>
      </c>
    </row>
    <row r="862">
      <c r="A862" s="13">
        <f>IF(H862="","",ROW()-4)</f>
        <v/>
      </c>
      <c r="B862" s="13">
        <f>IF(H862="","",ROW()-4)</f>
        <v/>
      </c>
    </row>
    <row r="863">
      <c r="A863" s="13">
        <f>IF(H863="","",ROW()-4)</f>
        <v/>
      </c>
      <c r="B863" s="13">
        <f>IF(H863="","",ROW()-4)</f>
        <v/>
      </c>
    </row>
    <row r="864">
      <c r="A864" s="13">
        <f>IF(H864="","",ROW()-4)</f>
        <v/>
      </c>
      <c r="B864" s="13">
        <f>IF(H864="","",ROW()-4)</f>
        <v/>
      </c>
    </row>
    <row r="865">
      <c r="A865" s="13">
        <f>IF(H865="","",ROW()-4)</f>
        <v/>
      </c>
      <c r="B865" s="13">
        <f>IF(H865="","",ROW()-4)</f>
        <v/>
      </c>
    </row>
    <row r="866">
      <c r="A866" s="13">
        <f>IF(H866="","",ROW()-4)</f>
        <v/>
      </c>
      <c r="B866" s="13">
        <f>IF(H866="","",ROW()-4)</f>
        <v/>
      </c>
    </row>
    <row r="867">
      <c r="A867" s="13">
        <f>IF(H867="","",ROW()-4)</f>
        <v/>
      </c>
      <c r="B867" s="13">
        <f>IF(H867="","",ROW()-4)</f>
        <v/>
      </c>
    </row>
    <row r="868">
      <c r="A868" s="13">
        <f>IF(H868="","",ROW()-4)</f>
        <v/>
      </c>
      <c r="B868" s="13">
        <f>IF(H868="","",ROW()-4)</f>
        <v/>
      </c>
    </row>
    <row r="869">
      <c r="A869" s="13">
        <f>IF(H869="","",ROW()-4)</f>
        <v/>
      </c>
      <c r="B869" s="13">
        <f>IF(H869="","",ROW()-4)</f>
        <v/>
      </c>
    </row>
    <row r="870">
      <c r="A870" s="13">
        <f>IF(H870="","",ROW()-4)</f>
        <v/>
      </c>
      <c r="B870" s="13">
        <f>IF(H870="","",ROW()-4)</f>
        <v/>
      </c>
    </row>
    <row r="871">
      <c r="A871" s="13">
        <f>IF(H871="","",ROW()-4)</f>
        <v/>
      </c>
      <c r="B871" s="13">
        <f>IF(H871="","",ROW()-4)</f>
        <v/>
      </c>
    </row>
    <row r="872">
      <c r="A872" s="13">
        <f>IF(H872="","",ROW()-4)</f>
        <v/>
      </c>
      <c r="B872" s="13">
        <f>IF(H872="","",ROW()-4)</f>
        <v/>
      </c>
    </row>
    <row r="873">
      <c r="A873" s="13">
        <f>IF(H873="","",ROW()-4)</f>
        <v/>
      </c>
      <c r="B873" s="13">
        <f>IF(H873="","",ROW()-4)</f>
        <v/>
      </c>
    </row>
    <row r="874">
      <c r="A874" s="13">
        <f>IF(H874="","",ROW()-4)</f>
        <v/>
      </c>
      <c r="B874" s="13">
        <f>IF(H874="","",ROW()-4)</f>
        <v/>
      </c>
    </row>
    <row r="875">
      <c r="A875" s="13">
        <f>IF(H875="","",ROW()-4)</f>
        <v/>
      </c>
      <c r="B875" s="13">
        <f>IF(H875="","",ROW()-4)</f>
        <v/>
      </c>
    </row>
    <row r="876">
      <c r="A876" s="13">
        <f>IF(H876="","",ROW()-4)</f>
        <v/>
      </c>
      <c r="B876" s="13">
        <f>IF(H876="","",ROW()-4)</f>
        <v/>
      </c>
    </row>
    <row r="877">
      <c r="A877" s="13">
        <f>IF(H877="","",ROW()-4)</f>
        <v/>
      </c>
      <c r="B877" s="13">
        <f>IF(H877="","",ROW()-4)</f>
        <v/>
      </c>
    </row>
    <row r="878">
      <c r="A878" s="13">
        <f>IF(H878="","",ROW()-4)</f>
        <v/>
      </c>
      <c r="B878" s="13">
        <f>IF(H878="","",ROW()-4)</f>
        <v/>
      </c>
    </row>
    <row r="879">
      <c r="A879" s="13">
        <f>IF(H879="","",ROW()-4)</f>
        <v/>
      </c>
      <c r="B879" s="13">
        <f>IF(H879="","",ROW()-4)</f>
        <v/>
      </c>
    </row>
    <row r="880">
      <c r="A880" s="13">
        <f>IF(H880="","",ROW()-4)</f>
        <v/>
      </c>
      <c r="B880" s="13">
        <f>IF(H880="","",ROW()-4)</f>
        <v/>
      </c>
    </row>
    <row r="881">
      <c r="A881" s="13">
        <f>IF(H881="","",ROW()-4)</f>
        <v/>
      </c>
      <c r="B881" s="13">
        <f>IF(H881="","",ROW()-4)</f>
        <v/>
      </c>
    </row>
    <row r="882">
      <c r="A882" s="13">
        <f>IF(H882="","",ROW()-4)</f>
        <v/>
      </c>
      <c r="B882" s="13">
        <f>IF(H882="","",ROW()-4)</f>
        <v/>
      </c>
    </row>
    <row r="883">
      <c r="A883" s="13">
        <f>IF(H883="","",ROW()-4)</f>
        <v/>
      </c>
      <c r="B883" s="13">
        <f>IF(H883="","",ROW()-4)</f>
        <v/>
      </c>
    </row>
    <row r="884">
      <c r="A884" s="13">
        <f>IF(H884="","",ROW()-4)</f>
        <v/>
      </c>
      <c r="B884" s="13">
        <f>IF(H884="","",ROW()-4)</f>
        <v/>
      </c>
    </row>
    <row r="885">
      <c r="A885" s="13">
        <f>IF(H885="","",ROW()-4)</f>
        <v/>
      </c>
      <c r="B885" s="13">
        <f>IF(H885="","",ROW()-4)</f>
        <v/>
      </c>
    </row>
    <row r="886">
      <c r="A886" s="13">
        <f>IF(H886="","",ROW()-4)</f>
        <v/>
      </c>
      <c r="B886" s="13">
        <f>IF(H886="","",ROW()-4)</f>
        <v/>
      </c>
    </row>
    <row r="887">
      <c r="A887" s="13">
        <f>IF(H887="","",ROW()-4)</f>
        <v/>
      </c>
      <c r="B887" s="13">
        <f>IF(H887="","",ROW()-4)</f>
        <v/>
      </c>
    </row>
    <row r="888">
      <c r="A888" s="13">
        <f>IF(H888="","",ROW()-4)</f>
        <v/>
      </c>
      <c r="B888" s="13">
        <f>IF(H888="","",ROW()-4)</f>
        <v/>
      </c>
    </row>
    <row r="889">
      <c r="A889" s="13">
        <f>IF(H889="","",ROW()-4)</f>
        <v/>
      </c>
      <c r="B889" s="13">
        <f>IF(H889="","",ROW()-4)</f>
        <v/>
      </c>
    </row>
    <row r="890">
      <c r="A890" s="13">
        <f>IF(H890="","",ROW()-4)</f>
        <v/>
      </c>
      <c r="B890" s="13">
        <f>IF(H890="","",ROW()-4)</f>
        <v/>
      </c>
    </row>
    <row r="891">
      <c r="A891" s="13">
        <f>IF(H891="","",ROW()-4)</f>
        <v/>
      </c>
      <c r="B891" s="13">
        <f>IF(H891="","",ROW()-4)</f>
        <v/>
      </c>
    </row>
    <row r="892">
      <c r="A892" s="13">
        <f>IF(H892="","",ROW()-4)</f>
        <v/>
      </c>
      <c r="B892" s="13">
        <f>IF(H892="","",ROW()-4)</f>
        <v/>
      </c>
    </row>
    <row r="893">
      <c r="A893" s="13">
        <f>IF(H893="","",ROW()-4)</f>
        <v/>
      </c>
      <c r="B893" s="13">
        <f>IF(H893="","",ROW()-4)</f>
        <v/>
      </c>
    </row>
    <row r="894">
      <c r="A894" s="13">
        <f>IF(H894="","",ROW()-4)</f>
        <v/>
      </c>
      <c r="B894" s="13">
        <f>IF(H894="","",ROW()-4)</f>
        <v/>
      </c>
    </row>
    <row r="895">
      <c r="A895" s="13">
        <f>IF(H895="","",ROW()-4)</f>
        <v/>
      </c>
      <c r="B895" s="13">
        <f>IF(H895="","",ROW()-4)</f>
        <v/>
      </c>
    </row>
    <row r="896">
      <c r="A896" s="13">
        <f>IF(H896="","",ROW()-4)</f>
        <v/>
      </c>
      <c r="B896" s="13">
        <f>IF(H896="","",ROW()-4)</f>
        <v/>
      </c>
    </row>
    <row r="897">
      <c r="A897" s="13">
        <f>IF(H897="","",ROW()-4)</f>
        <v/>
      </c>
      <c r="B897" s="13">
        <f>IF(H897="","",ROW()-4)</f>
        <v/>
      </c>
    </row>
    <row r="898">
      <c r="A898" s="13">
        <f>IF(H898="","",ROW()-4)</f>
        <v/>
      </c>
      <c r="B898" s="13">
        <f>IF(H898="","",ROW()-4)</f>
        <v/>
      </c>
    </row>
    <row r="899">
      <c r="A899" s="13">
        <f>IF(H899="","",ROW()-4)</f>
        <v/>
      </c>
      <c r="B899" s="13">
        <f>IF(H899="","",ROW()-4)</f>
        <v/>
      </c>
    </row>
    <row r="900">
      <c r="A900" s="13">
        <f>IF(H900="","",ROW()-4)</f>
        <v/>
      </c>
      <c r="B900" s="13">
        <f>IF(H900="","",ROW()-4)</f>
        <v/>
      </c>
    </row>
    <row r="901">
      <c r="A901" s="13">
        <f>IF(H901="","",ROW()-4)</f>
        <v/>
      </c>
      <c r="B901" s="13">
        <f>IF(H901="","",ROW()-4)</f>
        <v/>
      </c>
    </row>
    <row r="902">
      <c r="A902" s="13">
        <f>IF(H902="","",ROW()-4)</f>
        <v/>
      </c>
      <c r="B902" s="13">
        <f>IF(H902="","",ROW()-4)</f>
        <v/>
      </c>
    </row>
    <row r="903">
      <c r="A903" s="13">
        <f>IF(H903="","",ROW()-4)</f>
        <v/>
      </c>
      <c r="B903" s="13">
        <f>IF(H903="","",ROW()-4)</f>
        <v/>
      </c>
    </row>
    <row r="904">
      <c r="A904" s="13">
        <f>IF(H904="","",ROW()-4)</f>
        <v/>
      </c>
      <c r="B904" s="13">
        <f>IF(H904="","",ROW()-4)</f>
        <v/>
      </c>
    </row>
    <row r="905">
      <c r="A905" s="13">
        <f>IF(H905="","",ROW()-4)</f>
        <v/>
      </c>
      <c r="B905" s="13">
        <f>IF(H905="","",ROW()-4)</f>
        <v/>
      </c>
    </row>
    <row r="906">
      <c r="A906" s="13">
        <f>IF(H906="","",ROW()-4)</f>
        <v/>
      </c>
      <c r="B906" s="13">
        <f>IF(H906="","",ROW()-4)</f>
        <v/>
      </c>
    </row>
    <row r="907">
      <c r="A907" s="13">
        <f>IF(H907="","",ROW()-4)</f>
        <v/>
      </c>
      <c r="B907" s="13">
        <f>IF(H907="","",ROW()-4)</f>
        <v/>
      </c>
    </row>
    <row r="908">
      <c r="A908" s="13">
        <f>IF(H908="","",ROW()-4)</f>
        <v/>
      </c>
      <c r="B908" s="13">
        <f>IF(H908="","",ROW()-4)</f>
        <v/>
      </c>
    </row>
    <row r="909">
      <c r="A909" s="13">
        <f>IF(H909="","",ROW()-4)</f>
        <v/>
      </c>
      <c r="B909" s="13">
        <f>IF(H909="","",ROW()-4)</f>
        <v/>
      </c>
    </row>
    <row r="910">
      <c r="A910" s="13">
        <f>IF(H910="","",ROW()-4)</f>
        <v/>
      </c>
      <c r="B910" s="13">
        <f>IF(H910="","",ROW()-4)</f>
        <v/>
      </c>
    </row>
    <row r="911">
      <c r="A911" s="13">
        <f>IF(H911="","",ROW()-4)</f>
        <v/>
      </c>
      <c r="B911" s="13">
        <f>IF(H911="","",ROW()-4)</f>
        <v/>
      </c>
    </row>
    <row r="912">
      <c r="A912" s="13">
        <f>IF(H912="","",ROW()-4)</f>
        <v/>
      </c>
      <c r="B912" s="13">
        <f>IF(H912="","",ROW()-4)</f>
        <v/>
      </c>
    </row>
    <row r="913">
      <c r="A913" s="13">
        <f>IF(H913="","",ROW()-4)</f>
        <v/>
      </c>
      <c r="B913" s="13">
        <f>IF(H913="","",ROW()-4)</f>
        <v/>
      </c>
    </row>
    <row r="914">
      <c r="A914" s="13">
        <f>IF(H914="","",ROW()-4)</f>
        <v/>
      </c>
      <c r="B914" s="13">
        <f>IF(H914="","",ROW()-4)</f>
        <v/>
      </c>
    </row>
    <row r="915">
      <c r="A915" s="13">
        <f>IF(H915="","",ROW()-4)</f>
        <v/>
      </c>
      <c r="B915" s="13">
        <f>IF(H915="","",ROW()-4)</f>
        <v/>
      </c>
    </row>
    <row r="916">
      <c r="A916" s="13">
        <f>IF(H916="","",ROW()-4)</f>
        <v/>
      </c>
      <c r="B916" s="13">
        <f>IF(H916="","",ROW()-4)</f>
        <v/>
      </c>
    </row>
    <row r="917">
      <c r="A917" s="13">
        <f>IF(H917="","",ROW()-4)</f>
        <v/>
      </c>
      <c r="B917" s="13">
        <f>IF(H917="","",ROW()-4)</f>
        <v/>
      </c>
    </row>
    <row r="918">
      <c r="A918" s="13">
        <f>IF(H918="","",ROW()-4)</f>
        <v/>
      </c>
      <c r="B918" s="13">
        <f>IF(H918="","",ROW()-4)</f>
        <v/>
      </c>
    </row>
    <row r="919">
      <c r="A919" s="13">
        <f>IF(H919="","",ROW()-4)</f>
        <v/>
      </c>
      <c r="B919" s="13">
        <f>IF(H919="","",ROW()-4)</f>
        <v/>
      </c>
    </row>
    <row r="920">
      <c r="A920" s="13">
        <f>IF(H920="","",ROW()-4)</f>
        <v/>
      </c>
      <c r="B920" s="13">
        <f>IF(H920="","",ROW()-4)</f>
        <v/>
      </c>
    </row>
    <row r="921">
      <c r="A921" s="13">
        <f>IF(H921="","",ROW()-4)</f>
        <v/>
      </c>
      <c r="B921" s="13">
        <f>IF(H921="","",ROW()-4)</f>
        <v/>
      </c>
    </row>
    <row r="922">
      <c r="A922" s="13">
        <f>IF(H922="","",ROW()-4)</f>
        <v/>
      </c>
      <c r="B922" s="13">
        <f>IF(H922="","",ROW()-4)</f>
        <v/>
      </c>
    </row>
    <row r="923">
      <c r="A923" s="13">
        <f>IF(H923="","",ROW()-4)</f>
        <v/>
      </c>
      <c r="B923" s="13">
        <f>IF(H923="","",ROW()-4)</f>
        <v/>
      </c>
    </row>
    <row r="924">
      <c r="A924" s="13">
        <f>IF(H924="","",ROW()-4)</f>
        <v/>
      </c>
      <c r="B924" s="13">
        <f>IF(H924="","",ROW()-4)</f>
        <v/>
      </c>
    </row>
    <row r="925">
      <c r="A925" s="13">
        <f>IF(H925="","",ROW()-4)</f>
        <v/>
      </c>
      <c r="B925" s="13">
        <f>IF(H925="","",ROW()-4)</f>
        <v/>
      </c>
    </row>
    <row r="926">
      <c r="A926" s="13">
        <f>IF(H926="","",ROW()-4)</f>
        <v/>
      </c>
      <c r="B926" s="13">
        <f>IF(H926="","",ROW()-4)</f>
        <v/>
      </c>
    </row>
    <row r="927">
      <c r="A927" s="13">
        <f>IF(H927="","",ROW()-4)</f>
        <v/>
      </c>
      <c r="B927" s="13">
        <f>IF(H927="","",ROW()-4)</f>
        <v/>
      </c>
    </row>
    <row r="928">
      <c r="A928" s="13">
        <f>IF(H928="","",ROW()-4)</f>
        <v/>
      </c>
      <c r="B928" s="13">
        <f>IF(H928="","",ROW()-4)</f>
        <v/>
      </c>
    </row>
    <row r="929">
      <c r="A929" s="13">
        <f>IF(H929="","",ROW()-4)</f>
        <v/>
      </c>
      <c r="B929" s="13">
        <f>IF(H929="","",ROW()-4)</f>
        <v/>
      </c>
    </row>
    <row r="930">
      <c r="A930" s="13">
        <f>IF(H930="","",ROW()-4)</f>
        <v/>
      </c>
      <c r="B930" s="13">
        <f>IF(H930="","",ROW()-4)</f>
        <v/>
      </c>
    </row>
    <row r="931">
      <c r="A931" s="13">
        <f>IF(H931="","",ROW()-4)</f>
        <v/>
      </c>
      <c r="B931" s="13">
        <f>IF(H931="","",ROW()-4)</f>
        <v/>
      </c>
    </row>
    <row r="932">
      <c r="A932" s="13">
        <f>IF(H932="","",ROW()-4)</f>
        <v/>
      </c>
      <c r="B932" s="13">
        <f>IF(H932="","",ROW()-4)</f>
        <v/>
      </c>
    </row>
    <row r="933">
      <c r="A933" s="13">
        <f>IF(H933="","",ROW()-4)</f>
        <v/>
      </c>
      <c r="B933" s="13">
        <f>IF(H933="","",ROW()-4)</f>
        <v/>
      </c>
    </row>
    <row r="934">
      <c r="A934" s="13">
        <f>IF(H934="","",ROW()-4)</f>
        <v/>
      </c>
      <c r="B934" s="13">
        <f>IF(H934="","",ROW()-4)</f>
        <v/>
      </c>
    </row>
    <row r="935">
      <c r="A935" s="13">
        <f>IF(H935="","",ROW()-4)</f>
        <v/>
      </c>
      <c r="B935" s="13">
        <f>IF(H935="","",ROW()-4)</f>
        <v/>
      </c>
    </row>
    <row r="936">
      <c r="A936" s="13">
        <f>IF(H936="","",ROW()-4)</f>
        <v/>
      </c>
      <c r="B936" s="13">
        <f>IF(H936="","",ROW()-4)</f>
        <v/>
      </c>
    </row>
    <row r="937">
      <c r="A937" s="13">
        <f>IF(H937="","",ROW()-4)</f>
        <v/>
      </c>
      <c r="B937" s="13">
        <f>IF(H937="","",ROW()-4)</f>
        <v/>
      </c>
    </row>
    <row r="938">
      <c r="A938" s="13">
        <f>IF(H938="","",ROW()-4)</f>
        <v/>
      </c>
      <c r="B938" s="13">
        <f>IF(H938="","",ROW()-4)</f>
        <v/>
      </c>
    </row>
    <row r="939">
      <c r="A939" s="13">
        <f>IF(H939="","",ROW()-4)</f>
        <v/>
      </c>
      <c r="B939" s="13">
        <f>IF(H939="","",ROW()-4)</f>
        <v/>
      </c>
    </row>
    <row r="940">
      <c r="A940" s="13">
        <f>IF(H940="","",ROW()-4)</f>
        <v/>
      </c>
      <c r="B940" s="13">
        <f>IF(H940="","",ROW()-4)</f>
        <v/>
      </c>
    </row>
    <row r="941">
      <c r="A941" s="13">
        <f>IF(H941="","",ROW()-4)</f>
        <v/>
      </c>
      <c r="B941" s="13">
        <f>IF(H941="","",ROW()-4)</f>
        <v/>
      </c>
    </row>
    <row r="942">
      <c r="A942" s="13">
        <f>IF(H942="","",ROW()-4)</f>
        <v/>
      </c>
      <c r="B942" s="13">
        <f>IF(H942="","",ROW()-4)</f>
        <v/>
      </c>
    </row>
    <row r="943">
      <c r="A943" s="13">
        <f>IF(H943="","",ROW()-4)</f>
        <v/>
      </c>
      <c r="B943" s="13">
        <f>IF(H943="","",ROW()-4)</f>
        <v/>
      </c>
    </row>
    <row r="944">
      <c r="A944" s="13">
        <f>IF(H944="","",ROW()-4)</f>
        <v/>
      </c>
      <c r="B944" s="13">
        <f>IF(H944="","",ROW()-4)</f>
        <v/>
      </c>
    </row>
    <row r="945">
      <c r="A945" s="13">
        <f>IF(H945="","",ROW()-4)</f>
        <v/>
      </c>
      <c r="B945" s="13">
        <f>IF(H945="","",ROW()-4)</f>
        <v/>
      </c>
    </row>
    <row r="946">
      <c r="A946" s="13">
        <f>IF(H946="","",ROW()-4)</f>
        <v/>
      </c>
      <c r="B946" s="13">
        <f>IF(H946="","",ROW()-4)</f>
        <v/>
      </c>
    </row>
    <row r="947">
      <c r="A947" s="13">
        <f>IF(H947="","",ROW()-4)</f>
        <v/>
      </c>
      <c r="B947" s="13">
        <f>IF(H947="","",ROW()-4)</f>
        <v/>
      </c>
    </row>
    <row r="948">
      <c r="A948" s="13">
        <f>IF(H948="","",ROW()-4)</f>
        <v/>
      </c>
      <c r="B948" s="13">
        <f>IF(H948="","",ROW()-4)</f>
        <v/>
      </c>
    </row>
    <row r="949">
      <c r="A949" s="13">
        <f>IF(H949="","",ROW()-4)</f>
        <v/>
      </c>
      <c r="B949" s="13">
        <f>IF(H949="","",ROW()-4)</f>
        <v/>
      </c>
    </row>
    <row r="950">
      <c r="A950" s="13">
        <f>IF(H950="","",ROW()-4)</f>
        <v/>
      </c>
      <c r="B950" s="13">
        <f>IF(H950="","",ROW()-4)</f>
        <v/>
      </c>
    </row>
    <row r="951">
      <c r="A951" s="13">
        <f>IF(H951="","",ROW()-4)</f>
        <v/>
      </c>
      <c r="B951" s="13">
        <f>IF(H951="","",ROW()-4)</f>
        <v/>
      </c>
    </row>
    <row r="952">
      <c r="A952" s="13">
        <f>IF(H952="","",ROW()-4)</f>
        <v/>
      </c>
      <c r="B952" s="13">
        <f>IF(H952="","",ROW()-4)</f>
        <v/>
      </c>
    </row>
    <row r="953">
      <c r="A953" s="13">
        <f>IF(H953="","",ROW()-4)</f>
        <v/>
      </c>
      <c r="B953" s="13">
        <f>IF(H953="","",ROW()-4)</f>
        <v/>
      </c>
    </row>
    <row r="954">
      <c r="A954" s="13">
        <f>IF(H954="","",ROW()-4)</f>
        <v/>
      </c>
      <c r="B954" s="13">
        <f>IF(H954="","",ROW()-4)</f>
        <v/>
      </c>
    </row>
    <row r="955">
      <c r="A955" s="13">
        <f>IF(H955="","",ROW()-4)</f>
        <v/>
      </c>
      <c r="B955" s="13">
        <f>IF(H955="","",ROW()-4)</f>
        <v/>
      </c>
    </row>
    <row r="956">
      <c r="A956" s="13">
        <f>IF(H956="","",ROW()-4)</f>
        <v/>
      </c>
      <c r="B956" s="13">
        <f>IF(H956="","",ROW()-4)</f>
        <v/>
      </c>
    </row>
    <row r="957">
      <c r="A957" s="13">
        <f>IF(H957="","",ROW()-4)</f>
        <v/>
      </c>
      <c r="B957" s="13">
        <f>IF(H957="","",ROW()-4)</f>
        <v/>
      </c>
    </row>
    <row r="958">
      <c r="A958" s="13">
        <f>IF(H958="","",ROW()-4)</f>
        <v/>
      </c>
      <c r="B958" s="13">
        <f>IF(H958="","",ROW()-4)</f>
        <v/>
      </c>
    </row>
    <row r="959">
      <c r="A959" s="13">
        <f>IF(H959="","",ROW()-4)</f>
        <v/>
      </c>
      <c r="B959" s="13">
        <f>IF(H959="","",ROW()-4)</f>
        <v/>
      </c>
    </row>
    <row r="960">
      <c r="A960" s="13">
        <f>IF(H960="","",ROW()-4)</f>
        <v/>
      </c>
      <c r="B960" s="13">
        <f>IF(H960="","",ROW()-4)</f>
        <v/>
      </c>
    </row>
    <row r="961">
      <c r="A961" s="13">
        <f>IF(H961="","",ROW()-4)</f>
        <v/>
      </c>
      <c r="B961" s="13">
        <f>IF(H961="","",ROW()-4)</f>
        <v/>
      </c>
    </row>
    <row r="962">
      <c r="A962" s="13">
        <f>IF(H962="","",ROW()-4)</f>
        <v/>
      </c>
      <c r="B962" s="13">
        <f>IF(H962="","",ROW()-4)</f>
        <v/>
      </c>
    </row>
    <row r="963">
      <c r="A963" s="13">
        <f>IF(H963="","",ROW()-4)</f>
        <v/>
      </c>
      <c r="B963" s="13">
        <f>IF(H963="","",ROW()-4)</f>
        <v/>
      </c>
    </row>
    <row r="964">
      <c r="A964" s="13">
        <f>IF(H964="","",ROW()-4)</f>
        <v/>
      </c>
      <c r="B964" s="13">
        <f>IF(H964="","",ROW()-4)</f>
        <v/>
      </c>
    </row>
    <row r="965">
      <c r="A965" s="13">
        <f>IF(H965="","",ROW()-4)</f>
        <v/>
      </c>
      <c r="B965" s="13">
        <f>IF(H965="","",ROW()-4)</f>
        <v/>
      </c>
    </row>
    <row r="966">
      <c r="A966" s="13">
        <f>IF(H966="","",ROW()-4)</f>
        <v/>
      </c>
      <c r="B966" s="13">
        <f>IF(H966="","",ROW()-4)</f>
        <v/>
      </c>
    </row>
    <row r="967">
      <c r="A967" s="13">
        <f>IF(H967="","",ROW()-4)</f>
        <v/>
      </c>
      <c r="B967" s="13">
        <f>IF(H967="","",ROW()-4)</f>
        <v/>
      </c>
    </row>
    <row r="968">
      <c r="A968" s="13">
        <f>IF(H968="","",ROW()-4)</f>
        <v/>
      </c>
      <c r="B968" s="13">
        <f>IF(H968="","",ROW()-4)</f>
        <v/>
      </c>
    </row>
    <row r="969">
      <c r="A969" s="13">
        <f>IF(H969="","",ROW()-4)</f>
        <v/>
      </c>
      <c r="B969" s="13">
        <f>IF(H969="","",ROW()-4)</f>
        <v/>
      </c>
    </row>
    <row r="970">
      <c r="A970" s="13">
        <f>IF(H970="","",ROW()-4)</f>
        <v/>
      </c>
      <c r="B970" s="13">
        <f>IF(H970="","",ROW()-4)</f>
        <v/>
      </c>
    </row>
    <row r="971">
      <c r="A971" s="13">
        <f>IF(H971="","",ROW()-4)</f>
        <v/>
      </c>
      <c r="B971" s="13">
        <f>IF(H971="","",ROW()-4)</f>
        <v/>
      </c>
    </row>
    <row r="972">
      <c r="A972" s="13">
        <f>IF(H972="","",ROW()-4)</f>
        <v/>
      </c>
      <c r="B972" s="13">
        <f>IF(H972="","",ROW()-4)</f>
        <v/>
      </c>
    </row>
    <row r="973">
      <c r="A973" s="13">
        <f>IF(H973="","",ROW()-4)</f>
        <v/>
      </c>
      <c r="B973" s="13">
        <f>IF(H973="","",ROW()-4)</f>
        <v/>
      </c>
    </row>
    <row r="974">
      <c r="A974" s="13">
        <f>IF(H974="","",ROW()-4)</f>
        <v/>
      </c>
      <c r="B974" s="13">
        <f>IF(H974="","",ROW()-4)</f>
        <v/>
      </c>
    </row>
    <row r="975">
      <c r="A975" s="13">
        <f>IF(H975="","",ROW()-4)</f>
        <v/>
      </c>
      <c r="B975" s="13">
        <f>IF(H975="","",ROW()-4)</f>
        <v/>
      </c>
    </row>
    <row r="976">
      <c r="A976" s="13">
        <f>IF(H976="","",ROW()-4)</f>
        <v/>
      </c>
      <c r="B976" s="13">
        <f>IF(H976="","",ROW()-4)</f>
        <v/>
      </c>
    </row>
    <row r="977">
      <c r="A977" s="13">
        <f>IF(H977="","",ROW()-4)</f>
        <v/>
      </c>
      <c r="B977" s="13">
        <f>IF(H977="","",ROW()-4)</f>
        <v/>
      </c>
    </row>
    <row r="978">
      <c r="A978" s="13">
        <f>IF(H978="","",ROW()-4)</f>
        <v/>
      </c>
      <c r="B978" s="13">
        <f>IF(H978="","",ROW()-4)</f>
        <v/>
      </c>
    </row>
    <row r="979">
      <c r="A979" s="13">
        <f>IF(H979="","",ROW()-4)</f>
        <v/>
      </c>
      <c r="B979" s="13">
        <f>IF(H979="","",ROW()-4)</f>
        <v/>
      </c>
    </row>
    <row r="980">
      <c r="A980" s="13">
        <f>IF(H980="","",ROW()-4)</f>
        <v/>
      </c>
      <c r="B980" s="13">
        <f>IF(H980="","",ROW()-4)</f>
        <v/>
      </c>
    </row>
    <row r="981">
      <c r="A981" s="13">
        <f>IF(H981="","",ROW()-4)</f>
        <v/>
      </c>
      <c r="B981" s="13">
        <f>IF(H981="","",ROW()-4)</f>
        <v/>
      </c>
    </row>
    <row r="982">
      <c r="A982" s="13">
        <f>IF(H982="","",ROW()-4)</f>
        <v/>
      </c>
      <c r="B982" s="13">
        <f>IF(H982="","",ROW()-4)</f>
        <v/>
      </c>
    </row>
    <row r="983">
      <c r="A983" s="13">
        <f>IF(H983="","",ROW()-4)</f>
        <v/>
      </c>
      <c r="B983" s="13">
        <f>IF(H983="","",ROW()-4)</f>
        <v/>
      </c>
    </row>
    <row r="984">
      <c r="A984" s="13">
        <f>IF(H984="","",ROW()-4)</f>
        <v/>
      </c>
      <c r="B984" s="13">
        <f>IF(H984="","",ROW()-4)</f>
        <v/>
      </c>
    </row>
    <row r="985">
      <c r="A985" s="13">
        <f>IF(H985="","",ROW()-4)</f>
        <v/>
      </c>
      <c r="B985" s="13">
        <f>IF(H985="","",ROW()-4)</f>
        <v/>
      </c>
    </row>
    <row r="986">
      <c r="A986" s="13">
        <f>IF(H986="","",ROW()-4)</f>
        <v/>
      </c>
      <c r="B986" s="13">
        <f>IF(H986="","",ROW()-4)</f>
        <v/>
      </c>
    </row>
    <row r="987">
      <c r="A987" s="13">
        <f>IF(H987="","",ROW()-4)</f>
        <v/>
      </c>
      <c r="B987" s="13">
        <f>IF(H987="","",ROW()-4)</f>
        <v/>
      </c>
    </row>
    <row r="988">
      <c r="A988" s="13">
        <f>IF(H988="","",ROW()-4)</f>
        <v/>
      </c>
      <c r="B988" s="13">
        <f>IF(H988="","",ROW()-4)</f>
        <v/>
      </c>
    </row>
    <row r="989">
      <c r="A989" s="13">
        <f>IF(H989="","",ROW()-4)</f>
        <v/>
      </c>
      <c r="B989" s="13">
        <f>IF(H989="","",ROW()-4)</f>
        <v/>
      </c>
    </row>
    <row r="990">
      <c r="A990" s="13">
        <f>IF(H990="","",ROW()-4)</f>
        <v/>
      </c>
      <c r="B990" s="13">
        <f>IF(H990="","",ROW()-4)</f>
        <v/>
      </c>
    </row>
    <row r="991">
      <c r="A991" s="13">
        <f>IF(H991="","",ROW()-4)</f>
        <v/>
      </c>
      <c r="B991" s="13">
        <f>IF(H991="","",ROW()-4)</f>
        <v/>
      </c>
    </row>
    <row r="992">
      <c r="A992" s="13">
        <f>IF(H992="","",ROW()-4)</f>
        <v/>
      </c>
      <c r="B992" s="13">
        <f>IF(H992="","",ROW()-4)</f>
        <v/>
      </c>
    </row>
    <row r="993">
      <c r="A993" s="13">
        <f>IF(H993="","",ROW()-4)</f>
        <v/>
      </c>
      <c r="B993" s="13">
        <f>IF(H993="","",ROW()-4)</f>
        <v/>
      </c>
    </row>
    <row r="994">
      <c r="A994" s="13">
        <f>IF(H994="","",ROW()-4)</f>
        <v/>
      </c>
      <c r="B994" s="13">
        <f>IF(H994="","",ROW()-4)</f>
        <v/>
      </c>
    </row>
    <row r="995">
      <c r="A995" s="13">
        <f>IF(H995="","",ROW()-4)</f>
        <v/>
      </c>
      <c r="B995" s="13">
        <f>IF(H995="","",ROW()-4)</f>
        <v/>
      </c>
    </row>
    <row r="996">
      <c r="A996" s="13">
        <f>IF(H996="","",ROW()-4)</f>
        <v/>
      </c>
      <c r="B996" s="13">
        <f>IF(H996="","",ROW()-4)</f>
        <v/>
      </c>
    </row>
    <row r="997">
      <c r="A997" s="13">
        <f>IF(H997="","",ROW()-4)</f>
        <v/>
      </c>
      <c r="B997" s="13">
        <f>IF(H997="","",ROW()-4)</f>
        <v/>
      </c>
    </row>
    <row r="998">
      <c r="A998" s="13">
        <f>IF(H998="","",ROW()-4)</f>
        <v/>
      </c>
      <c r="B998" s="13">
        <f>IF(H998="","",ROW()-4)</f>
        <v/>
      </c>
    </row>
    <row r="999">
      <c r="A999" s="13">
        <f>IF(H999="","",ROW()-4)</f>
        <v/>
      </c>
      <c r="B999" s="13">
        <f>IF(H999="","",ROW()-4)</f>
        <v/>
      </c>
    </row>
    <row r="1000">
      <c r="A1000" s="13">
        <f>IF(H1000="","",ROW()-4)</f>
        <v/>
      </c>
      <c r="B1000" s="13">
        <f>IF(H1000="","",ROW()-4)</f>
        <v/>
      </c>
    </row>
    <row r="1001">
      <c r="A1001" s="13">
        <f>IF(H1001="","",ROW()-4)</f>
        <v/>
      </c>
      <c r="B1001" s="13">
        <f>IF(H1001="","",ROW()-4)</f>
        <v/>
      </c>
    </row>
    <row r="1002">
      <c r="A1002" s="13">
        <f>IF(H1002="","",ROW()-4)</f>
        <v/>
      </c>
      <c r="B1002" s="13">
        <f>IF(H1002="","",ROW()-4)</f>
        <v/>
      </c>
    </row>
    <row r="1003">
      <c r="A1003" s="13">
        <f>IF(H1003="","",ROW()-4)</f>
        <v/>
      </c>
      <c r="B1003" s="13">
        <f>IF(H1003="","",ROW()-4)</f>
        <v/>
      </c>
    </row>
    <row r="1004">
      <c r="A1004" s="13">
        <f>IF(H1004="","",ROW()-4)</f>
        <v/>
      </c>
      <c r="B1004" s="13">
        <f>IF(H1004="","",ROW()-4)</f>
        <v/>
      </c>
    </row>
    <row r="1005">
      <c r="A1005" s="13">
        <f>IF(H1005="","",ROW()-4)</f>
        <v/>
      </c>
      <c r="B1005" s="13">
        <f>IF(H1005="","",ROW()-4)</f>
        <v/>
      </c>
    </row>
    <row r="1006">
      <c r="A1006" s="13">
        <f>IF(H1006="","",ROW()-4)</f>
        <v/>
      </c>
      <c r="B1006" s="13">
        <f>IF(H1006="","",ROW()-4)</f>
        <v/>
      </c>
    </row>
    <row r="1007">
      <c r="A1007" s="13">
        <f>IF(H1007="","",ROW()-4)</f>
        <v/>
      </c>
      <c r="B1007" s="13">
        <f>IF(H1007="","",ROW()-4)</f>
        <v/>
      </c>
    </row>
    <row r="1008">
      <c r="A1008" s="13">
        <f>IF(H1008="","",ROW()-4)</f>
        <v/>
      </c>
      <c r="B1008" s="13">
        <f>IF(H1008="","",ROW()-4)</f>
        <v/>
      </c>
    </row>
    <row r="1009">
      <c r="A1009" s="13">
        <f>IF(H1009="","",ROW()-4)</f>
        <v/>
      </c>
      <c r="B1009" s="13">
        <f>IF(H1009="","",ROW()-4)</f>
        <v/>
      </c>
    </row>
    <row r="1010">
      <c r="A1010" s="13">
        <f>IF(H1010="","",ROW()-4)</f>
        <v/>
      </c>
      <c r="B1010" s="13">
        <f>IF(H1010="","",ROW()-4)</f>
        <v/>
      </c>
    </row>
    <row r="1011">
      <c r="A1011" s="13">
        <f>IF(H1011="","",ROW()-4)</f>
        <v/>
      </c>
      <c r="B1011" s="13">
        <f>IF(H1011="","",ROW()-4)</f>
        <v/>
      </c>
    </row>
    <row r="1012">
      <c r="A1012" s="13">
        <f>IF(H1012="","",ROW()-4)</f>
        <v/>
      </c>
      <c r="B1012" s="13">
        <f>IF(H1012="","",ROW()-4)</f>
        <v/>
      </c>
    </row>
    <row r="1013">
      <c r="A1013" s="13">
        <f>IF(H1013="","",ROW()-4)</f>
        <v/>
      </c>
      <c r="B1013" s="13">
        <f>IF(H1013="","",ROW()-4)</f>
        <v/>
      </c>
    </row>
    <row r="1014">
      <c r="A1014" s="13">
        <f>IF(H1014="","",ROW()-4)</f>
        <v/>
      </c>
      <c r="B1014" s="13">
        <f>IF(H1014="","",ROW()-4)</f>
        <v/>
      </c>
    </row>
    <row r="1015">
      <c r="A1015" s="13">
        <f>IF(H1015="","",ROW()-4)</f>
        <v/>
      </c>
      <c r="B1015" s="13">
        <f>IF(H1015="","",ROW()-4)</f>
        <v/>
      </c>
    </row>
    <row r="1016">
      <c r="A1016" s="13">
        <f>IF(H1016="","",ROW()-4)</f>
        <v/>
      </c>
      <c r="B1016" s="13">
        <f>IF(H1016="","",ROW()-4)</f>
        <v/>
      </c>
    </row>
    <row r="1017">
      <c r="A1017" s="13">
        <f>IF(H1017="","",ROW()-4)</f>
        <v/>
      </c>
      <c r="B1017" s="13">
        <f>IF(H1017="","",ROW()-4)</f>
        <v/>
      </c>
    </row>
    <row r="1018">
      <c r="A1018" s="13">
        <f>IF(H1018="","",ROW()-4)</f>
        <v/>
      </c>
      <c r="B1018" s="13">
        <f>IF(H1018="","",ROW()-4)</f>
        <v/>
      </c>
    </row>
    <row r="1019">
      <c r="A1019" s="13">
        <f>IF(H1019="","",ROW()-4)</f>
        <v/>
      </c>
      <c r="B1019" s="13">
        <f>IF(H1019="","",ROW()-4)</f>
        <v/>
      </c>
    </row>
    <row r="1020">
      <c r="A1020" s="13">
        <f>IF(H1020="","",ROW()-4)</f>
        <v/>
      </c>
      <c r="B1020" s="13">
        <f>IF(H1020="","",ROW()-4)</f>
        <v/>
      </c>
    </row>
    <row r="1021">
      <c r="A1021" s="13">
        <f>IF(H1021="","",ROW()-4)</f>
        <v/>
      </c>
      <c r="B1021" s="13">
        <f>IF(H1021="","",ROW()-4)</f>
        <v/>
      </c>
    </row>
    <row r="1022">
      <c r="A1022" s="13">
        <f>IF(H1022="","",ROW()-4)</f>
        <v/>
      </c>
      <c r="B1022" s="13">
        <f>IF(H1022="","",ROW()-4)</f>
        <v/>
      </c>
    </row>
    <row r="1023">
      <c r="A1023" s="13">
        <f>IF(H1023="","",ROW()-4)</f>
        <v/>
      </c>
      <c r="B1023" s="13">
        <f>IF(H1023="","",ROW()-4)</f>
        <v/>
      </c>
    </row>
    <row r="1024">
      <c r="A1024" s="13">
        <f>IF(H1024="","",ROW()-4)</f>
        <v/>
      </c>
      <c r="B1024" s="13">
        <f>IF(H1024="","",ROW()-4)</f>
        <v/>
      </c>
    </row>
    <row r="1025">
      <c r="A1025" s="13">
        <f>IF(H1025="","",ROW()-4)</f>
        <v/>
      </c>
      <c r="B1025" s="13">
        <f>IF(H1025="","",ROW()-4)</f>
        <v/>
      </c>
    </row>
    <row r="1026">
      <c r="A1026" s="13">
        <f>IF(H1026="","",ROW()-4)</f>
        <v/>
      </c>
      <c r="B1026" s="13">
        <f>IF(H1026="","",ROW()-4)</f>
        <v/>
      </c>
    </row>
    <row r="1027">
      <c r="A1027" s="13">
        <f>IF(H1027="","",ROW()-4)</f>
        <v/>
      </c>
      <c r="B1027" s="13">
        <f>IF(H1027="","",ROW()-4)</f>
        <v/>
      </c>
    </row>
    <row r="1028">
      <c r="A1028" s="13">
        <f>IF(H1028="","",ROW()-4)</f>
        <v/>
      </c>
      <c r="B1028" s="13">
        <f>IF(H1028="","",ROW()-4)</f>
        <v/>
      </c>
    </row>
    <row r="1029">
      <c r="A1029" s="13">
        <f>IF(H1029="","",ROW()-4)</f>
        <v/>
      </c>
      <c r="B1029" s="13">
        <f>IF(H1029="","",ROW()-4)</f>
        <v/>
      </c>
    </row>
    <row r="1030">
      <c r="A1030" s="13">
        <f>IF(H1030="","",ROW()-4)</f>
        <v/>
      </c>
      <c r="B1030" s="13">
        <f>IF(H1030="","",ROW()-4)</f>
        <v/>
      </c>
    </row>
    <row r="1031">
      <c r="A1031" s="13">
        <f>IF(H1031="","",ROW()-4)</f>
        <v/>
      </c>
      <c r="B1031" s="13">
        <f>IF(H1031="","",ROW()-4)</f>
        <v/>
      </c>
    </row>
    <row r="1032">
      <c r="A1032" s="13">
        <f>IF(H1032="","",ROW()-4)</f>
        <v/>
      </c>
      <c r="B1032" s="13">
        <f>IF(H1032="","",ROW()-4)</f>
        <v/>
      </c>
    </row>
    <row r="1033">
      <c r="A1033" s="13">
        <f>IF(H1033="","",ROW()-4)</f>
        <v/>
      </c>
      <c r="B1033" s="13">
        <f>IF(H1033="","",ROW()-4)</f>
        <v/>
      </c>
    </row>
    <row r="1034">
      <c r="A1034" s="13">
        <f>IF(H1034="","",ROW()-4)</f>
        <v/>
      </c>
      <c r="B1034" s="13">
        <f>IF(H1034="","",ROW()-4)</f>
        <v/>
      </c>
    </row>
    <row r="1035">
      <c r="A1035" s="13">
        <f>IF(H1035="","",ROW()-4)</f>
        <v/>
      </c>
      <c r="B1035" s="13">
        <f>IF(H1035="","",ROW()-4)</f>
        <v/>
      </c>
    </row>
    <row r="1036">
      <c r="A1036" s="13">
        <f>IF(H1036="","",ROW()-4)</f>
        <v/>
      </c>
      <c r="B1036" s="13">
        <f>IF(H1036="","",ROW()-4)</f>
        <v/>
      </c>
    </row>
    <row r="1037">
      <c r="A1037" s="13">
        <f>IF(H1037="","",ROW()-4)</f>
        <v/>
      </c>
      <c r="B1037" s="13">
        <f>IF(H1037="","",ROW()-4)</f>
        <v/>
      </c>
    </row>
    <row r="1038">
      <c r="A1038" s="13">
        <f>IF(H1038="","",ROW()-4)</f>
        <v/>
      </c>
      <c r="B1038" s="13">
        <f>IF(H1038="","",ROW()-4)</f>
        <v/>
      </c>
    </row>
    <row r="1039">
      <c r="A1039" s="13">
        <f>IF(H1039="","",ROW()-4)</f>
        <v/>
      </c>
      <c r="B1039" s="13">
        <f>IF(H1039="","",ROW()-4)</f>
        <v/>
      </c>
    </row>
    <row r="1040">
      <c r="A1040" s="13">
        <f>IF(H1040="","",ROW()-4)</f>
        <v/>
      </c>
      <c r="B1040" s="13">
        <f>IF(H1040="","",ROW()-4)</f>
        <v/>
      </c>
    </row>
    <row r="1041">
      <c r="A1041" s="13">
        <f>IF(H1041="","",ROW()-4)</f>
        <v/>
      </c>
      <c r="B1041" s="13">
        <f>IF(H1041="","",ROW()-4)</f>
        <v/>
      </c>
    </row>
    <row r="1042">
      <c r="A1042" s="13">
        <f>IF(H1042="","",ROW()-4)</f>
        <v/>
      </c>
      <c r="B1042" s="13">
        <f>IF(H1042="","",ROW()-4)</f>
        <v/>
      </c>
    </row>
    <row r="1043">
      <c r="A1043" s="13">
        <f>IF(H1043="","",ROW()-4)</f>
        <v/>
      </c>
      <c r="B1043" s="13">
        <f>IF(H1043="","",ROW()-4)</f>
        <v/>
      </c>
    </row>
    <row r="1044">
      <c r="A1044" s="13">
        <f>IF(H1044="","",ROW()-4)</f>
        <v/>
      </c>
      <c r="B1044" s="13">
        <f>IF(H1044="","",ROW()-4)</f>
        <v/>
      </c>
    </row>
    <row r="1045">
      <c r="A1045" s="13">
        <f>IF(H1045="","",ROW()-4)</f>
        <v/>
      </c>
      <c r="B1045" s="13">
        <f>IF(H1045="","",ROW()-4)</f>
        <v/>
      </c>
    </row>
    <row r="1046">
      <c r="A1046" s="13">
        <f>IF(H1046="","",ROW()-4)</f>
        <v/>
      </c>
      <c r="B1046" s="13">
        <f>IF(H1046="","",ROW()-4)</f>
        <v/>
      </c>
    </row>
    <row r="1047">
      <c r="A1047" s="13">
        <f>IF(H1047="","",ROW()-4)</f>
        <v/>
      </c>
      <c r="B1047" s="13">
        <f>IF(H1047="","",ROW()-4)</f>
        <v/>
      </c>
    </row>
    <row r="1048">
      <c r="A1048" s="13">
        <f>IF(H1048="","",ROW()-4)</f>
        <v/>
      </c>
      <c r="B1048" s="13">
        <f>IF(H1048="","",ROW()-4)</f>
        <v/>
      </c>
    </row>
    <row r="1049">
      <c r="A1049" s="13">
        <f>IF(H1049="","",ROW()-4)</f>
        <v/>
      </c>
      <c r="B1049" s="13">
        <f>IF(H1049="","",ROW()-4)</f>
        <v/>
      </c>
    </row>
    <row r="1050">
      <c r="A1050" s="13">
        <f>IF(H1050="","",ROW()-4)</f>
        <v/>
      </c>
      <c r="B1050" s="13">
        <f>IF(H1050="","",ROW()-4)</f>
        <v/>
      </c>
    </row>
    <row r="1051">
      <c r="A1051" s="13">
        <f>IF(H1051="","",ROW()-4)</f>
        <v/>
      </c>
      <c r="B1051" s="13">
        <f>IF(H1051="","",ROW()-4)</f>
        <v/>
      </c>
    </row>
    <row r="1052">
      <c r="A1052" s="13">
        <f>IF(H1052="","",ROW()-4)</f>
        <v/>
      </c>
      <c r="B1052" s="13">
        <f>IF(H1052="","",ROW()-4)</f>
        <v/>
      </c>
    </row>
    <row r="1053">
      <c r="A1053" s="13">
        <f>IF(H1053="","",ROW()-4)</f>
        <v/>
      </c>
      <c r="B1053" s="13">
        <f>IF(H1053="","",ROW()-4)</f>
        <v/>
      </c>
    </row>
    <row r="1054">
      <c r="A1054" s="13">
        <f>IF(H1054="","",ROW()-4)</f>
        <v/>
      </c>
      <c r="B1054" s="13">
        <f>IF(H1054="","",ROW()-4)</f>
        <v/>
      </c>
    </row>
    <row r="1055">
      <c r="A1055" s="13">
        <f>IF(H1055="","",ROW()-4)</f>
        <v/>
      </c>
      <c r="B1055" s="13">
        <f>IF(H1055="","",ROW()-4)</f>
        <v/>
      </c>
    </row>
    <row r="1056">
      <c r="A1056" s="13">
        <f>IF(H1056="","",ROW()-4)</f>
        <v/>
      </c>
      <c r="B1056" s="13">
        <f>IF(H1056="","",ROW()-4)</f>
        <v/>
      </c>
    </row>
    <row r="1057">
      <c r="A1057" s="13">
        <f>IF(H1057="","",ROW()-4)</f>
        <v/>
      </c>
      <c r="B1057" s="13">
        <f>IF(H1057="","",ROW()-4)</f>
        <v/>
      </c>
    </row>
    <row r="1058">
      <c r="A1058" s="13">
        <f>IF(H1058="","",ROW()-4)</f>
        <v/>
      </c>
      <c r="B1058" s="13">
        <f>IF(H1058="","",ROW()-4)</f>
        <v/>
      </c>
    </row>
    <row r="1059">
      <c r="A1059" s="13">
        <f>IF(H1059="","",ROW()-4)</f>
        <v/>
      </c>
      <c r="B1059" s="13">
        <f>IF(H1059="","",ROW()-4)</f>
        <v/>
      </c>
    </row>
    <row r="1060">
      <c r="A1060" s="13">
        <f>IF(H1060="","",ROW()-4)</f>
        <v/>
      </c>
      <c r="B1060" s="13">
        <f>IF(H1060="","",ROW()-4)</f>
        <v/>
      </c>
    </row>
    <row r="1061">
      <c r="A1061" s="13">
        <f>IF(H1061="","",ROW()-4)</f>
        <v/>
      </c>
      <c r="B1061" s="13">
        <f>IF(H1061="","",ROW()-4)</f>
        <v/>
      </c>
    </row>
    <row r="1062">
      <c r="A1062" s="13">
        <f>IF(H1062="","",ROW()-4)</f>
        <v/>
      </c>
      <c r="B1062" s="13">
        <f>IF(H1062="","",ROW()-4)</f>
        <v/>
      </c>
    </row>
    <row r="1063">
      <c r="A1063" s="13">
        <f>IF(H1063="","",ROW()-4)</f>
        <v/>
      </c>
      <c r="B1063" s="13">
        <f>IF(H1063="","",ROW()-4)</f>
        <v/>
      </c>
    </row>
    <row r="1064">
      <c r="A1064" s="13">
        <f>IF(H1064="","",ROW()-4)</f>
        <v/>
      </c>
      <c r="B1064" s="13">
        <f>IF(H1064="","",ROW()-4)</f>
        <v/>
      </c>
    </row>
    <row r="1065">
      <c r="A1065" s="13">
        <f>IF(H1065="","",ROW()-4)</f>
        <v/>
      </c>
      <c r="B1065" s="13">
        <f>IF(H1065="","",ROW()-4)</f>
        <v/>
      </c>
    </row>
    <row r="1066">
      <c r="A1066" s="13">
        <f>IF(H1066="","",ROW()-4)</f>
        <v/>
      </c>
      <c r="B1066" s="13">
        <f>IF(H1066="","",ROW()-4)</f>
        <v/>
      </c>
    </row>
    <row r="1067">
      <c r="A1067" s="13">
        <f>IF(H1067="","",ROW()-4)</f>
        <v/>
      </c>
      <c r="B1067" s="13">
        <f>IF(H1067="","",ROW()-4)</f>
        <v/>
      </c>
    </row>
    <row r="1068">
      <c r="A1068" s="13">
        <f>IF(H1068="","",ROW()-4)</f>
        <v/>
      </c>
      <c r="B1068" s="13">
        <f>IF(H1068="","",ROW()-4)</f>
        <v/>
      </c>
    </row>
    <row r="1069">
      <c r="A1069" s="13">
        <f>IF(H1069="","",ROW()-4)</f>
        <v/>
      </c>
      <c r="B1069" s="13">
        <f>IF(H1069="","",ROW()-4)</f>
        <v/>
      </c>
    </row>
    <row r="1070">
      <c r="A1070" s="13">
        <f>IF(H1070="","",ROW()-4)</f>
        <v/>
      </c>
      <c r="B1070" s="13">
        <f>IF(H1070="","",ROW()-4)</f>
        <v/>
      </c>
    </row>
    <row r="1071">
      <c r="A1071" s="13">
        <f>IF(H1071="","",ROW()-4)</f>
        <v/>
      </c>
      <c r="B1071" s="13">
        <f>IF(H1071="","",ROW()-4)</f>
        <v/>
      </c>
    </row>
    <row r="1072">
      <c r="A1072" s="13">
        <f>IF(H1072="","",ROW()-4)</f>
        <v/>
      </c>
      <c r="B1072" s="13">
        <f>IF(H1072="","",ROW()-4)</f>
        <v/>
      </c>
    </row>
    <row r="1073">
      <c r="A1073" s="13">
        <f>IF(H1073="","",ROW()-4)</f>
        <v/>
      </c>
      <c r="B1073" s="13">
        <f>IF(H1073="","",ROW()-4)</f>
        <v/>
      </c>
    </row>
    <row r="1074">
      <c r="A1074" s="13">
        <f>IF(H1074="","",ROW()-4)</f>
        <v/>
      </c>
      <c r="B1074" s="13">
        <f>IF(H1074="","",ROW()-4)</f>
        <v/>
      </c>
    </row>
    <row r="1075">
      <c r="A1075" s="13">
        <f>IF(H1075="","",ROW()-4)</f>
        <v/>
      </c>
      <c r="B1075" s="13">
        <f>IF(H1075="","",ROW()-4)</f>
        <v/>
      </c>
    </row>
    <row r="1076">
      <c r="A1076" s="13">
        <f>IF(H1076="","",ROW()-4)</f>
        <v/>
      </c>
      <c r="B1076" s="13">
        <f>IF(H1076="","",ROW()-4)</f>
        <v/>
      </c>
    </row>
    <row r="1077">
      <c r="A1077" s="13">
        <f>IF(H1077="","",ROW()-4)</f>
        <v/>
      </c>
      <c r="B1077" s="13">
        <f>IF(H1077="","",ROW()-4)</f>
        <v/>
      </c>
    </row>
    <row r="1078">
      <c r="A1078" s="13">
        <f>IF(H1078="","",ROW()-4)</f>
        <v/>
      </c>
      <c r="B1078" s="13">
        <f>IF(H1078="","",ROW()-4)</f>
        <v/>
      </c>
    </row>
    <row r="1079">
      <c r="A1079" s="13">
        <f>IF(H1079="","",ROW()-4)</f>
        <v/>
      </c>
      <c r="B1079" s="13">
        <f>IF(H1079="","",ROW()-4)</f>
        <v/>
      </c>
    </row>
    <row r="1080">
      <c r="A1080" s="13">
        <f>IF(H1080="","",ROW()-4)</f>
        <v/>
      </c>
      <c r="B1080" s="13">
        <f>IF(H1080="","",ROW()-4)</f>
        <v/>
      </c>
    </row>
    <row r="1081">
      <c r="A1081" s="13">
        <f>IF(H1081="","",ROW()-4)</f>
        <v/>
      </c>
      <c r="B1081" s="13">
        <f>IF(H1081="","",ROW()-4)</f>
        <v/>
      </c>
    </row>
    <row r="1082">
      <c r="A1082" s="13">
        <f>IF(H1082="","",ROW()-4)</f>
        <v/>
      </c>
      <c r="B1082" s="13">
        <f>IF(H1082="","",ROW()-4)</f>
        <v/>
      </c>
    </row>
    <row r="1083">
      <c r="A1083" s="13">
        <f>IF(H1083="","",ROW()-4)</f>
        <v/>
      </c>
      <c r="B1083" s="13">
        <f>IF(H1083="","",ROW()-4)</f>
        <v/>
      </c>
    </row>
    <row r="1084">
      <c r="A1084" s="13">
        <f>IF(H1084="","",ROW()-4)</f>
        <v/>
      </c>
      <c r="B1084" s="13">
        <f>IF(H1084="","",ROW()-4)</f>
        <v/>
      </c>
    </row>
    <row r="1085">
      <c r="A1085" s="13">
        <f>IF(H1085="","",ROW()-4)</f>
        <v/>
      </c>
      <c r="B1085" s="13">
        <f>IF(H1085="","",ROW()-4)</f>
        <v/>
      </c>
    </row>
    <row r="1086">
      <c r="A1086" s="13">
        <f>IF(H1086="","",ROW()-4)</f>
        <v/>
      </c>
      <c r="B1086" s="13">
        <f>IF(H1086="","",ROW()-4)</f>
        <v/>
      </c>
    </row>
    <row r="1087">
      <c r="A1087" s="13">
        <f>IF(H1087="","",ROW()-4)</f>
        <v/>
      </c>
      <c r="B1087" s="13">
        <f>IF(H1087="","",ROW()-4)</f>
        <v/>
      </c>
    </row>
    <row r="1088">
      <c r="A1088" s="13">
        <f>IF(H1088="","",ROW()-4)</f>
        <v/>
      </c>
      <c r="B1088" s="13">
        <f>IF(H1088="","",ROW()-4)</f>
        <v/>
      </c>
    </row>
    <row r="1089">
      <c r="A1089" s="13">
        <f>IF(H1089="","",ROW()-4)</f>
        <v/>
      </c>
      <c r="B1089" s="13">
        <f>IF(H1089="","",ROW()-4)</f>
        <v/>
      </c>
    </row>
    <row r="1090">
      <c r="A1090" s="13">
        <f>IF(H1090="","",ROW()-4)</f>
        <v/>
      </c>
      <c r="B1090" s="13">
        <f>IF(H1090="","",ROW()-4)</f>
        <v/>
      </c>
    </row>
    <row r="1091">
      <c r="A1091" s="13">
        <f>IF(H1091="","",ROW()-4)</f>
        <v/>
      </c>
      <c r="B1091" s="13">
        <f>IF(H1091="","",ROW()-4)</f>
        <v/>
      </c>
    </row>
    <row r="1092">
      <c r="A1092" s="13">
        <f>IF(H1092="","",ROW()-4)</f>
        <v/>
      </c>
      <c r="B1092" s="13">
        <f>IF(H1092="","",ROW()-4)</f>
        <v/>
      </c>
    </row>
    <row r="1093">
      <c r="A1093" s="13">
        <f>IF(H1093="","",ROW()-4)</f>
        <v/>
      </c>
      <c r="B1093" s="13">
        <f>IF(H1093="","",ROW()-4)</f>
        <v/>
      </c>
    </row>
    <row r="1094">
      <c r="A1094" s="13">
        <f>IF(H1094="","",ROW()-4)</f>
        <v/>
      </c>
      <c r="B1094" s="13">
        <f>IF(H1094="","",ROW()-4)</f>
        <v/>
      </c>
    </row>
    <row r="1095">
      <c r="A1095" s="13">
        <f>IF(H1095="","",ROW()-4)</f>
        <v/>
      </c>
      <c r="B1095" s="13">
        <f>IF(H1095="","",ROW()-4)</f>
        <v/>
      </c>
    </row>
    <row r="1096">
      <c r="A1096" s="13">
        <f>IF(H1096="","",ROW()-4)</f>
        <v/>
      </c>
      <c r="B1096" s="13">
        <f>IF(H1096="","",ROW()-4)</f>
        <v/>
      </c>
    </row>
    <row r="1097">
      <c r="A1097" s="13">
        <f>IF(H1097="","",ROW()-4)</f>
        <v/>
      </c>
      <c r="B1097" s="13">
        <f>IF(H1097="","",ROW()-4)</f>
        <v/>
      </c>
    </row>
    <row r="1098">
      <c r="A1098" s="13">
        <f>IF(H1098="","",ROW()-4)</f>
        <v/>
      </c>
      <c r="B1098" s="13">
        <f>IF(H1098="","",ROW()-4)</f>
        <v/>
      </c>
    </row>
    <row r="1099">
      <c r="A1099" s="13">
        <f>IF(H1099="","",ROW()-4)</f>
        <v/>
      </c>
      <c r="B1099" s="13">
        <f>IF(H1099="","",ROW()-4)</f>
        <v/>
      </c>
    </row>
    <row r="1100">
      <c r="A1100" s="13">
        <f>IF(H1100="","",ROW()-4)</f>
        <v/>
      </c>
      <c r="B1100" s="13">
        <f>IF(H1100="","",ROW()-4)</f>
        <v/>
      </c>
    </row>
    <row r="1101">
      <c r="A1101" s="13">
        <f>IF(H1101="","",ROW()-4)</f>
        <v/>
      </c>
      <c r="B1101" s="13">
        <f>IF(H1101="","",ROW()-4)</f>
        <v/>
      </c>
    </row>
    <row r="1102">
      <c r="A1102" s="13">
        <f>IF(H1102="","",ROW()-4)</f>
        <v/>
      </c>
      <c r="B1102" s="13">
        <f>IF(H1102="","",ROW()-4)</f>
        <v/>
      </c>
    </row>
    <row r="1103">
      <c r="A1103" s="13">
        <f>IF(H1103="","",ROW()-4)</f>
        <v/>
      </c>
      <c r="B1103" s="13">
        <f>IF(H1103="","",ROW()-4)</f>
        <v/>
      </c>
    </row>
    <row r="1104">
      <c r="A1104" s="13">
        <f>IF(H1104="","",ROW()-4)</f>
        <v/>
      </c>
      <c r="B1104" s="13">
        <f>IF(H1104="","",ROW()-4)</f>
        <v/>
      </c>
    </row>
    <row r="1105">
      <c r="A1105" s="13">
        <f>IF(H1105="","",ROW()-4)</f>
        <v/>
      </c>
      <c r="B1105" s="13">
        <f>IF(H1105="","",ROW()-4)</f>
        <v/>
      </c>
    </row>
    <row r="1106">
      <c r="A1106" s="13">
        <f>IF(H1106="","",ROW()-4)</f>
        <v/>
      </c>
      <c r="B1106" s="13">
        <f>IF(H1106="","",ROW()-4)</f>
        <v/>
      </c>
    </row>
    <row r="1107">
      <c r="A1107" s="13">
        <f>IF(H1107="","",ROW()-4)</f>
        <v/>
      </c>
      <c r="B1107" s="13">
        <f>IF(H1107="","",ROW()-4)</f>
        <v/>
      </c>
    </row>
    <row r="1108">
      <c r="A1108" s="13">
        <f>IF(H1108="","",ROW()-4)</f>
        <v/>
      </c>
      <c r="B1108" s="13">
        <f>IF(H1108="","",ROW()-4)</f>
        <v/>
      </c>
    </row>
    <row r="1109">
      <c r="A1109" s="13">
        <f>IF(H1109="","",ROW()-4)</f>
        <v/>
      </c>
      <c r="B1109" s="13">
        <f>IF(H1109="","",ROW()-4)</f>
        <v/>
      </c>
    </row>
    <row r="1110">
      <c r="A1110" s="13">
        <f>IF(H1110="","",ROW()-4)</f>
        <v/>
      </c>
      <c r="B1110" s="13">
        <f>IF(H1110="","",ROW()-4)</f>
        <v/>
      </c>
    </row>
    <row r="1111">
      <c r="A1111" s="13">
        <f>IF(H1111="","",ROW()-4)</f>
        <v/>
      </c>
      <c r="B1111" s="13">
        <f>IF(H1111="","",ROW()-4)</f>
        <v/>
      </c>
    </row>
    <row r="1112">
      <c r="A1112" s="13">
        <f>IF(H1112="","",ROW()-4)</f>
        <v/>
      </c>
      <c r="B1112" s="13">
        <f>IF(H1112="","",ROW()-4)</f>
        <v/>
      </c>
    </row>
    <row r="1113">
      <c r="A1113" s="13">
        <f>IF(H1113="","",ROW()-4)</f>
        <v/>
      </c>
      <c r="B1113" s="13">
        <f>IF(H1113="","",ROW()-4)</f>
        <v/>
      </c>
    </row>
    <row r="1114">
      <c r="A1114" s="13">
        <f>IF(H1114="","",ROW()-4)</f>
        <v/>
      </c>
      <c r="B1114" s="13">
        <f>IF(H1114="","",ROW()-4)</f>
        <v/>
      </c>
    </row>
    <row r="1115">
      <c r="A1115" s="13">
        <f>IF(H1115="","",ROW()-4)</f>
        <v/>
      </c>
      <c r="B1115" s="13">
        <f>IF(H1115="","",ROW()-4)</f>
        <v/>
      </c>
    </row>
    <row r="1116">
      <c r="A1116" s="13">
        <f>IF(H1116="","",ROW()-4)</f>
        <v/>
      </c>
      <c r="B1116" s="13">
        <f>IF(H1116="","",ROW()-4)</f>
        <v/>
      </c>
    </row>
    <row r="1117">
      <c r="A1117" s="13">
        <f>IF(H1117="","",ROW()-4)</f>
        <v/>
      </c>
      <c r="B1117" s="13">
        <f>IF(H1117="","",ROW()-4)</f>
        <v/>
      </c>
    </row>
    <row r="1118">
      <c r="A1118" s="13">
        <f>IF(H1118="","",ROW()-4)</f>
        <v/>
      </c>
      <c r="B1118" s="13">
        <f>IF(H1118="","",ROW()-4)</f>
        <v/>
      </c>
    </row>
    <row r="1119">
      <c r="A1119" s="13">
        <f>IF(H1119="","",ROW()-4)</f>
        <v/>
      </c>
      <c r="B1119" s="13">
        <f>IF(H1119="","",ROW()-4)</f>
        <v/>
      </c>
    </row>
    <row r="1120">
      <c r="A1120" s="13">
        <f>IF(H1120="","",ROW()-4)</f>
        <v/>
      </c>
      <c r="B1120" s="13">
        <f>IF(H1120="","",ROW()-4)</f>
        <v/>
      </c>
    </row>
    <row r="1121">
      <c r="A1121" s="13">
        <f>IF(H1121="","",ROW()-4)</f>
        <v/>
      </c>
      <c r="B1121" s="13">
        <f>IF(H1121="","",ROW()-4)</f>
        <v/>
      </c>
    </row>
    <row r="1122">
      <c r="A1122" s="13">
        <f>IF(H1122="","",ROW()-4)</f>
        <v/>
      </c>
      <c r="B1122" s="13">
        <f>IF(H1122="","",ROW()-4)</f>
        <v/>
      </c>
    </row>
    <row r="1123">
      <c r="A1123" s="13">
        <f>IF(H1123="","",ROW()-4)</f>
        <v/>
      </c>
      <c r="B1123" s="13">
        <f>IF(H1123="","",ROW()-4)</f>
        <v/>
      </c>
    </row>
    <row r="1124">
      <c r="A1124" s="13">
        <f>IF(H1124="","",ROW()-4)</f>
        <v/>
      </c>
      <c r="B1124" s="13">
        <f>IF(H1124="","",ROW()-4)</f>
        <v/>
      </c>
    </row>
    <row r="1125">
      <c r="A1125" s="13">
        <f>IF(H1125="","",ROW()-4)</f>
        <v/>
      </c>
      <c r="B1125" s="13">
        <f>IF(H1125="","",ROW()-4)</f>
        <v/>
      </c>
    </row>
    <row r="1126">
      <c r="A1126" s="13">
        <f>IF(H1126="","",ROW()-4)</f>
        <v/>
      </c>
      <c r="B1126" s="13">
        <f>IF(H1126="","",ROW()-4)</f>
        <v/>
      </c>
    </row>
    <row r="1127">
      <c r="A1127" s="13">
        <f>IF(H1127="","",ROW()-4)</f>
        <v/>
      </c>
      <c r="B1127" s="13">
        <f>IF(H1127="","",ROW()-4)</f>
        <v/>
      </c>
    </row>
    <row r="1128">
      <c r="A1128" s="13">
        <f>IF(H1128="","",ROW()-4)</f>
        <v/>
      </c>
      <c r="B1128" s="13">
        <f>IF(H1128="","",ROW()-4)</f>
        <v/>
      </c>
    </row>
    <row r="1129">
      <c r="A1129" s="13">
        <f>IF(H1129="","",ROW()-4)</f>
        <v/>
      </c>
      <c r="B1129" s="13">
        <f>IF(H1129="","",ROW()-4)</f>
        <v/>
      </c>
    </row>
    <row r="1130">
      <c r="A1130" s="13">
        <f>IF(H1130="","",ROW()-4)</f>
        <v/>
      </c>
      <c r="B1130" s="13">
        <f>IF(H1130="","",ROW()-4)</f>
        <v/>
      </c>
    </row>
    <row r="1131">
      <c r="A1131" s="13">
        <f>IF(H1131="","",ROW()-4)</f>
        <v/>
      </c>
      <c r="B1131" s="13">
        <f>IF(H1131="","",ROW()-4)</f>
        <v/>
      </c>
    </row>
    <row r="1132">
      <c r="A1132" s="13">
        <f>IF(H1132="","",ROW()-4)</f>
        <v/>
      </c>
      <c r="B1132" s="13">
        <f>IF(H1132="","",ROW()-4)</f>
        <v/>
      </c>
    </row>
    <row r="1133">
      <c r="A1133" s="13">
        <f>IF(H1133="","",ROW()-4)</f>
        <v/>
      </c>
      <c r="B1133" s="13">
        <f>IF(H1133="","",ROW()-4)</f>
        <v/>
      </c>
    </row>
    <row r="1134">
      <c r="A1134" s="13">
        <f>IF(H1134="","",ROW()-4)</f>
        <v/>
      </c>
      <c r="B1134" s="13">
        <f>IF(H1134="","",ROW()-4)</f>
        <v/>
      </c>
    </row>
    <row r="1135">
      <c r="A1135" s="13">
        <f>IF(H1135="","",ROW()-4)</f>
        <v/>
      </c>
      <c r="B1135" s="13">
        <f>IF(H1135="","",ROW()-4)</f>
        <v/>
      </c>
    </row>
    <row r="1136">
      <c r="A1136" s="13">
        <f>IF(H1136="","",ROW()-4)</f>
        <v/>
      </c>
      <c r="B1136" s="13">
        <f>IF(H1136="","",ROW()-4)</f>
        <v/>
      </c>
    </row>
    <row r="1137">
      <c r="A1137" s="13">
        <f>IF(H1137="","",ROW()-4)</f>
        <v/>
      </c>
      <c r="B1137" s="13">
        <f>IF(H1137="","",ROW()-4)</f>
        <v/>
      </c>
    </row>
    <row r="1138">
      <c r="A1138" s="13">
        <f>IF(H1138="","",ROW()-4)</f>
        <v/>
      </c>
      <c r="B1138" s="13">
        <f>IF(H1138="","",ROW()-4)</f>
        <v/>
      </c>
    </row>
    <row r="1139">
      <c r="A1139" s="13">
        <f>IF(H1139="","",ROW()-4)</f>
        <v/>
      </c>
      <c r="B1139" s="13">
        <f>IF(H1139="","",ROW()-4)</f>
        <v/>
      </c>
    </row>
    <row r="1140">
      <c r="A1140" s="13">
        <f>IF(H1140="","",ROW()-4)</f>
        <v/>
      </c>
      <c r="B1140" s="13">
        <f>IF(H1140="","",ROW()-4)</f>
        <v/>
      </c>
    </row>
    <row r="1141">
      <c r="A1141" s="13">
        <f>IF(H1141="","",ROW()-4)</f>
        <v/>
      </c>
      <c r="B1141" s="13">
        <f>IF(H1141="","",ROW()-4)</f>
        <v/>
      </c>
    </row>
    <row r="1142">
      <c r="A1142" s="13">
        <f>IF(H1142="","",ROW()-4)</f>
        <v/>
      </c>
      <c r="B1142" s="13">
        <f>IF(H1142="","",ROW()-4)</f>
        <v/>
      </c>
    </row>
    <row r="1143">
      <c r="A1143" s="13">
        <f>IF(H1143="","",ROW()-4)</f>
        <v/>
      </c>
      <c r="B1143" s="13">
        <f>IF(H1143="","",ROW()-4)</f>
        <v/>
      </c>
    </row>
    <row r="1144">
      <c r="A1144" s="13">
        <f>IF(H1144="","",ROW()-4)</f>
        <v/>
      </c>
      <c r="B1144" s="13">
        <f>IF(H1144="","",ROW()-4)</f>
        <v/>
      </c>
    </row>
    <row r="1145">
      <c r="A1145" s="13">
        <f>IF(H1145="","",ROW()-4)</f>
        <v/>
      </c>
      <c r="B1145" s="13">
        <f>IF(H1145="","",ROW()-4)</f>
        <v/>
      </c>
    </row>
    <row r="1146">
      <c r="A1146" s="13">
        <f>IF(H1146="","",ROW()-4)</f>
        <v/>
      </c>
      <c r="B1146" s="13">
        <f>IF(H1146="","",ROW()-4)</f>
        <v/>
      </c>
    </row>
    <row r="1147">
      <c r="A1147" s="13">
        <f>IF(H1147="","",ROW()-4)</f>
        <v/>
      </c>
      <c r="B1147" s="13">
        <f>IF(H1147="","",ROW()-4)</f>
        <v/>
      </c>
    </row>
    <row r="1148">
      <c r="A1148" s="13">
        <f>IF(H1148="","",ROW()-4)</f>
        <v/>
      </c>
      <c r="B1148" s="13">
        <f>IF(H1148="","",ROW()-4)</f>
        <v/>
      </c>
    </row>
    <row r="1149">
      <c r="A1149" s="13">
        <f>IF(H1149="","",ROW()-4)</f>
        <v/>
      </c>
      <c r="B1149" s="13">
        <f>IF(H1149="","",ROW()-4)</f>
        <v/>
      </c>
    </row>
    <row r="1150">
      <c r="A1150" s="13">
        <f>IF(H1150="","",ROW()-4)</f>
        <v/>
      </c>
      <c r="B1150" s="13">
        <f>IF(H1150="","",ROW()-4)</f>
        <v/>
      </c>
    </row>
    <row r="1151">
      <c r="A1151" s="13">
        <f>IF(H1151="","",ROW()-4)</f>
        <v/>
      </c>
      <c r="B1151" s="13">
        <f>IF(H1151="","",ROW()-4)</f>
        <v/>
      </c>
    </row>
    <row r="1152">
      <c r="A1152" s="13">
        <f>IF(H1152="","",ROW()-4)</f>
        <v/>
      </c>
      <c r="B1152" s="13">
        <f>IF(H1152="","",ROW()-4)</f>
        <v/>
      </c>
    </row>
    <row r="1153">
      <c r="A1153" s="13">
        <f>IF(H1153="","",ROW()-4)</f>
        <v/>
      </c>
      <c r="B1153" s="13">
        <f>IF(H1153="","",ROW()-4)</f>
        <v/>
      </c>
    </row>
    <row r="1154">
      <c r="A1154" s="13">
        <f>IF(H1154="","",ROW()-4)</f>
        <v/>
      </c>
      <c r="B1154" s="13">
        <f>IF(H1154="","",ROW()-4)</f>
        <v/>
      </c>
    </row>
    <row r="1155">
      <c r="A1155" s="13">
        <f>IF(H1155="","",ROW()-4)</f>
        <v/>
      </c>
      <c r="B1155" s="13">
        <f>IF(H1155="","",ROW()-4)</f>
        <v/>
      </c>
    </row>
    <row r="1156">
      <c r="A1156" s="13">
        <f>IF(H1156="","",ROW()-4)</f>
        <v/>
      </c>
      <c r="B1156" s="13">
        <f>IF(H1156="","",ROW()-4)</f>
        <v/>
      </c>
    </row>
    <row r="1157">
      <c r="A1157" s="13">
        <f>IF(H1157="","",ROW()-4)</f>
        <v/>
      </c>
      <c r="B1157" s="13">
        <f>IF(H1157="","",ROW()-4)</f>
        <v/>
      </c>
    </row>
    <row r="1158">
      <c r="A1158" s="13">
        <f>IF(H1158="","",ROW()-4)</f>
        <v/>
      </c>
      <c r="B1158" s="13">
        <f>IF(H1158="","",ROW()-4)</f>
        <v/>
      </c>
    </row>
    <row r="1159">
      <c r="A1159" s="13">
        <f>IF(H1159="","",ROW()-4)</f>
        <v/>
      </c>
      <c r="B1159" s="13">
        <f>IF(H1159="","",ROW()-4)</f>
        <v/>
      </c>
    </row>
    <row r="1160">
      <c r="A1160" s="13">
        <f>IF(H1160="","",ROW()-4)</f>
        <v/>
      </c>
      <c r="B1160" s="13">
        <f>IF(H1160="","",ROW()-4)</f>
        <v/>
      </c>
    </row>
    <row r="1161">
      <c r="A1161" s="13">
        <f>IF(H1161="","",ROW()-4)</f>
        <v/>
      </c>
      <c r="B1161" s="13">
        <f>IF(H1161="","",ROW()-4)</f>
        <v/>
      </c>
    </row>
    <row r="1162">
      <c r="A1162" s="13">
        <f>IF(H1162="","",ROW()-4)</f>
        <v/>
      </c>
      <c r="B1162" s="13">
        <f>IF(H1162="","",ROW()-4)</f>
        <v/>
      </c>
    </row>
    <row r="1163">
      <c r="A1163" s="13">
        <f>IF(H1163="","",ROW()-4)</f>
        <v/>
      </c>
      <c r="B1163" s="13">
        <f>IF(H1163="","",ROW()-4)</f>
        <v/>
      </c>
    </row>
    <row r="1164">
      <c r="A1164" s="13">
        <f>IF(H1164="","",ROW()-4)</f>
        <v/>
      </c>
      <c r="B1164" s="13">
        <f>IF(H1164="","",ROW()-4)</f>
        <v/>
      </c>
    </row>
    <row r="1165">
      <c r="A1165" s="13">
        <f>IF(H1165="","",ROW()-4)</f>
        <v/>
      </c>
      <c r="B1165" s="13">
        <f>IF(H1165="","",ROW()-4)</f>
        <v/>
      </c>
    </row>
    <row r="1166">
      <c r="A1166" s="13">
        <f>IF(H1166="","",ROW()-4)</f>
        <v/>
      </c>
      <c r="B1166" s="13">
        <f>IF(H1166="","",ROW()-4)</f>
        <v/>
      </c>
    </row>
    <row r="1167">
      <c r="A1167" s="13">
        <f>IF(H1167="","",ROW()-4)</f>
        <v/>
      </c>
      <c r="B1167" s="13">
        <f>IF(H1167="","",ROW()-4)</f>
        <v/>
      </c>
    </row>
    <row r="1168">
      <c r="A1168" s="13">
        <f>IF(H1168="","",ROW()-4)</f>
        <v/>
      </c>
      <c r="B1168" s="13">
        <f>IF(H1168="","",ROW()-4)</f>
        <v/>
      </c>
    </row>
    <row r="1169">
      <c r="A1169" s="13">
        <f>IF(H1169="","",ROW()-4)</f>
        <v/>
      </c>
      <c r="B1169" s="13">
        <f>IF(H1169="","",ROW()-4)</f>
        <v/>
      </c>
    </row>
    <row r="1170">
      <c r="A1170" s="13">
        <f>IF(H1170="","",ROW()-4)</f>
        <v/>
      </c>
      <c r="B1170" s="13">
        <f>IF(H1170="","",ROW()-4)</f>
        <v/>
      </c>
    </row>
    <row r="1171">
      <c r="A1171" s="13">
        <f>IF(H1171="","",ROW()-4)</f>
        <v/>
      </c>
      <c r="B1171" s="13">
        <f>IF(H1171="","",ROW()-4)</f>
        <v/>
      </c>
    </row>
    <row r="1172">
      <c r="A1172" s="13">
        <f>IF(H1172="","",ROW()-4)</f>
        <v/>
      </c>
      <c r="B1172" s="13">
        <f>IF(H1172="","",ROW()-4)</f>
        <v/>
      </c>
    </row>
    <row r="1173">
      <c r="A1173" s="13">
        <f>IF(H1173="","",ROW()-4)</f>
        <v/>
      </c>
      <c r="B1173" s="13">
        <f>IF(H1173="","",ROW()-4)</f>
        <v/>
      </c>
    </row>
    <row r="1174">
      <c r="A1174" s="13">
        <f>IF(H1174="","",ROW()-4)</f>
        <v/>
      </c>
      <c r="B1174" s="13">
        <f>IF(H1174="","",ROW()-4)</f>
        <v/>
      </c>
    </row>
    <row r="1175">
      <c r="A1175" s="13">
        <f>IF(H1175="","",ROW()-4)</f>
        <v/>
      </c>
      <c r="B1175" s="13">
        <f>IF(H1175="","",ROW()-4)</f>
        <v/>
      </c>
    </row>
    <row r="1176">
      <c r="A1176" s="13">
        <f>IF(H1176="","",ROW()-4)</f>
        <v/>
      </c>
      <c r="B1176" s="13">
        <f>IF(H1176="","",ROW()-4)</f>
        <v/>
      </c>
    </row>
    <row r="1177">
      <c r="A1177" s="13">
        <f>IF(H1177="","",ROW()-4)</f>
        <v/>
      </c>
      <c r="B1177" s="13">
        <f>IF(H1177="","",ROW()-4)</f>
        <v/>
      </c>
    </row>
    <row r="1178">
      <c r="A1178" s="13">
        <f>IF(H1178="","",ROW()-4)</f>
        <v/>
      </c>
      <c r="B1178" s="13">
        <f>IF(H1178="","",ROW()-4)</f>
        <v/>
      </c>
    </row>
    <row r="1179">
      <c r="A1179" s="13">
        <f>IF(H1179="","",ROW()-4)</f>
        <v/>
      </c>
      <c r="B1179" s="13">
        <f>IF(H1179="","",ROW()-4)</f>
        <v/>
      </c>
    </row>
    <row r="1180">
      <c r="A1180" s="13">
        <f>IF(H1180="","",ROW()-4)</f>
        <v/>
      </c>
      <c r="B1180" s="13">
        <f>IF(H1180="","",ROW()-4)</f>
        <v/>
      </c>
    </row>
    <row r="1181">
      <c r="A1181" s="13">
        <f>IF(H1181="","",ROW()-4)</f>
        <v/>
      </c>
      <c r="B1181" s="13">
        <f>IF(H1181="","",ROW()-4)</f>
        <v/>
      </c>
    </row>
    <row r="1182">
      <c r="A1182" s="13">
        <f>IF(H1182="","",ROW()-4)</f>
        <v/>
      </c>
      <c r="B1182" s="13">
        <f>IF(H1182="","",ROW()-4)</f>
        <v/>
      </c>
    </row>
    <row r="1183">
      <c r="A1183" s="13">
        <f>IF(H1183="","",ROW()-4)</f>
        <v/>
      </c>
      <c r="B1183" s="13">
        <f>IF(H1183="","",ROW()-4)</f>
        <v/>
      </c>
    </row>
    <row r="1184">
      <c r="A1184" s="13">
        <f>IF(H1184="","",ROW()-4)</f>
        <v/>
      </c>
      <c r="B1184" s="13">
        <f>IF(H1184="","",ROW()-4)</f>
        <v/>
      </c>
    </row>
    <row r="1185">
      <c r="A1185" s="13">
        <f>IF(H1185="","",ROW()-4)</f>
        <v/>
      </c>
      <c r="B1185" s="13">
        <f>IF(H1185="","",ROW()-4)</f>
        <v/>
      </c>
    </row>
    <row r="1186">
      <c r="A1186" s="13">
        <f>IF(H1186="","",ROW()-4)</f>
        <v/>
      </c>
      <c r="B1186" s="13">
        <f>IF(H1186="","",ROW()-4)</f>
        <v/>
      </c>
    </row>
    <row r="1187">
      <c r="A1187" s="13">
        <f>IF(H1187="","",ROW()-4)</f>
        <v/>
      </c>
      <c r="B1187" s="13">
        <f>IF(H1187="","",ROW()-4)</f>
        <v/>
      </c>
    </row>
    <row r="1188">
      <c r="A1188" s="13">
        <f>IF(H1188="","",ROW()-4)</f>
        <v/>
      </c>
      <c r="B1188" s="13">
        <f>IF(H1188="","",ROW()-4)</f>
        <v/>
      </c>
    </row>
    <row r="1189">
      <c r="A1189" s="13">
        <f>IF(H1189="","",ROW()-4)</f>
        <v/>
      </c>
      <c r="B1189" s="13">
        <f>IF(H1189="","",ROW()-4)</f>
        <v/>
      </c>
    </row>
    <row r="1190">
      <c r="A1190" s="13">
        <f>IF(H1190="","",ROW()-4)</f>
        <v/>
      </c>
      <c r="B1190" s="13">
        <f>IF(H1190="","",ROW()-4)</f>
        <v/>
      </c>
    </row>
    <row r="1191">
      <c r="A1191" s="13">
        <f>IF(H1191="","",ROW()-4)</f>
        <v/>
      </c>
      <c r="B1191" s="13">
        <f>IF(H1191="","",ROW()-4)</f>
        <v/>
      </c>
    </row>
    <row r="1192">
      <c r="A1192" s="13">
        <f>IF(H1192="","",ROW()-4)</f>
        <v/>
      </c>
      <c r="B1192" s="13">
        <f>IF(H1192="","",ROW()-4)</f>
        <v/>
      </c>
    </row>
    <row r="1193">
      <c r="A1193" s="13">
        <f>IF(H1193="","",ROW()-4)</f>
        <v/>
      </c>
      <c r="B1193" s="13">
        <f>IF(H1193="","",ROW()-4)</f>
        <v/>
      </c>
    </row>
    <row r="1194">
      <c r="A1194" s="13">
        <f>IF(H1194="","",ROW()-4)</f>
        <v/>
      </c>
      <c r="B1194" s="13">
        <f>IF(H1194="","",ROW()-4)</f>
        <v/>
      </c>
    </row>
    <row r="1195">
      <c r="A1195" s="13">
        <f>IF(H1195="","",ROW()-4)</f>
        <v/>
      </c>
      <c r="B1195" s="13">
        <f>IF(H1195="","",ROW()-4)</f>
        <v/>
      </c>
    </row>
    <row r="1196">
      <c r="A1196" s="13">
        <f>IF(H1196="","",ROW()-4)</f>
        <v/>
      </c>
      <c r="B1196" s="13">
        <f>IF(H1196="","",ROW()-4)</f>
        <v/>
      </c>
    </row>
    <row r="1197">
      <c r="A1197" s="13">
        <f>IF(H1197="","",ROW()-4)</f>
        <v/>
      </c>
      <c r="B1197" s="13">
        <f>IF(H1197="","",ROW()-4)</f>
        <v/>
      </c>
    </row>
    <row r="1198">
      <c r="A1198" s="13">
        <f>IF(H1198="","",ROW()-4)</f>
        <v/>
      </c>
      <c r="B1198" s="13">
        <f>IF(H1198="","",ROW()-4)</f>
        <v/>
      </c>
    </row>
    <row r="1199">
      <c r="A1199" s="13">
        <f>IF(H1199="","",ROW()-4)</f>
        <v/>
      </c>
      <c r="B1199" s="13">
        <f>IF(H1199="","",ROW()-4)</f>
        <v/>
      </c>
    </row>
    <row r="1200">
      <c r="A1200" s="13">
        <f>IF(H1200="","",ROW()-4)</f>
        <v/>
      </c>
      <c r="B1200" s="13">
        <f>IF(H1200="","",ROW()-4)</f>
        <v/>
      </c>
    </row>
    <row r="1201">
      <c r="A1201" s="13">
        <f>IF(H1201="","",ROW()-4)</f>
        <v/>
      </c>
      <c r="B1201" s="13">
        <f>IF(H1201="","",ROW()-4)</f>
        <v/>
      </c>
    </row>
    <row r="1202">
      <c r="A1202" s="13">
        <f>IF(H1202="","",ROW()-4)</f>
        <v/>
      </c>
      <c r="B1202" s="13">
        <f>IF(H1202="","",ROW()-4)</f>
        <v/>
      </c>
    </row>
    <row r="1203">
      <c r="A1203" s="13">
        <f>IF(H1203="","",ROW()-4)</f>
        <v/>
      </c>
      <c r="B1203" s="13">
        <f>IF(H1203="","",ROW()-4)</f>
        <v/>
      </c>
    </row>
    <row r="1204">
      <c r="A1204" s="13">
        <f>IF(H1204="","",ROW()-4)</f>
        <v/>
      </c>
      <c r="B1204" s="13">
        <f>IF(H1204="","",ROW()-4)</f>
        <v/>
      </c>
    </row>
    <row r="1205">
      <c r="A1205" s="13">
        <f>IF(H1205="","",ROW()-4)</f>
        <v/>
      </c>
      <c r="B1205" s="13">
        <f>IF(H1205="","",ROW()-4)</f>
        <v/>
      </c>
    </row>
    <row r="1206">
      <c r="A1206" s="13">
        <f>IF(H1206="","",ROW()-4)</f>
        <v/>
      </c>
      <c r="B1206" s="13">
        <f>IF(H1206="","",ROW()-4)</f>
        <v/>
      </c>
    </row>
    <row r="1207">
      <c r="A1207" s="13">
        <f>IF(H1207="","",ROW()-4)</f>
        <v/>
      </c>
      <c r="B1207" s="13">
        <f>IF(H1207="","",ROW()-4)</f>
        <v/>
      </c>
    </row>
    <row r="1208">
      <c r="A1208" s="13">
        <f>IF(H1208="","",ROW()-4)</f>
        <v/>
      </c>
      <c r="B1208" s="13">
        <f>IF(H1208="","",ROW()-4)</f>
        <v/>
      </c>
    </row>
    <row r="1209">
      <c r="A1209" s="13">
        <f>IF(H1209="","",ROW()-4)</f>
        <v/>
      </c>
      <c r="B1209" s="13">
        <f>IF(H1209="","",ROW()-4)</f>
        <v/>
      </c>
    </row>
    <row r="1210">
      <c r="A1210" s="13">
        <f>IF(H1210="","",ROW()-4)</f>
        <v/>
      </c>
      <c r="B1210" s="13">
        <f>IF(H1210="","",ROW()-4)</f>
        <v/>
      </c>
    </row>
    <row r="1211">
      <c r="A1211" s="13">
        <f>IF(H1211="","",ROW()-4)</f>
        <v/>
      </c>
      <c r="B1211" s="13">
        <f>IF(H1211="","",ROW()-4)</f>
        <v/>
      </c>
    </row>
    <row r="1212">
      <c r="A1212" s="13">
        <f>IF(H1212="","",ROW()-4)</f>
        <v/>
      </c>
      <c r="B1212" s="13">
        <f>IF(H1212="","",ROW()-4)</f>
        <v/>
      </c>
    </row>
    <row r="1213">
      <c r="A1213" s="13">
        <f>IF(H1213="","",ROW()-4)</f>
        <v/>
      </c>
      <c r="B1213" s="13">
        <f>IF(H1213="","",ROW()-4)</f>
        <v/>
      </c>
    </row>
    <row r="1214">
      <c r="A1214" s="13">
        <f>IF(H1214="","",ROW()-4)</f>
        <v/>
      </c>
      <c r="B1214" s="13">
        <f>IF(H1214="","",ROW()-4)</f>
        <v/>
      </c>
    </row>
    <row r="1215">
      <c r="A1215" s="13">
        <f>IF(H1215="","",ROW()-4)</f>
        <v/>
      </c>
      <c r="B1215" s="13">
        <f>IF(H1215="","",ROW()-4)</f>
        <v/>
      </c>
    </row>
    <row r="1216">
      <c r="A1216" s="13">
        <f>IF(H1216="","",ROW()-4)</f>
        <v/>
      </c>
      <c r="B1216" s="13">
        <f>IF(H1216="","",ROW()-4)</f>
        <v/>
      </c>
    </row>
    <row r="1217">
      <c r="A1217" s="13">
        <f>IF(H1217="","",ROW()-4)</f>
        <v/>
      </c>
      <c r="B1217" s="13">
        <f>IF(H1217="","",ROW()-4)</f>
        <v/>
      </c>
    </row>
    <row r="1218">
      <c r="A1218" s="13">
        <f>IF(H1218="","",ROW()-4)</f>
        <v/>
      </c>
      <c r="B1218" s="13">
        <f>IF(H1218="","",ROW()-4)</f>
        <v/>
      </c>
    </row>
    <row r="1219">
      <c r="A1219" s="13">
        <f>IF(H1219="","",ROW()-4)</f>
        <v/>
      </c>
      <c r="B1219" s="13">
        <f>IF(H1219="","",ROW()-4)</f>
        <v/>
      </c>
    </row>
    <row r="1220">
      <c r="A1220" s="13">
        <f>IF(H1220="","",ROW()-4)</f>
        <v/>
      </c>
      <c r="B1220" s="13">
        <f>IF(H1220="","",ROW()-4)</f>
        <v/>
      </c>
    </row>
    <row r="1221">
      <c r="A1221" s="13">
        <f>IF(H1221="","",ROW()-4)</f>
        <v/>
      </c>
      <c r="B1221" s="13">
        <f>IF(H1221="","",ROW()-4)</f>
        <v/>
      </c>
    </row>
    <row r="1222">
      <c r="A1222" s="13">
        <f>IF(H1222="","",ROW()-4)</f>
        <v/>
      </c>
      <c r="B1222" s="13">
        <f>IF(H1222="","",ROW()-4)</f>
        <v/>
      </c>
    </row>
    <row r="1223">
      <c r="A1223" s="13">
        <f>IF(H1223="","",ROW()-4)</f>
        <v/>
      </c>
      <c r="B1223" s="13">
        <f>IF(H1223="","",ROW()-4)</f>
        <v/>
      </c>
    </row>
    <row r="1224">
      <c r="A1224" s="13">
        <f>IF(H1224="","",ROW()-4)</f>
        <v/>
      </c>
      <c r="B1224" s="13">
        <f>IF(H1224="","",ROW()-4)</f>
        <v/>
      </c>
    </row>
    <row r="1225">
      <c r="A1225" s="13">
        <f>IF(H1225="","",ROW()-4)</f>
        <v/>
      </c>
      <c r="B1225" s="13">
        <f>IF(H1225="","",ROW()-4)</f>
        <v/>
      </c>
    </row>
    <row r="1226">
      <c r="A1226" s="13">
        <f>IF(H1226="","",ROW()-4)</f>
        <v/>
      </c>
      <c r="B1226" s="13">
        <f>IF(H1226="","",ROW()-4)</f>
        <v/>
      </c>
    </row>
    <row r="1227">
      <c r="A1227" s="13">
        <f>IF(H1227="","",ROW()-4)</f>
        <v/>
      </c>
      <c r="B1227" s="13">
        <f>IF(H1227="","",ROW()-4)</f>
        <v/>
      </c>
    </row>
    <row r="1228">
      <c r="A1228" s="13">
        <f>IF(H1228="","",ROW()-4)</f>
        <v/>
      </c>
      <c r="B1228" s="13">
        <f>IF(H1228="","",ROW()-4)</f>
        <v/>
      </c>
    </row>
    <row r="1229">
      <c r="A1229" s="13">
        <f>IF(H1229="","",ROW()-4)</f>
        <v/>
      </c>
      <c r="B1229" s="13">
        <f>IF(H1229="","",ROW()-4)</f>
        <v/>
      </c>
    </row>
    <row r="1230">
      <c r="A1230" s="13">
        <f>IF(H1230="","",ROW()-4)</f>
        <v/>
      </c>
      <c r="B1230" s="13">
        <f>IF(H1230="","",ROW()-4)</f>
        <v/>
      </c>
    </row>
    <row r="1231">
      <c r="A1231" s="13">
        <f>IF(H1231="","",ROW()-4)</f>
        <v/>
      </c>
      <c r="B1231" s="13">
        <f>IF(H1231="","",ROW()-4)</f>
        <v/>
      </c>
    </row>
    <row r="1232">
      <c r="A1232" s="13">
        <f>IF(H1232="","",ROW()-4)</f>
        <v/>
      </c>
      <c r="B1232" s="13">
        <f>IF(H1232="","",ROW()-4)</f>
        <v/>
      </c>
    </row>
    <row r="1233">
      <c r="A1233" s="13">
        <f>IF(H1233="","",ROW()-4)</f>
        <v/>
      </c>
      <c r="B1233" s="13">
        <f>IF(H1233="","",ROW()-4)</f>
        <v/>
      </c>
    </row>
    <row r="1234">
      <c r="A1234" s="13">
        <f>IF(H1234="","",ROW()-4)</f>
        <v/>
      </c>
      <c r="B1234" s="13">
        <f>IF(H1234="","",ROW()-4)</f>
        <v/>
      </c>
    </row>
    <row r="1235">
      <c r="A1235" s="13">
        <f>IF(H1235="","",ROW()-4)</f>
        <v/>
      </c>
      <c r="B1235" s="13">
        <f>IF(H1235="","",ROW()-4)</f>
        <v/>
      </c>
    </row>
    <row r="1236">
      <c r="A1236" s="13">
        <f>IF(H1236="","",ROW()-4)</f>
        <v/>
      </c>
      <c r="B1236" s="13">
        <f>IF(H1236="","",ROW()-4)</f>
        <v/>
      </c>
    </row>
    <row r="1237">
      <c r="A1237" s="13">
        <f>IF(H1237="","",ROW()-4)</f>
        <v/>
      </c>
      <c r="B1237" s="13">
        <f>IF(H1237="","",ROW()-4)</f>
        <v/>
      </c>
    </row>
    <row r="1238">
      <c r="A1238" s="13">
        <f>IF(H1238="","",ROW()-4)</f>
        <v/>
      </c>
      <c r="B1238" s="13">
        <f>IF(H1238="","",ROW()-4)</f>
        <v/>
      </c>
    </row>
    <row r="1239">
      <c r="A1239" s="13">
        <f>IF(H1239="","",ROW()-4)</f>
        <v/>
      </c>
      <c r="B1239" s="13">
        <f>IF(H1239="","",ROW()-4)</f>
        <v/>
      </c>
    </row>
    <row r="1240">
      <c r="A1240" s="13">
        <f>IF(H1240="","",ROW()-4)</f>
        <v/>
      </c>
      <c r="B1240" s="13">
        <f>IF(H1240="","",ROW()-4)</f>
        <v/>
      </c>
    </row>
    <row r="1241">
      <c r="A1241" s="13">
        <f>IF(H1241="","",ROW()-4)</f>
        <v/>
      </c>
      <c r="B1241" s="13">
        <f>IF(H1241="","",ROW()-4)</f>
        <v/>
      </c>
    </row>
    <row r="1242">
      <c r="A1242" s="13">
        <f>IF(H1242="","",ROW()-4)</f>
        <v/>
      </c>
      <c r="B1242" s="13">
        <f>IF(H1242="","",ROW()-4)</f>
        <v/>
      </c>
    </row>
    <row r="1243">
      <c r="A1243" s="13">
        <f>IF(H1243="","",ROW()-4)</f>
        <v/>
      </c>
      <c r="B1243" s="13">
        <f>IF(H1243="","",ROW()-4)</f>
        <v/>
      </c>
    </row>
    <row r="1244">
      <c r="A1244" s="13">
        <f>IF(H1244="","",ROW()-4)</f>
        <v/>
      </c>
      <c r="B1244" s="13">
        <f>IF(H1244="","",ROW()-4)</f>
        <v/>
      </c>
    </row>
    <row r="1245">
      <c r="A1245" s="13">
        <f>IF(H1245="","",ROW()-4)</f>
        <v/>
      </c>
      <c r="B1245" s="13">
        <f>IF(H1245="","",ROW()-4)</f>
        <v/>
      </c>
    </row>
    <row r="1246">
      <c r="A1246" s="13">
        <f>IF(H1246="","",ROW()-4)</f>
        <v/>
      </c>
      <c r="B1246" s="13">
        <f>IF(H1246="","",ROW()-4)</f>
        <v/>
      </c>
    </row>
    <row r="1247">
      <c r="A1247" s="13">
        <f>IF(H1247="","",ROW()-4)</f>
        <v/>
      </c>
      <c r="B1247" s="13">
        <f>IF(H1247="","",ROW()-4)</f>
        <v/>
      </c>
    </row>
    <row r="1248">
      <c r="A1248" s="13">
        <f>IF(H1248="","",ROW()-4)</f>
        <v/>
      </c>
      <c r="B1248" s="13">
        <f>IF(H1248="","",ROW()-4)</f>
        <v/>
      </c>
    </row>
    <row r="1249">
      <c r="A1249" s="13">
        <f>IF(H1249="","",ROW()-4)</f>
        <v/>
      </c>
      <c r="B1249" s="13">
        <f>IF(H1249="","",ROW()-4)</f>
        <v/>
      </c>
    </row>
    <row r="1250">
      <c r="A1250" s="13">
        <f>IF(H1250="","",ROW()-4)</f>
        <v/>
      </c>
      <c r="B1250" s="13">
        <f>IF(H1250="","",ROW()-4)</f>
        <v/>
      </c>
    </row>
    <row r="1251">
      <c r="A1251" s="13">
        <f>IF(H1251="","",ROW()-4)</f>
        <v/>
      </c>
      <c r="B1251" s="13">
        <f>IF(H1251="","",ROW()-4)</f>
        <v/>
      </c>
    </row>
    <row r="1252">
      <c r="A1252" s="13">
        <f>IF(H1252="","",ROW()-4)</f>
        <v/>
      </c>
      <c r="B1252" s="13">
        <f>IF(H1252="","",ROW()-4)</f>
        <v/>
      </c>
    </row>
    <row r="1253">
      <c r="A1253" s="13">
        <f>IF(H1253="","",ROW()-4)</f>
        <v/>
      </c>
      <c r="B1253" s="13">
        <f>IF(H1253="","",ROW()-4)</f>
        <v/>
      </c>
    </row>
    <row r="1254">
      <c r="A1254" s="13">
        <f>IF(H1254="","",ROW()-4)</f>
        <v/>
      </c>
      <c r="B1254" s="13">
        <f>IF(H1254="","",ROW()-4)</f>
        <v/>
      </c>
    </row>
    <row r="1255">
      <c r="A1255" s="13">
        <f>IF(H1255="","",ROW()-4)</f>
        <v/>
      </c>
      <c r="B1255" s="13">
        <f>IF(H1255="","",ROW()-4)</f>
        <v/>
      </c>
    </row>
    <row r="1256">
      <c r="A1256" s="13">
        <f>IF(H1256="","",ROW()-4)</f>
        <v/>
      </c>
      <c r="B1256" s="13">
        <f>IF(H1256="","",ROW()-4)</f>
        <v/>
      </c>
    </row>
    <row r="1257">
      <c r="A1257" s="13">
        <f>IF(H1257="","",ROW()-4)</f>
        <v/>
      </c>
      <c r="B1257" s="13">
        <f>IF(H1257="","",ROW()-4)</f>
        <v/>
      </c>
    </row>
    <row r="1258">
      <c r="A1258" s="13">
        <f>IF(H1258="","",ROW()-4)</f>
        <v/>
      </c>
      <c r="B1258" s="13">
        <f>IF(H1258="","",ROW()-4)</f>
        <v/>
      </c>
    </row>
    <row r="1259">
      <c r="A1259" s="13">
        <f>IF(H1259="","",ROW()-4)</f>
        <v/>
      </c>
      <c r="B1259" s="13">
        <f>IF(H1259="","",ROW()-4)</f>
        <v/>
      </c>
    </row>
    <row r="1260">
      <c r="A1260" s="13">
        <f>IF(H1260="","",ROW()-4)</f>
        <v/>
      </c>
      <c r="B1260" s="13">
        <f>IF(H1260="","",ROW()-4)</f>
        <v/>
      </c>
    </row>
    <row r="1261">
      <c r="A1261" s="13">
        <f>IF(H1261="","",ROW()-4)</f>
        <v/>
      </c>
      <c r="B1261" s="13">
        <f>IF(H1261="","",ROW()-4)</f>
        <v/>
      </c>
    </row>
    <row r="1262">
      <c r="A1262" s="13">
        <f>IF(H1262="","",ROW()-4)</f>
        <v/>
      </c>
      <c r="B1262" s="13">
        <f>IF(H1262="","",ROW()-4)</f>
        <v/>
      </c>
    </row>
    <row r="1263">
      <c r="A1263" s="13">
        <f>IF(H1263="","",ROW()-4)</f>
        <v/>
      </c>
      <c r="B1263" s="13">
        <f>IF(H1263="","",ROW()-4)</f>
        <v/>
      </c>
    </row>
    <row r="1264">
      <c r="A1264" s="13">
        <f>IF(H1264="","",ROW()-4)</f>
        <v/>
      </c>
      <c r="B1264" s="13">
        <f>IF(H1264="","",ROW()-4)</f>
        <v/>
      </c>
    </row>
    <row r="1265">
      <c r="A1265" s="13">
        <f>IF(H1265="","",ROW()-4)</f>
        <v/>
      </c>
      <c r="B1265" s="13">
        <f>IF(H1265="","",ROW()-4)</f>
        <v/>
      </c>
    </row>
    <row r="1266">
      <c r="A1266" s="13">
        <f>IF(H1266="","",ROW()-4)</f>
        <v/>
      </c>
      <c r="B1266" s="13">
        <f>IF(H1266="","",ROW()-4)</f>
        <v/>
      </c>
    </row>
    <row r="1267">
      <c r="A1267" s="13">
        <f>IF(H1267="","",ROW()-4)</f>
        <v/>
      </c>
      <c r="B1267" s="13">
        <f>IF(H1267="","",ROW()-4)</f>
        <v/>
      </c>
    </row>
    <row r="1268">
      <c r="A1268" s="13">
        <f>IF(H1268="","",ROW()-4)</f>
        <v/>
      </c>
      <c r="B1268" s="13">
        <f>IF(H1268="","",ROW()-4)</f>
        <v/>
      </c>
    </row>
    <row r="1269">
      <c r="A1269" s="13">
        <f>IF(H1269="","",ROW()-4)</f>
        <v/>
      </c>
      <c r="B1269" s="13">
        <f>IF(H1269="","",ROW()-4)</f>
        <v/>
      </c>
    </row>
    <row r="1270">
      <c r="A1270" s="13">
        <f>IF(H1270="","",ROW()-4)</f>
        <v/>
      </c>
      <c r="B1270" s="13">
        <f>IF(H1270="","",ROW()-4)</f>
        <v/>
      </c>
    </row>
    <row r="1271">
      <c r="A1271" s="13">
        <f>IF(H1271="","",ROW()-4)</f>
        <v/>
      </c>
      <c r="B1271" s="13">
        <f>IF(H1271="","",ROW()-4)</f>
        <v/>
      </c>
    </row>
    <row r="1272">
      <c r="A1272" s="13">
        <f>IF(H1272="","",ROW()-4)</f>
        <v/>
      </c>
      <c r="B1272" s="13">
        <f>IF(H1272="","",ROW()-4)</f>
        <v/>
      </c>
    </row>
    <row r="1273">
      <c r="A1273" s="13">
        <f>IF(H1273="","",ROW()-4)</f>
        <v/>
      </c>
      <c r="B1273" s="13">
        <f>IF(H1273="","",ROW()-4)</f>
        <v/>
      </c>
    </row>
    <row r="1274">
      <c r="A1274" s="13">
        <f>IF(H1274="","",ROW()-4)</f>
        <v/>
      </c>
      <c r="B1274" s="13">
        <f>IF(H1274="","",ROW()-4)</f>
        <v/>
      </c>
    </row>
    <row r="1275">
      <c r="A1275" s="13">
        <f>IF(H1275="","",ROW()-4)</f>
        <v/>
      </c>
      <c r="B1275" s="13">
        <f>IF(H1275="","",ROW()-4)</f>
        <v/>
      </c>
    </row>
    <row r="1276">
      <c r="A1276" s="13">
        <f>IF(H1276="","",ROW()-4)</f>
        <v/>
      </c>
      <c r="B1276" s="13">
        <f>IF(H1276="","",ROW()-4)</f>
        <v/>
      </c>
    </row>
    <row r="1277">
      <c r="A1277" s="13">
        <f>IF(H1277="","",ROW()-4)</f>
        <v/>
      </c>
      <c r="B1277" s="13">
        <f>IF(H1277="","",ROW()-4)</f>
        <v/>
      </c>
    </row>
    <row r="1278">
      <c r="A1278" s="13">
        <f>IF(H1278="","",ROW()-4)</f>
        <v/>
      </c>
      <c r="B1278" s="13">
        <f>IF(H1278="","",ROW()-4)</f>
        <v/>
      </c>
    </row>
    <row r="1279">
      <c r="A1279" s="13">
        <f>IF(H1279="","",ROW()-4)</f>
        <v/>
      </c>
      <c r="B1279" s="13">
        <f>IF(H1279="","",ROW()-4)</f>
        <v/>
      </c>
    </row>
    <row r="1280">
      <c r="A1280" s="13">
        <f>IF(H1280="","",ROW()-4)</f>
        <v/>
      </c>
      <c r="B1280" s="13">
        <f>IF(H1280="","",ROW()-4)</f>
        <v/>
      </c>
    </row>
    <row r="1281">
      <c r="A1281" s="13">
        <f>IF(H1281="","",ROW()-4)</f>
        <v/>
      </c>
      <c r="B1281" s="13">
        <f>IF(H1281="","",ROW()-4)</f>
        <v/>
      </c>
    </row>
    <row r="1282">
      <c r="A1282" s="13">
        <f>IF(H1282="","",ROW()-4)</f>
        <v/>
      </c>
      <c r="B1282" s="13">
        <f>IF(H1282="","",ROW()-4)</f>
        <v/>
      </c>
    </row>
    <row r="1283">
      <c r="A1283" s="13">
        <f>IF(H1283="","",ROW()-4)</f>
        <v/>
      </c>
      <c r="B1283" s="13">
        <f>IF(H1283="","",ROW()-4)</f>
        <v/>
      </c>
    </row>
    <row r="1284">
      <c r="A1284" s="13">
        <f>IF(H1284="","",ROW()-4)</f>
        <v/>
      </c>
      <c r="B1284" s="13">
        <f>IF(H1284="","",ROW()-4)</f>
        <v/>
      </c>
    </row>
    <row r="1285">
      <c r="A1285" s="13">
        <f>IF(H1285="","",ROW()-4)</f>
        <v/>
      </c>
      <c r="B1285" s="13">
        <f>IF(H1285="","",ROW()-4)</f>
        <v/>
      </c>
    </row>
    <row r="1286">
      <c r="A1286" s="13">
        <f>IF(H1286="","",ROW()-4)</f>
        <v/>
      </c>
      <c r="B1286" s="13">
        <f>IF(H1286="","",ROW()-4)</f>
        <v/>
      </c>
    </row>
    <row r="1287">
      <c r="A1287" s="13">
        <f>IF(H1287="","",ROW()-4)</f>
        <v/>
      </c>
      <c r="B1287" s="13">
        <f>IF(H1287="","",ROW()-4)</f>
        <v/>
      </c>
    </row>
    <row r="1288">
      <c r="A1288" s="13">
        <f>IF(H1288="","",ROW()-4)</f>
        <v/>
      </c>
      <c r="B1288" s="13">
        <f>IF(H1288="","",ROW()-4)</f>
        <v/>
      </c>
    </row>
    <row r="1289">
      <c r="A1289" s="13">
        <f>IF(H1289="","",ROW()-4)</f>
        <v/>
      </c>
      <c r="B1289" s="13">
        <f>IF(H1289="","",ROW()-4)</f>
        <v/>
      </c>
    </row>
    <row r="1290">
      <c r="A1290" s="13">
        <f>IF(H1290="","",ROW()-4)</f>
        <v/>
      </c>
      <c r="B1290" s="13">
        <f>IF(H1290="","",ROW()-4)</f>
        <v/>
      </c>
    </row>
    <row r="1291">
      <c r="A1291" s="13">
        <f>IF(H1291="","",ROW()-4)</f>
        <v/>
      </c>
      <c r="B1291" s="13">
        <f>IF(H1291="","",ROW()-4)</f>
        <v/>
      </c>
    </row>
    <row r="1292">
      <c r="A1292" s="13">
        <f>IF(H1292="","",ROW()-4)</f>
        <v/>
      </c>
      <c r="B1292" s="13">
        <f>IF(H1292="","",ROW()-4)</f>
        <v/>
      </c>
    </row>
    <row r="1293">
      <c r="A1293" s="13">
        <f>IF(H1293="","",ROW()-4)</f>
        <v/>
      </c>
      <c r="B1293" s="13">
        <f>IF(H1293="","",ROW()-4)</f>
        <v/>
      </c>
    </row>
    <row r="1294">
      <c r="A1294" s="13">
        <f>IF(H1294="","",ROW()-4)</f>
        <v/>
      </c>
      <c r="B1294" s="13">
        <f>IF(H1294="","",ROW()-4)</f>
        <v/>
      </c>
    </row>
    <row r="1295">
      <c r="A1295" s="13">
        <f>IF(H1295="","",ROW()-4)</f>
        <v/>
      </c>
      <c r="B1295" s="13">
        <f>IF(H1295="","",ROW()-4)</f>
        <v/>
      </c>
    </row>
    <row r="1296">
      <c r="A1296" s="13">
        <f>IF(H1296="","",ROW()-4)</f>
        <v/>
      </c>
      <c r="B1296" s="13">
        <f>IF(H1296="","",ROW()-4)</f>
        <v/>
      </c>
    </row>
    <row r="1297">
      <c r="A1297" s="13">
        <f>IF(H1297="","",ROW()-4)</f>
        <v/>
      </c>
      <c r="B1297" s="13">
        <f>IF(H1297="","",ROW()-4)</f>
        <v/>
      </c>
    </row>
    <row r="1298">
      <c r="A1298" s="13">
        <f>IF(H1298="","",ROW()-4)</f>
        <v/>
      </c>
      <c r="B1298" s="13">
        <f>IF(H1298="","",ROW()-4)</f>
        <v/>
      </c>
    </row>
    <row r="1299">
      <c r="A1299" s="13">
        <f>IF(H1299="","",ROW()-4)</f>
        <v/>
      </c>
      <c r="B1299" s="13">
        <f>IF(H1299="","",ROW()-4)</f>
        <v/>
      </c>
    </row>
    <row r="1300">
      <c r="A1300" s="13">
        <f>IF(H1300="","",ROW()-4)</f>
        <v/>
      </c>
      <c r="B1300" s="13">
        <f>IF(H1300="","",ROW()-4)</f>
        <v/>
      </c>
    </row>
    <row r="1301">
      <c r="A1301" s="13">
        <f>IF(H1301="","",ROW()-4)</f>
        <v/>
      </c>
      <c r="B1301" s="13">
        <f>IF(H1301="","",ROW()-4)</f>
        <v/>
      </c>
    </row>
    <row r="1302">
      <c r="A1302" s="13">
        <f>IF(H1302="","",ROW()-4)</f>
        <v/>
      </c>
      <c r="B1302" s="13">
        <f>IF(H1302="","",ROW()-4)</f>
        <v/>
      </c>
    </row>
    <row r="1303">
      <c r="A1303" s="13">
        <f>IF(H1303="","",ROW()-4)</f>
        <v/>
      </c>
      <c r="B1303" s="13">
        <f>IF(H1303="","",ROW()-4)</f>
        <v/>
      </c>
    </row>
    <row r="1304">
      <c r="A1304" s="13">
        <f>IF(H1304="","",ROW()-4)</f>
        <v/>
      </c>
      <c r="B1304" s="13">
        <f>IF(H1304="","",ROW()-4)</f>
        <v/>
      </c>
    </row>
    <row r="1305">
      <c r="A1305" s="13">
        <f>IF(H1305="","",ROW()-4)</f>
        <v/>
      </c>
      <c r="B1305" s="13">
        <f>IF(H1305="","",ROW()-4)</f>
        <v/>
      </c>
    </row>
    <row r="1306">
      <c r="A1306" s="13">
        <f>IF(H1306="","",ROW()-4)</f>
        <v/>
      </c>
      <c r="B1306" s="13">
        <f>IF(H1306="","",ROW()-4)</f>
        <v/>
      </c>
    </row>
    <row r="1307">
      <c r="A1307" s="13">
        <f>IF(H1307="","",ROW()-4)</f>
        <v/>
      </c>
      <c r="B1307" s="13">
        <f>IF(H1307="","",ROW()-4)</f>
        <v/>
      </c>
    </row>
    <row r="1308">
      <c r="A1308" s="13">
        <f>IF(H1308="","",ROW()-4)</f>
        <v/>
      </c>
      <c r="B1308" s="13">
        <f>IF(H1308="","",ROW()-4)</f>
        <v/>
      </c>
    </row>
    <row r="1309">
      <c r="A1309" s="13">
        <f>IF(H1309="","",ROW()-4)</f>
        <v/>
      </c>
      <c r="B1309" s="13">
        <f>IF(H1309="","",ROW()-4)</f>
        <v/>
      </c>
    </row>
    <row r="1310">
      <c r="A1310" s="13">
        <f>IF(H1310="","",ROW()-4)</f>
        <v/>
      </c>
      <c r="B1310" s="13">
        <f>IF(H1310="","",ROW()-4)</f>
        <v/>
      </c>
    </row>
    <row r="1311">
      <c r="A1311" s="13">
        <f>IF(H1311="","",ROW()-4)</f>
        <v/>
      </c>
      <c r="B1311" s="13">
        <f>IF(H1311="","",ROW()-4)</f>
        <v/>
      </c>
    </row>
    <row r="1312">
      <c r="A1312" s="13">
        <f>IF(H1312="","",ROW()-4)</f>
        <v/>
      </c>
      <c r="B1312" s="13">
        <f>IF(H1312="","",ROW()-4)</f>
        <v/>
      </c>
    </row>
    <row r="1313">
      <c r="A1313" s="13">
        <f>IF(H1313="","",ROW()-4)</f>
        <v/>
      </c>
      <c r="B1313" s="13">
        <f>IF(H1313="","",ROW()-4)</f>
        <v/>
      </c>
    </row>
    <row r="1314">
      <c r="A1314" s="13">
        <f>IF(H1314="","",ROW()-4)</f>
        <v/>
      </c>
      <c r="B1314" s="13">
        <f>IF(H1314="","",ROW()-4)</f>
        <v/>
      </c>
    </row>
    <row r="1315">
      <c r="A1315" s="13">
        <f>IF(H1315="","",ROW()-4)</f>
        <v/>
      </c>
      <c r="B1315" s="13">
        <f>IF(H1315="","",ROW()-4)</f>
        <v/>
      </c>
    </row>
    <row r="1316">
      <c r="A1316" s="13">
        <f>IF(H1316="","",ROW()-4)</f>
        <v/>
      </c>
      <c r="B1316" s="13">
        <f>IF(H1316="","",ROW()-4)</f>
        <v/>
      </c>
    </row>
    <row r="1317">
      <c r="A1317" s="13">
        <f>IF(H1317="","",ROW()-4)</f>
        <v/>
      </c>
      <c r="B1317" s="13">
        <f>IF(H1317="","",ROW()-4)</f>
        <v/>
      </c>
    </row>
    <row r="1318">
      <c r="A1318" s="13">
        <f>IF(H1318="","",ROW()-4)</f>
        <v/>
      </c>
      <c r="B1318" s="13">
        <f>IF(H1318="","",ROW()-4)</f>
        <v/>
      </c>
    </row>
    <row r="1319">
      <c r="A1319" s="13">
        <f>IF(H1319="","",ROW()-4)</f>
        <v/>
      </c>
      <c r="B1319" s="13">
        <f>IF(H1319="","",ROW()-4)</f>
        <v/>
      </c>
    </row>
    <row r="1320">
      <c r="A1320" s="13">
        <f>IF(H1320="","",ROW()-4)</f>
        <v/>
      </c>
      <c r="B1320" s="13">
        <f>IF(H1320="","",ROW()-4)</f>
        <v/>
      </c>
    </row>
    <row r="1321">
      <c r="A1321" s="13">
        <f>IF(H1321="","",ROW()-4)</f>
        <v/>
      </c>
      <c r="B1321" s="13">
        <f>IF(H1321="","",ROW()-4)</f>
        <v/>
      </c>
    </row>
    <row r="1322">
      <c r="A1322" s="13">
        <f>IF(H1322="","",ROW()-4)</f>
        <v/>
      </c>
      <c r="B1322" s="13">
        <f>IF(H1322="","",ROW()-4)</f>
        <v/>
      </c>
    </row>
    <row r="1323">
      <c r="A1323" s="13">
        <f>IF(H1323="","",ROW()-4)</f>
        <v/>
      </c>
      <c r="B1323" s="13">
        <f>IF(H1323="","",ROW()-4)</f>
        <v/>
      </c>
    </row>
    <row r="1324">
      <c r="A1324" s="13">
        <f>IF(H1324="","",ROW()-4)</f>
        <v/>
      </c>
      <c r="B1324" s="13">
        <f>IF(H1324="","",ROW()-4)</f>
        <v/>
      </c>
    </row>
    <row r="1325">
      <c r="A1325" s="13">
        <f>IF(H1325="","",ROW()-4)</f>
        <v/>
      </c>
      <c r="B1325" s="13">
        <f>IF(H1325="","",ROW()-4)</f>
        <v/>
      </c>
    </row>
    <row r="1326">
      <c r="A1326" s="13">
        <f>IF(H1326="","",ROW()-4)</f>
        <v/>
      </c>
      <c r="B1326" s="13">
        <f>IF(H1326="","",ROW()-4)</f>
        <v/>
      </c>
    </row>
    <row r="1327">
      <c r="A1327" s="13">
        <f>IF(H1327="","",ROW()-4)</f>
        <v/>
      </c>
      <c r="B1327" s="13">
        <f>IF(H1327="","",ROW()-4)</f>
        <v/>
      </c>
    </row>
    <row r="1328">
      <c r="A1328" s="13">
        <f>IF(H1328="","",ROW()-4)</f>
        <v/>
      </c>
      <c r="B1328" s="13">
        <f>IF(H1328="","",ROW()-4)</f>
        <v/>
      </c>
    </row>
    <row r="1329">
      <c r="A1329" s="13">
        <f>IF(H1329="","",ROW()-4)</f>
        <v/>
      </c>
      <c r="B1329" s="13">
        <f>IF(H1329="","",ROW()-4)</f>
        <v/>
      </c>
    </row>
    <row r="1330">
      <c r="A1330" s="13">
        <f>IF(H1330="","",ROW()-4)</f>
        <v/>
      </c>
      <c r="B1330" s="13">
        <f>IF(H1330="","",ROW()-4)</f>
        <v/>
      </c>
    </row>
    <row r="1331">
      <c r="A1331" s="13">
        <f>IF(H1331="","",ROW()-4)</f>
        <v/>
      </c>
      <c r="B1331" s="13">
        <f>IF(H1331="","",ROW()-4)</f>
        <v/>
      </c>
    </row>
    <row r="1332">
      <c r="A1332" s="13">
        <f>IF(H1332="","",ROW()-4)</f>
        <v/>
      </c>
      <c r="B1332" s="13">
        <f>IF(H1332="","",ROW()-4)</f>
        <v/>
      </c>
    </row>
    <row r="1333">
      <c r="A1333" s="13">
        <f>IF(H1333="","",ROW()-4)</f>
        <v/>
      </c>
      <c r="B1333" s="13">
        <f>IF(H1333="","",ROW()-4)</f>
        <v/>
      </c>
    </row>
    <row r="1334">
      <c r="A1334" s="13">
        <f>IF(H1334="","",ROW()-4)</f>
        <v/>
      </c>
      <c r="B1334" s="13">
        <f>IF(H1334="","",ROW()-4)</f>
        <v/>
      </c>
    </row>
    <row r="1335">
      <c r="A1335" s="13">
        <f>IF(H1335="","",ROW()-4)</f>
        <v/>
      </c>
      <c r="B1335" s="13">
        <f>IF(H1335="","",ROW()-4)</f>
        <v/>
      </c>
    </row>
    <row r="1336">
      <c r="A1336" s="13">
        <f>IF(H1336="","",ROW()-4)</f>
        <v/>
      </c>
      <c r="B1336" s="13">
        <f>IF(H1336="","",ROW()-4)</f>
        <v/>
      </c>
    </row>
    <row r="1337">
      <c r="A1337" s="13">
        <f>IF(H1337="","",ROW()-4)</f>
        <v/>
      </c>
      <c r="B1337" s="13">
        <f>IF(H1337="","",ROW()-4)</f>
        <v/>
      </c>
    </row>
    <row r="1338">
      <c r="A1338" s="13">
        <f>IF(H1338="","",ROW()-4)</f>
        <v/>
      </c>
      <c r="B1338" s="13">
        <f>IF(H1338="","",ROW()-4)</f>
        <v/>
      </c>
    </row>
    <row r="1339">
      <c r="A1339" s="13">
        <f>IF(H1339="","",ROW()-4)</f>
        <v/>
      </c>
      <c r="B1339" s="13">
        <f>IF(H1339="","",ROW()-4)</f>
        <v/>
      </c>
    </row>
    <row r="1340">
      <c r="A1340" s="13">
        <f>IF(H1340="","",ROW()-4)</f>
        <v/>
      </c>
      <c r="B1340" s="13">
        <f>IF(H1340="","",ROW()-4)</f>
        <v/>
      </c>
    </row>
    <row r="1341">
      <c r="A1341" s="13">
        <f>IF(H1341="","",ROW()-4)</f>
        <v/>
      </c>
      <c r="B1341" s="13">
        <f>IF(H1341="","",ROW()-4)</f>
        <v/>
      </c>
    </row>
    <row r="1342">
      <c r="A1342" s="13">
        <f>IF(H1342="","",ROW()-4)</f>
        <v/>
      </c>
      <c r="B1342" s="13">
        <f>IF(H1342="","",ROW()-4)</f>
        <v/>
      </c>
    </row>
    <row r="1343">
      <c r="A1343" s="13">
        <f>IF(H1343="","",ROW()-4)</f>
        <v/>
      </c>
      <c r="B1343" s="13">
        <f>IF(H1343="","",ROW()-4)</f>
        <v/>
      </c>
    </row>
    <row r="1344">
      <c r="A1344" s="13">
        <f>IF(H1344="","",ROW()-4)</f>
        <v/>
      </c>
      <c r="B1344" s="13">
        <f>IF(H1344="","",ROW()-4)</f>
        <v/>
      </c>
    </row>
    <row r="1345">
      <c r="A1345" s="13">
        <f>IF(H1345="","",ROW()-4)</f>
        <v/>
      </c>
      <c r="B1345" s="13">
        <f>IF(H1345="","",ROW()-4)</f>
        <v/>
      </c>
    </row>
    <row r="1346">
      <c r="A1346" s="13">
        <f>IF(H1346="","",ROW()-4)</f>
        <v/>
      </c>
      <c r="B1346" s="13">
        <f>IF(H1346="","",ROW()-4)</f>
        <v/>
      </c>
    </row>
    <row r="1347">
      <c r="A1347" s="13">
        <f>IF(H1347="","",ROW()-4)</f>
        <v/>
      </c>
      <c r="B1347" s="13">
        <f>IF(H1347="","",ROW()-4)</f>
        <v/>
      </c>
    </row>
    <row r="1348">
      <c r="A1348" s="13">
        <f>IF(H1348="","",ROW()-4)</f>
        <v/>
      </c>
      <c r="B1348" s="13">
        <f>IF(H1348="","",ROW()-4)</f>
        <v/>
      </c>
    </row>
    <row r="1349">
      <c r="A1349" s="13">
        <f>IF(H1349="","",ROW()-4)</f>
        <v/>
      </c>
      <c r="B1349" s="13">
        <f>IF(H1349="","",ROW()-4)</f>
        <v/>
      </c>
    </row>
    <row r="1350">
      <c r="A1350" s="13">
        <f>IF(H1350="","",ROW()-4)</f>
        <v/>
      </c>
      <c r="B1350" s="13">
        <f>IF(H1350="","",ROW()-4)</f>
        <v/>
      </c>
    </row>
    <row r="1351">
      <c r="A1351" s="13">
        <f>IF(H1351="","",ROW()-4)</f>
        <v/>
      </c>
      <c r="B1351" s="13">
        <f>IF(H1351="","",ROW()-4)</f>
        <v/>
      </c>
    </row>
    <row r="1352">
      <c r="A1352" s="13">
        <f>IF(H1352="","",ROW()-4)</f>
        <v/>
      </c>
      <c r="B1352" s="13">
        <f>IF(H1352="","",ROW()-4)</f>
        <v/>
      </c>
    </row>
    <row r="1353">
      <c r="A1353" s="13">
        <f>IF(H1353="","",ROW()-4)</f>
        <v/>
      </c>
      <c r="B1353" s="13">
        <f>IF(H1353="","",ROW()-4)</f>
        <v/>
      </c>
    </row>
    <row r="1354">
      <c r="A1354" s="13">
        <f>IF(H1354="","",ROW()-4)</f>
        <v/>
      </c>
      <c r="B1354" s="13">
        <f>IF(H1354="","",ROW()-4)</f>
        <v/>
      </c>
    </row>
    <row r="1355">
      <c r="A1355" s="13">
        <f>IF(H1355="","",ROW()-4)</f>
        <v/>
      </c>
      <c r="B1355" s="13">
        <f>IF(H1355="","",ROW()-4)</f>
        <v/>
      </c>
    </row>
    <row r="1356">
      <c r="A1356" s="13">
        <f>IF(H1356="","",ROW()-4)</f>
        <v/>
      </c>
      <c r="B1356" s="13">
        <f>IF(H1356="","",ROW()-4)</f>
        <v/>
      </c>
    </row>
    <row r="1357">
      <c r="A1357" s="13">
        <f>IF(H1357="","",ROW()-4)</f>
        <v/>
      </c>
      <c r="B1357" s="13">
        <f>IF(H1357="","",ROW()-4)</f>
        <v/>
      </c>
    </row>
    <row r="1358">
      <c r="A1358" s="13">
        <f>IF(H1358="","",ROW()-4)</f>
        <v/>
      </c>
      <c r="B1358" s="13">
        <f>IF(H1358="","",ROW()-4)</f>
        <v/>
      </c>
    </row>
    <row r="1359">
      <c r="A1359" s="13">
        <f>IF(H1359="","",ROW()-4)</f>
        <v/>
      </c>
      <c r="B1359" s="13">
        <f>IF(H1359="","",ROW()-4)</f>
        <v/>
      </c>
    </row>
    <row r="1360">
      <c r="A1360" s="13">
        <f>IF(H1360="","",ROW()-4)</f>
        <v/>
      </c>
      <c r="B1360" s="13">
        <f>IF(H1360="","",ROW()-4)</f>
        <v/>
      </c>
    </row>
    <row r="1361">
      <c r="A1361" s="13">
        <f>IF(H1361="","",ROW()-4)</f>
        <v/>
      </c>
      <c r="B1361" s="13">
        <f>IF(H1361="","",ROW()-4)</f>
        <v/>
      </c>
    </row>
    <row r="1362">
      <c r="A1362" s="13">
        <f>IF(H1362="","",ROW()-4)</f>
        <v/>
      </c>
      <c r="B1362" s="13">
        <f>IF(H1362="","",ROW()-4)</f>
        <v/>
      </c>
    </row>
    <row r="1363">
      <c r="A1363" s="13">
        <f>IF(H1363="","",ROW()-4)</f>
        <v/>
      </c>
      <c r="B1363" s="13">
        <f>IF(H1363="","",ROW()-4)</f>
        <v/>
      </c>
    </row>
    <row r="1364">
      <c r="A1364" s="13">
        <f>IF(H1364="","",ROW()-4)</f>
        <v/>
      </c>
      <c r="B1364" s="13">
        <f>IF(H1364="","",ROW()-4)</f>
        <v/>
      </c>
    </row>
    <row r="1365">
      <c r="A1365" s="13">
        <f>IF(H1365="","",ROW()-4)</f>
        <v/>
      </c>
      <c r="B1365" s="13">
        <f>IF(H1365="","",ROW()-4)</f>
        <v/>
      </c>
    </row>
    <row r="1366">
      <c r="A1366" s="13">
        <f>IF(H1366="","",ROW()-4)</f>
        <v/>
      </c>
      <c r="B1366" s="13">
        <f>IF(H1366="","",ROW()-4)</f>
        <v/>
      </c>
    </row>
    <row r="1367">
      <c r="A1367" s="13">
        <f>IF(H1367="","",ROW()-4)</f>
        <v/>
      </c>
      <c r="B1367" s="13">
        <f>IF(H1367="","",ROW()-4)</f>
        <v/>
      </c>
    </row>
    <row r="1368">
      <c r="A1368" s="13">
        <f>IF(H1368="","",ROW()-4)</f>
        <v/>
      </c>
      <c r="B1368" s="13">
        <f>IF(H1368="","",ROW()-4)</f>
        <v/>
      </c>
    </row>
    <row r="1369">
      <c r="A1369" s="13">
        <f>IF(H1369="","",ROW()-4)</f>
        <v/>
      </c>
      <c r="B1369" s="13">
        <f>IF(H1369="","",ROW()-4)</f>
        <v/>
      </c>
    </row>
    <row r="1370">
      <c r="A1370" s="13">
        <f>IF(H1370="","",ROW()-4)</f>
        <v/>
      </c>
      <c r="B1370" s="13">
        <f>IF(H1370="","",ROW()-4)</f>
        <v/>
      </c>
    </row>
    <row r="1371">
      <c r="A1371" s="13">
        <f>IF(H1371="","",ROW()-4)</f>
        <v/>
      </c>
      <c r="B1371" s="13">
        <f>IF(H1371="","",ROW()-4)</f>
        <v/>
      </c>
    </row>
    <row r="1372">
      <c r="A1372" s="13">
        <f>IF(H1372="","",ROW()-4)</f>
        <v/>
      </c>
      <c r="B1372" s="13">
        <f>IF(H1372="","",ROW()-4)</f>
        <v/>
      </c>
    </row>
    <row r="1373">
      <c r="A1373" s="13">
        <f>IF(H1373="","",ROW()-4)</f>
        <v/>
      </c>
      <c r="B1373" s="13">
        <f>IF(H1373="","",ROW()-4)</f>
        <v/>
      </c>
    </row>
    <row r="1374">
      <c r="A1374" s="13">
        <f>IF(H1374="","",ROW()-4)</f>
        <v/>
      </c>
      <c r="B1374" s="13">
        <f>IF(H1374="","",ROW()-4)</f>
        <v/>
      </c>
    </row>
    <row r="1375">
      <c r="A1375" s="13">
        <f>IF(H1375="","",ROW()-4)</f>
        <v/>
      </c>
      <c r="B1375" s="13">
        <f>IF(H1375="","",ROW()-4)</f>
        <v/>
      </c>
    </row>
    <row r="1376">
      <c r="A1376" s="13">
        <f>IF(H1376="","",ROW()-4)</f>
        <v/>
      </c>
      <c r="B1376" s="13">
        <f>IF(H1376="","",ROW()-4)</f>
        <v/>
      </c>
    </row>
    <row r="1377">
      <c r="A1377" s="13">
        <f>IF(H1377="","",ROW()-4)</f>
        <v/>
      </c>
      <c r="B1377" s="13">
        <f>IF(H1377="","",ROW()-4)</f>
        <v/>
      </c>
    </row>
    <row r="1378">
      <c r="A1378" s="13">
        <f>IF(H1378="","",ROW()-4)</f>
        <v/>
      </c>
      <c r="B1378" s="13">
        <f>IF(H1378="","",ROW()-4)</f>
        <v/>
      </c>
    </row>
    <row r="1379">
      <c r="A1379" s="13">
        <f>IF(H1379="","",ROW()-4)</f>
        <v/>
      </c>
      <c r="B1379" s="13">
        <f>IF(H1379="","",ROW()-4)</f>
        <v/>
      </c>
    </row>
    <row r="1380">
      <c r="A1380" s="13">
        <f>IF(H1380="","",ROW()-4)</f>
        <v/>
      </c>
      <c r="B1380" s="13">
        <f>IF(H1380="","",ROW()-4)</f>
        <v/>
      </c>
    </row>
    <row r="1381">
      <c r="A1381" s="13">
        <f>IF(H1381="","",ROW()-4)</f>
        <v/>
      </c>
      <c r="B1381" s="13">
        <f>IF(H1381="","",ROW()-4)</f>
        <v/>
      </c>
    </row>
    <row r="1382">
      <c r="A1382" s="13">
        <f>IF(H1382="","",ROW()-4)</f>
        <v/>
      </c>
      <c r="B1382" s="13">
        <f>IF(H1382="","",ROW()-4)</f>
        <v/>
      </c>
    </row>
    <row r="1383">
      <c r="A1383" s="13">
        <f>IF(H1383="","",ROW()-4)</f>
        <v/>
      </c>
      <c r="B1383" s="13">
        <f>IF(H1383="","",ROW()-4)</f>
        <v/>
      </c>
    </row>
    <row r="1384">
      <c r="A1384" s="13">
        <f>IF(H1384="","",ROW()-4)</f>
        <v/>
      </c>
      <c r="B1384" s="13">
        <f>IF(H1384="","",ROW()-4)</f>
        <v/>
      </c>
    </row>
    <row r="1385">
      <c r="A1385" s="13">
        <f>IF(H1385="","",ROW()-4)</f>
        <v/>
      </c>
      <c r="B1385" s="13">
        <f>IF(H1385="","",ROW()-4)</f>
        <v/>
      </c>
    </row>
    <row r="1386">
      <c r="A1386" s="13">
        <f>IF(H1386="","",ROW()-4)</f>
        <v/>
      </c>
      <c r="B1386" s="13">
        <f>IF(H1386="","",ROW()-4)</f>
        <v/>
      </c>
    </row>
    <row r="1387">
      <c r="A1387" s="13">
        <f>IF(H1387="","",ROW()-4)</f>
        <v/>
      </c>
      <c r="B1387" s="13">
        <f>IF(H1387="","",ROW()-4)</f>
        <v/>
      </c>
    </row>
    <row r="1388">
      <c r="A1388" s="13">
        <f>IF(H1388="","",ROW()-4)</f>
        <v/>
      </c>
      <c r="B1388" s="13">
        <f>IF(H1388="","",ROW()-4)</f>
        <v/>
      </c>
    </row>
    <row r="1389">
      <c r="A1389" s="13">
        <f>IF(H1389="","",ROW()-4)</f>
        <v/>
      </c>
      <c r="B1389" s="13">
        <f>IF(H1389="","",ROW()-4)</f>
        <v/>
      </c>
    </row>
    <row r="1390">
      <c r="A1390" s="13">
        <f>IF(H1390="","",ROW()-4)</f>
        <v/>
      </c>
      <c r="B1390" s="13">
        <f>IF(H1390="","",ROW()-4)</f>
        <v/>
      </c>
    </row>
    <row r="1391">
      <c r="A1391" s="13">
        <f>IF(H1391="","",ROW()-4)</f>
        <v/>
      </c>
      <c r="B1391" s="13">
        <f>IF(H1391="","",ROW()-4)</f>
        <v/>
      </c>
    </row>
    <row r="1392">
      <c r="A1392" s="13">
        <f>IF(H1392="","",ROW()-4)</f>
        <v/>
      </c>
      <c r="B1392" s="13">
        <f>IF(H1392="","",ROW()-4)</f>
        <v/>
      </c>
    </row>
    <row r="1393">
      <c r="A1393" s="13">
        <f>IF(H1393="","",ROW()-4)</f>
        <v/>
      </c>
      <c r="B1393" s="13">
        <f>IF(H1393="","",ROW()-4)</f>
        <v/>
      </c>
    </row>
    <row r="1394">
      <c r="A1394" s="13">
        <f>IF(H1394="","",ROW()-4)</f>
        <v/>
      </c>
      <c r="B1394" s="13">
        <f>IF(H1394="","",ROW()-4)</f>
        <v/>
      </c>
    </row>
    <row r="1395">
      <c r="A1395" s="13">
        <f>IF(H1395="","",ROW()-4)</f>
        <v/>
      </c>
      <c r="B1395" s="13">
        <f>IF(H1395="","",ROW()-4)</f>
        <v/>
      </c>
    </row>
    <row r="1396">
      <c r="A1396" s="13">
        <f>IF(H1396="","",ROW()-4)</f>
        <v/>
      </c>
      <c r="B1396" s="13">
        <f>IF(H1396="","",ROW()-4)</f>
        <v/>
      </c>
    </row>
    <row r="1397">
      <c r="A1397" s="13">
        <f>IF(H1397="","",ROW()-4)</f>
        <v/>
      </c>
      <c r="B1397" s="13">
        <f>IF(H1397="","",ROW()-4)</f>
        <v/>
      </c>
    </row>
    <row r="1398">
      <c r="A1398" s="13">
        <f>IF(H1398="","",ROW()-4)</f>
        <v/>
      </c>
      <c r="B1398" s="13">
        <f>IF(H1398="","",ROW()-4)</f>
        <v/>
      </c>
    </row>
    <row r="1399">
      <c r="A1399" s="13">
        <f>IF(H1399="","",ROW()-4)</f>
        <v/>
      </c>
      <c r="B1399" s="13">
        <f>IF(H1399="","",ROW()-4)</f>
        <v/>
      </c>
    </row>
    <row r="1400">
      <c r="A1400" s="13">
        <f>IF(H1400="","",ROW()-4)</f>
        <v/>
      </c>
      <c r="B1400" s="13">
        <f>IF(H1400="","",ROW()-4)</f>
        <v/>
      </c>
    </row>
    <row r="1401">
      <c r="A1401" s="13">
        <f>IF(H1401="","",ROW()-4)</f>
        <v/>
      </c>
      <c r="B1401" s="13">
        <f>IF(H1401="","",ROW()-4)</f>
        <v/>
      </c>
    </row>
    <row r="1402">
      <c r="A1402" s="13">
        <f>IF(H1402="","",ROW()-4)</f>
        <v/>
      </c>
      <c r="B1402" s="13">
        <f>IF(H1402="","",ROW()-4)</f>
        <v/>
      </c>
    </row>
    <row r="1403">
      <c r="A1403" s="13">
        <f>IF(H1403="","",ROW()-4)</f>
        <v/>
      </c>
      <c r="B1403" s="13">
        <f>IF(H1403="","",ROW()-4)</f>
        <v/>
      </c>
    </row>
    <row r="1404">
      <c r="A1404" s="13">
        <f>IF(H1404="","",ROW()-4)</f>
        <v/>
      </c>
      <c r="B1404" s="13">
        <f>IF(H1404="","",ROW()-4)</f>
        <v/>
      </c>
    </row>
    <row r="1405">
      <c r="A1405" s="13">
        <f>IF(H1405="","",ROW()-4)</f>
        <v/>
      </c>
      <c r="B1405" s="13">
        <f>IF(H1405="","",ROW()-4)</f>
        <v/>
      </c>
    </row>
    <row r="1406">
      <c r="A1406" s="13">
        <f>IF(H1406="","",ROW()-4)</f>
        <v/>
      </c>
      <c r="B1406" s="13">
        <f>IF(H1406="","",ROW()-4)</f>
        <v/>
      </c>
    </row>
    <row r="1407">
      <c r="A1407" s="13">
        <f>IF(H1407="","",ROW()-4)</f>
        <v/>
      </c>
      <c r="B1407" s="13">
        <f>IF(H1407="","",ROW()-4)</f>
        <v/>
      </c>
    </row>
    <row r="1408">
      <c r="A1408" s="13">
        <f>IF(H1408="","",ROW()-4)</f>
        <v/>
      </c>
      <c r="B1408" s="13">
        <f>IF(H1408="","",ROW()-4)</f>
        <v/>
      </c>
    </row>
    <row r="1409">
      <c r="A1409" s="13">
        <f>IF(H1409="","",ROW()-4)</f>
        <v/>
      </c>
      <c r="B1409" s="13">
        <f>IF(H1409="","",ROW()-4)</f>
        <v/>
      </c>
    </row>
    <row r="1410">
      <c r="A1410" s="13">
        <f>IF(H1410="","",ROW()-4)</f>
        <v/>
      </c>
      <c r="B1410" s="13">
        <f>IF(H1410="","",ROW()-4)</f>
        <v/>
      </c>
    </row>
    <row r="1411">
      <c r="A1411" s="13">
        <f>IF(H1411="","",ROW()-4)</f>
        <v/>
      </c>
      <c r="B1411" s="13">
        <f>IF(H1411="","",ROW()-4)</f>
        <v/>
      </c>
    </row>
    <row r="1412">
      <c r="A1412" s="13">
        <f>IF(H1412="","",ROW()-4)</f>
        <v/>
      </c>
      <c r="B1412" s="13">
        <f>IF(H1412="","",ROW()-4)</f>
        <v/>
      </c>
    </row>
    <row r="1413">
      <c r="A1413" s="13">
        <f>IF(H1413="","",ROW()-4)</f>
        <v/>
      </c>
      <c r="B1413" s="13">
        <f>IF(H1413="","",ROW()-4)</f>
        <v/>
      </c>
    </row>
    <row r="1414">
      <c r="A1414" s="13">
        <f>IF(H1414="","",ROW()-4)</f>
        <v/>
      </c>
      <c r="B1414" s="13">
        <f>IF(H1414="","",ROW()-4)</f>
        <v/>
      </c>
    </row>
    <row r="1415">
      <c r="A1415" s="13">
        <f>IF(H1415="","",ROW()-4)</f>
        <v/>
      </c>
      <c r="B1415" s="13">
        <f>IF(H1415="","",ROW()-4)</f>
        <v/>
      </c>
    </row>
    <row r="1416">
      <c r="A1416" s="13">
        <f>IF(H1416="","",ROW()-4)</f>
        <v/>
      </c>
      <c r="B1416" s="13">
        <f>IF(H1416="","",ROW()-4)</f>
        <v/>
      </c>
    </row>
    <row r="1417">
      <c r="A1417" s="13">
        <f>IF(H1417="","",ROW()-4)</f>
        <v/>
      </c>
      <c r="B1417" s="13">
        <f>IF(H1417="","",ROW()-4)</f>
        <v/>
      </c>
    </row>
    <row r="1418">
      <c r="A1418" s="13">
        <f>IF(H1418="","",ROW()-4)</f>
        <v/>
      </c>
      <c r="B1418" s="13">
        <f>IF(H1418="","",ROW()-4)</f>
        <v/>
      </c>
    </row>
    <row r="1419">
      <c r="A1419" s="13">
        <f>IF(H1419="","",ROW()-4)</f>
        <v/>
      </c>
      <c r="B1419" s="13">
        <f>IF(H1419="","",ROW()-4)</f>
        <v/>
      </c>
    </row>
    <row r="1420">
      <c r="A1420" s="13">
        <f>IF(H1420="","",ROW()-4)</f>
        <v/>
      </c>
      <c r="B1420" s="13">
        <f>IF(H1420="","",ROW()-4)</f>
        <v/>
      </c>
    </row>
    <row r="1421">
      <c r="A1421" s="13">
        <f>IF(H1421="","",ROW()-4)</f>
        <v/>
      </c>
      <c r="B1421" s="13">
        <f>IF(H1421="","",ROW()-4)</f>
        <v/>
      </c>
    </row>
    <row r="1422">
      <c r="A1422" s="13">
        <f>IF(H1422="","",ROW()-4)</f>
        <v/>
      </c>
      <c r="B1422" s="13">
        <f>IF(H1422="","",ROW()-4)</f>
        <v/>
      </c>
    </row>
    <row r="1423">
      <c r="A1423" s="13">
        <f>IF(H1423="","",ROW()-4)</f>
        <v/>
      </c>
      <c r="B1423" s="13">
        <f>IF(H1423="","",ROW()-4)</f>
        <v/>
      </c>
    </row>
    <row r="1424">
      <c r="A1424" s="13">
        <f>IF(H1424="","",ROW()-4)</f>
        <v/>
      </c>
      <c r="B1424" s="13">
        <f>IF(H1424="","",ROW()-4)</f>
        <v/>
      </c>
    </row>
    <row r="1425">
      <c r="A1425" s="13">
        <f>IF(H1425="","",ROW()-4)</f>
        <v/>
      </c>
      <c r="B1425" s="13">
        <f>IF(H1425="","",ROW()-4)</f>
        <v/>
      </c>
    </row>
    <row r="1426">
      <c r="A1426" s="13">
        <f>IF(H1426="","",ROW()-4)</f>
        <v/>
      </c>
      <c r="B1426" s="13">
        <f>IF(H1426="","",ROW()-4)</f>
        <v/>
      </c>
    </row>
    <row r="1427">
      <c r="A1427" s="13">
        <f>IF(H1427="","",ROW()-4)</f>
        <v/>
      </c>
      <c r="B1427" s="13">
        <f>IF(H1427="","",ROW()-4)</f>
        <v/>
      </c>
    </row>
    <row r="1428">
      <c r="A1428" s="13">
        <f>IF(H1428="","",ROW()-4)</f>
        <v/>
      </c>
      <c r="B1428" s="13">
        <f>IF(H1428="","",ROW()-4)</f>
        <v/>
      </c>
    </row>
    <row r="1429">
      <c r="A1429" s="13">
        <f>IF(H1429="","",ROW()-4)</f>
        <v/>
      </c>
      <c r="B1429" s="13">
        <f>IF(H1429="","",ROW()-4)</f>
        <v/>
      </c>
    </row>
    <row r="1430">
      <c r="A1430" s="13">
        <f>IF(H1430="","",ROW()-4)</f>
        <v/>
      </c>
      <c r="B1430" s="13">
        <f>IF(H1430="","",ROW()-4)</f>
        <v/>
      </c>
    </row>
    <row r="1431">
      <c r="A1431" s="13">
        <f>IF(H1431="","",ROW()-4)</f>
        <v/>
      </c>
      <c r="B1431" s="13">
        <f>IF(H1431="","",ROW()-4)</f>
        <v/>
      </c>
    </row>
    <row r="1432">
      <c r="A1432" s="13">
        <f>IF(H1432="","",ROW()-4)</f>
        <v/>
      </c>
      <c r="B1432" s="13">
        <f>IF(H1432="","",ROW()-4)</f>
        <v/>
      </c>
    </row>
    <row r="1433">
      <c r="A1433" s="13">
        <f>IF(H1433="","",ROW()-4)</f>
        <v/>
      </c>
      <c r="B1433" s="13">
        <f>IF(H1433="","",ROW()-4)</f>
        <v/>
      </c>
    </row>
    <row r="1434">
      <c r="A1434" s="13">
        <f>IF(H1434="","",ROW()-4)</f>
        <v/>
      </c>
      <c r="B1434" s="13">
        <f>IF(H1434="","",ROW()-4)</f>
        <v/>
      </c>
    </row>
    <row r="1435">
      <c r="A1435" s="13">
        <f>IF(H1435="","",ROW()-4)</f>
        <v/>
      </c>
      <c r="B1435" s="13">
        <f>IF(H1435="","",ROW()-4)</f>
        <v/>
      </c>
    </row>
    <row r="1436">
      <c r="A1436" s="13">
        <f>IF(H1436="","",ROW()-4)</f>
        <v/>
      </c>
      <c r="B1436" s="13">
        <f>IF(H1436="","",ROW()-4)</f>
        <v/>
      </c>
    </row>
    <row r="1437">
      <c r="A1437" s="13">
        <f>IF(H1437="","",ROW()-4)</f>
        <v/>
      </c>
      <c r="B1437" s="13">
        <f>IF(H1437="","",ROW()-4)</f>
        <v/>
      </c>
    </row>
    <row r="1438">
      <c r="A1438" s="13">
        <f>IF(H1438="","",ROW()-4)</f>
        <v/>
      </c>
      <c r="B1438" s="13">
        <f>IF(H1438="","",ROW()-4)</f>
        <v/>
      </c>
    </row>
    <row r="1439">
      <c r="A1439" s="13">
        <f>IF(H1439="","",ROW()-4)</f>
        <v/>
      </c>
      <c r="B1439" s="13">
        <f>IF(H1439="","",ROW()-4)</f>
        <v/>
      </c>
    </row>
    <row r="1440">
      <c r="A1440" s="13">
        <f>IF(H1440="","",ROW()-4)</f>
        <v/>
      </c>
      <c r="B1440" s="13">
        <f>IF(H1440="","",ROW()-4)</f>
        <v/>
      </c>
    </row>
    <row r="1441">
      <c r="A1441" s="13">
        <f>IF(H1441="","",ROW()-4)</f>
        <v/>
      </c>
      <c r="B1441" s="13">
        <f>IF(H1441="","",ROW()-4)</f>
        <v/>
      </c>
    </row>
    <row r="1442">
      <c r="A1442" s="13">
        <f>IF(H1442="","",ROW()-4)</f>
        <v/>
      </c>
      <c r="B1442" s="13">
        <f>IF(H1442="","",ROW()-4)</f>
        <v/>
      </c>
    </row>
    <row r="1443">
      <c r="A1443" s="13">
        <f>IF(H1443="","",ROW()-4)</f>
        <v/>
      </c>
      <c r="B1443" s="13">
        <f>IF(H1443="","",ROW()-4)</f>
        <v/>
      </c>
    </row>
    <row r="1444">
      <c r="A1444" s="13">
        <f>IF(H1444="","",ROW()-4)</f>
        <v/>
      </c>
      <c r="B1444" s="13">
        <f>IF(H1444="","",ROW()-4)</f>
        <v/>
      </c>
    </row>
    <row r="1445">
      <c r="A1445" s="13">
        <f>IF(H1445="","",ROW()-4)</f>
        <v/>
      </c>
      <c r="B1445" s="13">
        <f>IF(H1445="","",ROW()-4)</f>
        <v/>
      </c>
    </row>
    <row r="1446">
      <c r="A1446" s="13">
        <f>IF(H1446="","",ROW()-4)</f>
        <v/>
      </c>
      <c r="B1446" s="13">
        <f>IF(H1446="","",ROW()-4)</f>
        <v/>
      </c>
    </row>
    <row r="1447">
      <c r="A1447" s="13">
        <f>IF(H1447="","",ROW()-4)</f>
        <v/>
      </c>
      <c r="B1447" s="13">
        <f>IF(H1447="","",ROW()-4)</f>
        <v/>
      </c>
    </row>
    <row r="1448">
      <c r="A1448" s="13">
        <f>IF(H1448="","",ROW()-4)</f>
        <v/>
      </c>
      <c r="B1448" s="13">
        <f>IF(H1448="","",ROW()-4)</f>
        <v/>
      </c>
    </row>
    <row r="1449">
      <c r="A1449" s="13">
        <f>IF(H1449="","",ROW()-4)</f>
        <v/>
      </c>
      <c r="B1449" s="13">
        <f>IF(H1449="","",ROW()-4)</f>
        <v/>
      </c>
    </row>
    <row r="1450">
      <c r="A1450" s="13">
        <f>IF(H1450="","",ROW()-4)</f>
        <v/>
      </c>
      <c r="B1450" s="13">
        <f>IF(H1450="","",ROW()-4)</f>
        <v/>
      </c>
    </row>
    <row r="1451">
      <c r="A1451" s="13">
        <f>IF(H1451="","",ROW()-4)</f>
        <v/>
      </c>
      <c r="B1451" s="13">
        <f>IF(H1451="","",ROW()-4)</f>
        <v/>
      </c>
    </row>
    <row r="1452">
      <c r="A1452" s="13">
        <f>IF(H1452="","",ROW()-4)</f>
        <v/>
      </c>
      <c r="B1452" s="13">
        <f>IF(H1452="","",ROW()-4)</f>
        <v/>
      </c>
    </row>
    <row r="1453">
      <c r="A1453" s="13">
        <f>IF(H1453="","",ROW()-4)</f>
        <v/>
      </c>
      <c r="B1453" s="13">
        <f>IF(H1453="","",ROW()-4)</f>
        <v/>
      </c>
    </row>
    <row r="1454">
      <c r="A1454" s="13">
        <f>IF(H1454="","",ROW()-4)</f>
        <v/>
      </c>
      <c r="B1454" s="13">
        <f>IF(H1454="","",ROW()-4)</f>
        <v/>
      </c>
    </row>
    <row r="1455">
      <c r="A1455" s="13">
        <f>IF(H1455="","",ROW()-4)</f>
        <v/>
      </c>
      <c r="B1455" s="13">
        <f>IF(H1455="","",ROW()-4)</f>
        <v/>
      </c>
    </row>
    <row r="1456">
      <c r="A1456" s="13">
        <f>IF(H1456="","",ROW()-4)</f>
        <v/>
      </c>
      <c r="B1456" s="13">
        <f>IF(H1456="","",ROW()-4)</f>
        <v/>
      </c>
    </row>
    <row r="1457">
      <c r="A1457" s="13">
        <f>IF(H1457="","",ROW()-4)</f>
        <v/>
      </c>
      <c r="B1457" s="13">
        <f>IF(H1457="","",ROW()-4)</f>
        <v/>
      </c>
    </row>
    <row r="1458">
      <c r="A1458" s="13">
        <f>IF(H1458="","",ROW()-4)</f>
        <v/>
      </c>
      <c r="B1458" s="13">
        <f>IF(H1458="","",ROW()-4)</f>
        <v/>
      </c>
    </row>
    <row r="1459">
      <c r="A1459" s="13">
        <f>IF(H1459="","",ROW()-4)</f>
        <v/>
      </c>
      <c r="B1459" s="13">
        <f>IF(H1459="","",ROW()-4)</f>
        <v/>
      </c>
    </row>
    <row r="1460">
      <c r="A1460" s="13">
        <f>IF(H1460="","",ROW()-4)</f>
        <v/>
      </c>
      <c r="B1460" s="13">
        <f>IF(H1460="","",ROW()-4)</f>
        <v/>
      </c>
    </row>
    <row r="1461">
      <c r="A1461" s="13">
        <f>IF(H1461="","",ROW()-4)</f>
        <v/>
      </c>
      <c r="B1461" s="13">
        <f>IF(H1461="","",ROW()-4)</f>
        <v/>
      </c>
    </row>
    <row r="1462">
      <c r="A1462" s="13">
        <f>IF(H1462="","",ROW()-4)</f>
        <v/>
      </c>
      <c r="B1462" s="13">
        <f>IF(H1462="","",ROW()-4)</f>
        <v/>
      </c>
    </row>
    <row r="1463">
      <c r="A1463" s="13">
        <f>IF(H1463="","",ROW()-4)</f>
        <v/>
      </c>
      <c r="B1463" s="13">
        <f>IF(H1463="","",ROW()-4)</f>
        <v/>
      </c>
    </row>
    <row r="1464">
      <c r="A1464" s="13">
        <f>IF(H1464="","",ROW()-4)</f>
        <v/>
      </c>
      <c r="B1464" s="13">
        <f>IF(H1464="","",ROW()-4)</f>
        <v/>
      </c>
    </row>
    <row r="1465">
      <c r="A1465" s="13">
        <f>IF(H1465="","",ROW()-4)</f>
        <v/>
      </c>
      <c r="B1465" s="13">
        <f>IF(H1465="","",ROW()-4)</f>
        <v/>
      </c>
    </row>
    <row r="1466">
      <c r="A1466" s="13">
        <f>IF(H1466="","",ROW()-4)</f>
        <v/>
      </c>
      <c r="B1466" s="13">
        <f>IF(H1466="","",ROW()-4)</f>
        <v/>
      </c>
    </row>
    <row r="1467">
      <c r="A1467" s="13">
        <f>IF(H1467="","",ROW()-4)</f>
        <v/>
      </c>
      <c r="B1467" s="13">
        <f>IF(H1467="","",ROW()-4)</f>
        <v/>
      </c>
    </row>
    <row r="1468">
      <c r="A1468" s="13">
        <f>IF(H1468="","",ROW()-4)</f>
        <v/>
      </c>
      <c r="B1468" s="13">
        <f>IF(H1468="","",ROW()-4)</f>
        <v/>
      </c>
    </row>
    <row r="1469">
      <c r="A1469" s="13">
        <f>IF(H1469="","",ROW()-4)</f>
        <v/>
      </c>
      <c r="B1469" s="13">
        <f>IF(H1469="","",ROW()-4)</f>
        <v/>
      </c>
    </row>
    <row r="1470">
      <c r="A1470" s="13">
        <f>IF(H1470="","",ROW()-4)</f>
        <v/>
      </c>
      <c r="B1470" s="13">
        <f>IF(H1470="","",ROW()-4)</f>
        <v/>
      </c>
    </row>
    <row r="1471">
      <c r="A1471" s="13">
        <f>IF(H1471="","",ROW()-4)</f>
        <v/>
      </c>
      <c r="B1471" s="13">
        <f>IF(H1471="","",ROW()-4)</f>
        <v/>
      </c>
    </row>
    <row r="1472">
      <c r="A1472" s="13">
        <f>IF(H1472="","",ROW()-4)</f>
        <v/>
      </c>
      <c r="B1472" s="13">
        <f>IF(H1472="","",ROW()-4)</f>
        <v/>
      </c>
    </row>
    <row r="1473">
      <c r="A1473" s="13">
        <f>IF(H1473="","",ROW()-4)</f>
        <v/>
      </c>
      <c r="B1473" s="13">
        <f>IF(H1473="","",ROW()-4)</f>
        <v/>
      </c>
    </row>
    <row r="1474">
      <c r="A1474" s="13">
        <f>IF(H1474="","",ROW()-4)</f>
        <v/>
      </c>
      <c r="B1474" s="13">
        <f>IF(H1474="","",ROW()-4)</f>
        <v/>
      </c>
    </row>
    <row r="1475">
      <c r="A1475" s="13">
        <f>IF(H1475="","",ROW()-4)</f>
        <v/>
      </c>
      <c r="B1475" s="13">
        <f>IF(H1475="","",ROW()-4)</f>
        <v/>
      </c>
    </row>
    <row r="1476">
      <c r="A1476" s="13">
        <f>IF(H1476="","",ROW()-4)</f>
        <v/>
      </c>
      <c r="B1476" s="13">
        <f>IF(H1476="","",ROW()-4)</f>
        <v/>
      </c>
    </row>
    <row r="1477">
      <c r="A1477" s="13">
        <f>IF(H1477="","",ROW()-4)</f>
        <v/>
      </c>
      <c r="B1477" s="13">
        <f>IF(H1477="","",ROW()-4)</f>
        <v/>
      </c>
    </row>
    <row r="1478">
      <c r="A1478" s="13">
        <f>IF(H1478="","",ROW()-4)</f>
        <v/>
      </c>
      <c r="B1478" s="13">
        <f>IF(H1478="","",ROW()-4)</f>
        <v/>
      </c>
    </row>
    <row r="1479">
      <c r="A1479" s="13">
        <f>IF(H1479="","",ROW()-4)</f>
        <v/>
      </c>
      <c r="B1479" s="13">
        <f>IF(H1479="","",ROW()-4)</f>
        <v/>
      </c>
    </row>
    <row r="1480">
      <c r="A1480" s="13">
        <f>IF(H1480="","",ROW()-4)</f>
        <v/>
      </c>
      <c r="B1480" s="13">
        <f>IF(H1480="","",ROW()-4)</f>
        <v/>
      </c>
    </row>
    <row r="1481">
      <c r="A1481" s="13">
        <f>IF(H1481="","",ROW()-4)</f>
        <v/>
      </c>
      <c r="B1481" s="13">
        <f>IF(H1481="","",ROW()-4)</f>
        <v/>
      </c>
    </row>
    <row r="1482">
      <c r="A1482" s="13">
        <f>IF(H1482="","",ROW()-4)</f>
        <v/>
      </c>
      <c r="B1482" s="13">
        <f>IF(H1482="","",ROW()-4)</f>
        <v/>
      </c>
    </row>
    <row r="1483">
      <c r="A1483" s="13">
        <f>IF(H1483="","",ROW()-4)</f>
        <v/>
      </c>
      <c r="B1483" s="13">
        <f>IF(H1483="","",ROW()-4)</f>
        <v/>
      </c>
    </row>
    <row r="1484">
      <c r="A1484" s="13">
        <f>IF(H1484="","",ROW()-4)</f>
        <v/>
      </c>
      <c r="B1484" s="13">
        <f>IF(H1484="","",ROW()-4)</f>
        <v/>
      </c>
    </row>
    <row r="1485">
      <c r="A1485" s="13">
        <f>IF(H1485="","",ROW()-4)</f>
        <v/>
      </c>
      <c r="B1485" s="13">
        <f>IF(H1485="","",ROW()-4)</f>
        <v/>
      </c>
    </row>
    <row r="1486">
      <c r="A1486" s="13">
        <f>IF(H1486="","",ROW()-4)</f>
        <v/>
      </c>
      <c r="B1486" s="13">
        <f>IF(H1486="","",ROW()-4)</f>
        <v/>
      </c>
    </row>
    <row r="1487">
      <c r="A1487" s="13">
        <f>IF(H1487="","",ROW()-4)</f>
        <v/>
      </c>
      <c r="B1487" s="13">
        <f>IF(H1487="","",ROW()-4)</f>
        <v/>
      </c>
    </row>
    <row r="1488">
      <c r="A1488" s="13">
        <f>IF(H1488="","",ROW()-4)</f>
        <v/>
      </c>
      <c r="B1488" s="13">
        <f>IF(H1488="","",ROW()-4)</f>
        <v/>
      </c>
    </row>
    <row r="1489">
      <c r="A1489" s="13">
        <f>IF(H1489="","",ROW()-4)</f>
        <v/>
      </c>
      <c r="B1489" s="13">
        <f>IF(H1489="","",ROW()-4)</f>
        <v/>
      </c>
    </row>
    <row r="1490">
      <c r="A1490" s="13">
        <f>IF(H1490="","",ROW()-4)</f>
        <v/>
      </c>
      <c r="B1490" s="13">
        <f>IF(H1490="","",ROW()-4)</f>
        <v/>
      </c>
    </row>
    <row r="1491">
      <c r="A1491" s="13">
        <f>IF(H1491="","",ROW()-4)</f>
        <v/>
      </c>
      <c r="B1491" s="13">
        <f>IF(H1491="","",ROW()-4)</f>
        <v/>
      </c>
    </row>
    <row r="1492">
      <c r="A1492" s="13">
        <f>IF(H1492="","",ROW()-4)</f>
        <v/>
      </c>
      <c r="B1492" s="13">
        <f>IF(H1492="","",ROW()-4)</f>
        <v/>
      </c>
    </row>
    <row r="1493">
      <c r="A1493" s="13">
        <f>IF(H1493="","",ROW()-4)</f>
        <v/>
      </c>
      <c r="B1493" s="13">
        <f>IF(H1493="","",ROW()-4)</f>
        <v/>
      </c>
    </row>
    <row r="1494">
      <c r="A1494" s="13">
        <f>IF(H1494="","",ROW()-4)</f>
        <v/>
      </c>
      <c r="B1494" s="13">
        <f>IF(H1494="","",ROW()-4)</f>
        <v/>
      </c>
    </row>
    <row r="1495">
      <c r="A1495" s="13">
        <f>IF(H1495="","",ROW()-4)</f>
        <v/>
      </c>
      <c r="B1495" s="13">
        <f>IF(H1495="","",ROW()-4)</f>
        <v/>
      </c>
    </row>
    <row r="1496">
      <c r="A1496" s="13">
        <f>IF(H1496="","",ROW()-4)</f>
        <v/>
      </c>
      <c r="B1496" s="13">
        <f>IF(H1496="","",ROW()-4)</f>
        <v/>
      </c>
    </row>
    <row r="1497">
      <c r="A1497" s="13">
        <f>IF(H1497="","",ROW()-4)</f>
        <v/>
      </c>
      <c r="B1497" s="13">
        <f>IF(H1497="","",ROW()-4)</f>
        <v/>
      </c>
    </row>
    <row r="1498">
      <c r="A1498" s="13">
        <f>IF(H1498="","",ROW()-4)</f>
        <v/>
      </c>
      <c r="B1498" s="13">
        <f>IF(H1498="","",ROW()-4)</f>
        <v/>
      </c>
    </row>
    <row r="1499">
      <c r="A1499" s="13">
        <f>IF(H1499="","",ROW()-4)</f>
        <v/>
      </c>
      <c r="B1499" s="13">
        <f>IF(H1499="","",ROW()-4)</f>
        <v/>
      </c>
    </row>
    <row r="1500">
      <c r="A1500" s="13">
        <f>IF(H1500="","",ROW()-4)</f>
        <v/>
      </c>
      <c r="B1500" s="13">
        <f>IF(H1500="","",ROW()-4)</f>
        <v/>
      </c>
    </row>
    <row r="1501">
      <c r="A1501" s="13">
        <f>IF(H1501="","",ROW()-4)</f>
        <v/>
      </c>
      <c r="B1501" s="13">
        <f>IF(H1501="","",ROW()-4)</f>
        <v/>
      </c>
    </row>
    <row r="1502">
      <c r="A1502" s="13">
        <f>IF(H1502="","",ROW()-4)</f>
        <v/>
      </c>
      <c r="B1502" s="13">
        <f>IF(H1502="","",ROW()-4)</f>
        <v/>
      </c>
    </row>
    <row r="1503">
      <c r="A1503" s="13">
        <f>IF(H1503="","",ROW()-4)</f>
        <v/>
      </c>
      <c r="B1503" s="13">
        <f>IF(H1503="","",ROW()-4)</f>
        <v/>
      </c>
    </row>
    <row r="1504">
      <c r="A1504" s="13">
        <f>IF(H1504="","",ROW()-4)</f>
        <v/>
      </c>
      <c r="B1504" s="13">
        <f>IF(H1504="","",ROW()-4)</f>
        <v/>
      </c>
    </row>
    <row r="1505">
      <c r="A1505" s="13">
        <f>IF(H1505="","",ROW()-4)</f>
        <v/>
      </c>
      <c r="B1505" s="13">
        <f>IF(H1505="","",ROW()-4)</f>
        <v/>
      </c>
    </row>
    <row r="1506">
      <c r="A1506" s="13">
        <f>IF(H1506="","",ROW()-4)</f>
        <v/>
      </c>
      <c r="B1506" s="13">
        <f>IF(H1506="","",ROW()-4)</f>
        <v/>
      </c>
    </row>
    <row r="1507">
      <c r="A1507" s="13">
        <f>IF(H1507="","",ROW()-4)</f>
        <v/>
      </c>
      <c r="B1507" s="13">
        <f>IF(H1507="","",ROW()-4)</f>
        <v/>
      </c>
    </row>
    <row r="1508">
      <c r="A1508" s="13">
        <f>IF(H1508="","",ROW()-4)</f>
        <v/>
      </c>
      <c r="B1508" s="13">
        <f>IF(H1508="","",ROW()-4)</f>
        <v/>
      </c>
    </row>
    <row r="1509">
      <c r="A1509" s="13">
        <f>IF(H1509="","",ROW()-4)</f>
        <v/>
      </c>
      <c r="B1509" s="13">
        <f>IF(H1509="","",ROW()-4)</f>
        <v/>
      </c>
    </row>
    <row r="1510">
      <c r="A1510" s="13">
        <f>IF(H1510="","",ROW()-4)</f>
        <v/>
      </c>
      <c r="B1510" s="13">
        <f>IF(H1510="","",ROW()-4)</f>
        <v/>
      </c>
    </row>
    <row r="1511">
      <c r="A1511" s="13">
        <f>IF(H1511="","",ROW()-4)</f>
        <v/>
      </c>
      <c r="B1511" s="13">
        <f>IF(H1511="","",ROW()-4)</f>
        <v/>
      </c>
    </row>
    <row r="1512">
      <c r="A1512" s="13">
        <f>IF(H1512="","",ROW()-4)</f>
        <v/>
      </c>
      <c r="B1512" s="13">
        <f>IF(H1512="","",ROW()-4)</f>
        <v/>
      </c>
    </row>
    <row r="1513">
      <c r="A1513" s="13">
        <f>IF(H1513="","",ROW()-4)</f>
        <v/>
      </c>
      <c r="B1513" s="13">
        <f>IF(H1513="","",ROW()-4)</f>
        <v/>
      </c>
    </row>
    <row r="1514">
      <c r="A1514" s="13">
        <f>IF(H1514="","",ROW()-4)</f>
        <v/>
      </c>
      <c r="B1514" s="13">
        <f>IF(H1514="","",ROW()-4)</f>
        <v/>
      </c>
    </row>
    <row r="1515">
      <c r="A1515" s="13">
        <f>IF(H1515="","",ROW()-4)</f>
        <v/>
      </c>
      <c r="B1515" s="13">
        <f>IF(H1515="","",ROW()-4)</f>
        <v/>
      </c>
    </row>
    <row r="1516">
      <c r="A1516" s="13">
        <f>IF(H1516="","",ROW()-4)</f>
        <v/>
      </c>
      <c r="B1516" s="13">
        <f>IF(H1516="","",ROW()-4)</f>
        <v/>
      </c>
    </row>
    <row r="1517">
      <c r="A1517" s="13">
        <f>IF(H1517="","",ROW()-4)</f>
        <v/>
      </c>
      <c r="B1517" s="13">
        <f>IF(H1517="","",ROW()-4)</f>
        <v/>
      </c>
    </row>
    <row r="1518">
      <c r="A1518" s="13">
        <f>IF(H1518="","",ROW()-4)</f>
        <v/>
      </c>
      <c r="B1518" s="13">
        <f>IF(H1518="","",ROW()-4)</f>
        <v/>
      </c>
    </row>
    <row r="1519">
      <c r="A1519" s="13">
        <f>IF(H1519="","",ROW()-4)</f>
        <v/>
      </c>
      <c r="B1519" s="13">
        <f>IF(H1519="","",ROW()-4)</f>
        <v/>
      </c>
    </row>
    <row r="1520">
      <c r="A1520" s="13">
        <f>IF(H1520="","",ROW()-4)</f>
        <v/>
      </c>
      <c r="B1520" s="13">
        <f>IF(H1520="","",ROW()-4)</f>
        <v/>
      </c>
    </row>
    <row r="1521">
      <c r="A1521" s="13">
        <f>IF(H1521="","",ROW()-4)</f>
        <v/>
      </c>
      <c r="B1521" s="13">
        <f>IF(H1521="","",ROW()-4)</f>
        <v/>
      </c>
    </row>
    <row r="1522">
      <c r="A1522" s="13">
        <f>IF(H1522="","",ROW()-4)</f>
        <v/>
      </c>
      <c r="B1522" s="13">
        <f>IF(H1522="","",ROW()-4)</f>
        <v/>
      </c>
    </row>
    <row r="1523">
      <c r="A1523" s="13">
        <f>IF(H1523="","",ROW()-4)</f>
        <v/>
      </c>
      <c r="B1523" s="13">
        <f>IF(H1523="","",ROW()-4)</f>
        <v/>
      </c>
    </row>
    <row r="1524">
      <c r="A1524" s="13">
        <f>IF(H1524="","",ROW()-4)</f>
        <v/>
      </c>
      <c r="B1524" s="13">
        <f>IF(H1524="","",ROW()-4)</f>
        <v/>
      </c>
    </row>
    <row r="1525">
      <c r="A1525" s="13">
        <f>IF(H1525="","",ROW()-4)</f>
        <v/>
      </c>
      <c r="B1525" s="13">
        <f>IF(H1525="","",ROW()-4)</f>
        <v/>
      </c>
    </row>
    <row r="1526">
      <c r="A1526" s="13">
        <f>IF(H1526="","",ROW()-4)</f>
        <v/>
      </c>
      <c r="B1526" s="13">
        <f>IF(H1526="","",ROW()-4)</f>
        <v/>
      </c>
    </row>
    <row r="1527">
      <c r="A1527" s="13">
        <f>IF(H1527="","",ROW()-4)</f>
        <v/>
      </c>
      <c r="B1527" s="13">
        <f>IF(H1527="","",ROW()-4)</f>
        <v/>
      </c>
    </row>
    <row r="1528">
      <c r="A1528" s="13">
        <f>IF(H1528="","",ROW()-4)</f>
        <v/>
      </c>
      <c r="B1528" s="13">
        <f>IF(H1528="","",ROW()-4)</f>
        <v/>
      </c>
    </row>
    <row r="1529">
      <c r="A1529" s="13">
        <f>IF(H1529="","",ROW()-4)</f>
        <v/>
      </c>
      <c r="B1529" s="13">
        <f>IF(H1529="","",ROW()-4)</f>
        <v/>
      </c>
    </row>
    <row r="1530">
      <c r="A1530" s="13">
        <f>IF(H1530="","",ROW()-4)</f>
        <v/>
      </c>
      <c r="B1530" s="13">
        <f>IF(H1530="","",ROW()-4)</f>
        <v/>
      </c>
    </row>
    <row r="1531">
      <c r="A1531" s="13">
        <f>IF(H1531="","",ROW()-4)</f>
        <v/>
      </c>
      <c r="B1531" s="13">
        <f>IF(H1531="","",ROW()-4)</f>
        <v/>
      </c>
    </row>
    <row r="1532">
      <c r="A1532" s="13">
        <f>IF(H1532="","",ROW()-4)</f>
        <v/>
      </c>
      <c r="B1532" s="13">
        <f>IF(H1532="","",ROW()-4)</f>
        <v/>
      </c>
    </row>
    <row r="1533">
      <c r="A1533" s="13">
        <f>IF(H1533="","",ROW()-4)</f>
        <v/>
      </c>
      <c r="B1533" s="13">
        <f>IF(H1533="","",ROW()-4)</f>
        <v/>
      </c>
    </row>
    <row r="1534">
      <c r="A1534" s="13">
        <f>IF(H1534="","",ROW()-4)</f>
        <v/>
      </c>
      <c r="B1534" s="13">
        <f>IF(H1534="","",ROW()-4)</f>
        <v/>
      </c>
    </row>
    <row r="1535">
      <c r="A1535" s="13">
        <f>IF(H1535="","",ROW()-4)</f>
        <v/>
      </c>
      <c r="B1535" s="13">
        <f>IF(H1535="","",ROW()-4)</f>
        <v/>
      </c>
    </row>
    <row r="1536">
      <c r="A1536" s="13">
        <f>IF(H1536="","",ROW()-4)</f>
        <v/>
      </c>
      <c r="B1536" s="13">
        <f>IF(H1536="","",ROW()-4)</f>
        <v/>
      </c>
    </row>
    <row r="1537">
      <c r="A1537" s="13">
        <f>IF(H1537="","",ROW()-4)</f>
        <v/>
      </c>
      <c r="B1537" s="13">
        <f>IF(H1537="","",ROW()-4)</f>
        <v/>
      </c>
    </row>
    <row r="1538">
      <c r="A1538" s="13">
        <f>IF(H1538="","",ROW()-4)</f>
        <v/>
      </c>
      <c r="B1538" s="13">
        <f>IF(H1538="","",ROW()-4)</f>
        <v/>
      </c>
    </row>
    <row r="1539">
      <c r="A1539" s="13">
        <f>IF(H1539="","",ROW()-4)</f>
        <v/>
      </c>
      <c r="B1539" s="13">
        <f>IF(H1539="","",ROW()-4)</f>
        <v/>
      </c>
    </row>
    <row r="1540">
      <c r="A1540" s="13">
        <f>IF(H1540="","",ROW()-4)</f>
        <v/>
      </c>
      <c r="B1540" s="13">
        <f>IF(H1540="","",ROW()-4)</f>
        <v/>
      </c>
    </row>
    <row r="1541">
      <c r="A1541" s="13">
        <f>IF(H1541="","",ROW()-4)</f>
        <v/>
      </c>
      <c r="B1541" s="13">
        <f>IF(H1541="","",ROW()-4)</f>
        <v/>
      </c>
    </row>
    <row r="1542">
      <c r="A1542" s="13">
        <f>IF(H1542="","",ROW()-4)</f>
        <v/>
      </c>
      <c r="B1542" s="13">
        <f>IF(H1542="","",ROW()-4)</f>
        <v/>
      </c>
    </row>
    <row r="1543">
      <c r="A1543" s="13">
        <f>IF(H1543="","",ROW()-4)</f>
        <v/>
      </c>
      <c r="B1543" s="13">
        <f>IF(H1543="","",ROW()-4)</f>
        <v/>
      </c>
    </row>
    <row r="1544">
      <c r="A1544" s="13">
        <f>IF(H1544="","",ROW()-4)</f>
        <v/>
      </c>
      <c r="B1544" s="13">
        <f>IF(H1544="","",ROW()-4)</f>
        <v/>
      </c>
    </row>
    <row r="1545">
      <c r="A1545" s="13">
        <f>IF(H1545="","",ROW()-4)</f>
        <v/>
      </c>
      <c r="B1545" s="13">
        <f>IF(H1545="","",ROW()-4)</f>
        <v/>
      </c>
    </row>
    <row r="1546">
      <c r="A1546" s="13">
        <f>IF(H1546="","",ROW()-4)</f>
        <v/>
      </c>
      <c r="B1546" s="13">
        <f>IF(H1546="","",ROW()-4)</f>
        <v/>
      </c>
    </row>
    <row r="1547">
      <c r="A1547" s="13">
        <f>IF(H1547="","",ROW()-4)</f>
        <v/>
      </c>
      <c r="B1547" s="13">
        <f>IF(H1547="","",ROW()-4)</f>
        <v/>
      </c>
    </row>
    <row r="1548">
      <c r="A1548" s="13">
        <f>IF(H1548="","",ROW()-4)</f>
        <v/>
      </c>
      <c r="B1548" s="13">
        <f>IF(H1548="","",ROW()-4)</f>
        <v/>
      </c>
    </row>
    <row r="1549">
      <c r="A1549" s="13">
        <f>IF(H1549="","",ROW()-4)</f>
        <v/>
      </c>
      <c r="B1549" s="13">
        <f>IF(H1549="","",ROW()-4)</f>
        <v/>
      </c>
    </row>
    <row r="1550">
      <c r="A1550" s="13">
        <f>IF(H1550="","",ROW()-4)</f>
        <v/>
      </c>
      <c r="B1550" s="13">
        <f>IF(H1550="","",ROW()-4)</f>
        <v/>
      </c>
    </row>
    <row r="1551">
      <c r="A1551" s="13">
        <f>IF(H1551="","",ROW()-4)</f>
        <v/>
      </c>
      <c r="B1551" s="13">
        <f>IF(H1551="","",ROW()-4)</f>
        <v/>
      </c>
    </row>
    <row r="1552">
      <c r="A1552" s="13">
        <f>IF(H1552="","",ROW()-4)</f>
        <v/>
      </c>
      <c r="B1552" s="13">
        <f>IF(H1552="","",ROW()-4)</f>
        <v/>
      </c>
    </row>
    <row r="1553">
      <c r="A1553" s="13">
        <f>IF(H1553="","",ROW()-4)</f>
        <v/>
      </c>
      <c r="B1553" s="13">
        <f>IF(H1553="","",ROW()-4)</f>
        <v/>
      </c>
    </row>
    <row r="1554">
      <c r="A1554" s="13">
        <f>IF(H1554="","",ROW()-4)</f>
        <v/>
      </c>
      <c r="B1554" s="13">
        <f>IF(H1554="","",ROW()-4)</f>
        <v/>
      </c>
    </row>
    <row r="1555">
      <c r="A1555" s="13">
        <f>IF(H1555="","",ROW()-4)</f>
        <v/>
      </c>
      <c r="B1555" s="13">
        <f>IF(H1555="","",ROW()-4)</f>
        <v/>
      </c>
    </row>
    <row r="1556">
      <c r="A1556" s="13">
        <f>IF(H1556="","",ROW()-4)</f>
        <v/>
      </c>
      <c r="B1556" s="13">
        <f>IF(H1556="","",ROW()-4)</f>
        <v/>
      </c>
    </row>
    <row r="1557">
      <c r="A1557" s="13">
        <f>IF(H1557="","",ROW()-4)</f>
        <v/>
      </c>
      <c r="B1557" s="13">
        <f>IF(H1557="","",ROW()-4)</f>
        <v/>
      </c>
    </row>
    <row r="1558">
      <c r="A1558" s="13">
        <f>IF(H1558="","",ROW()-4)</f>
        <v/>
      </c>
      <c r="B1558" s="13">
        <f>IF(H1558="","",ROW()-4)</f>
        <v/>
      </c>
    </row>
    <row r="1559">
      <c r="A1559" s="13">
        <f>IF(H1559="","",ROW()-4)</f>
        <v/>
      </c>
      <c r="B1559" s="13">
        <f>IF(H1559="","",ROW()-4)</f>
        <v/>
      </c>
    </row>
    <row r="1560">
      <c r="A1560" s="13">
        <f>IF(H1560="","",ROW()-4)</f>
        <v/>
      </c>
      <c r="B1560" s="13">
        <f>IF(H1560="","",ROW()-4)</f>
        <v/>
      </c>
    </row>
    <row r="1561">
      <c r="A1561" s="13">
        <f>IF(H1561="","",ROW()-4)</f>
        <v/>
      </c>
      <c r="B1561" s="13">
        <f>IF(H1561="","",ROW()-4)</f>
        <v/>
      </c>
    </row>
    <row r="1562">
      <c r="A1562" s="13">
        <f>IF(H1562="","",ROW()-4)</f>
        <v/>
      </c>
      <c r="B1562" s="13">
        <f>IF(H1562="","",ROW()-4)</f>
        <v/>
      </c>
    </row>
    <row r="1563">
      <c r="A1563" s="13">
        <f>IF(H1563="","",ROW()-4)</f>
        <v/>
      </c>
      <c r="B1563" s="13">
        <f>IF(H1563="","",ROW()-4)</f>
        <v/>
      </c>
    </row>
    <row r="1564">
      <c r="A1564" s="13">
        <f>IF(H1564="","",ROW()-4)</f>
        <v/>
      </c>
      <c r="B1564" s="13">
        <f>IF(H1564="","",ROW()-4)</f>
        <v/>
      </c>
    </row>
    <row r="1565">
      <c r="A1565" s="13">
        <f>IF(H1565="","",ROW()-4)</f>
        <v/>
      </c>
      <c r="B1565" s="13">
        <f>IF(H1565="","",ROW()-4)</f>
        <v/>
      </c>
    </row>
    <row r="1566">
      <c r="A1566" s="13">
        <f>IF(H1566="","",ROW()-4)</f>
        <v/>
      </c>
      <c r="B1566" s="13">
        <f>IF(H1566="","",ROW()-4)</f>
        <v/>
      </c>
    </row>
    <row r="1567">
      <c r="A1567" s="13">
        <f>IF(H1567="","",ROW()-4)</f>
        <v/>
      </c>
      <c r="B1567" s="13">
        <f>IF(H1567="","",ROW()-4)</f>
        <v/>
      </c>
    </row>
    <row r="1568">
      <c r="A1568" s="13">
        <f>IF(H1568="","",ROW()-4)</f>
        <v/>
      </c>
      <c r="B1568" s="13">
        <f>IF(H1568="","",ROW()-4)</f>
        <v/>
      </c>
    </row>
    <row r="1569">
      <c r="A1569" s="13">
        <f>IF(H1569="","",ROW()-4)</f>
        <v/>
      </c>
      <c r="B1569" s="13">
        <f>IF(H1569="","",ROW()-4)</f>
        <v/>
      </c>
    </row>
    <row r="1570">
      <c r="A1570" s="13">
        <f>IF(H1570="","",ROW()-4)</f>
        <v/>
      </c>
      <c r="B1570" s="13">
        <f>IF(H1570="","",ROW()-4)</f>
        <v/>
      </c>
    </row>
    <row r="1571">
      <c r="A1571" s="13">
        <f>IF(H1571="","",ROW()-4)</f>
        <v/>
      </c>
      <c r="B1571" s="13">
        <f>IF(H1571="","",ROW()-4)</f>
        <v/>
      </c>
    </row>
    <row r="1572">
      <c r="A1572" s="13">
        <f>IF(H1572="","",ROW()-4)</f>
        <v/>
      </c>
      <c r="B1572" s="13">
        <f>IF(H1572="","",ROW()-4)</f>
        <v/>
      </c>
    </row>
    <row r="1573">
      <c r="A1573" s="13">
        <f>IF(H1573="","",ROW()-4)</f>
        <v/>
      </c>
      <c r="B1573" s="13">
        <f>IF(H1573="","",ROW()-4)</f>
        <v/>
      </c>
    </row>
    <row r="1574">
      <c r="A1574" s="13">
        <f>IF(H1574="","",ROW()-4)</f>
        <v/>
      </c>
      <c r="B1574" s="13">
        <f>IF(H1574="","",ROW()-4)</f>
        <v/>
      </c>
    </row>
    <row r="1575">
      <c r="A1575" s="13">
        <f>IF(H1575="","",ROW()-4)</f>
        <v/>
      </c>
      <c r="B1575" s="13">
        <f>IF(H1575="","",ROW()-4)</f>
        <v/>
      </c>
    </row>
    <row r="1576">
      <c r="A1576" s="13">
        <f>IF(H1576="","",ROW()-4)</f>
        <v/>
      </c>
      <c r="B1576" s="13">
        <f>IF(H1576="","",ROW()-4)</f>
        <v/>
      </c>
    </row>
    <row r="1577">
      <c r="A1577" s="13">
        <f>IF(H1577="","",ROW()-4)</f>
        <v/>
      </c>
      <c r="B1577" s="13">
        <f>IF(H1577="","",ROW()-4)</f>
        <v/>
      </c>
    </row>
    <row r="1578">
      <c r="A1578" s="13">
        <f>IF(H1578="","",ROW()-4)</f>
        <v/>
      </c>
      <c r="B1578" s="13">
        <f>IF(H1578="","",ROW()-4)</f>
        <v/>
      </c>
    </row>
    <row r="1579">
      <c r="A1579" s="13">
        <f>IF(H1579="","",ROW()-4)</f>
        <v/>
      </c>
      <c r="B1579" s="13">
        <f>IF(H1579="","",ROW()-4)</f>
        <v/>
      </c>
    </row>
    <row r="1580">
      <c r="A1580" s="13">
        <f>IF(H1580="","",ROW()-4)</f>
        <v/>
      </c>
      <c r="B1580" s="13">
        <f>IF(H1580="","",ROW()-4)</f>
        <v/>
      </c>
    </row>
    <row r="1581">
      <c r="A1581" s="13">
        <f>IF(H1581="","",ROW()-4)</f>
        <v/>
      </c>
      <c r="B1581" s="13">
        <f>IF(H1581="","",ROW()-4)</f>
        <v/>
      </c>
    </row>
    <row r="1582">
      <c r="A1582" s="13">
        <f>IF(H1582="","",ROW()-4)</f>
        <v/>
      </c>
      <c r="B1582" s="13">
        <f>IF(H1582="","",ROW()-4)</f>
        <v/>
      </c>
    </row>
    <row r="1583">
      <c r="A1583" s="13">
        <f>IF(H1583="","",ROW()-4)</f>
        <v/>
      </c>
      <c r="B1583" s="13">
        <f>IF(H1583="","",ROW()-4)</f>
        <v/>
      </c>
    </row>
    <row r="1584">
      <c r="A1584" s="13">
        <f>IF(H1584="","",ROW()-4)</f>
        <v/>
      </c>
      <c r="B1584" s="13">
        <f>IF(H1584="","",ROW()-4)</f>
        <v/>
      </c>
    </row>
    <row r="1585">
      <c r="A1585" s="13">
        <f>IF(H1585="","",ROW()-4)</f>
        <v/>
      </c>
      <c r="B1585" s="13">
        <f>IF(H1585="","",ROW()-4)</f>
        <v/>
      </c>
    </row>
    <row r="1586">
      <c r="A1586" s="13">
        <f>IF(H1586="","",ROW()-4)</f>
        <v/>
      </c>
      <c r="B1586" s="13">
        <f>IF(H1586="","",ROW()-4)</f>
        <v/>
      </c>
    </row>
    <row r="1587">
      <c r="A1587" s="13">
        <f>IF(H1587="","",ROW()-4)</f>
        <v/>
      </c>
      <c r="B1587" s="13">
        <f>IF(H1587="","",ROW()-4)</f>
        <v/>
      </c>
    </row>
    <row r="1588">
      <c r="A1588" s="13">
        <f>IF(H1588="","",ROW()-4)</f>
        <v/>
      </c>
      <c r="B1588" s="13">
        <f>IF(H1588="","",ROW()-4)</f>
        <v/>
      </c>
    </row>
    <row r="1589">
      <c r="A1589" s="13">
        <f>IF(H1589="","",ROW()-4)</f>
        <v/>
      </c>
      <c r="B1589" s="13">
        <f>IF(H1589="","",ROW()-4)</f>
        <v/>
      </c>
    </row>
    <row r="1590">
      <c r="A1590" s="13">
        <f>IF(H1590="","",ROW()-4)</f>
        <v/>
      </c>
      <c r="B1590" s="13">
        <f>IF(H1590="","",ROW()-4)</f>
        <v/>
      </c>
    </row>
    <row r="1591">
      <c r="A1591" s="13">
        <f>IF(H1591="","",ROW()-4)</f>
        <v/>
      </c>
      <c r="B1591" s="13">
        <f>IF(H1591="","",ROW()-4)</f>
        <v/>
      </c>
    </row>
    <row r="1592">
      <c r="A1592" s="13">
        <f>IF(H1592="","",ROW()-4)</f>
        <v/>
      </c>
      <c r="B1592" s="13">
        <f>IF(H1592="","",ROW()-4)</f>
        <v/>
      </c>
    </row>
    <row r="1593">
      <c r="A1593" s="13">
        <f>IF(H1593="","",ROW()-4)</f>
        <v/>
      </c>
      <c r="B1593" s="13">
        <f>IF(H1593="","",ROW()-4)</f>
        <v/>
      </c>
    </row>
    <row r="1594">
      <c r="A1594" s="13">
        <f>IF(H1594="","",ROW()-4)</f>
        <v/>
      </c>
      <c r="B1594" s="13">
        <f>IF(H1594="","",ROW()-4)</f>
        <v/>
      </c>
    </row>
    <row r="1595">
      <c r="A1595" s="13">
        <f>IF(H1595="","",ROW()-4)</f>
        <v/>
      </c>
      <c r="B1595" s="13">
        <f>IF(H1595="","",ROW()-4)</f>
        <v/>
      </c>
    </row>
    <row r="1596">
      <c r="A1596" s="13">
        <f>IF(H1596="","",ROW()-4)</f>
        <v/>
      </c>
      <c r="B1596" s="13">
        <f>IF(H1596="","",ROW()-4)</f>
        <v/>
      </c>
    </row>
    <row r="1597">
      <c r="A1597" s="13">
        <f>IF(H1597="","",ROW()-4)</f>
        <v/>
      </c>
      <c r="B1597" s="13">
        <f>IF(H1597="","",ROW()-4)</f>
        <v/>
      </c>
    </row>
    <row r="1598">
      <c r="A1598" s="13">
        <f>IF(H1598="","",ROW()-4)</f>
        <v/>
      </c>
      <c r="B1598" s="13">
        <f>IF(H1598="","",ROW()-4)</f>
        <v/>
      </c>
    </row>
    <row r="1599">
      <c r="A1599" s="13">
        <f>IF(H1599="","",ROW()-4)</f>
        <v/>
      </c>
      <c r="B1599" s="13">
        <f>IF(H1599="","",ROW()-4)</f>
        <v/>
      </c>
    </row>
    <row r="1600">
      <c r="A1600" s="13">
        <f>IF(H1600="","",ROW()-4)</f>
        <v/>
      </c>
      <c r="B1600" s="13">
        <f>IF(H1600="","",ROW()-4)</f>
        <v/>
      </c>
    </row>
    <row r="1601">
      <c r="A1601" s="13">
        <f>IF(H1601="","",ROW()-4)</f>
        <v/>
      </c>
      <c r="B1601" s="13">
        <f>IF(H1601="","",ROW()-4)</f>
        <v/>
      </c>
    </row>
    <row r="1602">
      <c r="A1602" s="13">
        <f>IF(H1602="","",ROW()-4)</f>
        <v/>
      </c>
      <c r="B1602" s="13">
        <f>IF(H1602="","",ROW()-4)</f>
        <v/>
      </c>
    </row>
    <row r="1603">
      <c r="A1603" s="13">
        <f>IF(H1603="","",ROW()-4)</f>
        <v/>
      </c>
      <c r="B1603" s="13">
        <f>IF(H1603="","",ROW()-4)</f>
        <v/>
      </c>
    </row>
    <row r="1604">
      <c r="A1604" s="13">
        <f>IF(H1604="","",ROW()-4)</f>
        <v/>
      </c>
      <c r="B1604" s="13">
        <f>IF(H1604="","",ROW()-4)</f>
        <v/>
      </c>
    </row>
    <row r="1605">
      <c r="A1605" s="13">
        <f>IF(H1605="","",ROW()-4)</f>
        <v/>
      </c>
      <c r="B1605" s="13">
        <f>IF(H1605="","",ROW()-4)</f>
        <v/>
      </c>
    </row>
    <row r="1606">
      <c r="A1606" s="13">
        <f>IF(H1606="","",ROW()-4)</f>
        <v/>
      </c>
      <c r="B1606" s="13">
        <f>IF(H1606="","",ROW()-4)</f>
        <v/>
      </c>
    </row>
    <row r="1607">
      <c r="A1607" s="13">
        <f>IF(H1607="","",ROW()-4)</f>
        <v/>
      </c>
      <c r="B1607" s="13">
        <f>IF(H1607="","",ROW()-4)</f>
        <v/>
      </c>
    </row>
    <row r="1608">
      <c r="A1608" s="13">
        <f>IF(H1608="","",ROW()-4)</f>
        <v/>
      </c>
      <c r="B1608" s="13">
        <f>IF(H1608="","",ROW()-4)</f>
        <v/>
      </c>
    </row>
    <row r="1609">
      <c r="A1609" s="13">
        <f>IF(H1609="","",ROW()-4)</f>
        <v/>
      </c>
      <c r="B1609" s="13">
        <f>IF(H1609="","",ROW()-4)</f>
        <v/>
      </c>
    </row>
    <row r="1610">
      <c r="A1610" s="13">
        <f>IF(H1610="","",ROW()-4)</f>
        <v/>
      </c>
      <c r="B1610" s="13">
        <f>IF(H1610="","",ROW()-4)</f>
        <v/>
      </c>
    </row>
    <row r="1611">
      <c r="A1611" s="13">
        <f>IF(H1611="","",ROW()-4)</f>
        <v/>
      </c>
      <c r="B1611" s="13">
        <f>IF(H1611="","",ROW()-4)</f>
        <v/>
      </c>
    </row>
    <row r="1612">
      <c r="A1612" s="13">
        <f>IF(H1612="","",ROW()-4)</f>
        <v/>
      </c>
      <c r="B1612" s="13">
        <f>IF(H1612="","",ROW()-4)</f>
        <v/>
      </c>
    </row>
    <row r="1613">
      <c r="A1613" s="13">
        <f>IF(H1613="","",ROW()-4)</f>
        <v/>
      </c>
      <c r="B1613" s="13">
        <f>IF(H1613="","",ROW()-4)</f>
        <v/>
      </c>
    </row>
    <row r="1614">
      <c r="A1614" s="13">
        <f>IF(H1614="","",ROW()-4)</f>
        <v/>
      </c>
      <c r="B1614" s="13">
        <f>IF(H1614="","",ROW()-4)</f>
        <v/>
      </c>
    </row>
    <row r="1615">
      <c r="A1615" s="13">
        <f>IF(H1615="","",ROW()-4)</f>
        <v/>
      </c>
      <c r="B1615" s="13">
        <f>IF(H1615="","",ROW()-4)</f>
        <v/>
      </c>
    </row>
    <row r="1616">
      <c r="A1616" s="13">
        <f>IF(H1616="","",ROW()-4)</f>
        <v/>
      </c>
      <c r="B1616" s="13">
        <f>IF(H1616="","",ROW()-4)</f>
        <v/>
      </c>
    </row>
    <row r="1617">
      <c r="A1617" s="13">
        <f>IF(H1617="","",ROW()-4)</f>
        <v/>
      </c>
      <c r="B1617" s="13">
        <f>IF(H1617="","",ROW()-4)</f>
        <v/>
      </c>
    </row>
    <row r="1618">
      <c r="A1618" s="13">
        <f>IF(H1618="","",ROW()-4)</f>
        <v/>
      </c>
      <c r="B1618" s="13">
        <f>IF(H1618="","",ROW()-4)</f>
        <v/>
      </c>
    </row>
    <row r="1619">
      <c r="A1619" s="13">
        <f>IF(H1619="","",ROW()-4)</f>
        <v/>
      </c>
      <c r="B1619" s="13">
        <f>IF(H1619="","",ROW()-4)</f>
        <v/>
      </c>
    </row>
    <row r="1620">
      <c r="A1620" s="13">
        <f>IF(H1620="","",ROW()-4)</f>
        <v/>
      </c>
      <c r="B1620" s="13">
        <f>IF(H1620="","",ROW()-4)</f>
        <v/>
      </c>
    </row>
    <row r="1621">
      <c r="A1621" s="13">
        <f>IF(H1621="","",ROW()-4)</f>
        <v/>
      </c>
      <c r="B1621" s="13">
        <f>IF(H1621="","",ROW()-4)</f>
        <v/>
      </c>
    </row>
    <row r="1622">
      <c r="A1622" s="13">
        <f>IF(H1622="","",ROW()-4)</f>
        <v/>
      </c>
      <c r="B1622" s="13">
        <f>IF(H1622="","",ROW()-4)</f>
        <v/>
      </c>
    </row>
    <row r="1623">
      <c r="A1623" s="13">
        <f>IF(H1623="","",ROW()-4)</f>
        <v/>
      </c>
      <c r="B1623" s="13">
        <f>IF(H1623="","",ROW()-4)</f>
        <v/>
      </c>
    </row>
    <row r="1624">
      <c r="A1624" s="13">
        <f>IF(H1624="","",ROW()-4)</f>
        <v/>
      </c>
      <c r="B1624" s="13">
        <f>IF(H1624="","",ROW()-4)</f>
        <v/>
      </c>
    </row>
    <row r="1625">
      <c r="A1625" s="13">
        <f>IF(H1625="","",ROW()-4)</f>
        <v/>
      </c>
      <c r="B1625" s="13">
        <f>IF(H1625="","",ROW()-4)</f>
        <v/>
      </c>
    </row>
    <row r="1626">
      <c r="A1626" s="13">
        <f>IF(H1626="","",ROW()-4)</f>
        <v/>
      </c>
      <c r="B1626" s="13">
        <f>IF(H1626="","",ROW()-4)</f>
        <v/>
      </c>
    </row>
    <row r="1627">
      <c r="A1627" s="13">
        <f>IF(H1627="","",ROW()-4)</f>
        <v/>
      </c>
      <c r="B1627" s="13">
        <f>IF(H1627="","",ROW()-4)</f>
        <v/>
      </c>
    </row>
    <row r="1628">
      <c r="A1628" s="13">
        <f>IF(H1628="","",ROW()-4)</f>
        <v/>
      </c>
      <c r="B1628" s="13">
        <f>IF(H1628="","",ROW()-4)</f>
        <v/>
      </c>
    </row>
    <row r="1629">
      <c r="A1629" s="13">
        <f>IF(H1629="","",ROW()-4)</f>
        <v/>
      </c>
      <c r="B1629" s="13">
        <f>IF(H1629="","",ROW()-4)</f>
        <v/>
      </c>
    </row>
    <row r="1630">
      <c r="A1630" s="13">
        <f>IF(H1630="","",ROW()-4)</f>
        <v/>
      </c>
      <c r="B1630" s="13">
        <f>IF(H1630="","",ROW()-4)</f>
        <v/>
      </c>
    </row>
    <row r="1631">
      <c r="A1631" s="13">
        <f>IF(H1631="","",ROW()-4)</f>
        <v/>
      </c>
      <c r="B1631" s="13">
        <f>IF(H1631="","",ROW()-4)</f>
        <v/>
      </c>
    </row>
    <row r="1632">
      <c r="A1632" s="13">
        <f>IF(H1632="","",ROW()-4)</f>
        <v/>
      </c>
      <c r="B1632" s="13">
        <f>IF(H1632="","",ROW()-4)</f>
        <v/>
      </c>
    </row>
    <row r="1633">
      <c r="A1633" s="13">
        <f>IF(H1633="","",ROW()-4)</f>
        <v/>
      </c>
      <c r="B1633" s="13">
        <f>IF(H1633="","",ROW()-4)</f>
        <v/>
      </c>
    </row>
    <row r="1634">
      <c r="A1634" s="13">
        <f>IF(H1634="","",ROW()-4)</f>
        <v/>
      </c>
      <c r="B1634" s="13">
        <f>IF(H1634="","",ROW()-4)</f>
        <v/>
      </c>
    </row>
    <row r="1635">
      <c r="A1635" s="13">
        <f>IF(H1635="","",ROW()-4)</f>
        <v/>
      </c>
      <c r="B1635" s="13">
        <f>IF(H1635="","",ROW()-4)</f>
        <v/>
      </c>
    </row>
    <row r="1636">
      <c r="A1636" s="13">
        <f>IF(H1636="","",ROW()-4)</f>
        <v/>
      </c>
      <c r="B1636" s="13">
        <f>IF(H1636="","",ROW()-4)</f>
        <v/>
      </c>
    </row>
    <row r="1637">
      <c r="A1637" s="13">
        <f>IF(H1637="","",ROW()-4)</f>
        <v/>
      </c>
      <c r="B1637" s="13">
        <f>IF(H1637="","",ROW()-4)</f>
        <v/>
      </c>
    </row>
    <row r="1638">
      <c r="A1638" s="13">
        <f>IF(H1638="","",ROW()-4)</f>
        <v/>
      </c>
      <c r="B1638" s="13">
        <f>IF(H1638="","",ROW()-4)</f>
        <v/>
      </c>
    </row>
    <row r="1639">
      <c r="A1639" s="13">
        <f>IF(H1639="","",ROW()-4)</f>
        <v/>
      </c>
      <c r="B1639" s="13">
        <f>IF(H1639="","",ROW()-4)</f>
        <v/>
      </c>
    </row>
    <row r="1640">
      <c r="A1640" s="13">
        <f>IF(H1640="","",ROW()-4)</f>
        <v/>
      </c>
      <c r="B1640" s="13">
        <f>IF(H1640="","",ROW()-4)</f>
        <v/>
      </c>
    </row>
    <row r="1641">
      <c r="A1641" s="13">
        <f>IF(H1641="","",ROW()-4)</f>
        <v/>
      </c>
      <c r="B1641" s="13">
        <f>IF(H1641="","",ROW()-4)</f>
        <v/>
      </c>
    </row>
    <row r="1642">
      <c r="A1642" s="13">
        <f>IF(H1642="","",ROW()-4)</f>
        <v/>
      </c>
      <c r="B1642" s="13">
        <f>IF(H1642="","",ROW()-4)</f>
        <v/>
      </c>
    </row>
    <row r="1643">
      <c r="A1643" s="13">
        <f>IF(H1643="","",ROW()-4)</f>
        <v/>
      </c>
      <c r="B1643" s="13">
        <f>IF(H1643="","",ROW()-4)</f>
        <v/>
      </c>
    </row>
    <row r="1644">
      <c r="A1644" s="13">
        <f>IF(H1644="","",ROW()-4)</f>
        <v/>
      </c>
      <c r="B1644" s="13">
        <f>IF(H1644="","",ROW()-4)</f>
        <v/>
      </c>
    </row>
    <row r="1645">
      <c r="A1645" s="13">
        <f>IF(H1645="","",ROW()-4)</f>
        <v/>
      </c>
      <c r="B1645" s="13">
        <f>IF(H1645="","",ROW()-4)</f>
        <v/>
      </c>
    </row>
    <row r="1646">
      <c r="A1646" s="13">
        <f>IF(H1646="","",ROW()-4)</f>
        <v/>
      </c>
      <c r="B1646" s="13">
        <f>IF(H1646="","",ROW()-4)</f>
        <v/>
      </c>
    </row>
    <row r="1647">
      <c r="A1647" s="13">
        <f>IF(H1647="","",ROW()-4)</f>
        <v/>
      </c>
      <c r="B1647" s="13">
        <f>IF(H1647="","",ROW()-4)</f>
        <v/>
      </c>
    </row>
    <row r="1648">
      <c r="A1648" s="13">
        <f>IF(H1648="","",ROW()-4)</f>
        <v/>
      </c>
      <c r="B1648" s="13">
        <f>IF(H1648="","",ROW()-4)</f>
        <v/>
      </c>
    </row>
    <row r="1649">
      <c r="A1649" s="13">
        <f>IF(H1649="","",ROW()-4)</f>
        <v/>
      </c>
      <c r="B1649" s="13">
        <f>IF(H1649="","",ROW()-4)</f>
        <v/>
      </c>
    </row>
    <row r="1650">
      <c r="A1650" s="13">
        <f>IF(H1650="","",ROW()-4)</f>
        <v/>
      </c>
      <c r="B1650" s="13">
        <f>IF(H1650="","",ROW()-4)</f>
        <v/>
      </c>
    </row>
    <row r="1651">
      <c r="A1651" s="13">
        <f>IF(H1651="","",ROW()-4)</f>
        <v/>
      </c>
      <c r="B1651" s="13">
        <f>IF(H1651="","",ROW()-4)</f>
        <v/>
      </c>
    </row>
    <row r="1652">
      <c r="A1652" s="13">
        <f>IF(H1652="","",ROW()-4)</f>
        <v/>
      </c>
      <c r="B1652" s="13">
        <f>IF(H1652="","",ROW()-4)</f>
        <v/>
      </c>
    </row>
    <row r="1653">
      <c r="A1653" s="13">
        <f>IF(H1653="","",ROW()-4)</f>
        <v/>
      </c>
      <c r="B1653" s="13">
        <f>IF(H1653="","",ROW()-4)</f>
        <v/>
      </c>
    </row>
    <row r="1654">
      <c r="A1654" s="13">
        <f>IF(H1654="","",ROW()-4)</f>
        <v/>
      </c>
      <c r="B1654" s="13">
        <f>IF(H1654="","",ROW()-4)</f>
        <v/>
      </c>
    </row>
    <row r="1655">
      <c r="A1655" s="13">
        <f>IF(H1655="","",ROW()-4)</f>
        <v/>
      </c>
      <c r="B1655" s="13">
        <f>IF(H1655="","",ROW()-4)</f>
        <v/>
      </c>
    </row>
    <row r="1656">
      <c r="A1656" s="13">
        <f>IF(H1656="","",ROW()-4)</f>
        <v/>
      </c>
      <c r="B1656" s="13">
        <f>IF(H1656="","",ROW()-4)</f>
        <v/>
      </c>
    </row>
    <row r="1657">
      <c r="A1657" s="13">
        <f>IF(H1657="","",ROW()-4)</f>
        <v/>
      </c>
      <c r="B1657" s="13">
        <f>IF(H1657="","",ROW()-4)</f>
        <v/>
      </c>
    </row>
    <row r="1658">
      <c r="A1658" s="13">
        <f>IF(H1658="","",ROW()-4)</f>
        <v/>
      </c>
      <c r="B1658" s="13">
        <f>IF(H1658="","",ROW()-4)</f>
        <v/>
      </c>
    </row>
    <row r="1659">
      <c r="A1659" s="13">
        <f>IF(H1659="","",ROW()-4)</f>
        <v/>
      </c>
      <c r="B1659" s="13">
        <f>IF(H1659="","",ROW()-4)</f>
        <v/>
      </c>
    </row>
    <row r="1660">
      <c r="A1660" s="13">
        <f>IF(H1660="","",ROW()-4)</f>
        <v/>
      </c>
      <c r="B1660" s="13">
        <f>IF(H1660="","",ROW()-4)</f>
        <v/>
      </c>
    </row>
    <row r="1661">
      <c r="A1661" s="13">
        <f>IF(H1661="","",ROW()-4)</f>
        <v/>
      </c>
      <c r="B1661" s="13">
        <f>IF(H1661="","",ROW()-4)</f>
        <v/>
      </c>
    </row>
    <row r="1662">
      <c r="A1662" s="13">
        <f>IF(H1662="","",ROW()-4)</f>
        <v/>
      </c>
      <c r="B1662" s="13">
        <f>IF(H1662="","",ROW()-4)</f>
        <v/>
      </c>
    </row>
    <row r="1663">
      <c r="A1663" s="13">
        <f>IF(H1663="","",ROW()-4)</f>
        <v/>
      </c>
      <c r="B1663" s="13">
        <f>IF(H1663="","",ROW()-4)</f>
        <v/>
      </c>
    </row>
    <row r="1664">
      <c r="A1664" s="13">
        <f>IF(H1664="","",ROW()-4)</f>
        <v/>
      </c>
      <c r="B1664" s="13">
        <f>IF(H1664="","",ROW()-4)</f>
        <v/>
      </c>
    </row>
    <row r="1665">
      <c r="A1665" s="13">
        <f>IF(H1665="","",ROW()-4)</f>
        <v/>
      </c>
      <c r="B1665" s="13">
        <f>IF(H1665="","",ROW()-4)</f>
        <v/>
      </c>
    </row>
    <row r="1666">
      <c r="A1666" s="13">
        <f>IF(H1666="","",ROW()-4)</f>
        <v/>
      </c>
      <c r="B1666" s="13">
        <f>IF(H1666="","",ROW()-4)</f>
        <v/>
      </c>
    </row>
    <row r="1667">
      <c r="A1667" s="13">
        <f>IF(H1667="","",ROW()-4)</f>
        <v/>
      </c>
      <c r="B1667" s="13">
        <f>IF(H1667="","",ROW()-4)</f>
        <v/>
      </c>
    </row>
    <row r="1668">
      <c r="A1668" s="13">
        <f>IF(H1668="","",ROW()-4)</f>
        <v/>
      </c>
      <c r="B1668" s="13">
        <f>IF(H1668="","",ROW()-4)</f>
        <v/>
      </c>
    </row>
    <row r="1669">
      <c r="A1669" s="13">
        <f>IF(H1669="","",ROW()-4)</f>
        <v/>
      </c>
      <c r="B1669" s="13">
        <f>IF(H1669="","",ROW()-4)</f>
        <v/>
      </c>
    </row>
    <row r="1670">
      <c r="A1670" s="13">
        <f>IF(H1670="","",ROW()-4)</f>
        <v/>
      </c>
      <c r="B1670" s="13">
        <f>IF(H1670="","",ROW()-4)</f>
        <v/>
      </c>
    </row>
    <row r="1671">
      <c r="A1671" s="13">
        <f>IF(H1671="","",ROW()-4)</f>
        <v/>
      </c>
      <c r="B1671" s="13">
        <f>IF(H1671="","",ROW()-4)</f>
        <v/>
      </c>
    </row>
    <row r="1672">
      <c r="A1672" s="13">
        <f>IF(H1672="","",ROW()-4)</f>
        <v/>
      </c>
      <c r="B1672" s="13">
        <f>IF(H1672="","",ROW()-4)</f>
        <v/>
      </c>
    </row>
    <row r="1673">
      <c r="A1673" s="13">
        <f>IF(H1673="","",ROW()-4)</f>
        <v/>
      </c>
      <c r="B1673" s="13">
        <f>IF(H1673="","",ROW()-4)</f>
        <v/>
      </c>
    </row>
    <row r="1674">
      <c r="A1674" s="13">
        <f>IF(H1674="","",ROW()-4)</f>
        <v/>
      </c>
      <c r="B1674" s="13">
        <f>IF(H1674="","",ROW()-4)</f>
        <v/>
      </c>
    </row>
    <row r="1675">
      <c r="A1675" s="13">
        <f>IF(H1675="","",ROW()-4)</f>
        <v/>
      </c>
      <c r="B1675" s="13">
        <f>IF(H1675="","",ROW()-4)</f>
        <v/>
      </c>
    </row>
    <row r="1676">
      <c r="A1676" s="13">
        <f>IF(H1676="","",ROW()-4)</f>
        <v/>
      </c>
      <c r="B1676" s="13">
        <f>IF(H1676="","",ROW()-4)</f>
        <v/>
      </c>
    </row>
    <row r="1677">
      <c r="A1677" s="13">
        <f>IF(H1677="","",ROW()-4)</f>
        <v/>
      </c>
      <c r="B1677" s="13">
        <f>IF(H1677="","",ROW()-4)</f>
        <v/>
      </c>
    </row>
    <row r="1678">
      <c r="A1678" s="13">
        <f>IF(H1678="","",ROW()-4)</f>
        <v/>
      </c>
      <c r="B1678" s="13">
        <f>IF(H1678="","",ROW()-4)</f>
        <v/>
      </c>
    </row>
    <row r="1679">
      <c r="A1679" s="13">
        <f>IF(H1679="","",ROW()-4)</f>
        <v/>
      </c>
      <c r="B1679" s="13">
        <f>IF(H1679="","",ROW()-4)</f>
        <v/>
      </c>
    </row>
    <row r="1680">
      <c r="A1680" s="13">
        <f>IF(H1680="","",ROW()-4)</f>
        <v/>
      </c>
      <c r="B1680" s="13">
        <f>IF(H1680="","",ROW()-4)</f>
        <v/>
      </c>
    </row>
    <row r="1681">
      <c r="A1681" s="13">
        <f>IF(H1681="","",ROW()-4)</f>
        <v/>
      </c>
      <c r="B1681" s="13">
        <f>IF(H1681="","",ROW()-4)</f>
        <v/>
      </c>
    </row>
    <row r="1682">
      <c r="A1682" s="13">
        <f>IF(H1682="","",ROW()-4)</f>
        <v/>
      </c>
      <c r="B1682" s="13">
        <f>IF(H1682="","",ROW()-4)</f>
        <v/>
      </c>
    </row>
    <row r="1683">
      <c r="A1683" s="13">
        <f>IF(H1683="","",ROW()-4)</f>
        <v/>
      </c>
      <c r="B1683" s="13">
        <f>IF(H1683="","",ROW()-4)</f>
        <v/>
      </c>
    </row>
    <row r="1684">
      <c r="A1684" s="13">
        <f>IF(H1684="","",ROW()-4)</f>
        <v/>
      </c>
      <c r="B1684" s="13">
        <f>IF(H1684="","",ROW()-4)</f>
        <v/>
      </c>
    </row>
    <row r="1685">
      <c r="A1685" s="13">
        <f>IF(H1685="","",ROW()-4)</f>
        <v/>
      </c>
      <c r="B1685" s="13">
        <f>IF(H1685="","",ROW()-4)</f>
        <v/>
      </c>
    </row>
    <row r="1686">
      <c r="A1686" s="13">
        <f>IF(H1686="","",ROW()-4)</f>
        <v/>
      </c>
      <c r="B1686" s="13">
        <f>IF(H1686="","",ROW()-4)</f>
        <v/>
      </c>
    </row>
    <row r="1687">
      <c r="A1687" s="13">
        <f>IF(H1687="","",ROW()-4)</f>
        <v/>
      </c>
      <c r="B1687" s="13">
        <f>IF(H1687="","",ROW()-4)</f>
        <v/>
      </c>
    </row>
    <row r="1688">
      <c r="A1688" s="13">
        <f>IF(H1688="","",ROW()-4)</f>
        <v/>
      </c>
      <c r="B1688" s="13">
        <f>IF(H1688="","",ROW()-4)</f>
        <v/>
      </c>
    </row>
    <row r="1689">
      <c r="A1689" s="13">
        <f>IF(H1689="","",ROW()-4)</f>
        <v/>
      </c>
      <c r="B1689" s="13">
        <f>IF(H1689="","",ROW()-4)</f>
        <v/>
      </c>
    </row>
    <row r="1690">
      <c r="A1690" s="13">
        <f>IF(H1690="","",ROW()-4)</f>
        <v/>
      </c>
      <c r="B1690" s="13">
        <f>IF(H1690="","",ROW()-4)</f>
        <v/>
      </c>
    </row>
    <row r="1691">
      <c r="A1691" s="13">
        <f>IF(H1691="","",ROW()-4)</f>
        <v/>
      </c>
      <c r="B1691" s="13">
        <f>IF(H1691="","",ROW()-4)</f>
        <v/>
      </c>
    </row>
    <row r="1692">
      <c r="A1692" s="13">
        <f>IF(H1692="","",ROW()-4)</f>
        <v/>
      </c>
      <c r="B1692" s="13">
        <f>IF(H1692="","",ROW()-4)</f>
        <v/>
      </c>
    </row>
    <row r="1693">
      <c r="A1693" s="13">
        <f>IF(H1693="","",ROW()-4)</f>
        <v/>
      </c>
      <c r="B1693" s="13">
        <f>IF(H1693="","",ROW()-4)</f>
        <v/>
      </c>
    </row>
    <row r="1694">
      <c r="A1694" s="13">
        <f>IF(H1694="","",ROW()-4)</f>
        <v/>
      </c>
      <c r="B1694" s="13">
        <f>IF(H1694="","",ROW()-4)</f>
        <v/>
      </c>
    </row>
    <row r="1695">
      <c r="A1695" s="13">
        <f>IF(H1695="","",ROW()-4)</f>
        <v/>
      </c>
      <c r="B1695" s="13">
        <f>IF(H1695="","",ROW()-4)</f>
        <v/>
      </c>
    </row>
    <row r="1696">
      <c r="A1696" s="13">
        <f>IF(H1696="","",ROW()-4)</f>
        <v/>
      </c>
      <c r="B1696" s="13">
        <f>IF(H1696="","",ROW()-4)</f>
        <v/>
      </c>
    </row>
    <row r="1697">
      <c r="A1697" s="13">
        <f>IF(H1697="","",ROW()-4)</f>
        <v/>
      </c>
      <c r="B1697" s="13">
        <f>IF(H1697="","",ROW()-4)</f>
        <v/>
      </c>
    </row>
    <row r="1698">
      <c r="A1698" s="13">
        <f>IF(H1698="","",ROW()-4)</f>
        <v/>
      </c>
      <c r="B1698" s="13">
        <f>IF(H1698="","",ROW()-4)</f>
        <v/>
      </c>
    </row>
    <row r="1699">
      <c r="A1699" s="13">
        <f>IF(H1699="","",ROW()-4)</f>
        <v/>
      </c>
      <c r="B1699" s="13">
        <f>IF(H1699="","",ROW()-4)</f>
        <v/>
      </c>
    </row>
    <row r="1700">
      <c r="A1700" s="13">
        <f>IF(H1700="","",ROW()-4)</f>
        <v/>
      </c>
      <c r="B1700" s="13">
        <f>IF(H1700="","",ROW()-4)</f>
        <v/>
      </c>
    </row>
    <row r="1701">
      <c r="A1701" s="13">
        <f>IF(H1701="","",ROW()-4)</f>
        <v/>
      </c>
      <c r="B1701" s="13">
        <f>IF(H1701="","",ROW()-4)</f>
        <v/>
      </c>
    </row>
    <row r="1702">
      <c r="A1702" s="13">
        <f>IF(H1702="","",ROW()-4)</f>
        <v/>
      </c>
      <c r="B1702" s="13">
        <f>IF(H1702="","",ROW()-4)</f>
        <v/>
      </c>
    </row>
    <row r="1703">
      <c r="A1703" s="13">
        <f>IF(H1703="","",ROW()-4)</f>
        <v/>
      </c>
      <c r="B1703" s="13">
        <f>IF(H1703="","",ROW()-4)</f>
        <v/>
      </c>
    </row>
    <row r="1704">
      <c r="A1704" s="13">
        <f>IF(H1704="","",ROW()-4)</f>
        <v/>
      </c>
      <c r="B1704" s="13">
        <f>IF(H1704="","",ROW()-4)</f>
        <v/>
      </c>
    </row>
    <row r="1705">
      <c r="A1705" s="13">
        <f>IF(H1705="","",ROW()-4)</f>
        <v/>
      </c>
      <c r="B1705" s="13">
        <f>IF(H1705="","",ROW()-4)</f>
        <v/>
      </c>
    </row>
    <row r="1706">
      <c r="A1706" s="13">
        <f>IF(H1706="","",ROW()-4)</f>
        <v/>
      </c>
      <c r="B1706" s="13">
        <f>IF(H1706="","",ROW()-4)</f>
        <v/>
      </c>
    </row>
    <row r="1707">
      <c r="A1707" s="13">
        <f>IF(H1707="","",ROW()-4)</f>
        <v/>
      </c>
      <c r="B1707" s="13">
        <f>IF(H1707="","",ROW()-4)</f>
        <v/>
      </c>
    </row>
    <row r="1708">
      <c r="A1708" s="13">
        <f>IF(H1708="","",ROW()-4)</f>
        <v/>
      </c>
      <c r="B1708" s="13">
        <f>IF(H1708="","",ROW()-4)</f>
        <v/>
      </c>
    </row>
    <row r="1709">
      <c r="A1709" s="13">
        <f>IF(H1709="","",ROW()-4)</f>
        <v/>
      </c>
      <c r="B1709" s="13">
        <f>IF(H1709="","",ROW()-4)</f>
        <v/>
      </c>
    </row>
    <row r="1710">
      <c r="A1710" s="13">
        <f>IF(H1710="","",ROW()-4)</f>
        <v/>
      </c>
      <c r="B1710" s="13">
        <f>IF(H1710="","",ROW()-4)</f>
        <v/>
      </c>
    </row>
    <row r="1711">
      <c r="A1711" s="13">
        <f>IF(H1711="","",ROW()-4)</f>
        <v/>
      </c>
      <c r="B1711" s="13">
        <f>IF(H1711="","",ROW()-4)</f>
        <v/>
      </c>
    </row>
    <row r="1712">
      <c r="A1712" s="13">
        <f>IF(H1712="","",ROW()-4)</f>
        <v/>
      </c>
      <c r="B1712" s="13">
        <f>IF(H1712="","",ROW()-4)</f>
        <v/>
      </c>
    </row>
    <row r="1713">
      <c r="A1713" s="13">
        <f>IF(H1713="","",ROW()-4)</f>
        <v/>
      </c>
      <c r="B1713" s="13">
        <f>IF(H1713="","",ROW()-4)</f>
        <v/>
      </c>
    </row>
    <row r="1714">
      <c r="A1714" s="13">
        <f>IF(H1714="","",ROW()-4)</f>
        <v/>
      </c>
      <c r="B1714" s="13">
        <f>IF(H1714="","",ROW()-4)</f>
        <v/>
      </c>
    </row>
    <row r="1715">
      <c r="A1715" s="13">
        <f>IF(H1715="","",ROW()-4)</f>
        <v/>
      </c>
      <c r="B1715" s="13">
        <f>IF(H1715="","",ROW()-4)</f>
        <v/>
      </c>
    </row>
    <row r="1716">
      <c r="A1716" s="13">
        <f>IF(H1716="","",ROW()-4)</f>
        <v/>
      </c>
      <c r="B1716" s="13">
        <f>IF(H1716="","",ROW()-4)</f>
        <v/>
      </c>
    </row>
    <row r="1717">
      <c r="A1717" s="13">
        <f>IF(H1717="","",ROW()-4)</f>
        <v/>
      </c>
      <c r="B1717" s="13">
        <f>IF(H1717="","",ROW()-4)</f>
        <v/>
      </c>
    </row>
    <row r="1718">
      <c r="A1718" s="13">
        <f>IF(H1718="","",ROW()-4)</f>
        <v/>
      </c>
      <c r="B1718" s="13">
        <f>IF(H1718="","",ROW()-4)</f>
        <v/>
      </c>
    </row>
    <row r="1719">
      <c r="A1719" s="13">
        <f>IF(H1719="","",ROW()-4)</f>
        <v/>
      </c>
      <c r="B1719" s="13">
        <f>IF(H1719="","",ROW()-4)</f>
        <v/>
      </c>
    </row>
    <row r="1720">
      <c r="A1720" s="13">
        <f>IF(H1720="","",ROW()-4)</f>
        <v/>
      </c>
      <c r="B1720" s="13">
        <f>IF(H1720="","",ROW()-4)</f>
        <v/>
      </c>
    </row>
    <row r="1721">
      <c r="A1721" s="13">
        <f>IF(H1721="","",ROW()-4)</f>
        <v/>
      </c>
      <c r="B1721" s="13">
        <f>IF(H1721="","",ROW()-4)</f>
        <v/>
      </c>
    </row>
    <row r="1722">
      <c r="A1722" s="13">
        <f>IF(H1722="","",ROW()-4)</f>
        <v/>
      </c>
      <c r="B1722" s="13">
        <f>IF(H1722="","",ROW()-4)</f>
        <v/>
      </c>
    </row>
    <row r="1723">
      <c r="A1723" s="13">
        <f>IF(H1723="","",ROW()-4)</f>
        <v/>
      </c>
      <c r="B1723" s="13">
        <f>IF(H1723="","",ROW()-4)</f>
        <v/>
      </c>
    </row>
    <row r="1724">
      <c r="A1724" s="13">
        <f>IF(H1724="","",ROW()-4)</f>
        <v/>
      </c>
      <c r="B1724" s="13">
        <f>IF(H1724="","",ROW()-4)</f>
        <v/>
      </c>
    </row>
    <row r="1725">
      <c r="A1725" s="13">
        <f>IF(H1725="","",ROW()-4)</f>
        <v/>
      </c>
      <c r="B1725" s="13">
        <f>IF(H1725="","",ROW()-4)</f>
        <v/>
      </c>
    </row>
    <row r="1726">
      <c r="A1726" s="13">
        <f>IF(H1726="","",ROW()-4)</f>
        <v/>
      </c>
      <c r="B1726" s="13">
        <f>IF(H1726="","",ROW()-4)</f>
        <v/>
      </c>
    </row>
    <row r="1727">
      <c r="A1727" s="13">
        <f>IF(H1727="","",ROW()-4)</f>
        <v/>
      </c>
      <c r="B1727" s="13">
        <f>IF(H1727="","",ROW()-4)</f>
        <v/>
      </c>
    </row>
    <row r="1728">
      <c r="A1728" s="13">
        <f>IF(H1728="","",ROW()-4)</f>
        <v/>
      </c>
      <c r="B1728" s="13">
        <f>IF(H1728="","",ROW()-4)</f>
        <v/>
      </c>
    </row>
    <row r="1729">
      <c r="A1729" s="13">
        <f>IF(H1729="","",ROW()-4)</f>
        <v/>
      </c>
      <c r="B1729" s="13">
        <f>IF(H1729="","",ROW()-4)</f>
        <v/>
      </c>
    </row>
    <row r="1730">
      <c r="A1730" s="13">
        <f>IF(H1730="","",ROW()-4)</f>
        <v/>
      </c>
      <c r="B1730" s="13">
        <f>IF(H1730="","",ROW()-4)</f>
        <v/>
      </c>
    </row>
    <row r="1731">
      <c r="A1731" s="13">
        <f>IF(H1731="","",ROW()-4)</f>
        <v/>
      </c>
      <c r="B1731" s="13">
        <f>IF(H1731="","",ROW()-4)</f>
        <v/>
      </c>
    </row>
    <row r="1732">
      <c r="A1732" s="13">
        <f>IF(H1732="","",ROW()-4)</f>
        <v/>
      </c>
      <c r="B1732" s="13">
        <f>IF(H1732="","",ROW()-4)</f>
        <v/>
      </c>
    </row>
    <row r="1733">
      <c r="A1733" s="13">
        <f>IF(H1733="","",ROW()-4)</f>
        <v/>
      </c>
      <c r="B1733" s="13">
        <f>IF(H1733="","",ROW()-4)</f>
        <v/>
      </c>
    </row>
    <row r="1734">
      <c r="A1734" s="13">
        <f>IF(H1734="","",ROW()-4)</f>
        <v/>
      </c>
      <c r="B1734" s="13">
        <f>IF(H1734="","",ROW()-4)</f>
        <v/>
      </c>
    </row>
    <row r="1735">
      <c r="A1735" s="13">
        <f>IF(H1735="","",ROW()-4)</f>
        <v/>
      </c>
      <c r="B1735" s="13">
        <f>IF(H1735="","",ROW()-4)</f>
        <v/>
      </c>
    </row>
    <row r="1736">
      <c r="A1736" s="13">
        <f>IF(H1736="","",ROW()-4)</f>
        <v/>
      </c>
      <c r="B1736" s="13">
        <f>IF(H1736="","",ROW()-4)</f>
        <v/>
      </c>
    </row>
    <row r="1737">
      <c r="A1737" s="13">
        <f>IF(H1737="","",ROW()-4)</f>
        <v/>
      </c>
      <c r="B1737" s="13">
        <f>IF(H1737="","",ROW()-4)</f>
        <v/>
      </c>
    </row>
    <row r="1738">
      <c r="A1738" s="13">
        <f>IF(H1738="","",ROW()-4)</f>
        <v/>
      </c>
      <c r="B1738" s="13">
        <f>IF(H1738="","",ROW()-4)</f>
        <v/>
      </c>
    </row>
    <row r="1739">
      <c r="A1739" s="13">
        <f>IF(H1739="","",ROW()-4)</f>
        <v/>
      </c>
      <c r="B1739" s="13">
        <f>IF(H1739="","",ROW()-4)</f>
        <v/>
      </c>
    </row>
    <row r="1740">
      <c r="A1740" s="13">
        <f>IF(H1740="","",ROW()-4)</f>
        <v/>
      </c>
      <c r="B1740" s="13">
        <f>IF(H1740="","",ROW()-4)</f>
        <v/>
      </c>
    </row>
    <row r="1741">
      <c r="A1741" s="13">
        <f>IF(H1741="","",ROW()-4)</f>
        <v/>
      </c>
      <c r="B1741" s="13">
        <f>IF(H1741="","",ROW()-4)</f>
        <v/>
      </c>
    </row>
    <row r="1742">
      <c r="A1742" s="13">
        <f>IF(H1742="","",ROW()-4)</f>
        <v/>
      </c>
      <c r="B1742" s="13">
        <f>IF(H1742="","",ROW()-4)</f>
        <v/>
      </c>
    </row>
    <row r="1743">
      <c r="A1743" s="13">
        <f>IF(H1743="","",ROW()-4)</f>
        <v/>
      </c>
      <c r="B1743" s="13">
        <f>IF(H1743="","",ROW()-4)</f>
        <v/>
      </c>
    </row>
    <row r="1744">
      <c r="A1744" s="13">
        <f>IF(H1744="","",ROW()-4)</f>
        <v/>
      </c>
      <c r="B1744" s="13">
        <f>IF(H1744="","",ROW()-4)</f>
        <v/>
      </c>
    </row>
    <row r="1745">
      <c r="A1745" s="13">
        <f>IF(H1745="","",ROW()-4)</f>
        <v/>
      </c>
      <c r="B1745" s="13">
        <f>IF(H1745="","",ROW()-4)</f>
        <v/>
      </c>
    </row>
    <row r="1746">
      <c r="A1746" s="13">
        <f>IF(H1746="","",ROW()-4)</f>
        <v/>
      </c>
      <c r="B1746" s="13">
        <f>IF(H1746="","",ROW()-4)</f>
        <v/>
      </c>
    </row>
    <row r="1747">
      <c r="A1747" s="13">
        <f>IF(H1747="","",ROW()-4)</f>
        <v/>
      </c>
      <c r="B1747" s="13">
        <f>IF(H1747="","",ROW()-4)</f>
        <v/>
      </c>
    </row>
    <row r="1748">
      <c r="A1748" s="13">
        <f>IF(H1748="","",ROW()-4)</f>
        <v/>
      </c>
      <c r="B1748" s="13">
        <f>IF(H1748="","",ROW()-4)</f>
        <v/>
      </c>
    </row>
    <row r="1749">
      <c r="A1749" s="13">
        <f>IF(H1749="","",ROW()-4)</f>
        <v/>
      </c>
      <c r="B1749" s="13">
        <f>IF(H1749="","",ROW()-4)</f>
        <v/>
      </c>
    </row>
    <row r="1750">
      <c r="A1750" s="13">
        <f>IF(H1750="","",ROW()-4)</f>
        <v/>
      </c>
      <c r="B1750" s="13">
        <f>IF(H1750="","",ROW()-4)</f>
        <v/>
      </c>
    </row>
    <row r="1751">
      <c r="A1751" s="13">
        <f>IF(H1751="","",ROW()-4)</f>
        <v/>
      </c>
      <c r="B1751" s="13">
        <f>IF(H1751="","",ROW()-4)</f>
        <v/>
      </c>
    </row>
    <row r="1752">
      <c r="A1752" s="13">
        <f>IF(H1752="","",ROW()-4)</f>
        <v/>
      </c>
      <c r="B1752" s="13">
        <f>IF(H1752="","",ROW()-4)</f>
        <v/>
      </c>
    </row>
    <row r="1753">
      <c r="A1753" s="13">
        <f>IF(H1753="","",ROW()-4)</f>
        <v/>
      </c>
      <c r="B1753" s="13">
        <f>IF(H1753="","",ROW()-4)</f>
        <v/>
      </c>
    </row>
    <row r="1754">
      <c r="A1754" s="13">
        <f>IF(H1754="","",ROW()-4)</f>
        <v/>
      </c>
      <c r="B1754" s="13">
        <f>IF(H1754="","",ROW()-4)</f>
        <v/>
      </c>
    </row>
    <row r="1755">
      <c r="A1755" s="13">
        <f>IF(H1755="","",ROW()-4)</f>
        <v/>
      </c>
      <c r="B1755" s="13">
        <f>IF(H1755="","",ROW()-4)</f>
        <v/>
      </c>
    </row>
    <row r="1756">
      <c r="A1756" s="13">
        <f>IF(H1756="","",ROW()-4)</f>
        <v/>
      </c>
      <c r="B1756" s="13">
        <f>IF(H1756="","",ROW()-4)</f>
        <v/>
      </c>
    </row>
    <row r="1757">
      <c r="A1757" s="13">
        <f>IF(H1757="","",ROW()-4)</f>
        <v/>
      </c>
      <c r="B1757" s="13">
        <f>IF(H1757="","",ROW()-4)</f>
        <v/>
      </c>
    </row>
    <row r="1758">
      <c r="A1758" s="13">
        <f>IF(H1758="","",ROW()-4)</f>
        <v/>
      </c>
      <c r="B1758" s="13">
        <f>IF(H1758="","",ROW()-4)</f>
        <v/>
      </c>
    </row>
    <row r="1759">
      <c r="A1759" s="13">
        <f>IF(H1759="","",ROW()-4)</f>
        <v/>
      </c>
      <c r="B1759" s="13">
        <f>IF(H1759="","",ROW()-4)</f>
        <v/>
      </c>
    </row>
    <row r="1760">
      <c r="A1760" s="13">
        <f>IF(H1760="","",ROW()-4)</f>
        <v/>
      </c>
      <c r="B1760" s="13">
        <f>IF(H1760="","",ROW()-4)</f>
        <v/>
      </c>
    </row>
    <row r="1761">
      <c r="A1761" s="13">
        <f>IF(H1761="","",ROW()-4)</f>
        <v/>
      </c>
      <c r="B1761" s="13">
        <f>IF(H1761="","",ROW()-4)</f>
        <v/>
      </c>
    </row>
    <row r="1762">
      <c r="A1762" s="13">
        <f>IF(H1762="","",ROW()-4)</f>
        <v/>
      </c>
      <c r="B1762" s="13">
        <f>IF(H1762="","",ROW()-4)</f>
        <v/>
      </c>
    </row>
    <row r="1763">
      <c r="A1763" s="13">
        <f>IF(H1763="","",ROW()-4)</f>
        <v/>
      </c>
      <c r="B1763" s="13">
        <f>IF(H1763="","",ROW()-4)</f>
        <v/>
      </c>
    </row>
    <row r="1764">
      <c r="A1764" s="13">
        <f>IF(H1764="","",ROW()-4)</f>
        <v/>
      </c>
      <c r="B1764" s="13">
        <f>IF(H1764="","",ROW()-4)</f>
        <v/>
      </c>
    </row>
    <row r="1765">
      <c r="A1765" s="13">
        <f>IF(H1765="","",ROW()-4)</f>
        <v/>
      </c>
      <c r="B1765" s="13">
        <f>IF(H1765="","",ROW()-4)</f>
        <v/>
      </c>
    </row>
    <row r="1766">
      <c r="A1766" s="13">
        <f>IF(H1766="","",ROW()-4)</f>
        <v/>
      </c>
      <c r="B1766" s="13">
        <f>IF(H1766="","",ROW()-4)</f>
        <v/>
      </c>
    </row>
    <row r="1767">
      <c r="A1767" s="13">
        <f>IF(H1767="","",ROW()-4)</f>
        <v/>
      </c>
      <c r="B1767" s="13">
        <f>IF(H1767="","",ROW()-4)</f>
        <v/>
      </c>
    </row>
    <row r="1768">
      <c r="A1768" s="13">
        <f>IF(H1768="","",ROW()-4)</f>
        <v/>
      </c>
      <c r="B1768" s="13">
        <f>IF(H1768="","",ROW()-4)</f>
        <v/>
      </c>
    </row>
    <row r="1769">
      <c r="A1769" s="13">
        <f>IF(H1769="","",ROW()-4)</f>
        <v/>
      </c>
      <c r="B1769" s="13">
        <f>IF(H1769="","",ROW()-4)</f>
        <v/>
      </c>
    </row>
    <row r="1770">
      <c r="A1770" s="13">
        <f>IF(H1770="","",ROW()-4)</f>
        <v/>
      </c>
      <c r="B1770" s="13">
        <f>IF(H1770="","",ROW()-4)</f>
        <v/>
      </c>
    </row>
    <row r="1771">
      <c r="A1771" s="13">
        <f>IF(H1771="","",ROW()-4)</f>
        <v/>
      </c>
      <c r="B1771" s="13">
        <f>IF(H1771="","",ROW()-4)</f>
        <v/>
      </c>
    </row>
    <row r="1772">
      <c r="A1772" s="13">
        <f>IF(H1772="","",ROW()-4)</f>
        <v/>
      </c>
      <c r="B1772" s="13">
        <f>IF(H1772="","",ROW()-4)</f>
        <v/>
      </c>
    </row>
    <row r="1773">
      <c r="A1773" s="13">
        <f>IF(H1773="","",ROW()-4)</f>
        <v/>
      </c>
      <c r="B1773" s="13">
        <f>IF(H1773="","",ROW()-4)</f>
        <v/>
      </c>
    </row>
    <row r="1774">
      <c r="A1774" s="13">
        <f>IF(H1774="","",ROW()-4)</f>
        <v/>
      </c>
      <c r="B1774" s="13">
        <f>IF(H1774="","",ROW()-4)</f>
        <v/>
      </c>
    </row>
    <row r="1775">
      <c r="A1775" s="13">
        <f>IF(H1775="","",ROW()-4)</f>
        <v/>
      </c>
      <c r="B1775" s="13">
        <f>IF(H1775="","",ROW()-4)</f>
        <v/>
      </c>
    </row>
    <row r="1776">
      <c r="A1776" s="13">
        <f>IF(H1776="","",ROW()-4)</f>
        <v/>
      </c>
      <c r="B1776" s="13">
        <f>IF(H1776="","",ROW()-4)</f>
        <v/>
      </c>
    </row>
    <row r="1777">
      <c r="A1777" s="13">
        <f>IF(H1777="","",ROW()-4)</f>
        <v/>
      </c>
      <c r="B1777" s="13">
        <f>IF(H1777="","",ROW()-4)</f>
        <v/>
      </c>
    </row>
    <row r="1778">
      <c r="A1778" s="13">
        <f>IF(H1778="","",ROW()-4)</f>
        <v/>
      </c>
      <c r="B1778" s="13">
        <f>IF(H1778="","",ROW()-4)</f>
        <v/>
      </c>
    </row>
    <row r="1779">
      <c r="A1779" s="13">
        <f>IF(H1779="","",ROW()-4)</f>
        <v/>
      </c>
      <c r="B1779" s="13">
        <f>IF(H1779="","",ROW()-4)</f>
        <v/>
      </c>
    </row>
    <row r="1780">
      <c r="A1780" s="13">
        <f>IF(H1780="","",ROW()-4)</f>
        <v/>
      </c>
      <c r="B1780" s="13">
        <f>IF(H1780="","",ROW()-4)</f>
        <v/>
      </c>
    </row>
    <row r="1781">
      <c r="A1781" s="13">
        <f>IF(H1781="","",ROW()-4)</f>
        <v/>
      </c>
      <c r="B1781" s="13">
        <f>IF(H1781="","",ROW()-4)</f>
        <v/>
      </c>
    </row>
    <row r="1782">
      <c r="A1782" s="13">
        <f>IF(H1782="","",ROW()-4)</f>
        <v/>
      </c>
      <c r="B1782" s="13">
        <f>IF(H1782="","",ROW()-4)</f>
        <v/>
      </c>
    </row>
    <row r="1783">
      <c r="A1783" s="13">
        <f>IF(H1783="","",ROW()-4)</f>
        <v/>
      </c>
      <c r="B1783" s="13">
        <f>IF(H1783="","",ROW()-4)</f>
        <v/>
      </c>
    </row>
    <row r="1784">
      <c r="A1784" s="13">
        <f>IF(H1784="","",ROW()-4)</f>
        <v/>
      </c>
      <c r="B1784" s="13">
        <f>IF(H1784="","",ROW()-4)</f>
        <v/>
      </c>
    </row>
    <row r="1785">
      <c r="A1785" s="13">
        <f>IF(H1785="","",ROW()-4)</f>
        <v/>
      </c>
      <c r="B1785" s="13">
        <f>IF(H1785="","",ROW()-4)</f>
        <v/>
      </c>
    </row>
    <row r="1786">
      <c r="A1786" s="13">
        <f>IF(H1786="","",ROW()-4)</f>
        <v/>
      </c>
      <c r="B1786" s="13">
        <f>IF(H1786="","",ROW()-4)</f>
        <v/>
      </c>
    </row>
    <row r="1787">
      <c r="A1787" s="13">
        <f>IF(H1787="","",ROW()-4)</f>
        <v/>
      </c>
      <c r="B1787" s="13">
        <f>IF(H1787="","",ROW()-4)</f>
        <v/>
      </c>
    </row>
    <row r="1788">
      <c r="A1788" s="13">
        <f>IF(H1788="","",ROW()-4)</f>
        <v/>
      </c>
      <c r="B1788" s="13">
        <f>IF(H1788="","",ROW()-4)</f>
        <v/>
      </c>
    </row>
    <row r="1789">
      <c r="A1789" s="13">
        <f>IF(H1789="","",ROW()-4)</f>
        <v/>
      </c>
      <c r="B1789" s="13">
        <f>IF(H1789="","",ROW()-4)</f>
        <v/>
      </c>
    </row>
    <row r="1790">
      <c r="A1790" s="13">
        <f>IF(H1790="","",ROW()-4)</f>
        <v/>
      </c>
      <c r="B1790" s="13">
        <f>IF(H1790="","",ROW()-4)</f>
        <v/>
      </c>
    </row>
    <row r="1791">
      <c r="A1791" s="13">
        <f>IF(H1791="","",ROW()-4)</f>
        <v/>
      </c>
      <c r="B1791" s="13">
        <f>IF(H1791="","",ROW()-4)</f>
        <v/>
      </c>
    </row>
    <row r="1792">
      <c r="A1792" s="13">
        <f>IF(H1792="","",ROW()-4)</f>
        <v/>
      </c>
      <c r="B1792" s="13">
        <f>IF(H1792="","",ROW()-4)</f>
        <v/>
      </c>
    </row>
    <row r="1793">
      <c r="A1793" s="13">
        <f>IF(H1793="","",ROW()-4)</f>
        <v/>
      </c>
      <c r="B1793" s="13">
        <f>IF(H1793="","",ROW()-4)</f>
        <v/>
      </c>
    </row>
    <row r="1794">
      <c r="A1794" s="13">
        <f>IF(H1794="","",ROW()-4)</f>
        <v/>
      </c>
      <c r="B1794" s="13">
        <f>IF(H1794="","",ROW()-4)</f>
        <v/>
      </c>
    </row>
    <row r="1795">
      <c r="A1795" s="13">
        <f>IF(H1795="","",ROW()-4)</f>
        <v/>
      </c>
      <c r="B1795" s="13">
        <f>IF(H1795="","",ROW()-4)</f>
        <v/>
      </c>
    </row>
    <row r="1796">
      <c r="A1796" s="13">
        <f>IF(H1796="","",ROW()-4)</f>
        <v/>
      </c>
      <c r="B1796" s="13">
        <f>IF(H1796="","",ROW()-4)</f>
        <v/>
      </c>
    </row>
    <row r="1797">
      <c r="A1797" s="13">
        <f>IF(H1797="","",ROW()-4)</f>
        <v/>
      </c>
      <c r="B1797" s="13">
        <f>IF(H1797="","",ROW()-4)</f>
        <v/>
      </c>
    </row>
    <row r="1798">
      <c r="A1798" s="13">
        <f>IF(H1798="","",ROW()-4)</f>
        <v/>
      </c>
      <c r="B1798" s="13">
        <f>IF(H1798="","",ROW()-4)</f>
        <v/>
      </c>
    </row>
    <row r="1799">
      <c r="A1799" s="13">
        <f>IF(H1799="","",ROW()-4)</f>
        <v/>
      </c>
      <c r="B1799" s="13">
        <f>IF(H1799="","",ROW()-4)</f>
        <v/>
      </c>
    </row>
    <row r="1800">
      <c r="A1800" s="13">
        <f>IF(H1800="","",ROW()-4)</f>
        <v/>
      </c>
      <c r="B1800" s="13">
        <f>IF(H1800="","",ROW()-4)</f>
        <v/>
      </c>
    </row>
    <row r="1801">
      <c r="A1801" s="13">
        <f>IF(H1801="","",ROW()-4)</f>
        <v/>
      </c>
      <c r="B1801" s="13">
        <f>IF(H1801="","",ROW()-4)</f>
        <v/>
      </c>
    </row>
    <row r="1802">
      <c r="A1802" s="13">
        <f>IF(H1802="","",ROW()-4)</f>
        <v/>
      </c>
      <c r="B1802" s="13">
        <f>IF(H1802="","",ROW()-4)</f>
        <v/>
      </c>
    </row>
    <row r="1803">
      <c r="A1803" s="13">
        <f>IF(H1803="","",ROW()-4)</f>
        <v/>
      </c>
      <c r="B1803" s="13">
        <f>IF(H1803="","",ROW()-4)</f>
        <v/>
      </c>
    </row>
    <row r="1804">
      <c r="A1804" s="13">
        <f>IF(H1804="","",ROW()-4)</f>
        <v/>
      </c>
      <c r="B1804" s="13">
        <f>IF(H1804="","",ROW()-4)</f>
        <v/>
      </c>
    </row>
    <row r="1805">
      <c r="A1805" s="13">
        <f>IF(H1805="","",ROW()-4)</f>
        <v/>
      </c>
      <c r="B1805" s="13">
        <f>IF(H1805="","",ROW()-4)</f>
        <v/>
      </c>
    </row>
    <row r="1806">
      <c r="A1806" s="13">
        <f>IF(H1806="","",ROW()-4)</f>
        <v/>
      </c>
      <c r="B1806" s="13">
        <f>IF(H1806="","",ROW()-4)</f>
        <v/>
      </c>
    </row>
    <row r="1807">
      <c r="A1807" s="13">
        <f>IF(H1807="","",ROW()-4)</f>
        <v/>
      </c>
      <c r="B1807" s="13">
        <f>IF(H1807="","",ROW()-4)</f>
        <v/>
      </c>
    </row>
    <row r="1808">
      <c r="A1808" s="13">
        <f>IF(H1808="","",ROW()-4)</f>
        <v/>
      </c>
      <c r="B1808" s="13">
        <f>IF(H1808="","",ROW()-4)</f>
        <v/>
      </c>
    </row>
    <row r="1809">
      <c r="A1809" s="13">
        <f>IF(H1809="","",ROW()-4)</f>
        <v/>
      </c>
      <c r="B1809" s="13">
        <f>IF(H1809="","",ROW()-4)</f>
        <v/>
      </c>
    </row>
    <row r="1810">
      <c r="A1810" s="13">
        <f>IF(H1810="","",ROW()-4)</f>
        <v/>
      </c>
      <c r="B1810" s="13">
        <f>IF(H1810="","",ROW()-4)</f>
        <v/>
      </c>
    </row>
    <row r="1811">
      <c r="A1811" s="13">
        <f>IF(H1811="","",ROW()-4)</f>
        <v/>
      </c>
      <c r="B1811" s="13">
        <f>IF(H1811="","",ROW()-4)</f>
        <v/>
      </c>
    </row>
    <row r="1812">
      <c r="A1812" s="13">
        <f>IF(H1812="","",ROW()-4)</f>
        <v/>
      </c>
      <c r="B1812" s="13">
        <f>IF(H1812="","",ROW()-4)</f>
        <v/>
      </c>
    </row>
    <row r="1813">
      <c r="A1813" s="13">
        <f>IF(H1813="","",ROW()-4)</f>
        <v/>
      </c>
      <c r="B1813" s="13">
        <f>IF(H1813="","",ROW()-4)</f>
        <v/>
      </c>
    </row>
    <row r="1814">
      <c r="A1814" s="13">
        <f>IF(H1814="","",ROW()-4)</f>
        <v/>
      </c>
      <c r="B1814" s="13">
        <f>IF(H1814="","",ROW()-4)</f>
        <v/>
      </c>
    </row>
    <row r="1815">
      <c r="A1815" s="13">
        <f>IF(H1815="","",ROW()-4)</f>
        <v/>
      </c>
      <c r="B1815" s="13">
        <f>IF(H1815="","",ROW()-4)</f>
        <v/>
      </c>
    </row>
    <row r="1816">
      <c r="A1816" s="13">
        <f>IF(H1816="","",ROW()-4)</f>
        <v/>
      </c>
      <c r="B1816" s="13">
        <f>IF(H1816="","",ROW()-4)</f>
        <v/>
      </c>
    </row>
    <row r="1817">
      <c r="A1817" s="13">
        <f>IF(H1817="","",ROW()-4)</f>
        <v/>
      </c>
      <c r="B1817" s="13">
        <f>IF(H1817="","",ROW()-4)</f>
        <v/>
      </c>
    </row>
    <row r="1818">
      <c r="A1818" s="13">
        <f>IF(H1818="","",ROW()-4)</f>
        <v/>
      </c>
      <c r="B1818" s="13">
        <f>IF(H1818="","",ROW()-4)</f>
        <v/>
      </c>
    </row>
    <row r="1819">
      <c r="A1819" s="13">
        <f>IF(H1819="","",ROW()-4)</f>
        <v/>
      </c>
      <c r="B1819" s="13">
        <f>IF(H1819="","",ROW()-4)</f>
        <v/>
      </c>
    </row>
    <row r="1820">
      <c r="A1820" s="13">
        <f>IF(H1820="","",ROW()-4)</f>
        <v/>
      </c>
      <c r="B1820" s="13">
        <f>IF(H1820="","",ROW()-4)</f>
        <v/>
      </c>
    </row>
    <row r="1821">
      <c r="A1821" s="13">
        <f>IF(H1821="","",ROW()-4)</f>
        <v/>
      </c>
      <c r="B1821" s="13">
        <f>IF(H1821="","",ROW()-4)</f>
        <v/>
      </c>
    </row>
    <row r="1822">
      <c r="A1822" s="13">
        <f>IF(H1822="","",ROW()-4)</f>
        <v/>
      </c>
      <c r="B1822" s="13">
        <f>IF(H1822="","",ROW()-4)</f>
        <v/>
      </c>
    </row>
    <row r="1823">
      <c r="A1823" s="13">
        <f>IF(H1823="","",ROW()-4)</f>
        <v/>
      </c>
      <c r="B1823" s="13">
        <f>IF(H1823="","",ROW()-4)</f>
        <v/>
      </c>
    </row>
    <row r="1824">
      <c r="A1824" s="13">
        <f>IF(H1824="","",ROW()-4)</f>
        <v/>
      </c>
      <c r="B1824" s="13">
        <f>IF(H1824="","",ROW()-4)</f>
        <v/>
      </c>
    </row>
    <row r="1825">
      <c r="A1825" s="13">
        <f>IF(H1825="","",ROW()-4)</f>
        <v/>
      </c>
      <c r="B1825" s="13">
        <f>IF(H1825="","",ROW()-4)</f>
        <v/>
      </c>
    </row>
    <row r="1826">
      <c r="A1826" s="13">
        <f>IF(H1826="","",ROW()-4)</f>
        <v/>
      </c>
      <c r="B1826" s="13">
        <f>IF(H1826="","",ROW()-4)</f>
        <v/>
      </c>
    </row>
    <row r="1827">
      <c r="A1827" s="13">
        <f>IF(H1827="","",ROW()-4)</f>
        <v/>
      </c>
      <c r="B1827" s="13">
        <f>IF(H1827="","",ROW()-4)</f>
        <v/>
      </c>
    </row>
    <row r="1828">
      <c r="A1828" s="13">
        <f>IF(H1828="","",ROW()-4)</f>
        <v/>
      </c>
      <c r="B1828" s="13">
        <f>IF(H1828="","",ROW()-4)</f>
        <v/>
      </c>
    </row>
    <row r="1829">
      <c r="A1829" s="13">
        <f>IF(H1829="","",ROW()-4)</f>
        <v/>
      </c>
      <c r="B1829" s="13">
        <f>IF(H1829="","",ROW()-4)</f>
        <v/>
      </c>
    </row>
    <row r="1830">
      <c r="A1830" s="13">
        <f>IF(H1830="","",ROW()-4)</f>
        <v/>
      </c>
      <c r="B1830" s="13">
        <f>IF(H1830="","",ROW()-4)</f>
        <v/>
      </c>
    </row>
    <row r="1831">
      <c r="A1831" s="13">
        <f>IF(H1831="","",ROW()-4)</f>
        <v/>
      </c>
      <c r="B1831" s="13">
        <f>IF(H1831="","",ROW()-4)</f>
        <v/>
      </c>
    </row>
    <row r="1832">
      <c r="A1832" s="13">
        <f>IF(H1832="","",ROW()-4)</f>
        <v/>
      </c>
      <c r="B1832" s="13">
        <f>IF(H1832="","",ROW()-4)</f>
        <v/>
      </c>
    </row>
    <row r="1833">
      <c r="A1833" s="13">
        <f>IF(H1833="","",ROW()-4)</f>
        <v/>
      </c>
      <c r="B1833" s="13">
        <f>IF(H1833="","",ROW()-4)</f>
        <v/>
      </c>
    </row>
    <row r="1834">
      <c r="A1834" s="13">
        <f>IF(H1834="","",ROW()-4)</f>
        <v/>
      </c>
      <c r="B1834" s="13">
        <f>IF(H1834="","",ROW()-4)</f>
        <v/>
      </c>
    </row>
    <row r="1835">
      <c r="A1835" s="13">
        <f>IF(H1835="","",ROW()-4)</f>
        <v/>
      </c>
      <c r="B1835" s="13">
        <f>IF(H1835="","",ROW()-4)</f>
        <v/>
      </c>
    </row>
    <row r="1836">
      <c r="A1836" s="13">
        <f>IF(H1836="","",ROW()-4)</f>
        <v/>
      </c>
      <c r="B1836" s="13">
        <f>IF(H1836="","",ROW()-4)</f>
        <v/>
      </c>
    </row>
    <row r="1837">
      <c r="A1837" s="13">
        <f>IF(H1837="","",ROW()-4)</f>
        <v/>
      </c>
      <c r="B1837" s="13">
        <f>IF(H1837="","",ROW()-4)</f>
        <v/>
      </c>
    </row>
    <row r="1838">
      <c r="A1838" s="13">
        <f>IF(H1838="","",ROW()-4)</f>
        <v/>
      </c>
      <c r="B1838" s="13">
        <f>IF(H1838="","",ROW()-4)</f>
        <v/>
      </c>
    </row>
    <row r="1839">
      <c r="A1839" s="13">
        <f>IF(H1839="","",ROW()-4)</f>
        <v/>
      </c>
      <c r="B1839" s="13">
        <f>IF(H1839="","",ROW()-4)</f>
        <v/>
      </c>
    </row>
    <row r="1840">
      <c r="A1840" s="13">
        <f>IF(H1840="","",ROW()-4)</f>
        <v/>
      </c>
      <c r="B1840" s="13">
        <f>IF(H1840="","",ROW()-4)</f>
        <v/>
      </c>
    </row>
    <row r="1841">
      <c r="A1841" s="13">
        <f>IF(H1841="","",ROW()-4)</f>
        <v/>
      </c>
      <c r="B1841" s="13">
        <f>IF(H1841="","",ROW()-4)</f>
        <v/>
      </c>
    </row>
    <row r="1842">
      <c r="A1842" s="13">
        <f>IF(H1842="","",ROW()-4)</f>
        <v/>
      </c>
      <c r="B1842" s="13">
        <f>IF(H1842="","",ROW()-4)</f>
        <v/>
      </c>
    </row>
    <row r="1843">
      <c r="A1843" s="13">
        <f>IF(H1843="","",ROW()-4)</f>
        <v/>
      </c>
      <c r="B1843" s="13">
        <f>IF(H1843="","",ROW()-4)</f>
        <v/>
      </c>
    </row>
    <row r="1844">
      <c r="A1844" s="13">
        <f>IF(H1844="","",ROW()-4)</f>
        <v/>
      </c>
      <c r="B1844" s="13">
        <f>IF(H1844="","",ROW()-4)</f>
        <v/>
      </c>
    </row>
    <row r="1845">
      <c r="A1845" s="13">
        <f>IF(H1845="","",ROW()-4)</f>
        <v/>
      </c>
      <c r="B1845" s="13">
        <f>IF(H1845="","",ROW()-4)</f>
        <v/>
      </c>
    </row>
    <row r="1846">
      <c r="A1846" s="13">
        <f>IF(H1846="","",ROW()-4)</f>
        <v/>
      </c>
      <c r="B1846" s="13">
        <f>IF(H1846="","",ROW()-4)</f>
        <v/>
      </c>
    </row>
    <row r="1847">
      <c r="A1847" s="13">
        <f>IF(H1847="","",ROW()-4)</f>
        <v/>
      </c>
      <c r="B1847" s="13">
        <f>IF(H1847="","",ROW()-4)</f>
        <v/>
      </c>
    </row>
    <row r="1848">
      <c r="A1848" s="13">
        <f>IF(H1848="","",ROW()-4)</f>
        <v/>
      </c>
      <c r="B1848" s="13">
        <f>IF(H1848="","",ROW()-4)</f>
        <v/>
      </c>
    </row>
    <row r="1849">
      <c r="A1849" s="13">
        <f>IF(H1849="","",ROW()-4)</f>
        <v/>
      </c>
      <c r="B1849" s="13">
        <f>IF(H1849="","",ROW()-4)</f>
        <v/>
      </c>
    </row>
    <row r="1850">
      <c r="A1850" s="13">
        <f>IF(H1850="","",ROW()-4)</f>
        <v/>
      </c>
      <c r="B1850" s="13">
        <f>IF(H1850="","",ROW()-4)</f>
        <v/>
      </c>
    </row>
    <row r="1851">
      <c r="A1851" s="13">
        <f>IF(H1851="","",ROW()-4)</f>
        <v/>
      </c>
      <c r="B1851" s="13">
        <f>IF(H1851="","",ROW()-4)</f>
        <v/>
      </c>
    </row>
    <row r="1852">
      <c r="A1852" s="13">
        <f>IF(H1852="","",ROW()-4)</f>
        <v/>
      </c>
      <c r="B1852" s="13">
        <f>IF(H1852="","",ROW()-4)</f>
        <v/>
      </c>
    </row>
    <row r="1853">
      <c r="A1853" s="13">
        <f>IF(H1853="","",ROW()-4)</f>
        <v/>
      </c>
      <c r="B1853" s="13">
        <f>IF(H1853="","",ROW()-4)</f>
        <v/>
      </c>
    </row>
    <row r="1854">
      <c r="A1854" s="13">
        <f>IF(H1854="","",ROW()-4)</f>
        <v/>
      </c>
      <c r="B1854" s="13">
        <f>IF(H1854="","",ROW()-4)</f>
        <v/>
      </c>
    </row>
    <row r="1855">
      <c r="A1855" s="13">
        <f>IF(H1855="","",ROW()-4)</f>
        <v/>
      </c>
      <c r="B1855" s="13">
        <f>IF(H1855="","",ROW()-4)</f>
        <v/>
      </c>
    </row>
    <row r="1856">
      <c r="A1856" s="13">
        <f>IF(H1856="","",ROW()-4)</f>
        <v/>
      </c>
      <c r="B1856" s="13">
        <f>IF(H1856="","",ROW()-4)</f>
        <v/>
      </c>
    </row>
    <row r="1857">
      <c r="A1857" s="13">
        <f>IF(H1857="","",ROW()-4)</f>
        <v/>
      </c>
      <c r="B1857" s="13">
        <f>IF(H1857="","",ROW()-4)</f>
        <v/>
      </c>
    </row>
    <row r="1858">
      <c r="A1858" s="13">
        <f>IF(H1858="","",ROW()-4)</f>
        <v/>
      </c>
      <c r="B1858" s="13">
        <f>IF(H1858="","",ROW()-4)</f>
        <v/>
      </c>
    </row>
    <row r="1859">
      <c r="A1859" s="13">
        <f>IF(H1859="","",ROW()-4)</f>
        <v/>
      </c>
      <c r="B1859" s="13">
        <f>IF(H1859="","",ROW()-4)</f>
        <v/>
      </c>
    </row>
    <row r="1860">
      <c r="A1860" s="13">
        <f>IF(H1860="","",ROW()-4)</f>
        <v/>
      </c>
      <c r="B1860" s="13">
        <f>IF(H1860="","",ROW()-4)</f>
        <v/>
      </c>
    </row>
    <row r="1861">
      <c r="A1861" s="13">
        <f>IF(H1861="","",ROW()-4)</f>
        <v/>
      </c>
      <c r="B1861" s="13">
        <f>IF(H1861="","",ROW()-4)</f>
        <v/>
      </c>
    </row>
    <row r="1862">
      <c r="A1862" s="13">
        <f>IF(H1862="","",ROW()-4)</f>
        <v/>
      </c>
      <c r="B1862" s="13">
        <f>IF(H1862="","",ROW()-4)</f>
        <v/>
      </c>
    </row>
    <row r="1863">
      <c r="A1863" s="13">
        <f>IF(H1863="","",ROW()-4)</f>
        <v/>
      </c>
      <c r="B1863" s="13">
        <f>IF(H1863="","",ROW()-4)</f>
        <v/>
      </c>
    </row>
    <row r="1864">
      <c r="A1864" s="13">
        <f>IF(H1864="","",ROW()-4)</f>
        <v/>
      </c>
      <c r="B1864" s="13">
        <f>IF(H1864="","",ROW()-4)</f>
        <v/>
      </c>
    </row>
    <row r="1865">
      <c r="A1865" s="13">
        <f>IF(H1865="","",ROW()-4)</f>
        <v/>
      </c>
      <c r="B1865" s="13">
        <f>IF(H1865="","",ROW()-4)</f>
        <v/>
      </c>
    </row>
    <row r="1866">
      <c r="A1866" s="13">
        <f>IF(H1866="","",ROW()-4)</f>
        <v/>
      </c>
      <c r="B1866" s="13">
        <f>IF(H1866="","",ROW()-4)</f>
        <v/>
      </c>
    </row>
    <row r="1867">
      <c r="A1867" s="13">
        <f>IF(H1867="","",ROW()-4)</f>
        <v/>
      </c>
      <c r="B1867" s="13">
        <f>IF(H1867="","",ROW()-4)</f>
        <v/>
      </c>
    </row>
    <row r="1868">
      <c r="A1868" s="13">
        <f>IF(H1868="","",ROW()-4)</f>
        <v/>
      </c>
      <c r="B1868" s="13">
        <f>IF(H1868="","",ROW()-4)</f>
        <v/>
      </c>
    </row>
    <row r="1869">
      <c r="A1869" s="13">
        <f>IF(H1869="","",ROW()-4)</f>
        <v/>
      </c>
      <c r="B1869" s="13">
        <f>IF(H1869="","",ROW()-4)</f>
        <v/>
      </c>
    </row>
    <row r="1870">
      <c r="A1870" s="13">
        <f>IF(H1870="","",ROW()-4)</f>
        <v/>
      </c>
      <c r="B1870" s="13">
        <f>IF(H1870="","",ROW()-4)</f>
        <v/>
      </c>
    </row>
    <row r="1871">
      <c r="A1871" s="13">
        <f>IF(H1871="","",ROW()-4)</f>
        <v/>
      </c>
      <c r="B1871" s="13">
        <f>IF(H1871="","",ROW()-4)</f>
        <v/>
      </c>
    </row>
    <row r="1872">
      <c r="A1872" s="13">
        <f>IF(H1872="","",ROW()-4)</f>
        <v/>
      </c>
      <c r="B1872" s="13">
        <f>IF(H1872="","",ROW()-4)</f>
        <v/>
      </c>
    </row>
    <row r="1873">
      <c r="A1873" s="13">
        <f>IF(H1873="","",ROW()-4)</f>
        <v/>
      </c>
      <c r="B1873" s="13">
        <f>IF(H1873="","",ROW()-4)</f>
        <v/>
      </c>
    </row>
    <row r="1874">
      <c r="A1874" s="13">
        <f>IF(H1874="","",ROW()-4)</f>
        <v/>
      </c>
      <c r="B1874" s="13">
        <f>IF(H1874="","",ROW()-4)</f>
        <v/>
      </c>
    </row>
    <row r="1875">
      <c r="A1875" s="13">
        <f>IF(H1875="","",ROW()-4)</f>
        <v/>
      </c>
      <c r="B1875" s="13">
        <f>IF(H1875="","",ROW()-4)</f>
        <v/>
      </c>
    </row>
    <row r="1876">
      <c r="A1876" s="13">
        <f>IF(H1876="","",ROW()-4)</f>
        <v/>
      </c>
      <c r="B1876" s="13">
        <f>IF(H1876="","",ROW()-4)</f>
        <v/>
      </c>
    </row>
    <row r="1877">
      <c r="A1877" s="13">
        <f>IF(H1877="","",ROW()-4)</f>
        <v/>
      </c>
      <c r="B1877" s="13">
        <f>IF(H1877="","",ROW()-4)</f>
        <v/>
      </c>
    </row>
    <row r="1878">
      <c r="A1878" s="13">
        <f>IF(H1878="","",ROW()-4)</f>
        <v/>
      </c>
      <c r="B1878" s="13">
        <f>IF(H1878="","",ROW()-4)</f>
        <v/>
      </c>
    </row>
    <row r="1879">
      <c r="A1879" s="13">
        <f>IF(H1879="","",ROW()-4)</f>
        <v/>
      </c>
      <c r="B1879" s="13">
        <f>IF(H1879="","",ROW()-4)</f>
        <v/>
      </c>
    </row>
    <row r="1880">
      <c r="A1880" s="13">
        <f>IF(H1880="","",ROW()-4)</f>
        <v/>
      </c>
      <c r="B1880" s="13">
        <f>IF(H1880="","",ROW()-4)</f>
        <v/>
      </c>
    </row>
    <row r="1881">
      <c r="A1881" s="13">
        <f>IF(H1881="","",ROW()-4)</f>
        <v/>
      </c>
      <c r="B1881" s="13">
        <f>IF(H1881="","",ROW()-4)</f>
        <v/>
      </c>
    </row>
    <row r="1882">
      <c r="A1882" s="13">
        <f>IF(H1882="","",ROW()-4)</f>
        <v/>
      </c>
      <c r="B1882" s="13">
        <f>IF(H1882="","",ROW()-4)</f>
        <v/>
      </c>
    </row>
    <row r="1883">
      <c r="A1883" s="13">
        <f>IF(H1883="","",ROW()-4)</f>
        <v/>
      </c>
      <c r="B1883" s="13">
        <f>IF(H1883="","",ROW()-4)</f>
        <v/>
      </c>
    </row>
    <row r="1884">
      <c r="A1884" s="13">
        <f>IF(H1884="","",ROW()-4)</f>
        <v/>
      </c>
      <c r="B1884" s="13">
        <f>IF(H1884="","",ROW()-4)</f>
        <v/>
      </c>
    </row>
    <row r="1885">
      <c r="A1885" s="13">
        <f>IF(H1885="","",ROW()-4)</f>
        <v/>
      </c>
      <c r="B1885" s="13">
        <f>IF(H1885="","",ROW()-4)</f>
        <v/>
      </c>
    </row>
    <row r="1886">
      <c r="A1886" s="13">
        <f>IF(H1886="","",ROW()-4)</f>
        <v/>
      </c>
      <c r="B1886" s="13">
        <f>IF(H1886="","",ROW()-4)</f>
        <v/>
      </c>
    </row>
    <row r="1887">
      <c r="A1887" s="13">
        <f>IF(H1887="","",ROW()-4)</f>
        <v/>
      </c>
      <c r="B1887" s="13">
        <f>IF(H1887="","",ROW()-4)</f>
        <v/>
      </c>
    </row>
    <row r="1888">
      <c r="A1888" s="13">
        <f>IF(H1888="","",ROW()-4)</f>
        <v/>
      </c>
      <c r="B1888" s="13">
        <f>IF(H1888="","",ROW()-4)</f>
        <v/>
      </c>
    </row>
    <row r="1889">
      <c r="A1889" s="13">
        <f>IF(H1889="","",ROW()-4)</f>
        <v/>
      </c>
      <c r="B1889" s="13">
        <f>IF(H1889="","",ROW()-4)</f>
        <v/>
      </c>
    </row>
    <row r="1890">
      <c r="A1890" s="13">
        <f>IF(H1890="","",ROW()-4)</f>
        <v/>
      </c>
      <c r="B1890" s="13">
        <f>IF(H1890="","",ROW()-4)</f>
        <v/>
      </c>
    </row>
    <row r="1891">
      <c r="A1891" s="13">
        <f>IF(H1891="","",ROW()-4)</f>
        <v/>
      </c>
      <c r="B1891" s="13">
        <f>IF(H1891="","",ROW()-4)</f>
        <v/>
      </c>
    </row>
    <row r="1892">
      <c r="A1892" s="13">
        <f>IF(H1892="","",ROW()-4)</f>
        <v/>
      </c>
      <c r="B1892" s="13">
        <f>IF(H1892="","",ROW()-4)</f>
        <v/>
      </c>
    </row>
    <row r="1893">
      <c r="A1893" s="13">
        <f>IF(H1893="","",ROW()-4)</f>
        <v/>
      </c>
      <c r="B1893" s="13">
        <f>IF(H1893="","",ROW()-4)</f>
        <v/>
      </c>
    </row>
    <row r="1894">
      <c r="A1894" s="13">
        <f>IF(H1894="","",ROW()-4)</f>
        <v/>
      </c>
      <c r="B1894" s="13">
        <f>IF(H1894="","",ROW()-4)</f>
        <v/>
      </c>
    </row>
    <row r="1895">
      <c r="A1895" s="13">
        <f>IF(H1895="","",ROW()-4)</f>
        <v/>
      </c>
      <c r="B1895" s="13">
        <f>IF(H1895="","",ROW()-4)</f>
        <v/>
      </c>
    </row>
    <row r="1896">
      <c r="A1896" s="13">
        <f>IF(H1896="","",ROW()-4)</f>
        <v/>
      </c>
      <c r="B1896" s="13">
        <f>IF(H1896="","",ROW()-4)</f>
        <v/>
      </c>
    </row>
    <row r="1897">
      <c r="A1897" s="13">
        <f>IF(H1897="","",ROW()-4)</f>
        <v/>
      </c>
      <c r="B1897" s="13">
        <f>IF(H1897="","",ROW()-4)</f>
        <v/>
      </c>
    </row>
    <row r="1898">
      <c r="A1898" s="13">
        <f>IF(H1898="","",ROW()-4)</f>
        <v/>
      </c>
      <c r="B1898" s="13">
        <f>IF(H1898="","",ROW()-4)</f>
        <v/>
      </c>
    </row>
    <row r="1899">
      <c r="A1899" s="13">
        <f>IF(H1899="","",ROW()-4)</f>
        <v/>
      </c>
      <c r="B1899" s="13">
        <f>IF(H1899="","",ROW()-4)</f>
        <v/>
      </c>
    </row>
    <row r="1900">
      <c r="A1900" s="13">
        <f>IF(H1900="","",ROW()-4)</f>
        <v/>
      </c>
      <c r="B1900" s="13">
        <f>IF(H1900="","",ROW()-4)</f>
        <v/>
      </c>
    </row>
    <row r="1901">
      <c r="A1901" s="13">
        <f>IF(H1901="","",ROW()-4)</f>
        <v/>
      </c>
      <c r="B1901" s="13">
        <f>IF(H1901="","",ROW()-4)</f>
        <v/>
      </c>
    </row>
    <row r="1902">
      <c r="A1902" s="13">
        <f>IF(H1902="","",ROW()-4)</f>
        <v/>
      </c>
      <c r="B1902" s="13">
        <f>IF(H1902="","",ROW()-4)</f>
        <v/>
      </c>
    </row>
    <row r="1903">
      <c r="A1903" s="13">
        <f>IF(H1903="","",ROW()-4)</f>
        <v/>
      </c>
      <c r="B1903" s="13">
        <f>IF(H1903="","",ROW()-4)</f>
        <v/>
      </c>
    </row>
    <row r="1904">
      <c r="A1904" s="13">
        <f>IF(H1904="","",ROW()-4)</f>
        <v/>
      </c>
      <c r="B1904" s="13">
        <f>IF(H1904="","",ROW()-4)</f>
        <v/>
      </c>
    </row>
    <row r="1905">
      <c r="A1905" s="13">
        <f>IF(H1905="","",ROW()-4)</f>
        <v/>
      </c>
      <c r="B1905" s="13">
        <f>IF(H1905="","",ROW()-4)</f>
        <v/>
      </c>
    </row>
    <row r="1906">
      <c r="A1906" s="13">
        <f>IF(H1906="","",ROW()-4)</f>
        <v/>
      </c>
      <c r="B1906" s="13">
        <f>IF(H1906="","",ROW()-4)</f>
        <v/>
      </c>
    </row>
    <row r="1907">
      <c r="A1907" s="13">
        <f>IF(H1907="","",ROW()-4)</f>
        <v/>
      </c>
      <c r="B1907" s="13">
        <f>IF(H1907="","",ROW()-4)</f>
        <v/>
      </c>
    </row>
    <row r="1908">
      <c r="A1908" s="13">
        <f>IF(H1908="","",ROW()-4)</f>
        <v/>
      </c>
      <c r="B1908" s="13">
        <f>IF(H1908="","",ROW()-4)</f>
        <v/>
      </c>
    </row>
    <row r="1909">
      <c r="A1909" s="13">
        <f>IF(H1909="","",ROW()-4)</f>
        <v/>
      </c>
      <c r="B1909" s="13">
        <f>IF(H1909="","",ROW()-4)</f>
        <v/>
      </c>
    </row>
    <row r="1910">
      <c r="A1910" s="13">
        <f>IF(H1910="","",ROW()-4)</f>
        <v/>
      </c>
      <c r="B1910" s="13">
        <f>IF(H1910="","",ROW()-4)</f>
        <v/>
      </c>
    </row>
    <row r="1911">
      <c r="A1911" s="13">
        <f>IF(H1911="","",ROW()-4)</f>
        <v/>
      </c>
      <c r="B1911" s="13">
        <f>IF(H1911="","",ROW()-4)</f>
        <v/>
      </c>
    </row>
    <row r="1912">
      <c r="A1912" s="13">
        <f>IF(H1912="","",ROW()-4)</f>
        <v/>
      </c>
      <c r="B1912" s="13">
        <f>IF(H1912="","",ROW()-4)</f>
        <v/>
      </c>
    </row>
    <row r="1913">
      <c r="A1913" s="13">
        <f>IF(H1913="","",ROW()-4)</f>
        <v/>
      </c>
      <c r="B1913" s="13">
        <f>IF(H1913="","",ROW()-4)</f>
        <v/>
      </c>
    </row>
    <row r="1914">
      <c r="A1914" s="13">
        <f>IF(H1914="","",ROW()-4)</f>
        <v/>
      </c>
      <c r="B1914" s="13">
        <f>IF(H1914="","",ROW()-4)</f>
        <v/>
      </c>
    </row>
    <row r="1915">
      <c r="A1915" s="13">
        <f>IF(H1915="","",ROW()-4)</f>
        <v/>
      </c>
      <c r="B1915" s="13">
        <f>IF(H1915="","",ROW()-4)</f>
        <v/>
      </c>
    </row>
    <row r="1916">
      <c r="A1916" s="13">
        <f>IF(H1916="","",ROW()-4)</f>
        <v/>
      </c>
      <c r="B1916" s="13">
        <f>IF(H1916="","",ROW()-4)</f>
        <v/>
      </c>
    </row>
    <row r="1917">
      <c r="A1917" s="13">
        <f>IF(H1917="","",ROW()-4)</f>
        <v/>
      </c>
      <c r="B1917" s="13">
        <f>IF(H1917="","",ROW()-4)</f>
        <v/>
      </c>
    </row>
    <row r="1918">
      <c r="A1918" s="13">
        <f>IF(H1918="","",ROW()-4)</f>
        <v/>
      </c>
      <c r="B1918" s="13">
        <f>IF(H1918="","",ROW()-4)</f>
        <v/>
      </c>
    </row>
    <row r="1919">
      <c r="A1919" s="13">
        <f>IF(H1919="","",ROW()-4)</f>
        <v/>
      </c>
      <c r="B1919" s="13">
        <f>IF(H1919="","",ROW()-4)</f>
        <v/>
      </c>
    </row>
    <row r="1920">
      <c r="A1920" s="13">
        <f>IF(H1920="","",ROW()-4)</f>
        <v/>
      </c>
      <c r="B1920" s="13">
        <f>IF(H1920="","",ROW()-4)</f>
        <v/>
      </c>
    </row>
    <row r="1921">
      <c r="A1921" s="13">
        <f>IF(H1921="","",ROW()-4)</f>
        <v/>
      </c>
      <c r="B1921" s="13">
        <f>IF(H1921="","",ROW()-4)</f>
        <v/>
      </c>
    </row>
    <row r="1922">
      <c r="A1922" s="13">
        <f>IF(H1922="","",ROW()-4)</f>
        <v/>
      </c>
      <c r="B1922" s="13">
        <f>IF(H1922="","",ROW()-4)</f>
        <v/>
      </c>
    </row>
    <row r="1923">
      <c r="A1923" s="13">
        <f>IF(H1923="","",ROW()-4)</f>
        <v/>
      </c>
      <c r="B1923" s="13">
        <f>IF(H1923="","",ROW()-4)</f>
        <v/>
      </c>
    </row>
    <row r="1924">
      <c r="A1924" s="13">
        <f>IF(H1924="","",ROW()-4)</f>
        <v/>
      </c>
      <c r="B1924" s="13">
        <f>IF(H1924="","",ROW()-4)</f>
        <v/>
      </c>
    </row>
    <row r="1925">
      <c r="A1925" s="13">
        <f>IF(H1925="","",ROW()-4)</f>
        <v/>
      </c>
      <c r="B1925" s="13">
        <f>IF(H1925="","",ROW()-4)</f>
        <v/>
      </c>
    </row>
    <row r="1926">
      <c r="A1926" s="13">
        <f>IF(H1926="","",ROW()-4)</f>
        <v/>
      </c>
      <c r="B1926" s="13">
        <f>IF(H1926="","",ROW()-4)</f>
        <v/>
      </c>
    </row>
    <row r="1927">
      <c r="A1927" s="13">
        <f>IF(H1927="","",ROW()-4)</f>
        <v/>
      </c>
      <c r="B1927" s="13">
        <f>IF(H1927="","",ROW()-4)</f>
        <v/>
      </c>
    </row>
    <row r="1928">
      <c r="A1928" s="13">
        <f>IF(H1928="","",ROW()-4)</f>
        <v/>
      </c>
      <c r="B1928" s="13">
        <f>IF(H1928="","",ROW()-4)</f>
        <v/>
      </c>
    </row>
    <row r="1929">
      <c r="A1929" s="13">
        <f>IF(H1929="","",ROW()-4)</f>
        <v/>
      </c>
      <c r="B1929" s="13">
        <f>IF(H1929="","",ROW()-4)</f>
        <v/>
      </c>
    </row>
    <row r="1930">
      <c r="A1930" s="13">
        <f>IF(H1930="","",ROW()-4)</f>
        <v/>
      </c>
      <c r="B1930" s="13">
        <f>IF(H1930="","",ROW()-4)</f>
        <v/>
      </c>
    </row>
    <row r="1931">
      <c r="A1931" s="13">
        <f>IF(H1931="","",ROW()-4)</f>
        <v/>
      </c>
      <c r="B1931" s="13">
        <f>IF(H1931="","",ROW()-4)</f>
        <v/>
      </c>
    </row>
    <row r="1932">
      <c r="A1932" s="13">
        <f>IF(H1932="","",ROW()-4)</f>
        <v/>
      </c>
      <c r="B1932" s="13">
        <f>IF(H1932="","",ROW()-4)</f>
        <v/>
      </c>
    </row>
    <row r="1933">
      <c r="A1933" s="13">
        <f>IF(H1933="","",ROW()-4)</f>
        <v/>
      </c>
      <c r="B1933" s="13">
        <f>IF(H1933="","",ROW()-4)</f>
        <v/>
      </c>
    </row>
    <row r="1934">
      <c r="A1934" s="13">
        <f>IF(H1934="","",ROW()-4)</f>
        <v/>
      </c>
      <c r="B1934" s="13">
        <f>IF(H1934="","",ROW()-4)</f>
        <v/>
      </c>
    </row>
    <row r="1935">
      <c r="A1935" s="13">
        <f>IF(H1935="","",ROW()-4)</f>
        <v/>
      </c>
      <c r="B1935" s="13">
        <f>IF(H1935="","",ROW()-4)</f>
        <v/>
      </c>
    </row>
    <row r="1936">
      <c r="A1936" s="13">
        <f>IF(H1936="","",ROW()-4)</f>
        <v/>
      </c>
      <c r="B1936" s="13">
        <f>IF(H1936="","",ROW()-4)</f>
        <v/>
      </c>
    </row>
    <row r="1937">
      <c r="A1937" s="13">
        <f>IF(H1937="","",ROW()-4)</f>
        <v/>
      </c>
      <c r="B1937" s="13">
        <f>IF(H1937="","",ROW()-4)</f>
        <v/>
      </c>
    </row>
    <row r="1938">
      <c r="A1938" s="13">
        <f>IF(H1938="","",ROW()-4)</f>
        <v/>
      </c>
      <c r="B1938" s="13">
        <f>IF(H1938="","",ROW()-4)</f>
        <v/>
      </c>
    </row>
    <row r="1939">
      <c r="A1939" s="13">
        <f>IF(H1939="","",ROW()-4)</f>
        <v/>
      </c>
      <c r="B1939" s="13">
        <f>IF(H1939="","",ROW()-4)</f>
        <v/>
      </c>
    </row>
    <row r="1940">
      <c r="A1940" s="13">
        <f>IF(H1940="","",ROW()-4)</f>
        <v/>
      </c>
      <c r="B1940" s="13">
        <f>IF(H1940="","",ROW()-4)</f>
        <v/>
      </c>
    </row>
    <row r="1941">
      <c r="A1941" s="13">
        <f>IF(H1941="","",ROW()-4)</f>
        <v/>
      </c>
      <c r="B1941" s="13">
        <f>IF(H1941="","",ROW()-4)</f>
        <v/>
      </c>
    </row>
    <row r="1942">
      <c r="A1942" s="13">
        <f>IF(H1942="","",ROW()-4)</f>
        <v/>
      </c>
      <c r="B1942" s="13">
        <f>IF(H1942="","",ROW()-4)</f>
        <v/>
      </c>
    </row>
    <row r="1943">
      <c r="A1943" s="13">
        <f>IF(H1943="","",ROW()-4)</f>
        <v/>
      </c>
      <c r="B1943" s="13">
        <f>IF(H1943="","",ROW()-4)</f>
        <v/>
      </c>
    </row>
    <row r="1944">
      <c r="A1944" s="13">
        <f>IF(H1944="","",ROW()-4)</f>
        <v/>
      </c>
      <c r="B1944" s="13">
        <f>IF(H1944="","",ROW()-4)</f>
        <v/>
      </c>
    </row>
    <row r="1945">
      <c r="A1945" s="13">
        <f>IF(H1945="","",ROW()-4)</f>
        <v/>
      </c>
      <c r="B1945" s="13">
        <f>IF(H1945="","",ROW()-4)</f>
        <v/>
      </c>
    </row>
    <row r="1946">
      <c r="A1946" s="13">
        <f>IF(H1946="","",ROW()-4)</f>
        <v/>
      </c>
      <c r="B1946" s="13">
        <f>IF(H1946="","",ROW()-4)</f>
        <v/>
      </c>
    </row>
    <row r="1947">
      <c r="A1947" s="13">
        <f>IF(H1947="","",ROW()-4)</f>
        <v/>
      </c>
      <c r="B1947" s="13">
        <f>IF(H1947="","",ROW()-4)</f>
        <v/>
      </c>
    </row>
    <row r="1948">
      <c r="A1948" s="13">
        <f>IF(H1948="","",ROW()-4)</f>
        <v/>
      </c>
      <c r="B1948" s="13">
        <f>IF(H1948="","",ROW()-4)</f>
        <v/>
      </c>
    </row>
    <row r="1949">
      <c r="A1949" s="13">
        <f>IF(H1949="","",ROW()-4)</f>
        <v/>
      </c>
      <c r="B1949" s="13">
        <f>IF(H1949="","",ROW()-4)</f>
        <v/>
      </c>
    </row>
    <row r="1950">
      <c r="A1950" s="13">
        <f>IF(H1950="","",ROW()-4)</f>
        <v/>
      </c>
      <c r="B1950" s="13">
        <f>IF(H1950="","",ROW()-4)</f>
        <v/>
      </c>
    </row>
    <row r="1951">
      <c r="A1951" s="13">
        <f>IF(H1951="","",ROW()-4)</f>
        <v/>
      </c>
      <c r="B1951" s="13">
        <f>IF(H1951="","",ROW()-4)</f>
        <v/>
      </c>
    </row>
    <row r="1952">
      <c r="A1952" s="13">
        <f>IF(H1952="","",ROW()-4)</f>
        <v/>
      </c>
      <c r="B1952" s="13">
        <f>IF(H1952="","",ROW()-4)</f>
        <v/>
      </c>
    </row>
    <row r="1953">
      <c r="A1953" s="13">
        <f>IF(H1953="","",ROW()-4)</f>
        <v/>
      </c>
      <c r="B1953" s="13">
        <f>IF(H1953="","",ROW()-4)</f>
        <v/>
      </c>
    </row>
    <row r="1954">
      <c r="A1954" s="13">
        <f>IF(H1954="","",ROW()-4)</f>
        <v/>
      </c>
      <c r="B1954" s="13">
        <f>IF(H1954="","",ROW()-4)</f>
        <v/>
      </c>
    </row>
    <row r="1955">
      <c r="A1955" s="13">
        <f>IF(H1955="","",ROW()-4)</f>
        <v/>
      </c>
      <c r="B1955" s="13">
        <f>IF(H1955="","",ROW()-4)</f>
        <v/>
      </c>
    </row>
    <row r="1956">
      <c r="A1956" s="13">
        <f>IF(H1956="","",ROW()-4)</f>
        <v/>
      </c>
      <c r="B1956" s="13">
        <f>IF(H1956="","",ROW()-4)</f>
        <v/>
      </c>
    </row>
    <row r="1957">
      <c r="A1957" s="13">
        <f>IF(H1957="","",ROW()-4)</f>
        <v/>
      </c>
      <c r="B1957" s="13">
        <f>IF(H1957="","",ROW()-4)</f>
        <v/>
      </c>
    </row>
    <row r="1958">
      <c r="A1958" s="13">
        <f>IF(H1958="","",ROW()-4)</f>
        <v/>
      </c>
      <c r="B1958" s="13">
        <f>IF(H1958="","",ROW()-4)</f>
        <v/>
      </c>
    </row>
    <row r="1959">
      <c r="A1959" s="13">
        <f>IF(H1959="","",ROW()-4)</f>
        <v/>
      </c>
      <c r="B1959" s="13">
        <f>IF(H1959="","",ROW()-4)</f>
        <v/>
      </c>
    </row>
    <row r="1960">
      <c r="A1960" s="13">
        <f>IF(H1960="","",ROW()-4)</f>
        <v/>
      </c>
      <c r="B1960" s="13">
        <f>IF(H1960="","",ROW()-4)</f>
        <v/>
      </c>
    </row>
    <row r="1961">
      <c r="A1961" s="13">
        <f>IF(H1961="","",ROW()-4)</f>
        <v/>
      </c>
      <c r="B1961" s="13">
        <f>IF(H1961="","",ROW()-4)</f>
        <v/>
      </c>
    </row>
    <row r="1962">
      <c r="A1962" s="13">
        <f>IF(H1962="","",ROW()-4)</f>
        <v/>
      </c>
      <c r="B1962" s="13">
        <f>IF(H1962="","",ROW()-4)</f>
        <v/>
      </c>
    </row>
    <row r="1963">
      <c r="A1963" s="13">
        <f>IF(H1963="","",ROW()-4)</f>
        <v/>
      </c>
      <c r="B1963" s="13">
        <f>IF(H1963="","",ROW()-4)</f>
        <v/>
      </c>
    </row>
    <row r="1964">
      <c r="A1964" s="13">
        <f>IF(H1964="","",ROW()-4)</f>
        <v/>
      </c>
      <c r="B1964" s="13">
        <f>IF(H1964="","",ROW()-4)</f>
        <v/>
      </c>
    </row>
    <row r="1965">
      <c r="A1965" s="13">
        <f>IF(H1965="","",ROW()-4)</f>
        <v/>
      </c>
      <c r="B1965" s="13">
        <f>IF(H1965="","",ROW()-4)</f>
        <v/>
      </c>
    </row>
    <row r="1966">
      <c r="A1966" s="13">
        <f>IF(H1966="","",ROW()-4)</f>
        <v/>
      </c>
      <c r="B1966" s="13">
        <f>IF(H1966="","",ROW()-4)</f>
        <v/>
      </c>
    </row>
    <row r="1967">
      <c r="A1967" s="13">
        <f>IF(H1967="","",ROW()-4)</f>
        <v/>
      </c>
      <c r="B1967" s="13">
        <f>IF(H1967="","",ROW()-4)</f>
        <v/>
      </c>
    </row>
    <row r="1968">
      <c r="A1968" s="13">
        <f>IF(H1968="","",ROW()-4)</f>
        <v/>
      </c>
      <c r="B1968" s="13">
        <f>IF(H1968="","",ROW()-4)</f>
        <v/>
      </c>
    </row>
    <row r="1969">
      <c r="A1969" s="13">
        <f>IF(H1969="","",ROW()-4)</f>
        <v/>
      </c>
      <c r="B1969" s="13">
        <f>IF(H1969="","",ROW()-4)</f>
        <v/>
      </c>
    </row>
    <row r="1970">
      <c r="A1970" s="13">
        <f>IF(H1970="","",ROW()-4)</f>
        <v/>
      </c>
      <c r="B1970" s="13">
        <f>IF(H1970="","",ROW()-4)</f>
        <v/>
      </c>
    </row>
    <row r="1971">
      <c r="A1971" s="13">
        <f>IF(H1971="","",ROW()-4)</f>
        <v/>
      </c>
      <c r="B1971" s="13">
        <f>IF(H1971="","",ROW()-4)</f>
        <v/>
      </c>
    </row>
    <row r="1972">
      <c r="A1972" s="13">
        <f>IF(H1972="","",ROW()-4)</f>
        <v/>
      </c>
      <c r="B1972" s="13">
        <f>IF(H1972="","",ROW()-4)</f>
        <v/>
      </c>
    </row>
    <row r="1973">
      <c r="A1973" s="13">
        <f>IF(H1973="","",ROW()-4)</f>
        <v/>
      </c>
      <c r="B1973" s="13">
        <f>IF(H1973="","",ROW()-4)</f>
        <v/>
      </c>
    </row>
    <row r="1974">
      <c r="A1974" s="13">
        <f>IF(H1974="","",ROW()-4)</f>
        <v/>
      </c>
      <c r="B1974" s="13">
        <f>IF(H1974="","",ROW()-4)</f>
        <v/>
      </c>
    </row>
    <row r="1975">
      <c r="A1975" s="13">
        <f>IF(H1975="","",ROW()-4)</f>
        <v/>
      </c>
      <c r="B1975" s="13">
        <f>IF(H1975="","",ROW()-4)</f>
        <v/>
      </c>
    </row>
    <row r="1976">
      <c r="A1976" s="13">
        <f>IF(H1976="","",ROW()-4)</f>
        <v/>
      </c>
      <c r="B1976" s="13">
        <f>IF(H1976="","",ROW()-4)</f>
        <v/>
      </c>
    </row>
    <row r="1977">
      <c r="A1977" s="13">
        <f>IF(H1977="","",ROW()-4)</f>
        <v/>
      </c>
      <c r="B1977" s="13">
        <f>IF(H1977="","",ROW()-4)</f>
        <v/>
      </c>
    </row>
    <row r="1978">
      <c r="A1978" s="13">
        <f>IF(H1978="","",ROW()-4)</f>
        <v/>
      </c>
      <c r="B1978" s="13">
        <f>IF(H1978="","",ROW()-4)</f>
        <v/>
      </c>
    </row>
    <row r="1979">
      <c r="A1979" s="13">
        <f>IF(H1979="","",ROW()-4)</f>
        <v/>
      </c>
      <c r="B1979" s="13">
        <f>IF(H1979="","",ROW()-4)</f>
        <v/>
      </c>
    </row>
    <row r="1980">
      <c r="A1980" s="13">
        <f>IF(H1980="","",ROW()-4)</f>
        <v/>
      </c>
      <c r="B1980" s="13">
        <f>IF(H1980="","",ROW()-4)</f>
        <v/>
      </c>
    </row>
    <row r="1981">
      <c r="A1981" s="13">
        <f>IF(H1981="","",ROW()-4)</f>
        <v/>
      </c>
      <c r="B1981" s="13">
        <f>IF(H1981="","",ROW()-4)</f>
        <v/>
      </c>
    </row>
    <row r="1982">
      <c r="A1982" s="13">
        <f>IF(H1982="","",ROW()-4)</f>
        <v/>
      </c>
      <c r="B1982" s="13">
        <f>IF(H1982="","",ROW()-4)</f>
        <v/>
      </c>
    </row>
    <row r="1983">
      <c r="A1983" s="13">
        <f>IF(H1983="","",ROW()-4)</f>
        <v/>
      </c>
      <c r="B1983" s="13">
        <f>IF(H1983="","",ROW()-4)</f>
        <v/>
      </c>
    </row>
    <row r="1984">
      <c r="A1984" s="13">
        <f>IF(H1984="","",ROW()-4)</f>
        <v/>
      </c>
      <c r="B1984" s="13">
        <f>IF(H1984="","",ROW()-4)</f>
        <v/>
      </c>
    </row>
    <row r="1985">
      <c r="A1985" s="13">
        <f>IF(H1985="","",ROW()-4)</f>
        <v/>
      </c>
      <c r="B1985" s="13">
        <f>IF(H1985="","",ROW()-4)</f>
        <v/>
      </c>
    </row>
    <row r="1986">
      <c r="A1986" s="13">
        <f>IF(H1986="","",ROW()-4)</f>
        <v/>
      </c>
      <c r="B1986" s="13">
        <f>IF(H1986="","",ROW()-4)</f>
        <v/>
      </c>
    </row>
    <row r="1987">
      <c r="A1987" s="13">
        <f>IF(H1987="","",ROW()-4)</f>
        <v/>
      </c>
      <c r="B1987" s="13">
        <f>IF(H1987="","",ROW()-4)</f>
        <v/>
      </c>
    </row>
    <row r="1988">
      <c r="A1988" s="13">
        <f>IF(H1988="","",ROW()-4)</f>
        <v/>
      </c>
      <c r="B1988" s="13">
        <f>IF(H1988="","",ROW()-4)</f>
        <v/>
      </c>
    </row>
    <row r="1989">
      <c r="A1989" s="13">
        <f>IF(H1989="","",ROW()-4)</f>
        <v/>
      </c>
      <c r="B1989" s="13">
        <f>IF(H1989="","",ROW()-4)</f>
        <v/>
      </c>
    </row>
    <row r="1990">
      <c r="A1990" s="13">
        <f>IF(H1990="","",ROW()-4)</f>
        <v/>
      </c>
      <c r="B1990" s="13">
        <f>IF(H1990="","",ROW()-4)</f>
        <v/>
      </c>
    </row>
    <row r="1991">
      <c r="A1991" s="13">
        <f>IF(H1991="","",ROW()-4)</f>
        <v/>
      </c>
      <c r="B1991" s="13">
        <f>IF(H1991="","",ROW()-4)</f>
        <v/>
      </c>
    </row>
    <row r="1992">
      <c r="A1992" s="13">
        <f>IF(H1992="","",ROW()-4)</f>
        <v/>
      </c>
      <c r="B1992" s="13">
        <f>IF(H1992="","",ROW()-4)</f>
        <v/>
      </c>
    </row>
    <row r="1993">
      <c r="A1993" s="13">
        <f>IF(H1993="","",ROW()-4)</f>
        <v/>
      </c>
      <c r="B1993" s="13">
        <f>IF(H1993="","",ROW()-4)</f>
        <v/>
      </c>
    </row>
    <row r="1994">
      <c r="A1994" s="13">
        <f>IF(H1994="","",ROW()-4)</f>
        <v/>
      </c>
      <c r="B1994" s="13">
        <f>IF(H1994="","",ROW()-4)</f>
        <v/>
      </c>
    </row>
    <row r="1995">
      <c r="A1995" s="13">
        <f>IF(H1995="","",ROW()-4)</f>
        <v/>
      </c>
      <c r="B1995" s="13">
        <f>IF(H1995="","",ROW()-4)</f>
        <v/>
      </c>
    </row>
    <row r="1996">
      <c r="A1996" s="13">
        <f>IF(H1996="","",ROW()-4)</f>
        <v/>
      </c>
      <c r="B1996" s="13">
        <f>IF(H1996="","",ROW()-4)</f>
        <v/>
      </c>
    </row>
    <row r="1997">
      <c r="A1997" s="13">
        <f>IF(H1997="","",ROW()-4)</f>
        <v/>
      </c>
      <c r="B1997" s="13">
        <f>IF(H1997="","",ROW()-4)</f>
        <v/>
      </c>
    </row>
    <row r="1998">
      <c r="A1998" s="13">
        <f>IF(H1998="","",ROW()-4)</f>
        <v/>
      </c>
      <c r="B1998" s="13">
        <f>IF(H1998="","",ROW()-4)</f>
        <v/>
      </c>
    </row>
    <row r="1999">
      <c r="A1999" s="13">
        <f>IF(H1999="","",ROW()-4)</f>
        <v/>
      </c>
      <c r="B1999" s="13">
        <f>IF(H1999="","",ROW()-4)</f>
        <v/>
      </c>
    </row>
    <row r="2000">
      <c r="A2000" s="13">
        <f>IF(H2000="","",ROW()-4)</f>
        <v/>
      </c>
      <c r="B2000" s="13">
        <f>IF(H2000="","",ROW()-4)</f>
        <v/>
      </c>
    </row>
    <row r="2001">
      <c r="A2001" s="13">
        <f>IF(H2001="","",ROW()-4)</f>
        <v/>
      </c>
      <c r="B2001" s="13">
        <f>IF(H2001="","",ROW()-4)</f>
        <v/>
      </c>
    </row>
    <row r="2002">
      <c r="A2002" s="13">
        <f>IF(H2002="","",ROW()-4)</f>
        <v/>
      </c>
      <c r="B2002" s="13">
        <f>IF(H2002="","",ROW()-4)</f>
        <v/>
      </c>
    </row>
    <row r="2003">
      <c r="A2003" s="13">
        <f>IF(H2003="","",ROW()-4)</f>
        <v/>
      </c>
      <c r="B2003" s="13">
        <f>IF(H2003="","",ROW()-4)</f>
        <v/>
      </c>
    </row>
    <row r="2004">
      <c r="A2004" s="13">
        <f>IF(H2004="","",ROW()-4)</f>
        <v/>
      </c>
      <c r="B2004" s="13">
        <f>IF(H2004="","",ROW()-4)</f>
        <v/>
      </c>
    </row>
    <row r="2005">
      <c r="A2005" s="13">
        <f>IF(H2005="","",ROW()-4)</f>
        <v/>
      </c>
      <c r="B2005" s="13">
        <f>IF(H2005="","",ROW()-4)</f>
        <v/>
      </c>
    </row>
    <row r="2006">
      <c r="A2006" s="13">
        <f>IF(H2006="","",ROW()-4)</f>
        <v/>
      </c>
      <c r="B2006" s="13">
        <f>IF(H2006="","",ROW()-4)</f>
        <v/>
      </c>
    </row>
    <row r="2007">
      <c r="A2007" s="13">
        <f>IF(H2007="","",ROW()-4)</f>
        <v/>
      </c>
      <c r="B2007" s="13">
        <f>IF(H2007="","",ROW()-4)</f>
        <v/>
      </c>
    </row>
    <row r="2008">
      <c r="A2008" s="13">
        <f>IF(H2008="","",ROW()-4)</f>
        <v/>
      </c>
      <c r="B2008" s="13">
        <f>IF(H2008="","",ROW()-4)</f>
        <v/>
      </c>
    </row>
    <row r="2009">
      <c r="A2009" s="13">
        <f>IF(H2009="","",ROW()-4)</f>
        <v/>
      </c>
      <c r="B2009" s="13">
        <f>IF(H2009="","",ROW()-4)</f>
        <v/>
      </c>
    </row>
    <row r="2010">
      <c r="A2010" s="13">
        <f>IF(H2010="","",ROW()-4)</f>
        <v/>
      </c>
      <c r="B2010" s="13">
        <f>IF(H2010="","",ROW()-4)</f>
        <v/>
      </c>
    </row>
    <row r="2011">
      <c r="A2011" s="13">
        <f>IF(H2011="","",ROW()-4)</f>
        <v/>
      </c>
      <c r="B2011" s="13">
        <f>IF(H2011="","",ROW()-4)</f>
        <v/>
      </c>
    </row>
    <row r="2012">
      <c r="A2012" s="13">
        <f>IF(H2012="","",ROW()-4)</f>
        <v/>
      </c>
      <c r="B2012" s="13">
        <f>IF(H2012="","",ROW()-4)</f>
        <v/>
      </c>
    </row>
    <row r="2013">
      <c r="A2013" s="13">
        <f>IF(H2013="","",ROW()-4)</f>
        <v/>
      </c>
      <c r="B2013" s="13">
        <f>IF(H2013="","",ROW()-4)</f>
        <v/>
      </c>
    </row>
    <row r="2014">
      <c r="A2014" s="13">
        <f>IF(H2014="","",ROW()-4)</f>
        <v/>
      </c>
      <c r="B2014" s="13">
        <f>IF(H2014="","",ROW()-4)</f>
        <v/>
      </c>
    </row>
    <row r="2015">
      <c r="A2015" s="13">
        <f>IF(H2015="","",ROW()-4)</f>
        <v/>
      </c>
      <c r="B2015" s="13">
        <f>IF(H2015="","",ROW()-4)</f>
        <v/>
      </c>
    </row>
    <row r="2016">
      <c r="A2016" s="13">
        <f>IF(H2016="","",ROW()-4)</f>
        <v/>
      </c>
      <c r="B2016" s="13">
        <f>IF(H2016="","",ROW()-4)</f>
        <v/>
      </c>
    </row>
    <row r="2017">
      <c r="A2017" s="13">
        <f>IF(H2017="","",ROW()-4)</f>
        <v/>
      </c>
      <c r="B2017" s="13">
        <f>IF(H2017="","",ROW()-4)</f>
        <v/>
      </c>
    </row>
    <row r="2018">
      <c r="A2018" s="13">
        <f>IF(H2018="","",ROW()-4)</f>
        <v/>
      </c>
      <c r="B2018" s="13">
        <f>IF(H2018="","",ROW()-4)</f>
        <v/>
      </c>
    </row>
    <row r="2019">
      <c r="A2019" s="13">
        <f>IF(H2019="","",ROW()-4)</f>
        <v/>
      </c>
      <c r="B2019" s="13">
        <f>IF(H2019="","",ROW()-4)</f>
        <v/>
      </c>
    </row>
    <row r="2020">
      <c r="A2020" s="13">
        <f>IF(H2020="","",ROW()-4)</f>
        <v/>
      </c>
      <c r="B2020" s="13">
        <f>IF(H2020="","",ROW()-4)</f>
        <v/>
      </c>
    </row>
    <row r="2021">
      <c r="A2021" s="13">
        <f>IF(H2021="","",ROW()-4)</f>
        <v/>
      </c>
      <c r="B2021" s="13">
        <f>IF(H2021="","",ROW()-4)</f>
        <v/>
      </c>
    </row>
    <row r="2022">
      <c r="A2022" s="13">
        <f>IF(H2022="","",ROW()-4)</f>
        <v/>
      </c>
      <c r="B2022" s="13">
        <f>IF(H2022="","",ROW()-4)</f>
        <v/>
      </c>
    </row>
    <row r="2023">
      <c r="A2023" s="13">
        <f>IF(H2023="","",ROW()-4)</f>
        <v/>
      </c>
      <c r="B2023" s="13">
        <f>IF(H2023="","",ROW()-4)</f>
        <v/>
      </c>
    </row>
    <row r="2024">
      <c r="A2024" s="13">
        <f>IF(H2024="","",ROW()-4)</f>
        <v/>
      </c>
      <c r="B2024" s="13">
        <f>IF(H2024="","",ROW()-4)</f>
        <v/>
      </c>
    </row>
    <row r="2025">
      <c r="A2025" s="13">
        <f>IF(H2025="","",ROW()-4)</f>
        <v/>
      </c>
      <c r="B2025" s="13">
        <f>IF(H2025="","",ROW()-4)</f>
        <v/>
      </c>
    </row>
    <row r="2026">
      <c r="A2026" s="13">
        <f>IF(H2026="","",ROW()-4)</f>
        <v/>
      </c>
      <c r="B2026" s="13">
        <f>IF(H2026="","",ROW()-4)</f>
        <v/>
      </c>
    </row>
    <row r="2027">
      <c r="A2027" s="13">
        <f>IF(H2027="","",ROW()-4)</f>
        <v/>
      </c>
      <c r="B2027" s="13">
        <f>IF(H2027="","",ROW()-4)</f>
        <v/>
      </c>
    </row>
    <row r="2028">
      <c r="A2028" s="13">
        <f>IF(H2028="","",ROW()-4)</f>
        <v/>
      </c>
      <c r="B2028" s="13">
        <f>IF(H2028="","",ROW()-4)</f>
        <v/>
      </c>
    </row>
    <row r="2029">
      <c r="A2029" s="13">
        <f>IF(H2029="","",ROW()-4)</f>
        <v/>
      </c>
      <c r="B2029" s="13">
        <f>IF(H2029="","",ROW()-4)</f>
        <v/>
      </c>
    </row>
    <row r="2030">
      <c r="A2030" s="13">
        <f>IF(H2030="","",ROW()-4)</f>
        <v/>
      </c>
      <c r="B2030" s="13">
        <f>IF(H2030="","",ROW()-4)</f>
        <v/>
      </c>
    </row>
    <row r="2031">
      <c r="A2031" s="13">
        <f>IF(H2031="","",ROW()-4)</f>
        <v/>
      </c>
      <c r="B2031" s="13">
        <f>IF(H2031="","",ROW()-4)</f>
        <v/>
      </c>
    </row>
    <row r="2032">
      <c r="A2032" s="13">
        <f>IF(H2032="","",ROW()-4)</f>
        <v/>
      </c>
      <c r="B2032" s="13">
        <f>IF(H2032="","",ROW()-4)</f>
        <v/>
      </c>
    </row>
    <row r="2033">
      <c r="A2033" s="13">
        <f>IF(H2033="","",ROW()-4)</f>
        <v/>
      </c>
      <c r="B2033" s="13">
        <f>IF(H2033="","",ROW()-4)</f>
        <v/>
      </c>
    </row>
    <row r="2034">
      <c r="A2034" s="13">
        <f>IF(H2034="","",ROW()-4)</f>
        <v/>
      </c>
      <c r="B2034" s="13">
        <f>IF(H2034="","",ROW()-4)</f>
        <v/>
      </c>
    </row>
    <row r="2035">
      <c r="A2035" s="13">
        <f>IF(H2035="","",ROW()-4)</f>
        <v/>
      </c>
      <c r="B2035" s="13">
        <f>IF(H2035="","",ROW()-4)</f>
        <v/>
      </c>
    </row>
    <row r="2036">
      <c r="A2036" s="13">
        <f>IF(H2036="","",ROW()-4)</f>
        <v/>
      </c>
      <c r="B2036" s="13">
        <f>IF(H2036="","",ROW()-4)</f>
        <v/>
      </c>
    </row>
    <row r="2037">
      <c r="A2037" s="13">
        <f>IF(H2037="","",ROW()-4)</f>
        <v/>
      </c>
      <c r="B2037" s="13">
        <f>IF(H2037="","",ROW()-4)</f>
        <v/>
      </c>
    </row>
    <row r="2038">
      <c r="A2038" s="13">
        <f>IF(H2038="","",ROW()-4)</f>
        <v/>
      </c>
      <c r="B2038" s="13">
        <f>IF(H2038="","",ROW()-4)</f>
        <v/>
      </c>
    </row>
    <row r="2039">
      <c r="A2039" s="13">
        <f>IF(H2039="","",ROW()-4)</f>
        <v/>
      </c>
      <c r="B2039" s="13">
        <f>IF(H2039="","",ROW()-4)</f>
        <v/>
      </c>
    </row>
    <row r="2040">
      <c r="A2040" s="13">
        <f>IF(H2040="","",ROW()-4)</f>
        <v/>
      </c>
      <c r="B2040" s="13">
        <f>IF(H2040="","",ROW()-4)</f>
        <v/>
      </c>
    </row>
    <row r="2041">
      <c r="A2041" s="13">
        <f>IF(H2041="","",ROW()-4)</f>
        <v/>
      </c>
      <c r="B2041" s="13">
        <f>IF(H2041="","",ROW()-4)</f>
        <v/>
      </c>
    </row>
    <row r="2042">
      <c r="A2042" s="13">
        <f>IF(H2042="","",ROW()-4)</f>
        <v/>
      </c>
      <c r="B2042" s="13">
        <f>IF(H2042="","",ROW()-4)</f>
        <v/>
      </c>
    </row>
    <row r="2043">
      <c r="A2043" s="13">
        <f>IF(H2043="","",ROW()-4)</f>
        <v/>
      </c>
      <c r="B2043" s="13">
        <f>IF(H2043="","",ROW()-4)</f>
        <v/>
      </c>
    </row>
    <row r="2044">
      <c r="A2044" s="13">
        <f>IF(H2044="","",ROW()-4)</f>
        <v/>
      </c>
      <c r="B2044" s="13">
        <f>IF(H2044="","",ROW()-4)</f>
        <v/>
      </c>
    </row>
    <row r="2045">
      <c r="A2045" s="13">
        <f>IF(H2045="","",ROW()-4)</f>
        <v/>
      </c>
      <c r="B2045" s="13">
        <f>IF(H2045="","",ROW()-4)</f>
        <v/>
      </c>
    </row>
    <row r="2046">
      <c r="A2046" s="13">
        <f>IF(H2046="","",ROW()-4)</f>
        <v/>
      </c>
      <c r="B2046" s="13">
        <f>IF(H2046="","",ROW()-4)</f>
        <v/>
      </c>
    </row>
    <row r="2047">
      <c r="A2047" s="13">
        <f>IF(H2047="","",ROW()-4)</f>
        <v/>
      </c>
      <c r="B2047" s="13">
        <f>IF(H2047="","",ROW()-4)</f>
        <v/>
      </c>
    </row>
    <row r="2048">
      <c r="A2048" s="13">
        <f>IF(H2048="","",ROW()-4)</f>
        <v/>
      </c>
      <c r="B2048" s="13">
        <f>IF(H2048="","",ROW()-4)</f>
        <v/>
      </c>
    </row>
    <row r="2049">
      <c r="A2049" s="13">
        <f>IF(H2049="","",ROW()-4)</f>
        <v/>
      </c>
      <c r="B2049" s="13">
        <f>IF(H2049="","",ROW()-4)</f>
        <v/>
      </c>
    </row>
    <row r="2050">
      <c r="A2050" s="13">
        <f>IF(H2050="","",ROW()-4)</f>
        <v/>
      </c>
      <c r="B2050" s="13">
        <f>IF(H2050="","",ROW()-4)</f>
        <v/>
      </c>
    </row>
    <row r="2051">
      <c r="A2051" s="13">
        <f>IF(H2051="","",ROW()-4)</f>
        <v/>
      </c>
      <c r="B2051" s="13">
        <f>IF(H2051="","",ROW()-4)</f>
        <v/>
      </c>
    </row>
    <row r="2052">
      <c r="A2052" s="13">
        <f>IF(H2052="","",ROW()-4)</f>
        <v/>
      </c>
      <c r="B2052" s="13">
        <f>IF(H2052="","",ROW()-4)</f>
        <v/>
      </c>
    </row>
    <row r="2053">
      <c r="A2053" s="13">
        <f>IF(H2053="","",ROW()-4)</f>
        <v/>
      </c>
      <c r="B2053" s="13">
        <f>IF(H2053="","",ROW()-4)</f>
        <v/>
      </c>
    </row>
    <row r="2054">
      <c r="A2054" s="13">
        <f>IF(H2054="","",ROW()-4)</f>
        <v/>
      </c>
      <c r="B2054" s="13">
        <f>IF(H2054="","",ROW()-4)</f>
        <v/>
      </c>
    </row>
    <row r="2055">
      <c r="A2055" s="13">
        <f>IF(H2055="","",ROW()-4)</f>
        <v/>
      </c>
      <c r="B2055" s="13">
        <f>IF(H2055="","",ROW()-4)</f>
        <v/>
      </c>
    </row>
    <row r="2056">
      <c r="A2056" s="13">
        <f>IF(H2056="","",ROW()-4)</f>
        <v/>
      </c>
      <c r="B2056" s="13">
        <f>IF(H2056="","",ROW()-4)</f>
        <v/>
      </c>
    </row>
    <row r="2057">
      <c r="A2057" s="13">
        <f>IF(H2057="","",ROW()-4)</f>
        <v/>
      </c>
      <c r="B2057" s="13">
        <f>IF(H2057="","",ROW()-4)</f>
        <v/>
      </c>
    </row>
    <row r="2058">
      <c r="A2058" s="13">
        <f>IF(H2058="","",ROW()-4)</f>
        <v/>
      </c>
      <c r="B2058" s="13">
        <f>IF(H2058="","",ROW()-4)</f>
        <v/>
      </c>
    </row>
    <row r="2059">
      <c r="A2059" s="13">
        <f>IF(H2059="","",ROW()-4)</f>
        <v/>
      </c>
      <c r="B2059" s="13">
        <f>IF(H2059="","",ROW()-4)</f>
        <v/>
      </c>
    </row>
    <row r="2060">
      <c r="A2060" s="13">
        <f>IF(H2060="","",ROW()-4)</f>
        <v/>
      </c>
      <c r="B2060" s="13">
        <f>IF(H2060="","",ROW()-4)</f>
        <v/>
      </c>
    </row>
    <row r="2061">
      <c r="A2061" s="13">
        <f>IF(H2061="","",ROW()-4)</f>
        <v/>
      </c>
      <c r="B2061" s="13">
        <f>IF(H2061="","",ROW()-4)</f>
        <v/>
      </c>
    </row>
    <row r="2062">
      <c r="A2062" s="13">
        <f>IF(H2062="","",ROW()-4)</f>
        <v/>
      </c>
      <c r="B2062" s="13">
        <f>IF(H2062="","",ROW()-4)</f>
        <v/>
      </c>
    </row>
    <row r="2063">
      <c r="A2063" s="13">
        <f>IF(H2063="","",ROW()-4)</f>
        <v/>
      </c>
      <c r="B2063" s="13">
        <f>IF(H2063="","",ROW()-4)</f>
        <v/>
      </c>
    </row>
    <row r="2064">
      <c r="A2064" s="13">
        <f>IF(H2064="","",ROW()-4)</f>
        <v/>
      </c>
      <c r="B2064" s="13">
        <f>IF(H2064="","",ROW()-4)</f>
        <v/>
      </c>
    </row>
    <row r="2065">
      <c r="A2065" s="13">
        <f>IF(H2065="","",ROW()-4)</f>
        <v/>
      </c>
      <c r="B2065" s="13">
        <f>IF(H2065="","",ROW()-4)</f>
        <v/>
      </c>
    </row>
    <row r="2066">
      <c r="A2066" s="13">
        <f>IF(H2066="","",ROW()-4)</f>
        <v/>
      </c>
      <c r="B2066" s="13">
        <f>IF(H2066="","",ROW()-4)</f>
        <v/>
      </c>
    </row>
    <row r="2067">
      <c r="A2067" s="13">
        <f>IF(H2067="","",ROW()-4)</f>
        <v/>
      </c>
      <c r="B2067" s="13">
        <f>IF(H2067="","",ROW()-4)</f>
        <v/>
      </c>
    </row>
    <row r="2068">
      <c r="A2068" s="13">
        <f>IF(H2068="","",ROW()-4)</f>
        <v/>
      </c>
      <c r="B2068" s="13">
        <f>IF(H2068="","",ROW()-4)</f>
        <v/>
      </c>
    </row>
    <row r="2069">
      <c r="A2069" s="13">
        <f>IF(H2069="","",ROW()-4)</f>
        <v/>
      </c>
      <c r="B2069" s="13">
        <f>IF(H2069="","",ROW()-4)</f>
        <v/>
      </c>
    </row>
    <row r="2070">
      <c r="A2070" s="13">
        <f>IF(H2070="","",ROW()-4)</f>
        <v/>
      </c>
      <c r="B2070" s="13">
        <f>IF(H2070="","",ROW()-4)</f>
        <v/>
      </c>
    </row>
    <row r="2071">
      <c r="A2071" s="13">
        <f>IF(H2071="","",ROW()-4)</f>
        <v/>
      </c>
      <c r="B2071" s="13">
        <f>IF(H2071="","",ROW()-4)</f>
        <v/>
      </c>
    </row>
    <row r="2072">
      <c r="A2072" s="13">
        <f>IF(H2072="","",ROW()-4)</f>
        <v/>
      </c>
      <c r="B2072" s="13">
        <f>IF(H2072="","",ROW()-4)</f>
        <v/>
      </c>
    </row>
    <row r="2073">
      <c r="A2073" s="13">
        <f>IF(H2073="","",ROW()-4)</f>
        <v/>
      </c>
      <c r="B2073" s="13">
        <f>IF(H2073="","",ROW()-4)</f>
        <v/>
      </c>
    </row>
    <row r="2074">
      <c r="A2074" s="13">
        <f>IF(H2074="","",ROW()-4)</f>
        <v/>
      </c>
      <c r="B2074" s="13">
        <f>IF(H2074="","",ROW()-4)</f>
        <v/>
      </c>
    </row>
    <row r="2075">
      <c r="A2075" s="13">
        <f>IF(H2075="","",ROW()-4)</f>
        <v/>
      </c>
      <c r="B2075" s="13">
        <f>IF(H2075="","",ROW()-4)</f>
        <v/>
      </c>
    </row>
    <row r="2076">
      <c r="A2076" s="13">
        <f>IF(H2076="","",ROW()-4)</f>
        <v/>
      </c>
      <c r="B2076" s="13">
        <f>IF(H2076="","",ROW()-4)</f>
        <v/>
      </c>
    </row>
    <row r="2077">
      <c r="A2077" s="13">
        <f>IF(H2077="","",ROW()-4)</f>
        <v/>
      </c>
      <c r="B2077" s="13">
        <f>IF(H2077="","",ROW()-4)</f>
        <v/>
      </c>
    </row>
    <row r="2078">
      <c r="A2078" s="13">
        <f>IF(H2078="","",ROW()-4)</f>
        <v/>
      </c>
      <c r="B2078" s="13">
        <f>IF(H2078="","",ROW()-4)</f>
        <v/>
      </c>
    </row>
    <row r="2079">
      <c r="A2079" s="13">
        <f>IF(H2079="","",ROW()-4)</f>
        <v/>
      </c>
      <c r="B2079" s="13">
        <f>IF(H2079="","",ROW()-4)</f>
        <v/>
      </c>
    </row>
    <row r="2080">
      <c r="A2080" s="13">
        <f>IF(H2080="","",ROW()-4)</f>
        <v/>
      </c>
      <c r="B2080" s="13">
        <f>IF(H2080="","",ROW()-4)</f>
        <v/>
      </c>
    </row>
    <row r="2081">
      <c r="A2081" s="13">
        <f>IF(H2081="","",ROW()-4)</f>
        <v/>
      </c>
      <c r="B2081" s="13">
        <f>IF(H2081="","",ROW()-4)</f>
        <v/>
      </c>
    </row>
    <row r="2082">
      <c r="A2082" s="13">
        <f>IF(H2082="","",ROW()-4)</f>
        <v/>
      </c>
      <c r="B2082" s="13">
        <f>IF(H2082="","",ROW()-4)</f>
        <v/>
      </c>
    </row>
    <row r="2083">
      <c r="A2083" s="13">
        <f>IF(H2083="","",ROW()-4)</f>
        <v/>
      </c>
      <c r="B2083" s="13">
        <f>IF(H2083="","",ROW()-4)</f>
        <v/>
      </c>
    </row>
    <row r="2084">
      <c r="A2084" s="13">
        <f>IF(H2084="","",ROW()-4)</f>
        <v/>
      </c>
      <c r="B2084" s="13">
        <f>IF(H2084="","",ROW()-4)</f>
        <v/>
      </c>
    </row>
    <row r="2085">
      <c r="A2085" s="13">
        <f>IF(H2085="","",ROW()-4)</f>
        <v/>
      </c>
      <c r="B2085" s="13">
        <f>IF(H2085="","",ROW()-4)</f>
        <v/>
      </c>
    </row>
    <row r="2086">
      <c r="A2086" s="13">
        <f>IF(H2086="","",ROW()-4)</f>
        <v/>
      </c>
      <c r="B2086" s="13">
        <f>IF(H2086="","",ROW()-4)</f>
        <v/>
      </c>
    </row>
    <row r="2087">
      <c r="A2087" s="13">
        <f>IF(H2087="","",ROW()-4)</f>
        <v/>
      </c>
      <c r="B2087" s="13">
        <f>IF(H2087="","",ROW()-4)</f>
        <v/>
      </c>
    </row>
    <row r="2088">
      <c r="A2088" s="13">
        <f>IF(H2088="","",ROW()-4)</f>
        <v/>
      </c>
      <c r="B2088" s="13">
        <f>IF(H2088="","",ROW()-4)</f>
        <v/>
      </c>
    </row>
    <row r="2089">
      <c r="A2089" s="13">
        <f>IF(H2089="","",ROW()-4)</f>
        <v/>
      </c>
      <c r="B2089" s="13">
        <f>IF(H2089="","",ROW()-4)</f>
        <v/>
      </c>
    </row>
    <row r="2090">
      <c r="A2090" s="13">
        <f>IF(H2090="","",ROW()-4)</f>
        <v/>
      </c>
      <c r="B2090" s="13">
        <f>IF(H2090="","",ROW()-4)</f>
        <v/>
      </c>
    </row>
    <row r="2091">
      <c r="A2091" s="13">
        <f>IF(H2091="","",ROW()-4)</f>
        <v/>
      </c>
      <c r="B2091" s="13">
        <f>IF(H2091="","",ROW()-4)</f>
        <v/>
      </c>
    </row>
    <row r="2092">
      <c r="A2092" s="13">
        <f>IF(H2092="","",ROW()-4)</f>
        <v/>
      </c>
      <c r="B2092" s="13">
        <f>IF(H2092="","",ROW()-4)</f>
        <v/>
      </c>
    </row>
    <row r="2093">
      <c r="A2093" s="13">
        <f>IF(H2093="","",ROW()-4)</f>
        <v/>
      </c>
      <c r="B2093" s="13">
        <f>IF(H2093="","",ROW()-4)</f>
        <v/>
      </c>
    </row>
    <row r="2094">
      <c r="A2094" s="13">
        <f>IF(H2094="","",ROW()-4)</f>
        <v/>
      </c>
      <c r="B2094" s="13">
        <f>IF(H2094="","",ROW()-4)</f>
        <v/>
      </c>
    </row>
    <row r="2095">
      <c r="A2095" s="13">
        <f>IF(H2095="","",ROW()-4)</f>
        <v/>
      </c>
      <c r="B2095" s="13">
        <f>IF(H2095="","",ROW()-4)</f>
        <v/>
      </c>
    </row>
    <row r="2096">
      <c r="A2096" s="13">
        <f>IF(H2096="","",ROW()-4)</f>
        <v/>
      </c>
      <c r="B2096" s="13">
        <f>IF(H2096="","",ROW()-4)</f>
        <v/>
      </c>
    </row>
    <row r="2097">
      <c r="A2097" s="13">
        <f>IF(H2097="","",ROW()-4)</f>
        <v/>
      </c>
      <c r="B2097" s="13">
        <f>IF(H2097="","",ROW()-4)</f>
        <v/>
      </c>
    </row>
    <row r="2098">
      <c r="A2098" s="13">
        <f>IF(H2098="","",ROW()-4)</f>
        <v/>
      </c>
      <c r="B2098" s="13">
        <f>IF(H2098="","",ROW()-4)</f>
        <v/>
      </c>
    </row>
    <row r="2099">
      <c r="A2099" s="13">
        <f>IF(H2099="","",ROW()-4)</f>
        <v/>
      </c>
      <c r="B2099" s="13">
        <f>IF(H2099="","",ROW()-4)</f>
        <v/>
      </c>
    </row>
    <row r="2100">
      <c r="A2100" s="13">
        <f>IF(H2100="","",ROW()-4)</f>
        <v/>
      </c>
      <c r="B2100" s="13">
        <f>IF(H2100="","",ROW()-4)</f>
        <v/>
      </c>
    </row>
    <row r="2101">
      <c r="A2101" s="13">
        <f>IF(H2101="","",ROW()-4)</f>
        <v/>
      </c>
      <c r="B2101" s="13">
        <f>IF(H2101="","",ROW()-4)</f>
        <v/>
      </c>
    </row>
    <row r="2102">
      <c r="A2102" s="13">
        <f>IF(H2102="","",ROW()-4)</f>
        <v/>
      </c>
      <c r="B2102" s="13">
        <f>IF(H2102="","",ROW()-4)</f>
        <v/>
      </c>
    </row>
    <row r="2103">
      <c r="A2103" s="13">
        <f>IF(H2103="","",ROW()-4)</f>
        <v/>
      </c>
      <c r="B2103" s="13">
        <f>IF(H2103="","",ROW()-4)</f>
        <v/>
      </c>
    </row>
    <row r="2104">
      <c r="A2104" s="13">
        <f>IF(H2104="","",ROW()-4)</f>
        <v/>
      </c>
      <c r="B2104" s="13">
        <f>IF(H2104="","",ROW()-4)</f>
        <v/>
      </c>
    </row>
    <row r="2105">
      <c r="A2105" s="13">
        <f>IF(H2105="","",ROW()-4)</f>
        <v/>
      </c>
      <c r="B2105" s="13">
        <f>IF(H2105="","",ROW()-4)</f>
        <v/>
      </c>
    </row>
    <row r="2106">
      <c r="A2106" s="13">
        <f>IF(H2106="","",ROW()-4)</f>
        <v/>
      </c>
      <c r="B2106" s="13">
        <f>IF(H2106="","",ROW()-4)</f>
        <v/>
      </c>
    </row>
    <row r="2107">
      <c r="A2107" s="13">
        <f>IF(H2107="","",ROW()-4)</f>
        <v/>
      </c>
      <c r="B2107" s="13">
        <f>IF(H2107="","",ROW()-4)</f>
        <v/>
      </c>
    </row>
    <row r="2108">
      <c r="A2108" s="13">
        <f>IF(H2108="","",ROW()-4)</f>
        <v/>
      </c>
      <c r="B2108" s="13">
        <f>IF(H2108="","",ROW()-4)</f>
        <v/>
      </c>
    </row>
    <row r="2109">
      <c r="A2109" s="13">
        <f>IF(H2109="","",ROW()-4)</f>
        <v/>
      </c>
      <c r="B2109" s="13">
        <f>IF(H2109="","",ROW()-4)</f>
        <v/>
      </c>
    </row>
    <row r="2110">
      <c r="A2110" s="13">
        <f>IF(H2110="","",ROW()-4)</f>
        <v/>
      </c>
      <c r="B2110" s="13">
        <f>IF(H2110="","",ROW()-4)</f>
        <v/>
      </c>
    </row>
    <row r="2111">
      <c r="A2111" s="13">
        <f>IF(H2111="","",ROW()-4)</f>
        <v/>
      </c>
      <c r="B2111" s="13">
        <f>IF(H2111="","",ROW()-4)</f>
        <v/>
      </c>
    </row>
    <row r="2112">
      <c r="A2112" s="13">
        <f>IF(H2112="","",ROW()-4)</f>
        <v/>
      </c>
      <c r="B2112" s="13">
        <f>IF(H2112="","",ROW()-4)</f>
        <v/>
      </c>
    </row>
    <row r="2113">
      <c r="A2113" s="13">
        <f>IF(H2113="","",ROW()-4)</f>
        <v/>
      </c>
      <c r="B2113" s="13">
        <f>IF(H2113="","",ROW()-4)</f>
        <v/>
      </c>
    </row>
    <row r="2114">
      <c r="A2114" s="13">
        <f>IF(H2114="","",ROW()-4)</f>
        <v/>
      </c>
      <c r="B2114" s="13">
        <f>IF(H2114="","",ROW()-4)</f>
        <v/>
      </c>
    </row>
    <row r="2115">
      <c r="A2115" s="13">
        <f>IF(H2115="","",ROW()-4)</f>
        <v/>
      </c>
      <c r="B2115" s="13">
        <f>IF(H2115="","",ROW()-4)</f>
        <v/>
      </c>
    </row>
    <row r="2116">
      <c r="A2116" s="13">
        <f>IF(H2116="","",ROW()-4)</f>
        <v/>
      </c>
      <c r="B2116" s="13">
        <f>IF(H2116="","",ROW()-4)</f>
        <v/>
      </c>
    </row>
    <row r="2117">
      <c r="A2117" s="13">
        <f>IF(H2117="","",ROW()-4)</f>
        <v/>
      </c>
      <c r="B2117" s="13">
        <f>IF(H2117="","",ROW()-4)</f>
        <v/>
      </c>
    </row>
    <row r="2118">
      <c r="A2118" s="13">
        <f>IF(H2118="","",ROW()-4)</f>
        <v/>
      </c>
      <c r="B2118" s="13">
        <f>IF(H2118="","",ROW()-4)</f>
        <v/>
      </c>
    </row>
    <row r="2119">
      <c r="A2119" s="13">
        <f>IF(H2119="","",ROW()-4)</f>
        <v/>
      </c>
      <c r="B2119" s="13">
        <f>IF(H2119="","",ROW()-4)</f>
        <v/>
      </c>
    </row>
    <row r="2120">
      <c r="A2120" s="13">
        <f>IF(H2120="","",ROW()-4)</f>
        <v/>
      </c>
      <c r="B2120" s="13">
        <f>IF(H2120="","",ROW()-4)</f>
        <v/>
      </c>
    </row>
    <row r="2121">
      <c r="A2121" s="13">
        <f>IF(H2121="","",ROW()-4)</f>
        <v/>
      </c>
      <c r="B2121" s="13">
        <f>IF(H2121="","",ROW()-4)</f>
        <v/>
      </c>
    </row>
    <row r="2122">
      <c r="A2122" s="13">
        <f>IF(H2122="","",ROW()-4)</f>
        <v/>
      </c>
      <c r="B2122" s="13">
        <f>IF(H2122="","",ROW()-4)</f>
        <v/>
      </c>
    </row>
    <row r="2123">
      <c r="A2123" s="13">
        <f>IF(H2123="","",ROW()-4)</f>
        <v/>
      </c>
      <c r="B2123" s="13">
        <f>IF(H2123="","",ROW()-4)</f>
        <v/>
      </c>
    </row>
    <row r="2124">
      <c r="A2124" s="13">
        <f>IF(H2124="","",ROW()-4)</f>
        <v/>
      </c>
      <c r="B2124" s="13">
        <f>IF(H2124="","",ROW()-4)</f>
        <v/>
      </c>
    </row>
    <row r="2125">
      <c r="A2125" s="13">
        <f>IF(H2125="","",ROW()-4)</f>
        <v/>
      </c>
      <c r="B2125" s="13">
        <f>IF(H2125="","",ROW()-4)</f>
        <v/>
      </c>
    </row>
    <row r="2126">
      <c r="A2126" s="13">
        <f>IF(H2126="","",ROW()-4)</f>
        <v/>
      </c>
      <c r="B2126" s="13">
        <f>IF(H2126="","",ROW()-4)</f>
        <v/>
      </c>
    </row>
    <row r="2127">
      <c r="A2127" s="13">
        <f>IF(H2127="","",ROW()-4)</f>
        <v/>
      </c>
      <c r="B2127" s="13">
        <f>IF(H2127="","",ROW()-4)</f>
        <v/>
      </c>
    </row>
    <row r="2128">
      <c r="A2128" s="13">
        <f>IF(H2128="","",ROW()-4)</f>
        <v/>
      </c>
      <c r="B2128" s="13">
        <f>IF(H2128="","",ROW()-4)</f>
        <v/>
      </c>
    </row>
    <row r="2129">
      <c r="A2129" s="13">
        <f>IF(H2129="","",ROW()-4)</f>
        <v/>
      </c>
      <c r="B2129" s="13">
        <f>IF(H2129="","",ROW()-4)</f>
        <v/>
      </c>
    </row>
    <row r="2130">
      <c r="A2130" s="13">
        <f>IF(H2130="","",ROW()-4)</f>
        <v/>
      </c>
      <c r="B2130" s="13">
        <f>IF(H2130="","",ROW()-4)</f>
        <v/>
      </c>
    </row>
    <row r="2131">
      <c r="A2131" s="13">
        <f>IF(H2131="","",ROW()-4)</f>
        <v/>
      </c>
      <c r="B2131" s="13">
        <f>IF(H2131="","",ROW()-4)</f>
        <v/>
      </c>
    </row>
    <row r="2132">
      <c r="A2132" s="13">
        <f>IF(H2132="","",ROW()-4)</f>
        <v/>
      </c>
      <c r="B2132" s="13">
        <f>IF(H2132="","",ROW()-4)</f>
        <v/>
      </c>
    </row>
    <row r="2133">
      <c r="A2133" s="13">
        <f>IF(H2133="","",ROW()-4)</f>
        <v/>
      </c>
      <c r="B2133" s="13">
        <f>IF(H2133="","",ROW()-4)</f>
        <v/>
      </c>
    </row>
    <row r="2134">
      <c r="A2134" s="13">
        <f>IF(H2134="","",ROW()-4)</f>
        <v/>
      </c>
      <c r="B2134" s="13">
        <f>IF(H2134="","",ROW()-4)</f>
        <v/>
      </c>
    </row>
    <row r="2135">
      <c r="A2135" s="13">
        <f>IF(H2135="","",ROW()-4)</f>
        <v/>
      </c>
      <c r="B2135" s="13">
        <f>IF(H2135="","",ROW()-4)</f>
        <v/>
      </c>
    </row>
    <row r="2136">
      <c r="A2136" s="13">
        <f>IF(H2136="","",ROW()-4)</f>
        <v/>
      </c>
      <c r="B2136" s="13">
        <f>IF(H2136="","",ROW()-4)</f>
        <v/>
      </c>
    </row>
    <row r="2137">
      <c r="A2137" s="13">
        <f>IF(H2137="","",ROW()-4)</f>
        <v/>
      </c>
      <c r="B2137" s="13">
        <f>IF(H2137="","",ROW()-4)</f>
        <v/>
      </c>
    </row>
    <row r="2138">
      <c r="A2138" s="13">
        <f>IF(H2138="","",ROW()-4)</f>
        <v/>
      </c>
      <c r="B2138" s="13">
        <f>IF(H2138="","",ROW()-4)</f>
        <v/>
      </c>
    </row>
    <row r="2139">
      <c r="A2139" s="13">
        <f>IF(H2139="","",ROW()-4)</f>
        <v/>
      </c>
      <c r="B2139" s="13">
        <f>IF(H2139="","",ROW()-4)</f>
        <v/>
      </c>
    </row>
    <row r="2140">
      <c r="A2140" s="13">
        <f>IF(H2140="","",ROW()-4)</f>
        <v/>
      </c>
      <c r="B2140" s="13">
        <f>IF(H2140="","",ROW()-4)</f>
        <v/>
      </c>
    </row>
    <row r="2141">
      <c r="A2141" s="13">
        <f>IF(H2141="","",ROW()-4)</f>
        <v/>
      </c>
      <c r="B2141" s="13">
        <f>IF(H2141="","",ROW()-4)</f>
        <v/>
      </c>
    </row>
    <row r="2142">
      <c r="A2142" s="13">
        <f>IF(H2142="","",ROW()-4)</f>
        <v/>
      </c>
      <c r="B2142" s="13">
        <f>IF(H2142="","",ROW()-4)</f>
        <v/>
      </c>
    </row>
    <row r="2143">
      <c r="A2143" s="13">
        <f>IF(H2143="","",ROW()-4)</f>
        <v/>
      </c>
      <c r="B2143" s="13">
        <f>IF(H2143="","",ROW()-4)</f>
        <v/>
      </c>
    </row>
    <row r="2144">
      <c r="A2144" s="13">
        <f>IF(H2144="","",ROW()-4)</f>
        <v/>
      </c>
      <c r="B2144" s="13">
        <f>IF(H2144="","",ROW()-4)</f>
        <v/>
      </c>
    </row>
    <row r="2145">
      <c r="A2145" s="13">
        <f>IF(H2145="","",ROW()-4)</f>
        <v/>
      </c>
      <c r="B2145" s="13">
        <f>IF(H2145="","",ROW()-4)</f>
        <v/>
      </c>
    </row>
    <row r="2146">
      <c r="A2146" s="13">
        <f>IF(H2146="","",ROW()-4)</f>
        <v/>
      </c>
      <c r="B2146" s="13">
        <f>IF(H2146="","",ROW()-4)</f>
        <v/>
      </c>
    </row>
    <row r="2147">
      <c r="A2147" s="13">
        <f>IF(H2147="","",ROW()-4)</f>
        <v/>
      </c>
      <c r="B2147" s="13">
        <f>IF(H2147="","",ROW()-4)</f>
        <v/>
      </c>
    </row>
    <row r="2148">
      <c r="A2148" s="13">
        <f>IF(H2148="","",ROW()-4)</f>
        <v/>
      </c>
      <c r="B2148" s="13">
        <f>IF(H2148="","",ROW()-4)</f>
        <v/>
      </c>
    </row>
    <row r="2149">
      <c r="A2149" s="13">
        <f>IF(H2149="","",ROW()-4)</f>
        <v/>
      </c>
      <c r="B2149" s="13">
        <f>IF(H2149="","",ROW()-4)</f>
        <v/>
      </c>
    </row>
    <row r="2150">
      <c r="A2150" s="13">
        <f>IF(H2150="","",ROW()-4)</f>
        <v/>
      </c>
      <c r="B2150" s="13">
        <f>IF(H2150="","",ROW()-4)</f>
        <v/>
      </c>
    </row>
    <row r="2151">
      <c r="A2151" s="13">
        <f>IF(H2151="","",ROW()-4)</f>
        <v/>
      </c>
      <c r="B2151" s="13">
        <f>IF(H2151="","",ROW()-4)</f>
        <v/>
      </c>
    </row>
    <row r="2152">
      <c r="A2152" s="13">
        <f>IF(H2152="","",ROW()-4)</f>
        <v/>
      </c>
      <c r="B2152" s="13">
        <f>IF(H2152="","",ROW()-4)</f>
        <v/>
      </c>
    </row>
    <row r="2153">
      <c r="A2153" s="13">
        <f>IF(H2153="","",ROW()-4)</f>
        <v/>
      </c>
      <c r="B2153" s="13">
        <f>IF(H2153="","",ROW()-4)</f>
        <v/>
      </c>
    </row>
    <row r="2154">
      <c r="A2154" s="13">
        <f>IF(H2154="","",ROW()-4)</f>
        <v/>
      </c>
      <c r="B2154" s="13">
        <f>IF(H2154="","",ROW()-4)</f>
        <v/>
      </c>
    </row>
    <row r="2155">
      <c r="A2155" s="13">
        <f>IF(H2155="","",ROW()-4)</f>
        <v/>
      </c>
      <c r="B2155" s="13">
        <f>IF(H2155="","",ROW()-4)</f>
        <v/>
      </c>
    </row>
    <row r="2156">
      <c r="A2156" s="13">
        <f>IF(H2156="","",ROW()-4)</f>
        <v/>
      </c>
      <c r="B2156" s="13">
        <f>IF(H2156="","",ROW()-4)</f>
        <v/>
      </c>
    </row>
    <row r="2157">
      <c r="A2157" s="13">
        <f>IF(H2157="","",ROW()-4)</f>
        <v/>
      </c>
      <c r="B2157" s="13">
        <f>IF(H2157="","",ROW()-4)</f>
        <v/>
      </c>
    </row>
    <row r="2158">
      <c r="A2158" s="13">
        <f>IF(H2158="","",ROW()-4)</f>
        <v/>
      </c>
      <c r="B2158" s="13">
        <f>IF(H2158="","",ROW()-4)</f>
        <v/>
      </c>
    </row>
    <row r="2159">
      <c r="A2159" s="13">
        <f>IF(H2159="","",ROW()-4)</f>
        <v/>
      </c>
      <c r="B2159" s="13">
        <f>IF(H2159="","",ROW()-4)</f>
        <v/>
      </c>
    </row>
    <row r="2160">
      <c r="A2160" s="13">
        <f>IF(H2160="","",ROW()-4)</f>
        <v/>
      </c>
      <c r="B2160" s="13">
        <f>IF(H2160="","",ROW()-4)</f>
        <v/>
      </c>
    </row>
    <row r="2161">
      <c r="A2161" s="13">
        <f>IF(H2161="","",ROW()-4)</f>
        <v/>
      </c>
      <c r="B2161" s="13">
        <f>IF(H2161="","",ROW()-4)</f>
        <v/>
      </c>
    </row>
    <row r="2162">
      <c r="A2162" s="13">
        <f>IF(H2162="","",ROW()-4)</f>
        <v/>
      </c>
      <c r="B2162" s="13">
        <f>IF(H2162="","",ROW()-4)</f>
        <v/>
      </c>
    </row>
    <row r="2163">
      <c r="A2163" s="13">
        <f>IF(H2163="","",ROW()-4)</f>
        <v/>
      </c>
      <c r="B2163" s="13">
        <f>IF(H2163="","",ROW()-4)</f>
        <v/>
      </c>
    </row>
    <row r="2164">
      <c r="A2164" s="13">
        <f>IF(H2164="","",ROW()-4)</f>
        <v/>
      </c>
      <c r="B2164" s="13">
        <f>IF(H2164="","",ROW()-4)</f>
        <v/>
      </c>
    </row>
    <row r="2165">
      <c r="A2165" s="13">
        <f>IF(H2165="","",ROW()-4)</f>
        <v/>
      </c>
      <c r="B2165" s="13">
        <f>IF(H2165="","",ROW()-4)</f>
        <v/>
      </c>
    </row>
    <row r="2166">
      <c r="A2166" s="13">
        <f>IF(H2166="","",ROW()-4)</f>
        <v/>
      </c>
      <c r="B2166" s="13">
        <f>IF(H2166="","",ROW()-4)</f>
        <v/>
      </c>
    </row>
    <row r="2167">
      <c r="A2167" s="13">
        <f>IF(H2167="","",ROW()-4)</f>
        <v/>
      </c>
      <c r="B2167" s="13">
        <f>IF(H2167="","",ROW()-4)</f>
        <v/>
      </c>
    </row>
    <row r="2168">
      <c r="A2168" s="13">
        <f>IF(H2168="","",ROW()-4)</f>
        <v/>
      </c>
      <c r="B2168" s="13">
        <f>IF(H2168="","",ROW()-4)</f>
        <v/>
      </c>
    </row>
    <row r="2169">
      <c r="A2169" s="13">
        <f>IF(H2169="","",ROW()-4)</f>
        <v/>
      </c>
      <c r="B2169" s="13">
        <f>IF(H2169="","",ROW()-4)</f>
        <v/>
      </c>
    </row>
    <row r="2170">
      <c r="A2170" s="13">
        <f>IF(H2170="","",ROW()-4)</f>
        <v/>
      </c>
      <c r="B2170" s="13">
        <f>IF(H2170="","",ROW()-4)</f>
        <v/>
      </c>
    </row>
    <row r="2171">
      <c r="A2171" s="13">
        <f>IF(H2171="","",ROW()-4)</f>
        <v/>
      </c>
      <c r="B2171" s="13">
        <f>IF(H2171="","",ROW()-4)</f>
        <v/>
      </c>
    </row>
    <row r="2172">
      <c r="A2172" s="13">
        <f>IF(H2172="","",ROW()-4)</f>
        <v/>
      </c>
      <c r="B2172" s="13">
        <f>IF(H2172="","",ROW()-4)</f>
        <v/>
      </c>
    </row>
    <row r="2173">
      <c r="A2173" s="13">
        <f>IF(H2173="","",ROW()-4)</f>
        <v/>
      </c>
      <c r="B2173" s="13">
        <f>IF(H2173="","",ROW()-4)</f>
        <v/>
      </c>
    </row>
    <row r="2174">
      <c r="A2174" s="13">
        <f>IF(H2174="","",ROW()-4)</f>
        <v/>
      </c>
      <c r="B2174" s="13">
        <f>IF(H2174="","",ROW()-4)</f>
        <v/>
      </c>
    </row>
    <row r="2175">
      <c r="A2175" s="13">
        <f>IF(H2175="","",ROW()-4)</f>
        <v/>
      </c>
      <c r="B2175" s="13">
        <f>IF(H2175="","",ROW()-4)</f>
        <v/>
      </c>
    </row>
    <row r="2176">
      <c r="A2176" s="13">
        <f>IF(H2176="","",ROW()-4)</f>
        <v/>
      </c>
      <c r="B2176" s="13">
        <f>IF(H2176="","",ROW()-4)</f>
        <v/>
      </c>
    </row>
    <row r="2177">
      <c r="A2177" s="13">
        <f>IF(H2177="","",ROW()-4)</f>
        <v/>
      </c>
      <c r="B2177" s="13">
        <f>IF(H2177="","",ROW()-4)</f>
        <v/>
      </c>
    </row>
    <row r="2178">
      <c r="A2178" s="13">
        <f>IF(H2178="","",ROW()-4)</f>
        <v/>
      </c>
      <c r="B2178" s="13">
        <f>IF(H2178="","",ROW()-4)</f>
        <v/>
      </c>
    </row>
    <row r="2179">
      <c r="A2179" s="13">
        <f>IF(H2179="","",ROW()-4)</f>
        <v/>
      </c>
      <c r="B2179" s="13">
        <f>IF(H2179="","",ROW()-4)</f>
        <v/>
      </c>
    </row>
    <row r="2180">
      <c r="A2180" s="13">
        <f>IF(H2180="","",ROW()-4)</f>
        <v/>
      </c>
      <c r="B2180" s="13">
        <f>IF(H2180="","",ROW()-4)</f>
        <v/>
      </c>
    </row>
    <row r="2181">
      <c r="A2181" s="13">
        <f>IF(H2181="","",ROW()-4)</f>
        <v/>
      </c>
      <c r="B2181" s="13">
        <f>IF(H2181="","",ROW()-4)</f>
        <v/>
      </c>
    </row>
    <row r="2182">
      <c r="A2182" s="13">
        <f>IF(H2182="","",ROW()-4)</f>
        <v/>
      </c>
      <c r="B2182" s="13">
        <f>IF(H2182="","",ROW()-4)</f>
        <v/>
      </c>
    </row>
    <row r="2183">
      <c r="A2183" s="13">
        <f>IF(H2183="","",ROW()-4)</f>
        <v/>
      </c>
      <c r="B2183" s="13">
        <f>IF(H2183="","",ROW()-4)</f>
        <v/>
      </c>
    </row>
    <row r="2184">
      <c r="A2184" s="13">
        <f>IF(H2184="","",ROW()-4)</f>
        <v/>
      </c>
      <c r="B2184" s="13">
        <f>IF(H2184="","",ROW()-4)</f>
        <v/>
      </c>
    </row>
    <row r="2185">
      <c r="A2185" s="13">
        <f>IF(H2185="","",ROW()-4)</f>
        <v/>
      </c>
      <c r="B2185" s="13">
        <f>IF(H2185="","",ROW()-4)</f>
        <v/>
      </c>
    </row>
    <row r="2186">
      <c r="A2186" s="13">
        <f>IF(H2186="","",ROW()-4)</f>
        <v/>
      </c>
      <c r="B2186" s="13">
        <f>IF(H2186="","",ROW()-4)</f>
        <v/>
      </c>
    </row>
    <row r="2187">
      <c r="A2187" s="13">
        <f>IF(H2187="","",ROW()-4)</f>
        <v/>
      </c>
      <c r="B2187" s="13">
        <f>IF(H2187="","",ROW()-4)</f>
        <v/>
      </c>
    </row>
    <row r="2188">
      <c r="A2188" s="13">
        <f>IF(H2188="","",ROW()-4)</f>
        <v/>
      </c>
      <c r="B2188" s="13">
        <f>IF(H2188="","",ROW()-4)</f>
        <v/>
      </c>
    </row>
    <row r="2189">
      <c r="A2189" s="13">
        <f>IF(H2189="","",ROW()-4)</f>
        <v/>
      </c>
      <c r="B2189" s="13">
        <f>IF(H2189="","",ROW()-4)</f>
        <v/>
      </c>
    </row>
    <row r="2190">
      <c r="A2190" s="13">
        <f>IF(H2190="","",ROW()-4)</f>
        <v/>
      </c>
      <c r="B2190" s="13">
        <f>IF(H2190="","",ROW()-4)</f>
        <v/>
      </c>
    </row>
    <row r="2191">
      <c r="A2191" s="13">
        <f>IF(H2191="","",ROW()-4)</f>
        <v/>
      </c>
      <c r="B2191" s="13">
        <f>IF(H2191="","",ROW()-4)</f>
        <v/>
      </c>
    </row>
    <row r="2192">
      <c r="A2192" s="13">
        <f>IF(H2192="","",ROW()-4)</f>
        <v/>
      </c>
      <c r="B2192" s="13">
        <f>IF(H2192="","",ROW()-4)</f>
        <v/>
      </c>
    </row>
    <row r="2193">
      <c r="A2193" s="13">
        <f>IF(H2193="","",ROW()-4)</f>
        <v/>
      </c>
      <c r="B2193" s="13">
        <f>IF(H2193="","",ROW()-4)</f>
        <v/>
      </c>
    </row>
    <row r="2194">
      <c r="A2194" s="13">
        <f>IF(H2194="","",ROW()-4)</f>
        <v/>
      </c>
      <c r="B2194" s="13">
        <f>IF(H2194="","",ROW()-4)</f>
        <v/>
      </c>
    </row>
    <row r="2195">
      <c r="A2195" s="13">
        <f>IF(H2195="","",ROW()-4)</f>
        <v/>
      </c>
      <c r="B2195" s="13">
        <f>IF(H2195="","",ROW()-4)</f>
        <v/>
      </c>
    </row>
    <row r="2196">
      <c r="A2196" s="13">
        <f>IF(H2196="","",ROW()-4)</f>
        <v/>
      </c>
      <c r="B2196" s="13">
        <f>IF(H2196="","",ROW()-4)</f>
        <v/>
      </c>
    </row>
    <row r="2197">
      <c r="A2197" s="13">
        <f>IF(H2197="","",ROW()-4)</f>
        <v/>
      </c>
      <c r="B2197" s="13">
        <f>IF(H2197="","",ROW()-4)</f>
        <v/>
      </c>
    </row>
    <row r="2198">
      <c r="A2198" s="13">
        <f>IF(H2198="","",ROW()-4)</f>
        <v/>
      </c>
      <c r="B2198" s="13">
        <f>IF(H2198="","",ROW()-4)</f>
        <v/>
      </c>
    </row>
    <row r="2199">
      <c r="A2199" s="13">
        <f>IF(H2199="","",ROW()-4)</f>
        <v/>
      </c>
      <c r="B2199" s="13">
        <f>IF(H2199="","",ROW()-4)</f>
        <v/>
      </c>
    </row>
    <row r="2200">
      <c r="A2200" s="13">
        <f>IF(H2200="","",ROW()-4)</f>
        <v/>
      </c>
      <c r="B2200" s="13">
        <f>IF(H2200="","",ROW()-4)</f>
        <v/>
      </c>
    </row>
    <row r="2201">
      <c r="A2201" s="13">
        <f>IF(H2201="","",ROW()-4)</f>
        <v/>
      </c>
      <c r="B2201" s="13">
        <f>IF(H2201="","",ROW()-4)</f>
        <v/>
      </c>
    </row>
    <row r="2202">
      <c r="A2202" s="13">
        <f>IF(H2202="","",ROW()-4)</f>
        <v/>
      </c>
      <c r="B2202" s="13">
        <f>IF(H2202="","",ROW()-4)</f>
        <v/>
      </c>
    </row>
    <row r="2203">
      <c r="A2203" s="13">
        <f>IF(H2203="","",ROW()-4)</f>
        <v/>
      </c>
      <c r="B2203" s="13">
        <f>IF(H2203="","",ROW()-4)</f>
        <v/>
      </c>
    </row>
    <row r="2204">
      <c r="A2204" s="13">
        <f>IF(H2204="","",ROW()-4)</f>
        <v/>
      </c>
      <c r="B2204" s="13">
        <f>IF(H2204="","",ROW()-4)</f>
        <v/>
      </c>
    </row>
    <row r="2205">
      <c r="A2205" s="13">
        <f>IF(H2205="","",ROW()-4)</f>
        <v/>
      </c>
      <c r="B2205" s="13">
        <f>IF(H2205="","",ROW()-4)</f>
        <v/>
      </c>
    </row>
    <row r="2206">
      <c r="A2206" s="13">
        <f>IF(H2206="","",ROW()-4)</f>
        <v/>
      </c>
      <c r="B2206" s="13">
        <f>IF(H2206="","",ROW()-4)</f>
        <v/>
      </c>
    </row>
    <row r="2207">
      <c r="A2207" s="13">
        <f>IF(H2207="","",ROW()-4)</f>
        <v/>
      </c>
      <c r="B2207" s="13">
        <f>IF(H2207="","",ROW()-4)</f>
        <v/>
      </c>
    </row>
    <row r="2208">
      <c r="A2208" s="13">
        <f>IF(H2208="","",ROW()-4)</f>
        <v/>
      </c>
      <c r="B2208" s="13">
        <f>IF(H2208="","",ROW()-4)</f>
        <v/>
      </c>
    </row>
    <row r="2209">
      <c r="A2209" s="13">
        <f>IF(H2209="","",ROW()-4)</f>
        <v/>
      </c>
      <c r="B2209" s="13">
        <f>IF(H2209="","",ROW()-4)</f>
        <v/>
      </c>
    </row>
    <row r="2210">
      <c r="A2210" s="13">
        <f>IF(H2210="","",ROW()-4)</f>
        <v/>
      </c>
      <c r="B2210" s="13">
        <f>IF(H2210="","",ROW()-4)</f>
        <v/>
      </c>
    </row>
    <row r="2211">
      <c r="A2211" s="13">
        <f>IF(H2211="","",ROW()-4)</f>
        <v/>
      </c>
      <c r="B2211" s="13">
        <f>IF(H2211="","",ROW()-4)</f>
        <v/>
      </c>
    </row>
    <row r="2212">
      <c r="A2212" s="13">
        <f>IF(H2212="","",ROW()-4)</f>
        <v/>
      </c>
      <c r="B2212" s="13">
        <f>IF(H2212="","",ROW()-4)</f>
        <v/>
      </c>
    </row>
    <row r="2213">
      <c r="A2213" s="13">
        <f>IF(H2213="","",ROW()-4)</f>
        <v/>
      </c>
      <c r="B2213" s="13">
        <f>IF(H2213="","",ROW()-4)</f>
        <v/>
      </c>
    </row>
    <row r="2214">
      <c r="A2214" s="13">
        <f>IF(H2214="","",ROW()-4)</f>
        <v/>
      </c>
      <c r="B2214" s="13">
        <f>IF(H2214="","",ROW()-4)</f>
        <v/>
      </c>
    </row>
    <row r="2215">
      <c r="A2215" s="13">
        <f>IF(H2215="","",ROW()-4)</f>
        <v/>
      </c>
      <c r="B2215" s="13">
        <f>IF(H2215="","",ROW()-4)</f>
        <v/>
      </c>
    </row>
    <row r="2216">
      <c r="A2216" s="13">
        <f>IF(H2216="","",ROW()-4)</f>
        <v/>
      </c>
      <c r="B2216" s="13">
        <f>IF(H2216="","",ROW()-4)</f>
        <v/>
      </c>
    </row>
    <row r="2217">
      <c r="A2217" s="13">
        <f>IF(H2217="","",ROW()-4)</f>
        <v/>
      </c>
      <c r="B2217" s="13">
        <f>IF(H2217="","",ROW()-4)</f>
        <v/>
      </c>
    </row>
    <row r="2218">
      <c r="A2218" s="13">
        <f>IF(H2218="","",ROW()-4)</f>
        <v/>
      </c>
      <c r="B2218" s="13">
        <f>IF(H2218="","",ROW()-4)</f>
        <v/>
      </c>
    </row>
    <row r="2219">
      <c r="A2219" s="13">
        <f>IF(H2219="","",ROW()-4)</f>
        <v/>
      </c>
      <c r="B2219" s="13">
        <f>IF(H2219="","",ROW()-4)</f>
        <v/>
      </c>
    </row>
    <row r="2220">
      <c r="A2220" s="13">
        <f>IF(H2220="","",ROW()-4)</f>
        <v/>
      </c>
      <c r="B2220" s="13">
        <f>IF(H2220="","",ROW()-4)</f>
        <v/>
      </c>
    </row>
    <row r="2221">
      <c r="A2221" s="13">
        <f>IF(H2221="","",ROW()-4)</f>
        <v/>
      </c>
      <c r="B2221" s="13">
        <f>IF(H2221="","",ROW()-4)</f>
        <v/>
      </c>
    </row>
    <row r="2222">
      <c r="A2222" s="13">
        <f>IF(H2222="","",ROW()-4)</f>
        <v/>
      </c>
      <c r="B2222" s="13">
        <f>IF(H2222="","",ROW()-4)</f>
        <v/>
      </c>
    </row>
    <row r="2223">
      <c r="A2223" s="13">
        <f>IF(H2223="","",ROW()-4)</f>
        <v/>
      </c>
      <c r="B2223" s="13">
        <f>IF(H2223="","",ROW()-4)</f>
        <v/>
      </c>
    </row>
    <row r="2224">
      <c r="A2224" s="13">
        <f>IF(H2224="","",ROW()-4)</f>
        <v/>
      </c>
      <c r="B2224" s="13">
        <f>IF(H2224="","",ROW()-4)</f>
        <v/>
      </c>
    </row>
    <row r="2225">
      <c r="A2225" s="13">
        <f>IF(H2225="","",ROW()-4)</f>
        <v/>
      </c>
      <c r="B2225" s="13">
        <f>IF(H2225="","",ROW()-4)</f>
        <v/>
      </c>
    </row>
    <row r="2226">
      <c r="A2226" s="13">
        <f>IF(H2226="","",ROW()-4)</f>
        <v/>
      </c>
      <c r="B2226" s="13">
        <f>IF(H2226="","",ROW()-4)</f>
        <v/>
      </c>
    </row>
    <row r="2227">
      <c r="A2227" s="13">
        <f>IF(H2227="","",ROW()-4)</f>
        <v/>
      </c>
      <c r="B2227" s="13">
        <f>IF(H2227="","",ROW()-4)</f>
        <v/>
      </c>
    </row>
    <row r="2228">
      <c r="A2228" s="13">
        <f>IF(H2228="","",ROW()-4)</f>
        <v/>
      </c>
      <c r="B2228" s="13">
        <f>IF(H2228="","",ROW()-4)</f>
        <v/>
      </c>
    </row>
    <row r="2229">
      <c r="A2229" s="13">
        <f>IF(H2229="","",ROW()-4)</f>
        <v/>
      </c>
      <c r="B2229" s="13">
        <f>IF(H2229="","",ROW()-4)</f>
        <v/>
      </c>
    </row>
    <row r="2230">
      <c r="A2230" s="13">
        <f>IF(H2230="","",ROW()-4)</f>
        <v/>
      </c>
      <c r="B2230" s="13">
        <f>IF(H2230="","",ROW()-4)</f>
        <v/>
      </c>
    </row>
    <row r="2231">
      <c r="A2231" s="13">
        <f>IF(H2231="","",ROW()-4)</f>
        <v/>
      </c>
      <c r="B2231" s="13">
        <f>IF(H2231="","",ROW()-4)</f>
        <v/>
      </c>
    </row>
    <row r="2232">
      <c r="A2232" s="13">
        <f>IF(H2232="","",ROW()-4)</f>
        <v/>
      </c>
      <c r="B2232" s="13">
        <f>IF(H2232="","",ROW()-4)</f>
        <v/>
      </c>
    </row>
    <row r="2233">
      <c r="A2233" s="13">
        <f>IF(H2233="","",ROW()-4)</f>
        <v/>
      </c>
      <c r="B2233" s="13">
        <f>IF(H2233="","",ROW()-4)</f>
        <v/>
      </c>
    </row>
    <row r="2234">
      <c r="A2234" s="13">
        <f>IF(H2234="","",ROW()-4)</f>
        <v/>
      </c>
      <c r="B2234" s="13">
        <f>IF(H2234="","",ROW()-4)</f>
        <v/>
      </c>
    </row>
    <row r="2235">
      <c r="A2235" s="13">
        <f>IF(H2235="","",ROW()-4)</f>
        <v/>
      </c>
      <c r="B2235" s="13">
        <f>IF(H2235="","",ROW()-4)</f>
        <v/>
      </c>
    </row>
    <row r="2236">
      <c r="A2236" s="13">
        <f>IF(H2236="","",ROW()-4)</f>
        <v/>
      </c>
      <c r="B2236" s="13">
        <f>IF(H2236="","",ROW()-4)</f>
        <v/>
      </c>
    </row>
    <row r="2237">
      <c r="A2237" s="13">
        <f>IF(H2237="","",ROW()-4)</f>
        <v/>
      </c>
      <c r="B2237" s="13">
        <f>IF(H2237="","",ROW()-4)</f>
        <v/>
      </c>
    </row>
    <row r="2238">
      <c r="A2238" s="13">
        <f>IF(H2238="","",ROW()-4)</f>
        <v/>
      </c>
      <c r="B2238" s="13">
        <f>IF(H2238="","",ROW()-4)</f>
        <v/>
      </c>
    </row>
    <row r="2239">
      <c r="A2239" s="13">
        <f>IF(H2239="","",ROW()-4)</f>
        <v/>
      </c>
      <c r="B2239" s="13">
        <f>IF(H2239="","",ROW()-4)</f>
        <v/>
      </c>
    </row>
    <row r="2240">
      <c r="A2240" s="13">
        <f>IF(H2240="","",ROW()-4)</f>
        <v/>
      </c>
      <c r="B2240" s="13">
        <f>IF(H2240="","",ROW()-4)</f>
        <v/>
      </c>
    </row>
    <row r="2241">
      <c r="A2241" s="13">
        <f>IF(H2241="","",ROW()-4)</f>
        <v/>
      </c>
      <c r="B2241" s="13">
        <f>IF(H2241="","",ROW()-4)</f>
        <v/>
      </c>
    </row>
    <row r="2242">
      <c r="A2242" s="13">
        <f>IF(H2242="","",ROW()-4)</f>
        <v/>
      </c>
      <c r="B2242" s="13">
        <f>IF(H2242="","",ROW()-4)</f>
        <v/>
      </c>
    </row>
    <row r="2243">
      <c r="A2243" s="13">
        <f>IF(H2243="","",ROW()-4)</f>
        <v/>
      </c>
      <c r="B2243" s="13">
        <f>IF(H2243="","",ROW()-4)</f>
        <v/>
      </c>
    </row>
    <row r="2244">
      <c r="A2244" s="13">
        <f>IF(H2244="","",ROW()-4)</f>
        <v/>
      </c>
      <c r="B2244" s="13">
        <f>IF(H2244="","",ROW()-4)</f>
        <v/>
      </c>
    </row>
    <row r="2245">
      <c r="A2245" s="13">
        <f>IF(H2245="","",ROW()-4)</f>
        <v/>
      </c>
      <c r="B2245" s="13">
        <f>IF(H2245="","",ROW()-4)</f>
        <v/>
      </c>
    </row>
    <row r="2246">
      <c r="A2246" s="13">
        <f>IF(H2246="","",ROW()-4)</f>
        <v/>
      </c>
      <c r="B2246" s="13">
        <f>IF(H2246="","",ROW()-4)</f>
        <v/>
      </c>
    </row>
    <row r="2247">
      <c r="A2247" s="13">
        <f>IF(H2247="","",ROW()-4)</f>
        <v/>
      </c>
      <c r="B2247" s="13">
        <f>IF(H2247="","",ROW()-4)</f>
        <v/>
      </c>
    </row>
    <row r="2248">
      <c r="A2248" s="13">
        <f>IF(H2248="","",ROW()-4)</f>
        <v/>
      </c>
      <c r="B2248" s="13">
        <f>IF(H2248="","",ROW()-4)</f>
        <v/>
      </c>
    </row>
    <row r="2249">
      <c r="A2249" s="13">
        <f>IF(H2249="","",ROW()-4)</f>
        <v/>
      </c>
      <c r="B2249" s="13">
        <f>IF(H2249="","",ROW()-4)</f>
        <v/>
      </c>
    </row>
    <row r="2250">
      <c r="A2250" s="13">
        <f>IF(H2250="","",ROW()-4)</f>
        <v/>
      </c>
      <c r="B2250" s="13">
        <f>IF(H2250="","",ROW()-4)</f>
        <v/>
      </c>
    </row>
    <row r="2251">
      <c r="A2251" s="13">
        <f>IF(H2251="","",ROW()-4)</f>
        <v/>
      </c>
      <c r="B2251" s="13">
        <f>IF(H2251="","",ROW()-4)</f>
        <v/>
      </c>
    </row>
    <row r="2252">
      <c r="A2252" s="13">
        <f>IF(H2252="","",ROW()-4)</f>
        <v/>
      </c>
      <c r="B2252" s="13">
        <f>IF(H2252="","",ROW()-4)</f>
        <v/>
      </c>
    </row>
    <row r="2253">
      <c r="A2253" s="13">
        <f>IF(H2253="","",ROW()-4)</f>
        <v/>
      </c>
      <c r="B2253" s="13">
        <f>IF(H2253="","",ROW()-4)</f>
        <v/>
      </c>
    </row>
    <row r="2254">
      <c r="A2254" s="13">
        <f>IF(H2254="","",ROW()-4)</f>
        <v/>
      </c>
      <c r="B2254" s="13">
        <f>IF(H2254="","",ROW()-4)</f>
        <v/>
      </c>
    </row>
    <row r="2255">
      <c r="A2255" s="13">
        <f>IF(H2255="","",ROW()-4)</f>
        <v/>
      </c>
      <c r="B2255" s="13">
        <f>IF(H2255="","",ROW()-4)</f>
        <v/>
      </c>
    </row>
    <row r="2256">
      <c r="A2256" s="13">
        <f>IF(H2256="","",ROW()-4)</f>
        <v/>
      </c>
      <c r="B2256" s="13">
        <f>IF(H2256="","",ROW()-4)</f>
        <v/>
      </c>
    </row>
    <row r="2257">
      <c r="A2257" s="13">
        <f>IF(H2257="","",ROW()-4)</f>
        <v/>
      </c>
      <c r="B2257" s="13">
        <f>IF(H2257="","",ROW()-4)</f>
        <v/>
      </c>
    </row>
    <row r="2258">
      <c r="A2258" s="13">
        <f>IF(H2258="","",ROW()-4)</f>
        <v/>
      </c>
      <c r="B2258" s="13">
        <f>IF(H2258="","",ROW()-4)</f>
        <v/>
      </c>
    </row>
    <row r="2259">
      <c r="A2259" s="13">
        <f>IF(H2259="","",ROW()-4)</f>
        <v/>
      </c>
      <c r="B2259" s="13">
        <f>IF(H2259="","",ROW()-4)</f>
        <v/>
      </c>
    </row>
    <row r="2260">
      <c r="A2260" s="13">
        <f>IF(H2260="","",ROW()-4)</f>
        <v/>
      </c>
      <c r="B2260" s="13">
        <f>IF(H2260="","",ROW()-4)</f>
        <v/>
      </c>
    </row>
    <row r="2261">
      <c r="A2261" s="13">
        <f>IF(H2261="","",ROW()-4)</f>
        <v/>
      </c>
      <c r="B2261" s="13">
        <f>IF(H2261="","",ROW()-4)</f>
        <v/>
      </c>
    </row>
    <row r="2262">
      <c r="A2262" s="13">
        <f>IF(H2262="","",ROW()-4)</f>
        <v/>
      </c>
      <c r="B2262" s="13">
        <f>IF(H2262="","",ROW()-4)</f>
        <v/>
      </c>
    </row>
    <row r="2263">
      <c r="A2263" s="13">
        <f>IF(H2263="","",ROW()-4)</f>
        <v/>
      </c>
      <c r="B2263" s="13">
        <f>IF(H2263="","",ROW()-4)</f>
        <v/>
      </c>
    </row>
    <row r="2264">
      <c r="A2264" s="13">
        <f>IF(H2264="","",ROW()-4)</f>
        <v/>
      </c>
      <c r="B2264" s="13">
        <f>IF(H2264="","",ROW()-4)</f>
        <v/>
      </c>
    </row>
    <row r="2265">
      <c r="A2265" s="13">
        <f>IF(H2265="","",ROW()-4)</f>
        <v/>
      </c>
      <c r="B2265" s="13">
        <f>IF(H2265="","",ROW()-4)</f>
        <v/>
      </c>
    </row>
    <row r="2266">
      <c r="A2266" s="13">
        <f>IF(H2266="","",ROW()-4)</f>
        <v/>
      </c>
      <c r="B2266" s="13">
        <f>IF(H2266="","",ROW()-4)</f>
        <v/>
      </c>
    </row>
    <row r="2267">
      <c r="A2267" s="13">
        <f>IF(H2267="","",ROW()-4)</f>
        <v/>
      </c>
      <c r="B2267" s="13">
        <f>IF(H2267="","",ROW()-4)</f>
        <v/>
      </c>
    </row>
    <row r="2268">
      <c r="A2268" s="13">
        <f>IF(H2268="","",ROW()-4)</f>
        <v/>
      </c>
      <c r="B2268" s="13">
        <f>IF(H2268="","",ROW()-4)</f>
        <v/>
      </c>
    </row>
    <row r="2269">
      <c r="A2269" s="13">
        <f>IF(H2269="","",ROW()-4)</f>
        <v/>
      </c>
      <c r="B2269" s="13">
        <f>IF(H2269="","",ROW()-4)</f>
        <v/>
      </c>
    </row>
    <row r="2270">
      <c r="A2270" s="13">
        <f>IF(H2270="","",ROW()-4)</f>
        <v/>
      </c>
      <c r="B2270" s="13">
        <f>IF(H2270="","",ROW()-4)</f>
        <v/>
      </c>
    </row>
    <row r="2271">
      <c r="A2271" s="13">
        <f>IF(H2271="","",ROW()-4)</f>
        <v/>
      </c>
      <c r="B2271" s="13">
        <f>IF(H2271="","",ROW()-4)</f>
        <v/>
      </c>
    </row>
    <row r="2272">
      <c r="A2272" s="13">
        <f>IF(H2272="","",ROW()-4)</f>
        <v/>
      </c>
      <c r="B2272" s="13">
        <f>IF(H2272="","",ROW()-4)</f>
        <v/>
      </c>
    </row>
    <row r="2273">
      <c r="A2273" s="13">
        <f>IF(H2273="","",ROW()-4)</f>
        <v/>
      </c>
      <c r="B2273" s="13">
        <f>IF(H2273="","",ROW()-4)</f>
        <v/>
      </c>
    </row>
    <row r="2274">
      <c r="A2274" s="13">
        <f>IF(H2274="","",ROW()-4)</f>
        <v/>
      </c>
      <c r="B2274" s="13">
        <f>IF(H2274="","",ROW()-4)</f>
        <v/>
      </c>
    </row>
    <row r="2275">
      <c r="A2275" s="13">
        <f>IF(H2275="","",ROW()-4)</f>
        <v/>
      </c>
      <c r="B2275" s="13">
        <f>IF(H2275="","",ROW()-4)</f>
        <v/>
      </c>
    </row>
    <row r="2276">
      <c r="A2276" s="13">
        <f>IF(H2276="","",ROW()-4)</f>
        <v/>
      </c>
      <c r="B2276" s="13">
        <f>IF(H2276="","",ROW()-4)</f>
        <v/>
      </c>
    </row>
    <row r="2277">
      <c r="A2277" s="13">
        <f>IF(H2277="","",ROW()-4)</f>
        <v/>
      </c>
      <c r="B2277" s="13">
        <f>IF(H2277="","",ROW()-4)</f>
        <v/>
      </c>
    </row>
    <row r="2278">
      <c r="A2278" s="13">
        <f>IF(H2278="","",ROW()-4)</f>
        <v/>
      </c>
      <c r="B2278" s="13">
        <f>IF(H2278="","",ROW()-4)</f>
        <v/>
      </c>
    </row>
    <row r="2279">
      <c r="A2279" s="13">
        <f>IF(H2279="","",ROW()-4)</f>
        <v/>
      </c>
      <c r="B2279" s="13">
        <f>IF(H2279="","",ROW()-4)</f>
        <v/>
      </c>
    </row>
    <row r="2280">
      <c r="A2280" s="13">
        <f>IF(H2280="","",ROW()-4)</f>
        <v/>
      </c>
      <c r="B2280" s="13">
        <f>IF(H2280="","",ROW()-4)</f>
        <v/>
      </c>
    </row>
    <row r="2281">
      <c r="A2281" s="13">
        <f>IF(H2281="","",ROW()-4)</f>
        <v/>
      </c>
      <c r="B2281" s="13">
        <f>IF(H2281="","",ROW()-4)</f>
        <v/>
      </c>
    </row>
    <row r="2282">
      <c r="A2282" s="13">
        <f>IF(H2282="","",ROW()-4)</f>
        <v/>
      </c>
      <c r="B2282" s="13">
        <f>IF(H2282="","",ROW()-4)</f>
        <v/>
      </c>
    </row>
    <row r="2283">
      <c r="A2283" s="13">
        <f>IF(H2283="","",ROW()-4)</f>
        <v/>
      </c>
      <c r="B2283" s="13">
        <f>IF(H2283="","",ROW()-4)</f>
        <v/>
      </c>
    </row>
    <row r="2284">
      <c r="A2284" s="13">
        <f>IF(H2284="","",ROW()-4)</f>
        <v/>
      </c>
      <c r="B2284" s="13">
        <f>IF(H2284="","",ROW()-4)</f>
        <v/>
      </c>
    </row>
    <row r="2285">
      <c r="A2285" s="13">
        <f>IF(H2285="","",ROW()-4)</f>
        <v/>
      </c>
      <c r="B2285" s="13">
        <f>IF(H2285="","",ROW()-4)</f>
        <v/>
      </c>
    </row>
    <row r="2286">
      <c r="A2286" s="13">
        <f>IF(H2286="","",ROW()-4)</f>
        <v/>
      </c>
      <c r="B2286" s="13">
        <f>IF(H2286="","",ROW()-4)</f>
        <v/>
      </c>
    </row>
    <row r="2287">
      <c r="A2287" s="13">
        <f>IF(H2287="","",ROW()-4)</f>
        <v/>
      </c>
      <c r="B2287" s="13">
        <f>IF(H2287="","",ROW()-4)</f>
        <v/>
      </c>
    </row>
    <row r="2288">
      <c r="A2288" s="13">
        <f>IF(H2288="","",ROW()-4)</f>
        <v/>
      </c>
      <c r="B2288" s="13">
        <f>IF(H2288="","",ROW()-4)</f>
        <v/>
      </c>
    </row>
    <row r="2289">
      <c r="A2289" s="13">
        <f>IF(H2289="","",ROW()-4)</f>
        <v/>
      </c>
      <c r="B2289" s="13">
        <f>IF(H2289="","",ROW()-4)</f>
        <v/>
      </c>
    </row>
    <row r="2290">
      <c r="A2290" s="13">
        <f>IF(H2290="","",ROW()-4)</f>
        <v/>
      </c>
      <c r="B2290" s="13">
        <f>IF(H2290="","",ROW()-4)</f>
        <v/>
      </c>
    </row>
    <row r="2291">
      <c r="A2291" s="13">
        <f>IF(H2291="","",ROW()-4)</f>
        <v/>
      </c>
      <c r="B2291" s="13">
        <f>IF(H2291="","",ROW()-4)</f>
        <v/>
      </c>
    </row>
    <row r="2292">
      <c r="A2292" s="13">
        <f>IF(H2292="","",ROW()-4)</f>
        <v/>
      </c>
      <c r="B2292" s="13">
        <f>IF(H2292="","",ROW()-4)</f>
        <v/>
      </c>
    </row>
    <row r="2293">
      <c r="A2293" s="13">
        <f>IF(H2293="","",ROW()-4)</f>
        <v/>
      </c>
      <c r="B2293" s="13">
        <f>IF(H2293="","",ROW()-4)</f>
        <v/>
      </c>
    </row>
    <row r="2294">
      <c r="A2294" s="13">
        <f>IF(H2294="","",ROW()-4)</f>
        <v/>
      </c>
      <c r="B2294" s="13">
        <f>IF(H2294="","",ROW()-4)</f>
        <v/>
      </c>
    </row>
    <row r="2295">
      <c r="A2295" s="13">
        <f>IF(H2295="","",ROW()-4)</f>
        <v/>
      </c>
      <c r="B2295" s="13">
        <f>IF(H2295="","",ROW()-4)</f>
        <v/>
      </c>
    </row>
    <row r="2296">
      <c r="A2296" s="13">
        <f>IF(H2296="","",ROW()-4)</f>
        <v/>
      </c>
      <c r="B2296" s="13">
        <f>IF(H2296="","",ROW()-4)</f>
        <v/>
      </c>
    </row>
    <row r="2297">
      <c r="A2297" s="13">
        <f>IF(H2297="","",ROW()-4)</f>
        <v/>
      </c>
      <c r="B2297" s="13">
        <f>IF(H2297="","",ROW()-4)</f>
        <v/>
      </c>
    </row>
    <row r="2298">
      <c r="A2298" s="13">
        <f>IF(H2298="","",ROW()-4)</f>
        <v/>
      </c>
      <c r="B2298" s="13">
        <f>IF(H2298="","",ROW()-4)</f>
        <v/>
      </c>
    </row>
    <row r="2299">
      <c r="A2299" s="13">
        <f>IF(H2299="","",ROW()-4)</f>
        <v/>
      </c>
      <c r="B2299" s="13">
        <f>IF(H2299="","",ROW()-4)</f>
        <v/>
      </c>
    </row>
    <row r="2300">
      <c r="A2300" s="13">
        <f>IF(H2300="","",ROW()-4)</f>
        <v/>
      </c>
      <c r="B2300" s="13">
        <f>IF(H2300="","",ROW()-4)</f>
        <v/>
      </c>
    </row>
    <row r="2301">
      <c r="A2301" s="13">
        <f>IF(H2301="","",ROW()-4)</f>
        <v/>
      </c>
      <c r="B2301" s="13">
        <f>IF(H2301="","",ROW()-4)</f>
        <v/>
      </c>
    </row>
    <row r="2302">
      <c r="A2302" s="13">
        <f>IF(H2302="","",ROW()-4)</f>
        <v/>
      </c>
      <c r="B2302" s="13">
        <f>IF(H2302="","",ROW()-4)</f>
        <v/>
      </c>
    </row>
    <row r="2303">
      <c r="A2303" s="13">
        <f>IF(H2303="","",ROW()-4)</f>
        <v/>
      </c>
      <c r="B2303" s="13">
        <f>IF(H2303="","",ROW()-4)</f>
        <v/>
      </c>
    </row>
    <row r="2304">
      <c r="A2304" s="13">
        <f>IF(H2304="","",ROW()-4)</f>
        <v/>
      </c>
      <c r="B2304" s="13">
        <f>IF(H2304="","",ROW()-4)</f>
        <v/>
      </c>
    </row>
    <row r="2305">
      <c r="A2305" s="13">
        <f>IF(H2305="","",ROW()-4)</f>
        <v/>
      </c>
      <c r="B2305" s="13">
        <f>IF(H2305="","",ROW()-4)</f>
        <v/>
      </c>
    </row>
    <row r="2306">
      <c r="A2306" s="13">
        <f>IF(H2306="","",ROW()-4)</f>
        <v/>
      </c>
      <c r="B2306" s="13">
        <f>IF(H2306="","",ROW()-4)</f>
        <v/>
      </c>
    </row>
    <row r="2307">
      <c r="A2307" s="13">
        <f>IF(H2307="","",ROW()-4)</f>
        <v/>
      </c>
      <c r="B2307" s="13">
        <f>IF(H2307="","",ROW()-4)</f>
        <v/>
      </c>
    </row>
    <row r="2308">
      <c r="A2308" s="13">
        <f>IF(H2308="","",ROW()-4)</f>
        <v/>
      </c>
      <c r="B2308" s="13">
        <f>IF(H2308="","",ROW()-4)</f>
        <v/>
      </c>
    </row>
    <row r="2309">
      <c r="A2309" s="13">
        <f>IF(H2309="","",ROW()-4)</f>
        <v/>
      </c>
      <c r="B2309" s="13">
        <f>IF(H2309="","",ROW()-4)</f>
        <v/>
      </c>
    </row>
    <row r="2310">
      <c r="A2310" s="13">
        <f>IF(H2310="","",ROW()-4)</f>
        <v/>
      </c>
      <c r="B2310" s="13">
        <f>IF(H2310="","",ROW()-4)</f>
        <v/>
      </c>
    </row>
    <row r="2311">
      <c r="A2311" s="13">
        <f>IF(H2311="","",ROW()-4)</f>
        <v/>
      </c>
      <c r="B2311" s="13">
        <f>IF(H2311="","",ROW()-4)</f>
        <v/>
      </c>
    </row>
    <row r="2312">
      <c r="A2312" s="13">
        <f>IF(H2312="","",ROW()-4)</f>
        <v/>
      </c>
      <c r="B2312" s="13">
        <f>IF(H2312="","",ROW()-4)</f>
        <v/>
      </c>
    </row>
    <row r="2313">
      <c r="A2313" s="13">
        <f>IF(H2313="","",ROW()-4)</f>
        <v/>
      </c>
      <c r="B2313" s="13">
        <f>IF(H2313="","",ROW()-4)</f>
        <v/>
      </c>
    </row>
    <row r="2314">
      <c r="A2314" s="13">
        <f>IF(H2314="","",ROW()-4)</f>
        <v/>
      </c>
      <c r="B2314" s="13">
        <f>IF(H2314="","",ROW()-4)</f>
        <v/>
      </c>
    </row>
    <row r="2315">
      <c r="A2315" s="13">
        <f>IF(H2315="","",ROW()-4)</f>
        <v/>
      </c>
      <c r="B2315" s="13">
        <f>IF(H2315="","",ROW()-4)</f>
        <v/>
      </c>
    </row>
    <row r="2316">
      <c r="A2316" s="13">
        <f>IF(H2316="","",ROW()-4)</f>
        <v/>
      </c>
      <c r="B2316" s="13">
        <f>IF(H2316="","",ROW()-4)</f>
        <v/>
      </c>
    </row>
    <row r="2317">
      <c r="A2317" s="13">
        <f>IF(H2317="","",ROW()-4)</f>
        <v/>
      </c>
      <c r="B2317" s="13">
        <f>IF(H2317="","",ROW()-4)</f>
        <v/>
      </c>
    </row>
    <row r="2318">
      <c r="A2318" s="13">
        <f>IF(H2318="","",ROW()-4)</f>
        <v/>
      </c>
      <c r="B2318" s="13">
        <f>IF(H2318="","",ROW()-4)</f>
        <v/>
      </c>
    </row>
    <row r="2319">
      <c r="A2319" s="13">
        <f>IF(H2319="","",ROW()-4)</f>
        <v/>
      </c>
      <c r="B2319" s="13">
        <f>IF(H2319="","",ROW()-4)</f>
        <v/>
      </c>
    </row>
    <row r="2320">
      <c r="A2320" s="13">
        <f>IF(H2320="","",ROW()-4)</f>
        <v/>
      </c>
      <c r="B2320" s="13">
        <f>IF(H2320="","",ROW()-4)</f>
        <v/>
      </c>
    </row>
    <row r="2321">
      <c r="A2321" s="13">
        <f>IF(H2321="","",ROW()-4)</f>
        <v/>
      </c>
      <c r="B2321" s="13">
        <f>IF(H2321="","",ROW()-4)</f>
        <v/>
      </c>
    </row>
    <row r="2322">
      <c r="A2322" s="13">
        <f>IF(H2322="","",ROW()-4)</f>
        <v/>
      </c>
      <c r="B2322" s="13">
        <f>IF(H2322="","",ROW()-4)</f>
        <v/>
      </c>
    </row>
    <row r="2323">
      <c r="A2323" s="13">
        <f>IF(H2323="","",ROW()-4)</f>
        <v/>
      </c>
      <c r="B2323" s="13">
        <f>IF(H2323="","",ROW()-4)</f>
        <v/>
      </c>
    </row>
    <row r="2324">
      <c r="A2324" s="13">
        <f>IF(H2324="","",ROW()-4)</f>
        <v/>
      </c>
      <c r="B2324" s="13">
        <f>IF(H2324="","",ROW()-4)</f>
        <v/>
      </c>
    </row>
    <row r="2325">
      <c r="A2325" s="13">
        <f>IF(H2325="","",ROW()-4)</f>
        <v/>
      </c>
      <c r="B2325" s="13">
        <f>IF(H2325="","",ROW()-4)</f>
        <v/>
      </c>
    </row>
    <row r="2326">
      <c r="A2326" s="13">
        <f>IF(H2326="","",ROW()-4)</f>
        <v/>
      </c>
      <c r="B2326" s="13">
        <f>IF(H2326="","",ROW()-4)</f>
        <v/>
      </c>
    </row>
    <row r="2327">
      <c r="A2327" s="13">
        <f>IF(H2327="","",ROW()-4)</f>
        <v/>
      </c>
      <c r="B2327" s="13">
        <f>IF(H2327="","",ROW()-4)</f>
        <v/>
      </c>
    </row>
    <row r="2328">
      <c r="A2328" s="13">
        <f>IF(H2328="","",ROW()-4)</f>
        <v/>
      </c>
      <c r="B2328" s="13">
        <f>IF(H2328="","",ROW()-4)</f>
        <v/>
      </c>
    </row>
    <row r="2329">
      <c r="A2329" s="13">
        <f>IF(H2329="","",ROW()-4)</f>
        <v/>
      </c>
      <c r="B2329" s="13">
        <f>IF(H2329="","",ROW()-4)</f>
        <v/>
      </c>
    </row>
    <row r="2330">
      <c r="A2330" s="13">
        <f>IF(H2330="","",ROW()-4)</f>
        <v/>
      </c>
      <c r="B2330" s="13">
        <f>IF(H2330="","",ROW()-4)</f>
        <v/>
      </c>
    </row>
    <row r="2331">
      <c r="A2331" s="13">
        <f>IF(H2331="","",ROW()-4)</f>
        <v/>
      </c>
      <c r="B2331" s="13">
        <f>IF(H2331="","",ROW()-4)</f>
        <v/>
      </c>
    </row>
    <row r="2332">
      <c r="A2332" s="13">
        <f>IF(H2332="","",ROW()-4)</f>
        <v/>
      </c>
      <c r="B2332" s="13">
        <f>IF(H2332="","",ROW()-4)</f>
        <v/>
      </c>
    </row>
    <row r="2333">
      <c r="A2333" s="13">
        <f>IF(H2333="","",ROW()-4)</f>
        <v/>
      </c>
      <c r="B2333" s="13">
        <f>IF(H2333="","",ROW()-4)</f>
        <v/>
      </c>
    </row>
    <row r="2334">
      <c r="A2334" s="13">
        <f>IF(H2334="","",ROW()-4)</f>
        <v/>
      </c>
      <c r="B2334" s="13">
        <f>IF(H2334="","",ROW()-4)</f>
        <v/>
      </c>
    </row>
    <row r="2335">
      <c r="A2335" s="13">
        <f>IF(H2335="","",ROW()-4)</f>
        <v/>
      </c>
      <c r="B2335" s="13">
        <f>IF(H2335="","",ROW()-4)</f>
        <v/>
      </c>
    </row>
    <row r="2336">
      <c r="A2336" s="13">
        <f>IF(H2336="","",ROW()-4)</f>
        <v/>
      </c>
      <c r="B2336" s="13">
        <f>IF(H2336="","",ROW()-4)</f>
        <v/>
      </c>
    </row>
    <row r="2337">
      <c r="A2337" s="13">
        <f>IF(H2337="","",ROW()-4)</f>
        <v/>
      </c>
      <c r="B2337" s="13">
        <f>IF(H2337="","",ROW()-4)</f>
        <v/>
      </c>
    </row>
    <row r="2338">
      <c r="A2338" s="13">
        <f>IF(H2338="","",ROW()-4)</f>
        <v/>
      </c>
      <c r="B2338" s="13">
        <f>IF(H2338="","",ROW()-4)</f>
        <v/>
      </c>
    </row>
    <row r="2339">
      <c r="A2339" s="13">
        <f>IF(H2339="","",ROW()-4)</f>
        <v/>
      </c>
      <c r="B2339" s="13">
        <f>IF(H2339="","",ROW()-4)</f>
        <v/>
      </c>
    </row>
    <row r="2340">
      <c r="A2340" s="13">
        <f>IF(H2340="","",ROW()-4)</f>
        <v/>
      </c>
      <c r="B2340" s="13">
        <f>IF(H2340="","",ROW()-4)</f>
        <v/>
      </c>
    </row>
    <row r="2341">
      <c r="A2341" s="13">
        <f>IF(H2341="","",ROW()-4)</f>
        <v/>
      </c>
      <c r="B2341" s="13">
        <f>IF(H2341="","",ROW()-4)</f>
        <v/>
      </c>
    </row>
    <row r="2342">
      <c r="A2342" s="13">
        <f>IF(H2342="","",ROW()-4)</f>
        <v/>
      </c>
      <c r="B2342" s="13">
        <f>IF(H2342="","",ROW()-4)</f>
        <v/>
      </c>
    </row>
    <row r="2343">
      <c r="A2343" s="13">
        <f>IF(H2343="","",ROW()-4)</f>
        <v/>
      </c>
      <c r="B2343" s="13">
        <f>IF(H2343="","",ROW()-4)</f>
        <v/>
      </c>
    </row>
    <row r="2344">
      <c r="A2344" s="13">
        <f>IF(H2344="","",ROW()-4)</f>
        <v/>
      </c>
      <c r="B2344" s="13">
        <f>IF(H2344="","",ROW()-4)</f>
        <v/>
      </c>
    </row>
    <row r="2345">
      <c r="A2345" s="13">
        <f>IF(H2345="","",ROW()-4)</f>
        <v/>
      </c>
      <c r="B2345" s="13">
        <f>IF(H2345="","",ROW()-4)</f>
        <v/>
      </c>
    </row>
    <row r="2346">
      <c r="A2346" s="13">
        <f>IF(H2346="","",ROW()-4)</f>
        <v/>
      </c>
      <c r="B2346" s="13">
        <f>IF(H2346="","",ROW()-4)</f>
        <v/>
      </c>
    </row>
    <row r="2347">
      <c r="A2347" s="13">
        <f>IF(H2347="","",ROW()-4)</f>
        <v/>
      </c>
      <c r="B2347" s="13">
        <f>IF(H2347="","",ROW()-4)</f>
        <v/>
      </c>
    </row>
    <row r="2348">
      <c r="A2348" s="13">
        <f>IF(H2348="","",ROW()-4)</f>
        <v/>
      </c>
      <c r="B2348" s="13">
        <f>IF(H2348="","",ROW()-4)</f>
        <v/>
      </c>
    </row>
    <row r="2349">
      <c r="A2349" s="13">
        <f>IF(H2349="","",ROW()-4)</f>
        <v/>
      </c>
      <c r="B2349" s="13">
        <f>IF(H2349="","",ROW()-4)</f>
        <v/>
      </c>
    </row>
    <row r="2350">
      <c r="A2350" s="13">
        <f>IF(H2350="","",ROW()-4)</f>
        <v/>
      </c>
      <c r="B2350" s="13">
        <f>IF(H2350="","",ROW()-4)</f>
        <v/>
      </c>
    </row>
    <row r="2351">
      <c r="A2351" s="13">
        <f>IF(H2351="","",ROW()-4)</f>
        <v/>
      </c>
      <c r="B2351" s="13">
        <f>IF(H2351="","",ROW()-4)</f>
        <v/>
      </c>
    </row>
    <row r="2352">
      <c r="A2352" s="13">
        <f>IF(H2352="","",ROW()-4)</f>
        <v/>
      </c>
      <c r="B2352" s="13">
        <f>IF(H2352="","",ROW()-4)</f>
        <v/>
      </c>
    </row>
    <row r="2353">
      <c r="A2353" s="13">
        <f>IF(H2353="","",ROW()-4)</f>
        <v/>
      </c>
      <c r="B2353" s="13">
        <f>IF(H2353="","",ROW()-4)</f>
        <v/>
      </c>
    </row>
    <row r="2354">
      <c r="A2354" s="13">
        <f>IF(H2354="","",ROW()-4)</f>
        <v/>
      </c>
      <c r="B2354" s="13">
        <f>IF(H2354="","",ROW()-4)</f>
        <v/>
      </c>
    </row>
    <row r="2355">
      <c r="A2355" s="13">
        <f>IF(H2355="","",ROW()-4)</f>
        <v/>
      </c>
      <c r="B2355" s="13">
        <f>IF(H2355="","",ROW()-4)</f>
        <v/>
      </c>
    </row>
    <row r="2356">
      <c r="A2356" s="13">
        <f>IF(H2356="","",ROW()-4)</f>
        <v/>
      </c>
      <c r="B2356" s="13">
        <f>IF(H2356="","",ROW()-4)</f>
        <v/>
      </c>
    </row>
    <row r="2357">
      <c r="A2357" s="13">
        <f>IF(H2357="","",ROW()-4)</f>
        <v/>
      </c>
      <c r="B2357" s="13">
        <f>IF(H2357="","",ROW()-4)</f>
        <v/>
      </c>
    </row>
    <row r="2358">
      <c r="A2358" s="13">
        <f>IF(H2358="","",ROW()-4)</f>
        <v/>
      </c>
      <c r="B2358" s="13">
        <f>IF(H2358="","",ROW()-4)</f>
        <v/>
      </c>
    </row>
    <row r="2359">
      <c r="A2359" s="13">
        <f>IF(H2359="","",ROW()-4)</f>
        <v/>
      </c>
      <c r="B2359" s="13">
        <f>IF(H2359="","",ROW()-4)</f>
        <v/>
      </c>
    </row>
    <row r="2360">
      <c r="A2360" s="13">
        <f>IF(H2360="","",ROW()-4)</f>
        <v/>
      </c>
      <c r="B2360" s="13">
        <f>IF(H2360="","",ROW()-4)</f>
        <v/>
      </c>
    </row>
    <row r="2361">
      <c r="A2361" s="13">
        <f>IF(H2361="","",ROW()-4)</f>
        <v/>
      </c>
      <c r="B2361" s="13">
        <f>IF(H2361="","",ROW()-4)</f>
        <v/>
      </c>
    </row>
    <row r="2362">
      <c r="A2362" s="13">
        <f>IF(H2362="","",ROW()-4)</f>
        <v/>
      </c>
      <c r="B2362" s="13">
        <f>IF(H2362="","",ROW()-4)</f>
        <v/>
      </c>
    </row>
    <row r="2363">
      <c r="A2363" s="13">
        <f>IF(H2363="","",ROW()-4)</f>
        <v/>
      </c>
      <c r="B2363" s="13">
        <f>IF(H2363="","",ROW()-4)</f>
        <v/>
      </c>
    </row>
    <row r="2364">
      <c r="A2364" s="13">
        <f>IF(H2364="","",ROW()-4)</f>
        <v/>
      </c>
      <c r="B2364" s="13">
        <f>IF(H2364="","",ROW()-4)</f>
        <v/>
      </c>
    </row>
    <row r="2365">
      <c r="A2365" s="13">
        <f>IF(H2365="","",ROW()-4)</f>
        <v/>
      </c>
      <c r="B2365" s="13">
        <f>IF(H2365="","",ROW()-4)</f>
        <v/>
      </c>
    </row>
    <row r="2366">
      <c r="A2366" s="13">
        <f>IF(H2366="","",ROW()-4)</f>
        <v/>
      </c>
      <c r="B2366" s="13">
        <f>IF(H2366="","",ROW()-4)</f>
        <v/>
      </c>
    </row>
    <row r="2367">
      <c r="A2367" s="13">
        <f>IF(H2367="","",ROW()-4)</f>
        <v/>
      </c>
      <c r="B2367" s="13">
        <f>IF(H2367="","",ROW()-4)</f>
        <v/>
      </c>
    </row>
    <row r="2368">
      <c r="A2368" s="13">
        <f>IF(H2368="","",ROW()-4)</f>
        <v/>
      </c>
      <c r="B2368" s="13">
        <f>IF(H2368="","",ROW()-4)</f>
        <v/>
      </c>
    </row>
    <row r="2369">
      <c r="A2369" s="13">
        <f>IF(H2369="","",ROW()-4)</f>
        <v/>
      </c>
      <c r="B2369" s="13">
        <f>IF(H2369="","",ROW()-4)</f>
        <v/>
      </c>
    </row>
    <row r="2370">
      <c r="A2370" s="13">
        <f>IF(H2370="","",ROW()-4)</f>
        <v/>
      </c>
      <c r="B2370" s="13">
        <f>IF(H2370="","",ROW()-4)</f>
        <v/>
      </c>
    </row>
    <row r="2371">
      <c r="A2371" s="13">
        <f>IF(H2371="","",ROW()-4)</f>
        <v/>
      </c>
      <c r="B2371" s="13">
        <f>IF(H2371="","",ROW()-4)</f>
        <v/>
      </c>
    </row>
    <row r="2372">
      <c r="A2372" s="13">
        <f>IF(H2372="","",ROW()-4)</f>
        <v/>
      </c>
      <c r="B2372" s="13">
        <f>IF(H2372="","",ROW()-4)</f>
        <v/>
      </c>
    </row>
    <row r="2373">
      <c r="A2373" s="13">
        <f>IF(H2373="","",ROW()-4)</f>
        <v/>
      </c>
      <c r="B2373" s="13">
        <f>IF(H2373="","",ROW()-4)</f>
        <v/>
      </c>
    </row>
    <row r="2374">
      <c r="A2374" s="13">
        <f>IF(H2374="","",ROW()-4)</f>
        <v/>
      </c>
      <c r="B2374" s="13">
        <f>IF(H2374="","",ROW()-4)</f>
        <v/>
      </c>
    </row>
    <row r="2375">
      <c r="A2375" s="13">
        <f>IF(H2375="","",ROW()-4)</f>
        <v/>
      </c>
      <c r="B2375" s="13">
        <f>IF(H2375="","",ROW()-4)</f>
        <v/>
      </c>
    </row>
    <row r="2376">
      <c r="A2376" s="13">
        <f>IF(H2376="","",ROW()-4)</f>
        <v/>
      </c>
      <c r="B2376" s="13">
        <f>IF(H2376="","",ROW()-4)</f>
        <v/>
      </c>
    </row>
    <row r="2377">
      <c r="A2377" s="13">
        <f>IF(H2377="","",ROW()-4)</f>
        <v/>
      </c>
      <c r="B2377" s="13">
        <f>IF(H2377="","",ROW()-4)</f>
        <v/>
      </c>
    </row>
    <row r="2378">
      <c r="A2378" s="13">
        <f>IF(H2378="","",ROW()-4)</f>
        <v/>
      </c>
      <c r="B2378" s="13">
        <f>IF(H2378="","",ROW()-4)</f>
        <v/>
      </c>
    </row>
    <row r="2379">
      <c r="A2379" s="13">
        <f>IF(H2379="","",ROW()-4)</f>
        <v/>
      </c>
      <c r="B2379" s="13">
        <f>IF(H2379="","",ROW()-4)</f>
        <v/>
      </c>
    </row>
    <row r="2380">
      <c r="A2380" s="13">
        <f>IF(H2380="","",ROW()-4)</f>
        <v/>
      </c>
      <c r="B2380" s="13">
        <f>IF(H2380="","",ROW()-4)</f>
        <v/>
      </c>
    </row>
    <row r="2381">
      <c r="A2381" s="13">
        <f>IF(H2381="","",ROW()-4)</f>
        <v/>
      </c>
      <c r="B2381" s="13">
        <f>IF(H2381="","",ROW()-4)</f>
        <v/>
      </c>
    </row>
    <row r="2382">
      <c r="A2382" s="13">
        <f>IF(H2382="","",ROW()-4)</f>
        <v/>
      </c>
      <c r="B2382" s="13">
        <f>IF(H2382="","",ROW()-4)</f>
        <v/>
      </c>
    </row>
    <row r="2383">
      <c r="A2383" s="13">
        <f>IF(H2383="","",ROW()-4)</f>
        <v/>
      </c>
      <c r="B2383" s="13">
        <f>IF(H2383="","",ROW()-4)</f>
        <v/>
      </c>
    </row>
    <row r="2384">
      <c r="A2384" s="13">
        <f>IF(H2384="","",ROW()-4)</f>
        <v/>
      </c>
      <c r="B2384" s="13">
        <f>IF(H2384="","",ROW()-4)</f>
        <v/>
      </c>
    </row>
    <row r="2385">
      <c r="A2385" s="13">
        <f>IF(H2385="","",ROW()-4)</f>
        <v/>
      </c>
      <c r="B2385" s="13">
        <f>IF(H2385="","",ROW()-4)</f>
        <v/>
      </c>
    </row>
    <row r="2386">
      <c r="A2386" s="13">
        <f>IF(H2386="","",ROW()-4)</f>
        <v/>
      </c>
      <c r="B2386" s="13">
        <f>IF(H2386="","",ROW()-4)</f>
        <v/>
      </c>
    </row>
    <row r="2387">
      <c r="A2387" s="13">
        <f>IF(H2387="","",ROW()-4)</f>
        <v/>
      </c>
      <c r="B2387" s="13">
        <f>IF(H2387="","",ROW()-4)</f>
        <v/>
      </c>
    </row>
    <row r="2388">
      <c r="A2388" s="13">
        <f>IF(H2388="","",ROW()-4)</f>
        <v/>
      </c>
      <c r="B2388" s="13">
        <f>IF(H2388="","",ROW()-4)</f>
        <v/>
      </c>
    </row>
    <row r="2389">
      <c r="A2389" s="13">
        <f>IF(H2389="","",ROW()-4)</f>
        <v/>
      </c>
      <c r="B2389" s="13">
        <f>IF(H2389="","",ROW()-4)</f>
        <v/>
      </c>
    </row>
    <row r="2390">
      <c r="A2390" s="13">
        <f>IF(H2390="","",ROW()-4)</f>
        <v/>
      </c>
      <c r="B2390" s="13">
        <f>IF(H2390="","",ROW()-4)</f>
        <v/>
      </c>
    </row>
    <row r="2391">
      <c r="A2391" s="13">
        <f>IF(H2391="","",ROW()-4)</f>
        <v/>
      </c>
      <c r="B2391" s="13">
        <f>IF(H2391="","",ROW()-4)</f>
        <v/>
      </c>
    </row>
    <row r="2392">
      <c r="A2392" s="13">
        <f>IF(H2392="","",ROW()-4)</f>
        <v/>
      </c>
      <c r="B2392" s="13">
        <f>IF(H2392="","",ROW()-4)</f>
        <v/>
      </c>
    </row>
    <row r="2393">
      <c r="A2393" s="13">
        <f>IF(H2393="","",ROW()-4)</f>
        <v/>
      </c>
      <c r="B2393" s="13">
        <f>IF(H2393="","",ROW()-4)</f>
        <v/>
      </c>
    </row>
    <row r="2394">
      <c r="A2394" s="13">
        <f>IF(H2394="","",ROW()-4)</f>
        <v/>
      </c>
      <c r="B2394" s="13">
        <f>IF(H2394="","",ROW()-4)</f>
        <v/>
      </c>
    </row>
    <row r="2395">
      <c r="A2395" s="13">
        <f>IF(H2395="","",ROW()-4)</f>
        <v/>
      </c>
      <c r="B2395" s="13">
        <f>IF(H2395="","",ROW()-4)</f>
        <v/>
      </c>
    </row>
    <row r="2396">
      <c r="A2396" s="13">
        <f>IF(H2396="","",ROW()-4)</f>
        <v/>
      </c>
      <c r="B2396" s="13">
        <f>IF(H2396="","",ROW()-4)</f>
        <v/>
      </c>
    </row>
    <row r="2397">
      <c r="A2397" s="13">
        <f>IF(H2397="","",ROW()-4)</f>
        <v/>
      </c>
      <c r="B2397" s="13">
        <f>IF(H2397="","",ROW()-4)</f>
        <v/>
      </c>
    </row>
    <row r="2398">
      <c r="A2398" s="13">
        <f>IF(H2398="","",ROW()-4)</f>
        <v/>
      </c>
      <c r="B2398" s="13">
        <f>IF(H2398="","",ROW()-4)</f>
        <v/>
      </c>
    </row>
    <row r="2399">
      <c r="A2399" s="13">
        <f>IF(H2399="","",ROW()-4)</f>
        <v/>
      </c>
      <c r="B2399" s="13">
        <f>IF(H2399="","",ROW()-4)</f>
        <v/>
      </c>
    </row>
    <row r="2400">
      <c r="A2400" s="13">
        <f>IF(H2400="","",ROW()-4)</f>
        <v/>
      </c>
      <c r="B2400" s="13">
        <f>IF(H2400="","",ROW()-4)</f>
        <v/>
      </c>
    </row>
    <row r="2401">
      <c r="A2401" s="13">
        <f>IF(H2401="","",ROW()-4)</f>
        <v/>
      </c>
      <c r="B2401" s="13">
        <f>IF(H2401="","",ROW()-4)</f>
        <v/>
      </c>
    </row>
    <row r="2402">
      <c r="A2402" s="13">
        <f>IF(H2402="","",ROW()-4)</f>
        <v/>
      </c>
      <c r="B2402" s="13">
        <f>IF(H2402="","",ROW()-4)</f>
        <v/>
      </c>
    </row>
    <row r="2403">
      <c r="A2403" s="13">
        <f>IF(H2403="","",ROW()-4)</f>
        <v/>
      </c>
      <c r="B2403" s="13">
        <f>IF(H2403="","",ROW()-4)</f>
        <v/>
      </c>
    </row>
    <row r="2404">
      <c r="A2404" s="13">
        <f>IF(H2404="","",ROW()-4)</f>
        <v/>
      </c>
      <c r="B2404" s="13">
        <f>IF(H2404="","",ROW()-4)</f>
        <v/>
      </c>
    </row>
    <row r="2405">
      <c r="A2405" s="13">
        <f>IF(H2405="","",ROW()-4)</f>
        <v/>
      </c>
      <c r="B2405" s="13">
        <f>IF(H2405="","",ROW()-4)</f>
        <v/>
      </c>
    </row>
    <row r="2406">
      <c r="A2406" s="13">
        <f>IF(H2406="","",ROW()-4)</f>
        <v/>
      </c>
      <c r="B2406" s="13">
        <f>IF(H2406="","",ROW()-4)</f>
        <v/>
      </c>
    </row>
    <row r="2407">
      <c r="A2407" s="13">
        <f>IF(H2407="","",ROW()-4)</f>
        <v/>
      </c>
      <c r="B2407" s="13">
        <f>IF(H2407="","",ROW()-4)</f>
        <v/>
      </c>
    </row>
    <row r="2408">
      <c r="A2408" s="13">
        <f>IF(H2408="","",ROW()-4)</f>
        <v/>
      </c>
      <c r="B2408" s="13">
        <f>IF(H2408="","",ROW()-4)</f>
        <v/>
      </c>
    </row>
    <row r="2409">
      <c r="A2409" s="13">
        <f>IF(H2409="","",ROW()-4)</f>
        <v/>
      </c>
      <c r="B2409" s="13">
        <f>IF(H2409="","",ROW()-4)</f>
        <v/>
      </c>
    </row>
    <row r="2410">
      <c r="A2410" s="13">
        <f>IF(H2410="","",ROW()-4)</f>
        <v/>
      </c>
      <c r="B2410" s="13">
        <f>IF(H2410="","",ROW()-4)</f>
        <v/>
      </c>
    </row>
    <row r="2411">
      <c r="A2411" s="13">
        <f>IF(H2411="","",ROW()-4)</f>
        <v/>
      </c>
      <c r="B2411" s="13">
        <f>IF(H2411="","",ROW()-4)</f>
        <v/>
      </c>
    </row>
    <row r="2412">
      <c r="A2412" s="13">
        <f>IF(H2412="","",ROW()-4)</f>
        <v/>
      </c>
      <c r="B2412" s="13">
        <f>IF(H2412="","",ROW()-4)</f>
        <v/>
      </c>
    </row>
    <row r="2413">
      <c r="A2413" s="13">
        <f>IF(H2413="","",ROW()-4)</f>
        <v/>
      </c>
      <c r="B2413" s="13">
        <f>IF(H2413="","",ROW()-4)</f>
        <v/>
      </c>
    </row>
    <row r="2414">
      <c r="A2414" s="13">
        <f>IF(H2414="","",ROW()-4)</f>
        <v/>
      </c>
      <c r="B2414" s="13">
        <f>IF(H2414="","",ROW()-4)</f>
        <v/>
      </c>
    </row>
    <row r="2415">
      <c r="A2415" s="13">
        <f>IF(H2415="","",ROW()-4)</f>
        <v/>
      </c>
      <c r="B2415" s="13">
        <f>IF(H2415="","",ROW()-4)</f>
        <v/>
      </c>
    </row>
    <row r="2416">
      <c r="A2416" s="13">
        <f>IF(H2416="","",ROW()-4)</f>
        <v/>
      </c>
      <c r="B2416" s="13">
        <f>IF(H2416="","",ROW()-4)</f>
        <v/>
      </c>
    </row>
    <row r="2417">
      <c r="A2417" s="13">
        <f>IF(H2417="","",ROW()-4)</f>
        <v/>
      </c>
      <c r="B2417" s="13">
        <f>IF(H2417="","",ROW()-4)</f>
        <v/>
      </c>
    </row>
    <row r="2418">
      <c r="A2418" s="13">
        <f>IF(H2418="","",ROW()-4)</f>
        <v/>
      </c>
      <c r="B2418" s="13">
        <f>IF(H2418="","",ROW()-4)</f>
        <v/>
      </c>
    </row>
    <row r="2419">
      <c r="A2419" s="13">
        <f>IF(H2419="","",ROW()-4)</f>
        <v/>
      </c>
      <c r="B2419" s="13">
        <f>IF(H2419="","",ROW()-4)</f>
        <v/>
      </c>
    </row>
    <row r="2420">
      <c r="A2420" s="13">
        <f>IF(H2420="","",ROW()-4)</f>
        <v/>
      </c>
      <c r="B2420" s="13">
        <f>IF(H2420="","",ROW()-4)</f>
        <v/>
      </c>
    </row>
    <row r="2421">
      <c r="A2421" s="13">
        <f>IF(H2421="","",ROW()-4)</f>
        <v/>
      </c>
      <c r="B2421" s="13">
        <f>IF(H2421="","",ROW()-4)</f>
        <v/>
      </c>
    </row>
    <row r="2422">
      <c r="A2422" s="13">
        <f>IF(H2422="","",ROW()-4)</f>
        <v/>
      </c>
      <c r="B2422" s="13">
        <f>IF(H2422="","",ROW()-4)</f>
        <v/>
      </c>
    </row>
    <row r="2423">
      <c r="A2423" s="13">
        <f>IF(H2423="","",ROW()-4)</f>
        <v/>
      </c>
      <c r="B2423" s="13">
        <f>IF(H2423="","",ROW()-4)</f>
        <v/>
      </c>
    </row>
    <row r="2424">
      <c r="A2424" s="13">
        <f>IF(H2424="","",ROW()-4)</f>
        <v/>
      </c>
      <c r="B2424" s="13">
        <f>IF(H2424="","",ROW()-4)</f>
        <v/>
      </c>
    </row>
    <row r="2425">
      <c r="A2425" s="13">
        <f>IF(H2425="","",ROW()-4)</f>
        <v/>
      </c>
      <c r="B2425" s="13">
        <f>IF(H2425="","",ROW()-4)</f>
        <v/>
      </c>
    </row>
    <row r="2426">
      <c r="A2426" s="13">
        <f>IF(H2426="","",ROW()-4)</f>
        <v/>
      </c>
      <c r="B2426" s="13">
        <f>IF(H2426="","",ROW()-4)</f>
        <v/>
      </c>
    </row>
    <row r="2427">
      <c r="A2427" s="13">
        <f>IF(H2427="","",ROW()-4)</f>
        <v/>
      </c>
      <c r="B2427" s="13">
        <f>IF(H2427="","",ROW()-4)</f>
        <v/>
      </c>
    </row>
    <row r="2428">
      <c r="A2428" s="13">
        <f>IF(H2428="","",ROW()-4)</f>
        <v/>
      </c>
      <c r="B2428" s="13">
        <f>IF(H2428="","",ROW()-4)</f>
        <v/>
      </c>
    </row>
    <row r="2429">
      <c r="A2429" s="13">
        <f>IF(H2429="","",ROW()-4)</f>
        <v/>
      </c>
      <c r="B2429" s="13">
        <f>IF(H2429="","",ROW()-4)</f>
        <v/>
      </c>
    </row>
    <row r="2430">
      <c r="A2430" s="13">
        <f>IF(H2430="","",ROW()-4)</f>
        <v/>
      </c>
      <c r="B2430" s="13">
        <f>IF(H2430="","",ROW()-4)</f>
        <v/>
      </c>
    </row>
    <row r="2431">
      <c r="A2431" s="13">
        <f>IF(H2431="","",ROW()-4)</f>
        <v/>
      </c>
      <c r="B2431" s="13">
        <f>IF(H2431="","",ROW()-4)</f>
        <v/>
      </c>
    </row>
    <row r="2432">
      <c r="A2432" s="13">
        <f>IF(H2432="","",ROW()-4)</f>
        <v/>
      </c>
      <c r="B2432" s="13">
        <f>IF(H2432="","",ROW()-4)</f>
        <v/>
      </c>
    </row>
    <row r="2433">
      <c r="A2433" s="13">
        <f>IF(H2433="","",ROW()-4)</f>
        <v/>
      </c>
      <c r="B2433" s="13">
        <f>IF(H2433="","",ROW()-4)</f>
        <v/>
      </c>
    </row>
    <row r="2434">
      <c r="A2434" s="13">
        <f>IF(H2434="","",ROW()-4)</f>
        <v/>
      </c>
      <c r="B2434" s="13">
        <f>IF(H2434="","",ROW()-4)</f>
        <v/>
      </c>
    </row>
    <row r="2435">
      <c r="A2435" s="13">
        <f>IF(H2435="","",ROW()-4)</f>
        <v/>
      </c>
      <c r="B2435" s="13">
        <f>IF(H2435="","",ROW()-4)</f>
        <v/>
      </c>
    </row>
    <row r="2436">
      <c r="A2436" s="13">
        <f>IF(H2436="","",ROW()-4)</f>
        <v/>
      </c>
      <c r="B2436" s="13">
        <f>IF(H2436="","",ROW()-4)</f>
        <v/>
      </c>
    </row>
    <row r="2437">
      <c r="A2437" s="13">
        <f>IF(H2437="","",ROW()-4)</f>
        <v/>
      </c>
      <c r="B2437" s="13">
        <f>IF(H2437="","",ROW()-4)</f>
        <v/>
      </c>
    </row>
    <row r="2438">
      <c r="A2438" s="13">
        <f>IF(H2438="","",ROW()-4)</f>
        <v/>
      </c>
      <c r="B2438" s="13">
        <f>IF(H2438="","",ROW()-4)</f>
        <v/>
      </c>
    </row>
    <row r="2439">
      <c r="A2439" s="13">
        <f>IF(H2439="","",ROW()-4)</f>
        <v/>
      </c>
      <c r="B2439" s="13">
        <f>IF(H2439="","",ROW()-4)</f>
        <v/>
      </c>
    </row>
    <row r="2440">
      <c r="A2440" s="13">
        <f>IF(H2440="","",ROW()-4)</f>
        <v/>
      </c>
      <c r="B2440" s="13">
        <f>IF(H2440="","",ROW()-4)</f>
        <v/>
      </c>
    </row>
    <row r="2441">
      <c r="A2441" s="13">
        <f>IF(H2441="","",ROW()-4)</f>
        <v/>
      </c>
      <c r="B2441" s="13">
        <f>IF(H2441="","",ROW()-4)</f>
        <v/>
      </c>
    </row>
    <row r="2442">
      <c r="A2442" s="13">
        <f>IF(H2442="","",ROW()-4)</f>
        <v/>
      </c>
      <c r="B2442" s="13">
        <f>IF(H2442="","",ROW()-4)</f>
        <v/>
      </c>
    </row>
    <row r="2443">
      <c r="A2443" s="13">
        <f>IF(H2443="","",ROW()-4)</f>
        <v/>
      </c>
      <c r="B2443" s="13">
        <f>IF(H2443="","",ROW()-4)</f>
        <v/>
      </c>
    </row>
    <row r="2444">
      <c r="A2444" s="13">
        <f>IF(H2444="","",ROW()-4)</f>
        <v/>
      </c>
      <c r="B2444" s="13">
        <f>IF(H2444="","",ROW()-4)</f>
        <v/>
      </c>
    </row>
    <row r="2445">
      <c r="A2445" s="13">
        <f>IF(H2445="","",ROW()-4)</f>
        <v/>
      </c>
      <c r="B2445" s="13">
        <f>IF(H2445="","",ROW()-4)</f>
        <v/>
      </c>
    </row>
    <row r="2446">
      <c r="A2446" s="13">
        <f>IF(H2446="","",ROW()-4)</f>
        <v/>
      </c>
      <c r="B2446" s="13">
        <f>IF(H2446="","",ROW()-4)</f>
        <v/>
      </c>
    </row>
    <row r="2447">
      <c r="A2447" s="13">
        <f>IF(H2447="","",ROW()-4)</f>
        <v/>
      </c>
      <c r="B2447" s="13">
        <f>IF(H2447="","",ROW()-4)</f>
        <v/>
      </c>
    </row>
    <row r="2448">
      <c r="A2448" s="13">
        <f>IF(H2448="","",ROW()-4)</f>
        <v/>
      </c>
      <c r="B2448" s="13">
        <f>IF(H2448="","",ROW()-4)</f>
        <v/>
      </c>
    </row>
    <row r="2449">
      <c r="A2449" s="13">
        <f>IF(H2449="","",ROW()-4)</f>
        <v/>
      </c>
      <c r="B2449" s="13">
        <f>IF(H2449="","",ROW()-4)</f>
        <v/>
      </c>
    </row>
    <row r="2450">
      <c r="A2450" s="13">
        <f>IF(H2450="","",ROW()-4)</f>
        <v/>
      </c>
      <c r="B2450" s="13">
        <f>IF(H2450="","",ROW()-4)</f>
        <v/>
      </c>
    </row>
    <row r="2451">
      <c r="A2451" s="13">
        <f>IF(H2451="","",ROW()-4)</f>
        <v/>
      </c>
      <c r="B2451" s="13">
        <f>IF(H2451="","",ROW()-4)</f>
        <v/>
      </c>
    </row>
    <row r="2452">
      <c r="A2452" s="13">
        <f>IF(H2452="","",ROW()-4)</f>
        <v/>
      </c>
      <c r="B2452" s="13">
        <f>IF(H2452="","",ROW()-4)</f>
        <v/>
      </c>
    </row>
    <row r="2453">
      <c r="A2453" s="13">
        <f>IF(H2453="","",ROW()-4)</f>
        <v/>
      </c>
      <c r="B2453" s="13">
        <f>IF(H2453="","",ROW()-4)</f>
        <v/>
      </c>
    </row>
    <row r="2454">
      <c r="A2454" s="13">
        <f>IF(H2454="","",ROW()-4)</f>
        <v/>
      </c>
      <c r="B2454" s="13">
        <f>IF(H2454="","",ROW()-4)</f>
        <v/>
      </c>
    </row>
    <row r="2455">
      <c r="A2455" s="13">
        <f>IF(H2455="","",ROW()-4)</f>
        <v/>
      </c>
      <c r="B2455" s="13">
        <f>IF(H2455="","",ROW()-4)</f>
        <v/>
      </c>
    </row>
    <row r="2456">
      <c r="A2456" s="13">
        <f>IF(H2456="","",ROW()-4)</f>
        <v/>
      </c>
      <c r="B2456" s="13">
        <f>IF(H2456="","",ROW()-4)</f>
        <v/>
      </c>
    </row>
    <row r="2457">
      <c r="A2457" s="13">
        <f>IF(H2457="","",ROW()-4)</f>
        <v/>
      </c>
      <c r="B2457" s="13">
        <f>IF(H2457="","",ROW()-4)</f>
        <v/>
      </c>
    </row>
    <row r="2458">
      <c r="A2458" s="13">
        <f>IF(H2458="","",ROW()-4)</f>
        <v/>
      </c>
      <c r="B2458" s="13">
        <f>IF(H2458="","",ROW()-4)</f>
        <v/>
      </c>
    </row>
    <row r="2459">
      <c r="A2459" s="13">
        <f>IF(H2459="","",ROW()-4)</f>
        <v/>
      </c>
      <c r="B2459" s="13">
        <f>IF(H2459="","",ROW()-4)</f>
        <v/>
      </c>
    </row>
    <row r="2460">
      <c r="A2460" s="13">
        <f>IF(H2460="","",ROW()-4)</f>
        <v/>
      </c>
      <c r="B2460" s="13">
        <f>IF(H2460="","",ROW()-4)</f>
        <v/>
      </c>
    </row>
    <row r="2461">
      <c r="A2461" s="13">
        <f>IF(H2461="","",ROW()-4)</f>
        <v/>
      </c>
      <c r="B2461" s="13">
        <f>IF(H2461="","",ROW()-4)</f>
        <v/>
      </c>
    </row>
    <row r="2462">
      <c r="A2462" s="13">
        <f>IF(H2462="","",ROW()-4)</f>
        <v/>
      </c>
      <c r="B2462" s="13">
        <f>IF(H2462="","",ROW()-4)</f>
        <v/>
      </c>
    </row>
    <row r="2463">
      <c r="A2463" s="13">
        <f>IF(H2463="","",ROW()-4)</f>
        <v/>
      </c>
      <c r="B2463" s="13">
        <f>IF(H2463="","",ROW()-4)</f>
        <v/>
      </c>
    </row>
    <row r="2464">
      <c r="A2464" s="13">
        <f>IF(H2464="","",ROW()-4)</f>
        <v/>
      </c>
      <c r="B2464" s="13">
        <f>IF(H2464="","",ROW()-4)</f>
        <v/>
      </c>
    </row>
    <row r="2465">
      <c r="A2465" s="13">
        <f>IF(H2465="","",ROW()-4)</f>
        <v/>
      </c>
      <c r="B2465" s="13">
        <f>IF(H2465="","",ROW()-4)</f>
        <v/>
      </c>
    </row>
    <row r="2466">
      <c r="A2466" s="13">
        <f>IF(H2466="","",ROW()-4)</f>
        <v/>
      </c>
      <c r="B2466" s="13">
        <f>IF(H2466="","",ROW()-4)</f>
        <v/>
      </c>
    </row>
    <row r="2467">
      <c r="A2467" s="13">
        <f>IF(H2467="","",ROW()-4)</f>
        <v/>
      </c>
      <c r="B2467" s="13">
        <f>IF(H2467="","",ROW()-4)</f>
        <v/>
      </c>
    </row>
    <row r="2468">
      <c r="A2468" s="13">
        <f>IF(H2468="","",ROW()-4)</f>
        <v/>
      </c>
      <c r="B2468" s="13">
        <f>IF(H2468="","",ROW()-4)</f>
        <v/>
      </c>
    </row>
    <row r="2469">
      <c r="A2469" s="13">
        <f>IF(H2469="","",ROW()-4)</f>
        <v/>
      </c>
      <c r="B2469" s="13">
        <f>IF(H2469="","",ROW()-4)</f>
        <v/>
      </c>
    </row>
    <row r="2470">
      <c r="A2470" s="13">
        <f>IF(H2470="","",ROW()-4)</f>
        <v/>
      </c>
      <c r="B2470" s="13">
        <f>IF(H2470="","",ROW()-4)</f>
        <v/>
      </c>
    </row>
    <row r="2471">
      <c r="A2471" s="13">
        <f>IF(H2471="","",ROW()-4)</f>
        <v/>
      </c>
      <c r="B2471" s="13">
        <f>IF(H2471="","",ROW()-4)</f>
        <v/>
      </c>
    </row>
    <row r="2472">
      <c r="A2472" s="13">
        <f>IF(H2472="","",ROW()-4)</f>
        <v/>
      </c>
      <c r="B2472" s="13">
        <f>IF(H2472="","",ROW()-4)</f>
        <v/>
      </c>
    </row>
    <row r="2473">
      <c r="A2473" s="13">
        <f>IF(H2473="","",ROW()-4)</f>
        <v/>
      </c>
      <c r="B2473" s="13">
        <f>IF(H2473="","",ROW()-4)</f>
        <v/>
      </c>
    </row>
    <row r="2474">
      <c r="A2474" s="13">
        <f>IF(H2474="","",ROW()-4)</f>
        <v/>
      </c>
      <c r="B2474" s="13">
        <f>IF(H2474="","",ROW()-4)</f>
        <v/>
      </c>
    </row>
    <row r="2475">
      <c r="A2475" s="13">
        <f>IF(H2475="","",ROW()-4)</f>
        <v/>
      </c>
      <c r="B2475" s="13">
        <f>IF(H2475="","",ROW()-4)</f>
        <v/>
      </c>
    </row>
    <row r="2476">
      <c r="A2476" s="13">
        <f>IF(H2476="","",ROW()-4)</f>
        <v/>
      </c>
      <c r="B2476" s="13">
        <f>IF(H2476="","",ROW()-4)</f>
        <v/>
      </c>
    </row>
    <row r="2477">
      <c r="A2477" s="13">
        <f>IF(H2477="","",ROW()-4)</f>
        <v/>
      </c>
      <c r="B2477" s="13">
        <f>IF(H2477="","",ROW()-4)</f>
        <v/>
      </c>
    </row>
    <row r="2478">
      <c r="A2478" s="13">
        <f>IF(H2478="","",ROW()-4)</f>
        <v/>
      </c>
      <c r="B2478" s="13">
        <f>IF(H2478="","",ROW()-4)</f>
        <v/>
      </c>
    </row>
    <row r="2479">
      <c r="A2479" s="13">
        <f>IF(H2479="","",ROW()-4)</f>
        <v/>
      </c>
      <c r="B2479" s="13">
        <f>IF(H2479="","",ROW()-4)</f>
        <v/>
      </c>
    </row>
    <row r="2480">
      <c r="A2480" s="13">
        <f>IF(H2480="","",ROW()-4)</f>
        <v/>
      </c>
      <c r="B2480" s="13">
        <f>IF(H2480="","",ROW()-4)</f>
        <v/>
      </c>
    </row>
    <row r="2481">
      <c r="A2481" s="13">
        <f>IF(H2481="","",ROW()-4)</f>
        <v/>
      </c>
      <c r="B2481" s="13">
        <f>IF(H2481="","",ROW()-4)</f>
        <v/>
      </c>
    </row>
    <row r="2482">
      <c r="A2482" s="13">
        <f>IF(H2482="","",ROW()-4)</f>
        <v/>
      </c>
      <c r="B2482" s="13">
        <f>IF(H2482="","",ROW()-4)</f>
        <v/>
      </c>
    </row>
    <row r="2483">
      <c r="A2483" s="13">
        <f>IF(H2483="","",ROW()-4)</f>
        <v/>
      </c>
      <c r="B2483" s="13">
        <f>IF(H2483="","",ROW()-4)</f>
        <v/>
      </c>
    </row>
    <row r="2484">
      <c r="A2484" s="13">
        <f>IF(H2484="","",ROW()-4)</f>
        <v/>
      </c>
      <c r="B2484" s="13">
        <f>IF(H2484="","",ROW()-4)</f>
        <v/>
      </c>
    </row>
    <row r="2485">
      <c r="A2485" s="13">
        <f>IF(H2485="","",ROW()-4)</f>
        <v/>
      </c>
      <c r="B2485" s="13">
        <f>IF(H2485="","",ROW()-4)</f>
        <v/>
      </c>
    </row>
    <row r="2486">
      <c r="A2486" s="13">
        <f>IF(H2486="","",ROW()-4)</f>
        <v/>
      </c>
      <c r="B2486" s="13">
        <f>IF(H2486="","",ROW()-4)</f>
        <v/>
      </c>
    </row>
    <row r="2487">
      <c r="A2487" s="13">
        <f>IF(H2487="","",ROW()-4)</f>
        <v/>
      </c>
      <c r="B2487" s="13">
        <f>IF(H2487="","",ROW()-4)</f>
        <v/>
      </c>
    </row>
    <row r="2488">
      <c r="A2488" s="13">
        <f>IF(H2488="","",ROW()-4)</f>
        <v/>
      </c>
      <c r="B2488" s="13">
        <f>IF(H2488="","",ROW()-4)</f>
        <v/>
      </c>
    </row>
    <row r="2489">
      <c r="A2489" s="13">
        <f>IF(H2489="","",ROW()-4)</f>
        <v/>
      </c>
      <c r="B2489" s="13">
        <f>IF(H2489="","",ROW()-4)</f>
        <v/>
      </c>
    </row>
    <row r="2490">
      <c r="A2490" s="13">
        <f>IF(H2490="","",ROW()-4)</f>
        <v/>
      </c>
      <c r="B2490" s="13">
        <f>IF(H2490="","",ROW()-4)</f>
        <v/>
      </c>
    </row>
    <row r="2491">
      <c r="A2491" s="13">
        <f>IF(H2491="","",ROW()-4)</f>
        <v/>
      </c>
      <c r="B2491" s="13">
        <f>IF(H2491="","",ROW()-4)</f>
        <v/>
      </c>
    </row>
    <row r="2492">
      <c r="A2492" s="13">
        <f>IF(H2492="","",ROW()-4)</f>
        <v/>
      </c>
      <c r="B2492" s="13">
        <f>IF(H2492="","",ROW()-4)</f>
        <v/>
      </c>
    </row>
    <row r="2493">
      <c r="A2493" s="13">
        <f>IF(H2493="","",ROW()-4)</f>
        <v/>
      </c>
      <c r="B2493" s="13">
        <f>IF(H2493="","",ROW()-4)</f>
        <v/>
      </c>
    </row>
    <row r="2494">
      <c r="A2494" s="13">
        <f>IF(H2494="","",ROW()-4)</f>
        <v/>
      </c>
      <c r="B2494" s="13">
        <f>IF(H2494="","",ROW()-4)</f>
        <v/>
      </c>
    </row>
    <row r="2495">
      <c r="A2495" s="13">
        <f>IF(H2495="","",ROW()-4)</f>
        <v/>
      </c>
      <c r="B2495" s="13">
        <f>IF(H2495="","",ROW()-4)</f>
        <v/>
      </c>
    </row>
    <row r="2496">
      <c r="A2496" s="13">
        <f>IF(H2496="","",ROW()-4)</f>
        <v/>
      </c>
      <c r="B2496" s="13">
        <f>IF(H2496="","",ROW()-4)</f>
        <v/>
      </c>
    </row>
    <row r="2497">
      <c r="A2497" s="13">
        <f>IF(H2497="","",ROW()-4)</f>
        <v/>
      </c>
      <c r="B2497" s="13">
        <f>IF(H2497="","",ROW()-4)</f>
        <v/>
      </c>
    </row>
    <row r="2498">
      <c r="A2498" s="13">
        <f>IF(H2498="","",ROW()-4)</f>
        <v/>
      </c>
      <c r="B2498" s="13">
        <f>IF(H2498="","",ROW()-4)</f>
        <v/>
      </c>
    </row>
    <row r="2499">
      <c r="A2499" s="13">
        <f>IF(H2499="","",ROW()-4)</f>
        <v/>
      </c>
      <c r="B2499" s="13">
        <f>IF(H2499="","",ROW()-4)</f>
        <v/>
      </c>
    </row>
    <row r="2500">
      <c r="A2500" s="13">
        <f>IF(H2500="","",ROW()-4)</f>
        <v/>
      </c>
      <c r="B2500" s="13">
        <f>IF(H2500="","",ROW()-4)</f>
        <v/>
      </c>
    </row>
    <row r="2501">
      <c r="A2501" s="13">
        <f>IF(H2501="","",ROW()-4)</f>
        <v/>
      </c>
      <c r="B2501" s="13">
        <f>IF(H2501="","",ROW()-4)</f>
        <v/>
      </c>
    </row>
    <row r="2502">
      <c r="A2502" s="13">
        <f>IF(H2502="","",ROW()-4)</f>
        <v/>
      </c>
      <c r="B2502" s="13">
        <f>IF(H2502="","",ROW()-4)</f>
        <v/>
      </c>
    </row>
    <row r="2503">
      <c r="A2503" s="13">
        <f>IF(H2503="","",ROW()-4)</f>
        <v/>
      </c>
      <c r="B2503" s="13">
        <f>IF(H2503="","",ROW()-4)</f>
        <v/>
      </c>
    </row>
    <row r="2504">
      <c r="A2504" s="13">
        <f>IF(H2504="","",ROW()-4)</f>
        <v/>
      </c>
      <c r="B2504" s="13">
        <f>IF(H2504="","",ROW()-4)</f>
        <v/>
      </c>
    </row>
    <row r="2505">
      <c r="A2505" s="13">
        <f>IF(H2505="","",ROW()-4)</f>
        <v/>
      </c>
      <c r="B2505" s="13">
        <f>IF(H2505="","",ROW()-4)</f>
        <v/>
      </c>
    </row>
    <row r="2506">
      <c r="A2506" s="13">
        <f>IF(H2506="","",ROW()-4)</f>
        <v/>
      </c>
      <c r="B2506" s="13">
        <f>IF(H2506="","",ROW()-4)</f>
        <v/>
      </c>
    </row>
    <row r="2507">
      <c r="A2507" s="13">
        <f>IF(H2507="","",ROW()-4)</f>
        <v/>
      </c>
      <c r="B2507" s="13">
        <f>IF(H2507="","",ROW()-4)</f>
        <v/>
      </c>
    </row>
    <row r="2508">
      <c r="A2508" s="13">
        <f>IF(H2508="","",ROW()-4)</f>
        <v/>
      </c>
      <c r="B2508" s="13">
        <f>IF(H2508="","",ROW()-4)</f>
        <v/>
      </c>
    </row>
    <row r="2509">
      <c r="A2509" s="13">
        <f>IF(H2509="","",ROW()-4)</f>
        <v/>
      </c>
      <c r="B2509" s="13">
        <f>IF(H2509="","",ROW()-4)</f>
        <v/>
      </c>
    </row>
    <row r="2510">
      <c r="A2510" s="13">
        <f>IF(H2510="","",ROW()-4)</f>
        <v/>
      </c>
      <c r="B2510" s="13">
        <f>IF(H2510="","",ROW()-4)</f>
        <v/>
      </c>
    </row>
    <row r="2511">
      <c r="A2511" s="13">
        <f>IF(H2511="","",ROW()-4)</f>
        <v/>
      </c>
      <c r="B2511" s="13">
        <f>IF(H2511="","",ROW()-4)</f>
        <v/>
      </c>
    </row>
    <row r="2512">
      <c r="A2512" s="13">
        <f>IF(H2512="","",ROW()-4)</f>
        <v/>
      </c>
      <c r="B2512" s="13">
        <f>IF(H2512="","",ROW()-4)</f>
        <v/>
      </c>
    </row>
    <row r="2513">
      <c r="A2513" s="13">
        <f>IF(H2513="","",ROW()-4)</f>
        <v/>
      </c>
      <c r="B2513" s="13">
        <f>IF(H2513="","",ROW()-4)</f>
        <v/>
      </c>
    </row>
    <row r="2514">
      <c r="A2514" s="13">
        <f>IF(H2514="","",ROW()-4)</f>
        <v/>
      </c>
      <c r="B2514" s="13">
        <f>IF(H2514="","",ROW()-4)</f>
        <v/>
      </c>
    </row>
    <row r="2515">
      <c r="A2515" s="13">
        <f>IF(H2515="","",ROW()-4)</f>
        <v/>
      </c>
      <c r="B2515" s="13">
        <f>IF(H2515="","",ROW()-4)</f>
        <v/>
      </c>
    </row>
    <row r="2516">
      <c r="A2516" s="13">
        <f>IF(H2516="","",ROW()-4)</f>
        <v/>
      </c>
      <c r="B2516" s="13">
        <f>IF(H2516="","",ROW()-4)</f>
        <v/>
      </c>
    </row>
    <row r="2517">
      <c r="A2517" s="13">
        <f>IF(H2517="","",ROW()-4)</f>
        <v/>
      </c>
      <c r="B2517" s="13">
        <f>IF(H2517="","",ROW()-4)</f>
        <v/>
      </c>
    </row>
    <row r="2518">
      <c r="A2518" s="13">
        <f>IF(H2518="","",ROW()-4)</f>
        <v/>
      </c>
      <c r="B2518" s="13">
        <f>IF(H2518="","",ROW()-4)</f>
        <v/>
      </c>
    </row>
    <row r="2519">
      <c r="A2519" s="13">
        <f>IF(H2519="","",ROW()-4)</f>
        <v/>
      </c>
      <c r="B2519" s="13">
        <f>IF(H2519="","",ROW()-4)</f>
        <v/>
      </c>
    </row>
    <row r="2520">
      <c r="A2520" s="13">
        <f>IF(H2520="","",ROW()-4)</f>
        <v/>
      </c>
      <c r="B2520" s="13">
        <f>IF(H2520="","",ROW()-4)</f>
        <v/>
      </c>
    </row>
    <row r="2521">
      <c r="A2521" s="13">
        <f>IF(H2521="","",ROW()-4)</f>
        <v/>
      </c>
      <c r="B2521" s="13">
        <f>IF(H2521="","",ROW()-4)</f>
        <v/>
      </c>
    </row>
    <row r="2522">
      <c r="A2522" s="13">
        <f>IF(H2522="","",ROW()-4)</f>
        <v/>
      </c>
      <c r="B2522" s="13">
        <f>IF(H2522="","",ROW()-4)</f>
        <v/>
      </c>
    </row>
    <row r="2523">
      <c r="A2523" s="13">
        <f>IF(H2523="","",ROW()-4)</f>
        <v/>
      </c>
      <c r="B2523" s="13">
        <f>IF(H2523="","",ROW()-4)</f>
        <v/>
      </c>
    </row>
    <row r="2524">
      <c r="A2524" s="13">
        <f>IF(H2524="","",ROW()-4)</f>
        <v/>
      </c>
      <c r="B2524" s="13">
        <f>IF(H2524="","",ROW()-4)</f>
        <v/>
      </c>
    </row>
    <row r="2525">
      <c r="A2525" s="13">
        <f>IF(H2525="","",ROW()-4)</f>
        <v/>
      </c>
      <c r="B2525" s="13">
        <f>IF(H2525="","",ROW()-4)</f>
        <v/>
      </c>
    </row>
    <row r="2526">
      <c r="A2526" s="13">
        <f>IF(H2526="","",ROW()-4)</f>
        <v/>
      </c>
      <c r="B2526" s="13">
        <f>IF(H2526="","",ROW()-4)</f>
        <v/>
      </c>
    </row>
    <row r="2527">
      <c r="A2527" s="13">
        <f>IF(H2527="","",ROW()-4)</f>
        <v/>
      </c>
      <c r="B2527" s="13">
        <f>IF(H2527="","",ROW()-4)</f>
        <v/>
      </c>
    </row>
    <row r="2528">
      <c r="A2528" s="13">
        <f>IF(H2528="","",ROW()-4)</f>
        <v/>
      </c>
      <c r="B2528" s="13">
        <f>IF(H2528="","",ROW()-4)</f>
        <v/>
      </c>
    </row>
    <row r="2529">
      <c r="A2529" s="13">
        <f>IF(H2529="","",ROW()-4)</f>
        <v/>
      </c>
      <c r="B2529" s="13">
        <f>IF(H2529="","",ROW()-4)</f>
        <v/>
      </c>
    </row>
    <row r="2530">
      <c r="A2530" s="13">
        <f>IF(H2530="","",ROW()-4)</f>
        <v/>
      </c>
      <c r="B2530" s="13">
        <f>IF(H2530="","",ROW()-4)</f>
        <v/>
      </c>
    </row>
    <row r="2531">
      <c r="A2531" s="13">
        <f>IF(H2531="","",ROW()-4)</f>
        <v/>
      </c>
      <c r="B2531" s="13">
        <f>IF(H2531="","",ROW()-4)</f>
        <v/>
      </c>
    </row>
    <row r="2532">
      <c r="A2532" s="13">
        <f>IF(H2532="","",ROW()-4)</f>
        <v/>
      </c>
      <c r="B2532" s="13">
        <f>IF(H2532="","",ROW()-4)</f>
        <v/>
      </c>
    </row>
    <row r="2533">
      <c r="A2533" s="13">
        <f>IF(H2533="","",ROW()-4)</f>
        <v/>
      </c>
      <c r="B2533" s="13">
        <f>IF(H2533="","",ROW()-4)</f>
        <v/>
      </c>
    </row>
    <row r="2534">
      <c r="A2534" s="13">
        <f>IF(H2534="","",ROW()-4)</f>
        <v/>
      </c>
      <c r="B2534" s="13">
        <f>IF(H2534="","",ROW()-4)</f>
        <v/>
      </c>
    </row>
    <row r="2535">
      <c r="A2535" s="13">
        <f>IF(H2535="","",ROW()-4)</f>
        <v/>
      </c>
      <c r="B2535" s="13">
        <f>IF(H2535="","",ROW()-4)</f>
        <v/>
      </c>
    </row>
    <row r="2536">
      <c r="A2536" s="13">
        <f>IF(H2536="","",ROW()-4)</f>
        <v/>
      </c>
      <c r="B2536" s="13">
        <f>IF(H2536="","",ROW()-4)</f>
        <v/>
      </c>
    </row>
    <row r="2537">
      <c r="A2537" s="13">
        <f>IF(H2537="","",ROW()-4)</f>
        <v/>
      </c>
      <c r="B2537" s="13">
        <f>IF(H2537="","",ROW()-4)</f>
        <v/>
      </c>
    </row>
    <row r="2538">
      <c r="A2538" s="13">
        <f>IF(H2538="","",ROW()-4)</f>
        <v/>
      </c>
      <c r="B2538" s="13">
        <f>IF(H2538="","",ROW()-4)</f>
        <v/>
      </c>
    </row>
    <row r="2539">
      <c r="A2539" s="13">
        <f>IF(H2539="","",ROW()-4)</f>
        <v/>
      </c>
      <c r="B2539" s="13">
        <f>IF(H2539="","",ROW()-4)</f>
        <v/>
      </c>
    </row>
    <row r="2540">
      <c r="A2540" s="13">
        <f>IF(H2540="","",ROW()-4)</f>
        <v/>
      </c>
      <c r="B2540" s="13">
        <f>IF(H2540="","",ROW()-4)</f>
        <v/>
      </c>
    </row>
    <row r="2541">
      <c r="A2541" s="13">
        <f>IF(H2541="","",ROW()-4)</f>
        <v/>
      </c>
      <c r="B2541" s="13">
        <f>IF(H2541="","",ROW()-4)</f>
        <v/>
      </c>
    </row>
    <row r="2542">
      <c r="A2542" s="13">
        <f>IF(H2542="","",ROW()-4)</f>
        <v/>
      </c>
      <c r="B2542" s="13">
        <f>IF(H2542="","",ROW()-4)</f>
        <v/>
      </c>
    </row>
    <row r="2543">
      <c r="A2543" s="13">
        <f>IF(H2543="","",ROW()-4)</f>
        <v/>
      </c>
      <c r="B2543" s="13">
        <f>IF(H2543="","",ROW()-4)</f>
        <v/>
      </c>
    </row>
    <row r="2544">
      <c r="A2544" s="13">
        <f>IF(H2544="","",ROW()-4)</f>
        <v/>
      </c>
      <c r="B2544" s="13">
        <f>IF(H2544="","",ROW()-4)</f>
        <v/>
      </c>
    </row>
    <row r="2545">
      <c r="A2545" s="13">
        <f>IF(H2545="","",ROW()-4)</f>
        <v/>
      </c>
      <c r="B2545" s="13">
        <f>IF(H2545="","",ROW()-4)</f>
        <v/>
      </c>
    </row>
    <row r="2546">
      <c r="A2546" s="13">
        <f>IF(H2546="","",ROW()-4)</f>
        <v/>
      </c>
      <c r="B2546" s="13">
        <f>IF(H2546="","",ROW()-4)</f>
        <v/>
      </c>
    </row>
    <row r="2547">
      <c r="A2547" s="13">
        <f>IF(H2547="","",ROW()-4)</f>
        <v/>
      </c>
      <c r="B2547" s="13">
        <f>IF(H2547="","",ROW()-4)</f>
        <v/>
      </c>
    </row>
    <row r="2548">
      <c r="A2548" s="13">
        <f>IF(H2548="","",ROW()-4)</f>
        <v/>
      </c>
      <c r="B2548" s="13">
        <f>IF(H2548="","",ROW()-4)</f>
        <v/>
      </c>
    </row>
    <row r="2549">
      <c r="A2549" s="13">
        <f>IF(H2549="","",ROW()-4)</f>
        <v/>
      </c>
      <c r="B2549" s="13">
        <f>IF(H2549="","",ROW()-4)</f>
        <v/>
      </c>
    </row>
    <row r="2550">
      <c r="A2550" s="13">
        <f>IF(H2550="","",ROW()-4)</f>
        <v/>
      </c>
      <c r="B2550" s="13">
        <f>IF(H2550="","",ROW()-4)</f>
        <v/>
      </c>
    </row>
    <row r="2551">
      <c r="A2551" s="13">
        <f>IF(H2551="","",ROW()-4)</f>
        <v/>
      </c>
      <c r="B2551" s="13">
        <f>IF(H2551="","",ROW()-4)</f>
        <v/>
      </c>
    </row>
    <row r="2552">
      <c r="A2552" s="13">
        <f>IF(H2552="","",ROW()-4)</f>
        <v/>
      </c>
      <c r="B2552" s="13">
        <f>IF(H2552="","",ROW()-4)</f>
        <v/>
      </c>
    </row>
    <row r="2553">
      <c r="A2553" s="13">
        <f>IF(H2553="","",ROW()-4)</f>
        <v/>
      </c>
      <c r="B2553" s="13">
        <f>IF(H2553="","",ROW()-4)</f>
        <v/>
      </c>
    </row>
    <row r="2554">
      <c r="A2554" s="13">
        <f>IF(H2554="","",ROW()-4)</f>
        <v/>
      </c>
      <c r="B2554" s="13">
        <f>IF(H2554="","",ROW()-4)</f>
        <v/>
      </c>
    </row>
    <row r="2555">
      <c r="A2555" s="13">
        <f>IF(H2555="","",ROW()-4)</f>
        <v/>
      </c>
      <c r="B2555" s="13">
        <f>IF(H2555="","",ROW()-4)</f>
        <v/>
      </c>
    </row>
    <row r="2556">
      <c r="A2556" s="13">
        <f>IF(H2556="","",ROW()-4)</f>
        <v/>
      </c>
      <c r="B2556" s="13">
        <f>IF(H2556="","",ROW()-4)</f>
        <v/>
      </c>
    </row>
    <row r="2557">
      <c r="A2557" s="13">
        <f>IF(H2557="","",ROW()-4)</f>
        <v/>
      </c>
      <c r="B2557" s="13">
        <f>IF(H2557="","",ROW()-4)</f>
        <v/>
      </c>
    </row>
    <row r="2558">
      <c r="A2558" s="13">
        <f>IF(H2558="","",ROW()-4)</f>
        <v/>
      </c>
      <c r="B2558" s="13">
        <f>IF(H2558="","",ROW()-4)</f>
        <v/>
      </c>
    </row>
    <row r="2559">
      <c r="A2559" s="13">
        <f>IF(H2559="","",ROW()-4)</f>
        <v/>
      </c>
      <c r="B2559" s="13">
        <f>IF(H2559="","",ROW()-4)</f>
        <v/>
      </c>
    </row>
    <row r="2560">
      <c r="A2560" s="13">
        <f>IF(H2560="","",ROW()-4)</f>
        <v/>
      </c>
      <c r="B2560" s="13">
        <f>IF(H2560="","",ROW()-4)</f>
        <v/>
      </c>
    </row>
    <row r="2561">
      <c r="A2561" s="13">
        <f>IF(H2561="","",ROW()-4)</f>
        <v/>
      </c>
      <c r="B2561" s="13">
        <f>IF(H2561="","",ROW()-4)</f>
        <v/>
      </c>
    </row>
    <row r="2562">
      <c r="A2562" s="13">
        <f>IF(H2562="","",ROW()-4)</f>
        <v/>
      </c>
      <c r="B2562" s="13">
        <f>IF(H2562="","",ROW()-4)</f>
        <v/>
      </c>
    </row>
    <row r="2563">
      <c r="A2563" s="13">
        <f>IF(H2563="","",ROW()-4)</f>
        <v/>
      </c>
      <c r="B2563" s="13">
        <f>IF(H2563="","",ROW()-4)</f>
        <v/>
      </c>
    </row>
    <row r="2564">
      <c r="A2564" s="13">
        <f>IF(H2564="","",ROW()-4)</f>
        <v/>
      </c>
      <c r="B2564" s="13">
        <f>IF(H2564="","",ROW()-4)</f>
        <v/>
      </c>
    </row>
    <row r="2565">
      <c r="A2565" s="13">
        <f>IF(H2565="","",ROW()-4)</f>
        <v/>
      </c>
      <c r="B2565" s="13">
        <f>IF(H2565="","",ROW()-4)</f>
        <v/>
      </c>
    </row>
    <row r="2566">
      <c r="A2566" s="13">
        <f>IF(H2566="","",ROW()-4)</f>
        <v/>
      </c>
      <c r="B2566" s="13">
        <f>IF(H2566="","",ROW()-4)</f>
        <v/>
      </c>
    </row>
    <row r="2567">
      <c r="A2567" s="13">
        <f>IF(H2567="","",ROW()-4)</f>
        <v/>
      </c>
      <c r="B2567" s="13">
        <f>IF(H2567="","",ROW()-4)</f>
        <v/>
      </c>
    </row>
    <row r="2568">
      <c r="A2568" s="13">
        <f>IF(H2568="","",ROW()-4)</f>
        <v/>
      </c>
      <c r="B2568" s="13">
        <f>IF(H2568="","",ROW()-4)</f>
        <v/>
      </c>
    </row>
    <row r="2569">
      <c r="A2569" s="13">
        <f>IF(H2569="","",ROW()-4)</f>
        <v/>
      </c>
      <c r="B2569" s="13">
        <f>IF(H2569="","",ROW()-4)</f>
        <v/>
      </c>
    </row>
    <row r="2570">
      <c r="A2570" s="13">
        <f>IF(H2570="","",ROW()-4)</f>
        <v/>
      </c>
      <c r="B2570" s="13">
        <f>IF(H2570="","",ROW()-4)</f>
        <v/>
      </c>
    </row>
    <row r="2571">
      <c r="A2571" s="13">
        <f>IF(H2571="","",ROW()-4)</f>
        <v/>
      </c>
      <c r="B2571" s="13">
        <f>IF(H2571="","",ROW()-4)</f>
        <v/>
      </c>
    </row>
    <row r="2572">
      <c r="A2572" s="13">
        <f>IF(H2572="","",ROW()-4)</f>
        <v/>
      </c>
      <c r="B2572" s="13">
        <f>IF(H2572="","",ROW()-4)</f>
        <v/>
      </c>
    </row>
    <row r="2573">
      <c r="A2573" s="13">
        <f>IF(H2573="","",ROW()-4)</f>
        <v/>
      </c>
      <c r="B2573" s="13">
        <f>IF(H2573="","",ROW()-4)</f>
        <v/>
      </c>
    </row>
    <row r="2574">
      <c r="A2574" s="13">
        <f>IF(H2574="","",ROW()-4)</f>
        <v/>
      </c>
      <c r="B2574" s="13">
        <f>IF(H2574="","",ROW()-4)</f>
        <v/>
      </c>
    </row>
    <row r="2575">
      <c r="A2575" s="13">
        <f>IF(H2575="","",ROW()-4)</f>
        <v/>
      </c>
      <c r="B2575" s="13">
        <f>IF(H2575="","",ROW()-4)</f>
        <v/>
      </c>
    </row>
    <row r="2576">
      <c r="A2576" s="13">
        <f>IF(H2576="","",ROW()-4)</f>
        <v/>
      </c>
      <c r="B2576" s="13">
        <f>IF(H2576="","",ROW()-4)</f>
        <v/>
      </c>
    </row>
    <row r="2577">
      <c r="A2577" s="13">
        <f>IF(H2577="","",ROW()-4)</f>
        <v/>
      </c>
      <c r="B2577" s="13">
        <f>IF(H2577="","",ROW()-4)</f>
        <v/>
      </c>
    </row>
    <row r="2578">
      <c r="A2578" s="13">
        <f>IF(H2578="","",ROW()-4)</f>
        <v/>
      </c>
      <c r="B2578" s="13">
        <f>IF(H2578="","",ROW()-4)</f>
        <v/>
      </c>
    </row>
    <row r="2579">
      <c r="A2579" s="13">
        <f>IF(H2579="","",ROW()-4)</f>
        <v/>
      </c>
      <c r="B2579" s="13">
        <f>IF(H2579="","",ROW()-4)</f>
        <v/>
      </c>
    </row>
    <row r="2580">
      <c r="A2580" s="13">
        <f>IF(H2580="","",ROW()-4)</f>
        <v/>
      </c>
      <c r="B2580" s="13">
        <f>IF(H2580="","",ROW()-4)</f>
        <v/>
      </c>
    </row>
    <row r="2581">
      <c r="A2581" s="13">
        <f>IF(H2581="","",ROW()-4)</f>
        <v/>
      </c>
      <c r="B2581" s="13">
        <f>IF(H2581="","",ROW()-4)</f>
        <v/>
      </c>
    </row>
    <row r="2582">
      <c r="A2582" s="13">
        <f>IF(H2582="","",ROW()-4)</f>
        <v/>
      </c>
      <c r="B2582" s="13">
        <f>IF(H2582="","",ROW()-4)</f>
        <v/>
      </c>
    </row>
    <row r="2583">
      <c r="A2583" s="13">
        <f>IF(H2583="","",ROW()-4)</f>
        <v/>
      </c>
      <c r="B2583" s="13">
        <f>IF(H2583="","",ROW()-4)</f>
        <v/>
      </c>
    </row>
    <row r="2584">
      <c r="A2584" s="13">
        <f>IF(H2584="","",ROW()-4)</f>
        <v/>
      </c>
      <c r="B2584" s="13">
        <f>IF(H2584="","",ROW()-4)</f>
        <v/>
      </c>
    </row>
    <row r="2585">
      <c r="A2585" s="13">
        <f>IF(H2585="","",ROW()-4)</f>
        <v/>
      </c>
      <c r="B2585" s="13">
        <f>IF(H2585="","",ROW()-4)</f>
        <v/>
      </c>
    </row>
    <row r="2586">
      <c r="A2586" s="13">
        <f>IF(H2586="","",ROW()-4)</f>
        <v/>
      </c>
      <c r="B2586" s="13">
        <f>IF(H2586="","",ROW()-4)</f>
        <v/>
      </c>
    </row>
    <row r="2587">
      <c r="A2587" s="13">
        <f>IF(H2587="","",ROW()-4)</f>
        <v/>
      </c>
      <c r="B2587" s="13">
        <f>IF(H2587="","",ROW()-4)</f>
        <v/>
      </c>
    </row>
    <row r="2588">
      <c r="A2588" s="13">
        <f>IF(H2588="","",ROW()-4)</f>
        <v/>
      </c>
      <c r="B2588" s="13">
        <f>IF(H2588="","",ROW()-4)</f>
        <v/>
      </c>
    </row>
    <row r="2589">
      <c r="A2589" s="13">
        <f>IF(H2589="","",ROW()-4)</f>
        <v/>
      </c>
      <c r="B2589" s="13">
        <f>IF(H2589="","",ROW()-4)</f>
        <v/>
      </c>
    </row>
    <row r="2590">
      <c r="A2590" s="13">
        <f>IF(H2590="","",ROW()-4)</f>
        <v/>
      </c>
      <c r="B2590" s="13">
        <f>IF(H2590="","",ROW()-4)</f>
        <v/>
      </c>
    </row>
    <row r="2591">
      <c r="A2591" s="13">
        <f>IF(H2591="","",ROW()-4)</f>
        <v/>
      </c>
      <c r="B2591" s="13">
        <f>IF(H2591="","",ROW()-4)</f>
        <v/>
      </c>
    </row>
    <row r="2592">
      <c r="A2592" s="13">
        <f>IF(H2592="","",ROW()-4)</f>
        <v/>
      </c>
      <c r="B2592" s="13">
        <f>IF(H2592="","",ROW()-4)</f>
        <v/>
      </c>
    </row>
    <row r="2593">
      <c r="A2593" s="13">
        <f>IF(H2593="","",ROW()-4)</f>
        <v/>
      </c>
      <c r="B2593" s="13">
        <f>IF(H2593="","",ROW()-4)</f>
        <v/>
      </c>
    </row>
    <row r="2594">
      <c r="A2594" s="13">
        <f>IF(H2594="","",ROW()-4)</f>
        <v/>
      </c>
      <c r="B2594" s="13">
        <f>IF(H2594="","",ROW()-4)</f>
        <v/>
      </c>
    </row>
    <row r="2595">
      <c r="A2595" s="13">
        <f>IF(H2595="","",ROW()-4)</f>
        <v/>
      </c>
      <c r="B2595" s="13">
        <f>IF(H2595="","",ROW()-4)</f>
        <v/>
      </c>
    </row>
    <row r="2596">
      <c r="A2596" s="13">
        <f>IF(H2596="","",ROW()-4)</f>
        <v/>
      </c>
      <c r="B2596" s="13">
        <f>IF(H2596="","",ROW()-4)</f>
        <v/>
      </c>
    </row>
    <row r="2597">
      <c r="A2597" s="13">
        <f>IF(H2597="","",ROW()-4)</f>
        <v/>
      </c>
      <c r="B2597" s="13">
        <f>IF(H2597="","",ROW()-4)</f>
        <v/>
      </c>
    </row>
    <row r="2598">
      <c r="A2598" s="13">
        <f>IF(H2598="","",ROW()-4)</f>
        <v/>
      </c>
      <c r="B2598" s="13">
        <f>IF(H2598="","",ROW()-4)</f>
        <v/>
      </c>
    </row>
    <row r="2599">
      <c r="A2599" s="13">
        <f>IF(H2599="","",ROW()-4)</f>
        <v/>
      </c>
      <c r="B2599" s="13">
        <f>IF(H2599="","",ROW()-4)</f>
        <v/>
      </c>
    </row>
    <row r="2600">
      <c r="A2600" s="13">
        <f>IF(H2600="","",ROW()-4)</f>
        <v/>
      </c>
      <c r="B2600" s="13">
        <f>IF(H2600="","",ROW()-4)</f>
        <v/>
      </c>
    </row>
    <row r="2601">
      <c r="A2601" s="13">
        <f>IF(H2601="","",ROW()-4)</f>
        <v/>
      </c>
      <c r="B2601" s="13">
        <f>IF(H2601="","",ROW()-4)</f>
        <v/>
      </c>
    </row>
    <row r="2602">
      <c r="A2602" s="13">
        <f>IF(H2602="","",ROW()-4)</f>
        <v/>
      </c>
      <c r="B2602" s="13">
        <f>IF(H2602="","",ROW()-4)</f>
        <v/>
      </c>
    </row>
    <row r="2603">
      <c r="A2603" s="13">
        <f>IF(H2603="","",ROW()-4)</f>
        <v/>
      </c>
      <c r="B2603" s="13">
        <f>IF(H2603="","",ROW()-4)</f>
        <v/>
      </c>
    </row>
    <row r="2604">
      <c r="A2604" s="13">
        <f>IF(H2604="","",ROW()-4)</f>
        <v/>
      </c>
      <c r="B2604" s="13">
        <f>IF(H2604="","",ROW()-4)</f>
        <v/>
      </c>
    </row>
    <row r="2605">
      <c r="A2605" s="13">
        <f>IF(H2605="","",ROW()-4)</f>
        <v/>
      </c>
      <c r="B2605" s="13">
        <f>IF(H2605="","",ROW()-4)</f>
        <v/>
      </c>
    </row>
    <row r="2606">
      <c r="A2606" s="13">
        <f>IF(H2606="","",ROW()-4)</f>
        <v/>
      </c>
      <c r="B2606" s="13">
        <f>IF(H2606="","",ROW()-4)</f>
        <v/>
      </c>
    </row>
    <row r="2607">
      <c r="A2607" s="13">
        <f>IF(H2607="","",ROW()-4)</f>
        <v/>
      </c>
      <c r="B2607" s="13">
        <f>IF(H2607="","",ROW()-4)</f>
        <v/>
      </c>
    </row>
    <row r="2608">
      <c r="A2608" s="13">
        <f>IF(H2608="","",ROW()-4)</f>
        <v/>
      </c>
      <c r="B2608" s="13">
        <f>IF(H2608="","",ROW()-4)</f>
        <v/>
      </c>
    </row>
    <row r="2609">
      <c r="A2609" s="13">
        <f>IF(H2609="","",ROW()-4)</f>
        <v/>
      </c>
      <c r="B2609" s="13">
        <f>IF(H2609="","",ROW()-4)</f>
        <v/>
      </c>
    </row>
    <row r="2610">
      <c r="A2610" s="13">
        <f>IF(H2610="","",ROW()-4)</f>
        <v/>
      </c>
      <c r="B2610" s="13">
        <f>IF(H2610="","",ROW()-4)</f>
        <v/>
      </c>
    </row>
    <row r="2611">
      <c r="A2611" s="13">
        <f>IF(H2611="","",ROW()-4)</f>
        <v/>
      </c>
      <c r="B2611" s="13">
        <f>IF(H2611="","",ROW()-4)</f>
        <v/>
      </c>
    </row>
    <row r="2612">
      <c r="A2612" s="13">
        <f>IF(H2612="","",ROW()-4)</f>
        <v/>
      </c>
      <c r="B2612" s="13">
        <f>IF(H2612="","",ROW()-4)</f>
        <v/>
      </c>
    </row>
    <row r="2613">
      <c r="A2613" s="13">
        <f>IF(H2613="","",ROW()-4)</f>
        <v/>
      </c>
      <c r="B2613" s="13">
        <f>IF(H2613="","",ROW()-4)</f>
        <v/>
      </c>
    </row>
    <row r="2614">
      <c r="A2614" s="13">
        <f>IF(H2614="","",ROW()-4)</f>
        <v/>
      </c>
      <c r="B2614" s="13">
        <f>IF(H2614="","",ROW()-4)</f>
        <v/>
      </c>
    </row>
    <row r="2615">
      <c r="A2615" s="13">
        <f>IF(H2615="","",ROW()-4)</f>
        <v/>
      </c>
      <c r="B2615" s="13">
        <f>IF(H2615="","",ROW()-4)</f>
        <v/>
      </c>
    </row>
    <row r="2616">
      <c r="A2616" s="13">
        <f>IF(H2616="","",ROW()-4)</f>
        <v/>
      </c>
      <c r="B2616" s="13">
        <f>IF(H2616="","",ROW()-4)</f>
        <v/>
      </c>
    </row>
    <row r="2617">
      <c r="A2617" s="13">
        <f>IF(H2617="","",ROW()-4)</f>
        <v/>
      </c>
      <c r="B2617" s="13">
        <f>IF(H2617="","",ROW()-4)</f>
        <v/>
      </c>
    </row>
    <row r="2618">
      <c r="A2618" s="13">
        <f>IF(H2618="","",ROW()-4)</f>
        <v/>
      </c>
      <c r="B2618" s="13">
        <f>IF(H2618="","",ROW()-4)</f>
        <v/>
      </c>
    </row>
    <row r="2619">
      <c r="A2619" s="13">
        <f>IF(H2619="","",ROW()-4)</f>
        <v/>
      </c>
      <c r="B2619" s="13">
        <f>IF(H2619="","",ROW()-4)</f>
        <v/>
      </c>
    </row>
    <row r="2620">
      <c r="A2620" s="13">
        <f>IF(H2620="","",ROW()-4)</f>
        <v/>
      </c>
      <c r="B2620" s="13">
        <f>IF(H2620="","",ROW()-4)</f>
        <v/>
      </c>
    </row>
    <row r="2621">
      <c r="A2621" s="13">
        <f>IF(H2621="","",ROW()-4)</f>
        <v/>
      </c>
      <c r="B2621" s="13">
        <f>IF(H2621="","",ROW()-4)</f>
        <v/>
      </c>
    </row>
    <row r="2622">
      <c r="A2622" s="13">
        <f>IF(H2622="","",ROW()-4)</f>
        <v/>
      </c>
      <c r="B2622" s="13">
        <f>IF(H2622="","",ROW()-4)</f>
        <v/>
      </c>
    </row>
    <row r="2623">
      <c r="A2623" s="13">
        <f>IF(H2623="","",ROW()-4)</f>
        <v/>
      </c>
      <c r="B2623" s="13">
        <f>IF(H2623="","",ROW()-4)</f>
        <v/>
      </c>
    </row>
    <row r="2624">
      <c r="A2624" s="13">
        <f>IF(H2624="","",ROW()-4)</f>
        <v/>
      </c>
      <c r="B2624" s="13">
        <f>IF(H2624="","",ROW()-4)</f>
        <v/>
      </c>
    </row>
    <row r="2625">
      <c r="A2625" s="13">
        <f>IF(H2625="","",ROW()-4)</f>
        <v/>
      </c>
      <c r="B2625" s="13">
        <f>IF(H2625="","",ROW()-4)</f>
        <v/>
      </c>
    </row>
    <row r="2626">
      <c r="A2626" s="13">
        <f>IF(H2626="","",ROW()-4)</f>
        <v/>
      </c>
      <c r="B2626" s="13">
        <f>IF(H2626="","",ROW()-4)</f>
        <v/>
      </c>
    </row>
    <row r="2627">
      <c r="A2627" s="13">
        <f>IF(H2627="","",ROW()-4)</f>
        <v/>
      </c>
      <c r="B2627" s="13">
        <f>IF(H2627="","",ROW()-4)</f>
        <v/>
      </c>
    </row>
    <row r="2628">
      <c r="A2628" s="13">
        <f>IF(H2628="","",ROW()-4)</f>
        <v/>
      </c>
      <c r="B2628" s="13">
        <f>IF(H2628="","",ROW()-4)</f>
        <v/>
      </c>
    </row>
    <row r="2629">
      <c r="A2629" s="13">
        <f>IF(H2629="","",ROW()-4)</f>
        <v/>
      </c>
      <c r="B2629" s="13">
        <f>IF(H2629="","",ROW()-4)</f>
        <v/>
      </c>
    </row>
    <row r="2630">
      <c r="A2630" s="13">
        <f>IF(H2630="","",ROW()-4)</f>
        <v/>
      </c>
      <c r="B2630" s="13">
        <f>IF(H2630="","",ROW()-4)</f>
        <v/>
      </c>
    </row>
    <row r="2631">
      <c r="A2631" s="13">
        <f>IF(H2631="","",ROW()-4)</f>
        <v/>
      </c>
      <c r="B2631" s="13">
        <f>IF(H2631="","",ROW()-4)</f>
        <v/>
      </c>
    </row>
    <row r="2632">
      <c r="A2632" s="13">
        <f>IF(H2632="","",ROW()-4)</f>
        <v/>
      </c>
      <c r="B2632" s="13">
        <f>IF(H2632="","",ROW()-4)</f>
        <v/>
      </c>
    </row>
    <row r="2633">
      <c r="A2633" s="13">
        <f>IF(H2633="","",ROW()-4)</f>
        <v/>
      </c>
      <c r="B2633" s="13">
        <f>IF(H2633="","",ROW()-4)</f>
        <v/>
      </c>
    </row>
    <row r="2634">
      <c r="A2634" s="13">
        <f>IF(H2634="","",ROW()-4)</f>
        <v/>
      </c>
      <c r="B2634" s="13">
        <f>IF(H2634="","",ROW()-4)</f>
        <v/>
      </c>
    </row>
    <row r="2635">
      <c r="A2635" s="13">
        <f>IF(H2635="","",ROW()-4)</f>
        <v/>
      </c>
      <c r="B2635" s="13">
        <f>IF(H2635="","",ROW()-4)</f>
        <v/>
      </c>
    </row>
    <row r="2636">
      <c r="A2636" s="13">
        <f>IF(H2636="","",ROW()-4)</f>
        <v/>
      </c>
      <c r="B2636" s="13">
        <f>IF(H2636="","",ROW()-4)</f>
        <v/>
      </c>
    </row>
    <row r="2637">
      <c r="A2637" s="13">
        <f>IF(H2637="","",ROW()-4)</f>
        <v/>
      </c>
      <c r="B2637" s="13">
        <f>IF(H2637="","",ROW()-4)</f>
        <v/>
      </c>
    </row>
    <row r="2638">
      <c r="A2638" s="13">
        <f>IF(H2638="","",ROW()-4)</f>
        <v/>
      </c>
      <c r="B2638" s="13">
        <f>IF(H2638="","",ROW()-4)</f>
        <v/>
      </c>
    </row>
    <row r="2639">
      <c r="A2639" s="13">
        <f>IF(H2639="","",ROW()-4)</f>
        <v/>
      </c>
      <c r="B2639" s="13">
        <f>IF(H2639="","",ROW()-4)</f>
        <v/>
      </c>
    </row>
    <row r="2640">
      <c r="A2640" s="13">
        <f>IF(H2640="","",ROW()-4)</f>
        <v/>
      </c>
      <c r="B2640" s="13">
        <f>IF(H2640="","",ROW()-4)</f>
        <v/>
      </c>
    </row>
    <row r="2641">
      <c r="A2641" s="13">
        <f>IF(H2641="","",ROW()-4)</f>
        <v/>
      </c>
      <c r="B2641" s="13">
        <f>IF(H2641="","",ROW()-4)</f>
        <v/>
      </c>
    </row>
    <row r="2642">
      <c r="A2642" s="13">
        <f>IF(H2642="","",ROW()-4)</f>
        <v/>
      </c>
      <c r="B2642" s="13">
        <f>IF(H2642="","",ROW()-4)</f>
        <v/>
      </c>
    </row>
    <row r="2643">
      <c r="A2643" s="13">
        <f>IF(H2643="","",ROW()-4)</f>
        <v/>
      </c>
      <c r="B2643" s="13">
        <f>IF(H2643="","",ROW()-4)</f>
        <v/>
      </c>
    </row>
    <row r="2644">
      <c r="A2644" s="13">
        <f>IF(H2644="","",ROW()-4)</f>
        <v/>
      </c>
      <c r="B2644" s="13">
        <f>IF(H2644="","",ROW()-4)</f>
        <v/>
      </c>
    </row>
    <row r="2645">
      <c r="A2645" s="13">
        <f>IF(H2645="","",ROW()-4)</f>
        <v/>
      </c>
      <c r="B2645" s="13">
        <f>IF(H2645="","",ROW()-4)</f>
        <v/>
      </c>
    </row>
    <row r="2646">
      <c r="A2646" s="13">
        <f>IF(H2646="","",ROW()-4)</f>
        <v/>
      </c>
      <c r="B2646" s="13">
        <f>IF(H2646="","",ROW()-4)</f>
        <v/>
      </c>
    </row>
    <row r="2647">
      <c r="A2647" s="13">
        <f>IF(H2647="","",ROW()-4)</f>
        <v/>
      </c>
      <c r="B2647" s="13">
        <f>IF(H2647="","",ROW()-4)</f>
        <v/>
      </c>
    </row>
    <row r="2648">
      <c r="A2648" s="13">
        <f>IF(H2648="","",ROW()-4)</f>
        <v/>
      </c>
      <c r="B2648" s="13">
        <f>IF(H2648="","",ROW()-4)</f>
        <v/>
      </c>
    </row>
    <row r="2649">
      <c r="A2649" s="13">
        <f>IF(H2649="","",ROW()-4)</f>
        <v/>
      </c>
      <c r="B2649" s="13">
        <f>IF(H2649="","",ROW()-4)</f>
        <v/>
      </c>
    </row>
    <row r="2650">
      <c r="A2650" s="13">
        <f>IF(H2650="","",ROW()-4)</f>
        <v/>
      </c>
      <c r="B2650" s="13">
        <f>IF(H2650="","",ROW()-4)</f>
        <v/>
      </c>
    </row>
    <row r="2651">
      <c r="A2651" s="13">
        <f>IF(H2651="","",ROW()-4)</f>
        <v/>
      </c>
      <c r="B2651" s="13">
        <f>IF(H2651="","",ROW()-4)</f>
        <v/>
      </c>
    </row>
    <row r="2652">
      <c r="A2652" s="13">
        <f>IF(H2652="","",ROW()-4)</f>
        <v/>
      </c>
      <c r="B2652" s="13">
        <f>IF(H2652="","",ROW()-4)</f>
        <v/>
      </c>
    </row>
    <row r="2653">
      <c r="A2653" s="13">
        <f>IF(H2653="","",ROW()-4)</f>
        <v/>
      </c>
      <c r="B2653" s="13">
        <f>IF(H2653="","",ROW()-4)</f>
        <v/>
      </c>
    </row>
    <row r="2654">
      <c r="A2654" s="13">
        <f>IF(H2654="","",ROW()-4)</f>
        <v/>
      </c>
      <c r="B2654" s="13">
        <f>IF(H2654="","",ROW()-4)</f>
        <v/>
      </c>
    </row>
    <row r="2655">
      <c r="A2655" s="13">
        <f>IF(H2655="","",ROW()-4)</f>
        <v/>
      </c>
      <c r="B2655" s="13">
        <f>IF(H2655="","",ROW()-4)</f>
        <v/>
      </c>
    </row>
    <row r="2656">
      <c r="A2656" s="13">
        <f>IF(H2656="","",ROW()-4)</f>
        <v/>
      </c>
      <c r="B2656" s="13">
        <f>IF(H2656="","",ROW()-4)</f>
        <v/>
      </c>
    </row>
    <row r="2657">
      <c r="A2657" s="13">
        <f>IF(H2657="","",ROW()-4)</f>
        <v/>
      </c>
      <c r="B2657" s="13">
        <f>IF(H2657="","",ROW()-4)</f>
        <v/>
      </c>
    </row>
    <row r="2658">
      <c r="A2658" s="13">
        <f>IF(H2658="","",ROW()-4)</f>
        <v/>
      </c>
      <c r="B2658" s="13">
        <f>IF(H2658="","",ROW()-4)</f>
        <v/>
      </c>
    </row>
    <row r="2659">
      <c r="A2659" s="13">
        <f>IF(H2659="","",ROW()-4)</f>
        <v/>
      </c>
      <c r="B2659" s="13">
        <f>IF(H2659="","",ROW()-4)</f>
        <v/>
      </c>
    </row>
    <row r="2660">
      <c r="A2660" s="13">
        <f>IF(H2660="","",ROW()-4)</f>
        <v/>
      </c>
      <c r="B2660" s="13">
        <f>IF(H2660="","",ROW()-4)</f>
        <v/>
      </c>
    </row>
    <row r="2661">
      <c r="A2661" s="13">
        <f>IF(H2661="","",ROW()-4)</f>
        <v/>
      </c>
      <c r="B2661" s="13">
        <f>IF(H2661="","",ROW()-4)</f>
        <v/>
      </c>
    </row>
    <row r="2662">
      <c r="A2662" s="13">
        <f>IF(H2662="","",ROW()-4)</f>
        <v/>
      </c>
      <c r="B2662" s="13">
        <f>IF(H2662="","",ROW()-4)</f>
        <v/>
      </c>
    </row>
    <row r="2663">
      <c r="A2663" s="13">
        <f>IF(H2663="","",ROW()-4)</f>
        <v/>
      </c>
      <c r="B2663" s="13">
        <f>IF(H2663="","",ROW()-4)</f>
        <v/>
      </c>
    </row>
    <row r="2664">
      <c r="A2664" s="13">
        <f>IF(H2664="","",ROW()-4)</f>
        <v/>
      </c>
      <c r="B2664" s="13">
        <f>IF(H2664="","",ROW()-4)</f>
        <v/>
      </c>
    </row>
    <row r="2665">
      <c r="A2665" s="13">
        <f>IF(H2665="","",ROW()-4)</f>
        <v/>
      </c>
      <c r="B2665" s="13">
        <f>IF(H2665="","",ROW()-4)</f>
        <v/>
      </c>
    </row>
    <row r="2666">
      <c r="A2666" s="13">
        <f>IF(H2666="","",ROW()-4)</f>
        <v/>
      </c>
      <c r="B2666" s="13">
        <f>IF(H2666="","",ROW()-4)</f>
        <v/>
      </c>
    </row>
    <row r="2667">
      <c r="A2667" s="13">
        <f>IF(H2667="","",ROW()-4)</f>
        <v/>
      </c>
      <c r="B2667" s="13">
        <f>IF(H2667="","",ROW()-4)</f>
        <v/>
      </c>
    </row>
    <row r="2668">
      <c r="A2668" s="13">
        <f>IF(H2668="","",ROW()-4)</f>
        <v/>
      </c>
      <c r="B2668" s="13">
        <f>IF(H2668="","",ROW()-4)</f>
        <v/>
      </c>
    </row>
    <row r="2669">
      <c r="A2669" s="13">
        <f>IF(H2669="","",ROW()-4)</f>
        <v/>
      </c>
      <c r="B2669" s="13">
        <f>IF(H2669="","",ROW()-4)</f>
        <v/>
      </c>
    </row>
    <row r="2670">
      <c r="A2670" s="13">
        <f>IF(H2670="","",ROW()-4)</f>
        <v/>
      </c>
      <c r="B2670" s="13">
        <f>IF(H2670="","",ROW()-4)</f>
        <v/>
      </c>
    </row>
    <row r="2671">
      <c r="A2671" s="13">
        <f>IF(H2671="","",ROW()-4)</f>
        <v/>
      </c>
      <c r="B2671" s="13">
        <f>IF(H2671="","",ROW()-4)</f>
        <v/>
      </c>
    </row>
    <row r="2672">
      <c r="A2672" s="13">
        <f>IF(H2672="","",ROW()-4)</f>
        <v/>
      </c>
      <c r="B2672" s="13">
        <f>IF(H2672="","",ROW()-4)</f>
        <v/>
      </c>
    </row>
    <row r="2673">
      <c r="A2673" s="13">
        <f>IF(H2673="","",ROW()-4)</f>
        <v/>
      </c>
      <c r="B2673" s="13">
        <f>IF(H2673="","",ROW()-4)</f>
        <v/>
      </c>
    </row>
    <row r="2674">
      <c r="A2674" s="13">
        <f>IF(H2674="","",ROW()-4)</f>
        <v/>
      </c>
      <c r="B2674" s="13">
        <f>IF(H2674="","",ROW()-4)</f>
        <v/>
      </c>
    </row>
    <row r="2675">
      <c r="A2675" s="13">
        <f>IF(H2675="","",ROW()-4)</f>
        <v/>
      </c>
      <c r="B2675" s="13">
        <f>IF(H2675="","",ROW()-4)</f>
        <v/>
      </c>
    </row>
    <row r="2676">
      <c r="A2676" s="13">
        <f>IF(H2676="","",ROW()-4)</f>
        <v/>
      </c>
      <c r="B2676" s="13">
        <f>IF(H2676="","",ROW()-4)</f>
        <v/>
      </c>
    </row>
    <row r="2677">
      <c r="A2677" s="13">
        <f>IF(H2677="","",ROW()-4)</f>
        <v/>
      </c>
      <c r="B2677" s="13">
        <f>IF(H2677="","",ROW()-4)</f>
        <v/>
      </c>
    </row>
    <row r="2678">
      <c r="A2678" s="13">
        <f>IF(H2678="","",ROW()-4)</f>
        <v/>
      </c>
      <c r="B2678" s="13">
        <f>IF(H2678="","",ROW()-4)</f>
        <v/>
      </c>
    </row>
    <row r="2679">
      <c r="A2679" s="13">
        <f>IF(H2679="","",ROW()-4)</f>
        <v/>
      </c>
      <c r="B2679" s="13">
        <f>IF(H2679="","",ROW()-4)</f>
        <v/>
      </c>
    </row>
    <row r="2680">
      <c r="A2680" s="13">
        <f>IF(H2680="","",ROW()-4)</f>
        <v/>
      </c>
      <c r="B2680" s="13">
        <f>IF(H2680="","",ROW()-4)</f>
        <v/>
      </c>
    </row>
    <row r="2681">
      <c r="A2681" s="13">
        <f>IF(H2681="","",ROW()-4)</f>
        <v/>
      </c>
      <c r="B2681" s="13">
        <f>IF(H2681="","",ROW()-4)</f>
        <v/>
      </c>
    </row>
    <row r="2682">
      <c r="A2682" s="13">
        <f>IF(H2682="","",ROW()-4)</f>
        <v/>
      </c>
      <c r="B2682" s="13">
        <f>IF(H2682="","",ROW()-4)</f>
        <v/>
      </c>
    </row>
    <row r="2683">
      <c r="A2683" s="13">
        <f>IF(H2683="","",ROW()-4)</f>
        <v/>
      </c>
      <c r="B2683" s="13">
        <f>IF(H2683="","",ROW()-4)</f>
        <v/>
      </c>
    </row>
    <row r="2684">
      <c r="A2684" s="13">
        <f>IF(H2684="","",ROW()-4)</f>
        <v/>
      </c>
      <c r="B2684" s="13">
        <f>IF(H2684="","",ROW()-4)</f>
        <v/>
      </c>
    </row>
    <row r="2685">
      <c r="A2685" s="13">
        <f>IF(H2685="","",ROW()-4)</f>
        <v/>
      </c>
      <c r="B2685" s="13">
        <f>IF(H2685="","",ROW()-4)</f>
        <v/>
      </c>
    </row>
    <row r="2686">
      <c r="A2686" s="13">
        <f>IF(H2686="","",ROW()-4)</f>
        <v/>
      </c>
      <c r="B2686" s="13">
        <f>IF(H2686="","",ROW()-4)</f>
        <v/>
      </c>
    </row>
    <row r="2687">
      <c r="A2687" s="13">
        <f>IF(H2687="","",ROW()-4)</f>
        <v/>
      </c>
      <c r="B2687" s="13">
        <f>IF(H2687="","",ROW()-4)</f>
        <v/>
      </c>
    </row>
    <row r="2688">
      <c r="A2688" s="13">
        <f>IF(H2688="","",ROW()-4)</f>
        <v/>
      </c>
      <c r="B2688" s="13">
        <f>IF(H2688="","",ROW()-4)</f>
        <v/>
      </c>
    </row>
    <row r="2689">
      <c r="A2689" s="13">
        <f>IF(H2689="","",ROW()-4)</f>
        <v/>
      </c>
      <c r="B2689" s="13">
        <f>IF(H2689="","",ROW()-4)</f>
        <v/>
      </c>
    </row>
    <row r="2690">
      <c r="A2690" s="13">
        <f>IF(H2690="","",ROW()-4)</f>
        <v/>
      </c>
      <c r="B2690" s="13">
        <f>IF(H2690="","",ROW()-4)</f>
        <v/>
      </c>
    </row>
    <row r="2691">
      <c r="A2691" s="13">
        <f>IF(H2691="","",ROW()-4)</f>
        <v/>
      </c>
      <c r="B2691" s="13">
        <f>IF(H2691="","",ROW()-4)</f>
        <v/>
      </c>
    </row>
    <row r="2692">
      <c r="A2692" s="13">
        <f>IF(H2692="","",ROW()-4)</f>
        <v/>
      </c>
      <c r="B2692" s="13">
        <f>IF(H2692="","",ROW()-4)</f>
        <v/>
      </c>
    </row>
    <row r="2693">
      <c r="A2693" s="13">
        <f>IF(H2693="","",ROW()-4)</f>
        <v/>
      </c>
      <c r="B2693" s="13">
        <f>IF(H2693="","",ROW()-4)</f>
        <v/>
      </c>
    </row>
    <row r="2694">
      <c r="A2694" s="13">
        <f>IF(H2694="","",ROW()-4)</f>
        <v/>
      </c>
      <c r="B2694" s="13">
        <f>IF(H2694="","",ROW()-4)</f>
        <v/>
      </c>
    </row>
    <row r="2695">
      <c r="A2695" s="13">
        <f>IF(H2695="","",ROW()-4)</f>
        <v/>
      </c>
      <c r="B2695" s="13">
        <f>IF(H2695="","",ROW()-4)</f>
        <v/>
      </c>
    </row>
    <row r="2696">
      <c r="A2696" s="13">
        <f>IF(H2696="","",ROW()-4)</f>
        <v/>
      </c>
      <c r="B2696" s="13">
        <f>IF(H2696="","",ROW()-4)</f>
        <v/>
      </c>
    </row>
    <row r="2697">
      <c r="A2697" s="13">
        <f>IF(H2697="","",ROW()-4)</f>
        <v/>
      </c>
      <c r="B2697" s="13">
        <f>IF(H2697="","",ROW()-4)</f>
        <v/>
      </c>
    </row>
    <row r="2698">
      <c r="A2698" s="13">
        <f>IF(H2698="","",ROW()-4)</f>
        <v/>
      </c>
      <c r="B2698" s="13">
        <f>IF(H2698="","",ROW()-4)</f>
        <v/>
      </c>
    </row>
    <row r="2699">
      <c r="A2699" s="13">
        <f>IF(H2699="","",ROW()-4)</f>
        <v/>
      </c>
      <c r="B2699" s="13">
        <f>IF(H2699="","",ROW()-4)</f>
        <v/>
      </c>
    </row>
    <row r="2700">
      <c r="A2700" s="13">
        <f>IF(H2700="","",ROW()-4)</f>
        <v/>
      </c>
      <c r="B2700" s="13">
        <f>IF(H2700="","",ROW()-4)</f>
        <v/>
      </c>
    </row>
    <row r="2701">
      <c r="A2701" s="13">
        <f>IF(H2701="","",ROW()-4)</f>
        <v/>
      </c>
      <c r="B2701" s="13">
        <f>IF(H2701="","",ROW()-4)</f>
        <v/>
      </c>
    </row>
    <row r="2702">
      <c r="A2702" s="13">
        <f>IF(H2702="","",ROW()-4)</f>
        <v/>
      </c>
      <c r="B2702" s="13">
        <f>IF(H2702="","",ROW()-4)</f>
        <v/>
      </c>
    </row>
    <row r="2703">
      <c r="A2703" s="13">
        <f>IF(H2703="","",ROW()-4)</f>
        <v/>
      </c>
      <c r="B2703" s="13">
        <f>IF(H2703="","",ROW()-4)</f>
        <v/>
      </c>
    </row>
    <row r="2704">
      <c r="A2704" s="13">
        <f>IF(H2704="","",ROW()-4)</f>
        <v/>
      </c>
      <c r="B2704" s="13">
        <f>IF(H2704="","",ROW()-4)</f>
        <v/>
      </c>
    </row>
    <row r="2705">
      <c r="A2705" s="13">
        <f>IF(H2705="","",ROW()-4)</f>
        <v/>
      </c>
      <c r="B2705" s="13">
        <f>IF(H2705="","",ROW()-4)</f>
        <v/>
      </c>
    </row>
    <row r="2706">
      <c r="A2706" s="13">
        <f>IF(H2706="","",ROW()-4)</f>
        <v/>
      </c>
      <c r="B2706" s="13">
        <f>IF(H2706="","",ROW()-4)</f>
        <v/>
      </c>
    </row>
    <row r="2707">
      <c r="A2707" s="13">
        <f>IF(H2707="","",ROW()-4)</f>
        <v/>
      </c>
      <c r="B2707" s="13">
        <f>IF(H2707="","",ROW()-4)</f>
        <v/>
      </c>
    </row>
    <row r="2708">
      <c r="A2708" s="13">
        <f>IF(H2708="","",ROW()-4)</f>
        <v/>
      </c>
      <c r="B2708" s="13">
        <f>IF(H2708="","",ROW()-4)</f>
        <v/>
      </c>
    </row>
    <row r="2709">
      <c r="A2709" s="13">
        <f>IF(H2709="","",ROW()-4)</f>
        <v/>
      </c>
      <c r="B2709" s="13">
        <f>IF(H2709="","",ROW()-4)</f>
        <v/>
      </c>
    </row>
    <row r="2710">
      <c r="A2710" s="13">
        <f>IF(H2710="","",ROW()-4)</f>
        <v/>
      </c>
      <c r="B2710" s="13">
        <f>IF(H2710="","",ROW()-4)</f>
        <v/>
      </c>
    </row>
    <row r="2711">
      <c r="A2711" s="13">
        <f>IF(H2711="","",ROW()-4)</f>
        <v/>
      </c>
      <c r="B2711" s="13">
        <f>IF(H2711="","",ROW()-4)</f>
        <v/>
      </c>
    </row>
    <row r="2712">
      <c r="A2712" s="13">
        <f>IF(H2712="","",ROW()-4)</f>
        <v/>
      </c>
      <c r="B2712" s="13">
        <f>IF(H2712="","",ROW()-4)</f>
        <v/>
      </c>
    </row>
    <row r="2713">
      <c r="A2713" s="13">
        <f>IF(H2713="","",ROW()-4)</f>
        <v/>
      </c>
      <c r="B2713" s="13">
        <f>IF(H2713="","",ROW()-4)</f>
        <v/>
      </c>
    </row>
    <row r="2714">
      <c r="A2714" s="13">
        <f>IF(H2714="","",ROW()-4)</f>
        <v/>
      </c>
      <c r="B2714" s="13">
        <f>IF(H2714="","",ROW()-4)</f>
        <v/>
      </c>
    </row>
    <row r="2715">
      <c r="A2715" s="13">
        <f>IF(H2715="","",ROW()-4)</f>
        <v/>
      </c>
      <c r="B2715" s="13">
        <f>IF(H2715="","",ROW()-4)</f>
        <v/>
      </c>
    </row>
    <row r="2716">
      <c r="A2716" s="13">
        <f>IF(H2716="","",ROW()-4)</f>
        <v/>
      </c>
      <c r="B2716" s="13">
        <f>IF(H2716="","",ROW()-4)</f>
        <v/>
      </c>
    </row>
    <row r="2717">
      <c r="A2717" s="13">
        <f>IF(H2717="","",ROW()-4)</f>
        <v/>
      </c>
      <c r="B2717" s="13">
        <f>IF(H2717="","",ROW()-4)</f>
        <v/>
      </c>
    </row>
    <row r="2718">
      <c r="A2718" s="13">
        <f>IF(H2718="","",ROW()-4)</f>
        <v/>
      </c>
      <c r="B2718" s="13">
        <f>IF(H2718="","",ROW()-4)</f>
        <v/>
      </c>
    </row>
    <row r="2719">
      <c r="A2719" s="13">
        <f>IF(H2719="","",ROW()-4)</f>
        <v/>
      </c>
      <c r="B2719" s="13">
        <f>IF(H2719="","",ROW()-4)</f>
        <v/>
      </c>
    </row>
    <row r="2720">
      <c r="A2720" s="13">
        <f>IF(H2720="","",ROW()-4)</f>
        <v/>
      </c>
      <c r="B2720" s="13">
        <f>IF(H2720="","",ROW()-4)</f>
        <v/>
      </c>
    </row>
    <row r="2721">
      <c r="A2721" s="13">
        <f>IF(H2721="","",ROW()-4)</f>
        <v/>
      </c>
      <c r="B2721" s="13">
        <f>IF(H2721="","",ROW()-4)</f>
        <v/>
      </c>
    </row>
    <row r="2722">
      <c r="A2722" s="13">
        <f>IF(H2722="","",ROW()-4)</f>
        <v/>
      </c>
      <c r="B2722" s="13">
        <f>IF(H2722="","",ROW()-4)</f>
        <v/>
      </c>
    </row>
    <row r="2723">
      <c r="A2723" s="13">
        <f>IF(H2723="","",ROW()-4)</f>
        <v/>
      </c>
      <c r="B2723" s="13">
        <f>IF(H2723="","",ROW()-4)</f>
        <v/>
      </c>
    </row>
    <row r="2724">
      <c r="A2724" s="13">
        <f>IF(H2724="","",ROW()-4)</f>
        <v/>
      </c>
      <c r="B2724" s="13">
        <f>IF(H2724="","",ROW()-4)</f>
        <v/>
      </c>
    </row>
    <row r="2725">
      <c r="A2725" s="13">
        <f>IF(H2725="","",ROW()-4)</f>
        <v/>
      </c>
      <c r="B2725" s="13">
        <f>IF(H2725="","",ROW()-4)</f>
        <v/>
      </c>
    </row>
    <row r="2726">
      <c r="A2726" s="13">
        <f>IF(H2726="","",ROW()-4)</f>
        <v/>
      </c>
      <c r="B2726" s="13">
        <f>IF(H2726="","",ROW()-4)</f>
        <v/>
      </c>
    </row>
    <row r="2727">
      <c r="A2727" s="13">
        <f>IF(H2727="","",ROW()-4)</f>
        <v/>
      </c>
      <c r="B2727" s="13">
        <f>IF(H2727="","",ROW()-4)</f>
        <v/>
      </c>
    </row>
    <row r="2728">
      <c r="A2728" s="13">
        <f>IF(H2728="","",ROW()-4)</f>
        <v/>
      </c>
      <c r="B2728" s="13">
        <f>IF(H2728="","",ROW()-4)</f>
        <v/>
      </c>
    </row>
    <row r="2729">
      <c r="A2729" s="13">
        <f>IF(H2729="","",ROW()-4)</f>
        <v/>
      </c>
      <c r="B2729" s="13">
        <f>IF(H2729="","",ROW()-4)</f>
        <v/>
      </c>
    </row>
    <row r="2730">
      <c r="A2730" s="13">
        <f>IF(H2730="","",ROW()-4)</f>
        <v/>
      </c>
      <c r="B2730" s="13">
        <f>IF(H2730="","",ROW()-4)</f>
        <v/>
      </c>
    </row>
    <row r="2731">
      <c r="A2731" s="13">
        <f>IF(H2731="","",ROW()-4)</f>
        <v/>
      </c>
      <c r="B2731" s="13">
        <f>IF(H2731="","",ROW()-4)</f>
        <v/>
      </c>
    </row>
    <row r="2732">
      <c r="A2732" s="13">
        <f>IF(H2732="","",ROW()-4)</f>
        <v/>
      </c>
      <c r="B2732" s="13">
        <f>IF(H2732="","",ROW()-4)</f>
        <v/>
      </c>
    </row>
    <row r="2733">
      <c r="A2733" s="13">
        <f>IF(H2733="","",ROW()-4)</f>
        <v/>
      </c>
      <c r="B2733" s="13">
        <f>IF(H2733="","",ROW()-4)</f>
        <v/>
      </c>
    </row>
    <row r="2734">
      <c r="A2734" s="13">
        <f>IF(H2734="","",ROW()-4)</f>
        <v/>
      </c>
      <c r="B2734" s="13">
        <f>IF(H2734="","",ROW()-4)</f>
        <v/>
      </c>
    </row>
    <row r="2735">
      <c r="A2735" s="13">
        <f>IF(H2735="","",ROW()-4)</f>
        <v/>
      </c>
      <c r="B2735" s="13">
        <f>IF(H2735="","",ROW()-4)</f>
        <v/>
      </c>
    </row>
    <row r="2736">
      <c r="A2736" s="13">
        <f>IF(H2736="","",ROW()-4)</f>
        <v/>
      </c>
      <c r="B2736" s="13">
        <f>IF(H2736="","",ROW()-4)</f>
        <v/>
      </c>
    </row>
    <row r="2737">
      <c r="A2737" s="13">
        <f>IF(H2737="","",ROW()-4)</f>
        <v/>
      </c>
      <c r="B2737" s="13">
        <f>IF(H2737="","",ROW()-4)</f>
        <v/>
      </c>
    </row>
    <row r="2738">
      <c r="A2738" s="13">
        <f>IF(H2738="","",ROW()-4)</f>
        <v/>
      </c>
      <c r="B2738" s="13">
        <f>IF(H2738="","",ROW()-4)</f>
        <v/>
      </c>
    </row>
    <row r="2739">
      <c r="A2739" s="13">
        <f>IF(H2739="","",ROW()-4)</f>
        <v/>
      </c>
      <c r="B2739" s="13">
        <f>IF(H2739="","",ROW()-4)</f>
        <v/>
      </c>
    </row>
    <row r="2740">
      <c r="A2740" s="13">
        <f>IF(H2740="","",ROW()-4)</f>
        <v/>
      </c>
      <c r="B2740" s="13">
        <f>IF(H2740="","",ROW()-4)</f>
        <v/>
      </c>
    </row>
    <row r="2741">
      <c r="A2741" s="13">
        <f>IF(H2741="","",ROW()-4)</f>
        <v/>
      </c>
      <c r="B2741" s="13">
        <f>IF(H2741="","",ROW()-4)</f>
        <v/>
      </c>
    </row>
    <row r="2742">
      <c r="A2742" s="13">
        <f>IF(H2742="","",ROW()-4)</f>
        <v/>
      </c>
      <c r="B2742" s="13">
        <f>IF(H2742="","",ROW()-4)</f>
        <v/>
      </c>
    </row>
    <row r="2743">
      <c r="A2743" s="13">
        <f>IF(H2743="","",ROW()-4)</f>
        <v/>
      </c>
      <c r="B2743" s="13">
        <f>IF(H2743="","",ROW()-4)</f>
        <v/>
      </c>
    </row>
    <row r="2744">
      <c r="A2744" s="13">
        <f>IF(H2744="","",ROW()-4)</f>
        <v/>
      </c>
      <c r="B2744" s="13">
        <f>IF(H2744="","",ROW()-4)</f>
        <v/>
      </c>
    </row>
    <row r="2745">
      <c r="A2745" s="13">
        <f>IF(H2745="","",ROW()-4)</f>
        <v/>
      </c>
      <c r="B2745" s="13">
        <f>IF(H2745="","",ROW()-4)</f>
        <v/>
      </c>
    </row>
    <row r="2746">
      <c r="A2746" s="13">
        <f>IF(H2746="","",ROW()-4)</f>
        <v/>
      </c>
      <c r="B2746" s="13">
        <f>IF(H2746="","",ROW()-4)</f>
        <v/>
      </c>
    </row>
    <row r="2747">
      <c r="A2747" s="13">
        <f>IF(H2747="","",ROW()-4)</f>
        <v/>
      </c>
      <c r="B2747" s="13">
        <f>IF(H2747="","",ROW()-4)</f>
        <v/>
      </c>
    </row>
    <row r="2748">
      <c r="A2748" s="13">
        <f>IF(H2748="","",ROW()-4)</f>
        <v/>
      </c>
      <c r="B2748" s="13">
        <f>IF(H2748="","",ROW()-4)</f>
        <v/>
      </c>
    </row>
    <row r="2749">
      <c r="A2749" s="13">
        <f>IF(H2749="","",ROW()-4)</f>
        <v/>
      </c>
      <c r="B2749" s="13">
        <f>IF(H2749="","",ROW()-4)</f>
        <v/>
      </c>
    </row>
    <row r="2750">
      <c r="A2750" s="13">
        <f>IF(H2750="","",ROW()-4)</f>
        <v/>
      </c>
      <c r="B2750" s="13">
        <f>IF(H2750="","",ROW()-4)</f>
        <v/>
      </c>
    </row>
    <row r="2751">
      <c r="A2751" s="13">
        <f>IF(H2751="","",ROW()-4)</f>
        <v/>
      </c>
      <c r="B2751" s="13">
        <f>IF(H2751="","",ROW()-4)</f>
        <v/>
      </c>
    </row>
    <row r="2752">
      <c r="A2752" s="13">
        <f>IF(H2752="","",ROW()-4)</f>
        <v/>
      </c>
      <c r="B2752" s="13">
        <f>IF(H2752="","",ROW()-4)</f>
        <v/>
      </c>
    </row>
    <row r="2753">
      <c r="A2753" s="13">
        <f>IF(H2753="","",ROW()-4)</f>
        <v/>
      </c>
      <c r="B2753" s="13">
        <f>IF(H2753="","",ROW()-4)</f>
        <v/>
      </c>
    </row>
    <row r="2754">
      <c r="A2754" s="13">
        <f>IF(H2754="","",ROW()-4)</f>
        <v/>
      </c>
      <c r="B2754" s="13">
        <f>IF(H2754="","",ROW()-4)</f>
        <v/>
      </c>
    </row>
    <row r="2755">
      <c r="A2755" s="13">
        <f>IF(H2755="","",ROW()-4)</f>
        <v/>
      </c>
      <c r="B2755" s="13">
        <f>IF(H2755="","",ROW()-4)</f>
        <v/>
      </c>
    </row>
    <row r="2756">
      <c r="A2756" s="13">
        <f>IF(H2756="","",ROW()-4)</f>
        <v/>
      </c>
      <c r="B2756" s="13">
        <f>IF(H2756="","",ROW()-4)</f>
        <v/>
      </c>
    </row>
    <row r="2757">
      <c r="A2757" s="13">
        <f>IF(H2757="","",ROW()-4)</f>
        <v/>
      </c>
      <c r="B2757" s="13">
        <f>IF(H2757="","",ROW()-4)</f>
        <v/>
      </c>
    </row>
    <row r="2758">
      <c r="A2758" s="13">
        <f>IF(H2758="","",ROW()-4)</f>
        <v/>
      </c>
      <c r="B2758" s="13">
        <f>IF(H2758="","",ROW()-4)</f>
        <v/>
      </c>
    </row>
    <row r="2759">
      <c r="A2759" s="13">
        <f>IF(H2759="","",ROW()-4)</f>
        <v/>
      </c>
      <c r="B2759" s="13">
        <f>IF(H2759="","",ROW()-4)</f>
        <v/>
      </c>
    </row>
    <row r="2760">
      <c r="A2760" s="13">
        <f>IF(H2760="","",ROW()-4)</f>
        <v/>
      </c>
      <c r="B2760" s="13">
        <f>IF(H2760="","",ROW()-4)</f>
        <v/>
      </c>
    </row>
    <row r="2761">
      <c r="A2761" s="13">
        <f>IF(H2761="","",ROW()-4)</f>
        <v/>
      </c>
      <c r="B2761" s="13">
        <f>IF(H2761="","",ROW()-4)</f>
        <v/>
      </c>
    </row>
    <row r="2762">
      <c r="A2762" s="13">
        <f>IF(H2762="","",ROW()-4)</f>
        <v/>
      </c>
      <c r="B2762" s="13">
        <f>IF(H2762="","",ROW()-4)</f>
        <v/>
      </c>
    </row>
    <row r="2763">
      <c r="A2763" s="13">
        <f>IF(H2763="","",ROW()-4)</f>
        <v/>
      </c>
      <c r="B2763" s="13">
        <f>IF(H2763="","",ROW()-4)</f>
        <v/>
      </c>
    </row>
    <row r="2764">
      <c r="A2764" s="13">
        <f>IF(H2764="","",ROW()-4)</f>
        <v/>
      </c>
      <c r="B2764" s="13">
        <f>IF(H2764="","",ROW()-4)</f>
        <v/>
      </c>
    </row>
    <row r="2765">
      <c r="A2765" s="13">
        <f>IF(H2765="","",ROW()-4)</f>
        <v/>
      </c>
      <c r="B2765" s="13">
        <f>IF(H2765="","",ROW()-4)</f>
        <v/>
      </c>
    </row>
    <row r="2766">
      <c r="A2766" s="13">
        <f>IF(H2766="","",ROW()-4)</f>
        <v/>
      </c>
      <c r="B2766" s="13">
        <f>IF(H2766="","",ROW()-4)</f>
        <v/>
      </c>
    </row>
    <row r="2767">
      <c r="A2767" s="13">
        <f>IF(H2767="","",ROW()-4)</f>
        <v/>
      </c>
      <c r="B2767" s="13">
        <f>IF(H2767="","",ROW()-4)</f>
        <v/>
      </c>
    </row>
    <row r="2768">
      <c r="A2768" s="13">
        <f>IF(H2768="","",ROW()-4)</f>
        <v/>
      </c>
      <c r="B2768" s="13">
        <f>IF(H2768="","",ROW()-4)</f>
        <v/>
      </c>
    </row>
    <row r="2769">
      <c r="A2769" s="13">
        <f>IF(H2769="","",ROW()-4)</f>
        <v/>
      </c>
      <c r="B2769" s="13">
        <f>IF(H2769="","",ROW()-4)</f>
        <v/>
      </c>
    </row>
    <row r="2770">
      <c r="A2770" s="13">
        <f>IF(H2770="","",ROW()-4)</f>
        <v/>
      </c>
      <c r="B2770" s="13">
        <f>IF(H2770="","",ROW()-4)</f>
        <v/>
      </c>
    </row>
    <row r="2771">
      <c r="A2771" s="13">
        <f>IF(H2771="","",ROW()-4)</f>
        <v/>
      </c>
      <c r="B2771" s="13">
        <f>IF(H2771="","",ROW()-4)</f>
        <v/>
      </c>
    </row>
    <row r="2772">
      <c r="A2772" s="13">
        <f>IF(H2772="","",ROW()-4)</f>
        <v/>
      </c>
      <c r="B2772" s="13">
        <f>IF(H2772="","",ROW()-4)</f>
        <v/>
      </c>
    </row>
    <row r="2773">
      <c r="A2773" s="13">
        <f>IF(H2773="","",ROW()-4)</f>
        <v/>
      </c>
      <c r="B2773" s="13">
        <f>IF(H2773="","",ROW()-4)</f>
        <v/>
      </c>
    </row>
    <row r="2774">
      <c r="A2774" s="13">
        <f>IF(H2774="","",ROW()-4)</f>
        <v/>
      </c>
      <c r="B2774" s="13">
        <f>IF(H2774="","",ROW()-4)</f>
        <v/>
      </c>
    </row>
    <row r="2775">
      <c r="A2775" s="13">
        <f>IF(H2775="","",ROW()-4)</f>
        <v/>
      </c>
      <c r="B2775" s="13">
        <f>IF(H2775="","",ROW()-4)</f>
        <v/>
      </c>
    </row>
    <row r="2776">
      <c r="A2776" s="13">
        <f>IF(H2776="","",ROW()-4)</f>
        <v/>
      </c>
      <c r="B2776" s="13">
        <f>IF(H2776="","",ROW()-4)</f>
        <v/>
      </c>
    </row>
    <row r="2777">
      <c r="A2777" s="13">
        <f>IF(H2777="","",ROW()-4)</f>
        <v/>
      </c>
      <c r="B2777" s="13">
        <f>IF(H2777="","",ROW()-4)</f>
        <v/>
      </c>
    </row>
    <row r="2778">
      <c r="A2778" s="13">
        <f>IF(H2778="","",ROW()-4)</f>
        <v/>
      </c>
      <c r="B2778" s="13">
        <f>IF(H2778="","",ROW()-4)</f>
        <v/>
      </c>
    </row>
    <row r="2779">
      <c r="A2779" s="13">
        <f>IF(H2779="","",ROW()-4)</f>
        <v/>
      </c>
      <c r="B2779" s="13">
        <f>IF(H2779="","",ROW()-4)</f>
        <v/>
      </c>
    </row>
    <row r="2780">
      <c r="A2780" s="13">
        <f>IF(H2780="","",ROW()-4)</f>
        <v/>
      </c>
      <c r="B2780" s="13">
        <f>IF(H2780="","",ROW()-4)</f>
        <v/>
      </c>
    </row>
    <row r="2781">
      <c r="A2781" s="13">
        <f>IF(H2781="","",ROW()-4)</f>
        <v/>
      </c>
      <c r="B2781" s="13">
        <f>IF(H2781="","",ROW()-4)</f>
        <v/>
      </c>
    </row>
    <row r="2782">
      <c r="A2782" s="13">
        <f>IF(H2782="","",ROW()-4)</f>
        <v/>
      </c>
      <c r="B2782" s="13">
        <f>IF(H2782="","",ROW()-4)</f>
        <v/>
      </c>
    </row>
    <row r="2783">
      <c r="A2783" s="13">
        <f>IF(H2783="","",ROW()-4)</f>
        <v/>
      </c>
      <c r="B2783" s="13">
        <f>IF(H2783="","",ROW()-4)</f>
        <v/>
      </c>
    </row>
    <row r="2784">
      <c r="A2784" s="13">
        <f>IF(H2784="","",ROW()-4)</f>
        <v/>
      </c>
      <c r="B2784" s="13">
        <f>IF(H2784="","",ROW()-4)</f>
        <v/>
      </c>
    </row>
    <row r="2785">
      <c r="A2785" s="13">
        <f>IF(H2785="","",ROW()-4)</f>
        <v/>
      </c>
      <c r="B2785" s="13">
        <f>IF(H2785="","",ROW()-4)</f>
        <v/>
      </c>
    </row>
    <row r="2786">
      <c r="A2786" s="13">
        <f>IF(H2786="","",ROW()-4)</f>
        <v/>
      </c>
      <c r="B2786" s="13">
        <f>IF(H2786="","",ROW()-4)</f>
        <v/>
      </c>
    </row>
    <row r="2787">
      <c r="A2787" s="13">
        <f>IF(H2787="","",ROW()-4)</f>
        <v/>
      </c>
      <c r="B2787" s="13">
        <f>IF(H2787="","",ROW()-4)</f>
        <v/>
      </c>
    </row>
    <row r="2788">
      <c r="A2788" s="13">
        <f>IF(H2788="","",ROW()-4)</f>
        <v/>
      </c>
      <c r="B2788" s="13">
        <f>IF(H2788="","",ROW()-4)</f>
        <v/>
      </c>
    </row>
    <row r="2789">
      <c r="A2789" s="13">
        <f>IF(H2789="","",ROW()-4)</f>
        <v/>
      </c>
      <c r="B2789" s="13">
        <f>IF(H2789="","",ROW()-4)</f>
        <v/>
      </c>
    </row>
    <row r="2790">
      <c r="A2790" s="13">
        <f>IF(H2790="","",ROW()-4)</f>
        <v/>
      </c>
      <c r="B2790" s="13">
        <f>IF(H2790="","",ROW()-4)</f>
        <v/>
      </c>
    </row>
    <row r="2791">
      <c r="A2791" s="13">
        <f>IF(H2791="","",ROW()-4)</f>
        <v/>
      </c>
      <c r="B2791" s="13">
        <f>IF(H2791="","",ROW()-4)</f>
        <v/>
      </c>
    </row>
    <row r="2792">
      <c r="A2792" s="13">
        <f>IF(H2792="","",ROW()-4)</f>
        <v/>
      </c>
      <c r="B2792" s="13">
        <f>IF(H2792="","",ROW()-4)</f>
        <v/>
      </c>
    </row>
    <row r="2793">
      <c r="A2793" s="13">
        <f>IF(H2793="","",ROW()-4)</f>
        <v/>
      </c>
      <c r="B2793" s="13">
        <f>IF(H2793="","",ROW()-4)</f>
        <v/>
      </c>
    </row>
    <row r="2794">
      <c r="A2794" s="13">
        <f>IF(H2794="","",ROW()-4)</f>
        <v/>
      </c>
      <c r="B2794" s="13">
        <f>IF(H2794="","",ROW()-4)</f>
        <v/>
      </c>
    </row>
    <row r="2795">
      <c r="A2795" s="13">
        <f>IF(H2795="","",ROW()-4)</f>
        <v/>
      </c>
      <c r="B2795" s="13">
        <f>IF(H2795="","",ROW()-4)</f>
        <v/>
      </c>
    </row>
    <row r="2796">
      <c r="A2796" s="13">
        <f>IF(H2796="","",ROW()-4)</f>
        <v/>
      </c>
      <c r="B2796" s="13">
        <f>IF(H2796="","",ROW()-4)</f>
        <v/>
      </c>
    </row>
    <row r="2797">
      <c r="A2797" s="13">
        <f>IF(H2797="","",ROW()-4)</f>
        <v/>
      </c>
      <c r="B2797" s="13">
        <f>IF(H2797="","",ROW()-4)</f>
        <v/>
      </c>
    </row>
    <row r="2798">
      <c r="A2798" s="13">
        <f>IF(H2798="","",ROW()-4)</f>
        <v/>
      </c>
      <c r="B2798" s="13">
        <f>IF(H2798="","",ROW()-4)</f>
        <v/>
      </c>
    </row>
    <row r="2799">
      <c r="A2799" s="13">
        <f>IF(H2799="","",ROW()-4)</f>
        <v/>
      </c>
      <c r="B2799" s="13">
        <f>IF(H2799="","",ROW()-4)</f>
        <v/>
      </c>
    </row>
    <row r="2800">
      <c r="A2800" s="13">
        <f>IF(H2800="","",ROW()-4)</f>
        <v/>
      </c>
      <c r="B2800" s="13">
        <f>IF(H2800="","",ROW()-4)</f>
        <v/>
      </c>
    </row>
    <row r="2801">
      <c r="A2801" s="13">
        <f>IF(H2801="","",ROW()-4)</f>
        <v/>
      </c>
      <c r="B2801" s="13">
        <f>IF(H2801="","",ROW()-4)</f>
        <v/>
      </c>
    </row>
    <row r="2802">
      <c r="A2802" s="13">
        <f>IF(H2802="","",ROW()-4)</f>
        <v/>
      </c>
      <c r="B2802" s="13">
        <f>IF(H2802="","",ROW()-4)</f>
        <v/>
      </c>
    </row>
    <row r="2803">
      <c r="A2803" s="13">
        <f>IF(H2803="","",ROW()-4)</f>
        <v/>
      </c>
      <c r="B2803" s="13">
        <f>IF(H2803="","",ROW()-4)</f>
        <v/>
      </c>
    </row>
    <row r="2804">
      <c r="A2804" s="13">
        <f>IF(H2804="","",ROW()-4)</f>
        <v/>
      </c>
      <c r="B2804" s="13">
        <f>IF(H2804="","",ROW()-4)</f>
        <v/>
      </c>
    </row>
    <row r="2805">
      <c r="A2805" s="13">
        <f>IF(H2805="","",ROW()-4)</f>
        <v/>
      </c>
      <c r="B2805" s="13">
        <f>IF(H2805="","",ROW()-4)</f>
        <v/>
      </c>
    </row>
    <row r="2806">
      <c r="A2806" s="13">
        <f>IF(H2806="","",ROW()-4)</f>
        <v/>
      </c>
      <c r="B2806" s="13">
        <f>IF(H2806="","",ROW()-4)</f>
        <v/>
      </c>
    </row>
    <row r="2807">
      <c r="A2807" s="13">
        <f>IF(H2807="","",ROW()-4)</f>
        <v/>
      </c>
      <c r="B2807" s="13">
        <f>IF(H2807="","",ROW()-4)</f>
        <v/>
      </c>
    </row>
    <row r="2808">
      <c r="A2808" s="13">
        <f>IF(H2808="","",ROW()-4)</f>
        <v/>
      </c>
      <c r="B2808" s="13">
        <f>IF(H2808="","",ROW()-4)</f>
        <v/>
      </c>
    </row>
    <row r="2809">
      <c r="A2809" s="13">
        <f>IF(H2809="","",ROW()-4)</f>
        <v/>
      </c>
      <c r="B2809" s="13">
        <f>IF(H2809="","",ROW()-4)</f>
        <v/>
      </c>
    </row>
    <row r="2810">
      <c r="A2810" s="13">
        <f>IF(H2810="","",ROW()-4)</f>
        <v/>
      </c>
      <c r="B2810" s="13">
        <f>IF(H2810="","",ROW()-4)</f>
        <v/>
      </c>
    </row>
    <row r="2811">
      <c r="A2811" s="13">
        <f>IF(H2811="","",ROW()-4)</f>
        <v/>
      </c>
      <c r="B2811" s="13">
        <f>IF(H2811="","",ROW()-4)</f>
        <v/>
      </c>
    </row>
    <row r="2812">
      <c r="A2812" s="13">
        <f>IF(H2812="","",ROW()-4)</f>
        <v/>
      </c>
      <c r="B2812" s="13">
        <f>IF(H2812="","",ROW()-4)</f>
        <v/>
      </c>
    </row>
    <row r="2813">
      <c r="A2813" s="13">
        <f>IF(H2813="","",ROW()-4)</f>
        <v/>
      </c>
      <c r="B2813" s="13">
        <f>IF(H2813="","",ROW()-4)</f>
        <v/>
      </c>
    </row>
    <row r="2814">
      <c r="A2814" s="13">
        <f>IF(H2814="","",ROW()-4)</f>
        <v/>
      </c>
      <c r="B2814" s="13">
        <f>IF(H2814="","",ROW()-4)</f>
        <v/>
      </c>
    </row>
    <row r="2815">
      <c r="A2815" s="13">
        <f>IF(H2815="","",ROW()-4)</f>
        <v/>
      </c>
      <c r="B2815" s="13">
        <f>IF(H2815="","",ROW()-4)</f>
        <v/>
      </c>
    </row>
    <row r="2816">
      <c r="A2816" s="13">
        <f>IF(H2816="","",ROW()-4)</f>
        <v/>
      </c>
      <c r="B2816" s="13">
        <f>IF(H2816="","",ROW()-4)</f>
        <v/>
      </c>
    </row>
    <row r="2817">
      <c r="A2817" s="13">
        <f>IF(H2817="","",ROW()-4)</f>
        <v/>
      </c>
      <c r="B2817" s="13">
        <f>IF(H2817="","",ROW()-4)</f>
        <v/>
      </c>
    </row>
    <row r="2818">
      <c r="A2818" s="13">
        <f>IF(H2818="","",ROW()-4)</f>
        <v/>
      </c>
      <c r="B2818" s="13">
        <f>IF(H2818="","",ROW()-4)</f>
        <v/>
      </c>
    </row>
    <row r="2819">
      <c r="A2819" s="13">
        <f>IF(H2819="","",ROW()-4)</f>
        <v/>
      </c>
      <c r="B2819" s="13">
        <f>IF(H2819="","",ROW()-4)</f>
        <v/>
      </c>
    </row>
    <row r="2820">
      <c r="A2820" s="13">
        <f>IF(H2820="","",ROW()-4)</f>
        <v/>
      </c>
      <c r="B2820" s="13">
        <f>IF(H2820="","",ROW()-4)</f>
        <v/>
      </c>
    </row>
    <row r="2821">
      <c r="A2821" s="13">
        <f>IF(H2821="","",ROW()-4)</f>
        <v/>
      </c>
      <c r="B2821" s="13">
        <f>IF(H2821="","",ROW()-4)</f>
        <v/>
      </c>
    </row>
    <row r="2822">
      <c r="A2822" s="13">
        <f>IF(H2822="","",ROW()-4)</f>
        <v/>
      </c>
      <c r="B2822" s="13">
        <f>IF(H2822="","",ROW()-4)</f>
        <v/>
      </c>
    </row>
    <row r="2823">
      <c r="A2823" s="13">
        <f>IF(H2823="","",ROW()-4)</f>
        <v/>
      </c>
      <c r="B2823" s="13">
        <f>IF(H2823="","",ROW()-4)</f>
        <v/>
      </c>
    </row>
    <row r="2824">
      <c r="A2824" s="13">
        <f>IF(H2824="","",ROW()-4)</f>
        <v/>
      </c>
      <c r="B2824" s="13">
        <f>IF(H2824="","",ROW()-4)</f>
        <v/>
      </c>
    </row>
    <row r="2825">
      <c r="A2825" s="13">
        <f>IF(H2825="","",ROW()-4)</f>
        <v/>
      </c>
      <c r="B2825" s="13">
        <f>IF(H2825="","",ROW()-4)</f>
        <v/>
      </c>
    </row>
    <row r="2826">
      <c r="A2826" s="13">
        <f>IF(H2826="","",ROW()-4)</f>
        <v/>
      </c>
      <c r="B2826" s="13">
        <f>IF(H2826="","",ROW()-4)</f>
        <v/>
      </c>
    </row>
    <row r="2827">
      <c r="A2827" s="13">
        <f>IF(H2827="","",ROW()-4)</f>
        <v/>
      </c>
      <c r="B2827" s="13">
        <f>IF(H2827="","",ROW()-4)</f>
        <v/>
      </c>
    </row>
    <row r="2828">
      <c r="A2828" s="13">
        <f>IF(H2828="","",ROW()-4)</f>
        <v/>
      </c>
      <c r="B2828" s="13">
        <f>IF(H2828="","",ROW()-4)</f>
        <v/>
      </c>
    </row>
    <row r="2829">
      <c r="A2829" s="13">
        <f>IF(H2829="","",ROW()-4)</f>
        <v/>
      </c>
      <c r="B2829" s="13">
        <f>IF(H2829="","",ROW()-4)</f>
        <v/>
      </c>
    </row>
    <row r="2830">
      <c r="A2830" s="13">
        <f>IF(H2830="","",ROW()-4)</f>
        <v/>
      </c>
      <c r="B2830" s="13">
        <f>IF(H2830="","",ROW()-4)</f>
        <v/>
      </c>
    </row>
    <row r="2831">
      <c r="A2831" s="13">
        <f>IF(H2831="","",ROW()-4)</f>
        <v/>
      </c>
      <c r="B2831" s="13">
        <f>IF(H2831="","",ROW()-4)</f>
        <v/>
      </c>
    </row>
    <row r="2832">
      <c r="A2832" s="13">
        <f>IF(H2832="","",ROW()-4)</f>
        <v/>
      </c>
      <c r="B2832" s="13">
        <f>IF(H2832="","",ROW()-4)</f>
        <v/>
      </c>
    </row>
    <row r="2833">
      <c r="A2833" s="13">
        <f>IF(H2833="","",ROW()-4)</f>
        <v/>
      </c>
      <c r="B2833" s="13">
        <f>IF(H2833="","",ROW()-4)</f>
        <v/>
      </c>
    </row>
    <row r="2834">
      <c r="A2834" s="13">
        <f>IF(H2834="","",ROW()-4)</f>
        <v/>
      </c>
      <c r="B2834" s="13">
        <f>IF(H2834="","",ROW()-4)</f>
        <v/>
      </c>
    </row>
    <row r="2835">
      <c r="A2835" s="13">
        <f>IF(H2835="","",ROW()-4)</f>
        <v/>
      </c>
      <c r="B2835" s="13">
        <f>IF(H2835="","",ROW()-4)</f>
        <v/>
      </c>
    </row>
    <row r="2836">
      <c r="A2836" s="13">
        <f>IF(H2836="","",ROW()-4)</f>
        <v/>
      </c>
      <c r="B2836" s="13">
        <f>IF(H2836="","",ROW()-4)</f>
        <v/>
      </c>
    </row>
    <row r="2837">
      <c r="A2837" s="13">
        <f>IF(H2837="","",ROW()-4)</f>
        <v/>
      </c>
      <c r="B2837" s="13">
        <f>IF(H2837="","",ROW()-4)</f>
        <v/>
      </c>
    </row>
    <row r="2838">
      <c r="A2838" s="13">
        <f>IF(H2838="","",ROW()-4)</f>
        <v/>
      </c>
      <c r="B2838" s="13">
        <f>IF(H2838="","",ROW()-4)</f>
        <v/>
      </c>
    </row>
    <row r="2839">
      <c r="A2839" s="13">
        <f>IF(H2839="","",ROW()-4)</f>
        <v/>
      </c>
      <c r="B2839" s="13">
        <f>IF(H2839="","",ROW()-4)</f>
        <v/>
      </c>
    </row>
    <row r="2840">
      <c r="A2840" s="13">
        <f>IF(H2840="","",ROW()-4)</f>
        <v/>
      </c>
      <c r="B2840" s="13">
        <f>IF(H2840="","",ROW()-4)</f>
        <v/>
      </c>
    </row>
    <row r="2841">
      <c r="A2841" s="13">
        <f>IF(H2841="","",ROW()-4)</f>
        <v/>
      </c>
      <c r="B2841" s="13">
        <f>IF(H2841="","",ROW()-4)</f>
        <v/>
      </c>
    </row>
    <row r="2842">
      <c r="A2842" s="13">
        <f>IF(H2842="","",ROW()-4)</f>
        <v/>
      </c>
      <c r="B2842" s="13">
        <f>IF(H2842="","",ROW()-4)</f>
        <v/>
      </c>
    </row>
    <row r="2843">
      <c r="A2843" s="13">
        <f>IF(H2843="","",ROW()-4)</f>
        <v/>
      </c>
      <c r="B2843" s="13">
        <f>IF(H2843="","",ROW()-4)</f>
        <v/>
      </c>
    </row>
    <row r="2844">
      <c r="A2844" s="13">
        <f>IF(H2844="","",ROW()-4)</f>
        <v/>
      </c>
      <c r="B2844" s="13">
        <f>IF(H2844="","",ROW()-4)</f>
        <v/>
      </c>
    </row>
    <row r="2845">
      <c r="A2845" s="13">
        <f>IF(H2845="","",ROW()-4)</f>
        <v/>
      </c>
      <c r="B2845" s="13">
        <f>IF(H2845="","",ROW()-4)</f>
        <v/>
      </c>
    </row>
    <row r="2846">
      <c r="A2846" s="13">
        <f>IF(H2846="","",ROW()-4)</f>
        <v/>
      </c>
      <c r="B2846" s="13">
        <f>IF(H2846="","",ROW()-4)</f>
        <v/>
      </c>
    </row>
    <row r="2847">
      <c r="A2847" s="13">
        <f>IF(H2847="","",ROW()-4)</f>
        <v/>
      </c>
      <c r="B2847" s="13">
        <f>IF(H2847="","",ROW()-4)</f>
        <v/>
      </c>
    </row>
    <row r="2848">
      <c r="A2848" s="13">
        <f>IF(H2848="","",ROW()-4)</f>
        <v/>
      </c>
      <c r="B2848" s="13">
        <f>IF(H2848="","",ROW()-4)</f>
        <v/>
      </c>
    </row>
    <row r="2849">
      <c r="A2849" s="13">
        <f>IF(H2849="","",ROW()-4)</f>
        <v/>
      </c>
      <c r="B2849" s="13">
        <f>IF(H2849="","",ROW()-4)</f>
        <v/>
      </c>
    </row>
    <row r="2850">
      <c r="A2850" s="13">
        <f>IF(H2850="","",ROW()-4)</f>
        <v/>
      </c>
      <c r="B2850" s="13">
        <f>IF(H2850="","",ROW()-4)</f>
        <v/>
      </c>
    </row>
    <row r="2851">
      <c r="A2851" s="13">
        <f>IF(H2851="","",ROW()-4)</f>
        <v/>
      </c>
      <c r="B2851" s="13">
        <f>IF(H2851="","",ROW()-4)</f>
        <v/>
      </c>
    </row>
    <row r="2852">
      <c r="A2852" s="13">
        <f>IF(H2852="","",ROW()-4)</f>
        <v/>
      </c>
      <c r="B2852" s="13">
        <f>IF(H2852="","",ROW()-4)</f>
        <v/>
      </c>
    </row>
    <row r="2853">
      <c r="A2853" s="13">
        <f>IF(H2853="","",ROW()-4)</f>
        <v/>
      </c>
      <c r="B2853" s="13">
        <f>IF(H2853="","",ROW()-4)</f>
        <v/>
      </c>
    </row>
    <row r="2854">
      <c r="A2854" s="13">
        <f>IF(H2854="","",ROW()-4)</f>
        <v/>
      </c>
      <c r="B2854" s="13">
        <f>IF(H2854="","",ROW()-4)</f>
        <v/>
      </c>
    </row>
    <row r="2855">
      <c r="A2855" s="13">
        <f>IF(H2855="","",ROW()-4)</f>
        <v/>
      </c>
      <c r="B2855" s="13">
        <f>IF(H2855="","",ROW()-4)</f>
        <v/>
      </c>
    </row>
    <row r="2856">
      <c r="A2856" s="13">
        <f>IF(H2856="","",ROW()-4)</f>
        <v/>
      </c>
      <c r="B2856" s="13">
        <f>IF(H2856="","",ROW()-4)</f>
        <v/>
      </c>
    </row>
    <row r="2857">
      <c r="A2857" s="13">
        <f>IF(H2857="","",ROW()-4)</f>
        <v/>
      </c>
      <c r="B2857" s="13">
        <f>IF(H2857="","",ROW()-4)</f>
        <v/>
      </c>
    </row>
    <row r="2858">
      <c r="A2858" s="13">
        <f>IF(H2858="","",ROW()-4)</f>
        <v/>
      </c>
      <c r="B2858" s="13">
        <f>IF(H2858="","",ROW()-4)</f>
        <v/>
      </c>
    </row>
    <row r="2859">
      <c r="A2859" s="13">
        <f>IF(H2859="","",ROW()-4)</f>
        <v/>
      </c>
      <c r="B2859" s="13">
        <f>IF(H2859="","",ROW()-4)</f>
        <v/>
      </c>
    </row>
    <row r="2860">
      <c r="A2860" s="13">
        <f>IF(H2860="","",ROW()-4)</f>
        <v/>
      </c>
      <c r="B2860" s="13">
        <f>IF(H2860="","",ROW()-4)</f>
        <v/>
      </c>
    </row>
    <row r="2861">
      <c r="A2861" s="13">
        <f>IF(H2861="","",ROW()-4)</f>
        <v/>
      </c>
      <c r="B2861" s="13">
        <f>IF(H2861="","",ROW()-4)</f>
        <v/>
      </c>
    </row>
    <row r="2862">
      <c r="A2862" s="13">
        <f>IF(H2862="","",ROW()-4)</f>
        <v/>
      </c>
      <c r="B2862" s="13">
        <f>IF(H2862="","",ROW()-4)</f>
        <v/>
      </c>
    </row>
    <row r="2863">
      <c r="A2863" s="13">
        <f>IF(H2863="","",ROW()-4)</f>
        <v/>
      </c>
      <c r="B2863" s="13">
        <f>IF(H2863="","",ROW()-4)</f>
        <v/>
      </c>
    </row>
    <row r="2864">
      <c r="A2864" s="13">
        <f>IF(H2864="","",ROW()-4)</f>
        <v/>
      </c>
      <c r="B2864" s="13">
        <f>IF(H2864="","",ROW()-4)</f>
        <v/>
      </c>
    </row>
    <row r="2865">
      <c r="A2865" s="13">
        <f>IF(H2865="","",ROW()-4)</f>
        <v/>
      </c>
      <c r="B2865" s="13">
        <f>IF(H2865="","",ROW()-4)</f>
        <v/>
      </c>
    </row>
    <row r="2866">
      <c r="A2866" s="13">
        <f>IF(H2866="","",ROW()-4)</f>
        <v/>
      </c>
      <c r="B2866" s="13">
        <f>IF(H2866="","",ROW()-4)</f>
        <v/>
      </c>
    </row>
    <row r="2867">
      <c r="A2867" s="13">
        <f>IF(H2867="","",ROW()-4)</f>
        <v/>
      </c>
      <c r="B2867" s="13">
        <f>IF(H2867="","",ROW()-4)</f>
        <v/>
      </c>
    </row>
    <row r="2868">
      <c r="A2868" s="13">
        <f>IF(H2868="","",ROW()-4)</f>
        <v/>
      </c>
      <c r="B2868" s="13">
        <f>IF(H2868="","",ROW()-4)</f>
        <v/>
      </c>
    </row>
    <row r="2869">
      <c r="A2869" s="13">
        <f>IF(H2869="","",ROW()-4)</f>
        <v/>
      </c>
      <c r="B2869" s="13">
        <f>IF(H2869="","",ROW()-4)</f>
        <v/>
      </c>
    </row>
    <row r="2870">
      <c r="A2870" s="13">
        <f>IF(H2870="","",ROW()-4)</f>
        <v/>
      </c>
      <c r="B2870" s="13">
        <f>IF(H2870="","",ROW()-4)</f>
        <v/>
      </c>
    </row>
    <row r="2871">
      <c r="A2871" s="13">
        <f>IF(H2871="","",ROW()-4)</f>
        <v/>
      </c>
      <c r="B2871" s="13">
        <f>IF(H2871="","",ROW()-4)</f>
        <v/>
      </c>
    </row>
    <row r="2872">
      <c r="A2872" s="13">
        <f>IF(H2872="","",ROW()-4)</f>
        <v/>
      </c>
      <c r="B2872" s="13">
        <f>IF(H2872="","",ROW()-4)</f>
        <v/>
      </c>
    </row>
    <row r="2873">
      <c r="A2873" s="13">
        <f>IF(H2873="","",ROW()-4)</f>
        <v/>
      </c>
      <c r="B2873" s="13">
        <f>IF(H2873="","",ROW()-4)</f>
        <v/>
      </c>
    </row>
    <row r="2874">
      <c r="A2874" s="13">
        <f>IF(H2874="","",ROW()-4)</f>
        <v/>
      </c>
      <c r="B2874" s="13">
        <f>IF(H2874="","",ROW()-4)</f>
        <v/>
      </c>
    </row>
    <row r="2875">
      <c r="A2875" s="13">
        <f>IF(H2875="","",ROW()-4)</f>
        <v/>
      </c>
      <c r="B2875" s="13">
        <f>IF(H2875="","",ROW()-4)</f>
        <v/>
      </c>
    </row>
    <row r="2876">
      <c r="A2876" s="13">
        <f>IF(H2876="","",ROW()-4)</f>
        <v/>
      </c>
      <c r="B2876" s="13">
        <f>IF(H2876="","",ROW()-4)</f>
        <v/>
      </c>
    </row>
    <row r="2877">
      <c r="A2877" s="13">
        <f>IF(H2877="","",ROW()-4)</f>
        <v/>
      </c>
      <c r="B2877" s="13">
        <f>IF(H2877="","",ROW()-4)</f>
        <v/>
      </c>
    </row>
    <row r="2878">
      <c r="A2878" s="13">
        <f>IF(H2878="","",ROW()-4)</f>
        <v/>
      </c>
      <c r="B2878" s="13">
        <f>IF(H2878="","",ROW()-4)</f>
        <v/>
      </c>
    </row>
    <row r="2879">
      <c r="A2879" s="13">
        <f>IF(H2879="","",ROW()-4)</f>
        <v/>
      </c>
      <c r="B2879" s="13">
        <f>IF(H2879="","",ROW()-4)</f>
        <v/>
      </c>
    </row>
    <row r="2880">
      <c r="A2880" s="13">
        <f>IF(H2880="","",ROW()-4)</f>
        <v/>
      </c>
      <c r="B2880" s="13">
        <f>IF(H2880="","",ROW()-4)</f>
        <v/>
      </c>
    </row>
    <row r="2881">
      <c r="A2881" s="13">
        <f>IF(H2881="","",ROW()-4)</f>
        <v/>
      </c>
      <c r="B2881" s="13">
        <f>IF(H2881="","",ROW()-4)</f>
        <v/>
      </c>
    </row>
    <row r="2882">
      <c r="A2882" s="13">
        <f>IF(H2882="","",ROW()-4)</f>
        <v/>
      </c>
      <c r="B2882" s="13">
        <f>IF(H2882="","",ROW()-4)</f>
        <v/>
      </c>
    </row>
    <row r="2883">
      <c r="A2883" s="13">
        <f>IF(H2883="","",ROW()-4)</f>
        <v/>
      </c>
      <c r="B2883" s="13">
        <f>IF(H2883="","",ROW()-4)</f>
        <v/>
      </c>
    </row>
    <row r="2884">
      <c r="A2884" s="13">
        <f>IF(H2884="","",ROW()-4)</f>
        <v/>
      </c>
      <c r="B2884" s="13">
        <f>IF(H2884="","",ROW()-4)</f>
        <v/>
      </c>
    </row>
    <row r="2885">
      <c r="A2885" s="13">
        <f>IF(H2885="","",ROW()-4)</f>
        <v/>
      </c>
      <c r="B2885" s="13">
        <f>IF(H2885="","",ROW()-4)</f>
        <v/>
      </c>
    </row>
    <row r="2886">
      <c r="A2886" s="13">
        <f>IF(H2886="","",ROW()-4)</f>
        <v/>
      </c>
      <c r="B2886" s="13">
        <f>IF(H2886="","",ROW()-4)</f>
        <v/>
      </c>
    </row>
    <row r="2887">
      <c r="A2887" s="13">
        <f>IF(H2887="","",ROW()-4)</f>
        <v/>
      </c>
      <c r="B2887" s="13">
        <f>IF(H2887="","",ROW()-4)</f>
        <v/>
      </c>
    </row>
    <row r="2888">
      <c r="A2888" s="13">
        <f>IF(H2888="","",ROW()-4)</f>
        <v/>
      </c>
      <c r="B2888" s="13">
        <f>IF(H2888="","",ROW()-4)</f>
        <v/>
      </c>
    </row>
    <row r="2889">
      <c r="A2889" s="13">
        <f>IF(H2889="","",ROW()-4)</f>
        <v/>
      </c>
      <c r="B2889" s="13">
        <f>IF(H2889="","",ROW()-4)</f>
        <v/>
      </c>
    </row>
    <row r="2890">
      <c r="A2890" s="13">
        <f>IF(H2890="","",ROW()-4)</f>
        <v/>
      </c>
      <c r="B2890" s="13">
        <f>IF(H2890="","",ROW()-4)</f>
        <v/>
      </c>
    </row>
    <row r="2891">
      <c r="A2891" s="13">
        <f>IF(H2891="","",ROW()-4)</f>
        <v/>
      </c>
      <c r="B2891" s="13">
        <f>IF(H2891="","",ROW()-4)</f>
        <v/>
      </c>
    </row>
    <row r="2892">
      <c r="A2892" s="13">
        <f>IF(H2892="","",ROW()-4)</f>
        <v/>
      </c>
      <c r="B2892" s="13">
        <f>IF(H2892="","",ROW()-4)</f>
        <v/>
      </c>
    </row>
    <row r="2893">
      <c r="A2893" s="13">
        <f>IF(H2893="","",ROW()-4)</f>
        <v/>
      </c>
      <c r="B2893" s="13">
        <f>IF(H2893="","",ROW()-4)</f>
        <v/>
      </c>
    </row>
    <row r="2894">
      <c r="A2894" s="13">
        <f>IF(H2894="","",ROW()-4)</f>
        <v/>
      </c>
      <c r="B2894" s="13">
        <f>IF(H2894="","",ROW()-4)</f>
        <v/>
      </c>
    </row>
    <row r="2895">
      <c r="A2895" s="13">
        <f>IF(H2895="","",ROW()-4)</f>
        <v/>
      </c>
      <c r="B2895" s="13">
        <f>IF(H2895="","",ROW()-4)</f>
        <v/>
      </c>
    </row>
    <row r="2896">
      <c r="A2896" s="13">
        <f>IF(H2896="","",ROW()-4)</f>
        <v/>
      </c>
      <c r="B2896" s="13">
        <f>IF(H2896="","",ROW()-4)</f>
        <v/>
      </c>
    </row>
    <row r="2897">
      <c r="A2897" s="13">
        <f>IF(H2897="","",ROW()-4)</f>
        <v/>
      </c>
      <c r="B2897" s="13">
        <f>IF(H2897="","",ROW()-4)</f>
        <v/>
      </c>
    </row>
    <row r="2898">
      <c r="A2898" s="13">
        <f>IF(H2898="","",ROW()-4)</f>
        <v/>
      </c>
      <c r="B2898" s="13">
        <f>IF(H2898="","",ROW()-4)</f>
        <v/>
      </c>
    </row>
    <row r="2899">
      <c r="A2899" s="13">
        <f>IF(H2899="","",ROW()-4)</f>
        <v/>
      </c>
      <c r="B2899" s="13">
        <f>IF(H2899="","",ROW()-4)</f>
        <v/>
      </c>
    </row>
    <row r="2900">
      <c r="A2900" s="13">
        <f>IF(H2900="","",ROW()-4)</f>
        <v/>
      </c>
      <c r="B2900" s="13">
        <f>IF(H2900="","",ROW()-4)</f>
        <v/>
      </c>
    </row>
    <row r="2901">
      <c r="A2901" s="13">
        <f>IF(H2901="","",ROW()-4)</f>
        <v/>
      </c>
      <c r="B2901" s="13">
        <f>IF(H2901="","",ROW()-4)</f>
        <v/>
      </c>
    </row>
    <row r="2902">
      <c r="A2902" s="13">
        <f>IF(H2902="","",ROW()-4)</f>
        <v/>
      </c>
      <c r="B2902" s="13">
        <f>IF(H2902="","",ROW()-4)</f>
        <v/>
      </c>
    </row>
    <row r="2903">
      <c r="A2903" s="13">
        <f>IF(H2903="","",ROW()-4)</f>
        <v/>
      </c>
      <c r="B2903" s="13">
        <f>IF(H2903="","",ROW()-4)</f>
        <v/>
      </c>
    </row>
    <row r="2904">
      <c r="A2904" s="13">
        <f>IF(H2904="","",ROW()-4)</f>
        <v/>
      </c>
      <c r="B2904" s="13">
        <f>IF(H2904="","",ROW()-4)</f>
        <v/>
      </c>
    </row>
    <row r="2905">
      <c r="A2905" s="13">
        <f>IF(H2905="","",ROW()-4)</f>
        <v/>
      </c>
      <c r="B2905" s="13">
        <f>IF(H2905="","",ROW()-4)</f>
        <v/>
      </c>
    </row>
    <row r="2906">
      <c r="A2906" s="13">
        <f>IF(H2906="","",ROW()-4)</f>
        <v/>
      </c>
      <c r="B2906" s="13">
        <f>IF(H2906="","",ROW()-4)</f>
        <v/>
      </c>
    </row>
    <row r="2907">
      <c r="A2907" s="13">
        <f>IF(H2907="","",ROW()-4)</f>
        <v/>
      </c>
      <c r="B2907" s="13">
        <f>IF(H2907="","",ROW()-4)</f>
        <v/>
      </c>
    </row>
    <row r="2908">
      <c r="A2908" s="13">
        <f>IF(H2908="","",ROW()-4)</f>
        <v/>
      </c>
      <c r="B2908" s="13">
        <f>IF(H2908="","",ROW()-4)</f>
        <v/>
      </c>
    </row>
    <row r="2909">
      <c r="A2909" s="13">
        <f>IF(H2909="","",ROW()-4)</f>
        <v/>
      </c>
      <c r="B2909" s="13">
        <f>IF(H2909="","",ROW()-4)</f>
        <v/>
      </c>
    </row>
    <row r="2910">
      <c r="A2910" s="13">
        <f>IF(H2910="","",ROW()-4)</f>
        <v/>
      </c>
      <c r="B2910" s="13">
        <f>IF(H2910="","",ROW()-4)</f>
        <v/>
      </c>
    </row>
    <row r="2911">
      <c r="A2911" s="13">
        <f>IF(H2911="","",ROW()-4)</f>
        <v/>
      </c>
      <c r="B2911" s="13">
        <f>IF(H2911="","",ROW()-4)</f>
        <v/>
      </c>
    </row>
    <row r="2912">
      <c r="A2912" s="13">
        <f>IF(H2912="","",ROW()-4)</f>
        <v/>
      </c>
      <c r="B2912" s="13">
        <f>IF(H2912="","",ROW()-4)</f>
        <v/>
      </c>
    </row>
    <row r="2913">
      <c r="A2913" s="13">
        <f>IF(H2913="","",ROW()-4)</f>
        <v/>
      </c>
      <c r="B2913" s="13">
        <f>IF(H2913="","",ROW()-4)</f>
        <v/>
      </c>
    </row>
    <row r="2914">
      <c r="A2914" s="13">
        <f>IF(H2914="","",ROW()-4)</f>
        <v/>
      </c>
      <c r="B2914" s="13">
        <f>IF(H2914="","",ROW()-4)</f>
        <v/>
      </c>
    </row>
    <row r="2915">
      <c r="A2915" s="13">
        <f>IF(H2915="","",ROW()-4)</f>
        <v/>
      </c>
      <c r="B2915" s="13">
        <f>IF(H2915="","",ROW()-4)</f>
        <v/>
      </c>
    </row>
    <row r="2916">
      <c r="A2916" s="13">
        <f>IF(H2916="","",ROW()-4)</f>
        <v/>
      </c>
      <c r="B2916" s="13">
        <f>IF(H2916="","",ROW()-4)</f>
        <v/>
      </c>
    </row>
    <row r="2917">
      <c r="A2917" s="13">
        <f>IF(H2917="","",ROW()-4)</f>
        <v/>
      </c>
      <c r="B2917" s="13">
        <f>IF(H2917="","",ROW()-4)</f>
        <v/>
      </c>
    </row>
    <row r="2918">
      <c r="A2918" s="13">
        <f>IF(H2918="","",ROW()-4)</f>
        <v/>
      </c>
      <c r="B2918" s="13">
        <f>IF(H2918="","",ROW()-4)</f>
        <v/>
      </c>
    </row>
    <row r="2919">
      <c r="A2919" s="13">
        <f>IF(H2919="","",ROW()-4)</f>
        <v/>
      </c>
      <c r="B2919" s="13">
        <f>IF(H2919="","",ROW()-4)</f>
        <v/>
      </c>
    </row>
    <row r="2920">
      <c r="A2920" s="13">
        <f>IF(H2920="","",ROW()-4)</f>
        <v/>
      </c>
      <c r="B2920" s="13">
        <f>IF(H2920="","",ROW()-4)</f>
        <v/>
      </c>
    </row>
    <row r="2921">
      <c r="A2921" s="13">
        <f>IF(H2921="","",ROW()-4)</f>
        <v/>
      </c>
      <c r="B2921" s="13">
        <f>IF(H2921="","",ROW()-4)</f>
        <v/>
      </c>
    </row>
    <row r="2922">
      <c r="A2922" s="13">
        <f>IF(H2922="","",ROW()-4)</f>
        <v/>
      </c>
      <c r="B2922" s="13">
        <f>IF(H2922="","",ROW()-4)</f>
        <v/>
      </c>
    </row>
    <row r="2923">
      <c r="A2923" s="13">
        <f>IF(H2923="","",ROW()-4)</f>
        <v/>
      </c>
      <c r="B2923" s="13">
        <f>IF(H2923="","",ROW()-4)</f>
        <v/>
      </c>
    </row>
    <row r="2924">
      <c r="A2924" s="13">
        <f>IF(H2924="","",ROW()-4)</f>
        <v/>
      </c>
      <c r="B2924" s="13">
        <f>IF(H2924="","",ROW()-4)</f>
        <v/>
      </c>
    </row>
    <row r="2925">
      <c r="A2925" s="13">
        <f>IF(H2925="","",ROW()-4)</f>
        <v/>
      </c>
      <c r="B2925" s="13">
        <f>IF(H2925="","",ROW()-4)</f>
        <v/>
      </c>
    </row>
    <row r="2926">
      <c r="A2926" s="13">
        <f>IF(H2926="","",ROW()-4)</f>
        <v/>
      </c>
      <c r="B2926" s="13">
        <f>IF(H2926="","",ROW()-4)</f>
        <v/>
      </c>
    </row>
    <row r="2927">
      <c r="A2927" s="13">
        <f>IF(H2927="","",ROW()-4)</f>
        <v/>
      </c>
      <c r="B2927" s="13">
        <f>IF(H2927="","",ROW()-4)</f>
        <v/>
      </c>
    </row>
    <row r="2928">
      <c r="A2928" s="13">
        <f>IF(H2928="","",ROW()-4)</f>
        <v/>
      </c>
      <c r="B2928" s="13">
        <f>IF(H2928="","",ROW()-4)</f>
        <v/>
      </c>
    </row>
    <row r="2929">
      <c r="A2929" s="13">
        <f>IF(H2929="","",ROW()-4)</f>
        <v/>
      </c>
      <c r="B2929" s="13">
        <f>IF(H2929="","",ROW()-4)</f>
        <v/>
      </c>
    </row>
    <row r="2930">
      <c r="A2930" s="13">
        <f>IF(H2930="","",ROW()-4)</f>
        <v/>
      </c>
      <c r="B2930" s="13">
        <f>IF(H2930="","",ROW()-4)</f>
        <v/>
      </c>
    </row>
    <row r="2931">
      <c r="A2931" s="13">
        <f>IF(H2931="","",ROW()-4)</f>
        <v/>
      </c>
      <c r="B2931" s="13">
        <f>IF(H2931="","",ROW()-4)</f>
        <v/>
      </c>
    </row>
    <row r="2932">
      <c r="A2932" s="13">
        <f>IF(H2932="","",ROW()-4)</f>
        <v/>
      </c>
      <c r="B2932" s="13">
        <f>IF(H2932="","",ROW()-4)</f>
        <v/>
      </c>
    </row>
    <row r="2933">
      <c r="A2933" s="13">
        <f>IF(H2933="","",ROW()-4)</f>
        <v/>
      </c>
      <c r="B2933" s="13">
        <f>IF(H2933="","",ROW()-4)</f>
        <v/>
      </c>
    </row>
    <row r="2934">
      <c r="A2934" s="13">
        <f>IF(H2934="","",ROW()-4)</f>
        <v/>
      </c>
      <c r="B2934" s="13">
        <f>IF(H2934="","",ROW()-4)</f>
        <v/>
      </c>
    </row>
    <row r="2935">
      <c r="A2935" s="13">
        <f>IF(H2935="","",ROW()-4)</f>
        <v/>
      </c>
      <c r="B2935" s="13">
        <f>IF(H2935="","",ROW()-4)</f>
        <v/>
      </c>
    </row>
    <row r="2936">
      <c r="A2936" s="13">
        <f>IF(H2936="","",ROW()-4)</f>
        <v/>
      </c>
      <c r="B2936" s="13">
        <f>IF(H2936="","",ROW()-4)</f>
        <v/>
      </c>
    </row>
    <row r="2937">
      <c r="A2937" s="13">
        <f>IF(H2937="","",ROW()-4)</f>
        <v/>
      </c>
      <c r="B2937" s="13">
        <f>IF(H2937="","",ROW()-4)</f>
        <v/>
      </c>
    </row>
    <row r="2938">
      <c r="A2938" s="13">
        <f>IF(H2938="","",ROW()-4)</f>
        <v/>
      </c>
      <c r="B2938" s="13">
        <f>IF(H2938="","",ROW()-4)</f>
        <v/>
      </c>
    </row>
    <row r="2939">
      <c r="A2939" s="13">
        <f>IF(H2939="","",ROW()-4)</f>
        <v/>
      </c>
      <c r="B2939" s="13">
        <f>IF(H2939="","",ROW()-4)</f>
        <v/>
      </c>
    </row>
    <row r="2940">
      <c r="A2940" s="13">
        <f>IF(H2940="","",ROW()-4)</f>
        <v/>
      </c>
      <c r="B2940" s="13">
        <f>IF(H2940="","",ROW()-4)</f>
        <v/>
      </c>
    </row>
    <row r="2941">
      <c r="A2941" s="13">
        <f>IF(H2941="","",ROW()-4)</f>
        <v/>
      </c>
      <c r="B2941" s="13">
        <f>IF(H2941="","",ROW()-4)</f>
        <v/>
      </c>
    </row>
    <row r="2942">
      <c r="A2942" s="13">
        <f>IF(H2942="","",ROW()-4)</f>
        <v/>
      </c>
      <c r="B2942" s="13">
        <f>IF(H2942="","",ROW()-4)</f>
        <v/>
      </c>
    </row>
    <row r="2943">
      <c r="A2943" s="13">
        <f>IF(H2943="","",ROW()-4)</f>
        <v/>
      </c>
      <c r="B2943" s="13">
        <f>IF(H2943="","",ROW()-4)</f>
        <v/>
      </c>
    </row>
    <row r="2944">
      <c r="A2944" s="13">
        <f>IF(H2944="","",ROW()-4)</f>
        <v/>
      </c>
      <c r="B2944" s="13">
        <f>IF(H2944="","",ROW()-4)</f>
        <v/>
      </c>
    </row>
    <row r="2945">
      <c r="A2945" s="13">
        <f>IF(H2945="","",ROW()-4)</f>
        <v/>
      </c>
      <c r="B2945" s="13">
        <f>IF(H2945="","",ROW()-4)</f>
        <v/>
      </c>
    </row>
    <row r="2946">
      <c r="A2946" s="13">
        <f>IF(H2946="","",ROW()-4)</f>
        <v/>
      </c>
      <c r="B2946" s="13">
        <f>IF(H2946="","",ROW()-4)</f>
        <v/>
      </c>
    </row>
    <row r="2947">
      <c r="A2947" s="13">
        <f>IF(H2947="","",ROW()-4)</f>
        <v/>
      </c>
      <c r="B2947" s="13">
        <f>IF(H2947="","",ROW()-4)</f>
        <v/>
      </c>
    </row>
    <row r="2948">
      <c r="A2948" s="13">
        <f>IF(H2948="","",ROW()-4)</f>
        <v/>
      </c>
      <c r="B2948" s="13">
        <f>IF(H2948="","",ROW()-4)</f>
        <v/>
      </c>
    </row>
    <row r="2949">
      <c r="A2949" s="13">
        <f>IF(H2949="","",ROW()-4)</f>
        <v/>
      </c>
      <c r="B2949" s="13">
        <f>IF(H2949="","",ROW()-4)</f>
        <v/>
      </c>
    </row>
    <row r="2950">
      <c r="A2950" s="13">
        <f>IF(H2950="","",ROW()-4)</f>
        <v/>
      </c>
      <c r="B2950" s="13">
        <f>IF(H2950="","",ROW()-4)</f>
        <v/>
      </c>
    </row>
    <row r="2951">
      <c r="A2951" s="13">
        <f>IF(H2951="","",ROW()-4)</f>
        <v/>
      </c>
      <c r="B2951" s="13">
        <f>IF(H2951="","",ROW()-4)</f>
        <v/>
      </c>
    </row>
    <row r="2952">
      <c r="A2952" s="13">
        <f>IF(H2952="","",ROW()-4)</f>
        <v/>
      </c>
      <c r="B2952" s="13">
        <f>IF(H2952="","",ROW()-4)</f>
        <v/>
      </c>
    </row>
    <row r="2953">
      <c r="A2953" s="13">
        <f>IF(H2953="","",ROW()-4)</f>
        <v/>
      </c>
      <c r="B2953" s="13">
        <f>IF(H2953="","",ROW()-4)</f>
        <v/>
      </c>
    </row>
    <row r="2954">
      <c r="A2954" s="13">
        <f>IF(H2954="","",ROW()-4)</f>
        <v/>
      </c>
      <c r="B2954" s="13">
        <f>IF(H2954="","",ROW()-4)</f>
        <v/>
      </c>
    </row>
    <row r="2955">
      <c r="A2955" s="13">
        <f>IF(H2955="","",ROW()-4)</f>
        <v/>
      </c>
      <c r="B2955" s="13">
        <f>IF(H2955="","",ROW()-4)</f>
        <v/>
      </c>
    </row>
    <row r="2956">
      <c r="A2956" s="13">
        <f>IF(H2956="","",ROW()-4)</f>
        <v/>
      </c>
      <c r="B2956" s="13">
        <f>IF(H2956="","",ROW()-4)</f>
        <v/>
      </c>
    </row>
    <row r="2957">
      <c r="A2957" s="13">
        <f>IF(H2957="","",ROW()-4)</f>
        <v/>
      </c>
      <c r="B2957" s="13">
        <f>IF(H2957="","",ROW()-4)</f>
        <v/>
      </c>
    </row>
    <row r="2958">
      <c r="A2958" s="13">
        <f>IF(H2958="","",ROW()-4)</f>
        <v/>
      </c>
      <c r="B2958" s="13">
        <f>IF(H2958="","",ROW()-4)</f>
        <v/>
      </c>
    </row>
    <row r="2959">
      <c r="A2959" s="13">
        <f>IF(H2959="","",ROW()-4)</f>
        <v/>
      </c>
      <c r="B2959" s="13">
        <f>IF(H2959="","",ROW()-4)</f>
        <v/>
      </c>
    </row>
    <row r="2960">
      <c r="A2960" s="13">
        <f>IF(H2960="","",ROW()-4)</f>
        <v/>
      </c>
      <c r="B2960" s="13">
        <f>IF(H2960="","",ROW()-4)</f>
        <v/>
      </c>
    </row>
    <row r="2961">
      <c r="A2961" s="13">
        <f>IF(H2961="","",ROW()-4)</f>
        <v/>
      </c>
      <c r="B2961" s="13">
        <f>IF(H2961="","",ROW()-4)</f>
        <v/>
      </c>
    </row>
    <row r="2962">
      <c r="A2962" s="13">
        <f>IF(H2962="","",ROW()-4)</f>
        <v/>
      </c>
      <c r="B2962" s="13">
        <f>IF(H2962="","",ROW()-4)</f>
        <v/>
      </c>
    </row>
    <row r="2963">
      <c r="A2963" s="13">
        <f>IF(H2963="","",ROW()-4)</f>
        <v/>
      </c>
      <c r="B2963" s="13">
        <f>IF(H2963="","",ROW()-4)</f>
        <v/>
      </c>
    </row>
    <row r="2964">
      <c r="A2964" s="13">
        <f>IF(H2964="","",ROW()-4)</f>
        <v/>
      </c>
      <c r="B2964" s="13">
        <f>IF(H2964="","",ROW()-4)</f>
        <v/>
      </c>
    </row>
    <row r="2965">
      <c r="A2965" s="13">
        <f>IF(H2965="","",ROW()-4)</f>
        <v/>
      </c>
      <c r="B2965" s="13">
        <f>IF(H2965="","",ROW()-4)</f>
        <v/>
      </c>
    </row>
    <row r="2966">
      <c r="A2966" s="13">
        <f>IF(H2966="","",ROW()-4)</f>
        <v/>
      </c>
      <c r="B2966" s="13">
        <f>IF(H2966="","",ROW()-4)</f>
        <v/>
      </c>
    </row>
    <row r="2967">
      <c r="A2967" s="13">
        <f>IF(H2967="","",ROW()-4)</f>
        <v/>
      </c>
      <c r="B2967" s="13">
        <f>IF(H2967="","",ROW()-4)</f>
        <v/>
      </c>
    </row>
    <row r="2968">
      <c r="A2968" s="13">
        <f>IF(H2968="","",ROW()-4)</f>
        <v/>
      </c>
      <c r="B2968" s="13">
        <f>IF(H2968="","",ROW()-4)</f>
        <v/>
      </c>
    </row>
    <row r="2969">
      <c r="A2969" s="13">
        <f>IF(H2969="","",ROW()-4)</f>
        <v/>
      </c>
      <c r="B2969" s="13">
        <f>IF(H2969="","",ROW()-4)</f>
        <v/>
      </c>
    </row>
    <row r="2970">
      <c r="A2970" s="13">
        <f>IF(H2970="","",ROW()-4)</f>
        <v/>
      </c>
      <c r="B2970" s="13">
        <f>IF(H2970="","",ROW()-4)</f>
        <v/>
      </c>
    </row>
    <row r="2971">
      <c r="A2971" s="13">
        <f>IF(H2971="","",ROW()-4)</f>
        <v/>
      </c>
      <c r="B2971" s="13">
        <f>IF(H2971="","",ROW()-4)</f>
        <v/>
      </c>
    </row>
    <row r="2972">
      <c r="A2972" s="13">
        <f>IF(H2972="","",ROW()-4)</f>
        <v/>
      </c>
      <c r="B2972" s="13">
        <f>IF(H2972="","",ROW()-4)</f>
        <v/>
      </c>
    </row>
    <row r="2973">
      <c r="A2973" s="13">
        <f>IF(H2973="","",ROW()-4)</f>
        <v/>
      </c>
      <c r="B2973" s="13">
        <f>IF(H2973="","",ROW()-4)</f>
        <v/>
      </c>
    </row>
    <row r="2974">
      <c r="A2974" s="13">
        <f>IF(H2974="","",ROW()-4)</f>
        <v/>
      </c>
      <c r="B2974" s="13">
        <f>IF(H2974="","",ROW()-4)</f>
        <v/>
      </c>
    </row>
    <row r="2975">
      <c r="A2975" s="13">
        <f>IF(H2975="","",ROW()-4)</f>
        <v/>
      </c>
      <c r="B2975" s="13">
        <f>IF(H2975="","",ROW()-4)</f>
        <v/>
      </c>
    </row>
    <row r="2976">
      <c r="A2976" s="13">
        <f>IF(H2976="","",ROW()-4)</f>
        <v/>
      </c>
      <c r="B2976" s="13">
        <f>IF(H2976="","",ROW()-4)</f>
        <v/>
      </c>
    </row>
    <row r="2977">
      <c r="A2977" s="13">
        <f>IF(H2977="","",ROW()-4)</f>
        <v/>
      </c>
      <c r="B2977" s="13">
        <f>IF(H2977="","",ROW()-4)</f>
        <v/>
      </c>
    </row>
    <row r="2978">
      <c r="A2978" s="13">
        <f>IF(H2978="","",ROW()-4)</f>
        <v/>
      </c>
      <c r="B2978" s="13">
        <f>IF(H2978="","",ROW()-4)</f>
        <v/>
      </c>
    </row>
    <row r="2979">
      <c r="A2979" s="13">
        <f>IF(H2979="","",ROW()-4)</f>
        <v/>
      </c>
      <c r="B2979" s="13">
        <f>IF(H2979="","",ROW()-4)</f>
        <v/>
      </c>
    </row>
    <row r="2980">
      <c r="A2980" s="13">
        <f>IF(H2980="","",ROW()-4)</f>
        <v/>
      </c>
      <c r="B2980" s="13">
        <f>IF(H2980="","",ROW()-4)</f>
        <v/>
      </c>
    </row>
    <row r="2981">
      <c r="A2981" s="13">
        <f>IF(H2981="","",ROW()-4)</f>
        <v/>
      </c>
      <c r="B2981" s="13">
        <f>IF(H2981="","",ROW()-4)</f>
        <v/>
      </c>
    </row>
    <row r="2982">
      <c r="A2982" s="13">
        <f>IF(H2982="","",ROW()-4)</f>
        <v/>
      </c>
      <c r="B2982" s="13">
        <f>IF(H2982="","",ROW()-4)</f>
        <v/>
      </c>
    </row>
    <row r="2983">
      <c r="A2983" s="13">
        <f>IF(H2983="","",ROW()-4)</f>
        <v/>
      </c>
      <c r="B2983" s="13">
        <f>IF(H2983="","",ROW()-4)</f>
        <v/>
      </c>
    </row>
    <row r="2984">
      <c r="A2984" s="13">
        <f>IF(H2984="","",ROW()-4)</f>
        <v/>
      </c>
      <c r="B2984" s="13">
        <f>IF(H2984="","",ROW()-4)</f>
        <v/>
      </c>
    </row>
    <row r="2985">
      <c r="A2985" s="13">
        <f>IF(H2985="","",ROW()-4)</f>
        <v/>
      </c>
      <c r="B2985" s="13">
        <f>IF(H2985="","",ROW()-4)</f>
        <v/>
      </c>
    </row>
    <row r="2986">
      <c r="A2986" s="13">
        <f>IF(H2986="","",ROW()-4)</f>
        <v/>
      </c>
      <c r="B2986" s="13">
        <f>IF(H2986="","",ROW()-4)</f>
        <v/>
      </c>
    </row>
    <row r="2987">
      <c r="A2987" s="13">
        <f>IF(H2987="","",ROW()-4)</f>
        <v/>
      </c>
      <c r="B2987" s="13">
        <f>IF(H2987="","",ROW()-4)</f>
        <v/>
      </c>
    </row>
    <row r="2988">
      <c r="A2988" s="13">
        <f>IF(H2988="","",ROW()-4)</f>
        <v/>
      </c>
      <c r="B2988" s="13">
        <f>IF(H2988="","",ROW()-4)</f>
        <v/>
      </c>
    </row>
    <row r="2989">
      <c r="A2989" s="13">
        <f>IF(H2989="","",ROW()-4)</f>
        <v/>
      </c>
      <c r="B2989" s="13">
        <f>IF(H2989="","",ROW()-4)</f>
        <v/>
      </c>
    </row>
    <row r="2990">
      <c r="A2990" s="13">
        <f>IF(H2990="","",ROW()-4)</f>
        <v/>
      </c>
      <c r="B2990" s="13">
        <f>IF(H2990="","",ROW()-4)</f>
        <v/>
      </c>
    </row>
    <row r="2991">
      <c r="A2991" s="13">
        <f>IF(H2991="","",ROW()-4)</f>
        <v/>
      </c>
      <c r="B2991" s="13">
        <f>IF(H2991="","",ROW()-4)</f>
        <v/>
      </c>
    </row>
    <row r="2992">
      <c r="A2992" s="13">
        <f>IF(H2992="","",ROW()-4)</f>
        <v/>
      </c>
      <c r="B2992" s="13">
        <f>IF(H2992="","",ROW()-4)</f>
        <v/>
      </c>
    </row>
    <row r="2993">
      <c r="A2993" s="13">
        <f>IF(H2993="","",ROW()-4)</f>
        <v/>
      </c>
      <c r="B2993" s="13">
        <f>IF(H2993="","",ROW()-4)</f>
        <v/>
      </c>
    </row>
    <row r="2994">
      <c r="A2994" s="13">
        <f>IF(H2994="","",ROW()-4)</f>
        <v/>
      </c>
      <c r="B2994" s="13">
        <f>IF(H2994="","",ROW()-4)</f>
        <v/>
      </c>
    </row>
    <row r="2995">
      <c r="A2995" s="13">
        <f>IF(H2995="","",ROW()-4)</f>
        <v/>
      </c>
      <c r="B2995" s="13">
        <f>IF(H2995="","",ROW()-4)</f>
        <v/>
      </c>
    </row>
    <row r="2996">
      <c r="A2996" s="13">
        <f>IF(H2996="","",ROW()-4)</f>
        <v/>
      </c>
      <c r="B2996" s="13">
        <f>IF(H2996="","",ROW()-4)</f>
        <v/>
      </c>
    </row>
    <row r="2997">
      <c r="A2997" s="13">
        <f>IF(H2997="","",ROW()-4)</f>
        <v/>
      </c>
      <c r="B2997" s="13">
        <f>IF(H2997="","",ROW()-4)</f>
        <v/>
      </c>
    </row>
    <row r="2998">
      <c r="A2998" s="13">
        <f>IF(H2998="","",ROW()-4)</f>
        <v/>
      </c>
      <c r="B2998" s="13">
        <f>IF(H2998="","",ROW()-4)</f>
        <v/>
      </c>
    </row>
    <row r="2999">
      <c r="A2999" s="13">
        <f>IF(H2999="","",ROW()-4)</f>
        <v/>
      </c>
      <c r="B2999" s="13">
        <f>IF(H2999="","",ROW()-4)</f>
        <v/>
      </c>
    </row>
    <row r="3000">
      <c r="A3000" s="13">
        <f>IF(H3000="","",ROW()-4)</f>
        <v/>
      </c>
      <c r="B3000" s="13">
        <f>IF(H3000="","",ROW()-4)</f>
        <v/>
      </c>
    </row>
    <row r="3001">
      <c r="A3001" s="13">
        <f>IF(H3001="","",ROW()-4)</f>
        <v/>
      </c>
      <c r="B3001" s="13">
        <f>IF(H3001="","",ROW()-4)</f>
        <v/>
      </c>
    </row>
    <row r="3002">
      <c r="A3002" s="13">
        <f>IF(H3002="","",ROW()-4)</f>
        <v/>
      </c>
      <c r="B3002" s="13">
        <f>IF(H3002="","",ROW()-4)</f>
        <v/>
      </c>
    </row>
    <row r="3003">
      <c r="A3003" s="13">
        <f>IF(H3003="","",ROW()-4)</f>
        <v/>
      </c>
      <c r="B3003" s="13">
        <f>IF(H3003="","",ROW()-4)</f>
        <v/>
      </c>
    </row>
    <row r="3004">
      <c r="A3004" s="13">
        <f>IF(H3004="","",ROW()-4)</f>
        <v/>
      </c>
      <c r="B3004" s="13">
        <f>IF(H3004="","",ROW()-4)</f>
        <v/>
      </c>
    </row>
    <row r="3005">
      <c r="A3005" s="13">
        <f>IF(H3005="","",ROW()-4)</f>
        <v/>
      </c>
      <c r="B3005" s="13">
        <f>IF(H3005="","",ROW()-4)</f>
        <v/>
      </c>
    </row>
    <row r="3006">
      <c r="A3006" s="13">
        <f>IF(H3006="","",ROW()-4)</f>
        <v/>
      </c>
      <c r="B3006" s="13">
        <f>IF(H3006="","",ROW()-4)</f>
        <v/>
      </c>
    </row>
    <row r="3007">
      <c r="A3007" s="13">
        <f>IF(H3007="","",ROW()-4)</f>
        <v/>
      </c>
      <c r="B3007" s="13">
        <f>IF(H3007="","",ROW()-4)</f>
        <v/>
      </c>
    </row>
    <row r="3008">
      <c r="A3008" s="13">
        <f>IF(H3008="","",ROW()-4)</f>
        <v/>
      </c>
      <c r="B3008" s="13">
        <f>IF(H3008="","",ROW()-4)</f>
        <v/>
      </c>
    </row>
    <row r="3009">
      <c r="A3009" s="13">
        <f>IF(H3009="","",ROW()-4)</f>
        <v/>
      </c>
      <c r="B3009" s="13">
        <f>IF(H3009="","",ROW()-4)</f>
        <v/>
      </c>
    </row>
    <row r="3010">
      <c r="A3010" s="13">
        <f>IF(H3010="","",ROW()-4)</f>
        <v/>
      </c>
      <c r="B3010" s="13">
        <f>IF(H3010="","",ROW()-4)</f>
        <v/>
      </c>
    </row>
    <row r="3011">
      <c r="A3011" s="13">
        <f>IF(H3011="","",ROW()-4)</f>
        <v/>
      </c>
      <c r="B3011" s="13">
        <f>IF(H3011="","",ROW()-4)</f>
        <v/>
      </c>
    </row>
    <row r="3012">
      <c r="A3012" s="13">
        <f>IF(H3012="","",ROW()-4)</f>
        <v/>
      </c>
      <c r="B3012" s="13">
        <f>IF(H3012="","",ROW()-4)</f>
        <v/>
      </c>
    </row>
    <row r="3013">
      <c r="A3013" s="13">
        <f>IF(H3013="","",ROW()-4)</f>
        <v/>
      </c>
      <c r="B3013" s="13">
        <f>IF(H3013="","",ROW()-4)</f>
        <v/>
      </c>
    </row>
    <row r="3014">
      <c r="A3014" s="13">
        <f>IF(H3014="","",ROW()-4)</f>
        <v/>
      </c>
      <c r="B3014" s="13">
        <f>IF(H3014="","",ROW()-4)</f>
        <v/>
      </c>
    </row>
    <row r="3015">
      <c r="A3015" s="13">
        <f>IF(H3015="","",ROW()-4)</f>
        <v/>
      </c>
      <c r="B3015" s="13">
        <f>IF(H3015="","",ROW()-4)</f>
        <v/>
      </c>
    </row>
    <row r="3016">
      <c r="A3016" s="13">
        <f>IF(H3016="","",ROW()-4)</f>
        <v/>
      </c>
      <c r="B3016" s="13">
        <f>IF(H3016="","",ROW()-4)</f>
        <v/>
      </c>
    </row>
    <row r="3017">
      <c r="A3017" s="13">
        <f>IF(H3017="","",ROW()-4)</f>
        <v/>
      </c>
      <c r="B3017" s="13">
        <f>IF(H3017="","",ROW()-4)</f>
        <v/>
      </c>
    </row>
    <row r="3018">
      <c r="A3018" s="13">
        <f>IF(H3018="","",ROW()-4)</f>
        <v/>
      </c>
      <c r="B3018" s="13">
        <f>IF(H3018="","",ROW()-4)</f>
        <v/>
      </c>
    </row>
    <row r="3019">
      <c r="A3019" s="13">
        <f>IF(H3019="","",ROW()-4)</f>
        <v/>
      </c>
      <c r="B3019" s="13">
        <f>IF(H3019="","",ROW()-4)</f>
        <v/>
      </c>
    </row>
    <row r="3020">
      <c r="A3020" s="13">
        <f>IF(H3020="","",ROW()-4)</f>
        <v/>
      </c>
      <c r="B3020" s="13">
        <f>IF(H3020="","",ROW()-4)</f>
        <v/>
      </c>
    </row>
    <row r="3021">
      <c r="A3021" s="13">
        <f>IF(H3021="","",ROW()-4)</f>
        <v/>
      </c>
      <c r="B3021" s="13">
        <f>IF(H3021="","",ROW()-4)</f>
        <v/>
      </c>
    </row>
    <row r="3022">
      <c r="A3022" s="13">
        <f>IF(H3022="","",ROW()-4)</f>
        <v/>
      </c>
      <c r="B3022" s="13">
        <f>IF(H3022="","",ROW()-4)</f>
        <v/>
      </c>
    </row>
    <row r="3023">
      <c r="A3023" s="13">
        <f>IF(H3023="","",ROW()-4)</f>
        <v/>
      </c>
      <c r="B3023" s="13">
        <f>IF(H3023="","",ROW()-4)</f>
        <v/>
      </c>
    </row>
    <row r="3024">
      <c r="A3024" s="13">
        <f>IF(H3024="","",ROW()-4)</f>
        <v/>
      </c>
      <c r="B3024" s="13">
        <f>IF(H3024="","",ROW()-4)</f>
        <v/>
      </c>
    </row>
    <row r="3025">
      <c r="A3025" s="13">
        <f>IF(H3025="","",ROW()-4)</f>
        <v/>
      </c>
      <c r="B3025" s="13">
        <f>IF(H3025="","",ROW()-4)</f>
        <v/>
      </c>
    </row>
    <row r="3026">
      <c r="A3026" s="13">
        <f>IF(H3026="","",ROW()-4)</f>
        <v/>
      </c>
      <c r="B3026" s="13">
        <f>IF(H3026="","",ROW()-4)</f>
        <v/>
      </c>
    </row>
    <row r="3027">
      <c r="A3027" s="13">
        <f>IF(H3027="","",ROW()-4)</f>
        <v/>
      </c>
      <c r="B3027" s="13">
        <f>IF(H3027="","",ROW()-4)</f>
        <v/>
      </c>
    </row>
    <row r="3028">
      <c r="A3028" s="13">
        <f>IF(H3028="","",ROW()-4)</f>
        <v/>
      </c>
      <c r="B3028" s="13">
        <f>IF(H3028="","",ROW()-4)</f>
        <v/>
      </c>
    </row>
    <row r="3029">
      <c r="A3029" s="13">
        <f>IF(H3029="","",ROW()-4)</f>
        <v/>
      </c>
      <c r="B3029" s="13">
        <f>IF(H3029="","",ROW()-4)</f>
        <v/>
      </c>
    </row>
    <row r="3030">
      <c r="A3030" s="13">
        <f>IF(H3030="","",ROW()-4)</f>
        <v/>
      </c>
      <c r="B3030" s="13">
        <f>IF(H3030="","",ROW()-4)</f>
        <v/>
      </c>
    </row>
    <row r="3031">
      <c r="A3031" s="13">
        <f>IF(H3031="","",ROW()-4)</f>
        <v/>
      </c>
      <c r="B3031" s="13">
        <f>IF(H3031="","",ROW()-4)</f>
        <v/>
      </c>
    </row>
    <row r="3032">
      <c r="A3032" s="13">
        <f>IF(H3032="","",ROW()-4)</f>
        <v/>
      </c>
      <c r="B3032" s="13">
        <f>IF(H3032="","",ROW()-4)</f>
        <v/>
      </c>
    </row>
    <row r="3033">
      <c r="A3033" s="13">
        <f>IF(H3033="","",ROW()-4)</f>
        <v/>
      </c>
      <c r="B3033" s="13">
        <f>IF(H3033="","",ROW()-4)</f>
        <v/>
      </c>
    </row>
    <row r="3034">
      <c r="A3034" s="13">
        <f>IF(H3034="","",ROW()-4)</f>
        <v/>
      </c>
      <c r="B3034" s="13">
        <f>IF(H3034="","",ROW()-4)</f>
        <v/>
      </c>
    </row>
    <row r="3035">
      <c r="A3035" s="13">
        <f>IF(H3035="","",ROW()-4)</f>
        <v/>
      </c>
      <c r="B3035" s="13">
        <f>IF(H3035="","",ROW()-4)</f>
        <v/>
      </c>
    </row>
    <row r="3036">
      <c r="A3036" s="13">
        <f>IF(H3036="","",ROW()-4)</f>
        <v/>
      </c>
      <c r="B3036" s="13">
        <f>IF(H3036="","",ROW()-4)</f>
        <v/>
      </c>
    </row>
    <row r="3037">
      <c r="A3037" s="13">
        <f>IF(H3037="","",ROW()-4)</f>
        <v/>
      </c>
      <c r="B3037" s="13">
        <f>IF(H3037="","",ROW()-4)</f>
        <v/>
      </c>
    </row>
    <row r="3038">
      <c r="A3038" s="13">
        <f>IF(H3038="","",ROW()-4)</f>
        <v/>
      </c>
      <c r="B3038" s="13">
        <f>IF(H3038="","",ROW()-4)</f>
        <v/>
      </c>
    </row>
    <row r="3039">
      <c r="A3039" s="13">
        <f>IF(H3039="","",ROW()-4)</f>
        <v/>
      </c>
      <c r="B3039" s="13">
        <f>IF(H3039="","",ROW()-4)</f>
        <v/>
      </c>
    </row>
    <row r="3040">
      <c r="A3040" s="13">
        <f>IF(H3040="","",ROW()-4)</f>
        <v/>
      </c>
      <c r="B3040" s="13">
        <f>IF(H3040="","",ROW()-4)</f>
        <v/>
      </c>
    </row>
    <row r="3041">
      <c r="A3041" s="13">
        <f>IF(H3041="","",ROW()-4)</f>
        <v/>
      </c>
      <c r="B3041" s="13">
        <f>IF(H3041="","",ROW()-4)</f>
        <v/>
      </c>
    </row>
    <row r="3042">
      <c r="A3042" s="13">
        <f>IF(H3042="","",ROW()-4)</f>
        <v/>
      </c>
      <c r="B3042" s="13">
        <f>IF(H3042="","",ROW()-4)</f>
        <v/>
      </c>
    </row>
    <row r="3043">
      <c r="A3043" s="13">
        <f>IF(H3043="","",ROW()-4)</f>
        <v/>
      </c>
      <c r="B3043" s="13">
        <f>IF(H3043="","",ROW()-4)</f>
        <v/>
      </c>
    </row>
    <row r="3044">
      <c r="A3044" s="13">
        <f>IF(H3044="","",ROW()-4)</f>
        <v/>
      </c>
      <c r="B3044" s="13">
        <f>IF(H3044="","",ROW()-4)</f>
        <v/>
      </c>
    </row>
    <row r="3045">
      <c r="A3045" s="13">
        <f>IF(H3045="","",ROW()-4)</f>
        <v/>
      </c>
      <c r="B3045" s="13">
        <f>IF(H3045="","",ROW()-4)</f>
        <v/>
      </c>
    </row>
    <row r="3046">
      <c r="A3046" s="13">
        <f>IF(H3046="","",ROW()-4)</f>
        <v/>
      </c>
      <c r="B3046" s="13">
        <f>IF(H3046="","",ROW()-4)</f>
        <v/>
      </c>
    </row>
    <row r="3047">
      <c r="A3047" s="13">
        <f>IF(H3047="","",ROW()-4)</f>
        <v/>
      </c>
      <c r="B3047" s="13">
        <f>IF(H3047="","",ROW()-4)</f>
        <v/>
      </c>
    </row>
    <row r="3048">
      <c r="A3048" s="13">
        <f>IF(H3048="","",ROW()-4)</f>
        <v/>
      </c>
      <c r="B3048" s="13">
        <f>IF(H3048="","",ROW()-4)</f>
        <v/>
      </c>
    </row>
    <row r="3049">
      <c r="A3049" s="13">
        <f>IF(H3049="","",ROW()-4)</f>
        <v/>
      </c>
      <c r="B3049" s="13">
        <f>IF(H3049="","",ROW()-4)</f>
        <v/>
      </c>
    </row>
    <row r="3050">
      <c r="A3050" s="13">
        <f>IF(H3050="","",ROW()-4)</f>
        <v/>
      </c>
      <c r="B3050" s="13">
        <f>IF(H3050="","",ROW()-4)</f>
        <v/>
      </c>
    </row>
    <row r="3051">
      <c r="A3051" s="13">
        <f>IF(H3051="","",ROW()-4)</f>
        <v/>
      </c>
      <c r="B3051" s="13">
        <f>IF(H3051="","",ROW()-4)</f>
        <v/>
      </c>
    </row>
    <row r="3052">
      <c r="A3052" s="13">
        <f>IF(H3052="","",ROW()-4)</f>
        <v/>
      </c>
      <c r="B3052" s="13">
        <f>IF(H3052="","",ROW()-4)</f>
        <v/>
      </c>
    </row>
    <row r="3053">
      <c r="A3053" s="13">
        <f>IF(H3053="","",ROW()-4)</f>
        <v/>
      </c>
      <c r="B3053" s="13">
        <f>IF(H3053="","",ROW()-4)</f>
        <v/>
      </c>
    </row>
    <row r="3054">
      <c r="A3054" s="13">
        <f>IF(H3054="","",ROW()-4)</f>
        <v/>
      </c>
      <c r="B3054" s="13">
        <f>IF(H3054="","",ROW()-4)</f>
        <v/>
      </c>
    </row>
    <row r="3055">
      <c r="A3055" s="13">
        <f>IF(H3055="","",ROW()-4)</f>
        <v/>
      </c>
      <c r="B3055" s="13">
        <f>IF(H3055="","",ROW()-4)</f>
        <v/>
      </c>
    </row>
    <row r="3056">
      <c r="A3056" s="13">
        <f>IF(H3056="","",ROW()-4)</f>
        <v/>
      </c>
      <c r="B3056" s="13">
        <f>IF(H3056="","",ROW()-4)</f>
        <v/>
      </c>
    </row>
    <row r="3057">
      <c r="A3057" s="13">
        <f>IF(H3057="","",ROW()-4)</f>
        <v/>
      </c>
      <c r="B3057" s="13">
        <f>IF(H3057="","",ROW()-4)</f>
        <v/>
      </c>
    </row>
    <row r="3058">
      <c r="A3058" s="13">
        <f>IF(H3058="","",ROW()-4)</f>
        <v/>
      </c>
      <c r="B3058" s="13">
        <f>IF(H3058="","",ROW()-4)</f>
        <v/>
      </c>
    </row>
    <row r="3059">
      <c r="A3059" s="13">
        <f>IF(H3059="","",ROW()-4)</f>
        <v/>
      </c>
      <c r="B3059" s="13">
        <f>IF(H3059="","",ROW()-4)</f>
        <v/>
      </c>
    </row>
    <row r="3060">
      <c r="A3060" s="13">
        <f>IF(H3060="","",ROW()-4)</f>
        <v/>
      </c>
      <c r="B3060" s="13">
        <f>IF(H3060="","",ROW()-4)</f>
        <v/>
      </c>
    </row>
    <row r="3061">
      <c r="A3061" s="13">
        <f>IF(H3061="","",ROW()-4)</f>
        <v/>
      </c>
      <c r="B3061" s="13">
        <f>IF(H3061="","",ROW()-4)</f>
        <v/>
      </c>
    </row>
    <row r="3062">
      <c r="A3062" s="13">
        <f>IF(H3062="","",ROW()-4)</f>
        <v/>
      </c>
      <c r="B3062" s="13">
        <f>IF(H3062="","",ROW()-4)</f>
        <v/>
      </c>
    </row>
    <row r="3063">
      <c r="A3063" s="13">
        <f>IF(H3063="","",ROW()-4)</f>
        <v/>
      </c>
      <c r="B3063" s="13">
        <f>IF(H3063="","",ROW()-4)</f>
        <v/>
      </c>
    </row>
    <row r="3064">
      <c r="A3064" s="13">
        <f>IF(H3064="","",ROW()-4)</f>
        <v/>
      </c>
      <c r="B3064" s="13">
        <f>IF(H3064="","",ROW()-4)</f>
        <v/>
      </c>
    </row>
    <row r="3065">
      <c r="A3065" s="13">
        <f>IF(H3065="","",ROW()-4)</f>
        <v/>
      </c>
      <c r="B3065" s="13">
        <f>IF(H3065="","",ROW()-4)</f>
        <v/>
      </c>
    </row>
    <row r="3066">
      <c r="A3066" s="13">
        <f>IF(H3066="","",ROW()-4)</f>
        <v/>
      </c>
      <c r="B3066" s="13">
        <f>IF(H3066="","",ROW()-4)</f>
        <v/>
      </c>
    </row>
    <row r="3067">
      <c r="A3067" s="13">
        <f>IF(H3067="","",ROW()-4)</f>
        <v/>
      </c>
      <c r="B3067" s="13">
        <f>IF(H3067="","",ROW()-4)</f>
        <v/>
      </c>
    </row>
    <row r="3068">
      <c r="A3068" s="13">
        <f>IF(H3068="","",ROW()-4)</f>
        <v/>
      </c>
      <c r="B3068" s="13">
        <f>IF(H3068="","",ROW()-4)</f>
        <v/>
      </c>
    </row>
    <row r="3069">
      <c r="A3069" s="13">
        <f>IF(H3069="","",ROW()-4)</f>
        <v/>
      </c>
      <c r="B3069" s="13">
        <f>IF(H3069="","",ROW()-4)</f>
        <v/>
      </c>
    </row>
    <row r="3070">
      <c r="A3070" s="13">
        <f>IF(H3070="","",ROW()-4)</f>
        <v/>
      </c>
      <c r="B3070" s="13">
        <f>IF(H3070="","",ROW()-4)</f>
        <v/>
      </c>
    </row>
    <row r="3071">
      <c r="A3071" s="13">
        <f>IF(H3071="","",ROW()-4)</f>
        <v/>
      </c>
      <c r="B3071" s="13">
        <f>IF(H3071="","",ROW()-4)</f>
        <v/>
      </c>
    </row>
    <row r="3072">
      <c r="A3072" s="13">
        <f>IF(H3072="","",ROW()-4)</f>
        <v/>
      </c>
      <c r="B3072" s="13">
        <f>IF(H3072="","",ROW()-4)</f>
        <v/>
      </c>
    </row>
    <row r="3073">
      <c r="A3073" s="13">
        <f>IF(H3073="","",ROW()-4)</f>
        <v/>
      </c>
      <c r="B3073" s="13">
        <f>IF(H3073="","",ROW()-4)</f>
        <v/>
      </c>
    </row>
    <row r="3074">
      <c r="A3074" s="13">
        <f>IF(H3074="","",ROW()-4)</f>
        <v/>
      </c>
      <c r="B3074" s="13">
        <f>IF(H3074="","",ROW()-4)</f>
        <v/>
      </c>
    </row>
    <row r="3075">
      <c r="A3075" s="13">
        <f>IF(H3075="","",ROW()-4)</f>
        <v/>
      </c>
      <c r="B3075" s="13">
        <f>IF(H3075="","",ROW()-4)</f>
        <v/>
      </c>
    </row>
    <row r="3076">
      <c r="A3076" s="13">
        <f>IF(H3076="","",ROW()-4)</f>
        <v/>
      </c>
      <c r="B3076" s="13">
        <f>IF(H3076="","",ROW()-4)</f>
        <v/>
      </c>
    </row>
    <row r="3077">
      <c r="A3077" s="13">
        <f>IF(H3077="","",ROW()-4)</f>
        <v/>
      </c>
      <c r="B3077" s="13">
        <f>IF(H3077="","",ROW()-4)</f>
        <v/>
      </c>
    </row>
    <row r="3078">
      <c r="A3078" s="13">
        <f>IF(H3078="","",ROW()-4)</f>
        <v/>
      </c>
      <c r="B3078" s="13">
        <f>IF(H3078="","",ROW()-4)</f>
        <v/>
      </c>
    </row>
    <row r="3079">
      <c r="A3079" s="13">
        <f>IF(H3079="","",ROW()-4)</f>
        <v/>
      </c>
      <c r="B3079" s="13">
        <f>IF(H3079="","",ROW()-4)</f>
        <v/>
      </c>
    </row>
    <row r="3080">
      <c r="A3080" s="13">
        <f>IF(H3080="","",ROW()-4)</f>
        <v/>
      </c>
      <c r="B3080" s="13">
        <f>IF(H3080="","",ROW()-4)</f>
        <v/>
      </c>
    </row>
    <row r="3081">
      <c r="A3081" s="13">
        <f>IF(H3081="","",ROW()-4)</f>
        <v/>
      </c>
      <c r="B3081" s="13">
        <f>IF(H3081="","",ROW()-4)</f>
        <v/>
      </c>
    </row>
    <row r="3082">
      <c r="A3082" s="13">
        <f>IF(H3082="","",ROW()-4)</f>
        <v/>
      </c>
      <c r="B3082" s="13">
        <f>IF(H3082="","",ROW()-4)</f>
        <v/>
      </c>
    </row>
    <row r="3083">
      <c r="A3083" s="13">
        <f>IF(H3083="","",ROW()-4)</f>
        <v/>
      </c>
      <c r="B3083" s="13">
        <f>IF(H3083="","",ROW()-4)</f>
        <v/>
      </c>
    </row>
    <row r="3084">
      <c r="A3084" s="13">
        <f>IF(H3084="","",ROW()-4)</f>
        <v/>
      </c>
      <c r="B3084" s="13">
        <f>IF(H3084="","",ROW()-4)</f>
        <v/>
      </c>
    </row>
    <row r="3085">
      <c r="A3085" s="13">
        <f>IF(H3085="","",ROW()-4)</f>
        <v/>
      </c>
      <c r="B3085" s="13">
        <f>IF(H3085="","",ROW()-4)</f>
        <v/>
      </c>
    </row>
    <row r="3086">
      <c r="A3086" s="13">
        <f>IF(H3086="","",ROW()-4)</f>
        <v/>
      </c>
      <c r="B3086" s="13">
        <f>IF(H3086="","",ROW()-4)</f>
        <v/>
      </c>
    </row>
    <row r="3087">
      <c r="A3087" s="13">
        <f>IF(H3087="","",ROW()-4)</f>
        <v/>
      </c>
      <c r="B3087" s="13">
        <f>IF(H3087="","",ROW()-4)</f>
        <v/>
      </c>
    </row>
    <row r="3088">
      <c r="A3088" s="13">
        <f>IF(H3088="","",ROW()-4)</f>
        <v/>
      </c>
      <c r="B3088" s="13">
        <f>IF(H3088="","",ROW()-4)</f>
        <v/>
      </c>
    </row>
    <row r="3089">
      <c r="A3089" s="13">
        <f>IF(H3089="","",ROW()-4)</f>
        <v/>
      </c>
      <c r="B3089" s="13">
        <f>IF(H3089="","",ROW()-4)</f>
        <v/>
      </c>
    </row>
    <row r="3090">
      <c r="A3090" s="13">
        <f>IF(H3090="","",ROW()-4)</f>
        <v/>
      </c>
      <c r="B3090" s="13">
        <f>IF(H3090="","",ROW()-4)</f>
        <v/>
      </c>
    </row>
    <row r="3091">
      <c r="A3091" s="13">
        <f>IF(H3091="","",ROW()-4)</f>
        <v/>
      </c>
      <c r="B3091" s="13">
        <f>IF(H3091="","",ROW()-4)</f>
        <v/>
      </c>
    </row>
    <row r="3092">
      <c r="A3092" s="13">
        <f>IF(H3092="","",ROW()-4)</f>
        <v/>
      </c>
      <c r="B3092" s="13">
        <f>IF(H3092="","",ROW()-4)</f>
        <v/>
      </c>
    </row>
    <row r="3093">
      <c r="A3093" s="13">
        <f>IF(H3093="","",ROW()-4)</f>
        <v/>
      </c>
      <c r="B3093" s="13">
        <f>IF(H3093="","",ROW()-4)</f>
        <v/>
      </c>
    </row>
    <row r="3094">
      <c r="A3094" s="13">
        <f>IF(H3094="","",ROW()-4)</f>
        <v/>
      </c>
      <c r="B3094" s="13">
        <f>IF(H3094="","",ROW()-4)</f>
        <v/>
      </c>
    </row>
    <row r="3095">
      <c r="A3095" s="13">
        <f>IF(H3095="","",ROW()-4)</f>
        <v/>
      </c>
      <c r="B3095" s="13">
        <f>IF(H3095="","",ROW()-4)</f>
        <v/>
      </c>
    </row>
    <row r="3096">
      <c r="A3096" s="13">
        <f>IF(H3096="","",ROW()-4)</f>
        <v/>
      </c>
      <c r="B3096" s="13">
        <f>IF(H3096="","",ROW()-4)</f>
        <v/>
      </c>
    </row>
    <row r="3097">
      <c r="A3097" s="13">
        <f>IF(H3097="","",ROW()-4)</f>
        <v/>
      </c>
      <c r="B3097" s="13">
        <f>IF(H3097="","",ROW()-4)</f>
        <v/>
      </c>
    </row>
    <row r="3098">
      <c r="A3098" s="13">
        <f>IF(H3098="","",ROW()-4)</f>
        <v/>
      </c>
      <c r="B3098" s="13">
        <f>IF(H3098="","",ROW()-4)</f>
        <v/>
      </c>
    </row>
    <row r="3099">
      <c r="A3099" s="13">
        <f>IF(H3099="","",ROW()-4)</f>
        <v/>
      </c>
      <c r="B3099" s="13">
        <f>IF(H3099="","",ROW()-4)</f>
        <v/>
      </c>
    </row>
    <row r="3100">
      <c r="A3100" s="13">
        <f>IF(H3100="","",ROW()-4)</f>
        <v/>
      </c>
      <c r="B3100" s="13">
        <f>IF(H3100="","",ROW()-4)</f>
        <v/>
      </c>
    </row>
    <row r="3101">
      <c r="A3101" s="13">
        <f>IF(H3101="","",ROW()-4)</f>
        <v/>
      </c>
      <c r="B3101" s="13">
        <f>IF(H3101="","",ROW()-4)</f>
        <v/>
      </c>
    </row>
    <row r="3102">
      <c r="A3102" s="13">
        <f>IF(H3102="","",ROW()-4)</f>
        <v/>
      </c>
      <c r="B3102" s="13">
        <f>IF(H3102="","",ROW()-4)</f>
        <v/>
      </c>
    </row>
    <row r="3103">
      <c r="A3103" s="13">
        <f>IF(H3103="","",ROW()-4)</f>
        <v/>
      </c>
      <c r="B3103" s="13">
        <f>IF(H3103="","",ROW()-4)</f>
        <v/>
      </c>
    </row>
    <row r="3104">
      <c r="A3104" s="13">
        <f>IF(H3104="","",ROW()-4)</f>
        <v/>
      </c>
      <c r="B3104" s="13">
        <f>IF(H3104="","",ROW()-4)</f>
        <v/>
      </c>
    </row>
    <row r="3105">
      <c r="A3105" s="13">
        <f>IF(H3105="","",ROW()-4)</f>
        <v/>
      </c>
      <c r="B3105" s="13">
        <f>IF(H3105="","",ROW()-4)</f>
        <v/>
      </c>
    </row>
    <row r="3106">
      <c r="A3106" s="13">
        <f>IF(H3106="","",ROW()-4)</f>
        <v/>
      </c>
      <c r="B3106" s="13">
        <f>IF(H3106="","",ROW()-4)</f>
        <v/>
      </c>
    </row>
    <row r="3107">
      <c r="A3107" s="13">
        <f>IF(H3107="","",ROW()-4)</f>
        <v/>
      </c>
      <c r="B3107" s="13">
        <f>IF(H3107="","",ROW()-4)</f>
        <v/>
      </c>
    </row>
    <row r="3108">
      <c r="A3108" s="13">
        <f>IF(H3108="","",ROW()-4)</f>
        <v/>
      </c>
      <c r="B3108" s="13">
        <f>IF(H3108="","",ROW()-4)</f>
        <v/>
      </c>
    </row>
    <row r="3109">
      <c r="A3109" s="13">
        <f>IF(H3109="","",ROW()-4)</f>
        <v/>
      </c>
      <c r="B3109" s="13">
        <f>IF(H3109="","",ROW()-4)</f>
        <v/>
      </c>
    </row>
    <row r="3110">
      <c r="A3110" s="13">
        <f>IF(H3110="","",ROW()-4)</f>
        <v/>
      </c>
      <c r="B3110" s="13">
        <f>IF(H3110="","",ROW()-4)</f>
        <v/>
      </c>
    </row>
    <row r="3111">
      <c r="A3111" s="13">
        <f>IF(H3111="","",ROW()-4)</f>
        <v/>
      </c>
      <c r="B3111" s="13">
        <f>IF(H3111="","",ROW()-4)</f>
        <v/>
      </c>
    </row>
    <row r="3112">
      <c r="A3112" s="13">
        <f>IF(H3112="","",ROW()-4)</f>
        <v/>
      </c>
      <c r="B3112" s="13">
        <f>IF(H3112="","",ROW()-4)</f>
        <v/>
      </c>
    </row>
    <row r="3113">
      <c r="A3113" s="13">
        <f>IF(H3113="","",ROW()-4)</f>
        <v/>
      </c>
      <c r="B3113" s="13">
        <f>IF(H3113="","",ROW()-4)</f>
        <v/>
      </c>
    </row>
    <row r="3114">
      <c r="A3114" s="13">
        <f>IF(H3114="","",ROW()-4)</f>
        <v/>
      </c>
      <c r="B3114" s="13">
        <f>IF(H3114="","",ROW()-4)</f>
        <v/>
      </c>
    </row>
    <row r="3115">
      <c r="A3115" s="13">
        <f>IF(H3115="","",ROW()-4)</f>
        <v/>
      </c>
      <c r="B3115" s="13">
        <f>IF(H3115="","",ROW()-4)</f>
        <v/>
      </c>
    </row>
    <row r="3116">
      <c r="A3116" s="13">
        <f>IF(H3116="","",ROW()-4)</f>
        <v/>
      </c>
      <c r="B3116" s="13">
        <f>IF(H3116="","",ROW()-4)</f>
        <v/>
      </c>
    </row>
    <row r="3117">
      <c r="A3117" s="13">
        <f>IF(H3117="","",ROW()-4)</f>
        <v/>
      </c>
      <c r="B3117" s="13">
        <f>IF(H3117="","",ROW()-4)</f>
        <v/>
      </c>
    </row>
    <row r="3118">
      <c r="A3118" s="13">
        <f>IF(H3118="","",ROW()-4)</f>
        <v/>
      </c>
      <c r="B3118" s="13">
        <f>IF(H3118="","",ROW()-4)</f>
        <v/>
      </c>
    </row>
    <row r="3119">
      <c r="A3119" s="13">
        <f>IF(H3119="","",ROW()-4)</f>
        <v/>
      </c>
      <c r="B3119" s="13">
        <f>IF(H3119="","",ROW()-4)</f>
        <v/>
      </c>
    </row>
    <row r="3120">
      <c r="A3120" s="13">
        <f>IF(H3120="","",ROW()-4)</f>
        <v/>
      </c>
      <c r="B3120" s="13">
        <f>IF(H3120="","",ROW()-4)</f>
        <v/>
      </c>
    </row>
    <row r="3121">
      <c r="A3121" s="13">
        <f>IF(H3121="","",ROW()-4)</f>
        <v/>
      </c>
      <c r="B3121" s="13">
        <f>IF(H3121="","",ROW()-4)</f>
        <v/>
      </c>
    </row>
    <row r="3122">
      <c r="A3122" s="13">
        <f>IF(H3122="","",ROW()-4)</f>
        <v/>
      </c>
      <c r="B3122" s="13">
        <f>IF(H3122="","",ROW()-4)</f>
        <v/>
      </c>
    </row>
    <row r="3123">
      <c r="A3123" s="13">
        <f>IF(H3123="","",ROW()-4)</f>
        <v/>
      </c>
      <c r="B3123" s="13">
        <f>IF(H3123="","",ROW()-4)</f>
        <v/>
      </c>
    </row>
    <row r="3124">
      <c r="A3124" s="13">
        <f>IF(H3124="","",ROW()-4)</f>
        <v/>
      </c>
      <c r="B3124" s="13">
        <f>IF(H3124="","",ROW()-4)</f>
        <v/>
      </c>
    </row>
    <row r="3125">
      <c r="A3125" s="13">
        <f>IF(H3125="","",ROW()-4)</f>
        <v/>
      </c>
      <c r="B3125" s="13">
        <f>IF(H3125="","",ROW()-4)</f>
        <v/>
      </c>
    </row>
    <row r="3126">
      <c r="A3126" s="13">
        <f>IF(H3126="","",ROW()-4)</f>
        <v/>
      </c>
      <c r="B3126" s="13">
        <f>IF(H3126="","",ROW()-4)</f>
        <v/>
      </c>
    </row>
    <row r="3127">
      <c r="A3127" s="13">
        <f>IF(H3127="","",ROW()-4)</f>
        <v/>
      </c>
      <c r="B3127" s="13">
        <f>IF(H3127="","",ROW()-4)</f>
        <v/>
      </c>
    </row>
    <row r="3128">
      <c r="A3128" s="13">
        <f>IF(H3128="","",ROW()-4)</f>
        <v/>
      </c>
      <c r="B3128" s="13">
        <f>IF(H3128="","",ROW()-4)</f>
        <v/>
      </c>
    </row>
    <row r="3129">
      <c r="A3129" s="13">
        <f>IF(H3129="","",ROW()-4)</f>
        <v/>
      </c>
      <c r="B3129" s="13">
        <f>IF(H3129="","",ROW()-4)</f>
        <v/>
      </c>
    </row>
    <row r="3130">
      <c r="A3130" s="13">
        <f>IF(H3130="","",ROW()-4)</f>
        <v/>
      </c>
      <c r="B3130" s="13">
        <f>IF(H3130="","",ROW()-4)</f>
        <v/>
      </c>
    </row>
    <row r="3131">
      <c r="A3131" s="13">
        <f>IF(H3131="","",ROW()-4)</f>
        <v/>
      </c>
      <c r="B3131" s="13">
        <f>IF(H3131="","",ROW()-4)</f>
        <v/>
      </c>
    </row>
    <row r="3132">
      <c r="A3132" s="13">
        <f>IF(H3132="","",ROW()-4)</f>
        <v/>
      </c>
      <c r="B3132" s="13">
        <f>IF(H3132="","",ROW()-4)</f>
        <v/>
      </c>
    </row>
    <row r="3133">
      <c r="A3133" s="13">
        <f>IF(H3133="","",ROW()-4)</f>
        <v/>
      </c>
      <c r="B3133" s="13">
        <f>IF(H3133="","",ROW()-4)</f>
        <v/>
      </c>
    </row>
    <row r="3134">
      <c r="A3134" s="13">
        <f>IF(H3134="","",ROW()-4)</f>
        <v/>
      </c>
      <c r="B3134" s="13">
        <f>IF(H3134="","",ROW()-4)</f>
        <v/>
      </c>
    </row>
    <row r="3135">
      <c r="A3135" s="13">
        <f>IF(H3135="","",ROW()-4)</f>
        <v/>
      </c>
      <c r="B3135" s="13">
        <f>IF(H3135="","",ROW()-4)</f>
        <v/>
      </c>
    </row>
    <row r="3136">
      <c r="A3136" s="13">
        <f>IF(H3136="","",ROW()-4)</f>
        <v/>
      </c>
      <c r="B3136" s="13">
        <f>IF(H3136="","",ROW()-4)</f>
        <v/>
      </c>
    </row>
    <row r="3137">
      <c r="A3137" s="13">
        <f>IF(H3137="","",ROW()-4)</f>
        <v/>
      </c>
      <c r="B3137" s="13">
        <f>IF(H3137="","",ROW()-4)</f>
        <v/>
      </c>
    </row>
    <row r="3138">
      <c r="A3138" s="13">
        <f>IF(H3138="","",ROW()-4)</f>
        <v/>
      </c>
      <c r="B3138" s="13">
        <f>IF(H3138="","",ROW()-4)</f>
        <v/>
      </c>
    </row>
    <row r="3139">
      <c r="A3139" s="13">
        <f>IF(H3139="","",ROW()-4)</f>
        <v/>
      </c>
      <c r="B3139" s="13">
        <f>IF(H3139="","",ROW()-4)</f>
        <v/>
      </c>
    </row>
    <row r="3140">
      <c r="A3140" s="13">
        <f>IF(H3140="","",ROW()-4)</f>
        <v/>
      </c>
      <c r="B3140" s="13">
        <f>IF(H3140="","",ROW()-4)</f>
        <v/>
      </c>
    </row>
    <row r="3141">
      <c r="A3141" s="13">
        <f>IF(H3141="","",ROW()-4)</f>
        <v/>
      </c>
      <c r="B3141" s="13">
        <f>IF(H3141="","",ROW()-4)</f>
        <v/>
      </c>
    </row>
    <row r="3142">
      <c r="A3142" s="13">
        <f>IF(H3142="","",ROW()-4)</f>
        <v/>
      </c>
      <c r="B3142" s="13">
        <f>IF(H3142="","",ROW()-4)</f>
        <v/>
      </c>
    </row>
    <row r="3143">
      <c r="A3143" s="13">
        <f>IF(H3143="","",ROW()-4)</f>
        <v/>
      </c>
      <c r="B3143" s="13">
        <f>IF(H3143="","",ROW()-4)</f>
        <v/>
      </c>
    </row>
    <row r="3144">
      <c r="A3144" s="13">
        <f>IF(H3144="","",ROW()-4)</f>
        <v/>
      </c>
      <c r="B3144" s="13">
        <f>IF(H3144="","",ROW()-4)</f>
        <v/>
      </c>
    </row>
    <row r="3145">
      <c r="A3145" s="13">
        <f>IF(H3145="","",ROW()-4)</f>
        <v/>
      </c>
      <c r="B3145" s="13">
        <f>IF(H3145="","",ROW()-4)</f>
        <v/>
      </c>
    </row>
    <row r="3146">
      <c r="A3146" s="13">
        <f>IF(H3146="","",ROW()-4)</f>
        <v/>
      </c>
      <c r="B3146" s="13">
        <f>IF(H3146="","",ROW()-4)</f>
        <v/>
      </c>
    </row>
    <row r="3147">
      <c r="A3147" s="13">
        <f>IF(H3147="","",ROW()-4)</f>
        <v/>
      </c>
      <c r="B3147" s="13">
        <f>IF(H3147="","",ROW()-4)</f>
        <v/>
      </c>
    </row>
    <row r="3148">
      <c r="A3148" s="13">
        <f>IF(H3148="","",ROW()-4)</f>
        <v/>
      </c>
      <c r="B3148" s="13">
        <f>IF(H3148="","",ROW()-4)</f>
        <v/>
      </c>
    </row>
    <row r="3149">
      <c r="A3149" s="13">
        <f>IF(H3149="","",ROW()-4)</f>
        <v/>
      </c>
      <c r="B3149" s="13">
        <f>IF(H3149="","",ROW()-4)</f>
        <v/>
      </c>
    </row>
    <row r="3150">
      <c r="A3150" s="13">
        <f>IF(H3150="","",ROW()-4)</f>
        <v/>
      </c>
      <c r="B3150" s="13">
        <f>IF(H3150="","",ROW()-4)</f>
        <v/>
      </c>
    </row>
    <row r="3151">
      <c r="A3151" s="13">
        <f>IF(H3151="","",ROW()-4)</f>
        <v/>
      </c>
      <c r="B3151" s="13">
        <f>IF(H3151="","",ROW()-4)</f>
        <v/>
      </c>
    </row>
    <row r="3152">
      <c r="A3152" s="13">
        <f>IF(H3152="","",ROW()-4)</f>
        <v/>
      </c>
      <c r="B3152" s="13">
        <f>IF(H3152="","",ROW()-4)</f>
        <v/>
      </c>
    </row>
    <row r="3153">
      <c r="A3153" s="13">
        <f>IF(H3153="","",ROW()-4)</f>
        <v/>
      </c>
      <c r="B3153" s="13">
        <f>IF(H3153="","",ROW()-4)</f>
        <v/>
      </c>
    </row>
    <row r="3154">
      <c r="A3154" s="13">
        <f>IF(H3154="","",ROW()-4)</f>
        <v/>
      </c>
      <c r="B3154" s="13">
        <f>IF(H3154="","",ROW()-4)</f>
        <v/>
      </c>
    </row>
    <row r="3155">
      <c r="A3155" s="13">
        <f>IF(H3155="","",ROW()-4)</f>
        <v/>
      </c>
      <c r="B3155" s="13">
        <f>IF(H3155="","",ROW()-4)</f>
        <v/>
      </c>
    </row>
    <row r="3156">
      <c r="A3156" s="13">
        <f>IF(H3156="","",ROW()-4)</f>
        <v/>
      </c>
      <c r="B3156" s="13">
        <f>IF(H3156="","",ROW()-4)</f>
        <v/>
      </c>
    </row>
    <row r="3157">
      <c r="A3157" s="13">
        <f>IF(H3157="","",ROW()-4)</f>
        <v/>
      </c>
      <c r="B3157" s="13">
        <f>IF(H3157="","",ROW()-4)</f>
        <v/>
      </c>
    </row>
    <row r="3158">
      <c r="A3158" s="13">
        <f>IF(H3158="","",ROW()-4)</f>
        <v/>
      </c>
      <c r="B3158" s="13">
        <f>IF(H3158="","",ROW()-4)</f>
        <v/>
      </c>
    </row>
    <row r="3159">
      <c r="A3159" s="13">
        <f>IF(H3159="","",ROW()-4)</f>
        <v/>
      </c>
      <c r="B3159" s="13">
        <f>IF(H3159="","",ROW()-4)</f>
        <v/>
      </c>
    </row>
    <row r="3160">
      <c r="A3160" s="13">
        <f>IF(H3160="","",ROW()-4)</f>
        <v/>
      </c>
      <c r="B3160" s="13">
        <f>IF(H3160="","",ROW()-4)</f>
        <v/>
      </c>
    </row>
    <row r="3161">
      <c r="A3161" s="13">
        <f>IF(H3161="","",ROW()-4)</f>
        <v/>
      </c>
      <c r="B3161" s="13">
        <f>IF(H3161="","",ROW()-4)</f>
        <v/>
      </c>
    </row>
    <row r="3162">
      <c r="A3162" s="13">
        <f>IF(H3162="","",ROW()-4)</f>
        <v/>
      </c>
      <c r="B3162" s="13">
        <f>IF(H3162="","",ROW()-4)</f>
        <v/>
      </c>
    </row>
    <row r="3163">
      <c r="A3163" s="13">
        <f>IF(H3163="","",ROW()-4)</f>
        <v/>
      </c>
      <c r="B3163" s="13">
        <f>IF(H3163="","",ROW()-4)</f>
        <v/>
      </c>
    </row>
    <row r="3164">
      <c r="A3164" s="13">
        <f>IF(H3164="","",ROW()-4)</f>
        <v/>
      </c>
      <c r="B3164" s="13">
        <f>IF(H3164="","",ROW()-4)</f>
        <v/>
      </c>
    </row>
    <row r="3165">
      <c r="A3165" s="13">
        <f>IF(H3165="","",ROW()-4)</f>
        <v/>
      </c>
      <c r="B3165" s="13">
        <f>IF(H3165="","",ROW()-4)</f>
        <v/>
      </c>
    </row>
    <row r="3166">
      <c r="A3166" s="13">
        <f>IF(H3166="","",ROW()-4)</f>
        <v/>
      </c>
      <c r="B3166" s="13">
        <f>IF(H3166="","",ROW()-4)</f>
        <v/>
      </c>
    </row>
    <row r="3167">
      <c r="A3167" s="13">
        <f>IF(H3167="","",ROW()-4)</f>
        <v/>
      </c>
      <c r="B3167" s="13">
        <f>IF(H3167="","",ROW()-4)</f>
        <v/>
      </c>
    </row>
    <row r="3168">
      <c r="A3168" s="13">
        <f>IF(H3168="","",ROW()-4)</f>
        <v/>
      </c>
      <c r="B3168" s="13">
        <f>IF(H3168="","",ROW()-4)</f>
        <v/>
      </c>
    </row>
    <row r="3169">
      <c r="A3169" s="13">
        <f>IF(H3169="","",ROW()-4)</f>
        <v/>
      </c>
      <c r="B3169" s="13">
        <f>IF(H3169="","",ROW()-4)</f>
        <v/>
      </c>
    </row>
    <row r="3170">
      <c r="A3170" s="13">
        <f>IF(H3170="","",ROW()-4)</f>
        <v/>
      </c>
      <c r="B3170" s="13">
        <f>IF(H3170="","",ROW()-4)</f>
        <v/>
      </c>
    </row>
    <row r="3171">
      <c r="A3171" s="13">
        <f>IF(H3171="","",ROW()-4)</f>
        <v/>
      </c>
      <c r="B3171" s="13">
        <f>IF(H3171="","",ROW()-4)</f>
        <v/>
      </c>
    </row>
    <row r="3172">
      <c r="A3172" s="13">
        <f>IF(H3172="","",ROW()-4)</f>
        <v/>
      </c>
      <c r="B3172" s="13">
        <f>IF(H3172="","",ROW()-4)</f>
        <v/>
      </c>
    </row>
    <row r="3173">
      <c r="A3173" s="13">
        <f>IF(H3173="","",ROW()-4)</f>
        <v/>
      </c>
      <c r="B3173" s="13">
        <f>IF(H3173="","",ROW()-4)</f>
        <v/>
      </c>
    </row>
    <row r="3174">
      <c r="A3174" s="13">
        <f>IF(H3174="","",ROW()-4)</f>
        <v/>
      </c>
      <c r="B3174" s="13">
        <f>IF(H3174="","",ROW()-4)</f>
        <v/>
      </c>
    </row>
    <row r="3175">
      <c r="A3175" s="13">
        <f>IF(H3175="","",ROW()-4)</f>
        <v/>
      </c>
      <c r="B3175" s="13">
        <f>IF(H3175="","",ROW()-4)</f>
        <v/>
      </c>
    </row>
    <row r="3176">
      <c r="A3176" s="13">
        <f>IF(H3176="","",ROW()-4)</f>
        <v/>
      </c>
      <c r="B3176" s="13">
        <f>IF(H3176="","",ROW()-4)</f>
        <v/>
      </c>
    </row>
    <row r="3177">
      <c r="A3177" s="13">
        <f>IF(H3177="","",ROW()-4)</f>
        <v/>
      </c>
      <c r="B3177" s="13">
        <f>IF(H3177="","",ROW()-4)</f>
        <v/>
      </c>
    </row>
    <row r="3178">
      <c r="A3178" s="13">
        <f>IF(H3178="","",ROW()-4)</f>
        <v/>
      </c>
      <c r="B3178" s="13">
        <f>IF(H3178="","",ROW()-4)</f>
        <v/>
      </c>
    </row>
    <row r="3179">
      <c r="A3179" s="13">
        <f>IF(H3179="","",ROW()-4)</f>
        <v/>
      </c>
      <c r="B3179" s="13">
        <f>IF(H3179="","",ROW()-4)</f>
        <v/>
      </c>
    </row>
    <row r="3180">
      <c r="A3180" s="13">
        <f>IF(H3180="","",ROW()-4)</f>
        <v/>
      </c>
      <c r="B3180" s="13">
        <f>IF(H3180="","",ROW()-4)</f>
        <v/>
      </c>
    </row>
    <row r="3181">
      <c r="A3181" s="13">
        <f>IF(H3181="","",ROW()-4)</f>
        <v/>
      </c>
      <c r="B3181" s="13">
        <f>IF(H3181="","",ROW()-4)</f>
        <v/>
      </c>
    </row>
    <row r="3182">
      <c r="A3182" s="13">
        <f>IF(H3182="","",ROW()-4)</f>
        <v/>
      </c>
      <c r="B3182" s="13">
        <f>IF(H3182="","",ROW()-4)</f>
        <v/>
      </c>
    </row>
    <row r="3183">
      <c r="A3183" s="13">
        <f>IF(H3183="","",ROW()-4)</f>
        <v/>
      </c>
      <c r="B3183" s="13">
        <f>IF(H3183="","",ROW()-4)</f>
        <v/>
      </c>
    </row>
    <row r="3184">
      <c r="A3184" s="13">
        <f>IF(H3184="","",ROW()-4)</f>
        <v/>
      </c>
      <c r="B3184" s="13">
        <f>IF(H3184="","",ROW()-4)</f>
        <v/>
      </c>
    </row>
    <row r="3185">
      <c r="A3185" s="13">
        <f>IF(H3185="","",ROW()-4)</f>
        <v/>
      </c>
      <c r="B3185" s="13">
        <f>IF(H3185="","",ROW()-4)</f>
        <v/>
      </c>
    </row>
    <row r="3186">
      <c r="A3186" s="13">
        <f>IF(H3186="","",ROW()-4)</f>
        <v/>
      </c>
      <c r="B3186" s="13">
        <f>IF(H3186="","",ROW()-4)</f>
        <v/>
      </c>
    </row>
    <row r="3187">
      <c r="A3187" s="13">
        <f>IF(H3187="","",ROW()-4)</f>
        <v/>
      </c>
      <c r="B3187" s="13">
        <f>IF(H3187="","",ROW()-4)</f>
        <v/>
      </c>
    </row>
    <row r="3188">
      <c r="A3188" s="13">
        <f>IF(H3188="","",ROW()-4)</f>
        <v/>
      </c>
      <c r="B3188" s="13">
        <f>IF(H3188="","",ROW()-4)</f>
        <v/>
      </c>
    </row>
    <row r="3189">
      <c r="A3189" s="13">
        <f>IF(H3189="","",ROW()-4)</f>
        <v/>
      </c>
      <c r="B3189" s="13">
        <f>IF(H3189="","",ROW()-4)</f>
        <v/>
      </c>
    </row>
    <row r="3190">
      <c r="A3190" s="13">
        <f>IF(H3190="","",ROW()-4)</f>
        <v/>
      </c>
      <c r="B3190" s="13">
        <f>IF(H3190="","",ROW()-4)</f>
        <v/>
      </c>
    </row>
    <row r="3191">
      <c r="A3191" s="13">
        <f>IF(H3191="","",ROW()-4)</f>
        <v/>
      </c>
      <c r="B3191" s="13">
        <f>IF(H3191="","",ROW()-4)</f>
        <v/>
      </c>
    </row>
    <row r="3192">
      <c r="A3192" s="13">
        <f>IF(H3192="","",ROW()-4)</f>
        <v/>
      </c>
      <c r="B3192" s="13">
        <f>IF(H3192="","",ROW()-4)</f>
        <v/>
      </c>
    </row>
    <row r="3193">
      <c r="A3193" s="13">
        <f>IF(H3193="","",ROW()-4)</f>
        <v/>
      </c>
      <c r="B3193" s="13">
        <f>IF(H3193="","",ROW()-4)</f>
        <v/>
      </c>
    </row>
    <row r="3194">
      <c r="A3194" s="13">
        <f>IF(H3194="","",ROW()-4)</f>
        <v/>
      </c>
      <c r="B3194" s="13">
        <f>IF(H3194="","",ROW()-4)</f>
        <v/>
      </c>
    </row>
    <row r="3195">
      <c r="A3195" s="13">
        <f>IF(H3195="","",ROW()-4)</f>
        <v/>
      </c>
      <c r="B3195" s="13">
        <f>IF(H3195="","",ROW()-4)</f>
        <v/>
      </c>
    </row>
    <row r="3196">
      <c r="A3196" s="13">
        <f>IF(H3196="","",ROW()-4)</f>
        <v/>
      </c>
      <c r="B3196" s="13">
        <f>IF(H3196="","",ROW()-4)</f>
        <v/>
      </c>
    </row>
    <row r="3197">
      <c r="A3197" s="13">
        <f>IF(H3197="","",ROW()-4)</f>
        <v/>
      </c>
      <c r="B3197" s="13">
        <f>IF(H3197="","",ROW()-4)</f>
        <v/>
      </c>
    </row>
    <row r="3198">
      <c r="A3198" s="13">
        <f>IF(H3198="","",ROW()-4)</f>
        <v/>
      </c>
      <c r="B3198" s="13">
        <f>IF(H3198="","",ROW()-4)</f>
        <v/>
      </c>
    </row>
    <row r="3199">
      <c r="A3199" s="13">
        <f>IF(H3199="","",ROW()-4)</f>
        <v/>
      </c>
      <c r="B3199" s="13">
        <f>IF(H3199="","",ROW()-4)</f>
        <v/>
      </c>
    </row>
    <row r="3200">
      <c r="A3200" s="13">
        <f>IF(H3200="","",ROW()-4)</f>
        <v/>
      </c>
      <c r="B3200" s="13">
        <f>IF(H3200="","",ROW()-4)</f>
        <v/>
      </c>
    </row>
    <row r="3201">
      <c r="A3201" s="13">
        <f>IF(H3201="","",ROW()-4)</f>
        <v/>
      </c>
      <c r="B3201" s="13">
        <f>IF(H3201="","",ROW()-4)</f>
        <v/>
      </c>
    </row>
    <row r="3202">
      <c r="A3202" s="13">
        <f>IF(H3202="","",ROW()-4)</f>
        <v/>
      </c>
      <c r="B3202" s="13">
        <f>IF(H3202="","",ROW()-4)</f>
        <v/>
      </c>
    </row>
    <row r="3203">
      <c r="A3203" s="13">
        <f>IF(H3203="","",ROW()-4)</f>
        <v/>
      </c>
      <c r="B3203" s="13">
        <f>IF(H3203="","",ROW()-4)</f>
        <v/>
      </c>
    </row>
    <row r="3204">
      <c r="A3204" s="13">
        <f>IF(H3204="","",ROW()-4)</f>
        <v/>
      </c>
      <c r="B3204" s="13">
        <f>IF(H3204="","",ROW()-4)</f>
        <v/>
      </c>
    </row>
    <row r="3205">
      <c r="A3205" s="13">
        <f>IF(H3205="","",ROW()-4)</f>
        <v/>
      </c>
      <c r="B3205" s="13">
        <f>IF(H3205="","",ROW()-4)</f>
        <v/>
      </c>
    </row>
    <row r="3206">
      <c r="A3206" s="13">
        <f>IF(H3206="","",ROW()-4)</f>
        <v/>
      </c>
      <c r="B3206" s="13">
        <f>IF(H3206="","",ROW()-4)</f>
        <v/>
      </c>
    </row>
    <row r="3207">
      <c r="A3207" s="13">
        <f>IF(H3207="","",ROW()-4)</f>
        <v/>
      </c>
      <c r="B3207" s="13">
        <f>IF(H3207="","",ROW()-4)</f>
        <v/>
      </c>
    </row>
    <row r="3208">
      <c r="A3208" s="13">
        <f>IF(H3208="","",ROW()-4)</f>
        <v/>
      </c>
      <c r="B3208" s="13">
        <f>IF(H3208="","",ROW()-4)</f>
        <v/>
      </c>
    </row>
    <row r="3209">
      <c r="A3209" s="13">
        <f>IF(H3209="","",ROW()-4)</f>
        <v/>
      </c>
      <c r="B3209" s="13">
        <f>IF(H3209="","",ROW()-4)</f>
        <v/>
      </c>
    </row>
    <row r="3210">
      <c r="A3210" s="13">
        <f>IF(H3210="","",ROW()-4)</f>
        <v/>
      </c>
      <c r="B3210" s="13">
        <f>IF(H3210="","",ROW()-4)</f>
        <v/>
      </c>
    </row>
    <row r="3211">
      <c r="A3211" s="13">
        <f>IF(H3211="","",ROW()-4)</f>
        <v/>
      </c>
      <c r="B3211" s="13">
        <f>IF(H3211="","",ROW()-4)</f>
        <v/>
      </c>
    </row>
    <row r="3212">
      <c r="A3212" s="13">
        <f>IF(H3212="","",ROW()-4)</f>
        <v/>
      </c>
      <c r="B3212" s="13">
        <f>IF(H3212="","",ROW()-4)</f>
        <v/>
      </c>
    </row>
    <row r="3213">
      <c r="A3213" s="13">
        <f>IF(H3213="","",ROW()-4)</f>
        <v/>
      </c>
      <c r="B3213" s="13">
        <f>IF(H3213="","",ROW()-4)</f>
        <v/>
      </c>
    </row>
    <row r="3214">
      <c r="A3214" s="13">
        <f>IF(H3214="","",ROW()-4)</f>
        <v/>
      </c>
      <c r="B3214" s="13">
        <f>IF(H3214="","",ROW()-4)</f>
        <v/>
      </c>
    </row>
    <row r="3215">
      <c r="A3215" s="13">
        <f>IF(H3215="","",ROW()-4)</f>
        <v/>
      </c>
      <c r="B3215" s="13">
        <f>IF(H3215="","",ROW()-4)</f>
        <v/>
      </c>
    </row>
    <row r="3216">
      <c r="A3216" s="13">
        <f>IF(H3216="","",ROW()-4)</f>
        <v/>
      </c>
      <c r="B3216" s="13">
        <f>IF(H3216="","",ROW()-4)</f>
        <v/>
      </c>
    </row>
    <row r="3217">
      <c r="A3217" s="13">
        <f>IF(H3217="","",ROW()-4)</f>
        <v/>
      </c>
      <c r="B3217" s="13">
        <f>IF(H3217="","",ROW()-4)</f>
        <v/>
      </c>
    </row>
    <row r="3218">
      <c r="A3218" s="13">
        <f>IF(H3218="","",ROW()-4)</f>
        <v/>
      </c>
      <c r="B3218" s="13">
        <f>IF(H3218="","",ROW()-4)</f>
        <v/>
      </c>
    </row>
    <row r="3219">
      <c r="A3219" s="13">
        <f>IF(H3219="","",ROW()-4)</f>
        <v/>
      </c>
      <c r="B3219" s="13">
        <f>IF(H3219="","",ROW()-4)</f>
        <v/>
      </c>
    </row>
    <row r="3220">
      <c r="A3220" s="13">
        <f>IF(H3220="","",ROW()-4)</f>
        <v/>
      </c>
      <c r="B3220" s="13">
        <f>IF(H3220="","",ROW()-4)</f>
        <v/>
      </c>
    </row>
    <row r="3221">
      <c r="A3221" s="13">
        <f>IF(H3221="","",ROW()-4)</f>
        <v/>
      </c>
      <c r="B3221" s="13">
        <f>IF(H3221="","",ROW()-4)</f>
        <v/>
      </c>
    </row>
    <row r="3222">
      <c r="A3222" s="13">
        <f>IF(H3222="","",ROW()-4)</f>
        <v/>
      </c>
      <c r="B3222" s="13">
        <f>IF(H3222="","",ROW()-4)</f>
        <v/>
      </c>
    </row>
    <row r="3223">
      <c r="A3223" s="13">
        <f>IF(H3223="","",ROW()-4)</f>
        <v/>
      </c>
      <c r="B3223" s="13">
        <f>IF(H3223="","",ROW()-4)</f>
        <v/>
      </c>
    </row>
    <row r="3224">
      <c r="A3224" s="13">
        <f>IF(H3224="","",ROW()-4)</f>
        <v/>
      </c>
      <c r="B3224" s="13">
        <f>IF(H3224="","",ROW()-4)</f>
        <v/>
      </c>
    </row>
    <row r="3225">
      <c r="A3225" s="13">
        <f>IF(H3225="","",ROW()-4)</f>
        <v/>
      </c>
      <c r="B3225" s="13">
        <f>IF(H3225="","",ROW()-4)</f>
        <v/>
      </c>
    </row>
    <row r="3226">
      <c r="A3226" s="13">
        <f>IF(H3226="","",ROW()-4)</f>
        <v/>
      </c>
      <c r="B3226" s="13">
        <f>IF(H3226="","",ROW()-4)</f>
        <v/>
      </c>
    </row>
    <row r="3227">
      <c r="A3227" s="13">
        <f>IF(H3227="","",ROW()-4)</f>
        <v/>
      </c>
      <c r="B3227" s="13">
        <f>IF(H3227="","",ROW()-4)</f>
        <v/>
      </c>
    </row>
    <row r="3228">
      <c r="A3228" s="13">
        <f>IF(H3228="","",ROW()-4)</f>
        <v/>
      </c>
      <c r="B3228" s="13">
        <f>IF(H3228="","",ROW()-4)</f>
        <v/>
      </c>
    </row>
    <row r="3229">
      <c r="A3229" s="13">
        <f>IF(H3229="","",ROW()-4)</f>
        <v/>
      </c>
      <c r="B3229" s="13">
        <f>IF(H3229="","",ROW()-4)</f>
        <v/>
      </c>
    </row>
    <row r="3230">
      <c r="A3230" s="13">
        <f>IF(H3230="","",ROW()-4)</f>
        <v/>
      </c>
      <c r="B3230" s="13">
        <f>IF(H3230="","",ROW()-4)</f>
        <v/>
      </c>
    </row>
    <row r="3231">
      <c r="A3231" s="13">
        <f>IF(H3231="","",ROW()-4)</f>
        <v/>
      </c>
      <c r="B3231" s="13">
        <f>IF(H3231="","",ROW()-4)</f>
        <v/>
      </c>
    </row>
    <row r="3232">
      <c r="A3232" s="13">
        <f>IF(H3232="","",ROW()-4)</f>
        <v/>
      </c>
      <c r="B3232" s="13">
        <f>IF(H3232="","",ROW()-4)</f>
        <v/>
      </c>
    </row>
    <row r="3233">
      <c r="A3233" s="13">
        <f>IF(H3233="","",ROW()-4)</f>
        <v/>
      </c>
      <c r="B3233" s="13">
        <f>IF(H3233="","",ROW()-4)</f>
        <v/>
      </c>
    </row>
    <row r="3234">
      <c r="A3234" s="13">
        <f>IF(H3234="","",ROW()-4)</f>
        <v/>
      </c>
      <c r="B3234" s="13">
        <f>IF(H3234="","",ROW()-4)</f>
        <v/>
      </c>
    </row>
    <row r="3235">
      <c r="A3235" s="13">
        <f>IF(H3235="","",ROW()-4)</f>
        <v/>
      </c>
      <c r="B3235" s="13">
        <f>IF(H3235="","",ROW()-4)</f>
        <v/>
      </c>
    </row>
    <row r="3236">
      <c r="A3236" s="13">
        <f>IF(H3236="","",ROW()-4)</f>
        <v/>
      </c>
      <c r="B3236" s="13">
        <f>IF(H3236="","",ROW()-4)</f>
        <v/>
      </c>
    </row>
    <row r="3237">
      <c r="A3237" s="13">
        <f>IF(H3237="","",ROW()-4)</f>
        <v/>
      </c>
      <c r="B3237" s="13">
        <f>IF(H3237="","",ROW()-4)</f>
        <v/>
      </c>
    </row>
    <row r="3238">
      <c r="A3238" s="13">
        <f>IF(H3238="","",ROW()-4)</f>
        <v/>
      </c>
      <c r="B3238" s="13">
        <f>IF(H3238="","",ROW()-4)</f>
        <v/>
      </c>
    </row>
    <row r="3239">
      <c r="A3239" s="13">
        <f>IF(H3239="","",ROW()-4)</f>
        <v/>
      </c>
      <c r="B3239" s="13">
        <f>IF(H3239="","",ROW()-4)</f>
        <v/>
      </c>
    </row>
    <row r="3240">
      <c r="A3240" s="13">
        <f>IF(H3240="","",ROW()-4)</f>
        <v/>
      </c>
      <c r="B3240" s="13">
        <f>IF(H3240="","",ROW()-4)</f>
        <v/>
      </c>
    </row>
    <row r="3241">
      <c r="A3241" s="13">
        <f>IF(H3241="","",ROW()-4)</f>
        <v/>
      </c>
      <c r="B3241" s="13">
        <f>IF(H3241="","",ROW()-4)</f>
        <v/>
      </c>
    </row>
    <row r="3242">
      <c r="A3242" s="13">
        <f>IF(H3242="","",ROW()-4)</f>
        <v/>
      </c>
      <c r="B3242" s="13">
        <f>IF(H3242="","",ROW()-4)</f>
        <v/>
      </c>
    </row>
    <row r="3243">
      <c r="A3243" s="13">
        <f>IF(H3243="","",ROW()-4)</f>
        <v/>
      </c>
      <c r="B3243" s="13">
        <f>IF(H3243="","",ROW()-4)</f>
        <v/>
      </c>
    </row>
    <row r="3244">
      <c r="A3244" s="13">
        <f>IF(H3244="","",ROW()-4)</f>
        <v/>
      </c>
      <c r="B3244" s="13">
        <f>IF(H3244="","",ROW()-4)</f>
        <v/>
      </c>
    </row>
    <row r="3245">
      <c r="A3245" s="13">
        <f>IF(H3245="","",ROW()-4)</f>
        <v/>
      </c>
      <c r="B3245" s="13">
        <f>IF(H3245="","",ROW()-4)</f>
        <v/>
      </c>
    </row>
    <row r="3246">
      <c r="A3246" s="13">
        <f>IF(H3246="","",ROW()-4)</f>
        <v/>
      </c>
      <c r="B3246" s="13">
        <f>IF(H3246="","",ROW()-4)</f>
        <v/>
      </c>
    </row>
    <row r="3247">
      <c r="A3247" s="13">
        <f>IF(H3247="","",ROW()-4)</f>
        <v/>
      </c>
      <c r="B3247" s="13">
        <f>IF(H3247="","",ROW()-4)</f>
        <v/>
      </c>
    </row>
    <row r="3248">
      <c r="A3248" s="13">
        <f>IF(H3248="","",ROW()-4)</f>
        <v/>
      </c>
      <c r="B3248" s="13">
        <f>IF(H3248="","",ROW()-4)</f>
        <v/>
      </c>
    </row>
    <row r="3249">
      <c r="A3249" s="13">
        <f>IF(H3249="","",ROW()-4)</f>
        <v/>
      </c>
      <c r="B3249" s="13">
        <f>IF(H3249="","",ROW()-4)</f>
        <v/>
      </c>
    </row>
    <row r="3250">
      <c r="A3250" s="13">
        <f>IF(H3250="","",ROW()-4)</f>
        <v/>
      </c>
      <c r="B3250" s="13">
        <f>IF(H3250="","",ROW()-4)</f>
        <v/>
      </c>
    </row>
    <row r="3251">
      <c r="A3251" s="13">
        <f>IF(H3251="","",ROW()-4)</f>
        <v/>
      </c>
      <c r="B3251" s="13">
        <f>IF(H3251="","",ROW()-4)</f>
        <v/>
      </c>
    </row>
    <row r="3252">
      <c r="A3252" s="13">
        <f>IF(H3252="","",ROW()-4)</f>
        <v/>
      </c>
      <c r="B3252" s="13">
        <f>IF(H3252="","",ROW()-4)</f>
        <v/>
      </c>
    </row>
    <row r="3253">
      <c r="A3253" s="13">
        <f>IF(H3253="","",ROW()-4)</f>
        <v/>
      </c>
      <c r="B3253" s="13">
        <f>IF(H3253="","",ROW()-4)</f>
        <v/>
      </c>
    </row>
    <row r="3254">
      <c r="A3254" s="13">
        <f>IF(H3254="","",ROW()-4)</f>
        <v/>
      </c>
      <c r="B3254" s="13">
        <f>IF(H3254="","",ROW()-4)</f>
        <v/>
      </c>
    </row>
    <row r="3255">
      <c r="A3255" s="13">
        <f>IF(H3255="","",ROW()-4)</f>
        <v/>
      </c>
      <c r="B3255" s="13">
        <f>IF(H3255="","",ROW()-4)</f>
        <v/>
      </c>
    </row>
    <row r="3256">
      <c r="A3256" s="13">
        <f>IF(H3256="","",ROW()-4)</f>
        <v/>
      </c>
      <c r="B3256" s="13">
        <f>IF(H3256="","",ROW()-4)</f>
        <v/>
      </c>
    </row>
    <row r="3257">
      <c r="A3257" s="13">
        <f>IF(H3257="","",ROW()-4)</f>
        <v/>
      </c>
      <c r="B3257" s="13">
        <f>IF(H3257="","",ROW()-4)</f>
        <v/>
      </c>
    </row>
    <row r="3258">
      <c r="A3258" s="13">
        <f>IF(H3258="","",ROW()-4)</f>
        <v/>
      </c>
      <c r="B3258" s="13">
        <f>IF(H3258="","",ROW()-4)</f>
        <v/>
      </c>
    </row>
    <row r="3259">
      <c r="A3259" s="13">
        <f>IF(H3259="","",ROW()-4)</f>
        <v/>
      </c>
      <c r="B3259" s="13">
        <f>IF(H3259="","",ROW()-4)</f>
        <v/>
      </c>
    </row>
    <row r="3260">
      <c r="A3260" s="13">
        <f>IF(H3260="","",ROW()-4)</f>
        <v/>
      </c>
      <c r="B3260" s="13">
        <f>IF(H3260="","",ROW()-4)</f>
        <v/>
      </c>
    </row>
    <row r="3261">
      <c r="A3261" s="13">
        <f>IF(H3261="","",ROW()-4)</f>
        <v/>
      </c>
      <c r="B3261" s="13">
        <f>IF(H3261="","",ROW()-4)</f>
        <v/>
      </c>
    </row>
    <row r="3262">
      <c r="A3262" s="13">
        <f>IF(H3262="","",ROW()-4)</f>
        <v/>
      </c>
      <c r="B3262" s="13">
        <f>IF(H3262="","",ROW()-4)</f>
        <v/>
      </c>
    </row>
    <row r="3263">
      <c r="A3263" s="13">
        <f>IF(H3263="","",ROW()-4)</f>
        <v/>
      </c>
      <c r="B3263" s="13">
        <f>IF(H3263="","",ROW()-4)</f>
        <v/>
      </c>
    </row>
    <row r="3264">
      <c r="A3264" s="13">
        <f>IF(H3264="","",ROW()-4)</f>
        <v/>
      </c>
      <c r="B3264" s="13">
        <f>IF(H3264="","",ROW()-4)</f>
        <v/>
      </c>
    </row>
    <row r="3265">
      <c r="A3265" s="13">
        <f>IF(H3265="","",ROW()-4)</f>
        <v/>
      </c>
      <c r="B3265" s="13">
        <f>IF(H3265="","",ROW()-4)</f>
        <v/>
      </c>
    </row>
    <row r="3266">
      <c r="A3266" s="13">
        <f>IF(H3266="","",ROW()-4)</f>
        <v/>
      </c>
      <c r="B3266" s="13">
        <f>IF(H3266="","",ROW()-4)</f>
        <v/>
      </c>
    </row>
    <row r="3267">
      <c r="A3267" s="13">
        <f>IF(H3267="","",ROW()-4)</f>
        <v/>
      </c>
      <c r="B3267" s="13">
        <f>IF(H3267="","",ROW()-4)</f>
        <v/>
      </c>
    </row>
    <row r="3268">
      <c r="A3268" s="13">
        <f>IF(H3268="","",ROW()-4)</f>
        <v/>
      </c>
      <c r="B3268" s="13">
        <f>IF(H3268="","",ROW()-4)</f>
        <v/>
      </c>
    </row>
    <row r="3269">
      <c r="A3269" s="13">
        <f>IF(H3269="","",ROW()-4)</f>
        <v/>
      </c>
      <c r="B3269" s="13">
        <f>IF(H3269="","",ROW()-4)</f>
        <v/>
      </c>
    </row>
    <row r="3270">
      <c r="A3270" s="13">
        <f>IF(H3270="","",ROW()-4)</f>
        <v/>
      </c>
      <c r="B3270" s="13">
        <f>IF(H3270="","",ROW()-4)</f>
        <v/>
      </c>
    </row>
    <row r="3271">
      <c r="A3271" s="13">
        <f>IF(H3271="","",ROW()-4)</f>
        <v/>
      </c>
      <c r="B3271" s="13">
        <f>IF(H3271="","",ROW()-4)</f>
        <v/>
      </c>
    </row>
    <row r="3272">
      <c r="A3272" s="13">
        <f>IF(H3272="","",ROW()-4)</f>
        <v/>
      </c>
      <c r="B3272" s="13">
        <f>IF(H3272="","",ROW()-4)</f>
        <v/>
      </c>
    </row>
    <row r="3273">
      <c r="A3273" s="13">
        <f>IF(H3273="","",ROW()-4)</f>
        <v/>
      </c>
      <c r="B3273" s="13">
        <f>IF(H3273="","",ROW()-4)</f>
        <v/>
      </c>
    </row>
    <row r="3274">
      <c r="A3274" s="13">
        <f>IF(H3274="","",ROW()-4)</f>
        <v/>
      </c>
      <c r="B3274" s="13">
        <f>IF(H3274="","",ROW()-4)</f>
        <v/>
      </c>
    </row>
    <row r="3275">
      <c r="A3275" s="13">
        <f>IF(H3275="","",ROW()-4)</f>
        <v/>
      </c>
      <c r="B3275" s="13">
        <f>IF(H3275="","",ROW()-4)</f>
        <v/>
      </c>
    </row>
    <row r="3276">
      <c r="A3276" s="13">
        <f>IF(H3276="","",ROW()-4)</f>
        <v/>
      </c>
      <c r="B3276" s="13">
        <f>IF(H3276="","",ROW()-4)</f>
        <v/>
      </c>
    </row>
    <row r="3277">
      <c r="A3277" s="13">
        <f>IF(H3277="","",ROW()-4)</f>
        <v/>
      </c>
      <c r="B3277" s="13">
        <f>IF(H3277="","",ROW()-4)</f>
        <v/>
      </c>
    </row>
    <row r="3278">
      <c r="A3278" s="13">
        <f>IF(H3278="","",ROW()-4)</f>
        <v/>
      </c>
      <c r="B3278" s="13">
        <f>IF(H3278="","",ROW()-4)</f>
        <v/>
      </c>
    </row>
    <row r="3279">
      <c r="A3279" s="13">
        <f>IF(H3279="","",ROW()-4)</f>
        <v/>
      </c>
      <c r="B3279" s="13">
        <f>IF(H3279="","",ROW()-4)</f>
        <v/>
      </c>
    </row>
    <row r="3280">
      <c r="A3280" s="13">
        <f>IF(H3280="","",ROW()-4)</f>
        <v/>
      </c>
      <c r="B3280" s="13">
        <f>IF(H3280="","",ROW()-4)</f>
        <v/>
      </c>
    </row>
    <row r="3281">
      <c r="A3281" s="13">
        <f>IF(H3281="","",ROW()-4)</f>
        <v/>
      </c>
      <c r="B3281" s="13">
        <f>IF(H3281="","",ROW()-4)</f>
        <v/>
      </c>
    </row>
    <row r="3282">
      <c r="A3282" s="13">
        <f>IF(H3282="","",ROW()-4)</f>
        <v/>
      </c>
      <c r="B3282" s="13">
        <f>IF(H3282="","",ROW()-4)</f>
        <v/>
      </c>
    </row>
    <row r="3283">
      <c r="A3283" s="13">
        <f>IF(H3283="","",ROW()-4)</f>
        <v/>
      </c>
      <c r="B3283" s="13">
        <f>IF(H3283="","",ROW()-4)</f>
        <v/>
      </c>
    </row>
    <row r="3284">
      <c r="A3284" s="13">
        <f>IF(H3284="","",ROW()-4)</f>
        <v/>
      </c>
      <c r="B3284" s="13">
        <f>IF(H3284="","",ROW()-4)</f>
        <v/>
      </c>
    </row>
    <row r="3285">
      <c r="A3285" s="13">
        <f>IF(H3285="","",ROW()-4)</f>
        <v/>
      </c>
      <c r="B3285" s="13">
        <f>IF(H3285="","",ROW()-4)</f>
        <v/>
      </c>
    </row>
    <row r="3286">
      <c r="A3286" s="13">
        <f>IF(H3286="","",ROW()-4)</f>
        <v/>
      </c>
      <c r="B3286" s="13">
        <f>IF(H3286="","",ROW()-4)</f>
        <v/>
      </c>
    </row>
    <row r="3287">
      <c r="A3287" s="13">
        <f>IF(H3287="","",ROW()-4)</f>
        <v/>
      </c>
      <c r="B3287" s="13">
        <f>IF(H3287="","",ROW()-4)</f>
        <v/>
      </c>
    </row>
    <row r="3288">
      <c r="A3288" s="13">
        <f>IF(H3288="","",ROW()-4)</f>
        <v/>
      </c>
      <c r="B3288" s="13">
        <f>IF(H3288="","",ROW()-4)</f>
        <v/>
      </c>
    </row>
    <row r="3289">
      <c r="A3289" s="13">
        <f>IF(H3289="","",ROW()-4)</f>
        <v/>
      </c>
      <c r="B3289" s="13">
        <f>IF(H3289="","",ROW()-4)</f>
        <v/>
      </c>
    </row>
    <row r="3290">
      <c r="A3290" s="13">
        <f>IF(H3290="","",ROW()-4)</f>
        <v/>
      </c>
      <c r="B3290" s="13">
        <f>IF(H3290="","",ROW()-4)</f>
        <v/>
      </c>
    </row>
    <row r="3291">
      <c r="A3291" s="13">
        <f>IF(H3291="","",ROW()-4)</f>
        <v/>
      </c>
      <c r="B3291" s="13">
        <f>IF(H3291="","",ROW()-4)</f>
        <v/>
      </c>
    </row>
    <row r="3292">
      <c r="A3292" s="13">
        <f>IF(H3292="","",ROW()-4)</f>
        <v/>
      </c>
      <c r="B3292" s="13">
        <f>IF(H3292="","",ROW()-4)</f>
        <v/>
      </c>
    </row>
    <row r="3293">
      <c r="A3293" s="13">
        <f>IF(H3293="","",ROW()-4)</f>
        <v/>
      </c>
      <c r="B3293" s="13">
        <f>IF(H3293="","",ROW()-4)</f>
        <v/>
      </c>
    </row>
    <row r="3294">
      <c r="A3294" s="13">
        <f>IF(H3294="","",ROW()-4)</f>
        <v/>
      </c>
      <c r="B3294" s="13">
        <f>IF(H3294="","",ROW()-4)</f>
        <v/>
      </c>
    </row>
    <row r="3295">
      <c r="A3295" s="13">
        <f>IF(H3295="","",ROW()-4)</f>
        <v/>
      </c>
      <c r="B3295" s="13">
        <f>IF(H3295="","",ROW()-4)</f>
        <v/>
      </c>
    </row>
    <row r="3296">
      <c r="A3296" s="13">
        <f>IF(H3296="","",ROW()-4)</f>
        <v/>
      </c>
      <c r="B3296" s="13">
        <f>IF(H3296="","",ROW()-4)</f>
        <v/>
      </c>
    </row>
    <row r="3297">
      <c r="A3297" s="13">
        <f>IF(H3297="","",ROW()-4)</f>
        <v/>
      </c>
      <c r="B3297" s="13">
        <f>IF(H3297="","",ROW()-4)</f>
        <v/>
      </c>
    </row>
    <row r="3298">
      <c r="A3298" s="13">
        <f>IF(H3298="","",ROW()-4)</f>
        <v/>
      </c>
      <c r="B3298" s="13">
        <f>IF(H3298="","",ROW()-4)</f>
        <v/>
      </c>
    </row>
    <row r="3299">
      <c r="A3299" s="13">
        <f>IF(H3299="","",ROW()-4)</f>
        <v/>
      </c>
      <c r="B3299" s="13">
        <f>IF(H3299="","",ROW()-4)</f>
        <v/>
      </c>
    </row>
    <row r="3300">
      <c r="A3300" s="13">
        <f>IF(H3300="","",ROW()-4)</f>
        <v/>
      </c>
      <c r="B3300" s="13">
        <f>IF(H3300="","",ROW()-4)</f>
        <v/>
      </c>
    </row>
    <row r="3301">
      <c r="A3301" s="13">
        <f>IF(H3301="","",ROW()-4)</f>
        <v/>
      </c>
      <c r="B3301" s="13">
        <f>IF(H3301="","",ROW()-4)</f>
        <v/>
      </c>
    </row>
    <row r="3302">
      <c r="A3302" s="13">
        <f>IF(H3302="","",ROW()-4)</f>
        <v/>
      </c>
      <c r="B3302" s="13">
        <f>IF(H3302="","",ROW()-4)</f>
        <v/>
      </c>
    </row>
    <row r="3303">
      <c r="A3303" s="13">
        <f>IF(H3303="","",ROW()-4)</f>
        <v/>
      </c>
      <c r="B3303" s="13">
        <f>IF(H3303="","",ROW()-4)</f>
        <v/>
      </c>
    </row>
    <row r="3304">
      <c r="A3304" s="13">
        <f>IF(H3304="","",ROW()-4)</f>
        <v/>
      </c>
      <c r="B3304" s="13">
        <f>IF(H3304="","",ROW()-4)</f>
        <v/>
      </c>
    </row>
    <row r="3305">
      <c r="A3305" s="13">
        <f>IF(H3305="","",ROW()-4)</f>
        <v/>
      </c>
      <c r="B3305" s="13">
        <f>IF(H3305="","",ROW()-4)</f>
        <v/>
      </c>
    </row>
    <row r="3306">
      <c r="A3306" s="13">
        <f>IF(H3306="","",ROW()-4)</f>
        <v/>
      </c>
      <c r="B3306" s="13">
        <f>IF(H3306="","",ROW()-4)</f>
        <v/>
      </c>
    </row>
    <row r="3307">
      <c r="A3307" s="13">
        <f>IF(H3307="","",ROW()-4)</f>
        <v/>
      </c>
      <c r="B3307" s="13">
        <f>IF(H3307="","",ROW()-4)</f>
        <v/>
      </c>
    </row>
    <row r="3308">
      <c r="A3308" s="13">
        <f>IF(H3308="","",ROW()-4)</f>
        <v/>
      </c>
      <c r="B3308" s="13">
        <f>IF(H3308="","",ROW()-4)</f>
        <v/>
      </c>
    </row>
    <row r="3309">
      <c r="A3309" s="13">
        <f>IF(H3309="","",ROW()-4)</f>
        <v/>
      </c>
      <c r="B3309" s="13">
        <f>IF(H3309="","",ROW()-4)</f>
        <v/>
      </c>
    </row>
    <row r="3310">
      <c r="A3310" s="13">
        <f>IF(H3310="","",ROW()-4)</f>
        <v/>
      </c>
      <c r="B3310" s="13">
        <f>IF(H3310="","",ROW()-4)</f>
        <v/>
      </c>
    </row>
    <row r="3311">
      <c r="A3311" s="13">
        <f>IF(H3311="","",ROW()-4)</f>
        <v/>
      </c>
      <c r="B3311" s="13">
        <f>IF(H3311="","",ROW()-4)</f>
        <v/>
      </c>
    </row>
    <row r="3312">
      <c r="A3312" s="13">
        <f>IF(H3312="","",ROW()-4)</f>
        <v/>
      </c>
      <c r="B3312" s="13">
        <f>IF(H3312="","",ROW()-4)</f>
        <v/>
      </c>
    </row>
    <row r="3313">
      <c r="A3313" s="13">
        <f>IF(H3313="","",ROW()-4)</f>
        <v/>
      </c>
      <c r="B3313" s="13">
        <f>IF(H3313="","",ROW()-4)</f>
        <v/>
      </c>
    </row>
    <row r="3314">
      <c r="A3314" s="13">
        <f>IF(H3314="","",ROW()-4)</f>
        <v/>
      </c>
      <c r="B3314" s="13">
        <f>IF(H3314="","",ROW()-4)</f>
        <v/>
      </c>
    </row>
    <row r="3315">
      <c r="A3315" s="13">
        <f>IF(H3315="","",ROW()-4)</f>
        <v/>
      </c>
      <c r="B3315" s="13">
        <f>IF(H3315="","",ROW()-4)</f>
        <v/>
      </c>
    </row>
    <row r="3316">
      <c r="A3316" s="13">
        <f>IF(H3316="","",ROW()-4)</f>
        <v/>
      </c>
      <c r="B3316" s="13">
        <f>IF(H3316="","",ROW()-4)</f>
        <v/>
      </c>
    </row>
    <row r="3317">
      <c r="A3317" s="13">
        <f>IF(H3317="","",ROW()-4)</f>
        <v/>
      </c>
      <c r="B3317" s="13">
        <f>IF(H3317="","",ROW()-4)</f>
        <v/>
      </c>
    </row>
    <row r="3318">
      <c r="A3318" s="13">
        <f>IF(H3318="","",ROW()-4)</f>
        <v/>
      </c>
      <c r="B3318" s="13">
        <f>IF(H3318="","",ROW()-4)</f>
        <v/>
      </c>
    </row>
    <row r="3319">
      <c r="A3319" s="13">
        <f>IF(H3319="","",ROW()-4)</f>
        <v/>
      </c>
      <c r="B3319" s="13">
        <f>IF(H3319="","",ROW()-4)</f>
        <v/>
      </c>
    </row>
    <row r="3320">
      <c r="A3320" s="13">
        <f>IF(H3320="","",ROW()-4)</f>
        <v/>
      </c>
      <c r="B3320" s="13">
        <f>IF(H3320="","",ROW()-4)</f>
        <v/>
      </c>
    </row>
    <row r="3321">
      <c r="A3321" s="13">
        <f>IF(H3321="","",ROW()-4)</f>
        <v/>
      </c>
      <c r="B3321" s="13">
        <f>IF(H3321="","",ROW()-4)</f>
        <v/>
      </c>
    </row>
    <row r="3322">
      <c r="A3322" s="13">
        <f>IF(H3322="","",ROW()-4)</f>
        <v/>
      </c>
      <c r="B3322" s="13">
        <f>IF(H3322="","",ROW()-4)</f>
        <v/>
      </c>
    </row>
    <row r="3323">
      <c r="A3323" s="13">
        <f>IF(H3323="","",ROW()-4)</f>
        <v/>
      </c>
      <c r="B3323" s="13">
        <f>IF(H3323="","",ROW()-4)</f>
        <v/>
      </c>
    </row>
    <row r="3324">
      <c r="A3324" s="13">
        <f>IF(H3324="","",ROW()-4)</f>
        <v/>
      </c>
      <c r="B3324" s="13">
        <f>IF(H3324="","",ROW()-4)</f>
        <v/>
      </c>
    </row>
    <row r="3325">
      <c r="A3325" s="13">
        <f>IF(H3325="","",ROW()-4)</f>
        <v/>
      </c>
      <c r="B3325" s="13">
        <f>IF(H3325="","",ROW()-4)</f>
        <v/>
      </c>
    </row>
    <row r="3326">
      <c r="A3326" s="13">
        <f>IF(H3326="","",ROW()-4)</f>
        <v/>
      </c>
      <c r="B3326" s="13">
        <f>IF(H3326="","",ROW()-4)</f>
        <v/>
      </c>
    </row>
    <row r="3327">
      <c r="A3327" s="13">
        <f>IF(H3327="","",ROW()-4)</f>
        <v/>
      </c>
      <c r="B3327" s="13">
        <f>IF(H3327="","",ROW()-4)</f>
        <v/>
      </c>
    </row>
    <row r="3328">
      <c r="A3328" s="13">
        <f>IF(H3328="","",ROW()-4)</f>
        <v/>
      </c>
      <c r="B3328" s="13">
        <f>IF(H3328="","",ROW()-4)</f>
        <v/>
      </c>
    </row>
    <row r="3329">
      <c r="A3329" s="13">
        <f>IF(H3329="","",ROW()-4)</f>
        <v/>
      </c>
      <c r="B3329" s="13">
        <f>IF(H3329="","",ROW()-4)</f>
        <v/>
      </c>
    </row>
    <row r="3330">
      <c r="A3330" s="13">
        <f>IF(H3330="","",ROW()-4)</f>
        <v/>
      </c>
      <c r="B3330" s="13">
        <f>IF(H3330="","",ROW()-4)</f>
        <v/>
      </c>
    </row>
    <row r="3331">
      <c r="A3331" s="13">
        <f>IF(H3331="","",ROW()-4)</f>
        <v/>
      </c>
      <c r="B3331" s="13">
        <f>IF(H3331="","",ROW()-4)</f>
        <v/>
      </c>
    </row>
    <row r="3332">
      <c r="A3332" s="13">
        <f>IF(H3332="","",ROW()-4)</f>
        <v/>
      </c>
      <c r="B3332" s="13">
        <f>IF(H3332="","",ROW()-4)</f>
        <v/>
      </c>
    </row>
    <row r="3333">
      <c r="A3333" s="13">
        <f>IF(H3333="","",ROW()-4)</f>
        <v/>
      </c>
      <c r="B3333" s="13">
        <f>IF(H3333="","",ROW()-4)</f>
        <v/>
      </c>
    </row>
    <row r="3334">
      <c r="A3334" s="13">
        <f>IF(H3334="","",ROW()-4)</f>
        <v/>
      </c>
      <c r="B3334" s="13">
        <f>IF(H3334="","",ROW()-4)</f>
        <v/>
      </c>
    </row>
    <row r="3335">
      <c r="A3335" s="13">
        <f>IF(H3335="","",ROW()-4)</f>
        <v/>
      </c>
      <c r="B3335" s="13">
        <f>IF(H3335="","",ROW()-4)</f>
        <v/>
      </c>
    </row>
    <row r="3336">
      <c r="A3336" s="13">
        <f>IF(H3336="","",ROW()-4)</f>
        <v/>
      </c>
      <c r="B3336" s="13">
        <f>IF(H3336="","",ROW()-4)</f>
        <v/>
      </c>
    </row>
    <row r="3337">
      <c r="A3337" s="13">
        <f>IF(H3337="","",ROW()-4)</f>
        <v/>
      </c>
      <c r="B3337" s="13">
        <f>IF(H3337="","",ROW()-4)</f>
        <v/>
      </c>
    </row>
    <row r="3338">
      <c r="A3338" s="13">
        <f>IF(H3338="","",ROW()-4)</f>
        <v/>
      </c>
      <c r="B3338" s="13">
        <f>IF(H3338="","",ROW()-4)</f>
        <v/>
      </c>
    </row>
    <row r="3339">
      <c r="A3339" s="13">
        <f>IF(H3339="","",ROW()-4)</f>
        <v/>
      </c>
      <c r="B3339" s="13">
        <f>IF(H3339="","",ROW()-4)</f>
        <v/>
      </c>
    </row>
    <row r="3340">
      <c r="A3340" s="13">
        <f>IF(H3340="","",ROW()-4)</f>
        <v/>
      </c>
      <c r="B3340" s="13">
        <f>IF(H3340="","",ROW()-4)</f>
        <v/>
      </c>
    </row>
    <row r="3341">
      <c r="A3341" s="13">
        <f>IF(H3341="","",ROW()-4)</f>
        <v/>
      </c>
      <c r="B3341" s="13">
        <f>IF(H3341="","",ROW()-4)</f>
        <v/>
      </c>
    </row>
    <row r="3342">
      <c r="A3342" s="13">
        <f>IF(H3342="","",ROW()-4)</f>
        <v/>
      </c>
      <c r="B3342" s="13">
        <f>IF(H3342="","",ROW()-4)</f>
        <v/>
      </c>
    </row>
    <row r="3343">
      <c r="A3343" s="13">
        <f>IF(H3343="","",ROW()-4)</f>
        <v/>
      </c>
      <c r="B3343" s="13">
        <f>IF(H3343="","",ROW()-4)</f>
        <v/>
      </c>
    </row>
    <row r="3344">
      <c r="A3344" s="13">
        <f>IF(H3344="","",ROW()-4)</f>
        <v/>
      </c>
      <c r="B3344" s="13">
        <f>IF(H3344="","",ROW()-4)</f>
        <v/>
      </c>
    </row>
    <row r="3345">
      <c r="A3345" s="13">
        <f>IF(H3345="","",ROW()-4)</f>
        <v/>
      </c>
      <c r="B3345" s="13">
        <f>IF(H3345="","",ROW()-4)</f>
        <v/>
      </c>
    </row>
    <row r="3346">
      <c r="A3346" s="13">
        <f>IF(H3346="","",ROW()-4)</f>
        <v/>
      </c>
      <c r="B3346" s="13">
        <f>IF(H3346="","",ROW()-4)</f>
        <v/>
      </c>
    </row>
    <row r="3347">
      <c r="A3347" s="13">
        <f>IF(H3347="","",ROW()-4)</f>
        <v/>
      </c>
      <c r="B3347" s="13">
        <f>IF(H3347="","",ROW()-4)</f>
        <v/>
      </c>
    </row>
    <row r="3348">
      <c r="A3348" s="13">
        <f>IF(H3348="","",ROW()-4)</f>
        <v/>
      </c>
      <c r="B3348" s="13">
        <f>IF(H3348="","",ROW()-4)</f>
        <v/>
      </c>
    </row>
    <row r="3349">
      <c r="A3349" s="13">
        <f>IF(H3349="","",ROW()-4)</f>
        <v/>
      </c>
      <c r="B3349" s="13">
        <f>IF(H3349="","",ROW()-4)</f>
        <v/>
      </c>
    </row>
    <row r="3350">
      <c r="A3350" s="13">
        <f>IF(H3350="","",ROW()-4)</f>
        <v/>
      </c>
      <c r="B3350" s="13">
        <f>IF(H3350="","",ROW()-4)</f>
        <v/>
      </c>
    </row>
    <row r="3351">
      <c r="A3351" s="13">
        <f>IF(H3351="","",ROW()-4)</f>
        <v/>
      </c>
      <c r="B3351" s="13">
        <f>IF(H3351="","",ROW()-4)</f>
        <v/>
      </c>
    </row>
    <row r="3352">
      <c r="A3352" s="13">
        <f>IF(H3352="","",ROW()-4)</f>
        <v/>
      </c>
      <c r="B3352" s="13">
        <f>IF(H3352="","",ROW()-4)</f>
        <v/>
      </c>
    </row>
    <row r="3353">
      <c r="A3353" s="13">
        <f>IF(H3353="","",ROW()-4)</f>
        <v/>
      </c>
      <c r="B3353" s="13">
        <f>IF(H3353="","",ROW()-4)</f>
        <v/>
      </c>
    </row>
    <row r="3354">
      <c r="A3354" s="13">
        <f>IF(H3354="","",ROW()-4)</f>
        <v/>
      </c>
      <c r="B3354" s="13">
        <f>IF(H3354="","",ROW()-4)</f>
        <v/>
      </c>
    </row>
    <row r="3355">
      <c r="A3355" s="13">
        <f>IF(H3355="","",ROW()-4)</f>
        <v/>
      </c>
      <c r="B3355" s="13">
        <f>IF(H3355="","",ROW()-4)</f>
        <v/>
      </c>
    </row>
    <row r="3356">
      <c r="A3356" s="13">
        <f>IF(H3356="","",ROW()-4)</f>
        <v/>
      </c>
      <c r="B3356" s="13">
        <f>IF(H3356="","",ROW()-4)</f>
        <v/>
      </c>
    </row>
    <row r="3357">
      <c r="A3357" s="13">
        <f>IF(H3357="","",ROW()-4)</f>
        <v/>
      </c>
      <c r="B3357" s="13">
        <f>IF(H3357="","",ROW()-4)</f>
        <v/>
      </c>
    </row>
    <row r="3358">
      <c r="A3358" s="13">
        <f>IF(H3358="","",ROW()-4)</f>
        <v/>
      </c>
      <c r="B3358" s="13">
        <f>IF(H3358="","",ROW()-4)</f>
        <v/>
      </c>
    </row>
    <row r="3359">
      <c r="A3359" s="13">
        <f>IF(H3359="","",ROW()-4)</f>
        <v/>
      </c>
      <c r="B3359" s="13">
        <f>IF(H3359="","",ROW()-4)</f>
        <v/>
      </c>
    </row>
    <row r="3360">
      <c r="A3360" s="13">
        <f>IF(H3360="","",ROW()-4)</f>
        <v/>
      </c>
      <c r="B3360" s="13">
        <f>IF(H3360="","",ROW()-4)</f>
        <v/>
      </c>
    </row>
    <row r="3361">
      <c r="A3361" s="13">
        <f>IF(H3361="","",ROW()-4)</f>
        <v/>
      </c>
      <c r="B3361" s="13">
        <f>IF(H3361="","",ROW()-4)</f>
        <v/>
      </c>
    </row>
    <row r="3362">
      <c r="A3362" s="13">
        <f>IF(H3362="","",ROW()-4)</f>
        <v/>
      </c>
      <c r="B3362" s="13">
        <f>IF(H3362="","",ROW()-4)</f>
        <v/>
      </c>
    </row>
    <row r="3363">
      <c r="A3363" s="13">
        <f>IF(H3363="","",ROW()-4)</f>
        <v/>
      </c>
      <c r="B3363" s="13">
        <f>IF(H3363="","",ROW()-4)</f>
        <v/>
      </c>
    </row>
    <row r="3364">
      <c r="A3364" s="13">
        <f>IF(H3364="","",ROW()-4)</f>
        <v/>
      </c>
      <c r="B3364" s="13">
        <f>IF(H3364="","",ROW()-4)</f>
        <v/>
      </c>
    </row>
    <row r="3365">
      <c r="A3365" s="13">
        <f>IF(H3365="","",ROW()-4)</f>
        <v/>
      </c>
      <c r="B3365" s="13">
        <f>IF(H3365="","",ROW()-4)</f>
        <v/>
      </c>
    </row>
    <row r="3366">
      <c r="A3366" s="13">
        <f>IF(H3366="","",ROW()-4)</f>
        <v/>
      </c>
      <c r="B3366" s="13">
        <f>IF(H3366="","",ROW()-4)</f>
        <v/>
      </c>
    </row>
    <row r="3367">
      <c r="A3367" s="13">
        <f>IF(H3367="","",ROW()-4)</f>
        <v/>
      </c>
      <c r="B3367" s="13">
        <f>IF(H3367="","",ROW()-4)</f>
        <v/>
      </c>
    </row>
    <row r="3368">
      <c r="A3368" s="13">
        <f>IF(H3368="","",ROW()-4)</f>
        <v/>
      </c>
      <c r="B3368" s="13">
        <f>IF(H3368="","",ROW()-4)</f>
        <v/>
      </c>
    </row>
    <row r="3369">
      <c r="A3369" s="13">
        <f>IF(H3369="","",ROW()-4)</f>
        <v/>
      </c>
      <c r="B3369" s="13">
        <f>IF(H3369="","",ROW()-4)</f>
        <v/>
      </c>
    </row>
    <row r="3370">
      <c r="A3370" s="13">
        <f>IF(H3370="","",ROW()-4)</f>
        <v/>
      </c>
      <c r="B3370" s="13">
        <f>IF(H3370="","",ROW()-4)</f>
        <v/>
      </c>
    </row>
    <row r="3371">
      <c r="A3371" s="13">
        <f>IF(H3371="","",ROW()-4)</f>
        <v/>
      </c>
      <c r="B3371" s="13">
        <f>IF(H3371="","",ROW()-4)</f>
        <v/>
      </c>
    </row>
    <row r="3372">
      <c r="A3372" s="13">
        <f>IF(H3372="","",ROW()-4)</f>
        <v/>
      </c>
      <c r="B3372" s="13">
        <f>IF(H3372="","",ROW()-4)</f>
        <v/>
      </c>
    </row>
    <row r="3373">
      <c r="A3373" s="13">
        <f>IF(H3373="","",ROW()-4)</f>
        <v/>
      </c>
      <c r="B3373" s="13">
        <f>IF(H3373="","",ROW()-4)</f>
        <v/>
      </c>
    </row>
    <row r="3374">
      <c r="A3374" s="13">
        <f>IF(H3374="","",ROW()-4)</f>
        <v/>
      </c>
      <c r="B3374" s="13">
        <f>IF(H3374="","",ROW()-4)</f>
        <v/>
      </c>
    </row>
    <row r="3375">
      <c r="A3375" s="13">
        <f>IF(H3375="","",ROW()-4)</f>
        <v/>
      </c>
      <c r="B3375" s="13">
        <f>IF(H3375="","",ROW()-4)</f>
        <v/>
      </c>
    </row>
    <row r="3376">
      <c r="A3376" s="13">
        <f>IF(H3376="","",ROW()-4)</f>
        <v/>
      </c>
      <c r="B3376" s="13">
        <f>IF(H3376="","",ROW()-4)</f>
        <v/>
      </c>
    </row>
    <row r="3377">
      <c r="A3377" s="13">
        <f>IF(H3377="","",ROW()-4)</f>
        <v/>
      </c>
      <c r="B3377" s="13">
        <f>IF(H3377="","",ROW()-4)</f>
        <v/>
      </c>
    </row>
    <row r="3378">
      <c r="A3378" s="13">
        <f>IF(H3378="","",ROW()-4)</f>
        <v/>
      </c>
      <c r="B3378" s="13">
        <f>IF(H3378="","",ROW()-4)</f>
        <v/>
      </c>
    </row>
    <row r="3379">
      <c r="A3379" s="13">
        <f>IF(H3379="","",ROW()-4)</f>
        <v/>
      </c>
      <c r="B3379" s="13">
        <f>IF(H3379="","",ROW()-4)</f>
        <v/>
      </c>
    </row>
    <row r="3380">
      <c r="A3380" s="13">
        <f>IF(H3380="","",ROW()-4)</f>
        <v/>
      </c>
      <c r="B3380" s="13">
        <f>IF(H3380="","",ROW()-4)</f>
        <v/>
      </c>
    </row>
    <row r="3381">
      <c r="A3381" s="13">
        <f>IF(H3381="","",ROW()-4)</f>
        <v/>
      </c>
      <c r="B3381" s="13">
        <f>IF(H3381="","",ROW()-4)</f>
        <v/>
      </c>
    </row>
    <row r="3382">
      <c r="A3382" s="13">
        <f>IF(H3382="","",ROW()-4)</f>
        <v/>
      </c>
      <c r="B3382" s="13">
        <f>IF(H3382="","",ROW()-4)</f>
        <v/>
      </c>
    </row>
    <row r="3383">
      <c r="A3383" s="13">
        <f>IF(H3383="","",ROW()-4)</f>
        <v/>
      </c>
      <c r="B3383" s="13">
        <f>IF(H3383="","",ROW()-4)</f>
        <v/>
      </c>
    </row>
    <row r="3384">
      <c r="A3384" s="13">
        <f>IF(H3384="","",ROW()-4)</f>
        <v/>
      </c>
      <c r="B3384" s="13">
        <f>IF(H3384="","",ROW()-4)</f>
        <v/>
      </c>
    </row>
    <row r="3385">
      <c r="A3385" s="13">
        <f>IF(H3385="","",ROW()-4)</f>
        <v/>
      </c>
      <c r="B3385" s="13">
        <f>IF(H3385="","",ROW()-4)</f>
        <v/>
      </c>
    </row>
    <row r="3386">
      <c r="A3386" s="13">
        <f>IF(H3386="","",ROW()-4)</f>
        <v/>
      </c>
      <c r="B3386" s="13">
        <f>IF(H3386="","",ROW()-4)</f>
        <v/>
      </c>
    </row>
    <row r="3387">
      <c r="A3387" s="13">
        <f>IF(H3387="","",ROW()-4)</f>
        <v/>
      </c>
      <c r="B3387" s="13">
        <f>IF(H3387="","",ROW()-4)</f>
        <v/>
      </c>
    </row>
    <row r="3388">
      <c r="A3388" s="13">
        <f>IF(H3388="","",ROW()-4)</f>
        <v/>
      </c>
      <c r="B3388" s="13">
        <f>IF(H3388="","",ROW()-4)</f>
        <v/>
      </c>
    </row>
    <row r="3389">
      <c r="A3389" s="13">
        <f>IF(H3389="","",ROW()-4)</f>
        <v/>
      </c>
      <c r="B3389" s="13">
        <f>IF(H3389="","",ROW()-4)</f>
        <v/>
      </c>
    </row>
    <row r="3390">
      <c r="A3390" s="13">
        <f>IF(H3390="","",ROW()-4)</f>
        <v/>
      </c>
      <c r="B3390" s="13">
        <f>IF(H3390="","",ROW()-4)</f>
        <v/>
      </c>
    </row>
    <row r="3391">
      <c r="A3391" s="13">
        <f>IF(H3391="","",ROW()-4)</f>
        <v/>
      </c>
      <c r="B3391" s="13">
        <f>IF(H3391="","",ROW()-4)</f>
        <v/>
      </c>
    </row>
    <row r="3392">
      <c r="A3392" s="13">
        <f>IF(H3392="","",ROW()-4)</f>
        <v/>
      </c>
      <c r="B3392" s="13">
        <f>IF(H3392="","",ROW()-4)</f>
        <v/>
      </c>
    </row>
    <row r="3393">
      <c r="A3393" s="13">
        <f>IF(H3393="","",ROW()-4)</f>
        <v/>
      </c>
      <c r="B3393" s="13">
        <f>IF(H3393="","",ROW()-4)</f>
        <v/>
      </c>
    </row>
    <row r="3394">
      <c r="A3394" s="13">
        <f>IF(H3394="","",ROW()-4)</f>
        <v/>
      </c>
      <c r="B3394" s="13">
        <f>IF(H3394="","",ROW()-4)</f>
        <v/>
      </c>
    </row>
    <row r="3395">
      <c r="A3395" s="13">
        <f>IF(H3395="","",ROW()-4)</f>
        <v/>
      </c>
      <c r="B3395" s="13">
        <f>IF(H3395="","",ROW()-4)</f>
        <v/>
      </c>
    </row>
    <row r="3396">
      <c r="A3396" s="13">
        <f>IF(H3396="","",ROW()-4)</f>
        <v/>
      </c>
      <c r="B3396" s="13">
        <f>IF(H3396="","",ROW()-4)</f>
        <v/>
      </c>
    </row>
    <row r="3397">
      <c r="A3397" s="13">
        <f>IF(H3397="","",ROW()-4)</f>
        <v/>
      </c>
      <c r="B3397" s="13">
        <f>IF(H3397="","",ROW()-4)</f>
        <v/>
      </c>
    </row>
    <row r="3398">
      <c r="A3398" s="13">
        <f>IF(H3398="","",ROW()-4)</f>
        <v/>
      </c>
      <c r="B3398" s="13">
        <f>IF(H3398="","",ROW()-4)</f>
        <v/>
      </c>
    </row>
    <row r="3399">
      <c r="A3399" s="13">
        <f>IF(H3399="","",ROW()-4)</f>
        <v/>
      </c>
      <c r="B3399" s="13">
        <f>IF(H3399="","",ROW()-4)</f>
        <v/>
      </c>
    </row>
    <row r="3400">
      <c r="A3400" s="13">
        <f>IF(H3400="","",ROW()-4)</f>
        <v/>
      </c>
      <c r="B3400" s="13">
        <f>IF(H3400="","",ROW()-4)</f>
        <v/>
      </c>
    </row>
    <row r="3401">
      <c r="A3401" s="13">
        <f>IF(H3401="","",ROW()-4)</f>
        <v/>
      </c>
      <c r="B3401" s="13">
        <f>IF(H3401="","",ROW()-4)</f>
        <v/>
      </c>
    </row>
    <row r="3402">
      <c r="A3402" s="13">
        <f>IF(H3402="","",ROW()-4)</f>
        <v/>
      </c>
      <c r="B3402" s="13">
        <f>IF(H3402="","",ROW()-4)</f>
        <v/>
      </c>
    </row>
    <row r="3403">
      <c r="A3403" s="13">
        <f>IF(H3403="","",ROW()-4)</f>
        <v/>
      </c>
      <c r="B3403" s="13">
        <f>IF(H3403="","",ROW()-4)</f>
        <v/>
      </c>
    </row>
    <row r="3404">
      <c r="A3404" s="13">
        <f>IF(H3404="","",ROW()-4)</f>
        <v/>
      </c>
      <c r="B3404" s="13">
        <f>IF(H3404="","",ROW()-4)</f>
        <v/>
      </c>
    </row>
    <row r="3405">
      <c r="A3405" s="13">
        <f>IF(H3405="","",ROW()-4)</f>
        <v/>
      </c>
      <c r="B3405" s="13">
        <f>IF(H3405="","",ROW()-4)</f>
        <v/>
      </c>
    </row>
    <row r="3406">
      <c r="A3406" s="13">
        <f>IF(H3406="","",ROW()-4)</f>
        <v/>
      </c>
      <c r="B3406" s="13">
        <f>IF(H3406="","",ROW()-4)</f>
        <v/>
      </c>
    </row>
    <row r="3407">
      <c r="A3407" s="13">
        <f>IF(H3407="","",ROW()-4)</f>
        <v/>
      </c>
      <c r="B3407" s="13">
        <f>IF(H3407="","",ROW()-4)</f>
        <v/>
      </c>
    </row>
    <row r="3408">
      <c r="A3408" s="13">
        <f>IF(H3408="","",ROW()-4)</f>
        <v/>
      </c>
      <c r="B3408" s="13">
        <f>IF(H3408="","",ROW()-4)</f>
        <v/>
      </c>
    </row>
    <row r="3409">
      <c r="A3409" s="13">
        <f>IF(H3409="","",ROW()-4)</f>
        <v/>
      </c>
      <c r="B3409" s="13">
        <f>IF(H3409="","",ROW()-4)</f>
        <v/>
      </c>
    </row>
    <row r="3410">
      <c r="A3410" s="13">
        <f>IF(H3410="","",ROW()-4)</f>
        <v/>
      </c>
      <c r="B3410" s="13">
        <f>IF(H3410="","",ROW()-4)</f>
        <v/>
      </c>
    </row>
    <row r="3411">
      <c r="A3411" s="13">
        <f>IF(H3411="","",ROW()-4)</f>
        <v/>
      </c>
      <c r="B3411" s="13">
        <f>IF(H3411="","",ROW()-4)</f>
        <v/>
      </c>
    </row>
    <row r="3412">
      <c r="A3412" s="13">
        <f>IF(H3412="","",ROW()-4)</f>
        <v/>
      </c>
      <c r="B3412" s="13">
        <f>IF(H3412="","",ROW()-4)</f>
        <v/>
      </c>
    </row>
    <row r="3413">
      <c r="A3413" s="13">
        <f>IF(H3413="","",ROW()-4)</f>
        <v/>
      </c>
      <c r="B3413" s="13">
        <f>IF(H3413="","",ROW()-4)</f>
        <v/>
      </c>
    </row>
    <row r="3414">
      <c r="A3414" s="13">
        <f>IF(H3414="","",ROW()-4)</f>
        <v/>
      </c>
      <c r="B3414" s="13">
        <f>IF(H3414="","",ROW()-4)</f>
        <v/>
      </c>
    </row>
    <row r="3415">
      <c r="A3415" s="13">
        <f>IF(H3415="","",ROW()-4)</f>
        <v/>
      </c>
      <c r="B3415" s="13">
        <f>IF(H3415="","",ROW()-4)</f>
        <v/>
      </c>
    </row>
    <row r="3416">
      <c r="A3416" s="13">
        <f>IF(H3416="","",ROW()-4)</f>
        <v/>
      </c>
      <c r="B3416" s="13">
        <f>IF(H3416="","",ROW()-4)</f>
        <v/>
      </c>
    </row>
    <row r="3417">
      <c r="A3417" s="13">
        <f>IF(H3417="","",ROW()-4)</f>
        <v/>
      </c>
      <c r="B3417" s="13">
        <f>IF(H3417="","",ROW()-4)</f>
        <v/>
      </c>
    </row>
    <row r="3418">
      <c r="A3418" s="13">
        <f>IF(H3418="","",ROW()-4)</f>
        <v/>
      </c>
      <c r="B3418" s="13">
        <f>IF(H3418="","",ROW()-4)</f>
        <v/>
      </c>
    </row>
    <row r="3419">
      <c r="A3419" s="13">
        <f>IF(H3419="","",ROW()-4)</f>
        <v/>
      </c>
      <c r="B3419" s="13">
        <f>IF(H3419="","",ROW()-4)</f>
        <v/>
      </c>
    </row>
    <row r="3420">
      <c r="A3420" s="13">
        <f>IF(H3420="","",ROW()-4)</f>
        <v/>
      </c>
      <c r="B3420" s="13">
        <f>IF(H3420="","",ROW()-4)</f>
        <v/>
      </c>
    </row>
    <row r="3421">
      <c r="A3421" s="13">
        <f>IF(H3421="","",ROW()-4)</f>
        <v/>
      </c>
      <c r="B3421" s="13">
        <f>IF(H3421="","",ROW()-4)</f>
        <v/>
      </c>
    </row>
    <row r="3422">
      <c r="A3422" s="13">
        <f>IF(H3422="","",ROW()-4)</f>
        <v/>
      </c>
      <c r="B3422" s="13">
        <f>IF(H3422="","",ROW()-4)</f>
        <v/>
      </c>
    </row>
    <row r="3423">
      <c r="A3423" s="13">
        <f>IF(H3423="","",ROW()-4)</f>
        <v/>
      </c>
      <c r="B3423" s="13">
        <f>IF(H3423="","",ROW()-4)</f>
        <v/>
      </c>
    </row>
    <row r="3424">
      <c r="A3424" s="13">
        <f>IF(H3424="","",ROW()-4)</f>
        <v/>
      </c>
      <c r="B3424" s="13">
        <f>IF(H3424="","",ROW()-4)</f>
        <v/>
      </c>
    </row>
    <row r="3425">
      <c r="A3425" s="13">
        <f>IF(H3425="","",ROW()-4)</f>
        <v/>
      </c>
      <c r="B3425" s="13">
        <f>IF(H3425="","",ROW()-4)</f>
        <v/>
      </c>
    </row>
    <row r="3426">
      <c r="A3426" s="13">
        <f>IF(H3426="","",ROW()-4)</f>
        <v/>
      </c>
      <c r="B3426" s="13">
        <f>IF(H3426="","",ROW()-4)</f>
        <v/>
      </c>
    </row>
    <row r="3427">
      <c r="A3427" s="13">
        <f>IF(H3427="","",ROW()-4)</f>
        <v/>
      </c>
      <c r="B3427" s="13">
        <f>IF(H3427="","",ROW()-4)</f>
        <v/>
      </c>
    </row>
    <row r="3428">
      <c r="A3428" s="13">
        <f>IF(H3428="","",ROW()-4)</f>
        <v/>
      </c>
      <c r="B3428" s="13">
        <f>IF(H3428="","",ROW()-4)</f>
        <v/>
      </c>
    </row>
    <row r="3429">
      <c r="A3429" s="13">
        <f>IF(H3429="","",ROW()-4)</f>
        <v/>
      </c>
      <c r="B3429" s="13">
        <f>IF(H3429="","",ROW()-4)</f>
        <v/>
      </c>
    </row>
    <row r="3430">
      <c r="A3430" s="13">
        <f>IF(H3430="","",ROW()-4)</f>
        <v/>
      </c>
      <c r="B3430" s="13">
        <f>IF(H3430="","",ROW()-4)</f>
        <v/>
      </c>
    </row>
    <row r="3431">
      <c r="A3431" s="13">
        <f>IF(H3431="","",ROW()-4)</f>
        <v/>
      </c>
      <c r="B3431" s="13">
        <f>IF(H3431="","",ROW()-4)</f>
        <v/>
      </c>
    </row>
    <row r="3432">
      <c r="A3432" s="13">
        <f>IF(H3432="","",ROW()-4)</f>
        <v/>
      </c>
      <c r="B3432" s="13">
        <f>IF(H3432="","",ROW()-4)</f>
        <v/>
      </c>
    </row>
    <row r="3433">
      <c r="A3433" s="13">
        <f>IF(H3433="","",ROW()-4)</f>
        <v/>
      </c>
      <c r="B3433" s="13">
        <f>IF(H3433="","",ROW()-4)</f>
        <v/>
      </c>
    </row>
    <row r="3434">
      <c r="A3434" s="13">
        <f>IF(H3434="","",ROW()-4)</f>
        <v/>
      </c>
      <c r="B3434" s="13">
        <f>IF(H3434="","",ROW()-4)</f>
        <v/>
      </c>
    </row>
    <row r="3435">
      <c r="A3435" s="13">
        <f>IF(H3435="","",ROW()-4)</f>
        <v/>
      </c>
      <c r="B3435" s="13">
        <f>IF(H3435="","",ROW()-4)</f>
        <v/>
      </c>
    </row>
    <row r="3436">
      <c r="A3436" s="13">
        <f>IF(H3436="","",ROW()-4)</f>
        <v/>
      </c>
      <c r="B3436" s="13">
        <f>IF(H3436="","",ROW()-4)</f>
        <v/>
      </c>
    </row>
    <row r="3437">
      <c r="A3437" s="13">
        <f>IF(H3437="","",ROW()-4)</f>
        <v/>
      </c>
      <c r="B3437" s="13">
        <f>IF(H3437="","",ROW()-4)</f>
        <v/>
      </c>
    </row>
    <row r="3438">
      <c r="A3438" s="13">
        <f>IF(H3438="","",ROW()-4)</f>
        <v/>
      </c>
      <c r="B3438" s="13">
        <f>IF(H3438="","",ROW()-4)</f>
        <v/>
      </c>
    </row>
    <row r="3439">
      <c r="A3439" s="13">
        <f>IF(H3439="","",ROW()-4)</f>
        <v/>
      </c>
      <c r="B3439" s="13">
        <f>IF(H3439="","",ROW()-4)</f>
        <v/>
      </c>
    </row>
    <row r="3440">
      <c r="A3440" s="13">
        <f>IF(H3440="","",ROW()-4)</f>
        <v/>
      </c>
      <c r="B3440" s="13">
        <f>IF(H3440="","",ROW()-4)</f>
        <v/>
      </c>
    </row>
    <row r="3441">
      <c r="A3441" s="13">
        <f>IF(H3441="","",ROW()-4)</f>
        <v/>
      </c>
      <c r="B3441" s="13">
        <f>IF(H3441="","",ROW()-4)</f>
        <v/>
      </c>
    </row>
    <row r="3442">
      <c r="A3442" s="13">
        <f>IF(H3442="","",ROW()-4)</f>
        <v/>
      </c>
      <c r="B3442" s="13">
        <f>IF(H3442="","",ROW()-4)</f>
        <v/>
      </c>
    </row>
    <row r="3443">
      <c r="A3443" s="13">
        <f>IF(H3443="","",ROW()-4)</f>
        <v/>
      </c>
      <c r="B3443" s="13">
        <f>IF(H3443="","",ROW()-4)</f>
        <v/>
      </c>
    </row>
    <row r="3444">
      <c r="A3444" s="13">
        <f>IF(H3444="","",ROW()-4)</f>
        <v/>
      </c>
      <c r="B3444" s="13">
        <f>IF(H3444="","",ROW()-4)</f>
        <v/>
      </c>
    </row>
    <row r="3445">
      <c r="A3445" s="13">
        <f>IF(H3445="","",ROW()-4)</f>
        <v/>
      </c>
      <c r="B3445" s="13">
        <f>IF(H3445="","",ROW()-4)</f>
        <v/>
      </c>
    </row>
    <row r="3446">
      <c r="A3446" s="13">
        <f>IF(H3446="","",ROW()-4)</f>
        <v/>
      </c>
      <c r="B3446" s="13">
        <f>IF(H3446="","",ROW()-4)</f>
        <v/>
      </c>
    </row>
    <row r="3447">
      <c r="A3447" s="13">
        <f>IF(H3447="","",ROW()-4)</f>
        <v/>
      </c>
      <c r="B3447" s="13">
        <f>IF(H3447="","",ROW()-4)</f>
        <v/>
      </c>
    </row>
    <row r="3448">
      <c r="A3448" s="13">
        <f>IF(H3448="","",ROW()-4)</f>
        <v/>
      </c>
      <c r="B3448" s="13">
        <f>IF(H3448="","",ROW()-4)</f>
        <v/>
      </c>
    </row>
    <row r="3449">
      <c r="A3449" s="13">
        <f>IF(H3449="","",ROW()-4)</f>
        <v/>
      </c>
      <c r="B3449" s="13">
        <f>IF(H3449="","",ROW()-4)</f>
        <v/>
      </c>
    </row>
    <row r="3450">
      <c r="A3450" s="13">
        <f>IF(H3450="","",ROW()-4)</f>
        <v/>
      </c>
      <c r="B3450" s="13">
        <f>IF(H3450="","",ROW()-4)</f>
        <v/>
      </c>
    </row>
    <row r="3451">
      <c r="A3451" s="13">
        <f>IF(H3451="","",ROW()-4)</f>
        <v/>
      </c>
      <c r="B3451" s="13">
        <f>IF(H3451="","",ROW()-4)</f>
        <v/>
      </c>
    </row>
    <row r="3452">
      <c r="A3452" s="13">
        <f>IF(H3452="","",ROW()-4)</f>
        <v/>
      </c>
      <c r="B3452" s="13">
        <f>IF(H3452="","",ROW()-4)</f>
        <v/>
      </c>
    </row>
    <row r="3453">
      <c r="A3453" s="13">
        <f>IF(H3453="","",ROW()-4)</f>
        <v/>
      </c>
      <c r="B3453" s="13">
        <f>IF(H3453="","",ROW()-4)</f>
        <v/>
      </c>
    </row>
    <row r="3454">
      <c r="A3454" s="13">
        <f>IF(H3454="","",ROW()-4)</f>
        <v/>
      </c>
      <c r="B3454" s="13">
        <f>IF(H3454="","",ROW()-4)</f>
        <v/>
      </c>
    </row>
    <row r="3455">
      <c r="A3455" s="13">
        <f>IF(H3455="","",ROW()-4)</f>
        <v/>
      </c>
      <c r="B3455" s="13">
        <f>IF(H3455="","",ROW()-4)</f>
        <v/>
      </c>
    </row>
    <row r="3456">
      <c r="A3456" s="13">
        <f>IF(H3456="","",ROW()-4)</f>
        <v/>
      </c>
      <c r="B3456" s="13">
        <f>IF(H3456="","",ROW()-4)</f>
        <v/>
      </c>
    </row>
    <row r="3457">
      <c r="A3457" s="13">
        <f>IF(H3457="","",ROW()-4)</f>
        <v/>
      </c>
      <c r="B3457" s="13">
        <f>IF(H3457="","",ROW()-4)</f>
        <v/>
      </c>
    </row>
    <row r="3458">
      <c r="A3458" s="13">
        <f>IF(H3458="","",ROW()-4)</f>
        <v/>
      </c>
      <c r="B3458" s="13">
        <f>IF(H3458="","",ROW()-4)</f>
        <v/>
      </c>
    </row>
    <row r="3459">
      <c r="A3459" s="13">
        <f>IF(H3459="","",ROW()-4)</f>
        <v/>
      </c>
      <c r="B3459" s="13">
        <f>IF(H3459="","",ROW()-4)</f>
        <v/>
      </c>
    </row>
    <row r="3460">
      <c r="A3460" s="13">
        <f>IF(H3460="","",ROW()-4)</f>
        <v/>
      </c>
      <c r="B3460" s="13">
        <f>IF(H3460="","",ROW()-4)</f>
        <v/>
      </c>
    </row>
    <row r="3461">
      <c r="A3461" s="13">
        <f>IF(H3461="","",ROW()-4)</f>
        <v/>
      </c>
      <c r="B3461" s="13">
        <f>IF(H3461="","",ROW()-4)</f>
        <v/>
      </c>
    </row>
    <row r="3462">
      <c r="A3462" s="13">
        <f>IF(H3462="","",ROW()-4)</f>
        <v/>
      </c>
      <c r="B3462" s="13">
        <f>IF(H3462="","",ROW()-4)</f>
        <v/>
      </c>
    </row>
    <row r="3463">
      <c r="A3463" s="13">
        <f>IF(H3463="","",ROW()-4)</f>
        <v/>
      </c>
      <c r="B3463" s="13">
        <f>IF(H3463="","",ROW()-4)</f>
        <v/>
      </c>
    </row>
    <row r="3464">
      <c r="A3464" s="13">
        <f>IF(H3464="","",ROW()-4)</f>
        <v/>
      </c>
      <c r="B3464" s="13">
        <f>IF(H3464="","",ROW()-4)</f>
        <v/>
      </c>
    </row>
    <row r="3465">
      <c r="A3465" s="13">
        <f>IF(H3465="","",ROW()-4)</f>
        <v/>
      </c>
      <c r="B3465" s="13">
        <f>IF(H3465="","",ROW()-4)</f>
        <v/>
      </c>
    </row>
    <row r="3466">
      <c r="A3466" s="13">
        <f>IF(H3466="","",ROW()-4)</f>
        <v/>
      </c>
      <c r="B3466" s="13">
        <f>IF(H3466="","",ROW()-4)</f>
        <v/>
      </c>
    </row>
    <row r="3467">
      <c r="A3467" s="13">
        <f>IF(H3467="","",ROW()-4)</f>
        <v/>
      </c>
      <c r="B3467" s="13">
        <f>IF(H3467="","",ROW()-4)</f>
        <v/>
      </c>
    </row>
    <row r="3468">
      <c r="A3468" s="13">
        <f>IF(H3468="","",ROW()-4)</f>
        <v/>
      </c>
      <c r="B3468" s="13">
        <f>IF(H3468="","",ROW()-4)</f>
        <v/>
      </c>
    </row>
    <row r="3469">
      <c r="A3469" s="13">
        <f>IF(H3469="","",ROW()-4)</f>
        <v/>
      </c>
      <c r="B3469" s="13">
        <f>IF(H3469="","",ROW()-4)</f>
        <v/>
      </c>
    </row>
    <row r="3470">
      <c r="A3470" s="13">
        <f>IF(H3470="","",ROW()-4)</f>
        <v/>
      </c>
      <c r="B3470" s="13">
        <f>IF(H3470="","",ROW()-4)</f>
        <v/>
      </c>
    </row>
    <row r="3471">
      <c r="A3471" s="13">
        <f>IF(H3471="","",ROW()-4)</f>
        <v/>
      </c>
      <c r="B3471" s="13">
        <f>IF(H3471="","",ROW()-4)</f>
        <v/>
      </c>
    </row>
    <row r="3472">
      <c r="A3472" s="13">
        <f>IF(H3472="","",ROW()-4)</f>
        <v/>
      </c>
      <c r="B3472" s="13">
        <f>IF(H3472="","",ROW()-4)</f>
        <v/>
      </c>
    </row>
    <row r="3473">
      <c r="A3473" s="13">
        <f>IF(H3473="","",ROW()-4)</f>
        <v/>
      </c>
      <c r="B3473" s="13">
        <f>IF(H3473="","",ROW()-4)</f>
        <v/>
      </c>
    </row>
    <row r="3474">
      <c r="A3474" s="13">
        <f>IF(H3474="","",ROW()-4)</f>
        <v/>
      </c>
      <c r="B3474" s="13">
        <f>IF(H3474="","",ROW()-4)</f>
        <v/>
      </c>
    </row>
    <row r="3475">
      <c r="A3475" s="13">
        <f>IF(H3475="","",ROW()-4)</f>
        <v/>
      </c>
      <c r="B3475" s="13">
        <f>IF(H3475="","",ROW()-4)</f>
        <v/>
      </c>
    </row>
    <row r="3476">
      <c r="A3476" s="13">
        <f>IF(H3476="","",ROW()-4)</f>
        <v/>
      </c>
      <c r="B3476" s="13">
        <f>IF(H3476="","",ROW()-4)</f>
        <v/>
      </c>
    </row>
    <row r="3477">
      <c r="A3477" s="13">
        <f>IF(H3477="","",ROW()-4)</f>
        <v/>
      </c>
      <c r="B3477" s="13">
        <f>IF(H3477="","",ROW()-4)</f>
        <v/>
      </c>
    </row>
    <row r="3478">
      <c r="A3478" s="13">
        <f>IF(H3478="","",ROW()-4)</f>
        <v/>
      </c>
      <c r="B3478" s="13">
        <f>IF(H3478="","",ROW()-4)</f>
        <v/>
      </c>
    </row>
    <row r="3479">
      <c r="A3479" s="13">
        <f>IF(H3479="","",ROW()-4)</f>
        <v/>
      </c>
      <c r="B3479" s="13">
        <f>IF(H3479="","",ROW()-4)</f>
        <v/>
      </c>
    </row>
    <row r="3480">
      <c r="A3480" s="13">
        <f>IF(H3480="","",ROW()-4)</f>
        <v/>
      </c>
      <c r="B3480" s="13">
        <f>IF(H3480="","",ROW()-4)</f>
        <v/>
      </c>
    </row>
    <row r="3481">
      <c r="A3481" s="13">
        <f>IF(H3481="","",ROW()-4)</f>
        <v/>
      </c>
      <c r="B3481" s="13">
        <f>IF(H3481="","",ROW()-4)</f>
        <v/>
      </c>
    </row>
    <row r="3482">
      <c r="A3482" s="13">
        <f>IF(H3482="","",ROW()-4)</f>
        <v/>
      </c>
      <c r="B3482" s="13">
        <f>IF(H3482="","",ROW()-4)</f>
        <v/>
      </c>
    </row>
    <row r="3483">
      <c r="A3483" s="13">
        <f>IF(H3483="","",ROW()-4)</f>
        <v/>
      </c>
      <c r="B3483" s="13">
        <f>IF(H3483="","",ROW()-4)</f>
        <v/>
      </c>
    </row>
    <row r="3484">
      <c r="A3484" s="13">
        <f>IF(H3484="","",ROW()-4)</f>
        <v/>
      </c>
      <c r="B3484" s="13">
        <f>IF(H3484="","",ROW()-4)</f>
        <v/>
      </c>
    </row>
    <row r="3485">
      <c r="A3485" s="13">
        <f>IF(H3485="","",ROW()-4)</f>
        <v/>
      </c>
      <c r="B3485" s="13">
        <f>IF(H3485="","",ROW()-4)</f>
        <v/>
      </c>
    </row>
    <row r="3486">
      <c r="A3486" s="13">
        <f>IF(H3486="","",ROW()-4)</f>
        <v/>
      </c>
      <c r="B3486" s="13">
        <f>IF(H3486="","",ROW()-4)</f>
        <v/>
      </c>
    </row>
    <row r="3487">
      <c r="A3487" s="13">
        <f>IF(H3487="","",ROW()-4)</f>
        <v/>
      </c>
      <c r="B3487" s="13">
        <f>IF(H3487="","",ROW()-4)</f>
        <v/>
      </c>
    </row>
    <row r="3488">
      <c r="A3488" s="13">
        <f>IF(H3488="","",ROW()-4)</f>
        <v/>
      </c>
      <c r="B3488" s="13">
        <f>IF(H3488="","",ROW()-4)</f>
        <v/>
      </c>
    </row>
    <row r="3489">
      <c r="A3489" s="13">
        <f>IF(H3489="","",ROW()-4)</f>
        <v/>
      </c>
      <c r="B3489" s="13">
        <f>IF(H3489="","",ROW()-4)</f>
        <v/>
      </c>
    </row>
    <row r="3490">
      <c r="A3490" s="13">
        <f>IF(H3490="","",ROW()-4)</f>
        <v/>
      </c>
      <c r="B3490" s="13">
        <f>IF(H3490="","",ROW()-4)</f>
        <v/>
      </c>
    </row>
    <row r="3491">
      <c r="A3491" s="13">
        <f>IF(H3491="","",ROW()-4)</f>
        <v/>
      </c>
      <c r="B3491" s="13">
        <f>IF(H3491="","",ROW()-4)</f>
        <v/>
      </c>
    </row>
    <row r="3492">
      <c r="A3492" s="13">
        <f>IF(H3492="","",ROW()-4)</f>
        <v/>
      </c>
      <c r="B3492" s="13">
        <f>IF(H3492="","",ROW()-4)</f>
        <v/>
      </c>
    </row>
    <row r="3493">
      <c r="A3493" s="13">
        <f>IF(H3493="","",ROW()-4)</f>
        <v/>
      </c>
      <c r="B3493" s="13">
        <f>IF(H3493="","",ROW()-4)</f>
        <v/>
      </c>
    </row>
    <row r="3494">
      <c r="A3494" s="13">
        <f>IF(H3494="","",ROW()-4)</f>
        <v/>
      </c>
      <c r="B3494" s="13">
        <f>IF(H3494="","",ROW()-4)</f>
        <v/>
      </c>
    </row>
    <row r="3495">
      <c r="A3495" s="13">
        <f>IF(H3495="","",ROW()-4)</f>
        <v/>
      </c>
      <c r="B3495" s="13">
        <f>IF(H3495="","",ROW()-4)</f>
        <v/>
      </c>
    </row>
    <row r="3496">
      <c r="A3496" s="13">
        <f>IF(H3496="","",ROW()-4)</f>
        <v/>
      </c>
      <c r="B3496" s="13">
        <f>IF(H3496="","",ROW()-4)</f>
        <v/>
      </c>
    </row>
    <row r="3497">
      <c r="A3497" s="13">
        <f>IF(H3497="","",ROW()-4)</f>
        <v/>
      </c>
      <c r="B3497" s="13">
        <f>IF(H3497="","",ROW()-4)</f>
        <v/>
      </c>
    </row>
    <row r="3498">
      <c r="A3498" s="13">
        <f>IF(H3498="","",ROW()-4)</f>
        <v/>
      </c>
      <c r="B3498" s="13">
        <f>IF(H3498="","",ROW()-4)</f>
        <v/>
      </c>
    </row>
    <row r="3499">
      <c r="A3499" s="13">
        <f>IF(H3499="","",ROW()-4)</f>
        <v/>
      </c>
      <c r="B3499" s="13">
        <f>IF(H3499="","",ROW()-4)</f>
        <v/>
      </c>
    </row>
    <row r="3500">
      <c r="A3500" s="13">
        <f>IF(H3500="","",ROW()-4)</f>
        <v/>
      </c>
      <c r="B3500" s="13">
        <f>IF(H3500="","",ROW()-4)</f>
        <v/>
      </c>
    </row>
    <row r="3501">
      <c r="A3501" s="13">
        <f>IF(H3501="","",ROW()-4)</f>
        <v/>
      </c>
      <c r="B3501" s="13">
        <f>IF(H3501="","",ROW()-4)</f>
        <v/>
      </c>
    </row>
    <row r="3502">
      <c r="A3502" s="13">
        <f>IF(H3502="","",ROW()-4)</f>
        <v/>
      </c>
      <c r="B3502" s="13">
        <f>IF(H3502="","",ROW()-4)</f>
        <v/>
      </c>
    </row>
    <row r="3503">
      <c r="A3503" s="13">
        <f>IF(H3503="","",ROW()-4)</f>
        <v/>
      </c>
      <c r="B3503" s="13">
        <f>IF(H3503="","",ROW()-4)</f>
        <v/>
      </c>
    </row>
    <row r="3504">
      <c r="A3504" s="13">
        <f>IF(H3504="","",ROW()-4)</f>
        <v/>
      </c>
      <c r="B3504" s="13">
        <f>IF(H3504="","",ROW()-4)</f>
        <v/>
      </c>
    </row>
    <row r="3505">
      <c r="A3505" s="13">
        <f>IF(H3505="","",ROW()-4)</f>
        <v/>
      </c>
      <c r="B3505" s="13">
        <f>IF(H3505="","",ROW()-4)</f>
        <v/>
      </c>
    </row>
    <row r="3506">
      <c r="A3506" s="13">
        <f>IF(H3506="","",ROW()-4)</f>
        <v/>
      </c>
      <c r="B3506" s="13">
        <f>IF(H3506="","",ROW()-4)</f>
        <v/>
      </c>
    </row>
    <row r="3507">
      <c r="A3507" s="13">
        <f>IF(H3507="","",ROW()-4)</f>
        <v/>
      </c>
      <c r="B3507" s="13">
        <f>IF(H3507="","",ROW()-4)</f>
        <v/>
      </c>
    </row>
    <row r="3508">
      <c r="A3508" s="13">
        <f>IF(H3508="","",ROW()-4)</f>
        <v/>
      </c>
      <c r="B3508" s="13">
        <f>IF(H3508="","",ROW()-4)</f>
        <v/>
      </c>
    </row>
    <row r="3509">
      <c r="A3509" s="13">
        <f>IF(H3509="","",ROW()-4)</f>
        <v/>
      </c>
      <c r="B3509" s="13">
        <f>IF(H3509="","",ROW()-4)</f>
        <v/>
      </c>
    </row>
    <row r="3510">
      <c r="A3510" s="13">
        <f>IF(H3510="","",ROW()-4)</f>
        <v/>
      </c>
      <c r="B3510" s="13">
        <f>IF(H3510="","",ROW()-4)</f>
        <v/>
      </c>
    </row>
    <row r="3511">
      <c r="A3511" s="13">
        <f>IF(H3511="","",ROW()-4)</f>
        <v/>
      </c>
      <c r="B3511" s="13">
        <f>IF(H3511="","",ROW()-4)</f>
        <v/>
      </c>
    </row>
    <row r="3512">
      <c r="A3512" s="13">
        <f>IF(H3512="","",ROW()-4)</f>
        <v/>
      </c>
      <c r="B3512" s="13">
        <f>IF(H3512="","",ROW()-4)</f>
        <v/>
      </c>
    </row>
    <row r="3513">
      <c r="A3513" s="13">
        <f>IF(H3513="","",ROW()-4)</f>
        <v/>
      </c>
      <c r="B3513" s="13">
        <f>IF(H3513="","",ROW()-4)</f>
        <v/>
      </c>
    </row>
    <row r="3514">
      <c r="A3514" s="13">
        <f>IF(H3514="","",ROW()-4)</f>
        <v/>
      </c>
      <c r="B3514" s="13">
        <f>IF(H3514="","",ROW()-4)</f>
        <v/>
      </c>
    </row>
    <row r="3515">
      <c r="A3515" s="13">
        <f>IF(H3515="","",ROW()-4)</f>
        <v/>
      </c>
      <c r="B3515" s="13">
        <f>IF(H3515="","",ROW()-4)</f>
        <v/>
      </c>
    </row>
    <row r="3516">
      <c r="A3516" s="13">
        <f>IF(H3516="","",ROW()-4)</f>
        <v/>
      </c>
      <c r="B3516" s="13">
        <f>IF(H3516="","",ROW()-4)</f>
        <v/>
      </c>
    </row>
    <row r="3517">
      <c r="A3517" s="13">
        <f>IF(H3517="","",ROW()-4)</f>
        <v/>
      </c>
      <c r="B3517" s="13">
        <f>IF(H3517="","",ROW()-4)</f>
        <v/>
      </c>
    </row>
    <row r="3518">
      <c r="A3518" s="13">
        <f>IF(H3518="","",ROW()-4)</f>
        <v/>
      </c>
      <c r="B3518" s="13">
        <f>IF(H3518="","",ROW()-4)</f>
        <v/>
      </c>
    </row>
    <row r="3519">
      <c r="A3519" s="13">
        <f>IF(H3519="","",ROW()-4)</f>
        <v/>
      </c>
      <c r="B3519" s="13">
        <f>IF(H3519="","",ROW()-4)</f>
        <v/>
      </c>
    </row>
    <row r="3520">
      <c r="A3520" s="13">
        <f>IF(H3520="","",ROW()-4)</f>
        <v/>
      </c>
      <c r="B3520" s="13">
        <f>IF(H3520="","",ROW()-4)</f>
        <v/>
      </c>
    </row>
    <row r="3521">
      <c r="A3521" s="13">
        <f>IF(H3521="","",ROW()-4)</f>
        <v/>
      </c>
      <c r="B3521" s="13">
        <f>IF(H3521="","",ROW()-4)</f>
        <v/>
      </c>
    </row>
    <row r="3522">
      <c r="A3522" s="13">
        <f>IF(H3522="","",ROW()-4)</f>
        <v/>
      </c>
      <c r="B3522" s="13">
        <f>IF(H3522="","",ROW()-4)</f>
        <v/>
      </c>
    </row>
    <row r="3523">
      <c r="A3523" s="13">
        <f>IF(H3523="","",ROW()-4)</f>
        <v/>
      </c>
      <c r="B3523" s="13">
        <f>IF(H3523="","",ROW()-4)</f>
        <v/>
      </c>
    </row>
    <row r="3524">
      <c r="A3524" s="13">
        <f>IF(H3524="","",ROW()-4)</f>
        <v/>
      </c>
      <c r="B3524" s="13">
        <f>IF(H3524="","",ROW()-4)</f>
        <v/>
      </c>
    </row>
    <row r="3525">
      <c r="A3525" s="13">
        <f>IF(H3525="","",ROW()-4)</f>
        <v/>
      </c>
      <c r="B3525" s="13">
        <f>IF(H3525="","",ROW()-4)</f>
        <v/>
      </c>
    </row>
    <row r="3526">
      <c r="A3526" s="13">
        <f>IF(H3526="","",ROW()-4)</f>
        <v/>
      </c>
      <c r="B3526" s="13">
        <f>IF(H3526="","",ROW()-4)</f>
        <v/>
      </c>
    </row>
    <row r="3527">
      <c r="A3527" s="13">
        <f>IF(H3527="","",ROW()-4)</f>
        <v/>
      </c>
      <c r="B3527" s="13">
        <f>IF(H3527="","",ROW()-4)</f>
        <v/>
      </c>
    </row>
    <row r="3528">
      <c r="A3528" s="13">
        <f>IF(H3528="","",ROW()-4)</f>
        <v/>
      </c>
      <c r="B3528" s="13">
        <f>IF(H3528="","",ROW()-4)</f>
        <v/>
      </c>
    </row>
    <row r="3529">
      <c r="A3529" s="13">
        <f>IF(H3529="","",ROW()-4)</f>
        <v/>
      </c>
      <c r="B3529" s="13">
        <f>IF(H3529="","",ROW()-4)</f>
        <v/>
      </c>
    </row>
    <row r="3530">
      <c r="A3530" s="13">
        <f>IF(H3530="","",ROW()-4)</f>
        <v/>
      </c>
      <c r="B3530" s="13">
        <f>IF(H3530="","",ROW()-4)</f>
        <v/>
      </c>
    </row>
    <row r="3531">
      <c r="A3531" s="13">
        <f>IF(H3531="","",ROW()-4)</f>
        <v/>
      </c>
      <c r="B3531" s="13">
        <f>IF(H3531="","",ROW()-4)</f>
        <v/>
      </c>
    </row>
    <row r="3532">
      <c r="A3532" s="13">
        <f>IF(H3532="","",ROW()-4)</f>
        <v/>
      </c>
      <c r="B3532" s="13">
        <f>IF(H3532="","",ROW()-4)</f>
        <v/>
      </c>
    </row>
    <row r="3533">
      <c r="A3533" s="13">
        <f>IF(H3533="","",ROW()-4)</f>
        <v/>
      </c>
      <c r="B3533" s="13">
        <f>IF(H3533="","",ROW()-4)</f>
        <v/>
      </c>
    </row>
    <row r="3534">
      <c r="A3534" s="13">
        <f>IF(H3534="","",ROW()-4)</f>
        <v/>
      </c>
      <c r="B3534" s="13">
        <f>IF(H3534="","",ROW()-4)</f>
        <v/>
      </c>
    </row>
    <row r="3535">
      <c r="A3535" s="13">
        <f>IF(H3535="","",ROW()-4)</f>
        <v/>
      </c>
      <c r="B3535" s="13">
        <f>IF(H3535="","",ROW()-4)</f>
        <v/>
      </c>
    </row>
    <row r="3536">
      <c r="A3536" s="13">
        <f>IF(H3536="","",ROW()-4)</f>
        <v/>
      </c>
      <c r="B3536" s="13">
        <f>IF(H3536="","",ROW()-4)</f>
        <v/>
      </c>
    </row>
    <row r="3537">
      <c r="A3537" s="13">
        <f>IF(H3537="","",ROW()-4)</f>
        <v/>
      </c>
      <c r="B3537" s="13">
        <f>IF(H3537="","",ROW()-4)</f>
        <v/>
      </c>
    </row>
    <row r="3538">
      <c r="A3538" s="13">
        <f>IF(H3538="","",ROW()-4)</f>
        <v/>
      </c>
      <c r="B3538" s="13">
        <f>IF(H3538="","",ROW()-4)</f>
        <v/>
      </c>
    </row>
    <row r="3539">
      <c r="A3539" s="13">
        <f>IF(H3539="","",ROW()-4)</f>
        <v/>
      </c>
      <c r="B3539" s="13">
        <f>IF(H3539="","",ROW()-4)</f>
        <v/>
      </c>
    </row>
    <row r="3540">
      <c r="A3540" s="13">
        <f>IF(H3540="","",ROW()-4)</f>
        <v/>
      </c>
      <c r="B3540" s="13">
        <f>IF(H3540="","",ROW()-4)</f>
        <v/>
      </c>
    </row>
    <row r="3541">
      <c r="A3541" s="13">
        <f>IF(H3541="","",ROW()-4)</f>
        <v/>
      </c>
      <c r="B3541" s="13">
        <f>IF(H3541="","",ROW()-4)</f>
        <v/>
      </c>
    </row>
    <row r="3542">
      <c r="A3542" s="13">
        <f>IF(H3542="","",ROW()-4)</f>
        <v/>
      </c>
      <c r="B3542" s="13">
        <f>IF(H3542="","",ROW()-4)</f>
        <v/>
      </c>
    </row>
    <row r="3543">
      <c r="A3543" s="13">
        <f>IF(H3543="","",ROW()-4)</f>
        <v/>
      </c>
      <c r="B3543" s="13">
        <f>IF(H3543="","",ROW()-4)</f>
        <v/>
      </c>
    </row>
    <row r="3544">
      <c r="A3544" s="13">
        <f>IF(H3544="","",ROW()-4)</f>
        <v/>
      </c>
      <c r="B3544" s="13">
        <f>IF(H3544="","",ROW()-4)</f>
        <v/>
      </c>
    </row>
    <row r="3545">
      <c r="A3545" s="13">
        <f>IF(H3545="","",ROW()-4)</f>
        <v/>
      </c>
      <c r="B3545" s="13">
        <f>IF(H3545="","",ROW()-4)</f>
        <v/>
      </c>
    </row>
    <row r="3546">
      <c r="A3546" s="13">
        <f>IF(H3546="","",ROW()-4)</f>
        <v/>
      </c>
      <c r="B3546" s="13">
        <f>IF(H3546="","",ROW()-4)</f>
        <v/>
      </c>
    </row>
    <row r="3547">
      <c r="A3547" s="13">
        <f>IF(H3547="","",ROW()-4)</f>
        <v/>
      </c>
      <c r="B3547" s="13">
        <f>IF(H3547="","",ROW()-4)</f>
        <v/>
      </c>
    </row>
    <row r="3548">
      <c r="A3548" s="13">
        <f>IF(H3548="","",ROW()-4)</f>
        <v/>
      </c>
      <c r="B3548" s="13">
        <f>IF(H3548="","",ROW()-4)</f>
        <v/>
      </c>
    </row>
    <row r="3549">
      <c r="A3549" s="13">
        <f>IF(H3549="","",ROW()-4)</f>
        <v/>
      </c>
      <c r="B3549" s="13">
        <f>IF(H3549="","",ROW()-4)</f>
        <v/>
      </c>
    </row>
    <row r="3550">
      <c r="A3550" s="13">
        <f>IF(H3550="","",ROW()-4)</f>
        <v/>
      </c>
      <c r="B3550" s="13">
        <f>IF(H3550="","",ROW()-4)</f>
        <v/>
      </c>
    </row>
    <row r="3551">
      <c r="A3551" s="13">
        <f>IF(H3551="","",ROW()-4)</f>
        <v/>
      </c>
      <c r="B3551" s="13">
        <f>IF(H3551="","",ROW()-4)</f>
        <v/>
      </c>
    </row>
    <row r="3552">
      <c r="A3552" s="13">
        <f>IF(H3552="","",ROW()-4)</f>
        <v/>
      </c>
      <c r="B3552" s="13">
        <f>IF(H3552="","",ROW()-4)</f>
        <v/>
      </c>
    </row>
    <row r="3553">
      <c r="A3553" s="13">
        <f>IF(H3553="","",ROW()-4)</f>
        <v/>
      </c>
      <c r="B3553" s="13">
        <f>IF(H3553="","",ROW()-4)</f>
        <v/>
      </c>
    </row>
    <row r="3554">
      <c r="A3554" s="13">
        <f>IF(H3554="","",ROW()-4)</f>
        <v/>
      </c>
      <c r="B3554" s="13">
        <f>IF(H3554="","",ROW()-4)</f>
        <v/>
      </c>
    </row>
    <row r="3555">
      <c r="A3555" s="13">
        <f>IF(H3555="","",ROW()-4)</f>
        <v/>
      </c>
      <c r="B3555" s="13">
        <f>IF(H3555="","",ROW()-4)</f>
        <v/>
      </c>
    </row>
    <row r="3556">
      <c r="A3556" s="13">
        <f>IF(H3556="","",ROW()-4)</f>
        <v/>
      </c>
      <c r="B3556" s="13">
        <f>IF(H3556="","",ROW()-4)</f>
        <v/>
      </c>
    </row>
    <row r="3557">
      <c r="A3557" s="13">
        <f>IF(H3557="","",ROW()-4)</f>
        <v/>
      </c>
      <c r="B3557" s="13">
        <f>IF(H3557="","",ROW()-4)</f>
        <v/>
      </c>
    </row>
    <row r="3558">
      <c r="A3558" s="13">
        <f>IF(H3558="","",ROW()-4)</f>
        <v/>
      </c>
      <c r="B3558" s="13">
        <f>IF(H3558="","",ROW()-4)</f>
        <v/>
      </c>
    </row>
    <row r="3559">
      <c r="A3559" s="13">
        <f>IF(H3559="","",ROW()-4)</f>
        <v/>
      </c>
      <c r="B3559" s="13">
        <f>IF(H3559="","",ROW()-4)</f>
        <v/>
      </c>
    </row>
    <row r="3560">
      <c r="A3560" s="13">
        <f>IF(H3560="","",ROW()-4)</f>
        <v/>
      </c>
      <c r="B3560" s="13">
        <f>IF(H3560="","",ROW()-4)</f>
        <v/>
      </c>
    </row>
    <row r="3561">
      <c r="A3561" s="13">
        <f>IF(H3561="","",ROW()-4)</f>
        <v/>
      </c>
      <c r="B3561" s="13">
        <f>IF(H3561="","",ROW()-4)</f>
        <v/>
      </c>
    </row>
    <row r="3562">
      <c r="A3562" s="13">
        <f>IF(H3562="","",ROW()-4)</f>
        <v/>
      </c>
      <c r="B3562" s="13">
        <f>IF(H3562="","",ROW()-4)</f>
        <v/>
      </c>
    </row>
    <row r="3563">
      <c r="A3563" s="13">
        <f>IF(H3563="","",ROW()-4)</f>
        <v/>
      </c>
      <c r="B3563" s="13">
        <f>IF(H3563="","",ROW()-4)</f>
        <v/>
      </c>
    </row>
    <row r="3564">
      <c r="A3564" s="13">
        <f>IF(H3564="","",ROW()-4)</f>
        <v/>
      </c>
      <c r="B3564" s="13">
        <f>IF(H3564="","",ROW()-4)</f>
        <v/>
      </c>
    </row>
    <row r="3565">
      <c r="A3565" s="13">
        <f>IF(H3565="","",ROW()-4)</f>
        <v/>
      </c>
      <c r="B3565" s="13">
        <f>IF(H3565="","",ROW()-4)</f>
        <v/>
      </c>
    </row>
    <row r="3566">
      <c r="A3566" s="13">
        <f>IF(H3566="","",ROW()-4)</f>
        <v/>
      </c>
      <c r="B3566" s="13">
        <f>IF(H3566="","",ROW()-4)</f>
        <v/>
      </c>
    </row>
    <row r="3567">
      <c r="A3567" s="13">
        <f>IF(H3567="","",ROW()-4)</f>
        <v/>
      </c>
      <c r="B3567" s="13">
        <f>IF(H3567="","",ROW()-4)</f>
        <v/>
      </c>
    </row>
    <row r="3568">
      <c r="A3568" s="13">
        <f>IF(H3568="","",ROW()-4)</f>
        <v/>
      </c>
      <c r="B3568" s="13">
        <f>IF(H3568="","",ROW()-4)</f>
        <v/>
      </c>
    </row>
    <row r="3569">
      <c r="A3569" s="13">
        <f>IF(H3569="","",ROW()-4)</f>
        <v/>
      </c>
      <c r="B3569" s="13">
        <f>IF(H3569="","",ROW()-4)</f>
        <v/>
      </c>
    </row>
    <row r="3570">
      <c r="A3570" s="13">
        <f>IF(H3570="","",ROW()-4)</f>
        <v/>
      </c>
      <c r="B3570" s="13">
        <f>IF(H3570="","",ROW()-4)</f>
        <v/>
      </c>
    </row>
    <row r="3571">
      <c r="A3571" s="13">
        <f>IF(H3571="","",ROW()-4)</f>
        <v/>
      </c>
      <c r="B3571" s="13">
        <f>IF(H3571="","",ROW()-4)</f>
        <v/>
      </c>
    </row>
    <row r="3572">
      <c r="A3572" s="13">
        <f>IF(H3572="","",ROW()-4)</f>
        <v/>
      </c>
      <c r="B3572" s="13">
        <f>IF(H3572="","",ROW()-4)</f>
        <v/>
      </c>
    </row>
    <row r="3573">
      <c r="A3573" s="13">
        <f>IF(H3573="","",ROW()-4)</f>
        <v/>
      </c>
      <c r="B3573" s="13">
        <f>IF(H3573="","",ROW()-4)</f>
        <v/>
      </c>
    </row>
    <row r="3574">
      <c r="A3574" s="13">
        <f>IF(H3574="","",ROW()-4)</f>
        <v/>
      </c>
      <c r="B3574" s="13">
        <f>IF(H3574="","",ROW()-4)</f>
        <v/>
      </c>
    </row>
    <row r="3575">
      <c r="A3575" s="13">
        <f>IF(H3575="","",ROW()-4)</f>
        <v/>
      </c>
      <c r="B3575" s="13">
        <f>IF(H3575="","",ROW()-4)</f>
        <v/>
      </c>
    </row>
    <row r="3576">
      <c r="A3576" s="13">
        <f>IF(H3576="","",ROW()-4)</f>
        <v/>
      </c>
      <c r="B3576" s="13">
        <f>IF(H3576="","",ROW()-4)</f>
        <v/>
      </c>
    </row>
    <row r="3577">
      <c r="A3577" s="13">
        <f>IF(H3577="","",ROW()-4)</f>
        <v/>
      </c>
      <c r="B3577" s="13">
        <f>IF(H3577="","",ROW()-4)</f>
        <v/>
      </c>
    </row>
    <row r="3578">
      <c r="A3578" s="13">
        <f>IF(H3578="","",ROW()-4)</f>
        <v/>
      </c>
      <c r="B3578" s="13">
        <f>IF(H3578="","",ROW()-4)</f>
        <v/>
      </c>
    </row>
    <row r="3579">
      <c r="A3579" s="13">
        <f>IF(H3579="","",ROW()-4)</f>
        <v/>
      </c>
      <c r="B3579" s="13">
        <f>IF(H3579="","",ROW()-4)</f>
        <v/>
      </c>
    </row>
    <row r="3580">
      <c r="A3580" s="13">
        <f>IF(H3580="","",ROW()-4)</f>
        <v/>
      </c>
      <c r="B3580" s="13">
        <f>IF(H3580="","",ROW()-4)</f>
        <v/>
      </c>
    </row>
    <row r="3581">
      <c r="A3581" s="13">
        <f>IF(H3581="","",ROW()-4)</f>
        <v/>
      </c>
      <c r="B3581" s="13">
        <f>IF(H3581="","",ROW()-4)</f>
        <v/>
      </c>
    </row>
    <row r="3582">
      <c r="A3582" s="13">
        <f>IF(H3582="","",ROW()-4)</f>
        <v/>
      </c>
      <c r="B3582" s="13">
        <f>IF(H3582="","",ROW()-4)</f>
        <v/>
      </c>
    </row>
    <row r="3583">
      <c r="A3583" s="13">
        <f>IF(H3583="","",ROW()-4)</f>
        <v/>
      </c>
      <c r="B3583" s="13">
        <f>IF(H3583="","",ROW()-4)</f>
        <v/>
      </c>
    </row>
    <row r="3584">
      <c r="A3584" s="13">
        <f>IF(H3584="","",ROW()-4)</f>
        <v/>
      </c>
      <c r="B3584" s="13">
        <f>IF(H3584="","",ROW()-4)</f>
        <v/>
      </c>
    </row>
    <row r="3585">
      <c r="A3585" s="13">
        <f>IF(H3585="","",ROW()-4)</f>
        <v/>
      </c>
      <c r="B3585" s="13">
        <f>IF(H3585="","",ROW()-4)</f>
        <v/>
      </c>
    </row>
    <row r="3586">
      <c r="A3586" s="13">
        <f>IF(H3586="","",ROW()-4)</f>
        <v/>
      </c>
      <c r="B3586" s="13">
        <f>IF(H3586="","",ROW()-4)</f>
        <v/>
      </c>
    </row>
    <row r="3587">
      <c r="A3587" s="13">
        <f>IF(H3587="","",ROW()-4)</f>
        <v/>
      </c>
      <c r="B3587" s="13">
        <f>IF(H3587="","",ROW()-4)</f>
        <v/>
      </c>
    </row>
    <row r="3588">
      <c r="A3588" s="13">
        <f>IF(H3588="","",ROW()-4)</f>
        <v/>
      </c>
      <c r="B3588" s="13">
        <f>IF(H3588="","",ROW()-4)</f>
        <v/>
      </c>
    </row>
    <row r="3589">
      <c r="A3589" s="13">
        <f>IF(H3589="","",ROW()-4)</f>
        <v/>
      </c>
      <c r="B3589" s="13">
        <f>IF(H3589="","",ROW()-4)</f>
        <v/>
      </c>
    </row>
    <row r="3590">
      <c r="A3590" s="13">
        <f>IF(H3590="","",ROW()-4)</f>
        <v/>
      </c>
      <c r="B3590" s="13">
        <f>IF(H3590="","",ROW()-4)</f>
        <v/>
      </c>
    </row>
    <row r="3591">
      <c r="A3591" s="13">
        <f>IF(H3591="","",ROW()-4)</f>
        <v/>
      </c>
      <c r="B3591" s="13">
        <f>IF(H3591="","",ROW()-4)</f>
        <v/>
      </c>
    </row>
    <row r="3592">
      <c r="A3592" s="13">
        <f>IF(H3592="","",ROW()-4)</f>
        <v/>
      </c>
      <c r="B3592" s="13">
        <f>IF(H3592="","",ROW()-4)</f>
        <v/>
      </c>
    </row>
    <row r="3593">
      <c r="A3593" s="13">
        <f>IF(H3593="","",ROW()-4)</f>
        <v/>
      </c>
      <c r="B3593" s="13">
        <f>IF(H3593="","",ROW()-4)</f>
        <v/>
      </c>
    </row>
    <row r="3594">
      <c r="A3594" s="13">
        <f>IF(H3594="","",ROW()-4)</f>
        <v/>
      </c>
      <c r="B3594" s="13">
        <f>IF(H3594="","",ROW()-4)</f>
        <v/>
      </c>
    </row>
    <row r="3595">
      <c r="A3595" s="13">
        <f>IF(H3595="","",ROW()-4)</f>
        <v/>
      </c>
      <c r="B3595" s="13">
        <f>IF(H3595="","",ROW()-4)</f>
        <v/>
      </c>
    </row>
    <row r="3596">
      <c r="A3596" s="13">
        <f>IF(H3596="","",ROW()-4)</f>
        <v/>
      </c>
      <c r="B3596" s="13">
        <f>IF(H3596="","",ROW()-4)</f>
        <v/>
      </c>
    </row>
    <row r="3597">
      <c r="A3597" s="13">
        <f>IF(H3597="","",ROW()-4)</f>
        <v/>
      </c>
      <c r="B3597" s="13">
        <f>IF(H3597="","",ROW()-4)</f>
        <v/>
      </c>
    </row>
    <row r="3598">
      <c r="A3598" s="13">
        <f>IF(H3598="","",ROW()-4)</f>
        <v/>
      </c>
      <c r="B3598" s="13">
        <f>IF(H3598="","",ROW()-4)</f>
        <v/>
      </c>
    </row>
    <row r="3599">
      <c r="A3599" s="13">
        <f>IF(H3599="","",ROW()-4)</f>
        <v/>
      </c>
      <c r="B3599" s="13">
        <f>IF(H3599="","",ROW()-4)</f>
        <v/>
      </c>
    </row>
    <row r="3600">
      <c r="A3600" s="13">
        <f>IF(H3600="","",ROW()-4)</f>
        <v/>
      </c>
      <c r="B3600" s="13">
        <f>IF(H3600="","",ROW()-4)</f>
        <v/>
      </c>
    </row>
    <row r="3601">
      <c r="A3601" s="13">
        <f>IF(H3601="","",ROW()-4)</f>
        <v/>
      </c>
      <c r="B3601" s="13">
        <f>IF(H3601="","",ROW()-4)</f>
        <v/>
      </c>
    </row>
    <row r="3602">
      <c r="A3602" s="13">
        <f>IF(H3602="","",ROW()-4)</f>
        <v/>
      </c>
      <c r="B3602" s="13">
        <f>IF(H3602="","",ROW()-4)</f>
        <v/>
      </c>
    </row>
    <row r="3603">
      <c r="A3603" s="13">
        <f>IF(H3603="","",ROW()-4)</f>
        <v/>
      </c>
      <c r="B3603" s="13">
        <f>IF(H3603="","",ROW()-4)</f>
        <v/>
      </c>
    </row>
    <row r="3604">
      <c r="A3604" s="13">
        <f>IF(H3604="","",ROW()-4)</f>
        <v/>
      </c>
      <c r="B3604" s="13">
        <f>IF(H3604="","",ROW()-4)</f>
        <v/>
      </c>
    </row>
    <row r="3605">
      <c r="A3605" s="13">
        <f>IF(H3605="","",ROW()-4)</f>
        <v/>
      </c>
      <c r="B3605" s="13">
        <f>IF(H3605="","",ROW()-4)</f>
        <v/>
      </c>
    </row>
    <row r="3606">
      <c r="A3606" s="13">
        <f>IF(H3606="","",ROW()-4)</f>
        <v/>
      </c>
      <c r="B3606" s="13">
        <f>IF(H3606="","",ROW()-4)</f>
        <v/>
      </c>
    </row>
    <row r="3607">
      <c r="A3607" s="13">
        <f>IF(H3607="","",ROW()-4)</f>
        <v/>
      </c>
      <c r="B3607" s="13">
        <f>IF(H3607="","",ROW()-4)</f>
        <v/>
      </c>
    </row>
    <row r="3608">
      <c r="A3608" s="13">
        <f>IF(H3608="","",ROW()-4)</f>
        <v/>
      </c>
      <c r="B3608" s="13">
        <f>IF(H3608="","",ROW()-4)</f>
        <v/>
      </c>
    </row>
    <row r="3609">
      <c r="A3609" s="13">
        <f>IF(H3609="","",ROW()-4)</f>
        <v/>
      </c>
      <c r="B3609" s="13">
        <f>IF(H3609="","",ROW()-4)</f>
        <v/>
      </c>
    </row>
    <row r="3610">
      <c r="A3610" s="13">
        <f>IF(H3610="","",ROW()-4)</f>
        <v/>
      </c>
      <c r="B3610" s="13">
        <f>IF(H3610="","",ROW()-4)</f>
        <v/>
      </c>
    </row>
    <row r="3611">
      <c r="A3611" s="13">
        <f>IF(H3611="","",ROW()-4)</f>
        <v/>
      </c>
      <c r="B3611" s="13">
        <f>IF(H3611="","",ROW()-4)</f>
        <v/>
      </c>
    </row>
    <row r="3612">
      <c r="A3612" s="13">
        <f>IF(H3612="","",ROW()-4)</f>
        <v/>
      </c>
      <c r="B3612" s="13">
        <f>IF(H3612="","",ROW()-4)</f>
        <v/>
      </c>
    </row>
    <row r="3613">
      <c r="A3613" s="13">
        <f>IF(H3613="","",ROW()-4)</f>
        <v/>
      </c>
      <c r="B3613" s="13">
        <f>IF(H3613="","",ROW()-4)</f>
        <v/>
      </c>
    </row>
    <row r="3614">
      <c r="A3614" s="13">
        <f>IF(H3614="","",ROW()-4)</f>
        <v/>
      </c>
      <c r="B3614" s="13">
        <f>IF(H3614="","",ROW()-4)</f>
        <v/>
      </c>
    </row>
    <row r="3615">
      <c r="A3615" s="13">
        <f>IF(H3615="","",ROW()-4)</f>
        <v/>
      </c>
      <c r="B3615" s="13">
        <f>IF(H3615="","",ROW()-4)</f>
        <v/>
      </c>
    </row>
    <row r="3616">
      <c r="A3616" s="13">
        <f>IF(H3616="","",ROW()-4)</f>
        <v/>
      </c>
      <c r="B3616" s="13">
        <f>IF(H3616="","",ROW()-4)</f>
        <v/>
      </c>
    </row>
    <row r="3617">
      <c r="A3617" s="13">
        <f>IF(H3617="","",ROW()-4)</f>
        <v/>
      </c>
      <c r="B3617" s="13">
        <f>IF(H3617="","",ROW()-4)</f>
        <v/>
      </c>
    </row>
    <row r="3618">
      <c r="A3618" s="13">
        <f>IF(H3618="","",ROW()-4)</f>
        <v/>
      </c>
      <c r="B3618" s="13">
        <f>IF(H3618="","",ROW()-4)</f>
        <v/>
      </c>
    </row>
    <row r="3619">
      <c r="A3619" s="13">
        <f>IF(H3619="","",ROW()-4)</f>
        <v/>
      </c>
      <c r="B3619" s="13">
        <f>IF(H3619="","",ROW()-4)</f>
        <v/>
      </c>
    </row>
    <row r="3620">
      <c r="A3620" s="13">
        <f>IF(H3620="","",ROW()-4)</f>
        <v/>
      </c>
      <c r="B3620" s="13">
        <f>IF(H3620="","",ROW()-4)</f>
        <v/>
      </c>
    </row>
    <row r="3621">
      <c r="A3621" s="13">
        <f>IF(H3621="","",ROW()-4)</f>
        <v/>
      </c>
      <c r="B3621" s="13">
        <f>IF(H3621="","",ROW()-4)</f>
        <v/>
      </c>
    </row>
    <row r="3622">
      <c r="A3622" s="13">
        <f>IF(H3622="","",ROW()-4)</f>
        <v/>
      </c>
      <c r="B3622" s="13">
        <f>IF(H3622="","",ROW()-4)</f>
        <v/>
      </c>
    </row>
    <row r="3623">
      <c r="A3623" s="13">
        <f>IF(H3623="","",ROW()-4)</f>
        <v/>
      </c>
      <c r="B3623" s="13">
        <f>IF(H3623="","",ROW()-4)</f>
        <v/>
      </c>
    </row>
    <row r="3624">
      <c r="A3624" s="13">
        <f>IF(H3624="","",ROW()-4)</f>
        <v/>
      </c>
      <c r="B3624" s="13">
        <f>IF(H3624="","",ROW()-4)</f>
        <v/>
      </c>
    </row>
    <row r="3625">
      <c r="A3625" s="13">
        <f>IF(H3625="","",ROW()-4)</f>
        <v/>
      </c>
      <c r="B3625" s="13">
        <f>IF(H3625="","",ROW()-4)</f>
        <v/>
      </c>
    </row>
    <row r="3626">
      <c r="A3626" s="13">
        <f>IF(H3626="","",ROW()-4)</f>
        <v/>
      </c>
      <c r="B3626" s="13">
        <f>IF(H3626="","",ROW()-4)</f>
        <v/>
      </c>
    </row>
    <row r="3627">
      <c r="A3627" s="13">
        <f>IF(H3627="","",ROW()-4)</f>
        <v/>
      </c>
      <c r="B3627" s="13">
        <f>IF(H3627="","",ROW()-4)</f>
        <v/>
      </c>
    </row>
    <row r="3628">
      <c r="A3628" s="13">
        <f>IF(H3628="","",ROW()-4)</f>
        <v/>
      </c>
      <c r="B3628" s="13">
        <f>IF(H3628="","",ROW()-4)</f>
        <v/>
      </c>
    </row>
    <row r="3629">
      <c r="A3629" s="13">
        <f>IF(H3629="","",ROW()-4)</f>
        <v/>
      </c>
      <c r="B3629" s="13">
        <f>IF(H3629="","",ROW()-4)</f>
        <v/>
      </c>
    </row>
    <row r="3630">
      <c r="A3630" s="13">
        <f>IF(H3630="","",ROW()-4)</f>
        <v/>
      </c>
      <c r="B3630" s="13">
        <f>IF(H3630="","",ROW()-4)</f>
        <v/>
      </c>
    </row>
    <row r="3631">
      <c r="A3631" s="13">
        <f>IF(H3631="","",ROW()-4)</f>
        <v/>
      </c>
      <c r="B3631" s="13">
        <f>IF(H3631="","",ROW()-4)</f>
        <v/>
      </c>
    </row>
    <row r="3632">
      <c r="A3632" s="13">
        <f>IF(H3632="","",ROW()-4)</f>
        <v/>
      </c>
      <c r="B3632" s="13">
        <f>IF(H3632="","",ROW()-4)</f>
        <v/>
      </c>
    </row>
    <row r="3633">
      <c r="A3633" s="13">
        <f>IF(H3633="","",ROW()-4)</f>
        <v/>
      </c>
      <c r="B3633" s="13">
        <f>IF(H3633="","",ROW()-4)</f>
        <v/>
      </c>
    </row>
    <row r="3634">
      <c r="A3634" s="13">
        <f>IF(H3634="","",ROW()-4)</f>
        <v/>
      </c>
      <c r="B3634" s="13">
        <f>IF(H3634="","",ROW()-4)</f>
        <v/>
      </c>
    </row>
    <row r="3635">
      <c r="A3635" s="13">
        <f>IF(H3635="","",ROW()-4)</f>
        <v/>
      </c>
      <c r="B3635" s="13">
        <f>IF(H3635="","",ROW()-4)</f>
        <v/>
      </c>
    </row>
    <row r="3636">
      <c r="A3636" s="13">
        <f>IF(H3636="","",ROW()-4)</f>
        <v/>
      </c>
      <c r="B3636" s="13">
        <f>IF(H3636="","",ROW()-4)</f>
        <v/>
      </c>
    </row>
    <row r="3637">
      <c r="A3637" s="13">
        <f>IF(H3637="","",ROW()-4)</f>
        <v/>
      </c>
      <c r="B3637" s="13">
        <f>IF(H3637="","",ROW()-4)</f>
        <v/>
      </c>
    </row>
    <row r="3638">
      <c r="A3638" s="13">
        <f>IF(H3638="","",ROW()-4)</f>
        <v/>
      </c>
      <c r="B3638" s="13">
        <f>IF(H3638="","",ROW()-4)</f>
        <v/>
      </c>
    </row>
    <row r="3639">
      <c r="A3639" s="13">
        <f>IF(H3639="","",ROW()-4)</f>
        <v/>
      </c>
      <c r="B3639" s="13">
        <f>IF(H3639="","",ROW()-4)</f>
        <v/>
      </c>
    </row>
    <row r="3640">
      <c r="A3640" s="13">
        <f>IF(H3640="","",ROW()-4)</f>
        <v/>
      </c>
      <c r="B3640" s="13">
        <f>IF(H3640="","",ROW()-4)</f>
        <v/>
      </c>
    </row>
    <row r="3641">
      <c r="A3641" s="13">
        <f>IF(H3641="","",ROW()-4)</f>
        <v/>
      </c>
      <c r="B3641" s="13">
        <f>IF(H3641="","",ROW()-4)</f>
        <v/>
      </c>
    </row>
    <row r="3642">
      <c r="A3642" s="13">
        <f>IF(H3642="","",ROW()-4)</f>
        <v/>
      </c>
      <c r="B3642" s="13">
        <f>IF(H3642="","",ROW()-4)</f>
        <v/>
      </c>
    </row>
    <row r="3643">
      <c r="A3643" s="13">
        <f>IF(H3643="","",ROW()-4)</f>
        <v/>
      </c>
      <c r="B3643" s="13">
        <f>IF(H3643="","",ROW()-4)</f>
        <v/>
      </c>
    </row>
    <row r="3644">
      <c r="A3644" s="13">
        <f>IF(H3644="","",ROW()-4)</f>
        <v/>
      </c>
      <c r="B3644" s="13">
        <f>IF(H3644="","",ROW()-4)</f>
        <v/>
      </c>
    </row>
    <row r="3645">
      <c r="A3645" s="13">
        <f>IF(H3645="","",ROW()-4)</f>
        <v/>
      </c>
      <c r="B3645" s="13">
        <f>IF(H3645="","",ROW()-4)</f>
        <v/>
      </c>
    </row>
    <row r="3646">
      <c r="A3646" s="13">
        <f>IF(H3646="","",ROW()-4)</f>
        <v/>
      </c>
      <c r="B3646" s="13">
        <f>IF(H3646="","",ROW()-4)</f>
        <v/>
      </c>
    </row>
    <row r="3647">
      <c r="A3647" s="13">
        <f>IF(H3647="","",ROW()-4)</f>
        <v/>
      </c>
      <c r="B3647" s="13">
        <f>IF(H3647="","",ROW()-4)</f>
        <v/>
      </c>
    </row>
    <row r="3648">
      <c r="A3648" s="13">
        <f>IF(H3648="","",ROW()-4)</f>
        <v/>
      </c>
      <c r="B3648" s="13">
        <f>IF(H3648="","",ROW()-4)</f>
        <v/>
      </c>
    </row>
    <row r="3649">
      <c r="A3649" s="13">
        <f>IF(H3649="","",ROW()-4)</f>
        <v/>
      </c>
      <c r="B3649" s="13">
        <f>IF(H3649="","",ROW()-4)</f>
        <v/>
      </c>
    </row>
    <row r="3650">
      <c r="A3650" s="13">
        <f>IF(H3650="","",ROW()-4)</f>
        <v/>
      </c>
      <c r="B3650" s="13">
        <f>IF(H3650="","",ROW()-4)</f>
        <v/>
      </c>
    </row>
    <row r="3651">
      <c r="A3651" s="13">
        <f>IF(H3651="","",ROW()-4)</f>
        <v/>
      </c>
      <c r="B3651" s="13">
        <f>IF(H3651="","",ROW()-4)</f>
        <v/>
      </c>
    </row>
    <row r="3652">
      <c r="A3652" s="13">
        <f>IF(H3652="","",ROW()-4)</f>
        <v/>
      </c>
      <c r="B3652" s="13">
        <f>IF(H3652="","",ROW()-4)</f>
        <v/>
      </c>
    </row>
    <row r="3653">
      <c r="A3653" s="13">
        <f>IF(H3653="","",ROW()-4)</f>
        <v/>
      </c>
      <c r="B3653" s="13">
        <f>IF(H3653="","",ROW()-4)</f>
        <v/>
      </c>
    </row>
    <row r="3654">
      <c r="A3654" s="13">
        <f>IF(H3654="","",ROW()-4)</f>
        <v/>
      </c>
      <c r="B3654" s="13">
        <f>IF(H3654="","",ROW()-4)</f>
        <v/>
      </c>
    </row>
    <row r="3655">
      <c r="A3655" s="13">
        <f>IF(H3655="","",ROW()-4)</f>
        <v/>
      </c>
      <c r="B3655" s="13">
        <f>IF(H3655="","",ROW()-4)</f>
        <v/>
      </c>
    </row>
    <row r="3656">
      <c r="A3656" s="13">
        <f>IF(H3656="","",ROW()-4)</f>
        <v/>
      </c>
      <c r="B3656" s="13">
        <f>IF(H3656="","",ROW()-4)</f>
        <v/>
      </c>
    </row>
    <row r="3657">
      <c r="A3657" s="13">
        <f>IF(H3657="","",ROW()-4)</f>
        <v/>
      </c>
      <c r="B3657" s="13">
        <f>IF(H3657="","",ROW()-4)</f>
        <v/>
      </c>
    </row>
    <row r="3658">
      <c r="A3658" s="13">
        <f>IF(H3658="","",ROW()-4)</f>
        <v/>
      </c>
      <c r="B3658" s="13">
        <f>IF(H3658="","",ROW()-4)</f>
        <v/>
      </c>
    </row>
    <row r="3659">
      <c r="A3659" s="13">
        <f>IF(H3659="","",ROW()-4)</f>
        <v/>
      </c>
      <c r="B3659" s="13">
        <f>IF(H3659="","",ROW()-4)</f>
        <v/>
      </c>
    </row>
    <row r="3660">
      <c r="A3660" s="13">
        <f>IF(H3660="","",ROW()-4)</f>
        <v/>
      </c>
      <c r="B3660" s="13">
        <f>IF(H3660="","",ROW()-4)</f>
        <v/>
      </c>
    </row>
    <row r="3661">
      <c r="A3661" s="13">
        <f>IF(H3661="","",ROW()-4)</f>
        <v/>
      </c>
      <c r="B3661" s="13">
        <f>IF(H3661="","",ROW()-4)</f>
        <v/>
      </c>
    </row>
    <row r="3662">
      <c r="A3662" s="13">
        <f>IF(H3662="","",ROW()-4)</f>
        <v/>
      </c>
      <c r="B3662" s="13">
        <f>IF(H3662="","",ROW()-4)</f>
        <v/>
      </c>
    </row>
    <row r="3663">
      <c r="A3663" s="13">
        <f>IF(H3663="","",ROW()-4)</f>
        <v/>
      </c>
      <c r="B3663" s="13">
        <f>IF(H3663="","",ROW()-4)</f>
        <v/>
      </c>
    </row>
    <row r="3664">
      <c r="A3664" s="13">
        <f>IF(H3664="","",ROW()-4)</f>
        <v/>
      </c>
      <c r="B3664" s="13">
        <f>IF(H3664="","",ROW()-4)</f>
        <v/>
      </c>
    </row>
    <row r="3665">
      <c r="A3665" s="13">
        <f>IF(H3665="","",ROW()-4)</f>
        <v/>
      </c>
      <c r="B3665" s="13">
        <f>IF(H3665="","",ROW()-4)</f>
        <v/>
      </c>
    </row>
    <row r="3666">
      <c r="A3666" s="13">
        <f>IF(H3666="","",ROW()-4)</f>
        <v/>
      </c>
      <c r="B3666" s="13">
        <f>IF(H3666="","",ROW()-4)</f>
        <v/>
      </c>
    </row>
    <row r="3667">
      <c r="A3667" s="13">
        <f>IF(H3667="","",ROW()-4)</f>
        <v/>
      </c>
      <c r="B3667" s="13">
        <f>IF(H3667="","",ROW()-4)</f>
        <v/>
      </c>
    </row>
    <row r="3668">
      <c r="A3668" s="13">
        <f>IF(H3668="","",ROW()-4)</f>
        <v/>
      </c>
      <c r="B3668" s="13">
        <f>IF(H3668="","",ROW()-4)</f>
        <v/>
      </c>
    </row>
    <row r="3669">
      <c r="A3669" s="13">
        <f>IF(H3669="","",ROW()-4)</f>
        <v/>
      </c>
      <c r="B3669" s="13">
        <f>IF(H3669="","",ROW()-4)</f>
        <v/>
      </c>
    </row>
    <row r="3670">
      <c r="A3670" s="13">
        <f>IF(H3670="","",ROW()-4)</f>
        <v/>
      </c>
      <c r="B3670" s="13">
        <f>IF(H3670="","",ROW()-4)</f>
        <v/>
      </c>
    </row>
    <row r="3671">
      <c r="A3671" s="13">
        <f>IF(H3671="","",ROW()-4)</f>
        <v/>
      </c>
      <c r="B3671" s="13">
        <f>IF(H3671="","",ROW()-4)</f>
        <v/>
      </c>
    </row>
    <row r="3672">
      <c r="A3672" s="13">
        <f>IF(H3672="","",ROW()-4)</f>
        <v/>
      </c>
      <c r="B3672" s="13">
        <f>IF(H3672="","",ROW()-4)</f>
        <v/>
      </c>
    </row>
    <row r="3673">
      <c r="A3673" s="13">
        <f>IF(H3673="","",ROW()-4)</f>
        <v/>
      </c>
      <c r="B3673" s="13">
        <f>IF(H3673="","",ROW()-4)</f>
        <v/>
      </c>
    </row>
    <row r="3674">
      <c r="A3674" s="13">
        <f>IF(H3674="","",ROW()-4)</f>
        <v/>
      </c>
      <c r="B3674" s="13">
        <f>IF(H3674="","",ROW()-4)</f>
        <v/>
      </c>
    </row>
    <row r="3675">
      <c r="A3675" s="13">
        <f>IF(H3675="","",ROW()-4)</f>
        <v/>
      </c>
      <c r="B3675" s="13">
        <f>IF(H3675="","",ROW()-4)</f>
        <v/>
      </c>
    </row>
    <row r="3676">
      <c r="A3676" s="13">
        <f>IF(H3676="","",ROW()-4)</f>
        <v/>
      </c>
      <c r="B3676" s="13">
        <f>IF(H3676="","",ROW()-4)</f>
        <v/>
      </c>
    </row>
    <row r="3677">
      <c r="A3677" s="13">
        <f>IF(H3677="","",ROW()-4)</f>
        <v/>
      </c>
      <c r="B3677" s="13">
        <f>IF(H3677="","",ROW()-4)</f>
        <v/>
      </c>
    </row>
    <row r="3678">
      <c r="A3678" s="13">
        <f>IF(H3678="","",ROW()-4)</f>
        <v/>
      </c>
      <c r="B3678" s="13">
        <f>IF(H3678="","",ROW()-4)</f>
        <v/>
      </c>
    </row>
    <row r="3679">
      <c r="A3679" s="13">
        <f>IF(H3679="","",ROW()-4)</f>
        <v/>
      </c>
      <c r="B3679" s="13">
        <f>IF(H3679="","",ROW()-4)</f>
        <v/>
      </c>
    </row>
    <row r="3680">
      <c r="A3680" s="13">
        <f>IF(H3680="","",ROW()-4)</f>
        <v/>
      </c>
      <c r="B3680" s="13">
        <f>IF(H3680="","",ROW()-4)</f>
        <v/>
      </c>
    </row>
    <row r="3681">
      <c r="A3681" s="13">
        <f>IF(H3681="","",ROW()-4)</f>
        <v/>
      </c>
      <c r="B3681" s="13">
        <f>IF(H3681="","",ROW()-4)</f>
        <v/>
      </c>
    </row>
    <row r="3682">
      <c r="A3682" s="13">
        <f>IF(H3682="","",ROW()-4)</f>
        <v/>
      </c>
      <c r="B3682" s="13">
        <f>IF(H3682="","",ROW()-4)</f>
        <v/>
      </c>
    </row>
    <row r="3683">
      <c r="A3683" s="13">
        <f>IF(H3683="","",ROW()-4)</f>
        <v/>
      </c>
      <c r="B3683" s="13">
        <f>IF(H3683="","",ROW()-4)</f>
        <v/>
      </c>
    </row>
    <row r="3684">
      <c r="A3684" s="13">
        <f>IF(H3684="","",ROW()-4)</f>
        <v/>
      </c>
      <c r="B3684" s="13">
        <f>IF(H3684="","",ROW()-4)</f>
        <v/>
      </c>
    </row>
    <row r="3685">
      <c r="A3685" s="13">
        <f>IF(H3685="","",ROW()-4)</f>
        <v/>
      </c>
      <c r="B3685" s="13">
        <f>IF(H3685="","",ROW()-4)</f>
        <v/>
      </c>
    </row>
    <row r="3686">
      <c r="A3686" s="13">
        <f>IF(H3686="","",ROW()-4)</f>
        <v/>
      </c>
      <c r="B3686" s="13">
        <f>IF(H3686="","",ROW()-4)</f>
        <v/>
      </c>
    </row>
    <row r="3687">
      <c r="A3687" s="13">
        <f>IF(H3687="","",ROW()-4)</f>
        <v/>
      </c>
      <c r="B3687" s="13">
        <f>IF(H3687="","",ROW()-4)</f>
        <v/>
      </c>
    </row>
    <row r="3688">
      <c r="A3688" s="13">
        <f>IF(H3688="","",ROW()-4)</f>
        <v/>
      </c>
      <c r="B3688" s="13">
        <f>IF(H3688="","",ROW()-4)</f>
        <v/>
      </c>
    </row>
    <row r="3689">
      <c r="A3689" s="13">
        <f>IF(H3689="","",ROW()-4)</f>
        <v/>
      </c>
      <c r="B3689" s="13">
        <f>IF(H3689="","",ROW()-4)</f>
        <v/>
      </c>
    </row>
    <row r="3690">
      <c r="A3690" s="13">
        <f>IF(H3690="","",ROW()-4)</f>
        <v/>
      </c>
      <c r="B3690" s="13">
        <f>IF(H3690="","",ROW()-4)</f>
        <v/>
      </c>
    </row>
    <row r="3691">
      <c r="A3691" s="13">
        <f>IF(H3691="","",ROW()-4)</f>
        <v/>
      </c>
      <c r="B3691" s="13">
        <f>IF(H3691="","",ROW()-4)</f>
        <v/>
      </c>
    </row>
    <row r="3692">
      <c r="A3692" s="13">
        <f>IF(H3692="","",ROW()-4)</f>
        <v/>
      </c>
      <c r="B3692" s="13">
        <f>IF(H3692="","",ROW()-4)</f>
        <v/>
      </c>
    </row>
    <row r="3693">
      <c r="A3693" s="13">
        <f>IF(H3693="","",ROW()-4)</f>
        <v/>
      </c>
      <c r="B3693" s="13">
        <f>IF(H3693="","",ROW()-4)</f>
        <v/>
      </c>
    </row>
    <row r="3694">
      <c r="A3694" s="13">
        <f>IF(H3694="","",ROW()-4)</f>
        <v/>
      </c>
      <c r="B3694" s="13">
        <f>IF(H3694="","",ROW()-4)</f>
        <v/>
      </c>
    </row>
    <row r="3695">
      <c r="A3695" s="13">
        <f>IF(H3695="","",ROW()-4)</f>
        <v/>
      </c>
      <c r="B3695" s="13">
        <f>IF(H3695="","",ROW()-4)</f>
        <v/>
      </c>
    </row>
    <row r="3696">
      <c r="A3696" s="13">
        <f>IF(H3696="","",ROW()-4)</f>
        <v/>
      </c>
      <c r="B3696" s="13">
        <f>IF(H3696="","",ROW()-4)</f>
        <v/>
      </c>
    </row>
    <row r="3697">
      <c r="A3697" s="13">
        <f>IF(H3697="","",ROW()-4)</f>
        <v/>
      </c>
      <c r="B3697" s="13">
        <f>IF(H3697="","",ROW()-4)</f>
        <v/>
      </c>
    </row>
    <row r="3698">
      <c r="A3698" s="13">
        <f>IF(H3698="","",ROW()-4)</f>
        <v/>
      </c>
      <c r="B3698" s="13">
        <f>IF(H3698="","",ROW()-4)</f>
        <v/>
      </c>
    </row>
    <row r="3699">
      <c r="A3699" s="13">
        <f>IF(H3699="","",ROW()-4)</f>
        <v/>
      </c>
      <c r="B3699" s="13">
        <f>IF(H3699="","",ROW()-4)</f>
        <v/>
      </c>
    </row>
    <row r="3700">
      <c r="A3700" s="13">
        <f>IF(H3700="","",ROW()-4)</f>
        <v/>
      </c>
      <c r="B3700" s="13">
        <f>IF(H3700="","",ROW()-4)</f>
        <v/>
      </c>
    </row>
    <row r="3701">
      <c r="A3701" s="13">
        <f>IF(H3701="","",ROW()-4)</f>
        <v/>
      </c>
      <c r="B3701" s="13">
        <f>IF(H3701="","",ROW()-4)</f>
        <v/>
      </c>
    </row>
    <row r="3702">
      <c r="A3702" s="13">
        <f>IF(H3702="","",ROW()-4)</f>
        <v/>
      </c>
      <c r="B3702" s="13">
        <f>IF(H3702="","",ROW()-4)</f>
        <v/>
      </c>
    </row>
    <row r="3703">
      <c r="A3703" s="13">
        <f>IF(H3703="","",ROW()-4)</f>
        <v/>
      </c>
      <c r="B3703" s="13">
        <f>IF(H3703="","",ROW()-4)</f>
        <v/>
      </c>
    </row>
    <row r="3704">
      <c r="A3704" s="13">
        <f>IF(H3704="","",ROW()-4)</f>
        <v/>
      </c>
      <c r="B3704" s="13">
        <f>IF(H3704="","",ROW()-4)</f>
        <v/>
      </c>
    </row>
    <row r="3705">
      <c r="A3705" s="13">
        <f>IF(H3705="","",ROW()-4)</f>
        <v/>
      </c>
      <c r="B3705" s="13">
        <f>IF(H3705="","",ROW()-4)</f>
        <v/>
      </c>
    </row>
    <row r="3706">
      <c r="A3706" s="13">
        <f>IF(H3706="","",ROW()-4)</f>
        <v/>
      </c>
      <c r="B3706" s="13">
        <f>IF(H3706="","",ROW()-4)</f>
        <v/>
      </c>
    </row>
    <row r="3707">
      <c r="A3707" s="13">
        <f>IF(H3707="","",ROW()-4)</f>
        <v/>
      </c>
      <c r="B3707" s="13">
        <f>IF(H3707="","",ROW()-4)</f>
        <v/>
      </c>
    </row>
    <row r="3708">
      <c r="A3708" s="13">
        <f>IF(H3708="","",ROW()-4)</f>
        <v/>
      </c>
      <c r="B3708" s="13">
        <f>IF(H3708="","",ROW()-4)</f>
        <v/>
      </c>
    </row>
    <row r="3709">
      <c r="A3709" s="13">
        <f>IF(H3709="","",ROW()-4)</f>
        <v/>
      </c>
      <c r="B3709" s="13">
        <f>IF(H3709="","",ROW()-4)</f>
        <v/>
      </c>
    </row>
    <row r="3710">
      <c r="A3710" s="13">
        <f>IF(H3710="","",ROW()-4)</f>
        <v/>
      </c>
      <c r="B3710" s="13">
        <f>IF(H3710="","",ROW()-4)</f>
        <v/>
      </c>
    </row>
    <row r="3711">
      <c r="A3711" s="13">
        <f>IF(H3711="","",ROW()-4)</f>
        <v/>
      </c>
      <c r="B3711" s="13">
        <f>IF(H3711="","",ROW()-4)</f>
        <v/>
      </c>
    </row>
    <row r="3712">
      <c r="A3712" s="13">
        <f>IF(H3712="","",ROW()-4)</f>
        <v/>
      </c>
      <c r="B3712" s="13">
        <f>IF(H3712="","",ROW()-4)</f>
        <v/>
      </c>
    </row>
    <row r="3713">
      <c r="A3713" s="13">
        <f>IF(H3713="","",ROW()-4)</f>
        <v/>
      </c>
      <c r="B3713" s="13">
        <f>IF(H3713="","",ROW()-4)</f>
        <v/>
      </c>
    </row>
    <row r="3714">
      <c r="A3714" s="13">
        <f>IF(H3714="","",ROW()-4)</f>
        <v/>
      </c>
      <c r="B3714" s="13">
        <f>IF(H3714="","",ROW()-4)</f>
        <v/>
      </c>
    </row>
    <row r="3715">
      <c r="A3715" s="13">
        <f>IF(H3715="","",ROW()-4)</f>
        <v/>
      </c>
      <c r="B3715" s="13">
        <f>IF(H3715="","",ROW()-4)</f>
        <v/>
      </c>
    </row>
    <row r="3716">
      <c r="A3716" s="13">
        <f>IF(H3716="","",ROW()-4)</f>
        <v/>
      </c>
      <c r="B3716" s="13">
        <f>IF(H3716="","",ROW()-4)</f>
        <v/>
      </c>
    </row>
    <row r="3717">
      <c r="A3717" s="13">
        <f>IF(H3717="","",ROW()-4)</f>
        <v/>
      </c>
      <c r="B3717" s="13">
        <f>IF(H3717="","",ROW()-4)</f>
        <v/>
      </c>
    </row>
    <row r="3718">
      <c r="A3718" s="13">
        <f>IF(H3718="","",ROW()-4)</f>
        <v/>
      </c>
      <c r="B3718" s="13">
        <f>IF(H3718="","",ROW()-4)</f>
        <v/>
      </c>
    </row>
    <row r="3719">
      <c r="A3719" s="13">
        <f>IF(H3719="","",ROW()-4)</f>
        <v/>
      </c>
      <c r="B3719" s="13">
        <f>IF(H3719="","",ROW()-4)</f>
        <v/>
      </c>
    </row>
    <row r="3720">
      <c r="A3720" s="13">
        <f>IF(H3720="","",ROW()-4)</f>
        <v/>
      </c>
      <c r="B3720" s="13">
        <f>IF(H3720="","",ROW()-4)</f>
        <v/>
      </c>
    </row>
    <row r="3721">
      <c r="A3721" s="13">
        <f>IF(H3721="","",ROW()-4)</f>
        <v/>
      </c>
      <c r="B3721" s="13">
        <f>IF(H3721="","",ROW()-4)</f>
        <v/>
      </c>
    </row>
    <row r="3722">
      <c r="A3722" s="13">
        <f>IF(H3722="","",ROW()-4)</f>
        <v/>
      </c>
      <c r="B3722" s="13">
        <f>IF(H3722="","",ROW()-4)</f>
        <v/>
      </c>
    </row>
    <row r="3723">
      <c r="A3723" s="13">
        <f>IF(H3723="","",ROW()-4)</f>
        <v/>
      </c>
      <c r="B3723" s="13">
        <f>IF(H3723="","",ROW()-4)</f>
        <v/>
      </c>
    </row>
    <row r="3724">
      <c r="A3724" s="13">
        <f>IF(H3724="","",ROW()-4)</f>
        <v/>
      </c>
      <c r="B3724" s="13">
        <f>IF(H3724="","",ROW()-4)</f>
        <v/>
      </c>
    </row>
    <row r="3725">
      <c r="A3725" s="13">
        <f>IF(H3725="","",ROW()-4)</f>
        <v/>
      </c>
      <c r="B3725" s="13">
        <f>IF(H3725="","",ROW()-4)</f>
        <v/>
      </c>
    </row>
    <row r="3726">
      <c r="A3726" s="13">
        <f>IF(H3726="","",ROW()-4)</f>
        <v/>
      </c>
      <c r="B3726" s="13">
        <f>IF(H3726="","",ROW()-4)</f>
        <v/>
      </c>
    </row>
    <row r="3727">
      <c r="A3727" s="13">
        <f>IF(H3727="","",ROW()-4)</f>
        <v/>
      </c>
      <c r="B3727" s="13">
        <f>IF(H3727="","",ROW()-4)</f>
        <v/>
      </c>
    </row>
    <row r="3728">
      <c r="A3728" s="13">
        <f>IF(H3728="","",ROW()-4)</f>
        <v/>
      </c>
      <c r="B3728" s="13">
        <f>IF(H3728="","",ROW()-4)</f>
        <v/>
      </c>
    </row>
    <row r="3729">
      <c r="A3729" s="13">
        <f>IF(H3729="","",ROW()-4)</f>
        <v/>
      </c>
      <c r="B3729" s="13">
        <f>IF(H3729="","",ROW()-4)</f>
        <v/>
      </c>
    </row>
    <row r="3730">
      <c r="A3730" s="13">
        <f>IF(H3730="","",ROW()-4)</f>
        <v/>
      </c>
      <c r="B3730" s="13">
        <f>IF(H3730="","",ROW()-4)</f>
        <v/>
      </c>
    </row>
    <row r="3731">
      <c r="A3731" s="13">
        <f>IF(H3731="","",ROW()-4)</f>
        <v/>
      </c>
      <c r="B3731" s="13">
        <f>IF(H3731="","",ROW()-4)</f>
        <v/>
      </c>
    </row>
    <row r="3732">
      <c r="A3732" s="13">
        <f>IF(H3732="","",ROW()-4)</f>
        <v/>
      </c>
      <c r="B3732" s="13">
        <f>IF(H3732="","",ROW()-4)</f>
        <v/>
      </c>
    </row>
    <row r="3733">
      <c r="A3733" s="13">
        <f>IF(H3733="","",ROW()-4)</f>
        <v/>
      </c>
      <c r="B3733" s="13">
        <f>IF(H3733="","",ROW()-4)</f>
        <v/>
      </c>
    </row>
    <row r="3734">
      <c r="A3734" s="13">
        <f>IF(H3734="","",ROW()-4)</f>
        <v/>
      </c>
      <c r="B3734" s="13">
        <f>IF(H3734="","",ROW()-4)</f>
        <v/>
      </c>
    </row>
    <row r="3735">
      <c r="A3735" s="13">
        <f>IF(H3735="","",ROW()-4)</f>
        <v/>
      </c>
      <c r="B3735" s="13">
        <f>IF(H3735="","",ROW()-4)</f>
        <v/>
      </c>
    </row>
    <row r="3736">
      <c r="A3736" s="13">
        <f>IF(H3736="","",ROW()-4)</f>
        <v/>
      </c>
      <c r="B3736" s="13">
        <f>IF(H3736="","",ROW()-4)</f>
        <v/>
      </c>
    </row>
    <row r="3737">
      <c r="A3737" s="13">
        <f>IF(H3737="","",ROW()-4)</f>
        <v/>
      </c>
      <c r="B3737" s="13">
        <f>IF(H3737="","",ROW()-4)</f>
        <v/>
      </c>
    </row>
    <row r="3738">
      <c r="A3738" s="13">
        <f>IF(H3738="","",ROW()-4)</f>
        <v/>
      </c>
      <c r="B3738" s="13">
        <f>IF(H3738="","",ROW()-4)</f>
        <v/>
      </c>
    </row>
    <row r="3739">
      <c r="A3739" s="13">
        <f>IF(H3739="","",ROW()-4)</f>
        <v/>
      </c>
      <c r="B3739" s="13">
        <f>IF(H3739="","",ROW()-4)</f>
        <v/>
      </c>
    </row>
    <row r="3740">
      <c r="A3740" s="13">
        <f>IF(H3740="","",ROW()-4)</f>
        <v/>
      </c>
      <c r="B3740" s="13">
        <f>IF(H3740="","",ROW()-4)</f>
        <v/>
      </c>
    </row>
    <row r="3741">
      <c r="A3741" s="13">
        <f>IF(H3741="","",ROW()-4)</f>
        <v/>
      </c>
      <c r="B3741" s="13">
        <f>IF(H3741="","",ROW()-4)</f>
        <v/>
      </c>
    </row>
    <row r="3742">
      <c r="A3742" s="13">
        <f>IF(H3742="","",ROW()-4)</f>
        <v/>
      </c>
      <c r="B3742" s="13">
        <f>IF(H3742="","",ROW()-4)</f>
        <v/>
      </c>
    </row>
    <row r="3743">
      <c r="A3743" s="13">
        <f>IF(H3743="","",ROW()-4)</f>
        <v/>
      </c>
      <c r="B3743" s="13">
        <f>IF(H3743="","",ROW()-4)</f>
        <v/>
      </c>
    </row>
    <row r="3744">
      <c r="A3744" s="13">
        <f>IF(H3744="","",ROW()-4)</f>
        <v/>
      </c>
      <c r="B3744" s="13">
        <f>IF(H3744="","",ROW()-4)</f>
        <v/>
      </c>
    </row>
    <row r="3745">
      <c r="A3745" s="13">
        <f>IF(H3745="","",ROW()-4)</f>
        <v/>
      </c>
      <c r="B3745" s="13">
        <f>IF(H3745="","",ROW()-4)</f>
        <v/>
      </c>
    </row>
    <row r="3746">
      <c r="A3746" s="13">
        <f>IF(H3746="","",ROW()-4)</f>
        <v/>
      </c>
      <c r="B3746" s="13">
        <f>IF(H3746="","",ROW()-4)</f>
        <v/>
      </c>
    </row>
    <row r="3747">
      <c r="A3747" s="13">
        <f>IF(H3747="","",ROW()-4)</f>
        <v/>
      </c>
      <c r="B3747" s="13">
        <f>IF(H3747="","",ROW()-4)</f>
        <v/>
      </c>
    </row>
    <row r="3748">
      <c r="A3748" s="13">
        <f>IF(H3748="","",ROW()-4)</f>
        <v/>
      </c>
      <c r="B3748" s="13">
        <f>IF(H3748="","",ROW()-4)</f>
        <v/>
      </c>
    </row>
    <row r="3749">
      <c r="A3749" s="13">
        <f>IF(H3749="","",ROW()-4)</f>
        <v/>
      </c>
      <c r="B3749" s="13">
        <f>IF(H3749="","",ROW()-4)</f>
        <v/>
      </c>
    </row>
    <row r="3750">
      <c r="A3750" s="13">
        <f>IF(H3750="","",ROW()-4)</f>
        <v/>
      </c>
      <c r="B3750" s="13">
        <f>IF(H3750="","",ROW()-4)</f>
        <v/>
      </c>
    </row>
    <row r="3751">
      <c r="A3751" s="13">
        <f>IF(H3751="","",ROW()-4)</f>
        <v/>
      </c>
      <c r="B3751" s="13">
        <f>IF(H3751="","",ROW()-4)</f>
        <v/>
      </c>
    </row>
    <row r="3752">
      <c r="A3752" s="13">
        <f>IF(H3752="","",ROW()-4)</f>
        <v/>
      </c>
      <c r="B3752" s="13">
        <f>IF(H3752="","",ROW()-4)</f>
        <v/>
      </c>
    </row>
    <row r="3753">
      <c r="A3753" s="13">
        <f>IF(H3753="","",ROW()-4)</f>
        <v/>
      </c>
      <c r="B3753" s="13">
        <f>IF(H3753="","",ROW()-4)</f>
        <v/>
      </c>
    </row>
    <row r="3754">
      <c r="A3754" s="13">
        <f>IF(H3754="","",ROW()-4)</f>
        <v/>
      </c>
      <c r="B3754" s="13">
        <f>IF(H3754="","",ROW()-4)</f>
        <v/>
      </c>
    </row>
    <row r="3755">
      <c r="A3755" s="13">
        <f>IF(H3755="","",ROW()-4)</f>
        <v/>
      </c>
      <c r="B3755" s="13">
        <f>IF(H3755="","",ROW()-4)</f>
        <v/>
      </c>
    </row>
    <row r="3756">
      <c r="A3756" s="13">
        <f>IF(H3756="","",ROW()-4)</f>
        <v/>
      </c>
      <c r="B3756" s="13">
        <f>IF(H3756="","",ROW()-4)</f>
        <v/>
      </c>
    </row>
    <row r="3757">
      <c r="A3757" s="13">
        <f>IF(H3757="","",ROW()-4)</f>
        <v/>
      </c>
      <c r="B3757" s="13">
        <f>IF(H3757="","",ROW()-4)</f>
        <v/>
      </c>
    </row>
    <row r="3758">
      <c r="A3758" s="13">
        <f>IF(H3758="","",ROW()-4)</f>
        <v/>
      </c>
      <c r="B3758" s="13">
        <f>IF(H3758="","",ROW()-4)</f>
        <v/>
      </c>
    </row>
    <row r="3759">
      <c r="A3759" s="13">
        <f>IF(H3759="","",ROW()-4)</f>
        <v/>
      </c>
      <c r="B3759" s="13">
        <f>IF(H3759="","",ROW()-4)</f>
        <v/>
      </c>
    </row>
    <row r="3760">
      <c r="A3760" s="13">
        <f>IF(H3760="","",ROW()-4)</f>
        <v/>
      </c>
      <c r="B3760" s="13">
        <f>IF(H3760="","",ROW()-4)</f>
        <v/>
      </c>
    </row>
    <row r="3761">
      <c r="A3761" s="13">
        <f>IF(H3761="","",ROW()-4)</f>
        <v/>
      </c>
      <c r="B3761" s="13">
        <f>IF(H3761="","",ROW()-4)</f>
        <v/>
      </c>
    </row>
    <row r="3762">
      <c r="A3762" s="13">
        <f>IF(H3762="","",ROW()-4)</f>
        <v/>
      </c>
      <c r="B3762" s="13">
        <f>IF(H3762="","",ROW()-4)</f>
        <v/>
      </c>
    </row>
    <row r="3763">
      <c r="A3763" s="13">
        <f>IF(H3763="","",ROW()-4)</f>
        <v/>
      </c>
      <c r="B3763" s="13">
        <f>IF(H3763="","",ROW()-4)</f>
        <v/>
      </c>
    </row>
    <row r="3764">
      <c r="A3764" s="13">
        <f>IF(H3764="","",ROW()-4)</f>
        <v/>
      </c>
      <c r="B3764" s="13">
        <f>IF(H3764="","",ROW()-4)</f>
        <v/>
      </c>
    </row>
    <row r="3765">
      <c r="A3765" s="13">
        <f>IF(H3765="","",ROW()-4)</f>
        <v/>
      </c>
      <c r="B3765" s="13">
        <f>IF(H3765="","",ROW()-4)</f>
        <v/>
      </c>
    </row>
    <row r="3766">
      <c r="A3766" s="13">
        <f>IF(H3766="","",ROW()-4)</f>
        <v/>
      </c>
      <c r="B3766" s="13">
        <f>IF(H3766="","",ROW()-4)</f>
        <v/>
      </c>
    </row>
    <row r="3767">
      <c r="A3767" s="13">
        <f>IF(H3767="","",ROW()-4)</f>
        <v/>
      </c>
      <c r="B3767" s="13">
        <f>IF(H3767="","",ROW()-4)</f>
        <v/>
      </c>
    </row>
    <row r="3768">
      <c r="A3768" s="13">
        <f>IF(H3768="","",ROW()-4)</f>
        <v/>
      </c>
      <c r="B3768" s="13">
        <f>IF(H3768="","",ROW()-4)</f>
        <v/>
      </c>
    </row>
    <row r="3769">
      <c r="A3769" s="13">
        <f>IF(H3769="","",ROW()-4)</f>
        <v/>
      </c>
      <c r="B3769" s="13">
        <f>IF(H3769="","",ROW()-4)</f>
        <v/>
      </c>
    </row>
    <row r="3770">
      <c r="A3770" s="13">
        <f>IF(H3770="","",ROW()-4)</f>
        <v/>
      </c>
      <c r="B3770" s="13">
        <f>IF(H3770="","",ROW()-4)</f>
        <v/>
      </c>
    </row>
    <row r="3771">
      <c r="A3771" s="13">
        <f>IF(H3771="","",ROW()-4)</f>
        <v/>
      </c>
      <c r="B3771" s="13">
        <f>IF(H3771="","",ROW()-4)</f>
        <v/>
      </c>
    </row>
    <row r="3772">
      <c r="A3772" s="13">
        <f>IF(H3772="","",ROW()-4)</f>
        <v/>
      </c>
      <c r="B3772" s="13">
        <f>IF(H3772="","",ROW()-4)</f>
        <v/>
      </c>
    </row>
    <row r="3773">
      <c r="A3773" s="13">
        <f>IF(H3773="","",ROW()-4)</f>
        <v/>
      </c>
      <c r="B3773" s="13">
        <f>IF(H3773="","",ROW()-4)</f>
        <v/>
      </c>
    </row>
    <row r="3774">
      <c r="A3774" s="13">
        <f>IF(H3774="","",ROW()-4)</f>
        <v/>
      </c>
      <c r="B3774" s="13">
        <f>IF(H3774="","",ROW()-4)</f>
        <v/>
      </c>
    </row>
    <row r="3775">
      <c r="A3775" s="13">
        <f>IF(H3775="","",ROW()-4)</f>
        <v/>
      </c>
      <c r="B3775" s="13">
        <f>IF(H3775="","",ROW()-4)</f>
        <v/>
      </c>
    </row>
    <row r="3776">
      <c r="A3776" s="13">
        <f>IF(H3776="","",ROW()-4)</f>
        <v/>
      </c>
      <c r="B3776" s="13">
        <f>IF(H3776="","",ROW()-4)</f>
        <v/>
      </c>
    </row>
    <row r="3777">
      <c r="A3777" s="13">
        <f>IF(H3777="","",ROW()-4)</f>
        <v/>
      </c>
      <c r="B3777" s="13">
        <f>IF(H3777="","",ROW()-4)</f>
        <v/>
      </c>
    </row>
    <row r="3778">
      <c r="A3778" s="13">
        <f>IF(H3778="","",ROW()-4)</f>
        <v/>
      </c>
      <c r="B3778" s="13">
        <f>IF(H3778="","",ROW()-4)</f>
        <v/>
      </c>
    </row>
    <row r="3779">
      <c r="A3779" s="13">
        <f>IF(H3779="","",ROW()-4)</f>
        <v/>
      </c>
      <c r="B3779" s="13">
        <f>IF(H3779="","",ROW()-4)</f>
        <v/>
      </c>
    </row>
    <row r="3780">
      <c r="A3780" s="13">
        <f>IF(H3780="","",ROW()-4)</f>
        <v/>
      </c>
      <c r="B3780" s="13">
        <f>IF(H3780="","",ROW()-4)</f>
        <v/>
      </c>
    </row>
    <row r="3781">
      <c r="A3781" s="13">
        <f>IF(H3781="","",ROW()-4)</f>
        <v/>
      </c>
      <c r="B3781" s="13">
        <f>IF(H3781="","",ROW()-4)</f>
        <v/>
      </c>
    </row>
    <row r="3782">
      <c r="A3782" s="13">
        <f>IF(H3782="","",ROW()-4)</f>
        <v/>
      </c>
      <c r="B3782" s="13">
        <f>IF(H3782="","",ROW()-4)</f>
        <v/>
      </c>
    </row>
    <row r="3783">
      <c r="A3783" s="13">
        <f>IF(H3783="","",ROW()-4)</f>
        <v/>
      </c>
      <c r="B3783" s="13">
        <f>IF(H3783="","",ROW()-4)</f>
        <v/>
      </c>
    </row>
    <row r="3784">
      <c r="A3784" s="13">
        <f>IF(H3784="","",ROW()-4)</f>
        <v/>
      </c>
      <c r="B3784" s="13">
        <f>IF(H3784="","",ROW()-4)</f>
        <v/>
      </c>
    </row>
    <row r="3785">
      <c r="A3785" s="13">
        <f>IF(H3785="","",ROW()-4)</f>
        <v/>
      </c>
      <c r="B3785" s="13">
        <f>IF(H3785="","",ROW()-4)</f>
        <v/>
      </c>
    </row>
    <row r="3786">
      <c r="A3786" s="13">
        <f>IF(H3786="","",ROW()-4)</f>
        <v/>
      </c>
      <c r="B3786" s="13">
        <f>IF(H3786="","",ROW()-4)</f>
        <v/>
      </c>
    </row>
    <row r="3787">
      <c r="A3787" s="13">
        <f>IF(H3787="","",ROW()-4)</f>
        <v/>
      </c>
      <c r="B3787" s="13">
        <f>IF(H3787="","",ROW()-4)</f>
        <v/>
      </c>
    </row>
    <row r="3788">
      <c r="A3788" s="13">
        <f>IF(H3788="","",ROW()-4)</f>
        <v/>
      </c>
      <c r="B3788" s="13">
        <f>IF(H3788="","",ROW()-4)</f>
        <v/>
      </c>
    </row>
    <row r="3789">
      <c r="A3789" s="13">
        <f>IF(H3789="","",ROW()-4)</f>
        <v/>
      </c>
      <c r="B3789" s="13">
        <f>IF(H3789="","",ROW()-4)</f>
        <v/>
      </c>
    </row>
    <row r="3790">
      <c r="A3790" s="13">
        <f>IF(H3790="","",ROW()-4)</f>
        <v/>
      </c>
      <c r="B3790" s="13">
        <f>IF(H3790="","",ROW()-4)</f>
        <v/>
      </c>
    </row>
    <row r="3791">
      <c r="A3791" s="13">
        <f>IF(H3791="","",ROW()-4)</f>
        <v/>
      </c>
      <c r="B3791" s="13">
        <f>IF(H3791="","",ROW()-4)</f>
        <v/>
      </c>
    </row>
    <row r="3792">
      <c r="A3792" s="13">
        <f>IF(H3792="","",ROW()-4)</f>
        <v/>
      </c>
      <c r="B3792" s="13">
        <f>IF(H3792="","",ROW()-4)</f>
        <v/>
      </c>
    </row>
    <row r="3793">
      <c r="A3793" s="13">
        <f>IF(H3793="","",ROW()-4)</f>
        <v/>
      </c>
      <c r="B3793" s="13">
        <f>IF(H3793="","",ROW()-4)</f>
        <v/>
      </c>
    </row>
    <row r="3794">
      <c r="A3794" s="13">
        <f>IF(H3794="","",ROW()-4)</f>
        <v/>
      </c>
      <c r="B3794" s="13">
        <f>IF(H3794="","",ROW()-4)</f>
        <v/>
      </c>
    </row>
    <row r="3795">
      <c r="A3795" s="13">
        <f>IF(H3795="","",ROW()-4)</f>
        <v/>
      </c>
      <c r="B3795" s="13">
        <f>IF(H3795="","",ROW()-4)</f>
        <v/>
      </c>
    </row>
    <row r="3796">
      <c r="A3796" s="13">
        <f>IF(H3796="","",ROW()-4)</f>
        <v/>
      </c>
      <c r="B3796" s="13">
        <f>IF(H3796="","",ROW()-4)</f>
        <v/>
      </c>
    </row>
    <row r="3797">
      <c r="A3797" s="13">
        <f>IF(H3797="","",ROW()-4)</f>
        <v/>
      </c>
      <c r="B3797" s="13">
        <f>IF(H3797="","",ROW()-4)</f>
        <v/>
      </c>
    </row>
    <row r="3798">
      <c r="A3798" s="13">
        <f>IF(H3798="","",ROW()-4)</f>
        <v/>
      </c>
      <c r="B3798" s="13">
        <f>IF(H3798="","",ROW()-4)</f>
        <v/>
      </c>
    </row>
    <row r="3799">
      <c r="A3799" s="13">
        <f>IF(H3799="","",ROW()-4)</f>
        <v/>
      </c>
      <c r="B3799" s="13">
        <f>IF(H3799="","",ROW()-4)</f>
        <v/>
      </c>
    </row>
    <row r="3800">
      <c r="A3800" s="13">
        <f>IF(H3800="","",ROW()-4)</f>
        <v/>
      </c>
      <c r="B3800" s="13">
        <f>IF(H3800="","",ROW()-4)</f>
        <v/>
      </c>
    </row>
    <row r="3801">
      <c r="A3801" s="13">
        <f>IF(H3801="","",ROW()-4)</f>
        <v/>
      </c>
      <c r="B3801" s="13">
        <f>IF(H3801="","",ROW()-4)</f>
        <v/>
      </c>
    </row>
    <row r="3802">
      <c r="A3802" s="13">
        <f>IF(H3802="","",ROW()-4)</f>
        <v/>
      </c>
      <c r="B3802" s="13">
        <f>IF(H3802="","",ROW()-4)</f>
        <v/>
      </c>
    </row>
    <row r="3803">
      <c r="A3803" s="13">
        <f>IF(H3803="","",ROW()-4)</f>
        <v/>
      </c>
      <c r="B3803" s="13">
        <f>IF(H3803="","",ROW()-4)</f>
        <v/>
      </c>
    </row>
    <row r="3804">
      <c r="A3804" s="13">
        <f>IF(H3804="","",ROW()-4)</f>
        <v/>
      </c>
      <c r="B3804" s="13">
        <f>IF(H3804="","",ROW()-4)</f>
        <v/>
      </c>
    </row>
    <row r="3805">
      <c r="A3805" s="13">
        <f>IF(H3805="","",ROW()-4)</f>
        <v/>
      </c>
      <c r="B3805" s="13">
        <f>IF(H3805="","",ROW()-4)</f>
        <v/>
      </c>
    </row>
    <row r="3806">
      <c r="A3806" s="13">
        <f>IF(H3806="","",ROW()-4)</f>
        <v/>
      </c>
      <c r="B3806" s="13">
        <f>IF(H3806="","",ROW()-4)</f>
        <v/>
      </c>
    </row>
    <row r="3807">
      <c r="A3807" s="13">
        <f>IF(H3807="","",ROW()-4)</f>
        <v/>
      </c>
      <c r="B3807" s="13">
        <f>IF(H3807="","",ROW()-4)</f>
        <v/>
      </c>
    </row>
    <row r="3808">
      <c r="A3808" s="13">
        <f>IF(H3808="","",ROW()-4)</f>
        <v/>
      </c>
      <c r="B3808" s="13">
        <f>IF(H3808="","",ROW()-4)</f>
        <v/>
      </c>
    </row>
    <row r="3809">
      <c r="A3809" s="13">
        <f>IF(H3809="","",ROW()-4)</f>
        <v/>
      </c>
      <c r="B3809" s="13">
        <f>IF(H3809="","",ROW()-4)</f>
        <v/>
      </c>
    </row>
    <row r="3810">
      <c r="A3810" s="13">
        <f>IF(H3810="","",ROW()-4)</f>
        <v/>
      </c>
      <c r="B3810" s="13">
        <f>IF(H3810="","",ROW()-4)</f>
        <v/>
      </c>
    </row>
    <row r="3811">
      <c r="A3811" s="13">
        <f>IF(H3811="","",ROW()-4)</f>
        <v/>
      </c>
      <c r="B3811" s="13">
        <f>IF(H3811="","",ROW()-4)</f>
        <v/>
      </c>
    </row>
    <row r="3812">
      <c r="A3812" s="13">
        <f>IF(H3812="","",ROW()-4)</f>
        <v/>
      </c>
      <c r="B3812" s="13">
        <f>IF(H3812="","",ROW()-4)</f>
        <v/>
      </c>
    </row>
    <row r="3813">
      <c r="A3813" s="13">
        <f>IF(H3813="","",ROW()-4)</f>
        <v/>
      </c>
      <c r="B3813" s="13">
        <f>IF(H3813="","",ROW()-4)</f>
        <v/>
      </c>
    </row>
    <row r="3814">
      <c r="A3814" s="13">
        <f>IF(H3814="","",ROW()-4)</f>
        <v/>
      </c>
      <c r="B3814" s="13">
        <f>IF(H3814="","",ROW()-4)</f>
        <v/>
      </c>
    </row>
    <row r="3815">
      <c r="A3815" s="13">
        <f>IF(H3815="","",ROW()-4)</f>
        <v/>
      </c>
      <c r="B3815" s="13">
        <f>IF(H3815="","",ROW()-4)</f>
        <v/>
      </c>
    </row>
    <row r="3816">
      <c r="A3816" s="13">
        <f>IF(H3816="","",ROW()-4)</f>
        <v/>
      </c>
      <c r="B3816" s="13">
        <f>IF(H3816="","",ROW()-4)</f>
        <v/>
      </c>
    </row>
    <row r="3817">
      <c r="A3817" s="13">
        <f>IF(H3817="","",ROW()-4)</f>
        <v/>
      </c>
      <c r="B3817" s="13">
        <f>IF(H3817="","",ROW()-4)</f>
        <v/>
      </c>
    </row>
    <row r="3818">
      <c r="A3818" s="13">
        <f>IF(H3818="","",ROW()-4)</f>
        <v/>
      </c>
      <c r="B3818" s="13">
        <f>IF(H3818="","",ROW()-4)</f>
        <v/>
      </c>
    </row>
    <row r="3819">
      <c r="A3819" s="13">
        <f>IF(H3819="","",ROW()-4)</f>
        <v/>
      </c>
      <c r="B3819" s="13">
        <f>IF(H3819="","",ROW()-4)</f>
        <v/>
      </c>
    </row>
    <row r="3820">
      <c r="A3820" s="13">
        <f>IF(H3820="","",ROW()-4)</f>
        <v/>
      </c>
      <c r="B3820" s="13">
        <f>IF(H3820="","",ROW()-4)</f>
        <v/>
      </c>
    </row>
    <row r="3821">
      <c r="A3821" s="13">
        <f>IF(H3821="","",ROW()-4)</f>
        <v/>
      </c>
      <c r="B3821" s="13">
        <f>IF(H3821="","",ROW()-4)</f>
        <v/>
      </c>
    </row>
    <row r="3822">
      <c r="A3822" s="13">
        <f>IF(H3822="","",ROW()-4)</f>
        <v/>
      </c>
      <c r="B3822" s="13">
        <f>IF(H3822="","",ROW()-4)</f>
        <v/>
      </c>
    </row>
    <row r="3823">
      <c r="A3823" s="13">
        <f>IF(H3823="","",ROW()-4)</f>
        <v/>
      </c>
      <c r="B3823" s="13">
        <f>IF(H3823="","",ROW()-4)</f>
        <v/>
      </c>
    </row>
    <row r="3824">
      <c r="A3824" s="13">
        <f>IF(H3824="","",ROW()-4)</f>
        <v/>
      </c>
      <c r="B3824" s="13">
        <f>IF(H3824="","",ROW()-4)</f>
        <v/>
      </c>
    </row>
    <row r="3825">
      <c r="A3825" s="13">
        <f>IF(H3825="","",ROW()-4)</f>
        <v/>
      </c>
      <c r="B3825" s="13">
        <f>IF(H3825="","",ROW()-4)</f>
        <v/>
      </c>
    </row>
    <row r="3826">
      <c r="A3826" s="13">
        <f>IF(H3826="","",ROW()-4)</f>
        <v/>
      </c>
      <c r="B3826" s="13">
        <f>IF(H3826="","",ROW()-4)</f>
        <v/>
      </c>
    </row>
    <row r="3827">
      <c r="A3827" s="13">
        <f>IF(H3827="","",ROW()-4)</f>
        <v/>
      </c>
      <c r="B3827" s="13">
        <f>IF(H3827="","",ROW()-4)</f>
        <v/>
      </c>
    </row>
    <row r="3828">
      <c r="A3828" s="13">
        <f>IF(H3828="","",ROW()-4)</f>
        <v/>
      </c>
      <c r="B3828" s="13">
        <f>IF(H3828="","",ROW()-4)</f>
        <v/>
      </c>
    </row>
    <row r="3829">
      <c r="A3829" s="13">
        <f>IF(H3829="","",ROW()-4)</f>
        <v/>
      </c>
      <c r="B3829" s="13">
        <f>IF(H3829="","",ROW()-4)</f>
        <v/>
      </c>
    </row>
    <row r="3830">
      <c r="A3830" s="13">
        <f>IF(H3830="","",ROW()-4)</f>
        <v/>
      </c>
      <c r="B3830" s="13">
        <f>IF(H3830="","",ROW()-4)</f>
        <v/>
      </c>
    </row>
    <row r="3831">
      <c r="A3831" s="13">
        <f>IF(H3831="","",ROW()-4)</f>
        <v/>
      </c>
      <c r="B3831" s="13">
        <f>IF(H3831="","",ROW()-4)</f>
        <v/>
      </c>
    </row>
    <row r="3832">
      <c r="A3832" s="13">
        <f>IF(H3832="","",ROW()-4)</f>
        <v/>
      </c>
      <c r="B3832" s="13">
        <f>IF(H3832="","",ROW()-4)</f>
        <v/>
      </c>
    </row>
    <row r="3833">
      <c r="A3833" s="13">
        <f>IF(H3833="","",ROW()-4)</f>
        <v/>
      </c>
      <c r="B3833" s="13">
        <f>IF(H3833="","",ROW()-4)</f>
        <v/>
      </c>
    </row>
    <row r="3834">
      <c r="A3834" s="13">
        <f>IF(H3834="","",ROW()-4)</f>
        <v/>
      </c>
      <c r="B3834" s="13">
        <f>IF(H3834="","",ROW()-4)</f>
        <v/>
      </c>
    </row>
    <row r="3835">
      <c r="A3835" s="13">
        <f>IF(H3835="","",ROW()-4)</f>
        <v/>
      </c>
      <c r="B3835" s="13">
        <f>IF(H3835="","",ROW()-4)</f>
        <v/>
      </c>
    </row>
    <row r="3836">
      <c r="A3836" s="13">
        <f>IF(H3836="","",ROW()-4)</f>
        <v/>
      </c>
      <c r="B3836" s="13">
        <f>IF(H3836="","",ROW()-4)</f>
        <v/>
      </c>
    </row>
    <row r="3837">
      <c r="A3837" s="13">
        <f>IF(H3837="","",ROW()-4)</f>
        <v/>
      </c>
      <c r="B3837" s="13">
        <f>IF(H3837="","",ROW()-4)</f>
        <v/>
      </c>
    </row>
    <row r="3838">
      <c r="A3838" s="13">
        <f>IF(H3838="","",ROW()-4)</f>
        <v/>
      </c>
      <c r="B3838" s="13">
        <f>IF(H3838="","",ROW()-4)</f>
        <v/>
      </c>
    </row>
    <row r="3839">
      <c r="A3839" s="13">
        <f>IF(H3839="","",ROW()-4)</f>
        <v/>
      </c>
      <c r="B3839" s="13">
        <f>IF(H3839="","",ROW()-4)</f>
        <v/>
      </c>
    </row>
    <row r="3840">
      <c r="A3840" s="13">
        <f>IF(H3840="","",ROW()-4)</f>
        <v/>
      </c>
      <c r="B3840" s="13">
        <f>IF(H3840="","",ROW()-4)</f>
        <v/>
      </c>
    </row>
    <row r="3841">
      <c r="A3841" s="13">
        <f>IF(H3841="","",ROW()-4)</f>
        <v/>
      </c>
      <c r="B3841" s="13">
        <f>IF(H3841="","",ROW()-4)</f>
        <v/>
      </c>
    </row>
    <row r="3842">
      <c r="A3842" s="13">
        <f>IF(H3842="","",ROW()-4)</f>
        <v/>
      </c>
      <c r="B3842" s="13">
        <f>IF(H3842="","",ROW()-4)</f>
        <v/>
      </c>
    </row>
    <row r="3843">
      <c r="A3843" s="13">
        <f>IF(H3843="","",ROW()-4)</f>
        <v/>
      </c>
      <c r="B3843" s="13">
        <f>IF(H3843="","",ROW()-4)</f>
        <v/>
      </c>
    </row>
    <row r="3844">
      <c r="A3844" s="13">
        <f>IF(H3844="","",ROW()-4)</f>
        <v/>
      </c>
      <c r="B3844" s="13">
        <f>IF(H3844="","",ROW()-4)</f>
        <v/>
      </c>
    </row>
    <row r="3845">
      <c r="A3845" s="13">
        <f>IF(H3845="","",ROW()-4)</f>
        <v/>
      </c>
      <c r="B3845" s="13">
        <f>IF(H3845="","",ROW()-4)</f>
        <v/>
      </c>
    </row>
    <row r="3846">
      <c r="A3846" s="13">
        <f>IF(H3846="","",ROW()-4)</f>
        <v/>
      </c>
      <c r="B3846" s="13">
        <f>IF(H3846="","",ROW()-4)</f>
        <v/>
      </c>
    </row>
    <row r="3847">
      <c r="A3847" s="13">
        <f>IF(H3847="","",ROW()-4)</f>
        <v/>
      </c>
      <c r="B3847" s="13">
        <f>IF(H3847="","",ROW()-4)</f>
        <v/>
      </c>
    </row>
    <row r="3848">
      <c r="A3848" s="13">
        <f>IF(H3848="","",ROW()-4)</f>
        <v/>
      </c>
      <c r="B3848" s="13">
        <f>IF(H3848="","",ROW()-4)</f>
        <v/>
      </c>
    </row>
    <row r="3849">
      <c r="A3849" s="13">
        <f>IF(H3849="","",ROW()-4)</f>
        <v/>
      </c>
      <c r="B3849" s="13">
        <f>IF(H3849="","",ROW()-4)</f>
        <v/>
      </c>
    </row>
    <row r="3850">
      <c r="A3850" s="13">
        <f>IF(H3850="","",ROW()-4)</f>
        <v/>
      </c>
      <c r="B3850" s="13">
        <f>IF(H3850="","",ROW()-4)</f>
        <v/>
      </c>
    </row>
    <row r="3851">
      <c r="A3851" s="13">
        <f>IF(H3851="","",ROW()-4)</f>
        <v/>
      </c>
      <c r="B3851" s="13">
        <f>IF(H3851="","",ROW()-4)</f>
        <v/>
      </c>
    </row>
    <row r="3852">
      <c r="A3852" s="13">
        <f>IF(H3852="","",ROW()-4)</f>
        <v/>
      </c>
      <c r="B3852" s="13">
        <f>IF(H3852="","",ROW()-4)</f>
        <v/>
      </c>
    </row>
    <row r="3853">
      <c r="A3853" s="13">
        <f>IF(H3853="","",ROW()-4)</f>
        <v/>
      </c>
      <c r="B3853" s="13">
        <f>IF(H3853="","",ROW()-4)</f>
        <v/>
      </c>
    </row>
    <row r="3854">
      <c r="A3854" s="13">
        <f>IF(H3854="","",ROW()-4)</f>
        <v/>
      </c>
      <c r="B3854" s="13">
        <f>IF(H3854="","",ROW()-4)</f>
        <v/>
      </c>
    </row>
    <row r="3855">
      <c r="A3855" s="13">
        <f>IF(H3855="","",ROW()-4)</f>
        <v/>
      </c>
      <c r="B3855" s="13">
        <f>IF(H3855="","",ROW()-4)</f>
        <v/>
      </c>
    </row>
    <row r="3856">
      <c r="A3856" s="13">
        <f>IF(H3856="","",ROW()-4)</f>
        <v/>
      </c>
      <c r="B3856" s="13">
        <f>IF(H3856="","",ROW()-4)</f>
        <v/>
      </c>
    </row>
    <row r="3857">
      <c r="A3857" s="13">
        <f>IF(H3857="","",ROW()-4)</f>
        <v/>
      </c>
      <c r="B3857" s="13">
        <f>IF(H3857="","",ROW()-4)</f>
        <v/>
      </c>
    </row>
    <row r="3858">
      <c r="A3858" s="13">
        <f>IF(H3858="","",ROW()-4)</f>
        <v/>
      </c>
      <c r="B3858" s="13">
        <f>IF(H3858="","",ROW()-4)</f>
        <v/>
      </c>
    </row>
    <row r="3859">
      <c r="A3859" s="13">
        <f>IF(H3859="","",ROW()-4)</f>
        <v/>
      </c>
      <c r="B3859" s="13">
        <f>IF(H3859="","",ROW()-4)</f>
        <v/>
      </c>
    </row>
    <row r="3860">
      <c r="A3860" s="13">
        <f>IF(H3860="","",ROW()-4)</f>
        <v/>
      </c>
      <c r="B3860" s="13">
        <f>IF(H3860="","",ROW()-4)</f>
        <v/>
      </c>
    </row>
    <row r="3861">
      <c r="A3861" s="13">
        <f>IF(H3861="","",ROW()-4)</f>
        <v/>
      </c>
      <c r="B3861" s="13">
        <f>IF(H3861="","",ROW()-4)</f>
        <v/>
      </c>
    </row>
    <row r="3862">
      <c r="A3862" s="13">
        <f>IF(H3862="","",ROW()-4)</f>
        <v/>
      </c>
      <c r="B3862" s="13">
        <f>IF(H3862="","",ROW()-4)</f>
        <v/>
      </c>
    </row>
    <row r="3863">
      <c r="A3863" s="13">
        <f>IF(H3863="","",ROW()-4)</f>
        <v/>
      </c>
      <c r="B3863" s="13">
        <f>IF(H3863="","",ROW()-4)</f>
        <v/>
      </c>
    </row>
    <row r="3864">
      <c r="A3864" s="13">
        <f>IF(H3864="","",ROW()-4)</f>
        <v/>
      </c>
      <c r="B3864" s="13">
        <f>IF(H3864="","",ROW()-4)</f>
        <v/>
      </c>
    </row>
    <row r="3865">
      <c r="A3865" s="13">
        <f>IF(H3865="","",ROW()-4)</f>
        <v/>
      </c>
      <c r="B3865" s="13">
        <f>IF(H3865="","",ROW()-4)</f>
        <v/>
      </c>
    </row>
    <row r="3866">
      <c r="A3866" s="13">
        <f>IF(H3866="","",ROW()-4)</f>
        <v/>
      </c>
      <c r="B3866" s="13">
        <f>IF(H3866="","",ROW()-4)</f>
        <v/>
      </c>
    </row>
    <row r="3867">
      <c r="A3867" s="13">
        <f>IF(H3867="","",ROW()-4)</f>
        <v/>
      </c>
      <c r="B3867" s="13">
        <f>IF(H3867="","",ROW()-4)</f>
        <v/>
      </c>
    </row>
    <row r="3868">
      <c r="A3868" s="13">
        <f>IF(H3868="","",ROW()-4)</f>
        <v/>
      </c>
      <c r="B3868" s="13">
        <f>IF(H3868="","",ROW()-4)</f>
        <v/>
      </c>
    </row>
    <row r="3869">
      <c r="A3869" s="13">
        <f>IF(H3869="","",ROW()-4)</f>
        <v/>
      </c>
      <c r="B3869" s="13">
        <f>IF(H3869="","",ROW()-4)</f>
        <v/>
      </c>
    </row>
    <row r="3870">
      <c r="A3870" s="13">
        <f>IF(H3870="","",ROW()-4)</f>
        <v/>
      </c>
      <c r="B3870" s="13">
        <f>IF(H3870="","",ROW()-4)</f>
        <v/>
      </c>
    </row>
    <row r="3871">
      <c r="A3871" s="13">
        <f>IF(H3871="","",ROW()-4)</f>
        <v/>
      </c>
      <c r="B3871" s="13">
        <f>IF(H3871="","",ROW()-4)</f>
        <v/>
      </c>
    </row>
    <row r="3872">
      <c r="A3872" s="13">
        <f>IF(H3872="","",ROW()-4)</f>
        <v/>
      </c>
      <c r="B3872" s="13">
        <f>IF(H3872="","",ROW()-4)</f>
        <v/>
      </c>
    </row>
    <row r="3873">
      <c r="A3873" s="13">
        <f>IF(H3873="","",ROW()-4)</f>
        <v/>
      </c>
      <c r="B3873" s="13">
        <f>IF(H3873="","",ROW()-4)</f>
        <v/>
      </c>
    </row>
    <row r="3874">
      <c r="A3874" s="13">
        <f>IF(H3874="","",ROW()-4)</f>
        <v/>
      </c>
      <c r="B3874" s="13">
        <f>IF(H3874="","",ROW()-4)</f>
        <v/>
      </c>
    </row>
    <row r="3875">
      <c r="A3875" s="13">
        <f>IF(H3875="","",ROW()-4)</f>
        <v/>
      </c>
      <c r="B3875" s="13">
        <f>IF(H3875="","",ROW()-4)</f>
        <v/>
      </c>
    </row>
    <row r="3876">
      <c r="A3876" s="13">
        <f>IF(H3876="","",ROW()-4)</f>
        <v/>
      </c>
      <c r="B3876" s="13">
        <f>IF(H3876="","",ROW()-4)</f>
        <v/>
      </c>
    </row>
    <row r="3877">
      <c r="A3877" s="13">
        <f>IF(H3877="","",ROW()-4)</f>
        <v/>
      </c>
      <c r="B3877" s="13">
        <f>IF(H3877="","",ROW()-4)</f>
        <v/>
      </c>
    </row>
    <row r="3878">
      <c r="A3878" s="13">
        <f>IF(H3878="","",ROW()-4)</f>
        <v/>
      </c>
      <c r="B3878" s="13">
        <f>IF(H3878="","",ROW()-4)</f>
        <v/>
      </c>
    </row>
    <row r="3879">
      <c r="A3879" s="13">
        <f>IF(H3879="","",ROW()-4)</f>
        <v/>
      </c>
      <c r="B3879" s="13">
        <f>IF(H3879="","",ROW()-4)</f>
        <v/>
      </c>
    </row>
    <row r="3880">
      <c r="A3880" s="13">
        <f>IF(H3880="","",ROW()-4)</f>
        <v/>
      </c>
      <c r="B3880" s="13">
        <f>IF(H3880="","",ROW()-4)</f>
        <v/>
      </c>
    </row>
    <row r="3881">
      <c r="A3881" s="13">
        <f>IF(H3881="","",ROW()-4)</f>
        <v/>
      </c>
      <c r="B3881" s="13">
        <f>IF(H3881="","",ROW()-4)</f>
        <v/>
      </c>
    </row>
    <row r="3882">
      <c r="A3882" s="13">
        <f>IF(H3882="","",ROW()-4)</f>
        <v/>
      </c>
      <c r="B3882" s="13">
        <f>IF(H3882="","",ROW()-4)</f>
        <v/>
      </c>
    </row>
    <row r="3883">
      <c r="A3883" s="13">
        <f>IF(H3883="","",ROW()-4)</f>
        <v/>
      </c>
      <c r="B3883" s="13">
        <f>IF(H3883="","",ROW()-4)</f>
        <v/>
      </c>
    </row>
    <row r="3884">
      <c r="A3884" s="13">
        <f>IF(H3884="","",ROW()-4)</f>
        <v/>
      </c>
      <c r="B3884" s="13">
        <f>IF(H3884="","",ROW()-4)</f>
        <v/>
      </c>
    </row>
    <row r="3885">
      <c r="A3885" s="13">
        <f>IF(H3885="","",ROW()-4)</f>
        <v/>
      </c>
      <c r="B3885" s="13">
        <f>IF(H3885="","",ROW()-4)</f>
        <v/>
      </c>
    </row>
    <row r="3886">
      <c r="A3886" s="13">
        <f>IF(H3886="","",ROW()-4)</f>
        <v/>
      </c>
      <c r="B3886" s="13">
        <f>IF(H3886="","",ROW()-4)</f>
        <v/>
      </c>
    </row>
    <row r="3887">
      <c r="A3887" s="13">
        <f>IF(H3887="","",ROW()-4)</f>
        <v/>
      </c>
      <c r="B3887" s="13">
        <f>IF(H3887="","",ROW()-4)</f>
        <v/>
      </c>
    </row>
    <row r="3888">
      <c r="A3888" s="13">
        <f>IF(H3888="","",ROW()-4)</f>
        <v/>
      </c>
      <c r="B3888" s="13">
        <f>IF(H3888="","",ROW()-4)</f>
        <v/>
      </c>
    </row>
    <row r="3889">
      <c r="A3889" s="13">
        <f>IF(H3889="","",ROW()-4)</f>
        <v/>
      </c>
      <c r="B3889" s="13">
        <f>IF(H3889="","",ROW()-4)</f>
        <v/>
      </c>
    </row>
    <row r="3890">
      <c r="A3890" s="13">
        <f>IF(H3890="","",ROW()-4)</f>
        <v/>
      </c>
      <c r="B3890" s="13">
        <f>IF(H3890="","",ROW()-4)</f>
        <v/>
      </c>
    </row>
    <row r="3891">
      <c r="A3891" s="13">
        <f>IF(H3891="","",ROW()-4)</f>
        <v/>
      </c>
      <c r="B3891" s="13">
        <f>IF(H3891="","",ROW()-4)</f>
        <v/>
      </c>
    </row>
    <row r="3892">
      <c r="A3892" s="13">
        <f>IF(H3892="","",ROW()-4)</f>
        <v/>
      </c>
      <c r="B3892" s="13">
        <f>IF(H3892="","",ROW()-4)</f>
        <v/>
      </c>
    </row>
    <row r="3893">
      <c r="A3893" s="13">
        <f>IF(H3893="","",ROW()-4)</f>
        <v/>
      </c>
      <c r="B3893" s="13">
        <f>IF(H3893="","",ROW()-4)</f>
        <v/>
      </c>
    </row>
    <row r="3894">
      <c r="A3894" s="13">
        <f>IF(H3894="","",ROW()-4)</f>
        <v/>
      </c>
      <c r="B3894" s="13">
        <f>IF(H3894="","",ROW()-4)</f>
        <v/>
      </c>
    </row>
    <row r="3895">
      <c r="A3895" s="13">
        <f>IF(H3895="","",ROW()-4)</f>
        <v/>
      </c>
      <c r="B3895" s="13">
        <f>IF(H3895="","",ROW()-4)</f>
        <v/>
      </c>
    </row>
    <row r="3896">
      <c r="A3896" s="13">
        <f>IF(H3896="","",ROW()-4)</f>
        <v/>
      </c>
      <c r="B3896" s="13">
        <f>IF(H3896="","",ROW()-4)</f>
        <v/>
      </c>
    </row>
    <row r="3897">
      <c r="A3897" s="13">
        <f>IF(H3897="","",ROW()-4)</f>
        <v/>
      </c>
      <c r="B3897" s="13">
        <f>IF(H3897="","",ROW()-4)</f>
        <v/>
      </c>
    </row>
    <row r="3898">
      <c r="A3898" s="13">
        <f>IF(H3898="","",ROW()-4)</f>
        <v/>
      </c>
      <c r="B3898" s="13">
        <f>IF(H3898="","",ROW()-4)</f>
        <v/>
      </c>
    </row>
    <row r="3899">
      <c r="A3899" s="13">
        <f>IF(H3899="","",ROW()-4)</f>
        <v/>
      </c>
      <c r="B3899" s="13">
        <f>IF(H3899="","",ROW()-4)</f>
        <v/>
      </c>
    </row>
    <row r="3900">
      <c r="A3900" s="13">
        <f>IF(H3900="","",ROW()-4)</f>
        <v/>
      </c>
      <c r="B3900" s="13">
        <f>IF(H3900="","",ROW()-4)</f>
        <v/>
      </c>
    </row>
    <row r="3901">
      <c r="A3901" s="13">
        <f>IF(H3901="","",ROW()-4)</f>
        <v/>
      </c>
      <c r="B3901" s="13">
        <f>IF(H3901="","",ROW()-4)</f>
        <v/>
      </c>
    </row>
    <row r="3902">
      <c r="A3902" s="13">
        <f>IF(H3902="","",ROW()-4)</f>
        <v/>
      </c>
      <c r="B3902" s="13">
        <f>IF(H3902="","",ROW()-4)</f>
        <v/>
      </c>
    </row>
    <row r="3903">
      <c r="A3903" s="13">
        <f>IF(H3903="","",ROW()-4)</f>
        <v/>
      </c>
      <c r="B3903" s="13">
        <f>IF(H3903="","",ROW()-4)</f>
        <v/>
      </c>
    </row>
    <row r="3904">
      <c r="A3904" s="13">
        <f>IF(H3904="","",ROW()-4)</f>
        <v/>
      </c>
      <c r="B3904" s="13">
        <f>IF(H3904="","",ROW()-4)</f>
        <v/>
      </c>
    </row>
    <row r="3905">
      <c r="A3905" s="13">
        <f>IF(H3905="","",ROW()-4)</f>
        <v/>
      </c>
      <c r="B3905" s="13">
        <f>IF(H3905="","",ROW()-4)</f>
        <v/>
      </c>
    </row>
    <row r="3906">
      <c r="A3906" s="13">
        <f>IF(H3906="","",ROW()-4)</f>
        <v/>
      </c>
      <c r="B3906" s="13">
        <f>IF(H3906="","",ROW()-4)</f>
        <v/>
      </c>
    </row>
    <row r="3907">
      <c r="A3907" s="13">
        <f>IF(H3907="","",ROW()-4)</f>
        <v/>
      </c>
      <c r="B3907" s="13">
        <f>IF(H3907="","",ROW()-4)</f>
        <v/>
      </c>
    </row>
    <row r="3908">
      <c r="A3908" s="13">
        <f>IF(H3908="","",ROW()-4)</f>
        <v/>
      </c>
      <c r="B3908" s="13">
        <f>IF(H3908="","",ROW()-4)</f>
        <v/>
      </c>
    </row>
    <row r="3909">
      <c r="A3909" s="13">
        <f>IF(H3909="","",ROW()-4)</f>
        <v/>
      </c>
      <c r="B3909" s="13">
        <f>IF(H3909="","",ROW()-4)</f>
        <v/>
      </c>
    </row>
    <row r="3910">
      <c r="A3910" s="13">
        <f>IF(H3910="","",ROW()-4)</f>
        <v/>
      </c>
      <c r="B3910" s="13">
        <f>IF(H3910="","",ROW()-4)</f>
        <v/>
      </c>
    </row>
    <row r="3911">
      <c r="A3911" s="13">
        <f>IF(H3911="","",ROW()-4)</f>
        <v/>
      </c>
      <c r="B3911" s="13">
        <f>IF(H3911="","",ROW()-4)</f>
        <v/>
      </c>
    </row>
    <row r="3912">
      <c r="A3912" s="13">
        <f>IF(H3912="","",ROW()-4)</f>
        <v/>
      </c>
      <c r="B3912" s="13">
        <f>IF(H3912="","",ROW()-4)</f>
        <v/>
      </c>
    </row>
    <row r="3913">
      <c r="A3913" s="13">
        <f>IF(H3913="","",ROW()-4)</f>
        <v/>
      </c>
      <c r="B3913" s="13">
        <f>IF(H3913="","",ROW()-4)</f>
        <v/>
      </c>
    </row>
    <row r="3914">
      <c r="A3914" s="13">
        <f>IF(H3914="","",ROW()-4)</f>
        <v/>
      </c>
      <c r="B3914" s="13">
        <f>IF(H3914="","",ROW()-4)</f>
        <v/>
      </c>
    </row>
    <row r="3915">
      <c r="A3915" s="13">
        <f>IF(H3915="","",ROW()-4)</f>
        <v/>
      </c>
      <c r="B3915" s="13">
        <f>IF(H3915="","",ROW()-4)</f>
        <v/>
      </c>
    </row>
    <row r="3916">
      <c r="A3916" s="13">
        <f>IF(H3916="","",ROW()-4)</f>
        <v/>
      </c>
      <c r="B3916" s="13">
        <f>IF(H3916="","",ROW()-4)</f>
        <v/>
      </c>
    </row>
    <row r="3917">
      <c r="A3917" s="13">
        <f>IF(H3917="","",ROW()-4)</f>
        <v/>
      </c>
      <c r="B3917" s="13">
        <f>IF(H3917="","",ROW()-4)</f>
        <v/>
      </c>
    </row>
    <row r="3918">
      <c r="A3918" s="13">
        <f>IF(H3918="","",ROW()-4)</f>
        <v/>
      </c>
      <c r="B3918" s="13">
        <f>IF(H3918="","",ROW()-4)</f>
        <v/>
      </c>
    </row>
    <row r="3919">
      <c r="A3919" s="13">
        <f>IF(H3919="","",ROW()-4)</f>
        <v/>
      </c>
      <c r="B3919" s="13">
        <f>IF(H3919="","",ROW()-4)</f>
        <v/>
      </c>
    </row>
    <row r="3920">
      <c r="A3920" s="13">
        <f>IF(H3920="","",ROW()-4)</f>
        <v/>
      </c>
      <c r="B3920" s="13">
        <f>IF(H3920="","",ROW()-4)</f>
        <v/>
      </c>
    </row>
    <row r="3921">
      <c r="A3921" s="13">
        <f>IF(H3921="","",ROW()-4)</f>
        <v/>
      </c>
      <c r="B3921" s="13">
        <f>IF(H3921="","",ROW()-4)</f>
        <v/>
      </c>
    </row>
    <row r="3922">
      <c r="A3922" s="13">
        <f>IF(H3922="","",ROW()-4)</f>
        <v/>
      </c>
      <c r="B3922" s="13">
        <f>IF(H3922="","",ROW()-4)</f>
        <v/>
      </c>
    </row>
    <row r="3923">
      <c r="A3923" s="13">
        <f>IF(H3923="","",ROW()-4)</f>
        <v/>
      </c>
      <c r="B3923" s="13">
        <f>IF(H3923="","",ROW()-4)</f>
        <v/>
      </c>
    </row>
    <row r="3924">
      <c r="A3924" s="13">
        <f>IF(H3924="","",ROW()-4)</f>
        <v/>
      </c>
      <c r="B3924" s="13">
        <f>IF(H3924="","",ROW()-4)</f>
        <v/>
      </c>
    </row>
    <row r="3925">
      <c r="A3925" s="13">
        <f>IF(H3925="","",ROW()-4)</f>
        <v/>
      </c>
      <c r="B3925" s="13">
        <f>IF(H3925="","",ROW()-4)</f>
        <v/>
      </c>
    </row>
    <row r="3926">
      <c r="A3926" s="13">
        <f>IF(H3926="","",ROW()-4)</f>
        <v/>
      </c>
      <c r="B3926" s="13">
        <f>IF(H3926="","",ROW()-4)</f>
        <v/>
      </c>
    </row>
    <row r="3927">
      <c r="A3927" s="13">
        <f>IF(H3927="","",ROW()-4)</f>
        <v/>
      </c>
      <c r="B3927" s="13">
        <f>IF(H3927="","",ROW()-4)</f>
        <v/>
      </c>
    </row>
    <row r="3928">
      <c r="A3928" s="13">
        <f>IF(H3928="","",ROW()-4)</f>
        <v/>
      </c>
      <c r="B3928" s="13">
        <f>IF(H3928="","",ROW()-4)</f>
        <v/>
      </c>
    </row>
    <row r="3929">
      <c r="A3929" s="13">
        <f>IF(H3929="","",ROW()-4)</f>
        <v/>
      </c>
      <c r="B3929" s="13">
        <f>IF(H3929="","",ROW()-4)</f>
        <v/>
      </c>
    </row>
    <row r="3930">
      <c r="A3930" s="13">
        <f>IF(H3930="","",ROW()-4)</f>
        <v/>
      </c>
      <c r="B3930" s="13">
        <f>IF(H3930="","",ROW()-4)</f>
        <v/>
      </c>
    </row>
    <row r="3931">
      <c r="A3931" s="13">
        <f>IF(H3931="","",ROW()-4)</f>
        <v/>
      </c>
      <c r="B3931" s="13">
        <f>IF(H3931="","",ROW()-4)</f>
        <v/>
      </c>
    </row>
    <row r="3932">
      <c r="A3932" s="13">
        <f>IF(H3932="","",ROW()-4)</f>
        <v/>
      </c>
      <c r="B3932" s="13">
        <f>IF(H3932="","",ROW()-4)</f>
        <v/>
      </c>
    </row>
    <row r="3933">
      <c r="A3933" s="13">
        <f>IF(H3933="","",ROW()-4)</f>
        <v/>
      </c>
      <c r="B3933" s="13">
        <f>IF(H3933="","",ROW()-4)</f>
        <v/>
      </c>
    </row>
    <row r="3934">
      <c r="A3934" s="13">
        <f>IF(H3934="","",ROW()-4)</f>
        <v/>
      </c>
      <c r="B3934" s="13">
        <f>IF(H3934="","",ROW()-4)</f>
        <v/>
      </c>
    </row>
    <row r="3935">
      <c r="A3935" s="13">
        <f>IF(H3935="","",ROW()-4)</f>
        <v/>
      </c>
      <c r="B3935" s="13">
        <f>IF(H3935="","",ROW()-4)</f>
        <v/>
      </c>
    </row>
    <row r="3936">
      <c r="A3936" s="13">
        <f>IF(H3936="","",ROW()-4)</f>
        <v/>
      </c>
      <c r="B3936" s="13">
        <f>IF(H3936="","",ROW()-4)</f>
        <v/>
      </c>
    </row>
    <row r="3937">
      <c r="A3937" s="13">
        <f>IF(H3937="","",ROW()-4)</f>
        <v/>
      </c>
      <c r="B3937" s="13">
        <f>IF(H3937="","",ROW()-4)</f>
        <v/>
      </c>
    </row>
    <row r="3938">
      <c r="A3938" s="13">
        <f>IF(H3938="","",ROW()-4)</f>
        <v/>
      </c>
      <c r="B3938" s="13">
        <f>IF(H3938="","",ROW()-4)</f>
        <v/>
      </c>
    </row>
    <row r="3939">
      <c r="A3939" s="13">
        <f>IF(H3939="","",ROW()-4)</f>
        <v/>
      </c>
      <c r="B3939" s="13">
        <f>IF(H3939="","",ROW()-4)</f>
        <v/>
      </c>
    </row>
    <row r="3940">
      <c r="A3940" s="13">
        <f>IF(H3940="","",ROW()-4)</f>
        <v/>
      </c>
      <c r="B3940" s="13">
        <f>IF(H3940="","",ROW()-4)</f>
        <v/>
      </c>
    </row>
    <row r="3941">
      <c r="A3941" s="13">
        <f>IF(H3941="","",ROW()-4)</f>
        <v/>
      </c>
      <c r="B3941" s="13">
        <f>IF(H3941="","",ROW()-4)</f>
        <v/>
      </c>
    </row>
    <row r="3942">
      <c r="A3942" s="13">
        <f>IF(H3942="","",ROW()-4)</f>
        <v/>
      </c>
      <c r="B3942" s="13">
        <f>IF(H3942="","",ROW()-4)</f>
        <v/>
      </c>
    </row>
    <row r="3943">
      <c r="A3943" s="13">
        <f>IF(H3943="","",ROW()-4)</f>
        <v/>
      </c>
      <c r="B3943" s="13">
        <f>IF(H3943="","",ROW()-4)</f>
        <v/>
      </c>
    </row>
    <row r="3944">
      <c r="A3944" s="13">
        <f>IF(H3944="","",ROW()-4)</f>
        <v/>
      </c>
      <c r="B3944" s="13">
        <f>IF(H3944="","",ROW()-4)</f>
        <v/>
      </c>
    </row>
    <row r="3945">
      <c r="A3945" s="13">
        <f>IF(H3945="","",ROW()-4)</f>
        <v/>
      </c>
      <c r="B3945" s="13">
        <f>IF(H3945="","",ROW()-4)</f>
        <v/>
      </c>
    </row>
    <row r="3946">
      <c r="A3946" s="13">
        <f>IF(H3946="","",ROW()-4)</f>
        <v/>
      </c>
      <c r="B3946" s="13">
        <f>IF(H3946="","",ROW()-4)</f>
        <v/>
      </c>
    </row>
    <row r="3947">
      <c r="A3947" s="13">
        <f>IF(H3947="","",ROW()-4)</f>
        <v/>
      </c>
      <c r="B3947" s="13">
        <f>IF(H3947="","",ROW()-4)</f>
        <v/>
      </c>
    </row>
    <row r="3948">
      <c r="A3948" s="13">
        <f>IF(H3948="","",ROW()-4)</f>
        <v/>
      </c>
      <c r="B3948" s="13">
        <f>IF(H3948="","",ROW()-4)</f>
        <v/>
      </c>
    </row>
    <row r="3949">
      <c r="A3949" s="13">
        <f>IF(H3949="","",ROW()-4)</f>
        <v/>
      </c>
      <c r="B3949" s="13">
        <f>IF(H3949="","",ROW()-4)</f>
        <v/>
      </c>
    </row>
    <row r="3950">
      <c r="A3950" s="13">
        <f>IF(H3950="","",ROW()-4)</f>
        <v/>
      </c>
      <c r="B3950" s="13">
        <f>IF(H3950="","",ROW()-4)</f>
        <v/>
      </c>
    </row>
    <row r="3951">
      <c r="A3951" s="13">
        <f>IF(H3951="","",ROW()-4)</f>
        <v/>
      </c>
      <c r="B3951" s="13">
        <f>IF(H3951="","",ROW()-4)</f>
        <v/>
      </c>
    </row>
    <row r="3952">
      <c r="A3952" s="13">
        <f>IF(H3952="","",ROW()-4)</f>
        <v/>
      </c>
      <c r="B3952" s="13">
        <f>IF(H3952="","",ROW()-4)</f>
        <v/>
      </c>
    </row>
    <row r="3953">
      <c r="A3953" s="13">
        <f>IF(H3953="","",ROW()-4)</f>
        <v/>
      </c>
      <c r="B3953" s="13">
        <f>IF(H3953="","",ROW()-4)</f>
        <v/>
      </c>
    </row>
    <row r="3954">
      <c r="A3954" s="13">
        <f>IF(H3954="","",ROW()-4)</f>
        <v/>
      </c>
      <c r="B3954" s="13">
        <f>IF(H3954="","",ROW()-4)</f>
        <v/>
      </c>
    </row>
    <row r="3955">
      <c r="A3955" s="13">
        <f>IF(H3955="","",ROW()-4)</f>
        <v/>
      </c>
      <c r="B3955" s="13">
        <f>IF(H3955="","",ROW()-4)</f>
        <v/>
      </c>
    </row>
    <row r="3956">
      <c r="A3956" s="13">
        <f>IF(H3956="","",ROW()-4)</f>
        <v/>
      </c>
      <c r="B3956" s="13">
        <f>IF(H3956="","",ROW()-4)</f>
        <v/>
      </c>
    </row>
    <row r="3957">
      <c r="A3957" s="13">
        <f>IF(H3957="","",ROW()-4)</f>
        <v/>
      </c>
      <c r="B3957" s="13">
        <f>IF(H3957="","",ROW()-4)</f>
        <v/>
      </c>
    </row>
    <row r="3958">
      <c r="A3958" s="13">
        <f>IF(H3958="","",ROW()-4)</f>
        <v/>
      </c>
      <c r="B3958" s="13">
        <f>IF(H3958="","",ROW()-4)</f>
        <v/>
      </c>
    </row>
    <row r="3959">
      <c r="A3959" s="13">
        <f>IF(H3959="","",ROW()-4)</f>
        <v/>
      </c>
      <c r="B3959" s="13">
        <f>IF(H3959="","",ROW()-4)</f>
        <v/>
      </c>
    </row>
    <row r="3960">
      <c r="A3960" s="13">
        <f>IF(H3960="","",ROW()-4)</f>
        <v/>
      </c>
      <c r="B3960" s="13">
        <f>IF(H3960="","",ROW()-4)</f>
        <v/>
      </c>
    </row>
    <row r="3961">
      <c r="A3961" s="13">
        <f>IF(H3961="","",ROW()-4)</f>
        <v/>
      </c>
      <c r="B3961" s="13">
        <f>IF(H3961="","",ROW()-4)</f>
        <v/>
      </c>
    </row>
    <row r="3962">
      <c r="A3962" s="13">
        <f>IF(H3962="","",ROW()-4)</f>
        <v/>
      </c>
      <c r="B3962" s="13">
        <f>IF(H3962="","",ROW()-4)</f>
        <v/>
      </c>
    </row>
    <row r="3963">
      <c r="A3963" s="13">
        <f>IF(H3963="","",ROW()-4)</f>
        <v/>
      </c>
      <c r="B3963" s="13">
        <f>IF(H3963="","",ROW()-4)</f>
        <v/>
      </c>
    </row>
    <row r="3964">
      <c r="A3964" s="13">
        <f>IF(H3964="","",ROW()-4)</f>
        <v/>
      </c>
      <c r="B3964" s="13">
        <f>IF(H3964="","",ROW()-4)</f>
        <v/>
      </c>
    </row>
    <row r="3965">
      <c r="A3965" s="13">
        <f>IF(H3965="","",ROW()-4)</f>
        <v/>
      </c>
      <c r="B3965" s="13">
        <f>IF(H3965="","",ROW()-4)</f>
        <v/>
      </c>
    </row>
    <row r="3966">
      <c r="A3966" s="13">
        <f>IF(H3966="","",ROW()-4)</f>
        <v/>
      </c>
      <c r="B3966" s="13">
        <f>IF(H3966="","",ROW()-4)</f>
        <v/>
      </c>
    </row>
    <row r="3967">
      <c r="A3967" s="13">
        <f>IF(H3967="","",ROW()-4)</f>
        <v/>
      </c>
      <c r="B3967" s="13">
        <f>IF(H3967="","",ROW()-4)</f>
        <v/>
      </c>
    </row>
    <row r="3968">
      <c r="A3968" s="13">
        <f>IF(H3968="","",ROW()-4)</f>
        <v/>
      </c>
      <c r="B3968" s="13">
        <f>IF(H3968="","",ROW()-4)</f>
        <v/>
      </c>
    </row>
    <row r="3969">
      <c r="A3969" s="13">
        <f>IF(H3969="","",ROW()-4)</f>
        <v/>
      </c>
      <c r="B3969" s="13">
        <f>IF(H3969="","",ROW()-4)</f>
        <v/>
      </c>
    </row>
    <row r="3970">
      <c r="A3970" s="13">
        <f>IF(H3970="","",ROW()-4)</f>
        <v/>
      </c>
      <c r="B3970" s="13">
        <f>IF(H3970="","",ROW()-4)</f>
        <v/>
      </c>
    </row>
    <row r="3971">
      <c r="A3971" s="13">
        <f>IF(H3971="","",ROW()-4)</f>
        <v/>
      </c>
      <c r="B3971" s="13">
        <f>IF(H3971="","",ROW()-4)</f>
        <v/>
      </c>
    </row>
    <row r="3972">
      <c r="A3972" s="13">
        <f>IF(H3972="","",ROW()-4)</f>
        <v/>
      </c>
      <c r="B3972" s="13">
        <f>IF(H3972="","",ROW()-4)</f>
        <v/>
      </c>
    </row>
    <row r="3973">
      <c r="A3973" s="13">
        <f>IF(H3973="","",ROW()-4)</f>
        <v/>
      </c>
      <c r="B3973" s="13">
        <f>IF(H3973="","",ROW()-4)</f>
        <v/>
      </c>
    </row>
    <row r="3974">
      <c r="A3974" s="13">
        <f>IF(H3974="","",ROW()-4)</f>
        <v/>
      </c>
      <c r="B3974" s="13">
        <f>IF(H3974="","",ROW()-4)</f>
        <v/>
      </c>
    </row>
    <row r="3975">
      <c r="A3975" s="13">
        <f>IF(H3975="","",ROW()-4)</f>
        <v/>
      </c>
      <c r="B3975" s="13">
        <f>IF(H3975="","",ROW()-4)</f>
        <v/>
      </c>
    </row>
    <row r="3976">
      <c r="A3976" s="13">
        <f>IF(H3976="","",ROW()-4)</f>
        <v/>
      </c>
      <c r="B3976" s="13">
        <f>IF(H3976="","",ROW()-4)</f>
        <v/>
      </c>
    </row>
    <row r="3977">
      <c r="A3977" s="13">
        <f>IF(H3977="","",ROW()-4)</f>
        <v/>
      </c>
      <c r="B3977" s="13">
        <f>IF(H3977="","",ROW()-4)</f>
        <v/>
      </c>
    </row>
    <row r="3978">
      <c r="A3978" s="13">
        <f>IF(H3978="","",ROW()-4)</f>
        <v/>
      </c>
      <c r="B3978" s="13">
        <f>IF(H3978="","",ROW()-4)</f>
        <v/>
      </c>
    </row>
    <row r="3979">
      <c r="A3979" s="13">
        <f>IF(H3979="","",ROW()-4)</f>
        <v/>
      </c>
      <c r="B3979" s="13">
        <f>IF(H3979="","",ROW()-4)</f>
        <v/>
      </c>
    </row>
    <row r="3980">
      <c r="A3980" s="13">
        <f>IF(H3980="","",ROW()-4)</f>
        <v/>
      </c>
      <c r="B3980" s="13">
        <f>IF(H3980="","",ROW()-4)</f>
        <v/>
      </c>
    </row>
    <row r="3981">
      <c r="A3981" s="13">
        <f>IF(H3981="","",ROW()-4)</f>
        <v/>
      </c>
      <c r="B3981" s="13">
        <f>IF(H3981="","",ROW()-4)</f>
        <v/>
      </c>
    </row>
    <row r="3982">
      <c r="A3982" s="13">
        <f>IF(H3982="","",ROW()-4)</f>
        <v/>
      </c>
      <c r="B3982" s="13">
        <f>IF(H3982="","",ROW()-4)</f>
        <v/>
      </c>
    </row>
    <row r="3983">
      <c r="A3983" s="13">
        <f>IF(H3983="","",ROW()-4)</f>
        <v/>
      </c>
      <c r="B3983" s="13">
        <f>IF(H3983="","",ROW()-4)</f>
        <v/>
      </c>
    </row>
    <row r="3984">
      <c r="A3984" s="13">
        <f>IF(H3984="","",ROW()-4)</f>
        <v/>
      </c>
      <c r="B3984" s="13">
        <f>IF(H3984="","",ROW()-4)</f>
        <v/>
      </c>
    </row>
    <row r="3985">
      <c r="A3985" s="13">
        <f>IF(H3985="","",ROW()-4)</f>
        <v/>
      </c>
      <c r="B3985" s="13">
        <f>IF(H3985="","",ROW()-4)</f>
        <v/>
      </c>
    </row>
    <row r="3986">
      <c r="A3986" s="13">
        <f>IF(H3986="","",ROW()-4)</f>
        <v/>
      </c>
      <c r="B3986" s="13">
        <f>IF(H3986="","",ROW()-4)</f>
        <v/>
      </c>
    </row>
    <row r="3987">
      <c r="A3987" s="13">
        <f>IF(H3987="","",ROW()-4)</f>
        <v/>
      </c>
      <c r="B3987" s="13">
        <f>IF(H3987="","",ROW()-4)</f>
        <v/>
      </c>
    </row>
    <row r="3988">
      <c r="A3988" s="13">
        <f>IF(H3988="","",ROW()-4)</f>
        <v/>
      </c>
      <c r="B3988" s="13">
        <f>IF(H3988="","",ROW()-4)</f>
        <v/>
      </c>
    </row>
    <row r="3989">
      <c r="A3989" s="13">
        <f>IF(H3989="","",ROW()-4)</f>
        <v/>
      </c>
      <c r="B3989" s="13">
        <f>IF(H3989="","",ROW()-4)</f>
        <v/>
      </c>
    </row>
    <row r="3990">
      <c r="A3990" s="13">
        <f>IF(H3990="","",ROW()-4)</f>
        <v/>
      </c>
      <c r="B3990" s="13">
        <f>IF(H3990="","",ROW()-4)</f>
        <v/>
      </c>
    </row>
    <row r="3991">
      <c r="A3991" s="13">
        <f>IF(H3991="","",ROW()-4)</f>
        <v/>
      </c>
      <c r="B3991" s="13">
        <f>IF(H3991="","",ROW()-4)</f>
        <v/>
      </c>
    </row>
    <row r="3992">
      <c r="A3992" s="13">
        <f>IF(H3992="","",ROW()-4)</f>
        <v/>
      </c>
      <c r="B3992" s="13">
        <f>IF(H3992="","",ROW()-4)</f>
        <v/>
      </c>
    </row>
    <row r="3993">
      <c r="A3993" s="13">
        <f>IF(H3993="","",ROW()-4)</f>
        <v/>
      </c>
      <c r="B3993" s="13">
        <f>IF(H3993="","",ROW()-4)</f>
        <v/>
      </c>
    </row>
    <row r="3994">
      <c r="A3994" s="13">
        <f>IF(H3994="","",ROW()-4)</f>
        <v/>
      </c>
      <c r="B3994" s="13">
        <f>IF(H3994="","",ROW()-4)</f>
        <v/>
      </c>
    </row>
    <row r="3995">
      <c r="A3995" s="13">
        <f>IF(H3995="","",ROW()-4)</f>
        <v/>
      </c>
      <c r="B3995" s="13">
        <f>IF(H3995="","",ROW()-4)</f>
        <v/>
      </c>
    </row>
    <row r="3996">
      <c r="A3996" s="13">
        <f>IF(H3996="","",ROW()-4)</f>
        <v/>
      </c>
      <c r="B3996" s="13">
        <f>IF(H3996="","",ROW()-4)</f>
        <v/>
      </c>
    </row>
    <row r="3997">
      <c r="A3997" s="13">
        <f>IF(H3997="","",ROW()-4)</f>
        <v/>
      </c>
      <c r="B3997" s="13">
        <f>IF(H3997="","",ROW()-4)</f>
        <v/>
      </c>
    </row>
    <row r="3998">
      <c r="A3998" s="13">
        <f>IF(H3998="","",ROW()-4)</f>
        <v/>
      </c>
      <c r="B3998" s="13">
        <f>IF(H3998="","",ROW()-4)</f>
        <v/>
      </c>
    </row>
    <row r="3999">
      <c r="A3999" s="13">
        <f>IF(H3999="","",ROW()-4)</f>
        <v/>
      </c>
      <c r="B3999" s="13">
        <f>IF(H3999="","",ROW()-4)</f>
        <v/>
      </c>
    </row>
    <row r="4000">
      <c r="A4000" s="13">
        <f>IF(H4000="","",ROW()-4)</f>
        <v/>
      </c>
      <c r="B4000" s="13">
        <f>IF(H4000="","",ROW()-4)</f>
        <v/>
      </c>
    </row>
    <row r="4001">
      <c r="A4001" s="13">
        <f>IF(H4001="","",ROW()-4)</f>
        <v/>
      </c>
      <c r="B4001" s="13">
        <f>IF(H4001="","",ROW()-4)</f>
        <v/>
      </c>
    </row>
    <row r="4002">
      <c r="A4002" s="13">
        <f>IF(H4002="","",ROW()-4)</f>
        <v/>
      </c>
      <c r="B4002" s="13">
        <f>IF(H4002="","",ROW()-4)</f>
        <v/>
      </c>
    </row>
    <row r="4003">
      <c r="A4003" s="13">
        <f>IF(H4003="","",ROW()-4)</f>
        <v/>
      </c>
      <c r="B4003" s="13">
        <f>IF(H4003="","",ROW()-4)</f>
        <v/>
      </c>
    </row>
    <row r="4004">
      <c r="A4004" s="13">
        <f>IF(H4004="","",ROW()-4)</f>
        <v/>
      </c>
      <c r="B4004" s="13">
        <f>IF(H4004="","",ROW()-4)</f>
        <v/>
      </c>
    </row>
    <row r="4005">
      <c r="A4005" s="13">
        <f>IF(H4005="","",ROW()-4)</f>
        <v/>
      </c>
      <c r="B4005" s="13">
        <f>IF(H4005="","",ROW()-4)</f>
        <v/>
      </c>
    </row>
    <row r="4006">
      <c r="A4006" s="13">
        <f>IF(H4006="","",ROW()-4)</f>
        <v/>
      </c>
      <c r="B4006" s="13">
        <f>IF(H4006="","",ROW()-4)</f>
        <v/>
      </c>
    </row>
    <row r="4007">
      <c r="A4007" s="13">
        <f>IF(H4007="","",ROW()-4)</f>
        <v/>
      </c>
      <c r="B4007" s="13">
        <f>IF(H4007="","",ROW()-4)</f>
        <v/>
      </c>
    </row>
    <row r="4008">
      <c r="A4008" s="13">
        <f>IF(H4008="","",ROW()-4)</f>
        <v/>
      </c>
      <c r="B4008" s="13">
        <f>IF(H4008="","",ROW()-4)</f>
        <v/>
      </c>
    </row>
    <row r="4009">
      <c r="A4009" s="13">
        <f>IF(H4009="","",ROW()-4)</f>
        <v/>
      </c>
      <c r="B4009" s="13">
        <f>IF(H4009="","",ROW()-4)</f>
        <v/>
      </c>
    </row>
    <row r="4010">
      <c r="A4010" s="13">
        <f>IF(H4010="","",ROW()-4)</f>
        <v/>
      </c>
      <c r="B4010" s="13">
        <f>IF(H4010="","",ROW()-4)</f>
        <v/>
      </c>
    </row>
    <row r="4011">
      <c r="A4011" s="13">
        <f>IF(H4011="","",ROW()-4)</f>
        <v/>
      </c>
      <c r="B4011" s="13">
        <f>IF(H4011="","",ROW()-4)</f>
        <v/>
      </c>
    </row>
    <row r="4012">
      <c r="A4012" s="13">
        <f>IF(H4012="","",ROW()-4)</f>
        <v/>
      </c>
      <c r="B4012" s="13">
        <f>IF(H4012="","",ROW()-4)</f>
        <v/>
      </c>
    </row>
    <row r="4013">
      <c r="A4013" s="13">
        <f>IF(H4013="","",ROW()-4)</f>
        <v/>
      </c>
      <c r="B4013" s="13">
        <f>IF(H4013="","",ROW()-4)</f>
        <v/>
      </c>
    </row>
    <row r="4014">
      <c r="A4014" s="13">
        <f>IF(H4014="","",ROW()-4)</f>
        <v/>
      </c>
      <c r="B4014" s="13">
        <f>IF(H4014="","",ROW()-4)</f>
        <v/>
      </c>
    </row>
    <row r="4015">
      <c r="A4015" s="13">
        <f>IF(H4015="","",ROW()-4)</f>
        <v/>
      </c>
      <c r="B4015" s="13">
        <f>IF(H4015="","",ROW()-4)</f>
        <v/>
      </c>
    </row>
    <row r="4016">
      <c r="A4016" s="13">
        <f>IF(H4016="","",ROW()-4)</f>
        <v/>
      </c>
      <c r="B4016" s="13">
        <f>IF(H4016="","",ROW()-4)</f>
        <v/>
      </c>
    </row>
    <row r="4017">
      <c r="A4017" s="13">
        <f>IF(H4017="","",ROW()-4)</f>
        <v/>
      </c>
      <c r="B4017" s="13">
        <f>IF(H4017="","",ROW()-4)</f>
        <v/>
      </c>
    </row>
    <row r="4018">
      <c r="A4018" s="13">
        <f>IF(H4018="","",ROW()-4)</f>
        <v/>
      </c>
      <c r="B4018" s="13">
        <f>IF(H4018="","",ROW()-4)</f>
        <v/>
      </c>
    </row>
    <row r="4019">
      <c r="A4019" s="13">
        <f>IF(H4019="","",ROW()-4)</f>
        <v/>
      </c>
      <c r="B4019" s="13">
        <f>IF(H4019="","",ROW()-4)</f>
        <v/>
      </c>
    </row>
    <row r="4020">
      <c r="A4020" s="13">
        <f>IF(H4020="","",ROW()-4)</f>
        <v/>
      </c>
      <c r="B4020" s="13">
        <f>IF(H4020="","",ROW()-4)</f>
        <v/>
      </c>
    </row>
    <row r="4021">
      <c r="A4021" s="13">
        <f>IF(H4021="","",ROW()-4)</f>
        <v/>
      </c>
      <c r="B4021" s="13">
        <f>IF(H4021="","",ROW()-4)</f>
        <v/>
      </c>
    </row>
    <row r="4022">
      <c r="A4022" s="13">
        <f>IF(H4022="","",ROW()-4)</f>
        <v/>
      </c>
      <c r="B4022" s="13">
        <f>IF(H4022="","",ROW()-4)</f>
        <v/>
      </c>
    </row>
    <row r="4023">
      <c r="A4023" s="13">
        <f>IF(H4023="","",ROW()-4)</f>
        <v/>
      </c>
      <c r="B4023" s="13">
        <f>IF(H4023="","",ROW()-4)</f>
        <v/>
      </c>
    </row>
    <row r="4024">
      <c r="A4024" s="13">
        <f>IF(H4024="","",ROW()-4)</f>
        <v/>
      </c>
      <c r="B4024" s="13">
        <f>IF(H4024="","",ROW()-4)</f>
        <v/>
      </c>
    </row>
    <row r="4025">
      <c r="A4025" s="13">
        <f>IF(H4025="","",ROW()-4)</f>
        <v/>
      </c>
      <c r="B4025" s="13">
        <f>IF(H4025="","",ROW()-4)</f>
        <v/>
      </c>
    </row>
    <row r="4026">
      <c r="A4026" s="13">
        <f>IF(H4026="","",ROW()-4)</f>
        <v/>
      </c>
      <c r="B4026" s="13">
        <f>IF(H4026="","",ROW()-4)</f>
        <v/>
      </c>
    </row>
    <row r="4027">
      <c r="A4027" s="13">
        <f>IF(H4027="","",ROW()-4)</f>
        <v/>
      </c>
      <c r="B4027" s="13">
        <f>IF(H4027="","",ROW()-4)</f>
        <v/>
      </c>
    </row>
    <row r="4028">
      <c r="A4028" s="13">
        <f>IF(H4028="","",ROW()-4)</f>
        <v/>
      </c>
      <c r="B4028" s="13">
        <f>IF(H4028="","",ROW()-4)</f>
        <v/>
      </c>
    </row>
    <row r="4029">
      <c r="A4029" s="13">
        <f>IF(H4029="","",ROW()-4)</f>
        <v/>
      </c>
      <c r="B4029" s="13">
        <f>IF(H4029="","",ROW()-4)</f>
        <v/>
      </c>
    </row>
    <row r="4030">
      <c r="A4030" s="13">
        <f>IF(H4030="","",ROW()-4)</f>
        <v/>
      </c>
      <c r="B4030" s="13">
        <f>IF(H4030="","",ROW()-4)</f>
        <v/>
      </c>
    </row>
    <row r="4031">
      <c r="A4031" s="13">
        <f>IF(H4031="","",ROW()-4)</f>
        <v/>
      </c>
      <c r="B4031" s="13">
        <f>IF(H4031="","",ROW()-4)</f>
        <v/>
      </c>
    </row>
    <row r="4032">
      <c r="A4032" s="13">
        <f>IF(H4032="","",ROW()-4)</f>
        <v/>
      </c>
      <c r="B4032" s="13">
        <f>IF(H4032="","",ROW()-4)</f>
        <v/>
      </c>
    </row>
    <row r="4033">
      <c r="A4033" s="13">
        <f>IF(H4033="","",ROW()-4)</f>
        <v/>
      </c>
      <c r="B4033" s="13">
        <f>IF(H4033="","",ROW()-4)</f>
        <v/>
      </c>
    </row>
    <row r="4034">
      <c r="A4034" s="13">
        <f>IF(H4034="","",ROW()-4)</f>
        <v/>
      </c>
      <c r="B4034" s="13">
        <f>IF(H4034="","",ROW()-4)</f>
        <v/>
      </c>
    </row>
    <row r="4035">
      <c r="A4035" s="13">
        <f>IF(H4035="","",ROW()-4)</f>
        <v/>
      </c>
      <c r="B4035" s="13">
        <f>IF(H4035="","",ROW()-4)</f>
        <v/>
      </c>
    </row>
    <row r="4036">
      <c r="A4036" s="13">
        <f>IF(H4036="","",ROW()-4)</f>
        <v/>
      </c>
      <c r="B4036" s="13">
        <f>IF(H4036="","",ROW()-4)</f>
        <v/>
      </c>
    </row>
    <row r="4037">
      <c r="A4037" s="13">
        <f>IF(H4037="","",ROW()-4)</f>
        <v/>
      </c>
      <c r="B4037" s="13">
        <f>IF(H4037="","",ROW()-4)</f>
        <v/>
      </c>
    </row>
    <row r="4038">
      <c r="A4038" s="13">
        <f>IF(H4038="","",ROW()-4)</f>
        <v/>
      </c>
      <c r="B4038" s="13">
        <f>IF(H4038="","",ROW()-4)</f>
        <v/>
      </c>
    </row>
    <row r="4039">
      <c r="A4039" s="13">
        <f>IF(H4039="","",ROW()-4)</f>
        <v/>
      </c>
      <c r="B4039" s="13">
        <f>IF(H4039="","",ROW()-4)</f>
        <v/>
      </c>
    </row>
    <row r="4040">
      <c r="A4040" s="13">
        <f>IF(H4040="","",ROW()-4)</f>
        <v/>
      </c>
      <c r="B4040" s="13">
        <f>IF(H4040="","",ROW()-4)</f>
        <v/>
      </c>
    </row>
    <row r="4041">
      <c r="A4041" s="13">
        <f>IF(H4041="","",ROW()-4)</f>
        <v/>
      </c>
      <c r="B4041" s="13">
        <f>IF(H4041="","",ROW()-4)</f>
        <v/>
      </c>
    </row>
    <row r="4042">
      <c r="A4042" s="13">
        <f>IF(H4042="","",ROW()-4)</f>
        <v/>
      </c>
      <c r="B4042" s="13">
        <f>IF(H4042="","",ROW()-4)</f>
        <v/>
      </c>
    </row>
    <row r="4043">
      <c r="A4043" s="13">
        <f>IF(H4043="","",ROW()-4)</f>
        <v/>
      </c>
      <c r="B4043" s="13">
        <f>IF(H4043="","",ROW()-4)</f>
        <v/>
      </c>
    </row>
    <row r="4044">
      <c r="A4044" s="13">
        <f>IF(H4044="","",ROW()-4)</f>
        <v/>
      </c>
      <c r="B4044" s="13">
        <f>IF(H4044="","",ROW()-4)</f>
        <v/>
      </c>
    </row>
    <row r="4045">
      <c r="A4045" s="13">
        <f>IF(H4045="","",ROW()-4)</f>
        <v/>
      </c>
      <c r="B4045" s="13">
        <f>IF(H4045="","",ROW()-4)</f>
        <v/>
      </c>
    </row>
    <row r="4046">
      <c r="A4046" s="13">
        <f>IF(H4046="","",ROW()-4)</f>
        <v/>
      </c>
      <c r="B4046" s="13">
        <f>IF(H4046="","",ROW()-4)</f>
        <v/>
      </c>
    </row>
    <row r="4047">
      <c r="A4047" s="13">
        <f>IF(H4047="","",ROW()-4)</f>
        <v/>
      </c>
      <c r="B4047" s="13">
        <f>IF(H4047="","",ROW()-4)</f>
        <v/>
      </c>
    </row>
    <row r="4048">
      <c r="A4048" s="13">
        <f>IF(H4048="","",ROW()-4)</f>
        <v/>
      </c>
      <c r="B4048" s="13">
        <f>IF(H4048="","",ROW()-4)</f>
        <v/>
      </c>
    </row>
    <row r="4049">
      <c r="A4049" s="13">
        <f>IF(H4049="","",ROW()-4)</f>
        <v/>
      </c>
      <c r="B4049" s="13">
        <f>IF(H4049="","",ROW()-4)</f>
        <v/>
      </c>
    </row>
    <row r="4050">
      <c r="A4050" s="13">
        <f>IF(H4050="","",ROW()-4)</f>
        <v/>
      </c>
      <c r="B4050" s="13">
        <f>IF(H4050="","",ROW()-4)</f>
        <v/>
      </c>
    </row>
    <row r="4051">
      <c r="A4051" s="13">
        <f>IF(H4051="","",ROW()-4)</f>
        <v/>
      </c>
      <c r="B4051" s="13">
        <f>IF(H4051="","",ROW()-4)</f>
        <v/>
      </c>
    </row>
    <row r="4052">
      <c r="A4052" s="13">
        <f>IF(H4052="","",ROW()-4)</f>
        <v/>
      </c>
      <c r="B4052" s="13">
        <f>IF(H4052="","",ROW()-4)</f>
        <v/>
      </c>
    </row>
    <row r="4053">
      <c r="A4053" s="13">
        <f>IF(H4053="","",ROW()-4)</f>
        <v/>
      </c>
      <c r="B4053" s="13">
        <f>IF(H4053="","",ROW()-4)</f>
        <v/>
      </c>
    </row>
    <row r="4054">
      <c r="A4054" s="13">
        <f>IF(H4054="","",ROW()-4)</f>
        <v/>
      </c>
      <c r="B4054" s="13">
        <f>IF(H4054="","",ROW()-4)</f>
        <v/>
      </c>
    </row>
    <row r="4055">
      <c r="A4055" s="13">
        <f>IF(H4055="","",ROW()-4)</f>
        <v/>
      </c>
      <c r="B4055" s="13">
        <f>IF(H4055="","",ROW()-4)</f>
        <v/>
      </c>
    </row>
    <row r="4056">
      <c r="A4056" s="13">
        <f>IF(H4056="","",ROW()-4)</f>
        <v/>
      </c>
      <c r="B4056" s="13">
        <f>IF(H4056="","",ROW()-4)</f>
        <v/>
      </c>
    </row>
    <row r="4057">
      <c r="A4057" s="13">
        <f>IF(H4057="","",ROW()-4)</f>
        <v/>
      </c>
      <c r="B4057" s="13">
        <f>IF(H4057="","",ROW()-4)</f>
        <v/>
      </c>
    </row>
    <row r="4058">
      <c r="A4058" s="13">
        <f>IF(H4058="","",ROW()-4)</f>
        <v/>
      </c>
      <c r="B4058" s="13">
        <f>IF(H4058="","",ROW()-4)</f>
        <v/>
      </c>
    </row>
    <row r="4059">
      <c r="A4059" s="13">
        <f>IF(H4059="","",ROW()-4)</f>
        <v/>
      </c>
      <c r="B4059" s="13">
        <f>IF(H4059="","",ROW()-4)</f>
        <v/>
      </c>
    </row>
    <row r="4060">
      <c r="A4060" s="13">
        <f>IF(H4060="","",ROW()-4)</f>
        <v/>
      </c>
      <c r="B4060" s="13">
        <f>IF(H4060="","",ROW()-4)</f>
        <v/>
      </c>
    </row>
    <row r="4061">
      <c r="A4061" s="13">
        <f>IF(H4061="","",ROW()-4)</f>
        <v/>
      </c>
      <c r="B4061" s="13">
        <f>IF(H4061="","",ROW()-4)</f>
        <v/>
      </c>
    </row>
    <row r="4062">
      <c r="A4062" s="13">
        <f>IF(H4062="","",ROW()-4)</f>
        <v/>
      </c>
      <c r="B4062" s="13">
        <f>IF(H4062="","",ROW()-4)</f>
        <v/>
      </c>
    </row>
    <row r="4063">
      <c r="A4063" s="13">
        <f>IF(H4063="","",ROW()-4)</f>
        <v/>
      </c>
      <c r="B4063" s="13">
        <f>IF(H4063="","",ROW()-4)</f>
        <v/>
      </c>
    </row>
    <row r="4064">
      <c r="A4064" s="13">
        <f>IF(H4064="","",ROW()-4)</f>
        <v/>
      </c>
      <c r="B4064" s="13">
        <f>IF(H4064="","",ROW()-4)</f>
        <v/>
      </c>
    </row>
    <row r="4065">
      <c r="A4065" s="13">
        <f>IF(H4065="","",ROW()-4)</f>
        <v/>
      </c>
      <c r="B4065" s="13">
        <f>IF(H4065="","",ROW()-4)</f>
        <v/>
      </c>
    </row>
    <row r="4066">
      <c r="A4066" s="13">
        <f>IF(H4066="","",ROW()-4)</f>
        <v/>
      </c>
      <c r="B4066" s="13">
        <f>IF(H4066="","",ROW()-4)</f>
        <v/>
      </c>
    </row>
    <row r="4067">
      <c r="A4067" s="13">
        <f>IF(H4067="","",ROW()-4)</f>
        <v/>
      </c>
      <c r="B4067" s="13">
        <f>IF(H4067="","",ROW()-4)</f>
        <v/>
      </c>
    </row>
    <row r="4068">
      <c r="A4068" s="13">
        <f>IF(H4068="","",ROW()-4)</f>
        <v/>
      </c>
      <c r="B4068" s="13">
        <f>IF(H4068="","",ROW()-4)</f>
        <v/>
      </c>
    </row>
    <row r="4069">
      <c r="A4069" s="13">
        <f>IF(H4069="","",ROW()-4)</f>
        <v/>
      </c>
      <c r="B4069" s="13">
        <f>IF(H4069="","",ROW()-4)</f>
        <v/>
      </c>
    </row>
    <row r="4070">
      <c r="A4070" s="13">
        <f>IF(H4070="","",ROW()-4)</f>
        <v/>
      </c>
      <c r="B4070" s="13">
        <f>IF(H4070="","",ROW()-4)</f>
        <v/>
      </c>
    </row>
    <row r="4071">
      <c r="A4071" s="13">
        <f>IF(H4071="","",ROW()-4)</f>
        <v/>
      </c>
      <c r="B4071" s="13">
        <f>IF(H4071="","",ROW()-4)</f>
        <v/>
      </c>
    </row>
    <row r="4072">
      <c r="A4072" s="13">
        <f>IF(H4072="","",ROW()-4)</f>
        <v/>
      </c>
      <c r="B4072" s="13">
        <f>IF(H4072="","",ROW()-4)</f>
        <v/>
      </c>
    </row>
    <row r="4073">
      <c r="A4073" s="13">
        <f>IF(H4073="","",ROW()-4)</f>
        <v/>
      </c>
      <c r="B4073" s="13">
        <f>IF(H4073="","",ROW()-4)</f>
        <v/>
      </c>
    </row>
    <row r="4074">
      <c r="A4074" s="13">
        <f>IF(H4074="","",ROW()-4)</f>
        <v/>
      </c>
      <c r="B4074" s="13">
        <f>IF(H4074="","",ROW()-4)</f>
        <v/>
      </c>
    </row>
    <row r="4075">
      <c r="A4075" s="13">
        <f>IF(H4075="","",ROW()-4)</f>
        <v/>
      </c>
      <c r="B4075" s="13">
        <f>IF(H4075="","",ROW()-4)</f>
        <v/>
      </c>
    </row>
    <row r="4076">
      <c r="A4076" s="13">
        <f>IF(H4076="","",ROW()-4)</f>
        <v/>
      </c>
      <c r="B4076" s="13">
        <f>IF(H4076="","",ROW()-4)</f>
        <v/>
      </c>
    </row>
    <row r="4077">
      <c r="A4077" s="13">
        <f>IF(H4077="","",ROW()-4)</f>
        <v/>
      </c>
      <c r="B4077" s="13">
        <f>IF(H4077="","",ROW()-4)</f>
        <v/>
      </c>
    </row>
    <row r="4078">
      <c r="A4078" s="13">
        <f>IF(H4078="","",ROW()-4)</f>
        <v/>
      </c>
      <c r="B4078" s="13">
        <f>IF(H4078="","",ROW()-4)</f>
        <v/>
      </c>
    </row>
    <row r="4079">
      <c r="A4079" s="13">
        <f>IF(H4079="","",ROW()-4)</f>
        <v/>
      </c>
      <c r="B4079" s="13">
        <f>IF(H4079="","",ROW()-4)</f>
        <v/>
      </c>
    </row>
    <row r="4080">
      <c r="A4080" s="13">
        <f>IF(H4080="","",ROW()-4)</f>
        <v/>
      </c>
      <c r="B4080" s="13">
        <f>IF(H4080="","",ROW()-4)</f>
        <v/>
      </c>
    </row>
    <row r="4081">
      <c r="A4081" s="13">
        <f>IF(H4081="","",ROW()-4)</f>
        <v/>
      </c>
      <c r="B4081" s="13">
        <f>IF(H4081="","",ROW()-4)</f>
        <v/>
      </c>
    </row>
    <row r="4082">
      <c r="A4082" s="13">
        <f>IF(H4082="","",ROW()-4)</f>
        <v/>
      </c>
      <c r="B4082" s="13">
        <f>IF(H4082="","",ROW()-4)</f>
        <v/>
      </c>
    </row>
    <row r="4083">
      <c r="A4083" s="13">
        <f>IF(H4083="","",ROW()-4)</f>
        <v/>
      </c>
      <c r="B4083" s="13">
        <f>IF(H4083="","",ROW()-4)</f>
        <v/>
      </c>
    </row>
    <row r="4084">
      <c r="A4084" s="13">
        <f>IF(H4084="","",ROW()-4)</f>
        <v/>
      </c>
      <c r="B4084" s="13">
        <f>IF(H4084="","",ROW()-4)</f>
        <v/>
      </c>
    </row>
    <row r="4085">
      <c r="A4085" s="13">
        <f>IF(H4085="","",ROW()-4)</f>
        <v/>
      </c>
      <c r="B4085" s="13">
        <f>IF(H4085="","",ROW()-4)</f>
        <v/>
      </c>
    </row>
    <row r="4086">
      <c r="A4086" s="13">
        <f>IF(H4086="","",ROW()-4)</f>
        <v/>
      </c>
      <c r="B4086" s="13">
        <f>IF(H4086="","",ROW()-4)</f>
        <v/>
      </c>
    </row>
    <row r="4087">
      <c r="A4087" s="13">
        <f>IF(H4087="","",ROW()-4)</f>
        <v/>
      </c>
      <c r="B4087" s="13">
        <f>IF(H4087="","",ROW()-4)</f>
        <v/>
      </c>
    </row>
    <row r="4088">
      <c r="A4088" s="13">
        <f>IF(H4088="","",ROW()-4)</f>
        <v/>
      </c>
      <c r="B4088" s="13">
        <f>IF(H4088="","",ROW()-4)</f>
        <v/>
      </c>
    </row>
    <row r="4089">
      <c r="A4089" s="13">
        <f>IF(H4089="","",ROW()-4)</f>
        <v/>
      </c>
      <c r="B4089" s="13">
        <f>IF(H4089="","",ROW()-4)</f>
        <v/>
      </c>
    </row>
    <row r="4090">
      <c r="A4090" s="13">
        <f>IF(H4090="","",ROW()-4)</f>
        <v/>
      </c>
      <c r="B4090" s="13">
        <f>IF(H4090="","",ROW()-4)</f>
        <v/>
      </c>
    </row>
    <row r="4091">
      <c r="A4091" s="13">
        <f>IF(H4091="","",ROW()-4)</f>
        <v/>
      </c>
      <c r="B4091" s="13">
        <f>IF(H4091="","",ROW()-4)</f>
        <v/>
      </c>
    </row>
    <row r="4092">
      <c r="A4092" s="13">
        <f>IF(H4092="","",ROW()-4)</f>
        <v/>
      </c>
      <c r="B4092" s="13">
        <f>IF(H4092="","",ROW()-4)</f>
        <v/>
      </c>
    </row>
    <row r="4093">
      <c r="A4093" s="13">
        <f>IF(H4093="","",ROW()-4)</f>
        <v/>
      </c>
      <c r="B4093" s="13">
        <f>IF(H4093="","",ROW()-4)</f>
        <v/>
      </c>
    </row>
    <row r="4094">
      <c r="A4094" s="13">
        <f>IF(H4094="","",ROW()-4)</f>
        <v/>
      </c>
      <c r="B4094" s="13">
        <f>IF(H4094="","",ROW()-4)</f>
        <v/>
      </c>
    </row>
    <row r="4095">
      <c r="A4095" s="13">
        <f>IF(H4095="","",ROW()-4)</f>
        <v/>
      </c>
      <c r="B4095" s="13">
        <f>IF(H4095="","",ROW()-4)</f>
        <v/>
      </c>
    </row>
    <row r="4096">
      <c r="A4096" s="13">
        <f>IF(H4096="","",ROW()-4)</f>
        <v/>
      </c>
      <c r="B4096" s="13">
        <f>IF(H4096="","",ROW()-4)</f>
        <v/>
      </c>
    </row>
    <row r="4097">
      <c r="A4097" s="13">
        <f>IF(H4097="","",ROW()-4)</f>
        <v/>
      </c>
      <c r="B4097" s="13">
        <f>IF(H4097="","",ROW()-4)</f>
        <v/>
      </c>
    </row>
    <row r="4098">
      <c r="A4098" s="13">
        <f>IF(H4098="","",ROW()-4)</f>
        <v/>
      </c>
      <c r="B4098" s="13">
        <f>IF(H4098="","",ROW()-4)</f>
        <v/>
      </c>
    </row>
    <row r="4099">
      <c r="A4099" s="13">
        <f>IF(H4099="","",ROW()-4)</f>
        <v/>
      </c>
      <c r="B4099" s="13">
        <f>IF(H4099="","",ROW()-4)</f>
        <v/>
      </c>
    </row>
    <row r="4100">
      <c r="A4100" s="13">
        <f>IF(H4100="","",ROW()-4)</f>
        <v/>
      </c>
      <c r="B4100" s="13">
        <f>IF(H4100="","",ROW()-4)</f>
        <v/>
      </c>
    </row>
    <row r="4101">
      <c r="A4101" s="13">
        <f>IF(H4101="","",ROW()-4)</f>
        <v/>
      </c>
      <c r="B4101" s="13">
        <f>IF(H4101="","",ROW()-4)</f>
        <v/>
      </c>
    </row>
    <row r="4102">
      <c r="A4102" s="13">
        <f>IF(H4102="","",ROW()-4)</f>
        <v/>
      </c>
      <c r="B4102" s="13">
        <f>IF(H4102="","",ROW()-4)</f>
        <v/>
      </c>
    </row>
    <row r="4103">
      <c r="A4103" s="13">
        <f>IF(H4103="","",ROW()-4)</f>
        <v/>
      </c>
      <c r="B4103" s="13">
        <f>IF(H4103="","",ROW()-4)</f>
        <v/>
      </c>
    </row>
    <row r="4104">
      <c r="A4104" s="13">
        <f>IF(H4104="","",ROW()-4)</f>
        <v/>
      </c>
      <c r="B4104" s="13">
        <f>IF(H4104="","",ROW()-4)</f>
        <v/>
      </c>
    </row>
    <row r="4105">
      <c r="A4105" s="13">
        <f>IF(H4105="","",ROW()-4)</f>
        <v/>
      </c>
      <c r="B4105" s="13">
        <f>IF(H4105="","",ROW()-4)</f>
        <v/>
      </c>
    </row>
    <row r="4106">
      <c r="A4106" s="13">
        <f>IF(H4106="","",ROW()-4)</f>
        <v/>
      </c>
      <c r="B4106" s="13">
        <f>IF(H4106="","",ROW()-4)</f>
        <v/>
      </c>
    </row>
    <row r="4107">
      <c r="A4107" s="13">
        <f>IF(H4107="","",ROW()-4)</f>
        <v/>
      </c>
      <c r="B4107" s="13">
        <f>IF(H4107="","",ROW()-4)</f>
        <v/>
      </c>
    </row>
    <row r="4108">
      <c r="A4108" s="13">
        <f>IF(H4108="","",ROW()-4)</f>
        <v/>
      </c>
      <c r="B4108" s="13">
        <f>IF(H4108="","",ROW()-4)</f>
        <v/>
      </c>
    </row>
    <row r="4109">
      <c r="A4109" s="13">
        <f>IF(H4109="","",ROW()-4)</f>
        <v/>
      </c>
      <c r="B4109" s="13">
        <f>IF(H4109="","",ROW()-4)</f>
        <v/>
      </c>
    </row>
    <row r="4110">
      <c r="A4110" s="13">
        <f>IF(H4110="","",ROW()-4)</f>
        <v/>
      </c>
      <c r="B4110" s="13">
        <f>IF(H4110="","",ROW()-4)</f>
        <v/>
      </c>
    </row>
    <row r="4111">
      <c r="A4111" s="13">
        <f>IF(H4111="","",ROW()-4)</f>
        <v/>
      </c>
      <c r="B4111" s="13">
        <f>IF(H4111="","",ROW()-4)</f>
        <v/>
      </c>
    </row>
    <row r="4112">
      <c r="A4112" s="13">
        <f>IF(H4112="","",ROW()-4)</f>
        <v/>
      </c>
      <c r="B4112" s="13">
        <f>IF(H4112="","",ROW()-4)</f>
        <v/>
      </c>
    </row>
    <row r="4113">
      <c r="A4113" s="13">
        <f>IF(H4113="","",ROW()-4)</f>
        <v/>
      </c>
      <c r="B4113" s="13">
        <f>IF(H4113="","",ROW()-4)</f>
        <v/>
      </c>
    </row>
    <row r="4114">
      <c r="A4114" s="13">
        <f>IF(H4114="","",ROW()-4)</f>
        <v/>
      </c>
      <c r="B4114" s="13">
        <f>IF(H4114="","",ROW()-4)</f>
        <v/>
      </c>
    </row>
    <row r="4115">
      <c r="A4115" s="13">
        <f>IF(H4115="","",ROW()-4)</f>
        <v/>
      </c>
      <c r="B4115" s="13">
        <f>IF(H4115="","",ROW()-4)</f>
        <v/>
      </c>
    </row>
    <row r="4116">
      <c r="A4116" s="13">
        <f>IF(H4116="","",ROW()-4)</f>
        <v/>
      </c>
      <c r="B4116" s="13">
        <f>IF(H4116="","",ROW()-4)</f>
        <v/>
      </c>
    </row>
    <row r="4117">
      <c r="A4117" s="13">
        <f>IF(H4117="","",ROW()-4)</f>
        <v/>
      </c>
      <c r="B4117" s="13">
        <f>IF(H4117="","",ROW()-4)</f>
        <v/>
      </c>
    </row>
    <row r="4118">
      <c r="A4118" s="13">
        <f>IF(H4118="","",ROW()-4)</f>
        <v/>
      </c>
      <c r="B4118" s="13">
        <f>IF(H4118="","",ROW()-4)</f>
        <v/>
      </c>
    </row>
    <row r="4119">
      <c r="A4119" s="13">
        <f>IF(H4119="","",ROW()-4)</f>
        <v/>
      </c>
      <c r="B4119" s="13">
        <f>IF(H4119="","",ROW()-4)</f>
        <v/>
      </c>
    </row>
    <row r="4120">
      <c r="A4120" s="13">
        <f>IF(H4120="","",ROW()-4)</f>
        <v/>
      </c>
      <c r="B4120" s="13">
        <f>IF(H4120="","",ROW()-4)</f>
        <v/>
      </c>
    </row>
    <row r="4121">
      <c r="A4121" s="13">
        <f>IF(H4121="","",ROW()-4)</f>
        <v/>
      </c>
      <c r="B4121" s="13">
        <f>IF(H4121="","",ROW()-4)</f>
        <v/>
      </c>
    </row>
    <row r="4122">
      <c r="A4122" s="13">
        <f>IF(H4122="","",ROW()-4)</f>
        <v/>
      </c>
      <c r="B4122" s="13">
        <f>IF(H4122="","",ROW()-4)</f>
        <v/>
      </c>
    </row>
    <row r="4123">
      <c r="A4123" s="13">
        <f>IF(H4123="","",ROW()-4)</f>
        <v/>
      </c>
      <c r="B4123" s="13">
        <f>IF(H4123="","",ROW()-4)</f>
        <v/>
      </c>
    </row>
    <row r="4124">
      <c r="A4124" s="13">
        <f>IF(H4124="","",ROW()-4)</f>
        <v/>
      </c>
      <c r="B4124" s="13">
        <f>IF(H4124="","",ROW()-4)</f>
        <v/>
      </c>
    </row>
    <row r="4125">
      <c r="A4125" s="13">
        <f>IF(H4125="","",ROW()-4)</f>
        <v/>
      </c>
      <c r="B4125" s="13">
        <f>IF(H4125="","",ROW()-4)</f>
        <v/>
      </c>
    </row>
    <row r="4126">
      <c r="A4126" s="13">
        <f>IF(H4126="","",ROW()-4)</f>
        <v/>
      </c>
      <c r="B4126" s="13">
        <f>IF(H4126="","",ROW()-4)</f>
        <v/>
      </c>
    </row>
    <row r="4127">
      <c r="A4127" s="13">
        <f>IF(H4127="","",ROW()-4)</f>
        <v/>
      </c>
      <c r="B4127" s="13">
        <f>IF(H4127="","",ROW()-4)</f>
        <v/>
      </c>
    </row>
    <row r="4128">
      <c r="A4128" s="13">
        <f>IF(H4128="","",ROW()-4)</f>
        <v/>
      </c>
      <c r="B4128" s="13">
        <f>IF(H4128="","",ROW()-4)</f>
        <v/>
      </c>
    </row>
    <row r="4129">
      <c r="A4129" s="13">
        <f>IF(H4129="","",ROW()-4)</f>
        <v/>
      </c>
      <c r="B4129" s="13">
        <f>IF(H4129="","",ROW()-4)</f>
        <v/>
      </c>
    </row>
    <row r="4130">
      <c r="A4130" s="13">
        <f>IF(H4130="","",ROW()-4)</f>
        <v/>
      </c>
      <c r="B4130" s="13">
        <f>IF(H4130="","",ROW()-4)</f>
        <v/>
      </c>
    </row>
    <row r="4131">
      <c r="A4131" s="13">
        <f>IF(H4131="","",ROW()-4)</f>
        <v/>
      </c>
      <c r="B4131" s="13">
        <f>IF(H4131="","",ROW()-4)</f>
        <v/>
      </c>
    </row>
    <row r="4132">
      <c r="A4132" s="13">
        <f>IF(H4132="","",ROW()-4)</f>
        <v/>
      </c>
      <c r="B4132" s="13">
        <f>IF(H4132="","",ROW()-4)</f>
        <v/>
      </c>
    </row>
    <row r="4133">
      <c r="A4133" s="13">
        <f>IF(H4133="","",ROW()-4)</f>
        <v/>
      </c>
      <c r="B4133" s="13">
        <f>IF(H4133="","",ROW()-4)</f>
        <v/>
      </c>
    </row>
    <row r="4134">
      <c r="A4134" s="13">
        <f>IF(H4134="","",ROW()-4)</f>
        <v/>
      </c>
      <c r="B4134" s="13">
        <f>IF(H4134="","",ROW()-4)</f>
        <v/>
      </c>
    </row>
    <row r="4135">
      <c r="A4135" s="13">
        <f>IF(H4135="","",ROW()-4)</f>
        <v/>
      </c>
      <c r="B4135" s="13">
        <f>IF(H4135="","",ROW()-4)</f>
        <v/>
      </c>
    </row>
    <row r="4136">
      <c r="A4136" s="13">
        <f>IF(H4136="","",ROW()-4)</f>
        <v/>
      </c>
      <c r="B4136" s="13">
        <f>IF(H4136="","",ROW()-4)</f>
        <v/>
      </c>
    </row>
    <row r="4137">
      <c r="A4137" s="13">
        <f>IF(H4137="","",ROW()-4)</f>
        <v/>
      </c>
      <c r="B4137" s="13">
        <f>IF(H4137="","",ROW()-4)</f>
        <v/>
      </c>
    </row>
    <row r="4138">
      <c r="A4138" s="13">
        <f>IF(H4138="","",ROW()-4)</f>
        <v/>
      </c>
      <c r="B4138" s="13">
        <f>IF(H4138="","",ROW()-4)</f>
        <v/>
      </c>
    </row>
    <row r="4139">
      <c r="A4139" s="13">
        <f>IF(H4139="","",ROW()-4)</f>
        <v/>
      </c>
      <c r="B4139" s="13">
        <f>IF(H4139="","",ROW()-4)</f>
        <v/>
      </c>
    </row>
    <row r="4140">
      <c r="A4140" s="13">
        <f>IF(H4140="","",ROW()-4)</f>
        <v/>
      </c>
      <c r="B4140" s="13">
        <f>IF(H4140="","",ROW()-4)</f>
        <v/>
      </c>
    </row>
    <row r="4141">
      <c r="A4141" s="13">
        <f>IF(H4141="","",ROW()-4)</f>
        <v/>
      </c>
      <c r="B4141" s="13">
        <f>IF(H4141="","",ROW()-4)</f>
        <v/>
      </c>
    </row>
    <row r="4142">
      <c r="A4142" s="13">
        <f>IF(H4142="","",ROW()-4)</f>
        <v/>
      </c>
      <c r="B4142" s="13">
        <f>IF(H4142="","",ROW()-4)</f>
        <v/>
      </c>
    </row>
    <row r="4143">
      <c r="A4143" s="13">
        <f>IF(H4143="","",ROW()-4)</f>
        <v/>
      </c>
      <c r="B4143" s="13">
        <f>IF(H4143="","",ROW()-4)</f>
        <v/>
      </c>
    </row>
    <row r="4144">
      <c r="A4144" s="13">
        <f>IF(H4144="","",ROW()-4)</f>
        <v/>
      </c>
      <c r="B4144" s="13">
        <f>IF(H4144="","",ROW()-4)</f>
        <v/>
      </c>
    </row>
    <row r="4145">
      <c r="A4145" s="13">
        <f>IF(H4145="","",ROW()-4)</f>
        <v/>
      </c>
      <c r="B4145" s="13">
        <f>IF(H4145="","",ROW()-4)</f>
        <v/>
      </c>
    </row>
    <row r="4146">
      <c r="A4146" s="13">
        <f>IF(H4146="","",ROW()-4)</f>
        <v/>
      </c>
      <c r="B4146" s="13">
        <f>IF(H4146="","",ROW()-4)</f>
        <v/>
      </c>
    </row>
    <row r="4147">
      <c r="A4147" s="13">
        <f>IF(H4147="","",ROW()-4)</f>
        <v/>
      </c>
      <c r="B4147" s="13">
        <f>IF(H4147="","",ROW()-4)</f>
        <v/>
      </c>
    </row>
    <row r="4148">
      <c r="A4148" s="13">
        <f>IF(H4148="","",ROW()-4)</f>
        <v/>
      </c>
      <c r="B4148" s="13">
        <f>IF(H4148="","",ROW()-4)</f>
        <v/>
      </c>
    </row>
    <row r="4149">
      <c r="A4149" s="13">
        <f>IF(H4149="","",ROW()-4)</f>
        <v/>
      </c>
      <c r="B4149" s="13">
        <f>IF(H4149="","",ROW()-4)</f>
        <v/>
      </c>
    </row>
    <row r="4150">
      <c r="A4150" s="13">
        <f>IF(H4150="","",ROW()-4)</f>
        <v/>
      </c>
      <c r="B4150" s="13">
        <f>IF(H4150="","",ROW()-4)</f>
        <v/>
      </c>
    </row>
    <row r="4151">
      <c r="A4151" s="13">
        <f>IF(H4151="","",ROW()-4)</f>
        <v/>
      </c>
      <c r="B4151" s="13">
        <f>IF(H4151="","",ROW()-4)</f>
        <v/>
      </c>
    </row>
    <row r="4152">
      <c r="A4152" s="13">
        <f>IF(H4152="","",ROW()-4)</f>
        <v/>
      </c>
      <c r="B4152" s="13">
        <f>IF(H4152="","",ROW()-4)</f>
        <v/>
      </c>
    </row>
    <row r="4153">
      <c r="A4153" s="13">
        <f>IF(H4153="","",ROW()-4)</f>
        <v/>
      </c>
      <c r="B4153" s="13">
        <f>IF(H4153="","",ROW()-4)</f>
        <v/>
      </c>
    </row>
    <row r="4154">
      <c r="A4154" s="13">
        <f>IF(H4154="","",ROW()-4)</f>
        <v/>
      </c>
      <c r="B4154" s="13">
        <f>IF(H4154="","",ROW()-4)</f>
        <v/>
      </c>
    </row>
    <row r="4155">
      <c r="A4155" s="13">
        <f>IF(H4155="","",ROW()-4)</f>
        <v/>
      </c>
      <c r="B4155" s="13">
        <f>IF(H4155="","",ROW()-4)</f>
        <v/>
      </c>
    </row>
    <row r="4156">
      <c r="A4156" s="13">
        <f>IF(H4156="","",ROW()-4)</f>
        <v/>
      </c>
      <c r="B4156" s="13">
        <f>IF(H4156="","",ROW()-4)</f>
        <v/>
      </c>
    </row>
    <row r="4157">
      <c r="A4157" s="13">
        <f>IF(H4157="","",ROW()-4)</f>
        <v/>
      </c>
      <c r="B4157" s="13">
        <f>IF(H4157="","",ROW()-4)</f>
        <v/>
      </c>
    </row>
    <row r="4158">
      <c r="A4158" s="13">
        <f>IF(H4158="","",ROW()-4)</f>
        <v/>
      </c>
      <c r="B4158" s="13">
        <f>IF(H4158="","",ROW()-4)</f>
        <v/>
      </c>
    </row>
    <row r="4159">
      <c r="A4159" s="13">
        <f>IF(H4159="","",ROW()-4)</f>
        <v/>
      </c>
      <c r="B4159" s="13">
        <f>IF(H4159="","",ROW()-4)</f>
        <v/>
      </c>
    </row>
    <row r="4160">
      <c r="A4160" s="13">
        <f>IF(H4160="","",ROW()-4)</f>
        <v/>
      </c>
      <c r="B4160" s="13">
        <f>IF(H4160="","",ROW()-4)</f>
        <v/>
      </c>
    </row>
    <row r="4161">
      <c r="A4161" s="13">
        <f>IF(H4161="","",ROW()-4)</f>
        <v/>
      </c>
      <c r="B4161" s="13">
        <f>IF(H4161="","",ROW()-4)</f>
        <v/>
      </c>
    </row>
    <row r="4162">
      <c r="A4162" s="13">
        <f>IF(H4162="","",ROW()-4)</f>
        <v/>
      </c>
      <c r="B4162" s="13">
        <f>IF(H4162="","",ROW()-4)</f>
        <v/>
      </c>
    </row>
    <row r="4163">
      <c r="A4163" s="13">
        <f>IF(H4163="","",ROW()-4)</f>
        <v/>
      </c>
      <c r="B4163" s="13">
        <f>IF(H4163="","",ROW()-4)</f>
        <v/>
      </c>
    </row>
    <row r="4164">
      <c r="A4164" s="13">
        <f>IF(H4164="","",ROW()-4)</f>
        <v/>
      </c>
      <c r="B4164" s="13">
        <f>IF(H4164="","",ROW()-4)</f>
        <v/>
      </c>
    </row>
    <row r="4165">
      <c r="A4165" s="13">
        <f>IF(H4165="","",ROW()-4)</f>
        <v/>
      </c>
      <c r="B4165" s="13">
        <f>IF(H4165="","",ROW()-4)</f>
        <v/>
      </c>
    </row>
    <row r="4166">
      <c r="A4166" s="13">
        <f>IF(H4166="","",ROW()-4)</f>
        <v/>
      </c>
      <c r="B4166" s="13">
        <f>IF(H4166="","",ROW()-4)</f>
        <v/>
      </c>
    </row>
    <row r="4167">
      <c r="A4167" s="13">
        <f>IF(H4167="","",ROW()-4)</f>
        <v/>
      </c>
      <c r="B4167" s="13">
        <f>IF(H4167="","",ROW()-4)</f>
        <v/>
      </c>
    </row>
    <row r="4168">
      <c r="A4168" s="13">
        <f>IF(H4168="","",ROW()-4)</f>
        <v/>
      </c>
      <c r="B4168" s="13">
        <f>IF(H4168="","",ROW()-4)</f>
        <v/>
      </c>
    </row>
    <row r="4169">
      <c r="A4169" s="13">
        <f>IF(H4169="","",ROW()-4)</f>
        <v/>
      </c>
      <c r="B4169" s="13">
        <f>IF(H4169="","",ROW()-4)</f>
        <v/>
      </c>
    </row>
    <row r="4170">
      <c r="A4170" s="13">
        <f>IF(H4170="","",ROW()-4)</f>
        <v/>
      </c>
      <c r="B4170" s="13">
        <f>IF(H4170="","",ROW()-4)</f>
        <v/>
      </c>
    </row>
    <row r="4171">
      <c r="A4171" s="13">
        <f>IF(H4171="","",ROW()-4)</f>
        <v/>
      </c>
      <c r="B4171" s="13">
        <f>IF(H4171="","",ROW()-4)</f>
        <v/>
      </c>
    </row>
    <row r="4172">
      <c r="A4172" s="13">
        <f>IF(H4172="","",ROW()-4)</f>
        <v/>
      </c>
      <c r="B4172" s="13">
        <f>IF(H4172="","",ROW()-4)</f>
        <v/>
      </c>
    </row>
    <row r="4173">
      <c r="A4173" s="13">
        <f>IF(H4173="","",ROW()-4)</f>
        <v/>
      </c>
      <c r="B4173" s="13">
        <f>IF(H4173="","",ROW()-4)</f>
        <v/>
      </c>
    </row>
    <row r="4174">
      <c r="A4174" s="13">
        <f>IF(H4174="","",ROW()-4)</f>
        <v/>
      </c>
      <c r="B4174" s="13">
        <f>IF(H4174="","",ROW()-4)</f>
        <v/>
      </c>
    </row>
    <row r="4175">
      <c r="A4175" s="13">
        <f>IF(H4175="","",ROW()-4)</f>
        <v/>
      </c>
      <c r="B4175" s="13">
        <f>IF(H4175="","",ROW()-4)</f>
        <v/>
      </c>
    </row>
    <row r="4176">
      <c r="A4176" s="13">
        <f>IF(H4176="","",ROW()-4)</f>
        <v/>
      </c>
      <c r="B4176" s="13">
        <f>IF(H4176="","",ROW()-4)</f>
        <v/>
      </c>
    </row>
    <row r="4177">
      <c r="A4177" s="13">
        <f>IF(H4177="","",ROW()-4)</f>
        <v/>
      </c>
      <c r="B4177" s="13">
        <f>IF(H4177="","",ROW()-4)</f>
        <v/>
      </c>
    </row>
    <row r="4178">
      <c r="A4178" s="13">
        <f>IF(H4178="","",ROW()-4)</f>
        <v/>
      </c>
      <c r="B4178" s="13">
        <f>IF(H4178="","",ROW()-4)</f>
        <v/>
      </c>
    </row>
    <row r="4179">
      <c r="A4179" s="13">
        <f>IF(H4179="","",ROW()-4)</f>
        <v/>
      </c>
      <c r="B4179" s="13">
        <f>IF(H4179="","",ROW()-4)</f>
        <v/>
      </c>
    </row>
    <row r="4180">
      <c r="A4180" s="13">
        <f>IF(H4180="","",ROW()-4)</f>
        <v/>
      </c>
      <c r="B4180" s="13">
        <f>IF(H4180="","",ROW()-4)</f>
        <v/>
      </c>
    </row>
    <row r="4181">
      <c r="A4181" s="13">
        <f>IF(H4181="","",ROW()-4)</f>
        <v/>
      </c>
      <c r="B4181" s="13">
        <f>IF(H4181="","",ROW()-4)</f>
        <v/>
      </c>
    </row>
    <row r="4182">
      <c r="A4182" s="13">
        <f>IF(H4182="","",ROW()-4)</f>
        <v/>
      </c>
      <c r="B4182" s="13">
        <f>IF(H4182="","",ROW()-4)</f>
        <v/>
      </c>
    </row>
    <row r="4183">
      <c r="A4183" s="13">
        <f>IF(H4183="","",ROW()-4)</f>
        <v/>
      </c>
      <c r="B4183" s="13">
        <f>IF(H4183="","",ROW()-4)</f>
        <v/>
      </c>
    </row>
    <row r="4184">
      <c r="A4184" s="13">
        <f>IF(H4184="","",ROW()-4)</f>
        <v/>
      </c>
      <c r="B4184" s="13">
        <f>IF(H4184="","",ROW()-4)</f>
        <v/>
      </c>
    </row>
    <row r="4185">
      <c r="A4185" s="13">
        <f>IF(H4185="","",ROW()-4)</f>
        <v/>
      </c>
      <c r="B4185" s="13">
        <f>IF(H4185="","",ROW()-4)</f>
        <v/>
      </c>
    </row>
    <row r="4186">
      <c r="A4186" s="13">
        <f>IF(H4186="","",ROW()-4)</f>
        <v/>
      </c>
      <c r="B4186" s="13">
        <f>IF(H4186="","",ROW()-4)</f>
        <v/>
      </c>
    </row>
    <row r="4187">
      <c r="A4187" s="13">
        <f>IF(H4187="","",ROW()-4)</f>
        <v/>
      </c>
      <c r="B4187" s="13">
        <f>IF(H4187="","",ROW()-4)</f>
        <v/>
      </c>
    </row>
    <row r="4188">
      <c r="A4188" s="13">
        <f>IF(H4188="","",ROW()-4)</f>
        <v/>
      </c>
      <c r="B4188" s="13">
        <f>IF(H4188="","",ROW()-4)</f>
        <v/>
      </c>
    </row>
    <row r="4189">
      <c r="A4189" s="13">
        <f>IF(H4189="","",ROW()-4)</f>
        <v/>
      </c>
      <c r="B4189" s="13">
        <f>IF(H4189="","",ROW()-4)</f>
        <v/>
      </c>
    </row>
    <row r="4190">
      <c r="A4190" s="13">
        <f>IF(H4190="","",ROW()-4)</f>
        <v/>
      </c>
      <c r="B4190" s="13">
        <f>IF(H4190="","",ROW()-4)</f>
        <v/>
      </c>
    </row>
    <row r="4191">
      <c r="A4191" s="13">
        <f>IF(H4191="","",ROW()-4)</f>
        <v/>
      </c>
      <c r="B4191" s="13">
        <f>IF(H4191="","",ROW()-4)</f>
        <v/>
      </c>
    </row>
    <row r="4192">
      <c r="A4192" s="13">
        <f>IF(H4192="","",ROW()-4)</f>
        <v/>
      </c>
      <c r="B4192" s="13">
        <f>IF(H4192="","",ROW()-4)</f>
        <v/>
      </c>
    </row>
    <row r="4193">
      <c r="A4193" s="13">
        <f>IF(H4193="","",ROW()-4)</f>
        <v/>
      </c>
      <c r="B4193" s="13">
        <f>IF(H4193="","",ROW()-4)</f>
        <v/>
      </c>
    </row>
    <row r="4194">
      <c r="A4194" s="13">
        <f>IF(H4194="","",ROW()-4)</f>
        <v/>
      </c>
      <c r="B4194" s="13">
        <f>IF(H4194="","",ROW()-4)</f>
        <v/>
      </c>
    </row>
    <row r="4195">
      <c r="A4195" s="13">
        <f>IF(H4195="","",ROW()-4)</f>
        <v/>
      </c>
      <c r="B4195" s="13">
        <f>IF(H4195="","",ROW()-4)</f>
        <v/>
      </c>
    </row>
    <row r="4196">
      <c r="A4196" s="13">
        <f>IF(H4196="","",ROW()-4)</f>
        <v/>
      </c>
      <c r="B4196" s="13">
        <f>IF(H4196="","",ROW()-4)</f>
        <v/>
      </c>
    </row>
    <row r="4197">
      <c r="A4197" s="13">
        <f>IF(H4197="","",ROW()-4)</f>
        <v/>
      </c>
      <c r="B4197" s="13">
        <f>IF(H4197="","",ROW()-4)</f>
        <v/>
      </c>
    </row>
    <row r="4198">
      <c r="A4198" s="13">
        <f>IF(H4198="","",ROW()-4)</f>
        <v/>
      </c>
      <c r="B4198" s="13">
        <f>IF(H4198="","",ROW()-4)</f>
        <v/>
      </c>
    </row>
    <row r="4199">
      <c r="A4199" s="13">
        <f>IF(H4199="","",ROW()-4)</f>
        <v/>
      </c>
      <c r="B4199" s="13">
        <f>IF(H4199="","",ROW()-4)</f>
        <v/>
      </c>
    </row>
    <row r="4200">
      <c r="A4200" s="13">
        <f>IF(H4200="","",ROW()-4)</f>
        <v/>
      </c>
      <c r="B4200" s="13">
        <f>IF(H4200="","",ROW()-4)</f>
        <v/>
      </c>
    </row>
    <row r="4201">
      <c r="A4201" s="13">
        <f>IF(H4201="","",ROW()-4)</f>
        <v/>
      </c>
      <c r="B4201" s="13">
        <f>IF(H4201="","",ROW()-4)</f>
        <v/>
      </c>
    </row>
    <row r="4202">
      <c r="A4202" s="13">
        <f>IF(H4202="","",ROW()-4)</f>
        <v/>
      </c>
      <c r="B4202" s="13">
        <f>IF(H4202="","",ROW()-4)</f>
        <v/>
      </c>
    </row>
    <row r="4203">
      <c r="A4203" s="13">
        <f>IF(H4203="","",ROW()-4)</f>
        <v/>
      </c>
      <c r="B4203" s="13">
        <f>IF(H4203="","",ROW()-4)</f>
        <v/>
      </c>
    </row>
    <row r="4204">
      <c r="A4204" s="13">
        <f>IF(H4204="","",ROW()-4)</f>
        <v/>
      </c>
      <c r="B4204" s="13">
        <f>IF(H4204="","",ROW()-4)</f>
        <v/>
      </c>
    </row>
    <row r="4205">
      <c r="A4205" s="13">
        <f>IF(H4205="","",ROW()-4)</f>
        <v/>
      </c>
      <c r="B4205" s="13">
        <f>IF(H4205="","",ROW()-4)</f>
        <v/>
      </c>
    </row>
    <row r="4206">
      <c r="A4206" s="13">
        <f>IF(H4206="","",ROW()-4)</f>
        <v/>
      </c>
      <c r="B4206" s="13">
        <f>IF(H4206="","",ROW()-4)</f>
        <v/>
      </c>
    </row>
    <row r="4207">
      <c r="A4207" s="13">
        <f>IF(H4207="","",ROW()-4)</f>
        <v/>
      </c>
      <c r="B4207" s="13">
        <f>IF(H4207="","",ROW()-4)</f>
        <v/>
      </c>
    </row>
    <row r="4208">
      <c r="A4208" s="13">
        <f>IF(H4208="","",ROW()-4)</f>
        <v/>
      </c>
      <c r="B4208" s="13">
        <f>IF(H4208="","",ROW()-4)</f>
        <v/>
      </c>
    </row>
    <row r="4209">
      <c r="A4209" s="13">
        <f>IF(H4209="","",ROW()-4)</f>
        <v/>
      </c>
      <c r="B4209" s="13">
        <f>IF(H4209="","",ROW()-4)</f>
        <v/>
      </c>
    </row>
    <row r="4210">
      <c r="A4210" s="13">
        <f>IF(H4210="","",ROW()-4)</f>
        <v/>
      </c>
      <c r="B4210" s="13">
        <f>IF(H4210="","",ROW()-4)</f>
        <v/>
      </c>
    </row>
    <row r="4211">
      <c r="A4211" s="13">
        <f>IF(H4211="","",ROW()-4)</f>
        <v/>
      </c>
      <c r="B4211" s="13">
        <f>IF(H4211="","",ROW()-4)</f>
        <v/>
      </c>
    </row>
    <row r="4212">
      <c r="A4212" s="13">
        <f>IF(H4212="","",ROW()-4)</f>
        <v/>
      </c>
      <c r="B4212" s="13">
        <f>IF(H4212="","",ROW()-4)</f>
        <v/>
      </c>
    </row>
    <row r="4213">
      <c r="A4213" s="13">
        <f>IF(H4213="","",ROW()-4)</f>
        <v/>
      </c>
      <c r="B4213" s="13">
        <f>IF(H4213="","",ROW()-4)</f>
        <v/>
      </c>
    </row>
    <row r="4214">
      <c r="A4214" s="13">
        <f>IF(H4214="","",ROW()-4)</f>
        <v/>
      </c>
      <c r="B4214" s="13">
        <f>IF(H4214="","",ROW()-4)</f>
        <v/>
      </c>
    </row>
    <row r="4215">
      <c r="A4215" s="13">
        <f>IF(H4215="","",ROW()-4)</f>
        <v/>
      </c>
      <c r="B4215" s="13">
        <f>IF(H4215="","",ROW()-4)</f>
        <v/>
      </c>
    </row>
    <row r="4216">
      <c r="A4216" s="13">
        <f>IF(H4216="","",ROW()-4)</f>
        <v/>
      </c>
      <c r="B4216" s="13">
        <f>IF(H4216="","",ROW()-4)</f>
        <v/>
      </c>
    </row>
    <row r="4217">
      <c r="A4217" s="13">
        <f>IF(H4217="","",ROW()-4)</f>
        <v/>
      </c>
      <c r="B4217" s="13">
        <f>IF(H4217="","",ROW()-4)</f>
        <v/>
      </c>
    </row>
    <row r="4218">
      <c r="A4218" s="13">
        <f>IF(H4218="","",ROW()-4)</f>
        <v/>
      </c>
      <c r="B4218" s="13">
        <f>IF(H4218="","",ROW()-4)</f>
        <v/>
      </c>
    </row>
    <row r="4219">
      <c r="A4219" s="13">
        <f>IF(H4219="","",ROW()-4)</f>
        <v/>
      </c>
      <c r="B4219" s="13">
        <f>IF(H4219="","",ROW()-4)</f>
        <v/>
      </c>
    </row>
    <row r="4220">
      <c r="A4220" s="13">
        <f>IF(H4220="","",ROW()-4)</f>
        <v/>
      </c>
      <c r="B4220" s="13">
        <f>IF(H4220="","",ROW()-4)</f>
        <v/>
      </c>
    </row>
    <row r="4221">
      <c r="A4221" s="13">
        <f>IF(H4221="","",ROW()-4)</f>
        <v/>
      </c>
      <c r="B4221" s="13">
        <f>IF(H4221="","",ROW()-4)</f>
        <v/>
      </c>
    </row>
    <row r="4222">
      <c r="A4222" s="13">
        <f>IF(H4222="","",ROW()-4)</f>
        <v/>
      </c>
      <c r="B4222" s="13">
        <f>IF(H4222="","",ROW()-4)</f>
        <v/>
      </c>
    </row>
    <row r="4223">
      <c r="A4223" s="13">
        <f>IF(H4223="","",ROW()-4)</f>
        <v/>
      </c>
      <c r="B4223" s="13">
        <f>IF(H4223="","",ROW()-4)</f>
        <v/>
      </c>
    </row>
    <row r="4224">
      <c r="A4224" s="13">
        <f>IF(H4224="","",ROW()-4)</f>
        <v/>
      </c>
      <c r="B4224" s="13">
        <f>IF(H4224="","",ROW()-4)</f>
        <v/>
      </c>
    </row>
    <row r="4225">
      <c r="A4225" s="13">
        <f>IF(H4225="","",ROW()-4)</f>
        <v/>
      </c>
      <c r="B4225" s="13">
        <f>IF(H4225="","",ROW()-4)</f>
        <v/>
      </c>
    </row>
    <row r="4226">
      <c r="A4226" s="13">
        <f>IF(H4226="","",ROW()-4)</f>
        <v/>
      </c>
      <c r="B4226" s="13">
        <f>IF(H4226="","",ROW()-4)</f>
        <v/>
      </c>
    </row>
    <row r="4227">
      <c r="A4227" s="13">
        <f>IF(H4227="","",ROW()-4)</f>
        <v/>
      </c>
      <c r="B4227" s="13">
        <f>IF(H4227="","",ROW()-4)</f>
        <v/>
      </c>
    </row>
    <row r="4228">
      <c r="A4228" s="13">
        <f>IF(H4228="","",ROW()-4)</f>
        <v/>
      </c>
      <c r="B4228" s="13">
        <f>IF(H4228="","",ROW()-4)</f>
        <v/>
      </c>
    </row>
    <row r="4229">
      <c r="A4229" s="13">
        <f>IF(H4229="","",ROW()-4)</f>
        <v/>
      </c>
      <c r="B4229" s="13">
        <f>IF(H4229="","",ROW()-4)</f>
        <v/>
      </c>
    </row>
    <row r="4230">
      <c r="A4230" s="13">
        <f>IF(H4230="","",ROW()-4)</f>
        <v/>
      </c>
      <c r="B4230" s="13">
        <f>IF(H4230="","",ROW()-4)</f>
        <v/>
      </c>
    </row>
    <row r="4231">
      <c r="A4231" s="13">
        <f>IF(H4231="","",ROW()-4)</f>
        <v/>
      </c>
      <c r="B4231" s="13">
        <f>IF(H4231="","",ROW()-4)</f>
        <v/>
      </c>
    </row>
    <row r="4232">
      <c r="A4232" s="13">
        <f>IF(H4232="","",ROW()-4)</f>
        <v/>
      </c>
      <c r="B4232" s="13">
        <f>IF(H4232="","",ROW()-4)</f>
        <v/>
      </c>
    </row>
    <row r="4233">
      <c r="A4233" s="13">
        <f>IF(H4233="","",ROW()-4)</f>
        <v/>
      </c>
      <c r="B4233" s="13">
        <f>IF(H4233="","",ROW()-4)</f>
        <v/>
      </c>
    </row>
    <row r="4234">
      <c r="A4234" s="13">
        <f>IF(H4234="","",ROW()-4)</f>
        <v/>
      </c>
      <c r="B4234" s="13">
        <f>IF(H4234="","",ROW()-4)</f>
        <v/>
      </c>
    </row>
    <row r="4235">
      <c r="A4235" s="13">
        <f>IF(H4235="","",ROW()-4)</f>
        <v/>
      </c>
      <c r="B4235" s="13">
        <f>IF(H4235="","",ROW()-4)</f>
        <v/>
      </c>
    </row>
    <row r="4236">
      <c r="A4236" s="13">
        <f>IF(H4236="","",ROW()-4)</f>
        <v/>
      </c>
      <c r="B4236" s="13">
        <f>IF(H4236="","",ROW()-4)</f>
        <v/>
      </c>
    </row>
    <row r="4237">
      <c r="A4237" s="13">
        <f>IF(H4237="","",ROW()-4)</f>
        <v/>
      </c>
      <c r="B4237" s="13">
        <f>IF(H4237="","",ROW()-4)</f>
        <v/>
      </c>
    </row>
    <row r="4238">
      <c r="A4238" s="13">
        <f>IF(H4238="","",ROW()-4)</f>
        <v/>
      </c>
      <c r="B4238" s="13">
        <f>IF(H4238="","",ROW()-4)</f>
        <v/>
      </c>
    </row>
    <row r="4239">
      <c r="A4239" s="13">
        <f>IF(H4239="","",ROW()-4)</f>
        <v/>
      </c>
      <c r="B4239" s="13">
        <f>IF(H4239="","",ROW()-4)</f>
        <v/>
      </c>
    </row>
    <row r="4240">
      <c r="A4240" s="13">
        <f>IF(H4240="","",ROW()-4)</f>
        <v/>
      </c>
      <c r="B4240" s="13">
        <f>IF(H4240="","",ROW()-4)</f>
        <v/>
      </c>
    </row>
    <row r="4241">
      <c r="A4241" s="13">
        <f>IF(H4241="","",ROW()-4)</f>
        <v/>
      </c>
      <c r="B4241" s="13">
        <f>IF(H4241="","",ROW()-4)</f>
        <v/>
      </c>
    </row>
    <row r="4242">
      <c r="A4242" s="13">
        <f>IF(H4242="","",ROW()-4)</f>
        <v/>
      </c>
      <c r="B4242" s="13">
        <f>IF(H4242="","",ROW()-4)</f>
        <v/>
      </c>
    </row>
    <row r="4243">
      <c r="A4243" s="13">
        <f>IF(H4243="","",ROW()-4)</f>
        <v/>
      </c>
      <c r="B4243" s="13">
        <f>IF(H4243="","",ROW()-4)</f>
        <v/>
      </c>
    </row>
    <row r="4244">
      <c r="A4244" s="13">
        <f>IF(H4244="","",ROW()-4)</f>
        <v/>
      </c>
      <c r="B4244" s="13">
        <f>IF(H4244="","",ROW()-4)</f>
        <v/>
      </c>
    </row>
    <row r="4245">
      <c r="A4245" s="13">
        <f>IF(H4245="","",ROW()-4)</f>
        <v/>
      </c>
      <c r="B4245" s="13">
        <f>IF(H4245="","",ROW()-4)</f>
        <v/>
      </c>
    </row>
    <row r="4246">
      <c r="A4246" s="13">
        <f>IF(H4246="","",ROW()-4)</f>
        <v/>
      </c>
      <c r="B4246" s="13">
        <f>IF(H4246="","",ROW()-4)</f>
        <v/>
      </c>
    </row>
    <row r="4247">
      <c r="A4247" s="13">
        <f>IF(H4247="","",ROW()-4)</f>
        <v/>
      </c>
      <c r="B4247" s="13">
        <f>IF(H4247="","",ROW()-4)</f>
        <v/>
      </c>
    </row>
    <row r="4248">
      <c r="A4248" s="13">
        <f>IF(H4248="","",ROW()-4)</f>
        <v/>
      </c>
      <c r="B4248" s="13">
        <f>IF(H4248="","",ROW()-4)</f>
        <v/>
      </c>
    </row>
    <row r="4249">
      <c r="A4249" s="13">
        <f>IF(H4249="","",ROW()-4)</f>
        <v/>
      </c>
      <c r="B4249" s="13">
        <f>IF(H4249="","",ROW()-4)</f>
        <v/>
      </c>
    </row>
    <row r="4250">
      <c r="A4250" s="13">
        <f>IF(H4250="","",ROW()-4)</f>
        <v/>
      </c>
      <c r="B4250" s="13">
        <f>IF(H4250="","",ROW()-4)</f>
        <v/>
      </c>
    </row>
    <row r="4251">
      <c r="A4251" s="13">
        <f>IF(H4251="","",ROW()-4)</f>
        <v/>
      </c>
      <c r="B4251" s="13">
        <f>IF(H4251="","",ROW()-4)</f>
        <v/>
      </c>
    </row>
    <row r="4252">
      <c r="A4252" s="13">
        <f>IF(H4252="","",ROW()-4)</f>
        <v/>
      </c>
      <c r="B4252" s="13">
        <f>IF(H4252="","",ROW()-4)</f>
        <v/>
      </c>
    </row>
    <row r="4253">
      <c r="A4253" s="13">
        <f>IF(H4253="","",ROW()-4)</f>
        <v/>
      </c>
      <c r="B4253" s="13">
        <f>IF(H4253="","",ROW()-4)</f>
        <v/>
      </c>
    </row>
    <row r="4254">
      <c r="A4254" s="13">
        <f>IF(H4254="","",ROW()-4)</f>
        <v/>
      </c>
      <c r="B4254" s="13">
        <f>IF(H4254="","",ROW()-4)</f>
        <v/>
      </c>
    </row>
    <row r="4255">
      <c r="A4255" s="13">
        <f>IF(H4255="","",ROW()-4)</f>
        <v/>
      </c>
      <c r="B4255" s="13">
        <f>IF(H4255="","",ROW()-4)</f>
        <v/>
      </c>
    </row>
    <row r="4256">
      <c r="A4256" s="13">
        <f>IF(H4256="","",ROW()-4)</f>
        <v/>
      </c>
      <c r="B4256" s="13">
        <f>IF(H4256="","",ROW()-4)</f>
        <v/>
      </c>
    </row>
    <row r="4257">
      <c r="A4257" s="13">
        <f>IF(H4257="","",ROW()-4)</f>
        <v/>
      </c>
      <c r="B4257" s="13">
        <f>IF(H4257="","",ROW()-4)</f>
        <v/>
      </c>
    </row>
    <row r="4258">
      <c r="A4258" s="13">
        <f>IF(H4258="","",ROW()-4)</f>
        <v/>
      </c>
      <c r="B4258" s="13">
        <f>IF(H4258="","",ROW()-4)</f>
        <v/>
      </c>
    </row>
    <row r="4259">
      <c r="A4259" s="13">
        <f>IF(H4259="","",ROW()-4)</f>
        <v/>
      </c>
      <c r="B4259" s="13">
        <f>IF(H4259="","",ROW()-4)</f>
        <v/>
      </c>
    </row>
    <row r="4260">
      <c r="A4260" s="13">
        <f>IF(H4260="","",ROW()-4)</f>
        <v/>
      </c>
      <c r="B4260" s="13">
        <f>IF(H4260="","",ROW()-4)</f>
        <v/>
      </c>
    </row>
    <row r="4261">
      <c r="A4261" s="13">
        <f>IF(H4261="","",ROW()-4)</f>
        <v/>
      </c>
      <c r="B4261" s="13">
        <f>IF(H4261="","",ROW()-4)</f>
        <v/>
      </c>
    </row>
    <row r="4262">
      <c r="A4262" s="13">
        <f>IF(H4262="","",ROW()-4)</f>
        <v/>
      </c>
      <c r="B4262" s="13">
        <f>IF(H4262="","",ROW()-4)</f>
        <v/>
      </c>
    </row>
    <row r="4263">
      <c r="A4263" s="13">
        <f>IF(H4263="","",ROW()-4)</f>
        <v/>
      </c>
      <c r="B4263" s="13">
        <f>IF(H4263="","",ROW()-4)</f>
        <v/>
      </c>
    </row>
    <row r="4264">
      <c r="A4264" s="13">
        <f>IF(H4264="","",ROW()-4)</f>
        <v/>
      </c>
      <c r="B4264" s="13">
        <f>IF(H4264="","",ROW()-4)</f>
        <v/>
      </c>
    </row>
    <row r="4265">
      <c r="A4265" s="13">
        <f>IF(H4265="","",ROW()-4)</f>
        <v/>
      </c>
      <c r="B4265" s="13">
        <f>IF(H4265="","",ROW()-4)</f>
        <v/>
      </c>
    </row>
    <row r="4266">
      <c r="A4266" s="13">
        <f>IF(H4266="","",ROW()-4)</f>
        <v/>
      </c>
      <c r="B4266" s="13">
        <f>IF(H4266="","",ROW()-4)</f>
        <v/>
      </c>
    </row>
    <row r="4267">
      <c r="A4267" s="13">
        <f>IF(H4267="","",ROW()-4)</f>
        <v/>
      </c>
      <c r="B4267" s="13">
        <f>IF(H4267="","",ROW()-4)</f>
        <v/>
      </c>
    </row>
    <row r="4268">
      <c r="A4268" s="13">
        <f>IF(H4268="","",ROW()-4)</f>
        <v/>
      </c>
      <c r="B4268" s="13">
        <f>IF(H4268="","",ROW()-4)</f>
        <v/>
      </c>
    </row>
    <row r="4269">
      <c r="A4269" s="13">
        <f>IF(H4269="","",ROW()-4)</f>
        <v/>
      </c>
      <c r="B4269" s="13">
        <f>IF(H4269="","",ROW()-4)</f>
        <v/>
      </c>
    </row>
    <row r="4270">
      <c r="A4270" s="13">
        <f>IF(H4270="","",ROW()-4)</f>
        <v/>
      </c>
      <c r="B4270" s="13">
        <f>IF(H4270="","",ROW()-4)</f>
        <v/>
      </c>
    </row>
    <row r="4271">
      <c r="A4271" s="13">
        <f>IF(H4271="","",ROW()-4)</f>
        <v/>
      </c>
      <c r="B4271" s="13">
        <f>IF(H4271="","",ROW()-4)</f>
        <v/>
      </c>
    </row>
    <row r="4272">
      <c r="A4272" s="13">
        <f>IF(H4272="","",ROW()-4)</f>
        <v/>
      </c>
      <c r="B4272" s="13">
        <f>IF(H4272="","",ROW()-4)</f>
        <v/>
      </c>
    </row>
    <row r="4273">
      <c r="A4273" s="13">
        <f>IF(H4273="","",ROW()-4)</f>
        <v/>
      </c>
      <c r="B4273" s="13">
        <f>IF(H4273="","",ROW()-4)</f>
        <v/>
      </c>
    </row>
    <row r="4274">
      <c r="A4274" s="13">
        <f>IF(H4274="","",ROW()-4)</f>
        <v/>
      </c>
      <c r="B4274" s="13">
        <f>IF(H4274="","",ROW()-4)</f>
        <v/>
      </c>
    </row>
    <row r="4275">
      <c r="A4275" s="13">
        <f>IF(H4275="","",ROW()-4)</f>
        <v/>
      </c>
      <c r="B4275" s="13">
        <f>IF(H4275="","",ROW()-4)</f>
        <v/>
      </c>
    </row>
    <row r="4276">
      <c r="A4276" s="13">
        <f>IF(H4276="","",ROW()-4)</f>
        <v/>
      </c>
      <c r="B4276" s="13">
        <f>IF(H4276="","",ROW()-4)</f>
        <v/>
      </c>
    </row>
    <row r="4277">
      <c r="A4277" s="13">
        <f>IF(H4277="","",ROW()-4)</f>
        <v/>
      </c>
      <c r="B4277" s="13">
        <f>IF(H4277="","",ROW()-4)</f>
        <v/>
      </c>
    </row>
    <row r="4278">
      <c r="A4278" s="13">
        <f>IF(H4278="","",ROW()-4)</f>
        <v/>
      </c>
      <c r="B4278" s="13">
        <f>IF(H4278="","",ROW()-4)</f>
        <v/>
      </c>
    </row>
    <row r="4279">
      <c r="A4279" s="13">
        <f>IF(H4279="","",ROW()-4)</f>
        <v/>
      </c>
      <c r="B4279" s="13">
        <f>IF(H4279="","",ROW()-4)</f>
        <v/>
      </c>
    </row>
    <row r="4280">
      <c r="A4280" s="13">
        <f>IF(H4280="","",ROW()-4)</f>
        <v/>
      </c>
      <c r="B4280" s="13">
        <f>IF(H4280="","",ROW()-4)</f>
        <v/>
      </c>
    </row>
    <row r="4281">
      <c r="A4281" s="13">
        <f>IF(H4281="","",ROW()-4)</f>
        <v/>
      </c>
      <c r="B4281" s="13">
        <f>IF(H4281="","",ROW()-4)</f>
        <v/>
      </c>
    </row>
    <row r="4282">
      <c r="A4282" s="13">
        <f>IF(H4282="","",ROW()-4)</f>
        <v/>
      </c>
      <c r="B4282" s="13">
        <f>IF(H4282="","",ROW()-4)</f>
        <v/>
      </c>
    </row>
    <row r="4283">
      <c r="A4283" s="13">
        <f>IF(H4283="","",ROW()-4)</f>
        <v/>
      </c>
      <c r="B4283" s="13">
        <f>IF(H4283="","",ROW()-4)</f>
        <v/>
      </c>
    </row>
    <row r="4284">
      <c r="A4284" s="13">
        <f>IF(H4284="","",ROW()-4)</f>
        <v/>
      </c>
      <c r="B4284" s="13">
        <f>IF(H4284="","",ROW()-4)</f>
        <v/>
      </c>
    </row>
    <row r="4285">
      <c r="A4285" s="13">
        <f>IF(H4285="","",ROW()-4)</f>
        <v/>
      </c>
      <c r="B4285" s="13">
        <f>IF(H4285="","",ROW()-4)</f>
        <v/>
      </c>
    </row>
    <row r="4286">
      <c r="A4286" s="13">
        <f>IF(H4286="","",ROW()-4)</f>
        <v/>
      </c>
      <c r="B4286" s="13">
        <f>IF(H4286="","",ROW()-4)</f>
        <v/>
      </c>
    </row>
    <row r="4287">
      <c r="A4287" s="13">
        <f>IF(H4287="","",ROW()-4)</f>
        <v/>
      </c>
      <c r="B4287" s="13">
        <f>IF(H4287="","",ROW()-4)</f>
        <v/>
      </c>
    </row>
    <row r="4288">
      <c r="A4288" s="13">
        <f>IF(H4288="","",ROW()-4)</f>
        <v/>
      </c>
      <c r="B4288" s="13">
        <f>IF(H4288="","",ROW()-4)</f>
        <v/>
      </c>
    </row>
    <row r="4289">
      <c r="A4289" s="13">
        <f>IF(H4289="","",ROW()-4)</f>
        <v/>
      </c>
      <c r="B4289" s="13">
        <f>IF(H4289="","",ROW()-4)</f>
        <v/>
      </c>
    </row>
    <row r="4290">
      <c r="A4290" s="13">
        <f>IF(H4290="","",ROW()-4)</f>
        <v/>
      </c>
      <c r="B4290" s="13">
        <f>IF(H4290="","",ROW()-4)</f>
        <v/>
      </c>
    </row>
    <row r="4291">
      <c r="A4291" s="13">
        <f>IF(H4291="","",ROW()-4)</f>
        <v/>
      </c>
      <c r="B4291" s="13">
        <f>IF(H4291="","",ROW()-4)</f>
        <v/>
      </c>
    </row>
    <row r="4292">
      <c r="A4292" s="13">
        <f>IF(H4292="","",ROW()-4)</f>
        <v/>
      </c>
      <c r="B4292" s="13">
        <f>IF(H4292="","",ROW()-4)</f>
        <v/>
      </c>
    </row>
    <row r="4293">
      <c r="A4293" s="13">
        <f>IF(H4293="","",ROW()-4)</f>
        <v/>
      </c>
      <c r="B4293" s="13">
        <f>IF(H4293="","",ROW()-4)</f>
        <v/>
      </c>
    </row>
    <row r="4294">
      <c r="A4294" s="13">
        <f>IF(H4294="","",ROW()-4)</f>
        <v/>
      </c>
      <c r="B4294" s="13">
        <f>IF(H4294="","",ROW()-4)</f>
        <v/>
      </c>
    </row>
    <row r="4295">
      <c r="A4295" s="13">
        <f>IF(H4295="","",ROW()-4)</f>
        <v/>
      </c>
      <c r="B4295" s="13">
        <f>IF(H4295="","",ROW()-4)</f>
        <v/>
      </c>
    </row>
    <row r="4296">
      <c r="A4296" s="13">
        <f>IF(H4296="","",ROW()-4)</f>
        <v/>
      </c>
      <c r="B4296" s="13">
        <f>IF(H4296="","",ROW()-4)</f>
        <v/>
      </c>
    </row>
    <row r="4297">
      <c r="A4297" s="13">
        <f>IF(H4297="","",ROW()-4)</f>
        <v/>
      </c>
      <c r="B4297" s="13">
        <f>IF(H4297="","",ROW()-4)</f>
        <v/>
      </c>
    </row>
    <row r="4298">
      <c r="A4298" s="13">
        <f>IF(H4298="","",ROW()-4)</f>
        <v/>
      </c>
      <c r="B4298" s="13">
        <f>IF(H4298="","",ROW()-4)</f>
        <v/>
      </c>
    </row>
    <row r="4299">
      <c r="A4299" s="13">
        <f>IF(H4299="","",ROW()-4)</f>
        <v/>
      </c>
      <c r="B4299" s="13">
        <f>IF(H4299="","",ROW()-4)</f>
        <v/>
      </c>
    </row>
    <row r="4300">
      <c r="A4300" s="13">
        <f>IF(H4300="","",ROW()-4)</f>
        <v/>
      </c>
      <c r="B4300" s="13">
        <f>IF(H4300="","",ROW()-4)</f>
        <v/>
      </c>
    </row>
    <row r="4301">
      <c r="A4301" s="13">
        <f>IF(H4301="","",ROW()-4)</f>
        <v/>
      </c>
      <c r="B4301" s="13">
        <f>IF(H4301="","",ROW()-4)</f>
        <v/>
      </c>
    </row>
    <row r="4302">
      <c r="A4302" s="13">
        <f>IF(H4302="","",ROW()-4)</f>
        <v/>
      </c>
      <c r="B4302" s="13">
        <f>IF(H4302="","",ROW()-4)</f>
        <v/>
      </c>
    </row>
    <row r="4303">
      <c r="A4303" s="13">
        <f>IF(H4303="","",ROW()-4)</f>
        <v/>
      </c>
      <c r="B4303" s="13">
        <f>IF(H4303="","",ROW()-4)</f>
        <v/>
      </c>
    </row>
    <row r="4304">
      <c r="A4304" s="13">
        <f>IF(H4304="","",ROW()-4)</f>
        <v/>
      </c>
      <c r="B4304" s="13">
        <f>IF(H4304="","",ROW()-4)</f>
        <v/>
      </c>
    </row>
    <row r="4305">
      <c r="A4305" s="13">
        <f>IF(H4305="","",ROW()-4)</f>
        <v/>
      </c>
      <c r="B4305" s="13">
        <f>IF(H4305="","",ROW()-4)</f>
        <v/>
      </c>
    </row>
    <row r="4306">
      <c r="A4306" s="13">
        <f>IF(H4306="","",ROW()-4)</f>
        <v/>
      </c>
      <c r="B4306" s="13">
        <f>IF(H4306="","",ROW()-4)</f>
        <v/>
      </c>
    </row>
    <row r="4307">
      <c r="A4307" s="13">
        <f>IF(H4307="","",ROW()-4)</f>
        <v/>
      </c>
      <c r="B4307" s="13">
        <f>IF(H4307="","",ROW()-4)</f>
        <v/>
      </c>
    </row>
    <row r="4308">
      <c r="A4308" s="13">
        <f>IF(H4308="","",ROW()-4)</f>
        <v/>
      </c>
      <c r="B4308" s="13">
        <f>IF(H4308="","",ROW()-4)</f>
        <v/>
      </c>
    </row>
    <row r="4309">
      <c r="A4309" s="13">
        <f>IF(H4309="","",ROW()-4)</f>
        <v/>
      </c>
      <c r="B4309" s="13">
        <f>IF(H4309="","",ROW()-4)</f>
        <v/>
      </c>
    </row>
    <row r="4310">
      <c r="A4310" s="13">
        <f>IF(H4310="","",ROW()-4)</f>
        <v/>
      </c>
      <c r="B4310" s="13">
        <f>IF(H4310="","",ROW()-4)</f>
        <v/>
      </c>
    </row>
    <row r="4311">
      <c r="A4311" s="13">
        <f>IF(H4311="","",ROW()-4)</f>
        <v/>
      </c>
      <c r="B4311" s="13">
        <f>IF(H4311="","",ROW()-4)</f>
        <v/>
      </c>
    </row>
    <row r="4312">
      <c r="A4312" s="13">
        <f>IF(H4312="","",ROW()-4)</f>
        <v/>
      </c>
      <c r="B4312" s="13">
        <f>IF(H4312="","",ROW()-4)</f>
        <v/>
      </c>
    </row>
    <row r="4313">
      <c r="A4313" s="13">
        <f>IF(H4313="","",ROW()-4)</f>
        <v/>
      </c>
      <c r="B4313" s="13">
        <f>IF(H4313="","",ROW()-4)</f>
        <v/>
      </c>
    </row>
    <row r="4314">
      <c r="A4314" s="13">
        <f>IF(H4314="","",ROW()-4)</f>
        <v/>
      </c>
      <c r="B4314" s="13">
        <f>IF(H4314="","",ROW()-4)</f>
        <v/>
      </c>
    </row>
    <row r="4315">
      <c r="A4315" s="13">
        <f>IF(H4315="","",ROW()-4)</f>
        <v/>
      </c>
      <c r="B4315" s="13">
        <f>IF(H4315="","",ROW()-4)</f>
        <v/>
      </c>
    </row>
    <row r="4316">
      <c r="A4316" s="13">
        <f>IF(H4316="","",ROW()-4)</f>
        <v/>
      </c>
      <c r="B4316" s="13">
        <f>IF(H4316="","",ROW()-4)</f>
        <v/>
      </c>
    </row>
    <row r="4317">
      <c r="A4317" s="13">
        <f>IF(H4317="","",ROW()-4)</f>
        <v/>
      </c>
      <c r="B4317" s="13">
        <f>IF(H4317="","",ROW()-4)</f>
        <v/>
      </c>
    </row>
    <row r="4318">
      <c r="A4318" s="13">
        <f>IF(H4318="","",ROW()-4)</f>
        <v/>
      </c>
      <c r="B4318" s="13">
        <f>IF(H4318="","",ROW()-4)</f>
        <v/>
      </c>
    </row>
    <row r="4319">
      <c r="A4319" s="13">
        <f>IF(H4319="","",ROW()-4)</f>
        <v/>
      </c>
      <c r="B4319" s="13">
        <f>IF(H4319="","",ROW()-4)</f>
        <v/>
      </c>
    </row>
    <row r="4320">
      <c r="A4320" s="13">
        <f>IF(H4320="","",ROW()-4)</f>
        <v/>
      </c>
      <c r="B4320" s="13">
        <f>IF(H4320="","",ROW()-4)</f>
        <v/>
      </c>
    </row>
    <row r="4321">
      <c r="A4321" s="13">
        <f>IF(H4321="","",ROW()-4)</f>
        <v/>
      </c>
      <c r="B4321" s="13">
        <f>IF(H4321="","",ROW()-4)</f>
        <v/>
      </c>
    </row>
    <row r="4322">
      <c r="A4322" s="13">
        <f>IF(H4322="","",ROW()-4)</f>
        <v/>
      </c>
      <c r="B4322" s="13">
        <f>IF(H4322="","",ROW()-4)</f>
        <v/>
      </c>
    </row>
    <row r="4323">
      <c r="A4323" s="13">
        <f>IF(H4323="","",ROW()-4)</f>
        <v/>
      </c>
      <c r="B4323" s="13">
        <f>IF(H4323="","",ROW()-4)</f>
        <v/>
      </c>
    </row>
    <row r="4324">
      <c r="A4324" s="13">
        <f>IF(H4324="","",ROW()-4)</f>
        <v/>
      </c>
      <c r="B4324" s="13">
        <f>IF(H4324="","",ROW()-4)</f>
        <v/>
      </c>
    </row>
    <row r="4325">
      <c r="A4325" s="13">
        <f>IF(H4325="","",ROW()-4)</f>
        <v/>
      </c>
      <c r="B4325" s="13">
        <f>IF(H4325="","",ROW()-4)</f>
        <v/>
      </c>
    </row>
    <row r="4326">
      <c r="A4326" s="13">
        <f>IF(H4326="","",ROW()-4)</f>
        <v/>
      </c>
      <c r="B4326" s="13">
        <f>IF(H4326="","",ROW()-4)</f>
        <v/>
      </c>
    </row>
    <row r="4327">
      <c r="A4327" s="13">
        <f>IF(H4327="","",ROW()-4)</f>
        <v/>
      </c>
      <c r="B4327" s="13">
        <f>IF(H4327="","",ROW()-4)</f>
        <v/>
      </c>
    </row>
    <row r="4328">
      <c r="A4328" s="13">
        <f>IF(H4328="","",ROW()-4)</f>
        <v/>
      </c>
      <c r="B4328" s="13">
        <f>IF(H4328="","",ROW()-4)</f>
        <v/>
      </c>
    </row>
    <row r="4329">
      <c r="A4329" s="13">
        <f>IF(H4329="","",ROW()-4)</f>
        <v/>
      </c>
      <c r="B4329" s="13">
        <f>IF(H4329="","",ROW()-4)</f>
        <v/>
      </c>
    </row>
    <row r="4330">
      <c r="A4330" s="13">
        <f>IF(H4330="","",ROW()-4)</f>
        <v/>
      </c>
      <c r="B4330" s="13">
        <f>IF(H4330="","",ROW()-4)</f>
        <v/>
      </c>
    </row>
    <row r="4331">
      <c r="A4331" s="13">
        <f>IF(H4331="","",ROW()-4)</f>
        <v/>
      </c>
      <c r="B4331" s="13">
        <f>IF(H4331="","",ROW()-4)</f>
        <v/>
      </c>
    </row>
    <row r="4332">
      <c r="A4332" s="13">
        <f>IF(H4332="","",ROW()-4)</f>
        <v/>
      </c>
      <c r="B4332" s="13">
        <f>IF(H4332="","",ROW()-4)</f>
        <v/>
      </c>
    </row>
    <row r="4333">
      <c r="A4333" s="13">
        <f>IF(H4333="","",ROW()-4)</f>
        <v/>
      </c>
      <c r="B4333" s="13">
        <f>IF(H4333="","",ROW()-4)</f>
        <v/>
      </c>
    </row>
    <row r="4334">
      <c r="A4334" s="13">
        <f>IF(H4334="","",ROW()-4)</f>
        <v/>
      </c>
      <c r="B4334" s="13">
        <f>IF(H4334="","",ROW()-4)</f>
        <v/>
      </c>
    </row>
    <row r="4335">
      <c r="A4335" s="13">
        <f>IF(H4335="","",ROW()-4)</f>
        <v/>
      </c>
      <c r="B4335" s="13">
        <f>IF(H4335="","",ROW()-4)</f>
        <v/>
      </c>
    </row>
    <row r="4336">
      <c r="A4336" s="13">
        <f>IF(H4336="","",ROW()-4)</f>
        <v/>
      </c>
      <c r="B4336" s="13">
        <f>IF(H4336="","",ROW()-4)</f>
        <v/>
      </c>
    </row>
    <row r="4337">
      <c r="A4337" s="13">
        <f>IF(H4337="","",ROW()-4)</f>
        <v/>
      </c>
      <c r="B4337" s="13">
        <f>IF(H4337="","",ROW()-4)</f>
        <v/>
      </c>
    </row>
    <row r="4338">
      <c r="A4338" s="13">
        <f>IF(H4338="","",ROW()-4)</f>
        <v/>
      </c>
      <c r="B4338" s="13">
        <f>IF(H4338="","",ROW()-4)</f>
        <v/>
      </c>
    </row>
    <row r="4339">
      <c r="A4339" s="13">
        <f>IF(H4339="","",ROW()-4)</f>
        <v/>
      </c>
      <c r="B4339" s="13">
        <f>IF(H4339="","",ROW()-4)</f>
        <v/>
      </c>
    </row>
    <row r="4340">
      <c r="A4340" s="13">
        <f>IF(H4340="","",ROW()-4)</f>
        <v/>
      </c>
      <c r="B4340" s="13">
        <f>IF(H4340="","",ROW()-4)</f>
        <v/>
      </c>
    </row>
    <row r="4341">
      <c r="A4341" s="13">
        <f>IF(H4341="","",ROW()-4)</f>
        <v/>
      </c>
      <c r="B4341" s="13">
        <f>IF(H4341="","",ROW()-4)</f>
        <v/>
      </c>
    </row>
    <row r="4342">
      <c r="A4342" s="13">
        <f>IF(H4342="","",ROW()-4)</f>
        <v/>
      </c>
      <c r="B4342" s="13">
        <f>IF(H4342="","",ROW()-4)</f>
        <v/>
      </c>
    </row>
    <row r="4343">
      <c r="A4343" s="13">
        <f>IF(H4343="","",ROW()-4)</f>
        <v/>
      </c>
      <c r="B4343" s="13">
        <f>IF(H4343="","",ROW()-4)</f>
        <v/>
      </c>
    </row>
    <row r="4344">
      <c r="A4344" s="13">
        <f>IF(H4344="","",ROW()-4)</f>
        <v/>
      </c>
      <c r="B4344" s="13">
        <f>IF(H4344="","",ROW()-4)</f>
        <v/>
      </c>
    </row>
    <row r="4345">
      <c r="A4345" s="13">
        <f>IF(H4345="","",ROW()-4)</f>
        <v/>
      </c>
      <c r="B4345" s="13">
        <f>IF(H4345="","",ROW()-4)</f>
        <v/>
      </c>
    </row>
    <row r="4346">
      <c r="A4346" s="13">
        <f>IF(H4346="","",ROW()-4)</f>
        <v/>
      </c>
      <c r="B4346" s="13">
        <f>IF(H4346="","",ROW()-4)</f>
        <v/>
      </c>
    </row>
    <row r="4347">
      <c r="A4347" s="13">
        <f>IF(H4347="","",ROW()-4)</f>
        <v/>
      </c>
      <c r="B4347" s="13">
        <f>IF(H4347="","",ROW()-4)</f>
        <v/>
      </c>
    </row>
    <row r="4348">
      <c r="A4348" s="13">
        <f>IF(H4348="","",ROW()-4)</f>
        <v/>
      </c>
      <c r="B4348" s="13">
        <f>IF(H4348="","",ROW()-4)</f>
        <v/>
      </c>
    </row>
    <row r="4349">
      <c r="A4349" s="13">
        <f>IF(H4349="","",ROW()-4)</f>
        <v/>
      </c>
      <c r="B4349" s="13">
        <f>IF(H4349="","",ROW()-4)</f>
        <v/>
      </c>
    </row>
    <row r="4350">
      <c r="A4350" s="13">
        <f>IF(H4350="","",ROW()-4)</f>
        <v/>
      </c>
      <c r="B4350" s="13">
        <f>IF(H4350="","",ROW()-4)</f>
        <v/>
      </c>
    </row>
    <row r="4351">
      <c r="A4351" s="13">
        <f>IF(H4351="","",ROW()-4)</f>
        <v/>
      </c>
      <c r="B4351" s="13">
        <f>IF(H4351="","",ROW()-4)</f>
        <v/>
      </c>
    </row>
    <row r="4352">
      <c r="A4352" s="13">
        <f>IF(H4352="","",ROW()-4)</f>
        <v/>
      </c>
      <c r="B4352" s="13">
        <f>IF(H4352="","",ROW()-4)</f>
        <v/>
      </c>
    </row>
    <row r="4353">
      <c r="A4353" s="13">
        <f>IF(H4353="","",ROW()-4)</f>
        <v/>
      </c>
      <c r="B4353" s="13">
        <f>IF(H4353="","",ROW()-4)</f>
        <v/>
      </c>
    </row>
    <row r="4354">
      <c r="A4354" s="13">
        <f>IF(H4354="","",ROW()-4)</f>
        <v/>
      </c>
      <c r="B4354" s="13">
        <f>IF(H4354="","",ROW()-4)</f>
        <v/>
      </c>
    </row>
    <row r="4355">
      <c r="A4355" s="13">
        <f>IF(H4355="","",ROW()-4)</f>
        <v/>
      </c>
      <c r="B4355" s="13">
        <f>IF(H4355="","",ROW()-4)</f>
        <v/>
      </c>
    </row>
    <row r="4356">
      <c r="A4356" s="13">
        <f>IF(H4356="","",ROW()-4)</f>
        <v/>
      </c>
      <c r="B4356" s="13">
        <f>IF(H4356="","",ROW()-4)</f>
        <v/>
      </c>
    </row>
    <row r="4357">
      <c r="A4357" s="13">
        <f>IF(H4357="","",ROW()-4)</f>
        <v/>
      </c>
      <c r="B4357" s="13">
        <f>IF(H4357="","",ROW()-4)</f>
        <v/>
      </c>
    </row>
    <row r="4358">
      <c r="A4358" s="13">
        <f>IF(H4358="","",ROW()-4)</f>
        <v/>
      </c>
      <c r="B4358" s="13">
        <f>IF(H4358="","",ROW()-4)</f>
        <v/>
      </c>
    </row>
    <row r="4359">
      <c r="A4359" s="13">
        <f>IF(H4359="","",ROW()-4)</f>
        <v/>
      </c>
      <c r="B4359" s="13">
        <f>IF(H4359="","",ROW()-4)</f>
        <v/>
      </c>
    </row>
    <row r="4360">
      <c r="A4360" s="13">
        <f>IF(H4360="","",ROW()-4)</f>
        <v/>
      </c>
      <c r="B4360" s="13">
        <f>IF(H4360="","",ROW()-4)</f>
        <v/>
      </c>
    </row>
    <row r="4361">
      <c r="A4361" s="13">
        <f>IF(H4361="","",ROW()-4)</f>
        <v/>
      </c>
      <c r="B4361" s="13">
        <f>IF(H4361="","",ROW()-4)</f>
        <v/>
      </c>
    </row>
    <row r="4362">
      <c r="A4362" s="13">
        <f>IF(H4362="","",ROW()-4)</f>
        <v/>
      </c>
      <c r="B4362" s="13">
        <f>IF(H4362="","",ROW()-4)</f>
        <v/>
      </c>
    </row>
    <row r="4363">
      <c r="A4363" s="13">
        <f>IF(H4363="","",ROW()-4)</f>
        <v/>
      </c>
      <c r="B4363" s="13">
        <f>IF(H4363="","",ROW()-4)</f>
        <v/>
      </c>
    </row>
    <row r="4364">
      <c r="A4364" s="13">
        <f>IF(H4364="","",ROW()-4)</f>
        <v/>
      </c>
      <c r="B4364" s="13">
        <f>IF(H4364="","",ROW()-4)</f>
        <v/>
      </c>
    </row>
    <row r="4365">
      <c r="A4365" s="13">
        <f>IF(H4365="","",ROW()-4)</f>
        <v/>
      </c>
      <c r="B4365" s="13">
        <f>IF(H4365="","",ROW()-4)</f>
        <v/>
      </c>
    </row>
    <row r="4366">
      <c r="A4366" s="13">
        <f>IF(H4366="","",ROW()-4)</f>
        <v/>
      </c>
      <c r="B4366" s="13">
        <f>IF(H4366="","",ROW()-4)</f>
        <v/>
      </c>
    </row>
    <row r="4367">
      <c r="A4367" s="13">
        <f>IF(H4367="","",ROW()-4)</f>
        <v/>
      </c>
      <c r="B4367" s="13">
        <f>IF(H4367="","",ROW()-4)</f>
        <v/>
      </c>
    </row>
    <row r="4368">
      <c r="A4368" s="13">
        <f>IF(H4368="","",ROW()-4)</f>
        <v/>
      </c>
      <c r="B4368" s="13">
        <f>IF(H4368="","",ROW()-4)</f>
        <v/>
      </c>
    </row>
    <row r="4369">
      <c r="A4369" s="13">
        <f>IF(H4369="","",ROW()-4)</f>
        <v/>
      </c>
      <c r="B4369" s="13">
        <f>IF(H4369="","",ROW()-4)</f>
        <v/>
      </c>
    </row>
    <row r="4370">
      <c r="A4370" s="13">
        <f>IF(H4370="","",ROW()-4)</f>
        <v/>
      </c>
      <c r="B4370" s="13">
        <f>IF(H4370="","",ROW()-4)</f>
        <v/>
      </c>
    </row>
    <row r="4371">
      <c r="A4371" s="13">
        <f>IF(H4371="","",ROW()-4)</f>
        <v/>
      </c>
      <c r="B4371" s="13">
        <f>IF(H4371="","",ROW()-4)</f>
        <v/>
      </c>
    </row>
    <row r="4372">
      <c r="A4372" s="13">
        <f>IF(H4372="","",ROW()-4)</f>
        <v/>
      </c>
      <c r="B4372" s="13">
        <f>IF(H4372="","",ROW()-4)</f>
        <v/>
      </c>
    </row>
    <row r="4373">
      <c r="A4373" s="13">
        <f>IF(H4373="","",ROW()-4)</f>
        <v/>
      </c>
      <c r="B4373" s="13">
        <f>IF(H4373="","",ROW()-4)</f>
        <v/>
      </c>
    </row>
    <row r="4374">
      <c r="A4374" s="13">
        <f>IF(H4374="","",ROW()-4)</f>
        <v/>
      </c>
      <c r="B4374" s="13">
        <f>IF(H4374="","",ROW()-4)</f>
        <v/>
      </c>
    </row>
    <row r="4375">
      <c r="A4375" s="13">
        <f>IF(H4375="","",ROW()-4)</f>
        <v/>
      </c>
      <c r="B4375" s="13">
        <f>IF(H4375="","",ROW()-4)</f>
        <v/>
      </c>
    </row>
    <row r="4376">
      <c r="A4376" s="13">
        <f>IF(H4376="","",ROW()-4)</f>
        <v/>
      </c>
      <c r="B4376" s="13">
        <f>IF(H4376="","",ROW()-4)</f>
        <v/>
      </c>
    </row>
    <row r="4377">
      <c r="A4377" s="13">
        <f>IF(H4377="","",ROW()-4)</f>
        <v/>
      </c>
      <c r="B4377" s="13">
        <f>IF(H4377="","",ROW()-4)</f>
        <v/>
      </c>
    </row>
    <row r="4378">
      <c r="A4378" s="13">
        <f>IF(H4378="","",ROW()-4)</f>
        <v/>
      </c>
      <c r="B4378" s="13">
        <f>IF(H4378="","",ROW()-4)</f>
        <v/>
      </c>
    </row>
    <row r="4379">
      <c r="A4379" s="13">
        <f>IF(H4379="","",ROW()-4)</f>
        <v/>
      </c>
      <c r="B4379" s="13">
        <f>IF(H4379="","",ROW()-4)</f>
        <v/>
      </c>
    </row>
    <row r="4380">
      <c r="A4380" s="13">
        <f>IF(H4380="","",ROW()-4)</f>
        <v/>
      </c>
      <c r="B4380" s="13">
        <f>IF(H4380="","",ROW()-4)</f>
        <v/>
      </c>
    </row>
    <row r="4381">
      <c r="A4381" s="13">
        <f>IF(H4381="","",ROW()-4)</f>
        <v/>
      </c>
      <c r="B4381" s="13">
        <f>IF(H4381="","",ROW()-4)</f>
        <v/>
      </c>
    </row>
    <row r="4382">
      <c r="A4382" s="13">
        <f>IF(H4382="","",ROW()-4)</f>
        <v/>
      </c>
      <c r="B4382" s="13">
        <f>IF(H4382="","",ROW()-4)</f>
        <v/>
      </c>
    </row>
    <row r="4383">
      <c r="A4383" s="13">
        <f>IF(H4383="","",ROW()-4)</f>
        <v/>
      </c>
      <c r="B4383" s="13">
        <f>IF(H4383="","",ROW()-4)</f>
        <v/>
      </c>
    </row>
    <row r="4384">
      <c r="A4384" s="13">
        <f>IF(H4384="","",ROW()-4)</f>
        <v/>
      </c>
      <c r="B4384" s="13">
        <f>IF(H4384="","",ROW()-4)</f>
        <v/>
      </c>
    </row>
    <row r="4385">
      <c r="A4385" s="13">
        <f>IF(H4385="","",ROW()-4)</f>
        <v/>
      </c>
      <c r="B4385" s="13">
        <f>IF(H4385="","",ROW()-4)</f>
        <v/>
      </c>
    </row>
    <row r="4386">
      <c r="A4386" s="13">
        <f>IF(H4386="","",ROW()-4)</f>
        <v/>
      </c>
      <c r="B4386" s="13">
        <f>IF(H4386="","",ROW()-4)</f>
        <v/>
      </c>
    </row>
    <row r="4387">
      <c r="A4387" s="13">
        <f>IF(H4387="","",ROW()-4)</f>
        <v/>
      </c>
      <c r="B4387" s="13">
        <f>IF(H4387="","",ROW()-4)</f>
        <v/>
      </c>
    </row>
    <row r="4388">
      <c r="A4388" s="13">
        <f>IF(H4388="","",ROW()-4)</f>
        <v/>
      </c>
      <c r="B4388" s="13">
        <f>IF(H4388="","",ROW()-4)</f>
        <v/>
      </c>
    </row>
    <row r="4389">
      <c r="A4389" s="13">
        <f>IF(H4389="","",ROW()-4)</f>
        <v/>
      </c>
      <c r="B4389" s="13">
        <f>IF(H4389="","",ROW()-4)</f>
        <v/>
      </c>
    </row>
    <row r="4390">
      <c r="A4390" s="13">
        <f>IF(H4390="","",ROW()-4)</f>
        <v/>
      </c>
      <c r="B4390" s="13">
        <f>IF(H4390="","",ROW()-4)</f>
        <v/>
      </c>
    </row>
    <row r="4391">
      <c r="A4391" s="13">
        <f>IF(H4391="","",ROW()-4)</f>
        <v/>
      </c>
      <c r="B4391" s="13">
        <f>IF(H4391="","",ROW()-4)</f>
        <v/>
      </c>
    </row>
    <row r="4392">
      <c r="A4392" s="13">
        <f>IF(H4392="","",ROW()-4)</f>
        <v/>
      </c>
      <c r="B4392" s="13">
        <f>IF(H4392="","",ROW()-4)</f>
        <v/>
      </c>
    </row>
    <row r="4393">
      <c r="A4393" s="13">
        <f>IF(H4393="","",ROW()-4)</f>
        <v/>
      </c>
      <c r="B4393" s="13">
        <f>IF(H4393="","",ROW()-4)</f>
        <v/>
      </c>
    </row>
    <row r="4394">
      <c r="A4394" s="13">
        <f>IF(H4394="","",ROW()-4)</f>
        <v/>
      </c>
      <c r="B4394" s="13">
        <f>IF(H4394="","",ROW()-4)</f>
        <v/>
      </c>
    </row>
    <row r="4395">
      <c r="A4395" s="13">
        <f>IF(H4395="","",ROW()-4)</f>
        <v/>
      </c>
      <c r="B4395" s="13">
        <f>IF(H4395="","",ROW()-4)</f>
        <v/>
      </c>
    </row>
    <row r="4396">
      <c r="A4396" s="13">
        <f>IF(H4396="","",ROW()-4)</f>
        <v/>
      </c>
      <c r="B4396" s="13">
        <f>IF(H4396="","",ROW()-4)</f>
        <v/>
      </c>
    </row>
    <row r="4397">
      <c r="A4397" s="13">
        <f>IF(H4397="","",ROW()-4)</f>
        <v/>
      </c>
      <c r="B4397" s="13">
        <f>IF(H4397="","",ROW()-4)</f>
        <v/>
      </c>
    </row>
    <row r="4398">
      <c r="A4398" s="13">
        <f>IF(H4398="","",ROW()-4)</f>
        <v/>
      </c>
      <c r="B4398" s="13">
        <f>IF(H4398="","",ROW()-4)</f>
        <v/>
      </c>
    </row>
    <row r="4399">
      <c r="A4399" s="13">
        <f>IF(H4399="","",ROW()-4)</f>
        <v/>
      </c>
      <c r="B4399" s="13">
        <f>IF(H4399="","",ROW()-4)</f>
        <v/>
      </c>
    </row>
    <row r="4400">
      <c r="A4400" s="13">
        <f>IF(H4400="","",ROW()-4)</f>
        <v/>
      </c>
      <c r="B4400" s="13">
        <f>IF(H4400="","",ROW()-4)</f>
        <v/>
      </c>
    </row>
    <row r="4401">
      <c r="A4401" s="13">
        <f>IF(H4401="","",ROW()-4)</f>
        <v/>
      </c>
      <c r="B4401" s="13">
        <f>IF(H4401="","",ROW()-4)</f>
        <v/>
      </c>
    </row>
    <row r="4402">
      <c r="A4402" s="13">
        <f>IF(H4402="","",ROW()-4)</f>
        <v/>
      </c>
      <c r="B4402" s="13">
        <f>IF(H4402="","",ROW()-4)</f>
        <v/>
      </c>
    </row>
    <row r="4403">
      <c r="A4403" s="13">
        <f>IF(H4403="","",ROW()-4)</f>
        <v/>
      </c>
      <c r="B4403" s="13">
        <f>IF(H4403="","",ROW()-4)</f>
        <v/>
      </c>
    </row>
    <row r="4404">
      <c r="A4404" s="13">
        <f>IF(H4404="","",ROW()-4)</f>
        <v/>
      </c>
      <c r="B4404" s="13">
        <f>IF(H4404="","",ROW()-4)</f>
        <v/>
      </c>
    </row>
    <row r="4405">
      <c r="A4405" s="13">
        <f>IF(H4405="","",ROW()-4)</f>
        <v/>
      </c>
      <c r="B4405" s="13">
        <f>IF(H4405="","",ROW()-4)</f>
        <v/>
      </c>
    </row>
    <row r="4406">
      <c r="A4406" s="13">
        <f>IF(H4406="","",ROW()-4)</f>
        <v/>
      </c>
      <c r="B4406" s="13">
        <f>IF(H4406="","",ROW()-4)</f>
        <v/>
      </c>
    </row>
    <row r="4407">
      <c r="A4407" s="13">
        <f>IF(H4407="","",ROW()-4)</f>
        <v/>
      </c>
      <c r="B4407" s="13">
        <f>IF(H4407="","",ROW()-4)</f>
        <v/>
      </c>
    </row>
    <row r="4408">
      <c r="A4408" s="13">
        <f>IF(H4408="","",ROW()-4)</f>
        <v/>
      </c>
      <c r="B4408" s="13">
        <f>IF(H4408="","",ROW()-4)</f>
        <v/>
      </c>
    </row>
    <row r="4409">
      <c r="A4409" s="13">
        <f>IF(H4409="","",ROW()-4)</f>
        <v/>
      </c>
      <c r="B4409" s="13">
        <f>IF(H4409="","",ROW()-4)</f>
        <v/>
      </c>
    </row>
    <row r="4410">
      <c r="A4410" s="13">
        <f>IF(H4410="","",ROW()-4)</f>
        <v/>
      </c>
      <c r="B4410" s="13">
        <f>IF(H4410="","",ROW()-4)</f>
        <v/>
      </c>
    </row>
    <row r="4411">
      <c r="A4411" s="13">
        <f>IF(H4411="","",ROW()-4)</f>
        <v/>
      </c>
      <c r="B4411" s="13">
        <f>IF(H4411="","",ROW()-4)</f>
        <v/>
      </c>
    </row>
    <row r="4412">
      <c r="A4412" s="13">
        <f>IF(H4412="","",ROW()-4)</f>
        <v/>
      </c>
      <c r="B4412" s="13">
        <f>IF(H4412="","",ROW()-4)</f>
        <v/>
      </c>
    </row>
    <row r="4413">
      <c r="A4413" s="13">
        <f>IF(H4413="","",ROW()-4)</f>
        <v/>
      </c>
      <c r="B4413" s="13">
        <f>IF(H4413="","",ROW()-4)</f>
        <v/>
      </c>
    </row>
    <row r="4414">
      <c r="A4414" s="13">
        <f>IF(H4414="","",ROW()-4)</f>
        <v/>
      </c>
      <c r="B4414" s="13">
        <f>IF(H4414="","",ROW()-4)</f>
        <v/>
      </c>
    </row>
    <row r="4415">
      <c r="A4415" s="13">
        <f>IF(H4415="","",ROW()-4)</f>
        <v/>
      </c>
      <c r="B4415" s="13">
        <f>IF(H4415="","",ROW()-4)</f>
        <v/>
      </c>
    </row>
    <row r="4416">
      <c r="A4416" s="13">
        <f>IF(H4416="","",ROW()-4)</f>
        <v/>
      </c>
      <c r="B4416" s="13">
        <f>IF(H4416="","",ROW()-4)</f>
        <v/>
      </c>
    </row>
    <row r="4417">
      <c r="A4417" s="13">
        <f>IF(H4417="","",ROW()-4)</f>
        <v/>
      </c>
      <c r="B4417" s="13">
        <f>IF(H4417="","",ROW()-4)</f>
        <v/>
      </c>
    </row>
    <row r="4418">
      <c r="A4418" s="13">
        <f>IF(H4418="","",ROW()-4)</f>
        <v/>
      </c>
      <c r="B4418" s="13">
        <f>IF(H4418="","",ROW()-4)</f>
        <v/>
      </c>
    </row>
    <row r="4419">
      <c r="A4419" s="13">
        <f>IF(H4419="","",ROW()-4)</f>
        <v/>
      </c>
      <c r="B4419" s="13">
        <f>IF(H4419="","",ROW()-4)</f>
        <v/>
      </c>
    </row>
    <row r="4420">
      <c r="A4420" s="13">
        <f>IF(H4420="","",ROW()-4)</f>
        <v/>
      </c>
      <c r="B4420" s="13">
        <f>IF(H4420="","",ROW()-4)</f>
        <v/>
      </c>
    </row>
    <row r="4421">
      <c r="A4421" s="13">
        <f>IF(H4421="","",ROW()-4)</f>
        <v/>
      </c>
      <c r="B4421" s="13">
        <f>IF(H4421="","",ROW()-4)</f>
        <v/>
      </c>
    </row>
    <row r="4422">
      <c r="A4422" s="13">
        <f>IF(H4422="","",ROW()-4)</f>
        <v/>
      </c>
      <c r="B4422" s="13">
        <f>IF(H4422="","",ROW()-4)</f>
        <v/>
      </c>
    </row>
    <row r="4423">
      <c r="A4423" s="13">
        <f>IF(H4423="","",ROW()-4)</f>
        <v/>
      </c>
      <c r="B4423" s="13">
        <f>IF(H4423="","",ROW()-4)</f>
        <v/>
      </c>
    </row>
    <row r="4424">
      <c r="A4424" s="13">
        <f>IF(H4424="","",ROW()-4)</f>
        <v/>
      </c>
      <c r="B4424" s="13">
        <f>IF(H4424="","",ROW()-4)</f>
        <v/>
      </c>
    </row>
    <row r="4425">
      <c r="A4425" s="13">
        <f>IF(H4425="","",ROW()-4)</f>
        <v/>
      </c>
      <c r="B4425" s="13">
        <f>IF(H4425="","",ROW()-4)</f>
        <v/>
      </c>
    </row>
    <row r="4426">
      <c r="A4426" s="13">
        <f>IF(H4426="","",ROW()-4)</f>
        <v/>
      </c>
      <c r="B4426" s="13">
        <f>IF(H4426="","",ROW()-4)</f>
        <v/>
      </c>
    </row>
    <row r="4427">
      <c r="A4427" s="13">
        <f>IF(H4427="","",ROW()-4)</f>
        <v/>
      </c>
      <c r="B4427" s="13">
        <f>IF(H4427="","",ROW()-4)</f>
        <v/>
      </c>
    </row>
    <row r="4428">
      <c r="A4428" s="13">
        <f>IF(H4428="","",ROW()-4)</f>
        <v/>
      </c>
      <c r="B4428" s="13">
        <f>IF(H4428="","",ROW()-4)</f>
        <v/>
      </c>
    </row>
    <row r="4429">
      <c r="A4429" s="13">
        <f>IF(H4429="","",ROW()-4)</f>
        <v/>
      </c>
      <c r="B4429" s="13">
        <f>IF(H4429="","",ROW()-4)</f>
        <v/>
      </c>
    </row>
    <row r="4430">
      <c r="A4430" s="13">
        <f>IF(H4430="","",ROW()-4)</f>
        <v/>
      </c>
      <c r="B4430" s="13">
        <f>IF(H4430="","",ROW()-4)</f>
        <v/>
      </c>
    </row>
    <row r="4431">
      <c r="A4431" s="13">
        <f>IF(H4431="","",ROW()-4)</f>
        <v/>
      </c>
      <c r="B4431" s="13">
        <f>IF(H4431="","",ROW()-4)</f>
        <v/>
      </c>
    </row>
    <row r="4432">
      <c r="A4432" s="13">
        <f>IF(H4432="","",ROW()-4)</f>
        <v/>
      </c>
      <c r="B4432" s="13">
        <f>IF(H4432="","",ROW()-4)</f>
        <v/>
      </c>
    </row>
    <row r="4433">
      <c r="A4433" s="13">
        <f>IF(H4433="","",ROW()-4)</f>
        <v/>
      </c>
      <c r="B4433" s="13">
        <f>IF(H4433="","",ROW()-4)</f>
        <v/>
      </c>
    </row>
    <row r="4434">
      <c r="A4434" s="13">
        <f>IF(H4434="","",ROW()-4)</f>
        <v/>
      </c>
      <c r="B4434" s="13">
        <f>IF(H4434="","",ROW()-4)</f>
        <v/>
      </c>
    </row>
    <row r="4435">
      <c r="A4435" s="13">
        <f>IF(H4435="","",ROW()-4)</f>
        <v/>
      </c>
      <c r="B4435" s="13">
        <f>IF(H4435="","",ROW()-4)</f>
        <v/>
      </c>
    </row>
    <row r="4436">
      <c r="A4436" s="13">
        <f>IF(H4436="","",ROW()-4)</f>
        <v/>
      </c>
      <c r="B4436" s="13">
        <f>IF(H4436="","",ROW()-4)</f>
        <v/>
      </c>
    </row>
    <row r="4437">
      <c r="A4437" s="13">
        <f>IF(H4437="","",ROW()-4)</f>
        <v/>
      </c>
      <c r="B4437" s="13">
        <f>IF(H4437="","",ROW()-4)</f>
        <v/>
      </c>
    </row>
    <row r="4438">
      <c r="A4438" s="13">
        <f>IF(H4438="","",ROW()-4)</f>
        <v/>
      </c>
      <c r="B4438" s="13">
        <f>IF(H4438="","",ROW()-4)</f>
        <v/>
      </c>
    </row>
    <row r="4439">
      <c r="A4439" s="13">
        <f>IF(H4439="","",ROW()-4)</f>
        <v/>
      </c>
      <c r="B4439" s="13">
        <f>IF(H4439="","",ROW()-4)</f>
        <v/>
      </c>
    </row>
    <row r="4440">
      <c r="A4440" s="13">
        <f>IF(H4440="","",ROW()-4)</f>
        <v/>
      </c>
      <c r="B4440" s="13">
        <f>IF(H4440="","",ROW()-4)</f>
        <v/>
      </c>
    </row>
    <row r="4441">
      <c r="A4441" s="13">
        <f>IF(H4441="","",ROW()-4)</f>
        <v/>
      </c>
      <c r="B4441" s="13">
        <f>IF(H4441="","",ROW()-4)</f>
        <v/>
      </c>
    </row>
    <row r="4442">
      <c r="A4442" s="13">
        <f>IF(H4442="","",ROW()-4)</f>
        <v/>
      </c>
      <c r="B4442" s="13">
        <f>IF(H4442="","",ROW()-4)</f>
        <v/>
      </c>
    </row>
    <row r="4443">
      <c r="A4443" s="13">
        <f>IF(H4443="","",ROW()-4)</f>
        <v/>
      </c>
      <c r="B4443" s="13">
        <f>IF(H4443="","",ROW()-4)</f>
        <v/>
      </c>
    </row>
    <row r="4444">
      <c r="A4444" s="13">
        <f>IF(H4444="","",ROW()-4)</f>
        <v/>
      </c>
      <c r="B4444" s="13">
        <f>IF(H4444="","",ROW()-4)</f>
        <v/>
      </c>
    </row>
    <row r="4445">
      <c r="A4445" s="13">
        <f>IF(H4445="","",ROW()-4)</f>
        <v/>
      </c>
      <c r="B4445" s="13">
        <f>IF(H4445="","",ROW()-4)</f>
        <v/>
      </c>
    </row>
    <row r="4446">
      <c r="A4446" s="13">
        <f>IF(H4446="","",ROW()-4)</f>
        <v/>
      </c>
      <c r="B4446" s="13">
        <f>IF(H4446="","",ROW()-4)</f>
        <v/>
      </c>
    </row>
    <row r="4447">
      <c r="A4447" s="13">
        <f>IF(H4447="","",ROW()-4)</f>
        <v/>
      </c>
      <c r="B4447" s="13">
        <f>IF(H4447="","",ROW()-4)</f>
        <v/>
      </c>
    </row>
    <row r="4448">
      <c r="A4448" s="13">
        <f>IF(H4448="","",ROW()-4)</f>
        <v/>
      </c>
      <c r="B4448" s="13">
        <f>IF(H4448="","",ROW()-4)</f>
        <v/>
      </c>
    </row>
    <row r="4449">
      <c r="A4449" s="13">
        <f>IF(H4449="","",ROW()-4)</f>
        <v/>
      </c>
      <c r="B4449" s="13">
        <f>IF(H4449="","",ROW()-4)</f>
        <v/>
      </c>
    </row>
    <row r="4450">
      <c r="A4450" s="13">
        <f>IF(H4450="","",ROW()-4)</f>
        <v/>
      </c>
      <c r="B4450" s="13">
        <f>IF(H4450="","",ROW()-4)</f>
        <v/>
      </c>
    </row>
    <row r="4451">
      <c r="A4451" s="13">
        <f>IF(H4451="","",ROW()-4)</f>
        <v/>
      </c>
      <c r="B4451" s="13">
        <f>IF(H4451="","",ROW()-4)</f>
        <v/>
      </c>
    </row>
    <row r="4452">
      <c r="A4452" s="13">
        <f>IF(H4452="","",ROW()-4)</f>
        <v/>
      </c>
      <c r="B4452" s="13">
        <f>IF(H4452="","",ROW()-4)</f>
        <v/>
      </c>
    </row>
    <row r="4453">
      <c r="A4453" s="13">
        <f>IF(H4453="","",ROW()-4)</f>
        <v/>
      </c>
      <c r="B4453" s="13">
        <f>IF(H4453="","",ROW()-4)</f>
        <v/>
      </c>
    </row>
    <row r="4454">
      <c r="A4454" s="13">
        <f>IF(H4454="","",ROW()-4)</f>
        <v/>
      </c>
      <c r="B4454" s="13">
        <f>IF(H4454="","",ROW()-4)</f>
        <v/>
      </c>
    </row>
    <row r="4455">
      <c r="A4455" s="13">
        <f>IF(H4455="","",ROW()-4)</f>
        <v/>
      </c>
      <c r="B4455" s="13">
        <f>IF(H4455="","",ROW()-4)</f>
        <v/>
      </c>
    </row>
    <row r="4456">
      <c r="A4456" s="13">
        <f>IF(H4456="","",ROW()-4)</f>
        <v/>
      </c>
      <c r="B4456" s="13">
        <f>IF(H4456="","",ROW()-4)</f>
        <v/>
      </c>
    </row>
    <row r="4457">
      <c r="A4457" s="13">
        <f>IF(H4457="","",ROW()-4)</f>
        <v/>
      </c>
      <c r="B4457" s="13">
        <f>IF(H4457="","",ROW()-4)</f>
        <v/>
      </c>
    </row>
    <row r="4458">
      <c r="A4458" s="13">
        <f>IF(H4458="","",ROW()-4)</f>
        <v/>
      </c>
      <c r="B4458" s="13">
        <f>IF(H4458="","",ROW()-4)</f>
        <v/>
      </c>
    </row>
    <row r="4459">
      <c r="A4459" s="13">
        <f>IF(H4459="","",ROW()-4)</f>
        <v/>
      </c>
      <c r="B4459" s="13">
        <f>IF(H4459="","",ROW()-4)</f>
        <v/>
      </c>
    </row>
    <row r="4460">
      <c r="A4460" s="13">
        <f>IF(H4460="","",ROW()-4)</f>
        <v/>
      </c>
      <c r="B4460" s="13">
        <f>IF(H4460="","",ROW()-4)</f>
        <v/>
      </c>
    </row>
    <row r="4461">
      <c r="A4461" s="13">
        <f>IF(H4461="","",ROW()-4)</f>
        <v/>
      </c>
      <c r="B4461" s="13">
        <f>IF(H4461="","",ROW()-4)</f>
        <v/>
      </c>
    </row>
    <row r="4462">
      <c r="A4462" s="13">
        <f>IF(H4462="","",ROW()-4)</f>
        <v/>
      </c>
      <c r="B4462" s="13">
        <f>IF(H4462="","",ROW()-4)</f>
        <v/>
      </c>
    </row>
    <row r="4463">
      <c r="A4463" s="13">
        <f>IF(H4463="","",ROW()-4)</f>
        <v/>
      </c>
      <c r="B4463" s="13">
        <f>IF(H4463="","",ROW()-4)</f>
        <v/>
      </c>
    </row>
    <row r="4464">
      <c r="A4464" s="13">
        <f>IF(H4464="","",ROW()-4)</f>
        <v/>
      </c>
      <c r="B4464" s="13">
        <f>IF(H4464="","",ROW()-4)</f>
        <v/>
      </c>
    </row>
    <row r="4465">
      <c r="A4465" s="13">
        <f>IF(H4465="","",ROW()-4)</f>
        <v/>
      </c>
      <c r="B4465" s="13">
        <f>IF(H4465="","",ROW()-4)</f>
        <v/>
      </c>
    </row>
    <row r="4466">
      <c r="A4466" s="13">
        <f>IF(H4466="","",ROW()-4)</f>
        <v/>
      </c>
      <c r="B4466" s="13">
        <f>IF(H4466="","",ROW()-4)</f>
        <v/>
      </c>
    </row>
    <row r="4467">
      <c r="A4467" s="13">
        <f>IF(H4467="","",ROW()-4)</f>
        <v/>
      </c>
      <c r="B4467" s="13">
        <f>IF(H4467="","",ROW()-4)</f>
        <v/>
      </c>
    </row>
    <row r="4468">
      <c r="A4468" s="13">
        <f>IF(H4468="","",ROW()-4)</f>
        <v/>
      </c>
      <c r="B4468" s="13">
        <f>IF(H4468="","",ROW()-4)</f>
        <v/>
      </c>
    </row>
    <row r="4469">
      <c r="A4469" s="13">
        <f>IF(H4469="","",ROW()-4)</f>
        <v/>
      </c>
      <c r="B4469" s="13">
        <f>IF(H4469="","",ROW()-4)</f>
        <v/>
      </c>
    </row>
    <row r="4470">
      <c r="A4470" s="13">
        <f>IF(H4470="","",ROW()-4)</f>
        <v/>
      </c>
      <c r="B4470" s="13">
        <f>IF(H4470="","",ROW()-4)</f>
        <v/>
      </c>
    </row>
    <row r="4471">
      <c r="A4471" s="13">
        <f>IF(H4471="","",ROW()-4)</f>
        <v/>
      </c>
      <c r="B4471" s="13">
        <f>IF(H4471="","",ROW()-4)</f>
        <v/>
      </c>
    </row>
    <row r="4472">
      <c r="A4472" s="13">
        <f>IF(H4472="","",ROW()-4)</f>
        <v/>
      </c>
      <c r="B4472" s="13">
        <f>IF(H4472="","",ROW()-4)</f>
        <v/>
      </c>
    </row>
    <row r="4473">
      <c r="A4473" s="13">
        <f>IF(H4473="","",ROW()-4)</f>
        <v/>
      </c>
      <c r="B4473" s="13">
        <f>IF(H4473="","",ROW()-4)</f>
        <v/>
      </c>
    </row>
    <row r="4474">
      <c r="A4474" s="13">
        <f>IF(H4474="","",ROW()-4)</f>
        <v/>
      </c>
      <c r="B4474" s="13">
        <f>IF(H4474="","",ROW()-4)</f>
        <v/>
      </c>
    </row>
    <row r="4475">
      <c r="A4475" s="13">
        <f>IF(H4475="","",ROW()-4)</f>
        <v/>
      </c>
      <c r="B4475" s="13">
        <f>IF(H4475="","",ROW()-4)</f>
        <v/>
      </c>
    </row>
    <row r="4476">
      <c r="A4476" s="13">
        <f>IF(H4476="","",ROW()-4)</f>
        <v/>
      </c>
      <c r="B4476" s="13">
        <f>IF(H4476="","",ROW()-4)</f>
        <v/>
      </c>
    </row>
    <row r="4477">
      <c r="A4477" s="13">
        <f>IF(H4477="","",ROW()-4)</f>
        <v/>
      </c>
      <c r="B4477" s="13">
        <f>IF(H4477="","",ROW()-4)</f>
        <v/>
      </c>
    </row>
    <row r="4478">
      <c r="A4478" s="13">
        <f>IF(H4478="","",ROW()-4)</f>
        <v/>
      </c>
      <c r="B4478" s="13">
        <f>IF(H4478="","",ROW()-4)</f>
        <v/>
      </c>
    </row>
    <row r="4479">
      <c r="A4479" s="13">
        <f>IF(H4479="","",ROW()-4)</f>
        <v/>
      </c>
      <c r="B4479" s="13">
        <f>IF(H4479="","",ROW()-4)</f>
        <v/>
      </c>
    </row>
    <row r="4480">
      <c r="A4480" s="13">
        <f>IF(H4480="","",ROW()-4)</f>
        <v/>
      </c>
      <c r="B4480" s="13">
        <f>IF(H4480="","",ROW()-4)</f>
        <v/>
      </c>
    </row>
    <row r="4481">
      <c r="A4481" s="13">
        <f>IF(H4481="","",ROW()-4)</f>
        <v/>
      </c>
      <c r="B4481" s="13">
        <f>IF(H4481="","",ROW()-4)</f>
        <v/>
      </c>
    </row>
    <row r="4482">
      <c r="A4482" s="13">
        <f>IF(H4482="","",ROW()-4)</f>
        <v/>
      </c>
      <c r="B4482" s="13">
        <f>IF(H4482="","",ROW()-4)</f>
        <v/>
      </c>
    </row>
    <row r="4483">
      <c r="A4483" s="13">
        <f>IF(H4483="","",ROW()-4)</f>
        <v/>
      </c>
      <c r="B4483" s="13">
        <f>IF(H4483="","",ROW()-4)</f>
        <v/>
      </c>
    </row>
    <row r="4484">
      <c r="A4484" s="13">
        <f>IF(H4484="","",ROW()-4)</f>
        <v/>
      </c>
      <c r="B4484" s="13">
        <f>IF(H4484="","",ROW()-4)</f>
        <v/>
      </c>
    </row>
    <row r="4485">
      <c r="A4485" s="13">
        <f>IF(H4485="","",ROW()-4)</f>
        <v/>
      </c>
      <c r="B4485" s="13">
        <f>IF(H4485="","",ROW()-4)</f>
        <v/>
      </c>
    </row>
    <row r="4486">
      <c r="A4486" s="13">
        <f>IF(H4486="","",ROW()-4)</f>
        <v/>
      </c>
      <c r="B4486" s="13">
        <f>IF(H4486="","",ROW()-4)</f>
        <v/>
      </c>
    </row>
    <row r="4487">
      <c r="A4487" s="13">
        <f>IF(H4487="","",ROW()-4)</f>
        <v/>
      </c>
      <c r="B4487" s="13">
        <f>IF(H4487="","",ROW()-4)</f>
        <v/>
      </c>
    </row>
    <row r="4488">
      <c r="A4488" s="13">
        <f>IF(H4488="","",ROW()-4)</f>
        <v/>
      </c>
      <c r="B4488" s="13">
        <f>IF(H4488="","",ROW()-4)</f>
        <v/>
      </c>
    </row>
    <row r="4489">
      <c r="A4489" s="13">
        <f>IF(H4489="","",ROW()-4)</f>
        <v/>
      </c>
      <c r="B4489" s="13">
        <f>IF(H4489="","",ROW()-4)</f>
        <v/>
      </c>
    </row>
    <row r="4490">
      <c r="A4490" s="13">
        <f>IF(H4490="","",ROW()-4)</f>
        <v/>
      </c>
      <c r="B4490" s="13">
        <f>IF(H4490="","",ROW()-4)</f>
        <v/>
      </c>
    </row>
    <row r="4491">
      <c r="A4491" s="13">
        <f>IF(H4491="","",ROW()-4)</f>
        <v/>
      </c>
      <c r="B4491" s="13">
        <f>IF(H4491="","",ROW()-4)</f>
        <v/>
      </c>
    </row>
    <row r="4492">
      <c r="A4492" s="13">
        <f>IF(H4492="","",ROW()-4)</f>
        <v/>
      </c>
      <c r="B4492" s="13">
        <f>IF(H4492="","",ROW()-4)</f>
        <v/>
      </c>
    </row>
    <row r="4493">
      <c r="A4493" s="13">
        <f>IF(H4493="","",ROW()-4)</f>
        <v/>
      </c>
      <c r="B4493" s="13">
        <f>IF(H4493="","",ROW()-4)</f>
        <v/>
      </c>
    </row>
    <row r="4494">
      <c r="A4494" s="13">
        <f>IF(H4494="","",ROW()-4)</f>
        <v/>
      </c>
      <c r="B4494" s="13">
        <f>IF(H4494="","",ROW()-4)</f>
        <v/>
      </c>
    </row>
    <row r="4495">
      <c r="A4495" s="13">
        <f>IF(H4495="","",ROW()-4)</f>
        <v/>
      </c>
      <c r="B4495" s="13">
        <f>IF(H4495="","",ROW()-4)</f>
        <v/>
      </c>
    </row>
    <row r="4496">
      <c r="A4496" s="13">
        <f>IF(H4496="","",ROW()-4)</f>
        <v/>
      </c>
      <c r="B4496" s="13">
        <f>IF(H4496="","",ROW()-4)</f>
        <v/>
      </c>
    </row>
    <row r="4497">
      <c r="A4497" s="13">
        <f>IF(H4497="","",ROW()-4)</f>
        <v/>
      </c>
      <c r="B4497" s="13">
        <f>IF(H4497="","",ROW()-4)</f>
        <v/>
      </c>
    </row>
    <row r="4498">
      <c r="A4498" s="13">
        <f>IF(H4498="","",ROW()-4)</f>
        <v/>
      </c>
      <c r="B4498" s="13">
        <f>IF(H4498="","",ROW()-4)</f>
        <v/>
      </c>
    </row>
    <row r="4499">
      <c r="A4499" s="13">
        <f>IF(H4499="","",ROW()-4)</f>
        <v/>
      </c>
      <c r="B4499" s="13">
        <f>IF(H4499="","",ROW()-4)</f>
        <v/>
      </c>
    </row>
    <row r="4500">
      <c r="A4500" s="13">
        <f>IF(H4500="","",ROW()-4)</f>
        <v/>
      </c>
      <c r="B4500" s="13">
        <f>IF(H4500="","",ROW()-4)</f>
        <v/>
      </c>
    </row>
    <row r="4501">
      <c r="A4501" s="13">
        <f>IF(H4501="","",ROW()-4)</f>
        <v/>
      </c>
      <c r="B4501" s="13">
        <f>IF(H4501="","",ROW()-4)</f>
        <v/>
      </c>
    </row>
    <row r="4502">
      <c r="A4502" s="13">
        <f>IF(H4502="","",ROW()-4)</f>
        <v/>
      </c>
      <c r="B4502" s="13">
        <f>IF(H4502="","",ROW()-4)</f>
        <v/>
      </c>
    </row>
    <row r="4503">
      <c r="A4503" s="13">
        <f>IF(H4503="","",ROW()-4)</f>
        <v/>
      </c>
      <c r="B4503" s="13">
        <f>IF(H4503="","",ROW()-4)</f>
        <v/>
      </c>
    </row>
    <row r="4504">
      <c r="A4504" s="13">
        <f>IF(H4504="","",ROW()-4)</f>
        <v/>
      </c>
      <c r="B4504" s="13">
        <f>IF(H4504="","",ROW()-4)</f>
        <v/>
      </c>
    </row>
    <row r="4505">
      <c r="A4505" s="13">
        <f>IF(H4505="","",ROW()-4)</f>
        <v/>
      </c>
      <c r="B4505" s="13">
        <f>IF(H4505="","",ROW()-4)</f>
        <v/>
      </c>
    </row>
    <row r="4506">
      <c r="A4506" s="13">
        <f>IF(H4506="","",ROW()-4)</f>
        <v/>
      </c>
      <c r="B4506" s="13">
        <f>IF(H4506="","",ROW()-4)</f>
        <v/>
      </c>
    </row>
    <row r="4507">
      <c r="A4507" s="13">
        <f>IF(H4507="","",ROW()-4)</f>
        <v/>
      </c>
      <c r="B4507" s="13">
        <f>IF(H4507="","",ROW()-4)</f>
        <v/>
      </c>
    </row>
    <row r="4508">
      <c r="A4508" s="13">
        <f>IF(H4508="","",ROW()-4)</f>
        <v/>
      </c>
      <c r="B4508" s="13">
        <f>IF(H4508="","",ROW()-4)</f>
        <v/>
      </c>
    </row>
    <row r="4509">
      <c r="A4509" s="13">
        <f>IF(H4509="","",ROW()-4)</f>
        <v/>
      </c>
      <c r="B4509" s="13">
        <f>IF(H4509="","",ROW()-4)</f>
        <v/>
      </c>
    </row>
    <row r="4510">
      <c r="A4510" s="13">
        <f>IF(H4510="","",ROW()-4)</f>
        <v/>
      </c>
      <c r="B4510" s="13">
        <f>IF(H4510="","",ROW()-4)</f>
        <v/>
      </c>
    </row>
    <row r="4511">
      <c r="A4511" s="13">
        <f>IF(H4511="","",ROW()-4)</f>
        <v/>
      </c>
      <c r="B4511" s="13">
        <f>IF(H4511="","",ROW()-4)</f>
        <v/>
      </c>
    </row>
    <row r="4512">
      <c r="A4512" s="13">
        <f>IF(H4512="","",ROW()-4)</f>
        <v/>
      </c>
      <c r="B4512" s="13">
        <f>IF(H4512="","",ROW()-4)</f>
        <v/>
      </c>
    </row>
    <row r="4513">
      <c r="A4513" s="13">
        <f>IF(H4513="","",ROW()-4)</f>
        <v/>
      </c>
      <c r="B4513" s="13">
        <f>IF(H4513="","",ROW()-4)</f>
        <v/>
      </c>
    </row>
    <row r="4514">
      <c r="A4514" s="13">
        <f>IF(H4514="","",ROW()-4)</f>
        <v/>
      </c>
      <c r="B4514" s="13">
        <f>IF(H4514="","",ROW()-4)</f>
        <v/>
      </c>
    </row>
    <row r="4515">
      <c r="A4515" s="13">
        <f>IF(H4515="","",ROW()-4)</f>
        <v/>
      </c>
      <c r="B4515" s="13">
        <f>IF(H4515="","",ROW()-4)</f>
        <v/>
      </c>
    </row>
    <row r="4516">
      <c r="A4516" s="13">
        <f>IF(H4516="","",ROW()-4)</f>
        <v/>
      </c>
      <c r="B4516" s="13">
        <f>IF(H4516="","",ROW()-4)</f>
        <v/>
      </c>
    </row>
    <row r="4517">
      <c r="A4517" s="13">
        <f>IF(H4517="","",ROW()-4)</f>
        <v/>
      </c>
      <c r="B4517" s="13">
        <f>IF(H4517="","",ROW()-4)</f>
        <v/>
      </c>
    </row>
    <row r="4518">
      <c r="A4518" s="13">
        <f>IF(H4518="","",ROW()-4)</f>
        <v/>
      </c>
      <c r="B4518" s="13">
        <f>IF(H4518="","",ROW()-4)</f>
        <v/>
      </c>
    </row>
    <row r="4519">
      <c r="A4519" s="13">
        <f>IF(H4519="","",ROW()-4)</f>
        <v/>
      </c>
      <c r="B4519" s="13">
        <f>IF(H4519="","",ROW()-4)</f>
        <v/>
      </c>
    </row>
    <row r="4520">
      <c r="A4520" s="13">
        <f>IF(H4520="","",ROW()-4)</f>
        <v/>
      </c>
      <c r="B4520" s="13">
        <f>IF(H4520="","",ROW()-4)</f>
        <v/>
      </c>
    </row>
    <row r="4521">
      <c r="A4521" s="13">
        <f>IF(H4521="","",ROW()-4)</f>
        <v/>
      </c>
      <c r="B4521" s="13">
        <f>IF(H4521="","",ROW()-4)</f>
        <v/>
      </c>
    </row>
    <row r="4522">
      <c r="A4522" s="13">
        <f>IF(H4522="","",ROW()-4)</f>
        <v/>
      </c>
      <c r="B4522" s="13">
        <f>IF(H4522="","",ROW()-4)</f>
        <v/>
      </c>
    </row>
    <row r="4523">
      <c r="A4523" s="13">
        <f>IF(H4523="","",ROW()-4)</f>
        <v/>
      </c>
      <c r="B4523" s="13">
        <f>IF(H4523="","",ROW()-4)</f>
        <v/>
      </c>
    </row>
    <row r="4524">
      <c r="A4524" s="13">
        <f>IF(H4524="","",ROW()-4)</f>
        <v/>
      </c>
      <c r="B4524" s="13">
        <f>IF(H4524="","",ROW()-4)</f>
        <v/>
      </c>
    </row>
    <row r="4525">
      <c r="A4525" s="13">
        <f>IF(H4525="","",ROW()-4)</f>
        <v/>
      </c>
      <c r="B4525" s="13">
        <f>IF(H4525="","",ROW()-4)</f>
        <v/>
      </c>
    </row>
    <row r="4526">
      <c r="A4526" s="13">
        <f>IF(H4526="","",ROW()-4)</f>
        <v/>
      </c>
      <c r="B4526" s="13">
        <f>IF(H4526="","",ROW()-4)</f>
        <v/>
      </c>
    </row>
    <row r="4527">
      <c r="A4527" s="13">
        <f>IF(H4527="","",ROW()-4)</f>
        <v/>
      </c>
      <c r="B4527" s="13">
        <f>IF(H4527="","",ROW()-4)</f>
        <v/>
      </c>
    </row>
    <row r="4528">
      <c r="A4528" s="13">
        <f>IF(H4528="","",ROW()-4)</f>
        <v/>
      </c>
      <c r="B4528" s="13">
        <f>IF(H4528="","",ROW()-4)</f>
        <v/>
      </c>
    </row>
    <row r="4529">
      <c r="A4529" s="13">
        <f>IF(H4529="","",ROW()-4)</f>
        <v/>
      </c>
      <c r="B4529" s="13">
        <f>IF(H4529="","",ROW()-4)</f>
        <v/>
      </c>
    </row>
    <row r="4530">
      <c r="A4530" s="13">
        <f>IF(H4530="","",ROW()-4)</f>
        <v/>
      </c>
      <c r="B4530" s="13">
        <f>IF(H4530="","",ROW()-4)</f>
        <v/>
      </c>
    </row>
    <row r="4531">
      <c r="A4531" s="13">
        <f>IF(H4531="","",ROW()-4)</f>
        <v/>
      </c>
      <c r="B4531" s="13">
        <f>IF(H4531="","",ROW()-4)</f>
        <v/>
      </c>
    </row>
    <row r="4532">
      <c r="A4532" s="13">
        <f>IF(H4532="","",ROW()-4)</f>
        <v/>
      </c>
      <c r="B4532" s="13">
        <f>IF(H4532="","",ROW()-4)</f>
        <v/>
      </c>
    </row>
    <row r="4533">
      <c r="A4533" s="13">
        <f>IF(H4533="","",ROW()-4)</f>
        <v/>
      </c>
      <c r="B4533" s="13">
        <f>IF(H4533="","",ROW()-4)</f>
        <v/>
      </c>
    </row>
    <row r="4534">
      <c r="A4534" s="13">
        <f>IF(H4534="","",ROW()-4)</f>
        <v/>
      </c>
      <c r="B4534" s="13">
        <f>IF(H4534="","",ROW()-4)</f>
        <v/>
      </c>
    </row>
    <row r="4535">
      <c r="A4535" s="13">
        <f>IF(H4535="","",ROW()-4)</f>
        <v/>
      </c>
      <c r="B4535" s="13">
        <f>IF(H4535="","",ROW()-4)</f>
        <v/>
      </c>
    </row>
    <row r="4536">
      <c r="A4536" s="13">
        <f>IF(H4536="","",ROW()-4)</f>
        <v/>
      </c>
      <c r="B4536" s="13">
        <f>IF(H4536="","",ROW()-4)</f>
        <v/>
      </c>
    </row>
    <row r="4537">
      <c r="A4537" s="13">
        <f>IF(H4537="","",ROW()-4)</f>
        <v/>
      </c>
      <c r="B4537" s="13">
        <f>IF(H4537="","",ROW()-4)</f>
        <v/>
      </c>
    </row>
    <row r="4538">
      <c r="A4538" s="13">
        <f>IF(H4538="","",ROW()-4)</f>
        <v/>
      </c>
      <c r="B4538" s="13">
        <f>IF(H4538="","",ROW()-4)</f>
        <v/>
      </c>
    </row>
    <row r="4539">
      <c r="A4539" s="13">
        <f>IF(H4539="","",ROW()-4)</f>
        <v/>
      </c>
      <c r="B4539" s="13">
        <f>IF(H4539="","",ROW()-4)</f>
        <v/>
      </c>
    </row>
    <row r="4540">
      <c r="A4540" s="13">
        <f>IF(H4540="","",ROW()-4)</f>
        <v/>
      </c>
      <c r="B4540" s="13">
        <f>IF(H4540="","",ROW()-4)</f>
        <v/>
      </c>
    </row>
    <row r="4541">
      <c r="A4541" s="13">
        <f>IF(H4541="","",ROW()-4)</f>
        <v/>
      </c>
      <c r="B4541" s="13">
        <f>IF(H4541="","",ROW()-4)</f>
        <v/>
      </c>
    </row>
    <row r="4542">
      <c r="A4542" s="13">
        <f>IF(H4542="","",ROW()-4)</f>
        <v/>
      </c>
      <c r="B4542" s="13">
        <f>IF(H4542="","",ROW()-4)</f>
        <v/>
      </c>
    </row>
    <row r="4543">
      <c r="A4543" s="13">
        <f>IF(H4543="","",ROW()-4)</f>
        <v/>
      </c>
      <c r="B4543" s="13">
        <f>IF(H4543="","",ROW()-4)</f>
        <v/>
      </c>
    </row>
    <row r="4544">
      <c r="A4544" s="13">
        <f>IF(H4544="","",ROW()-4)</f>
        <v/>
      </c>
      <c r="B4544" s="13">
        <f>IF(H4544="","",ROW()-4)</f>
        <v/>
      </c>
    </row>
    <row r="4545">
      <c r="A4545" s="13">
        <f>IF(H4545="","",ROW()-4)</f>
        <v/>
      </c>
      <c r="B4545" s="13">
        <f>IF(H4545="","",ROW()-4)</f>
        <v/>
      </c>
    </row>
    <row r="4546">
      <c r="A4546" s="13">
        <f>IF(H4546="","",ROW()-4)</f>
        <v/>
      </c>
      <c r="B4546" s="13">
        <f>IF(H4546="","",ROW()-4)</f>
        <v/>
      </c>
    </row>
    <row r="4547">
      <c r="A4547" s="13">
        <f>IF(H4547="","",ROW()-4)</f>
        <v/>
      </c>
      <c r="B4547" s="13">
        <f>IF(H4547="","",ROW()-4)</f>
        <v/>
      </c>
    </row>
    <row r="4548">
      <c r="A4548" s="13">
        <f>IF(H4548="","",ROW()-4)</f>
        <v/>
      </c>
      <c r="B4548" s="13">
        <f>IF(H4548="","",ROW()-4)</f>
        <v/>
      </c>
    </row>
    <row r="4549">
      <c r="A4549" s="13">
        <f>IF(H4549="","",ROW()-4)</f>
        <v/>
      </c>
      <c r="B4549" s="13">
        <f>IF(H4549="","",ROW()-4)</f>
        <v/>
      </c>
    </row>
    <row r="4550">
      <c r="A4550" s="13">
        <f>IF(H4550="","",ROW()-4)</f>
        <v/>
      </c>
      <c r="B4550" s="13">
        <f>IF(H4550="","",ROW()-4)</f>
        <v/>
      </c>
    </row>
    <row r="4551">
      <c r="A4551" s="13">
        <f>IF(H4551="","",ROW()-4)</f>
        <v/>
      </c>
      <c r="B4551" s="13">
        <f>IF(H4551="","",ROW()-4)</f>
        <v/>
      </c>
    </row>
    <row r="4552">
      <c r="A4552" s="13">
        <f>IF(H4552="","",ROW()-4)</f>
        <v/>
      </c>
      <c r="B4552" s="13">
        <f>IF(H4552="","",ROW()-4)</f>
        <v/>
      </c>
    </row>
    <row r="4553">
      <c r="A4553" s="13">
        <f>IF(H4553="","",ROW()-4)</f>
        <v/>
      </c>
      <c r="B4553" s="13">
        <f>IF(H4553="","",ROW()-4)</f>
        <v/>
      </c>
    </row>
    <row r="4554">
      <c r="A4554" s="13">
        <f>IF(H4554="","",ROW()-4)</f>
        <v/>
      </c>
      <c r="B4554" s="13">
        <f>IF(H4554="","",ROW()-4)</f>
        <v/>
      </c>
    </row>
    <row r="4555">
      <c r="A4555" s="13">
        <f>IF(H4555="","",ROW()-4)</f>
        <v/>
      </c>
      <c r="B4555" s="13">
        <f>IF(H4555="","",ROW()-4)</f>
        <v/>
      </c>
    </row>
    <row r="4556">
      <c r="A4556" s="13">
        <f>IF(H4556="","",ROW()-4)</f>
        <v/>
      </c>
      <c r="B4556" s="13">
        <f>IF(H4556="","",ROW()-4)</f>
        <v/>
      </c>
    </row>
    <row r="4557">
      <c r="A4557" s="13">
        <f>IF(H4557="","",ROW()-4)</f>
        <v/>
      </c>
      <c r="B4557" s="13">
        <f>IF(H4557="","",ROW()-4)</f>
        <v/>
      </c>
    </row>
    <row r="4558">
      <c r="A4558" s="13">
        <f>IF(H4558="","",ROW()-4)</f>
        <v/>
      </c>
      <c r="B4558" s="13">
        <f>IF(H4558="","",ROW()-4)</f>
        <v/>
      </c>
    </row>
    <row r="4559">
      <c r="A4559" s="13">
        <f>IF(H4559="","",ROW()-4)</f>
        <v/>
      </c>
      <c r="B4559" s="13">
        <f>IF(H4559="","",ROW()-4)</f>
        <v/>
      </c>
    </row>
    <row r="4560">
      <c r="A4560" s="13">
        <f>IF(H4560="","",ROW()-4)</f>
        <v/>
      </c>
      <c r="B4560" s="13">
        <f>IF(H4560="","",ROW()-4)</f>
        <v/>
      </c>
    </row>
    <row r="4561">
      <c r="A4561" s="13">
        <f>IF(H4561="","",ROW()-4)</f>
        <v/>
      </c>
      <c r="B4561" s="13">
        <f>IF(H4561="","",ROW()-4)</f>
        <v/>
      </c>
    </row>
    <row r="4562">
      <c r="A4562" s="13">
        <f>IF(H4562="","",ROW()-4)</f>
        <v/>
      </c>
      <c r="B4562" s="13">
        <f>IF(H4562="","",ROW()-4)</f>
        <v/>
      </c>
    </row>
    <row r="4563">
      <c r="A4563" s="13">
        <f>IF(H4563="","",ROW()-4)</f>
        <v/>
      </c>
      <c r="B4563" s="13">
        <f>IF(H4563="","",ROW()-4)</f>
        <v/>
      </c>
    </row>
    <row r="4564">
      <c r="A4564" s="13">
        <f>IF(H4564="","",ROW()-4)</f>
        <v/>
      </c>
      <c r="B4564" s="13">
        <f>IF(H4564="","",ROW()-4)</f>
        <v/>
      </c>
    </row>
    <row r="4565">
      <c r="A4565" s="13">
        <f>IF(H4565="","",ROW()-4)</f>
        <v/>
      </c>
      <c r="B4565" s="13">
        <f>IF(H4565="","",ROW()-4)</f>
        <v/>
      </c>
    </row>
    <row r="4566">
      <c r="A4566" s="13">
        <f>IF(H4566="","",ROW()-4)</f>
        <v/>
      </c>
      <c r="B4566" s="13">
        <f>IF(H4566="","",ROW()-4)</f>
        <v/>
      </c>
    </row>
    <row r="4567">
      <c r="A4567" s="13">
        <f>IF(H4567="","",ROW()-4)</f>
        <v/>
      </c>
      <c r="B4567" s="13">
        <f>IF(H4567="","",ROW()-4)</f>
        <v/>
      </c>
    </row>
    <row r="4568">
      <c r="A4568" s="13">
        <f>IF(H4568="","",ROW()-4)</f>
        <v/>
      </c>
      <c r="B4568" s="13">
        <f>IF(H4568="","",ROW()-4)</f>
        <v/>
      </c>
    </row>
    <row r="4569">
      <c r="A4569" s="13">
        <f>IF(H4569="","",ROW()-4)</f>
        <v/>
      </c>
      <c r="B4569" s="13">
        <f>IF(H4569="","",ROW()-4)</f>
        <v/>
      </c>
    </row>
    <row r="4570">
      <c r="A4570" s="13">
        <f>IF(H4570="","",ROW()-4)</f>
        <v/>
      </c>
      <c r="B4570" s="13">
        <f>IF(H4570="","",ROW()-4)</f>
        <v/>
      </c>
    </row>
    <row r="4571">
      <c r="A4571" s="13">
        <f>IF(H4571="","",ROW()-4)</f>
        <v/>
      </c>
      <c r="B4571" s="13">
        <f>IF(H4571="","",ROW()-4)</f>
        <v/>
      </c>
    </row>
    <row r="4572">
      <c r="A4572" s="13">
        <f>IF(H4572="","",ROW()-4)</f>
        <v/>
      </c>
      <c r="B4572" s="13">
        <f>IF(H4572="","",ROW()-4)</f>
        <v/>
      </c>
    </row>
    <row r="4573">
      <c r="A4573" s="13">
        <f>IF(H4573="","",ROW()-4)</f>
        <v/>
      </c>
      <c r="B4573" s="13">
        <f>IF(H4573="","",ROW()-4)</f>
        <v/>
      </c>
    </row>
    <row r="4574">
      <c r="A4574" s="13">
        <f>IF(H4574="","",ROW()-4)</f>
        <v/>
      </c>
      <c r="B4574" s="13">
        <f>IF(H4574="","",ROW()-4)</f>
        <v/>
      </c>
    </row>
    <row r="4575">
      <c r="A4575" s="13">
        <f>IF(H4575="","",ROW()-4)</f>
        <v/>
      </c>
      <c r="B4575" s="13">
        <f>IF(H4575="","",ROW()-4)</f>
        <v/>
      </c>
    </row>
    <row r="4576">
      <c r="A4576" s="13">
        <f>IF(H4576="","",ROW()-4)</f>
        <v/>
      </c>
      <c r="B4576" s="13">
        <f>IF(H4576="","",ROW()-4)</f>
        <v/>
      </c>
    </row>
    <row r="4577">
      <c r="A4577" s="13">
        <f>IF(H4577="","",ROW()-4)</f>
        <v/>
      </c>
      <c r="B4577" s="13">
        <f>IF(H4577="","",ROW()-4)</f>
        <v/>
      </c>
    </row>
    <row r="4578">
      <c r="A4578" s="13">
        <f>IF(H4578="","",ROW()-4)</f>
        <v/>
      </c>
      <c r="B4578" s="13">
        <f>IF(H4578="","",ROW()-4)</f>
        <v/>
      </c>
    </row>
    <row r="4579">
      <c r="A4579" s="13">
        <f>IF(H4579="","",ROW()-4)</f>
        <v/>
      </c>
      <c r="B4579" s="13">
        <f>IF(H4579="","",ROW()-4)</f>
        <v/>
      </c>
    </row>
    <row r="4580">
      <c r="A4580" s="13">
        <f>IF(H4580="","",ROW()-4)</f>
        <v/>
      </c>
      <c r="B4580" s="13">
        <f>IF(H4580="","",ROW()-4)</f>
        <v/>
      </c>
    </row>
    <row r="4581">
      <c r="A4581" s="13">
        <f>IF(H4581="","",ROW()-4)</f>
        <v/>
      </c>
      <c r="B4581" s="13">
        <f>IF(H4581="","",ROW()-4)</f>
        <v/>
      </c>
    </row>
    <row r="4582">
      <c r="A4582" s="13">
        <f>IF(H4582="","",ROW()-4)</f>
        <v/>
      </c>
      <c r="B4582" s="13">
        <f>IF(H4582="","",ROW()-4)</f>
        <v/>
      </c>
    </row>
    <row r="4583">
      <c r="A4583" s="13">
        <f>IF(H4583="","",ROW()-4)</f>
        <v/>
      </c>
      <c r="B4583" s="13">
        <f>IF(H4583="","",ROW()-4)</f>
        <v/>
      </c>
    </row>
    <row r="4584">
      <c r="A4584" s="13">
        <f>IF(H4584="","",ROW()-4)</f>
        <v/>
      </c>
      <c r="B4584" s="13">
        <f>IF(H4584="","",ROW()-4)</f>
        <v/>
      </c>
    </row>
    <row r="4585">
      <c r="A4585" s="13">
        <f>IF(H4585="","",ROW()-4)</f>
        <v/>
      </c>
      <c r="B4585" s="13">
        <f>IF(H4585="","",ROW()-4)</f>
        <v/>
      </c>
    </row>
    <row r="4586">
      <c r="A4586" s="13">
        <f>IF(H4586="","",ROW()-4)</f>
        <v/>
      </c>
      <c r="B4586" s="13">
        <f>IF(H4586="","",ROW()-4)</f>
        <v/>
      </c>
    </row>
    <row r="4587">
      <c r="A4587" s="13">
        <f>IF(H4587="","",ROW()-4)</f>
        <v/>
      </c>
      <c r="B4587" s="13">
        <f>IF(H4587="","",ROW()-4)</f>
        <v/>
      </c>
    </row>
    <row r="4588">
      <c r="A4588" s="13">
        <f>IF(H4588="","",ROW()-4)</f>
        <v/>
      </c>
      <c r="B4588" s="13">
        <f>IF(H4588="","",ROW()-4)</f>
        <v/>
      </c>
    </row>
    <row r="4589">
      <c r="A4589" s="13">
        <f>IF(H4589="","",ROW()-4)</f>
        <v/>
      </c>
      <c r="B4589" s="13">
        <f>IF(H4589="","",ROW()-4)</f>
        <v/>
      </c>
    </row>
    <row r="4590">
      <c r="A4590" s="13">
        <f>IF(H4590="","",ROW()-4)</f>
        <v/>
      </c>
      <c r="B4590" s="13">
        <f>IF(H4590="","",ROW()-4)</f>
        <v/>
      </c>
    </row>
    <row r="4591">
      <c r="A4591" s="13">
        <f>IF(H4591="","",ROW()-4)</f>
        <v/>
      </c>
      <c r="B4591" s="13">
        <f>IF(H4591="","",ROW()-4)</f>
        <v/>
      </c>
    </row>
    <row r="4592">
      <c r="A4592" s="13">
        <f>IF(H4592="","",ROW()-4)</f>
        <v/>
      </c>
      <c r="B4592" s="13">
        <f>IF(H4592="","",ROW()-4)</f>
        <v/>
      </c>
    </row>
    <row r="4593">
      <c r="A4593" s="13">
        <f>IF(H4593="","",ROW()-4)</f>
        <v/>
      </c>
      <c r="B4593" s="13">
        <f>IF(H4593="","",ROW()-4)</f>
        <v/>
      </c>
    </row>
    <row r="4594">
      <c r="A4594" s="13">
        <f>IF(H4594="","",ROW()-4)</f>
        <v/>
      </c>
      <c r="B4594" s="13">
        <f>IF(H4594="","",ROW()-4)</f>
        <v/>
      </c>
    </row>
    <row r="4595">
      <c r="A4595" s="13">
        <f>IF(H4595="","",ROW()-4)</f>
        <v/>
      </c>
      <c r="B4595" s="13">
        <f>IF(H4595="","",ROW()-4)</f>
        <v/>
      </c>
    </row>
    <row r="4596">
      <c r="A4596" s="13">
        <f>IF(H4596="","",ROW()-4)</f>
        <v/>
      </c>
      <c r="B4596" s="13">
        <f>IF(H4596="","",ROW()-4)</f>
        <v/>
      </c>
    </row>
    <row r="4597">
      <c r="A4597" s="13">
        <f>IF(H4597="","",ROW()-4)</f>
        <v/>
      </c>
      <c r="B4597" s="13">
        <f>IF(H4597="","",ROW()-4)</f>
        <v/>
      </c>
    </row>
    <row r="4598">
      <c r="A4598" s="13">
        <f>IF(H4598="","",ROW()-4)</f>
        <v/>
      </c>
      <c r="B4598" s="13">
        <f>IF(H4598="","",ROW()-4)</f>
        <v/>
      </c>
    </row>
    <row r="4599">
      <c r="A4599" s="13">
        <f>IF(H4599="","",ROW()-4)</f>
        <v/>
      </c>
      <c r="B4599" s="13">
        <f>IF(H4599="","",ROW()-4)</f>
        <v/>
      </c>
    </row>
    <row r="4600">
      <c r="A4600" s="13">
        <f>IF(H4600="","",ROW()-4)</f>
        <v/>
      </c>
      <c r="B4600" s="13">
        <f>IF(H4600="","",ROW()-4)</f>
        <v/>
      </c>
    </row>
    <row r="4601">
      <c r="A4601" s="13">
        <f>IF(H4601="","",ROW()-4)</f>
        <v/>
      </c>
      <c r="B4601" s="13">
        <f>IF(H4601="","",ROW()-4)</f>
        <v/>
      </c>
    </row>
    <row r="4602">
      <c r="A4602" s="13">
        <f>IF(H4602="","",ROW()-4)</f>
        <v/>
      </c>
      <c r="B4602" s="13">
        <f>IF(H4602="","",ROW()-4)</f>
        <v/>
      </c>
    </row>
    <row r="4603">
      <c r="A4603" s="13">
        <f>IF(H4603="","",ROW()-4)</f>
        <v/>
      </c>
      <c r="B4603" s="13">
        <f>IF(H4603="","",ROW()-4)</f>
        <v/>
      </c>
    </row>
    <row r="4604">
      <c r="A4604" s="13">
        <f>IF(H4604="","",ROW()-4)</f>
        <v/>
      </c>
      <c r="B4604" s="13">
        <f>IF(H4604="","",ROW()-4)</f>
        <v/>
      </c>
    </row>
    <row r="4605">
      <c r="A4605" s="13">
        <f>IF(H4605="","",ROW()-4)</f>
        <v/>
      </c>
      <c r="B4605" s="13">
        <f>IF(H4605="","",ROW()-4)</f>
        <v/>
      </c>
    </row>
    <row r="4606">
      <c r="A4606" s="13">
        <f>IF(H4606="","",ROW()-4)</f>
        <v/>
      </c>
      <c r="B4606" s="13">
        <f>IF(H4606="","",ROW()-4)</f>
        <v/>
      </c>
    </row>
    <row r="4607">
      <c r="A4607" s="13">
        <f>IF(H4607="","",ROW()-4)</f>
        <v/>
      </c>
      <c r="B4607" s="13">
        <f>IF(H4607="","",ROW()-4)</f>
        <v/>
      </c>
    </row>
    <row r="4608">
      <c r="A4608" s="13">
        <f>IF(H4608="","",ROW()-4)</f>
        <v/>
      </c>
      <c r="B4608" s="13">
        <f>IF(H4608="","",ROW()-4)</f>
        <v/>
      </c>
    </row>
    <row r="4609">
      <c r="A4609" s="13">
        <f>IF(H4609="","",ROW()-4)</f>
        <v/>
      </c>
      <c r="B4609" s="13">
        <f>IF(H4609="","",ROW()-4)</f>
        <v/>
      </c>
    </row>
    <row r="4610">
      <c r="A4610" s="13">
        <f>IF(H4610="","",ROW()-4)</f>
        <v/>
      </c>
      <c r="B4610" s="13">
        <f>IF(H4610="","",ROW()-4)</f>
        <v/>
      </c>
    </row>
    <row r="4611">
      <c r="A4611" s="13">
        <f>IF(H4611="","",ROW()-4)</f>
        <v/>
      </c>
      <c r="B4611" s="13">
        <f>IF(H4611="","",ROW()-4)</f>
        <v/>
      </c>
    </row>
    <row r="4612">
      <c r="A4612" s="13">
        <f>IF(H4612="","",ROW()-4)</f>
        <v/>
      </c>
      <c r="B4612" s="13">
        <f>IF(H4612="","",ROW()-4)</f>
        <v/>
      </c>
    </row>
    <row r="4613">
      <c r="A4613" s="13">
        <f>IF(H4613="","",ROW()-4)</f>
        <v/>
      </c>
      <c r="B4613" s="13">
        <f>IF(H4613="","",ROW()-4)</f>
        <v/>
      </c>
    </row>
    <row r="4614">
      <c r="A4614" s="13">
        <f>IF(H4614="","",ROW()-4)</f>
        <v/>
      </c>
      <c r="B4614" s="13">
        <f>IF(H4614="","",ROW()-4)</f>
        <v/>
      </c>
    </row>
    <row r="4615">
      <c r="A4615" s="13">
        <f>IF(H4615="","",ROW()-4)</f>
        <v/>
      </c>
      <c r="B4615" s="13">
        <f>IF(H4615="","",ROW()-4)</f>
        <v/>
      </c>
    </row>
    <row r="4616">
      <c r="A4616" s="13">
        <f>IF(H4616="","",ROW()-4)</f>
        <v/>
      </c>
      <c r="B4616" s="13">
        <f>IF(H4616="","",ROW()-4)</f>
        <v/>
      </c>
    </row>
    <row r="4617">
      <c r="A4617" s="13">
        <f>IF(H4617="","",ROW()-4)</f>
        <v/>
      </c>
      <c r="B4617" s="13">
        <f>IF(H4617="","",ROW()-4)</f>
        <v/>
      </c>
    </row>
    <row r="4618">
      <c r="A4618" s="13">
        <f>IF(H4618="","",ROW()-4)</f>
        <v/>
      </c>
      <c r="B4618" s="13">
        <f>IF(H4618="","",ROW()-4)</f>
        <v/>
      </c>
    </row>
    <row r="4619">
      <c r="A4619" s="13">
        <f>IF(H4619="","",ROW()-4)</f>
        <v/>
      </c>
      <c r="B4619" s="13">
        <f>IF(H4619="","",ROW()-4)</f>
        <v/>
      </c>
    </row>
    <row r="4620">
      <c r="A4620" s="13">
        <f>IF(H4620="","",ROW()-4)</f>
        <v/>
      </c>
      <c r="B4620" s="13">
        <f>IF(H4620="","",ROW()-4)</f>
        <v/>
      </c>
    </row>
    <row r="4621">
      <c r="A4621" s="13">
        <f>IF(H4621="","",ROW()-4)</f>
        <v/>
      </c>
      <c r="B4621" s="13">
        <f>IF(H4621="","",ROW()-4)</f>
        <v/>
      </c>
    </row>
    <row r="4622">
      <c r="A4622" s="13">
        <f>IF(H4622="","",ROW()-4)</f>
        <v/>
      </c>
      <c r="B4622" s="13">
        <f>IF(H4622="","",ROW()-4)</f>
        <v/>
      </c>
    </row>
    <row r="4623">
      <c r="A4623" s="13">
        <f>IF(H4623="","",ROW()-4)</f>
        <v/>
      </c>
      <c r="B4623" s="13">
        <f>IF(H4623="","",ROW()-4)</f>
        <v/>
      </c>
    </row>
    <row r="4624">
      <c r="A4624" s="13">
        <f>IF(H4624="","",ROW()-4)</f>
        <v/>
      </c>
      <c r="B4624" s="13">
        <f>IF(H4624="","",ROW()-4)</f>
        <v/>
      </c>
    </row>
    <row r="4625">
      <c r="A4625" s="13">
        <f>IF(H4625="","",ROW()-4)</f>
        <v/>
      </c>
      <c r="B4625" s="13">
        <f>IF(H4625="","",ROW()-4)</f>
        <v/>
      </c>
    </row>
    <row r="4626">
      <c r="A4626" s="13">
        <f>IF(H4626="","",ROW()-4)</f>
        <v/>
      </c>
      <c r="B4626" s="13">
        <f>IF(H4626="","",ROW()-4)</f>
        <v/>
      </c>
    </row>
    <row r="4627">
      <c r="A4627" s="13">
        <f>IF(H4627="","",ROW()-4)</f>
        <v/>
      </c>
      <c r="B4627" s="13">
        <f>IF(H4627="","",ROW()-4)</f>
        <v/>
      </c>
    </row>
    <row r="4628">
      <c r="A4628" s="13">
        <f>IF(H4628="","",ROW()-4)</f>
        <v/>
      </c>
      <c r="B4628" s="13">
        <f>IF(H4628="","",ROW()-4)</f>
        <v/>
      </c>
    </row>
    <row r="4629">
      <c r="A4629" s="13">
        <f>IF(H4629="","",ROW()-4)</f>
        <v/>
      </c>
      <c r="B4629" s="13">
        <f>IF(H4629="","",ROW()-4)</f>
        <v/>
      </c>
    </row>
    <row r="4630">
      <c r="A4630" s="13">
        <f>IF(H4630="","",ROW()-4)</f>
        <v/>
      </c>
      <c r="B4630" s="13">
        <f>IF(H4630="","",ROW()-4)</f>
        <v/>
      </c>
    </row>
    <row r="4631">
      <c r="A4631" s="13">
        <f>IF(H4631="","",ROW()-4)</f>
        <v/>
      </c>
      <c r="B4631" s="13">
        <f>IF(H4631="","",ROW()-4)</f>
        <v/>
      </c>
    </row>
    <row r="4632">
      <c r="A4632" s="13">
        <f>IF(H4632="","",ROW()-4)</f>
        <v/>
      </c>
      <c r="B4632" s="13">
        <f>IF(H4632="","",ROW()-4)</f>
        <v/>
      </c>
    </row>
    <row r="4633">
      <c r="A4633" s="13">
        <f>IF(H4633="","",ROW()-4)</f>
        <v/>
      </c>
      <c r="B4633" s="13">
        <f>IF(H4633="","",ROW()-4)</f>
        <v/>
      </c>
    </row>
    <row r="4634">
      <c r="A4634" s="13">
        <f>IF(H4634="","",ROW()-4)</f>
        <v/>
      </c>
      <c r="B4634" s="13">
        <f>IF(H4634="","",ROW()-4)</f>
        <v/>
      </c>
    </row>
    <row r="4635">
      <c r="A4635" s="13">
        <f>IF(H4635="","",ROW()-4)</f>
        <v/>
      </c>
      <c r="B4635" s="13">
        <f>IF(H4635="","",ROW()-4)</f>
        <v/>
      </c>
    </row>
    <row r="4636">
      <c r="A4636" s="13">
        <f>IF(H4636="","",ROW()-4)</f>
        <v/>
      </c>
      <c r="B4636" s="13">
        <f>IF(H4636="","",ROW()-4)</f>
        <v/>
      </c>
    </row>
    <row r="4637">
      <c r="A4637" s="13">
        <f>IF(H4637="","",ROW()-4)</f>
        <v/>
      </c>
      <c r="B4637" s="13">
        <f>IF(H4637="","",ROW()-4)</f>
        <v/>
      </c>
    </row>
    <row r="4638">
      <c r="A4638" s="13">
        <f>IF(H4638="","",ROW()-4)</f>
        <v/>
      </c>
      <c r="B4638" s="13">
        <f>IF(H4638="","",ROW()-4)</f>
        <v/>
      </c>
    </row>
    <row r="4639">
      <c r="A4639" s="13">
        <f>IF(H4639="","",ROW()-4)</f>
        <v/>
      </c>
      <c r="B4639" s="13">
        <f>IF(H4639="","",ROW()-4)</f>
        <v/>
      </c>
    </row>
    <row r="4640">
      <c r="A4640" s="13">
        <f>IF(H4640="","",ROW()-4)</f>
        <v/>
      </c>
      <c r="B4640" s="13">
        <f>IF(H4640="","",ROW()-4)</f>
        <v/>
      </c>
    </row>
    <row r="4641">
      <c r="A4641" s="13">
        <f>IF(H4641="","",ROW()-4)</f>
        <v/>
      </c>
      <c r="B4641" s="13">
        <f>IF(H4641="","",ROW()-4)</f>
        <v/>
      </c>
    </row>
    <row r="4642">
      <c r="A4642" s="13">
        <f>IF(H4642="","",ROW()-4)</f>
        <v/>
      </c>
      <c r="B4642" s="13">
        <f>IF(H4642="","",ROW()-4)</f>
        <v/>
      </c>
    </row>
    <row r="4643">
      <c r="A4643" s="13">
        <f>IF(H4643="","",ROW()-4)</f>
        <v/>
      </c>
      <c r="B4643" s="13">
        <f>IF(H4643="","",ROW()-4)</f>
        <v/>
      </c>
    </row>
    <row r="4644">
      <c r="A4644" s="13">
        <f>IF(H4644="","",ROW()-4)</f>
        <v/>
      </c>
      <c r="B4644" s="13">
        <f>IF(H4644="","",ROW()-4)</f>
        <v/>
      </c>
    </row>
    <row r="4645">
      <c r="A4645" s="13">
        <f>IF(H4645="","",ROW()-4)</f>
        <v/>
      </c>
      <c r="B4645" s="13">
        <f>IF(H4645="","",ROW()-4)</f>
        <v/>
      </c>
    </row>
    <row r="4646">
      <c r="A4646" s="13">
        <f>IF(H4646="","",ROW()-4)</f>
        <v/>
      </c>
      <c r="B4646" s="13">
        <f>IF(H4646="","",ROW()-4)</f>
        <v/>
      </c>
    </row>
    <row r="4647">
      <c r="A4647" s="13">
        <f>IF(H4647="","",ROW()-4)</f>
        <v/>
      </c>
      <c r="B4647" s="13">
        <f>IF(H4647="","",ROW()-4)</f>
        <v/>
      </c>
    </row>
    <row r="4648">
      <c r="A4648" s="13">
        <f>IF(H4648="","",ROW()-4)</f>
        <v/>
      </c>
      <c r="B4648" s="13">
        <f>IF(H4648="","",ROW()-4)</f>
        <v/>
      </c>
    </row>
    <row r="4649">
      <c r="A4649" s="13">
        <f>IF(H4649="","",ROW()-4)</f>
        <v/>
      </c>
      <c r="B4649" s="13">
        <f>IF(H4649="","",ROW()-4)</f>
        <v/>
      </c>
    </row>
    <row r="4650">
      <c r="A4650" s="13">
        <f>IF(H4650="","",ROW()-4)</f>
        <v/>
      </c>
      <c r="B4650" s="13">
        <f>IF(H4650="","",ROW()-4)</f>
        <v/>
      </c>
    </row>
    <row r="4651">
      <c r="A4651" s="13">
        <f>IF(H4651="","",ROW()-4)</f>
        <v/>
      </c>
      <c r="B4651" s="13">
        <f>IF(H4651="","",ROW()-4)</f>
        <v/>
      </c>
    </row>
    <row r="4652">
      <c r="A4652" s="13">
        <f>IF(H4652="","",ROW()-4)</f>
        <v/>
      </c>
      <c r="B4652" s="13">
        <f>IF(H4652="","",ROW()-4)</f>
        <v/>
      </c>
    </row>
    <row r="4653">
      <c r="A4653" s="13">
        <f>IF(H4653="","",ROW()-4)</f>
        <v/>
      </c>
      <c r="B4653" s="13">
        <f>IF(H4653="","",ROW()-4)</f>
        <v/>
      </c>
    </row>
    <row r="4654">
      <c r="A4654" s="13">
        <f>IF(H4654="","",ROW()-4)</f>
        <v/>
      </c>
      <c r="B4654" s="13">
        <f>IF(H4654="","",ROW()-4)</f>
        <v/>
      </c>
    </row>
    <row r="4655">
      <c r="A4655" s="13">
        <f>IF(H4655="","",ROW()-4)</f>
        <v/>
      </c>
      <c r="B4655" s="13">
        <f>IF(H4655="","",ROW()-4)</f>
        <v/>
      </c>
    </row>
    <row r="4656">
      <c r="A4656" s="13">
        <f>IF(H4656="","",ROW()-4)</f>
        <v/>
      </c>
      <c r="B4656" s="13">
        <f>IF(H4656="","",ROW()-4)</f>
        <v/>
      </c>
    </row>
    <row r="4657">
      <c r="A4657" s="13">
        <f>IF(H4657="","",ROW()-4)</f>
        <v/>
      </c>
      <c r="B4657" s="13">
        <f>IF(H4657="","",ROW()-4)</f>
        <v/>
      </c>
    </row>
    <row r="4658">
      <c r="A4658" s="13">
        <f>IF(H4658="","",ROW()-4)</f>
        <v/>
      </c>
      <c r="B4658" s="13">
        <f>IF(H4658="","",ROW()-4)</f>
        <v/>
      </c>
    </row>
    <row r="4659">
      <c r="A4659" s="13">
        <f>IF(H4659="","",ROW()-4)</f>
        <v/>
      </c>
      <c r="B4659" s="13">
        <f>IF(H4659="","",ROW()-4)</f>
        <v/>
      </c>
    </row>
    <row r="4660">
      <c r="A4660" s="13">
        <f>IF(H4660="","",ROW()-4)</f>
        <v/>
      </c>
      <c r="B4660" s="13">
        <f>IF(H4660="","",ROW()-4)</f>
        <v/>
      </c>
    </row>
    <row r="4661">
      <c r="A4661" s="13">
        <f>IF(H4661="","",ROW()-4)</f>
        <v/>
      </c>
      <c r="B4661" s="13">
        <f>IF(H4661="","",ROW()-4)</f>
        <v/>
      </c>
    </row>
    <row r="4662">
      <c r="A4662" s="13">
        <f>IF(H4662="","",ROW()-4)</f>
        <v/>
      </c>
      <c r="B4662" s="13">
        <f>IF(H4662="","",ROW()-4)</f>
        <v/>
      </c>
    </row>
    <row r="4663">
      <c r="A4663" s="13">
        <f>IF(H4663="","",ROW()-4)</f>
        <v/>
      </c>
      <c r="B4663" s="13">
        <f>IF(H4663="","",ROW()-4)</f>
        <v/>
      </c>
    </row>
    <row r="4664">
      <c r="A4664" s="13">
        <f>IF(H4664="","",ROW()-4)</f>
        <v/>
      </c>
      <c r="B4664" s="13">
        <f>IF(H4664="","",ROW()-4)</f>
        <v/>
      </c>
    </row>
    <row r="4665">
      <c r="A4665" s="13">
        <f>IF(H4665="","",ROW()-4)</f>
        <v/>
      </c>
      <c r="B4665" s="13">
        <f>IF(H4665="","",ROW()-4)</f>
        <v/>
      </c>
    </row>
    <row r="4666">
      <c r="A4666" s="13">
        <f>IF(H4666="","",ROW()-4)</f>
        <v/>
      </c>
      <c r="B4666" s="13">
        <f>IF(H4666="","",ROW()-4)</f>
        <v/>
      </c>
    </row>
    <row r="4667">
      <c r="A4667" s="13">
        <f>IF(H4667="","",ROW()-4)</f>
        <v/>
      </c>
      <c r="B4667" s="13">
        <f>IF(H4667="","",ROW()-4)</f>
        <v/>
      </c>
    </row>
    <row r="4668">
      <c r="A4668" s="13">
        <f>IF(H4668="","",ROW()-4)</f>
        <v/>
      </c>
      <c r="B4668" s="13">
        <f>IF(H4668="","",ROW()-4)</f>
        <v/>
      </c>
    </row>
    <row r="4669">
      <c r="A4669" s="13">
        <f>IF(H4669="","",ROW()-4)</f>
        <v/>
      </c>
      <c r="B4669" s="13">
        <f>IF(H4669="","",ROW()-4)</f>
        <v/>
      </c>
    </row>
    <row r="4670">
      <c r="A4670" s="13">
        <f>IF(H4670="","",ROW()-4)</f>
        <v/>
      </c>
      <c r="B4670" s="13">
        <f>IF(H4670="","",ROW()-4)</f>
        <v/>
      </c>
    </row>
    <row r="4671">
      <c r="A4671" s="13">
        <f>IF(H4671="","",ROW()-4)</f>
        <v/>
      </c>
      <c r="B4671" s="13">
        <f>IF(H4671="","",ROW()-4)</f>
        <v/>
      </c>
    </row>
    <row r="4672">
      <c r="A4672" s="13">
        <f>IF(H4672="","",ROW()-4)</f>
        <v/>
      </c>
      <c r="B4672" s="13">
        <f>IF(H4672="","",ROW()-4)</f>
        <v/>
      </c>
    </row>
    <row r="4673">
      <c r="A4673" s="13">
        <f>IF(H4673="","",ROW()-4)</f>
        <v/>
      </c>
      <c r="B4673" s="13">
        <f>IF(H4673="","",ROW()-4)</f>
        <v/>
      </c>
    </row>
    <row r="4674">
      <c r="A4674" s="13">
        <f>IF(H4674="","",ROW()-4)</f>
        <v/>
      </c>
      <c r="B4674" s="13">
        <f>IF(H4674="","",ROW()-4)</f>
        <v/>
      </c>
    </row>
    <row r="4675">
      <c r="A4675" s="13">
        <f>IF(H4675="","",ROW()-4)</f>
        <v/>
      </c>
      <c r="B4675" s="13">
        <f>IF(H4675="","",ROW()-4)</f>
        <v/>
      </c>
    </row>
    <row r="4676">
      <c r="A4676" s="13">
        <f>IF(H4676="","",ROW()-4)</f>
        <v/>
      </c>
      <c r="B4676" s="13">
        <f>IF(H4676="","",ROW()-4)</f>
        <v/>
      </c>
    </row>
    <row r="4677">
      <c r="A4677" s="13">
        <f>IF(H4677="","",ROW()-4)</f>
        <v/>
      </c>
      <c r="B4677" s="13">
        <f>IF(H4677="","",ROW()-4)</f>
        <v/>
      </c>
    </row>
    <row r="4678">
      <c r="A4678" s="13">
        <f>IF(H4678="","",ROW()-4)</f>
        <v/>
      </c>
      <c r="B4678" s="13">
        <f>IF(H4678="","",ROW()-4)</f>
        <v/>
      </c>
    </row>
    <row r="4679">
      <c r="A4679" s="13">
        <f>IF(H4679="","",ROW()-4)</f>
        <v/>
      </c>
      <c r="B4679" s="13">
        <f>IF(H4679="","",ROW()-4)</f>
        <v/>
      </c>
    </row>
    <row r="4680">
      <c r="A4680" s="13">
        <f>IF(H4680="","",ROW()-4)</f>
        <v/>
      </c>
      <c r="B4680" s="13">
        <f>IF(H4680="","",ROW()-4)</f>
        <v/>
      </c>
    </row>
    <row r="4681">
      <c r="A4681" s="13">
        <f>IF(H4681="","",ROW()-4)</f>
        <v/>
      </c>
      <c r="B4681" s="13">
        <f>IF(H4681="","",ROW()-4)</f>
        <v/>
      </c>
    </row>
    <row r="4682">
      <c r="A4682" s="13">
        <f>IF(H4682="","",ROW()-4)</f>
        <v/>
      </c>
      <c r="B4682" s="13">
        <f>IF(H4682="","",ROW()-4)</f>
        <v/>
      </c>
    </row>
    <row r="4683">
      <c r="A4683" s="13">
        <f>IF(H4683="","",ROW()-4)</f>
        <v/>
      </c>
      <c r="B4683" s="13">
        <f>IF(H4683="","",ROW()-4)</f>
        <v/>
      </c>
    </row>
    <row r="4684">
      <c r="A4684" s="13">
        <f>IF(H4684="","",ROW()-4)</f>
        <v/>
      </c>
      <c r="B4684" s="13">
        <f>IF(H4684="","",ROW()-4)</f>
        <v/>
      </c>
    </row>
    <row r="4685">
      <c r="A4685" s="13">
        <f>IF(H4685="","",ROW()-4)</f>
        <v/>
      </c>
      <c r="B4685" s="13">
        <f>IF(H4685="","",ROW()-4)</f>
        <v/>
      </c>
    </row>
    <row r="4686">
      <c r="A4686" s="13">
        <f>IF(H4686="","",ROW()-4)</f>
        <v/>
      </c>
      <c r="B4686" s="13">
        <f>IF(H4686="","",ROW()-4)</f>
        <v/>
      </c>
    </row>
    <row r="4687">
      <c r="A4687" s="13">
        <f>IF(H4687="","",ROW()-4)</f>
        <v/>
      </c>
      <c r="B4687" s="13">
        <f>IF(H4687="","",ROW()-4)</f>
        <v/>
      </c>
    </row>
    <row r="4688">
      <c r="A4688" s="13">
        <f>IF(H4688="","",ROW()-4)</f>
        <v/>
      </c>
      <c r="B4688" s="13">
        <f>IF(H4688="","",ROW()-4)</f>
        <v/>
      </c>
    </row>
    <row r="4689">
      <c r="A4689" s="13">
        <f>IF(H4689="","",ROW()-4)</f>
        <v/>
      </c>
      <c r="B4689" s="13">
        <f>IF(H4689="","",ROW()-4)</f>
        <v/>
      </c>
    </row>
    <row r="4690">
      <c r="A4690" s="13">
        <f>IF(H4690="","",ROW()-4)</f>
        <v/>
      </c>
      <c r="B4690" s="13">
        <f>IF(H4690="","",ROW()-4)</f>
        <v/>
      </c>
    </row>
    <row r="4691">
      <c r="A4691" s="13">
        <f>IF(H4691="","",ROW()-4)</f>
        <v/>
      </c>
      <c r="B4691" s="13">
        <f>IF(H4691="","",ROW()-4)</f>
        <v/>
      </c>
    </row>
    <row r="4692">
      <c r="A4692" s="13">
        <f>IF(H4692="","",ROW()-4)</f>
        <v/>
      </c>
      <c r="B4692" s="13">
        <f>IF(H4692="","",ROW()-4)</f>
        <v/>
      </c>
    </row>
    <row r="4693">
      <c r="A4693" s="13">
        <f>IF(H4693="","",ROW()-4)</f>
        <v/>
      </c>
      <c r="B4693" s="13">
        <f>IF(H4693="","",ROW()-4)</f>
        <v/>
      </c>
    </row>
    <row r="4694">
      <c r="A4694" s="13">
        <f>IF(H4694="","",ROW()-4)</f>
        <v/>
      </c>
      <c r="B4694" s="13">
        <f>IF(H4694="","",ROW()-4)</f>
        <v/>
      </c>
    </row>
    <row r="4695">
      <c r="A4695" s="13">
        <f>IF(H4695="","",ROW()-4)</f>
        <v/>
      </c>
      <c r="B4695" s="13">
        <f>IF(H4695="","",ROW()-4)</f>
        <v/>
      </c>
    </row>
    <row r="4696">
      <c r="A4696" s="13">
        <f>IF(H4696="","",ROW()-4)</f>
        <v/>
      </c>
      <c r="B4696" s="13">
        <f>IF(H4696="","",ROW()-4)</f>
        <v/>
      </c>
    </row>
    <row r="4697">
      <c r="A4697" s="13">
        <f>IF(H4697="","",ROW()-4)</f>
        <v/>
      </c>
      <c r="B4697" s="13">
        <f>IF(H4697="","",ROW()-4)</f>
        <v/>
      </c>
    </row>
    <row r="4698">
      <c r="A4698" s="13">
        <f>IF(H4698="","",ROW()-4)</f>
        <v/>
      </c>
      <c r="B4698" s="13">
        <f>IF(H4698="","",ROW()-4)</f>
        <v/>
      </c>
    </row>
    <row r="4699">
      <c r="A4699" s="13">
        <f>IF(H4699="","",ROW()-4)</f>
        <v/>
      </c>
      <c r="B4699" s="13">
        <f>IF(H4699="","",ROW()-4)</f>
        <v/>
      </c>
    </row>
    <row r="4700">
      <c r="A4700" s="13">
        <f>IF(H4700="","",ROW()-4)</f>
        <v/>
      </c>
      <c r="B4700" s="13">
        <f>IF(H4700="","",ROW()-4)</f>
        <v/>
      </c>
    </row>
    <row r="4701">
      <c r="A4701" s="13">
        <f>IF(H4701="","",ROW()-4)</f>
        <v/>
      </c>
      <c r="B4701" s="13">
        <f>IF(H4701="","",ROW()-4)</f>
        <v/>
      </c>
    </row>
    <row r="4702">
      <c r="A4702" s="13">
        <f>IF(H4702="","",ROW()-4)</f>
        <v/>
      </c>
      <c r="B4702" s="13">
        <f>IF(H4702="","",ROW()-4)</f>
        <v/>
      </c>
    </row>
    <row r="4703">
      <c r="A4703" s="13">
        <f>IF(H4703="","",ROW()-4)</f>
        <v/>
      </c>
      <c r="B4703" s="13">
        <f>IF(H4703="","",ROW()-4)</f>
        <v/>
      </c>
    </row>
    <row r="4704">
      <c r="A4704" s="13">
        <f>IF(H4704="","",ROW()-4)</f>
        <v/>
      </c>
      <c r="B4704" s="13">
        <f>IF(H4704="","",ROW()-4)</f>
        <v/>
      </c>
    </row>
    <row r="4705">
      <c r="A4705" s="13">
        <f>IF(H4705="","",ROW()-4)</f>
        <v/>
      </c>
      <c r="B4705" s="13">
        <f>IF(H4705="","",ROW()-4)</f>
        <v/>
      </c>
    </row>
    <row r="4706">
      <c r="A4706" s="13">
        <f>IF(H4706="","",ROW()-4)</f>
        <v/>
      </c>
      <c r="B4706" s="13">
        <f>IF(H4706="","",ROW()-4)</f>
        <v/>
      </c>
    </row>
    <row r="4707">
      <c r="A4707" s="13">
        <f>IF(H4707="","",ROW()-4)</f>
        <v/>
      </c>
      <c r="B4707" s="13">
        <f>IF(H4707="","",ROW()-4)</f>
        <v/>
      </c>
    </row>
    <row r="4708">
      <c r="A4708" s="13">
        <f>IF(H4708="","",ROW()-4)</f>
        <v/>
      </c>
      <c r="B4708" s="13">
        <f>IF(H4708="","",ROW()-4)</f>
        <v/>
      </c>
    </row>
    <row r="4709">
      <c r="A4709" s="13">
        <f>IF(H4709="","",ROW()-4)</f>
        <v/>
      </c>
      <c r="B4709" s="13">
        <f>IF(H4709="","",ROW()-4)</f>
        <v/>
      </c>
    </row>
    <row r="4710">
      <c r="A4710" s="13">
        <f>IF(H4710="","",ROW()-4)</f>
        <v/>
      </c>
      <c r="B4710" s="13">
        <f>IF(H4710="","",ROW()-4)</f>
        <v/>
      </c>
    </row>
    <row r="4711">
      <c r="A4711" s="13">
        <f>IF(H4711="","",ROW()-4)</f>
        <v/>
      </c>
      <c r="B4711" s="13">
        <f>IF(H4711="","",ROW()-4)</f>
        <v/>
      </c>
    </row>
    <row r="4712">
      <c r="A4712" s="13">
        <f>IF(H4712="","",ROW()-4)</f>
        <v/>
      </c>
      <c r="B4712" s="13">
        <f>IF(H4712="","",ROW()-4)</f>
        <v/>
      </c>
    </row>
    <row r="4713">
      <c r="A4713" s="13">
        <f>IF(H4713="","",ROW()-4)</f>
        <v/>
      </c>
      <c r="B4713" s="13">
        <f>IF(H4713="","",ROW()-4)</f>
        <v/>
      </c>
    </row>
    <row r="4714">
      <c r="A4714" s="13">
        <f>IF(H4714="","",ROW()-4)</f>
        <v/>
      </c>
      <c r="B4714" s="13">
        <f>IF(H4714="","",ROW()-4)</f>
        <v/>
      </c>
    </row>
    <row r="4715">
      <c r="A4715" s="13">
        <f>IF(H4715="","",ROW()-4)</f>
        <v/>
      </c>
      <c r="B4715" s="13">
        <f>IF(H4715="","",ROW()-4)</f>
        <v/>
      </c>
    </row>
    <row r="4716">
      <c r="A4716" s="13">
        <f>IF(H4716="","",ROW()-4)</f>
        <v/>
      </c>
      <c r="B4716" s="13">
        <f>IF(H4716="","",ROW()-4)</f>
        <v/>
      </c>
    </row>
    <row r="4717">
      <c r="A4717" s="13">
        <f>IF(H4717="","",ROW()-4)</f>
        <v/>
      </c>
      <c r="B4717" s="13">
        <f>IF(H4717="","",ROW()-4)</f>
        <v/>
      </c>
    </row>
    <row r="4718">
      <c r="A4718" s="13">
        <f>IF(H4718="","",ROW()-4)</f>
        <v/>
      </c>
      <c r="B4718" s="13">
        <f>IF(H4718="","",ROW()-4)</f>
        <v/>
      </c>
    </row>
    <row r="4719">
      <c r="A4719" s="13">
        <f>IF(H4719="","",ROW()-4)</f>
        <v/>
      </c>
      <c r="B4719" s="13">
        <f>IF(H4719="","",ROW()-4)</f>
        <v/>
      </c>
    </row>
    <row r="4720">
      <c r="A4720" s="13">
        <f>IF(H4720="","",ROW()-4)</f>
        <v/>
      </c>
      <c r="B4720" s="13">
        <f>IF(H4720="","",ROW()-4)</f>
        <v/>
      </c>
    </row>
    <row r="4721">
      <c r="A4721" s="13">
        <f>IF(H4721="","",ROW()-4)</f>
        <v/>
      </c>
      <c r="B4721" s="13">
        <f>IF(H4721="","",ROW()-4)</f>
        <v/>
      </c>
    </row>
    <row r="4722">
      <c r="A4722" s="13">
        <f>IF(H4722="","",ROW()-4)</f>
        <v/>
      </c>
      <c r="B4722" s="13">
        <f>IF(H4722="","",ROW()-4)</f>
        <v/>
      </c>
    </row>
    <row r="4723">
      <c r="A4723" s="13">
        <f>IF(H4723="","",ROW()-4)</f>
        <v/>
      </c>
      <c r="B4723" s="13">
        <f>IF(H4723="","",ROW()-4)</f>
        <v/>
      </c>
    </row>
    <row r="4724">
      <c r="A4724" s="13">
        <f>IF(H4724="","",ROW()-4)</f>
        <v/>
      </c>
      <c r="B4724" s="13">
        <f>IF(H4724="","",ROW()-4)</f>
        <v/>
      </c>
    </row>
    <row r="4725">
      <c r="A4725" s="13">
        <f>IF(H4725="","",ROW()-4)</f>
        <v/>
      </c>
      <c r="B4725" s="13">
        <f>IF(H4725="","",ROW()-4)</f>
        <v/>
      </c>
    </row>
    <row r="4726">
      <c r="A4726" s="13">
        <f>IF(H4726="","",ROW()-4)</f>
        <v/>
      </c>
      <c r="B4726" s="13">
        <f>IF(H4726="","",ROW()-4)</f>
        <v/>
      </c>
    </row>
    <row r="4727">
      <c r="A4727" s="13">
        <f>IF(H4727="","",ROW()-4)</f>
        <v/>
      </c>
      <c r="B4727" s="13">
        <f>IF(H4727="","",ROW()-4)</f>
        <v/>
      </c>
    </row>
    <row r="4728">
      <c r="A4728" s="13">
        <f>IF(H4728="","",ROW()-4)</f>
        <v/>
      </c>
      <c r="B4728" s="13">
        <f>IF(H4728="","",ROW()-4)</f>
        <v/>
      </c>
    </row>
    <row r="4729">
      <c r="A4729" s="13">
        <f>IF(H4729="","",ROW()-4)</f>
        <v/>
      </c>
      <c r="B4729" s="13">
        <f>IF(H4729="","",ROW()-4)</f>
        <v/>
      </c>
    </row>
    <row r="4730">
      <c r="A4730" s="13">
        <f>IF(H4730="","",ROW()-4)</f>
        <v/>
      </c>
      <c r="B4730" s="13">
        <f>IF(H4730="","",ROW()-4)</f>
        <v/>
      </c>
    </row>
    <row r="4731">
      <c r="A4731" s="13">
        <f>IF(H4731="","",ROW()-4)</f>
        <v/>
      </c>
      <c r="B4731" s="13">
        <f>IF(H4731="","",ROW()-4)</f>
        <v/>
      </c>
    </row>
    <row r="4732">
      <c r="A4732" s="13">
        <f>IF(H4732="","",ROW()-4)</f>
        <v/>
      </c>
      <c r="B4732" s="13">
        <f>IF(H4732="","",ROW()-4)</f>
        <v/>
      </c>
    </row>
    <row r="4733">
      <c r="A4733" s="13">
        <f>IF(H4733="","",ROW()-4)</f>
        <v/>
      </c>
      <c r="B4733" s="13">
        <f>IF(H4733="","",ROW()-4)</f>
        <v/>
      </c>
    </row>
    <row r="4734">
      <c r="A4734" s="13">
        <f>IF(H4734="","",ROW()-4)</f>
        <v/>
      </c>
      <c r="B4734" s="13">
        <f>IF(H4734="","",ROW()-4)</f>
        <v/>
      </c>
    </row>
    <row r="4735">
      <c r="A4735" s="13">
        <f>IF(H4735="","",ROW()-4)</f>
        <v/>
      </c>
      <c r="B4735" s="13">
        <f>IF(H4735="","",ROW()-4)</f>
        <v/>
      </c>
    </row>
    <row r="4736">
      <c r="A4736" s="13">
        <f>IF(H4736="","",ROW()-4)</f>
        <v/>
      </c>
      <c r="B4736" s="13">
        <f>IF(H4736="","",ROW()-4)</f>
        <v/>
      </c>
    </row>
    <row r="4737">
      <c r="A4737" s="13">
        <f>IF(H4737="","",ROW()-4)</f>
        <v/>
      </c>
      <c r="B4737" s="13">
        <f>IF(H4737="","",ROW()-4)</f>
        <v/>
      </c>
    </row>
    <row r="4738">
      <c r="A4738" s="13">
        <f>IF(H4738="","",ROW()-4)</f>
        <v/>
      </c>
      <c r="B4738" s="13">
        <f>IF(H4738="","",ROW()-4)</f>
        <v/>
      </c>
    </row>
    <row r="4739">
      <c r="A4739" s="13">
        <f>IF(H4739="","",ROW()-4)</f>
        <v/>
      </c>
      <c r="B4739" s="13">
        <f>IF(H4739="","",ROW()-4)</f>
        <v/>
      </c>
    </row>
    <row r="4740">
      <c r="A4740" s="13">
        <f>IF(H4740="","",ROW()-4)</f>
        <v/>
      </c>
      <c r="B4740" s="13">
        <f>IF(H4740="","",ROW()-4)</f>
        <v/>
      </c>
    </row>
    <row r="4741">
      <c r="A4741" s="13">
        <f>IF(H4741="","",ROW()-4)</f>
        <v/>
      </c>
      <c r="B4741" s="13">
        <f>IF(H4741="","",ROW()-4)</f>
        <v/>
      </c>
    </row>
    <row r="4742">
      <c r="A4742" s="13">
        <f>IF(H4742="","",ROW()-4)</f>
        <v/>
      </c>
      <c r="B4742" s="13">
        <f>IF(H4742="","",ROW()-4)</f>
        <v/>
      </c>
    </row>
    <row r="4743">
      <c r="A4743" s="13">
        <f>IF(H4743="","",ROW()-4)</f>
        <v/>
      </c>
      <c r="B4743" s="13">
        <f>IF(H4743="","",ROW()-4)</f>
        <v/>
      </c>
    </row>
    <row r="4744">
      <c r="A4744" s="13">
        <f>IF(H4744="","",ROW()-4)</f>
        <v/>
      </c>
      <c r="B4744" s="13">
        <f>IF(H4744="","",ROW()-4)</f>
        <v/>
      </c>
    </row>
    <row r="4745">
      <c r="A4745" s="13">
        <f>IF(H4745="","",ROW()-4)</f>
        <v/>
      </c>
      <c r="B4745" s="13">
        <f>IF(H4745="","",ROW()-4)</f>
        <v/>
      </c>
    </row>
    <row r="4746">
      <c r="A4746" s="13">
        <f>IF(H4746="","",ROW()-4)</f>
        <v/>
      </c>
      <c r="B4746" s="13">
        <f>IF(H4746="","",ROW()-4)</f>
        <v/>
      </c>
    </row>
    <row r="4747">
      <c r="A4747" s="13">
        <f>IF(H4747="","",ROW()-4)</f>
        <v/>
      </c>
      <c r="B4747" s="13">
        <f>IF(H4747="","",ROW()-4)</f>
        <v/>
      </c>
    </row>
    <row r="4748">
      <c r="A4748" s="13">
        <f>IF(H4748="","",ROW()-4)</f>
        <v/>
      </c>
      <c r="B4748" s="13">
        <f>IF(H4748="","",ROW()-4)</f>
        <v/>
      </c>
    </row>
    <row r="4749">
      <c r="A4749" s="13">
        <f>IF(H4749="","",ROW()-4)</f>
        <v/>
      </c>
      <c r="B4749" s="13">
        <f>IF(H4749="","",ROW()-4)</f>
        <v/>
      </c>
    </row>
    <row r="4750">
      <c r="A4750" s="13">
        <f>IF(H4750="","",ROW()-4)</f>
        <v/>
      </c>
      <c r="B4750" s="13">
        <f>IF(H4750="","",ROW()-4)</f>
        <v/>
      </c>
    </row>
    <row r="4751">
      <c r="A4751" s="13">
        <f>IF(H4751="","",ROW()-4)</f>
        <v/>
      </c>
      <c r="B4751" s="13">
        <f>IF(H4751="","",ROW()-4)</f>
        <v/>
      </c>
    </row>
    <row r="4752">
      <c r="A4752" s="13">
        <f>IF(H4752="","",ROW()-4)</f>
        <v/>
      </c>
      <c r="B4752" s="13">
        <f>IF(H4752="","",ROW()-4)</f>
        <v/>
      </c>
    </row>
    <row r="4753">
      <c r="A4753" s="13">
        <f>IF(H4753="","",ROW()-4)</f>
        <v/>
      </c>
      <c r="B4753" s="13">
        <f>IF(H4753="","",ROW()-4)</f>
        <v/>
      </c>
    </row>
    <row r="4754">
      <c r="A4754" s="13">
        <f>IF(H4754="","",ROW()-4)</f>
        <v/>
      </c>
      <c r="B4754" s="13">
        <f>IF(H4754="","",ROW()-4)</f>
        <v/>
      </c>
    </row>
    <row r="4755">
      <c r="A4755" s="13">
        <f>IF(H4755="","",ROW()-4)</f>
        <v/>
      </c>
      <c r="B4755" s="13">
        <f>IF(H4755="","",ROW()-4)</f>
        <v/>
      </c>
    </row>
    <row r="4756">
      <c r="A4756" s="13">
        <f>IF(H4756="","",ROW()-4)</f>
        <v/>
      </c>
      <c r="B4756" s="13">
        <f>IF(H4756="","",ROW()-4)</f>
        <v/>
      </c>
    </row>
    <row r="4757">
      <c r="A4757" s="13">
        <f>IF(H4757="","",ROW()-4)</f>
        <v/>
      </c>
      <c r="B4757" s="13">
        <f>IF(H4757="","",ROW()-4)</f>
        <v/>
      </c>
    </row>
    <row r="4758">
      <c r="A4758" s="13">
        <f>IF(H4758="","",ROW()-4)</f>
        <v/>
      </c>
      <c r="B4758" s="13">
        <f>IF(H4758="","",ROW()-4)</f>
        <v/>
      </c>
    </row>
    <row r="4759">
      <c r="A4759" s="13">
        <f>IF(H4759="","",ROW()-4)</f>
        <v/>
      </c>
      <c r="B4759" s="13">
        <f>IF(H4759="","",ROW()-4)</f>
        <v/>
      </c>
    </row>
    <row r="4760">
      <c r="A4760" s="13">
        <f>IF(H4760="","",ROW()-4)</f>
        <v/>
      </c>
      <c r="B4760" s="13">
        <f>IF(H4760="","",ROW()-4)</f>
        <v/>
      </c>
    </row>
    <row r="4761">
      <c r="A4761" s="13">
        <f>IF(H4761="","",ROW()-4)</f>
        <v/>
      </c>
      <c r="B4761" s="13">
        <f>IF(H4761="","",ROW()-4)</f>
        <v/>
      </c>
    </row>
    <row r="4762">
      <c r="A4762" s="13">
        <f>IF(H4762="","",ROW()-4)</f>
        <v/>
      </c>
      <c r="B4762" s="13">
        <f>IF(H4762="","",ROW()-4)</f>
        <v/>
      </c>
    </row>
    <row r="4763">
      <c r="A4763" s="13">
        <f>IF(H4763="","",ROW()-4)</f>
        <v/>
      </c>
      <c r="B4763" s="13">
        <f>IF(H4763="","",ROW()-4)</f>
        <v/>
      </c>
    </row>
    <row r="4764">
      <c r="A4764" s="13">
        <f>IF(H4764="","",ROW()-4)</f>
        <v/>
      </c>
      <c r="B4764" s="13">
        <f>IF(H4764="","",ROW()-4)</f>
        <v/>
      </c>
    </row>
    <row r="4765">
      <c r="A4765" s="13">
        <f>IF(H4765="","",ROW()-4)</f>
        <v/>
      </c>
      <c r="B4765" s="13">
        <f>IF(H4765="","",ROW()-4)</f>
        <v/>
      </c>
    </row>
    <row r="4766">
      <c r="A4766" s="13">
        <f>IF(H4766="","",ROW()-4)</f>
        <v/>
      </c>
      <c r="B4766" s="13">
        <f>IF(H4766="","",ROW()-4)</f>
        <v/>
      </c>
    </row>
    <row r="4767">
      <c r="A4767" s="13">
        <f>IF(H4767="","",ROW()-4)</f>
        <v/>
      </c>
      <c r="B4767" s="13">
        <f>IF(H4767="","",ROW()-4)</f>
        <v/>
      </c>
    </row>
    <row r="4768">
      <c r="A4768" s="13">
        <f>IF(H4768="","",ROW()-4)</f>
        <v/>
      </c>
      <c r="B4768" s="13">
        <f>IF(H4768="","",ROW()-4)</f>
        <v/>
      </c>
    </row>
    <row r="4769">
      <c r="A4769" s="13">
        <f>IF(H4769="","",ROW()-4)</f>
        <v/>
      </c>
      <c r="B4769" s="13">
        <f>IF(H4769="","",ROW()-4)</f>
        <v/>
      </c>
    </row>
    <row r="4770">
      <c r="A4770" s="13">
        <f>IF(H4770="","",ROW()-4)</f>
        <v/>
      </c>
      <c r="B4770" s="13">
        <f>IF(H4770="","",ROW()-4)</f>
        <v/>
      </c>
    </row>
    <row r="4771">
      <c r="A4771" s="13">
        <f>IF(H4771="","",ROW()-4)</f>
        <v/>
      </c>
      <c r="B4771" s="13">
        <f>IF(H4771="","",ROW()-4)</f>
        <v/>
      </c>
    </row>
    <row r="4772">
      <c r="A4772" s="13">
        <f>IF(H4772="","",ROW()-4)</f>
        <v/>
      </c>
      <c r="B4772" s="13">
        <f>IF(H4772="","",ROW()-4)</f>
        <v/>
      </c>
    </row>
    <row r="4773">
      <c r="A4773" s="13">
        <f>IF(H4773="","",ROW()-4)</f>
        <v/>
      </c>
      <c r="B4773" s="13">
        <f>IF(H4773="","",ROW()-4)</f>
        <v/>
      </c>
    </row>
    <row r="4774">
      <c r="A4774" s="13">
        <f>IF(H4774="","",ROW()-4)</f>
        <v/>
      </c>
      <c r="B4774" s="13">
        <f>IF(H4774="","",ROW()-4)</f>
        <v/>
      </c>
    </row>
    <row r="4775">
      <c r="A4775" s="13">
        <f>IF(H4775="","",ROW()-4)</f>
        <v/>
      </c>
      <c r="B4775" s="13">
        <f>IF(H4775="","",ROW()-4)</f>
        <v/>
      </c>
    </row>
    <row r="4776">
      <c r="A4776" s="13">
        <f>IF(H4776="","",ROW()-4)</f>
        <v/>
      </c>
      <c r="B4776" s="13">
        <f>IF(H4776="","",ROW()-4)</f>
        <v/>
      </c>
    </row>
    <row r="4777">
      <c r="A4777" s="13">
        <f>IF(H4777="","",ROW()-4)</f>
        <v/>
      </c>
      <c r="B4777" s="13">
        <f>IF(H4777="","",ROW()-4)</f>
        <v/>
      </c>
    </row>
    <row r="4778">
      <c r="A4778" s="13">
        <f>IF(H4778="","",ROW()-4)</f>
        <v/>
      </c>
      <c r="B4778" s="13">
        <f>IF(H4778="","",ROW()-4)</f>
        <v/>
      </c>
    </row>
    <row r="4779">
      <c r="A4779" s="13">
        <f>IF(H4779="","",ROW()-4)</f>
        <v/>
      </c>
      <c r="B4779" s="13">
        <f>IF(H4779="","",ROW()-4)</f>
        <v/>
      </c>
    </row>
    <row r="4780">
      <c r="A4780" s="13">
        <f>IF(H4780="","",ROW()-4)</f>
        <v/>
      </c>
      <c r="B4780" s="13">
        <f>IF(H4780="","",ROW()-4)</f>
        <v/>
      </c>
    </row>
    <row r="4781">
      <c r="A4781" s="13">
        <f>IF(H4781="","",ROW()-4)</f>
        <v/>
      </c>
      <c r="B4781" s="13">
        <f>IF(H4781="","",ROW()-4)</f>
        <v/>
      </c>
    </row>
    <row r="4782">
      <c r="A4782" s="13">
        <f>IF(H4782="","",ROW()-4)</f>
        <v/>
      </c>
      <c r="B4782" s="13">
        <f>IF(H4782="","",ROW()-4)</f>
        <v/>
      </c>
    </row>
    <row r="4783">
      <c r="A4783" s="13">
        <f>IF(H4783="","",ROW()-4)</f>
        <v/>
      </c>
      <c r="B4783" s="13">
        <f>IF(H4783="","",ROW()-4)</f>
        <v/>
      </c>
    </row>
    <row r="4784">
      <c r="A4784" s="13">
        <f>IF(H4784="","",ROW()-4)</f>
        <v/>
      </c>
      <c r="B4784" s="13">
        <f>IF(H4784="","",ROW()-4)</f>
        <v/>
      </c>
    </row>
    <row r="4785">
      <c r="A4785" s="13">
        <f>IF(H4785="","",ROW()-4)</f>
        <v/>
      </c>
      <c r="B4785" s="13">
        <f>IF(H4785="","",ROW()-4)</f>
        <v/>
      </c>
    </row>
    <row r="4786">
      <c r="A4786" s="13">
        <f>IF(H4786="","",ROW()-4)</f>
        <v/>
      </c>
      <c r="B4786" s="13">
        <f>IF(H4786="","",ROW()-4)</f>
        <v/>
      </c>
    </row>
    <row r="4787">
      <c r="A4787" s="13">
        <f>IF(H4787="","",ROW()-4)</f>
        <v/>
      </c>
      <c r="B4787" s="13">
        <f>IF(H4787="","",ROW()-4)</f>
        <v/>
      </c>
    </row>
    <row r="4788">
      <c r="A4788" s="13">
        <f>IF(H4788="","",ROW()-4)</f>
        <v/>
      </c>
      <c r="B4788" s="13">
        <f>IF(H4788="","",ROW()-4)</f>
        <v/>
      </c>
    </row>
    <row r="4789">
      <c r="A4789" s="13">
        <f>IF(H4789="","",ROW()-4)</f>
        <v/>
      </c>
      <c r="B4789" s="13">
        <f>IF(H4789="","",ROW()-4)</f>
        <v/>
      </c>
    </row>
    <row r="4790">
      <c r="A4790" s="13">
        <f>IF(H4790="","",ROW()-4)</f>
        <v/>
      </c>
      <c r="B4790" s="13">
        <f>IF(H4790="","",ROW()-4)</f>
        <v/>
      </c>
    </row>
    <row r="4791">
      <c r="A4791" s="13">
        <f>IF(H4791="","",ROW()-4)</f>
        <v/>
      </c>
      <c r="B4791" s="13">
        <f>IF(H4791="","",ROW()-4)</f>
        <v/>
      </c>
    </row>
    <row r="4792">
      <c r="A4792" s="13">
        <f>IF(H4792="","",ROW()-4)</f>
        <v/>
      </c>
      <c r="B4792" s="13">
        <f>IF(H4792="","",ROW()-4)</f>
        <v/>
      </c>
    </row>
    <row r="4793">
      <c r="A4793" s="13">
        <f>IF(H4793="","",ROW()-4)</f>
        <v/>
      </c>
      <c r="B4793" s="13">
        <f>IF(H4793="","",ROW()-4)</f>
        <v/>
      </c>
    </row>
    <row r="4794">
      <c r="A4794" s="13">
        <f>IF(H4794="","",ROW()-4)</f>
        <v/>
      </c>
      <c r="B4794" s="13">
        <f>IF(H4794="","",ROW()-4)</f>
        <v/>
      </c>
    </row>
    <row r="4795">
      <c r="A4795" s="13">
        <f>IF(H4795="","",ROW()-4)</f>
        <v/>
      </c>
      <c r="B4795" s="13">
        <f>IF(H4795="","",ROW()-4)</f>
        <v/>
      </c>
    </row>
    <row r="4796">
      <c r="A4796" s="13">
        <f>IF(H4796="","",ROW()-4)</f>
        <v/>
      </c>
      <c r="B4796" s="13">
        <f>IF(H4796="","",ROW()-4)</f>
        <v/>
      </c>
    </row>
    <row r="4797">
      <c r="A4797" s="13">
        <f>IF(H4797="","",ROW()-4)</f>
        <v/>
      </c>
      <c r="B4797" s="13">
        <f>IF(H4797="","",ROW()-4)</f>
        <v/>
      </c>
    </row>
    <row r="4798">
      <c r="A4798" s="13">
        <f>IF(H4798="","",ROW()-4)</f>
        <v/>
      </c>
      <c r="B4798" s="13">
        <f>IF(H4798="","",ROW()-4)</f>
        <v/>
      </c>
    </row>
    <row r="4799">
      <c r="A4799" s="13">
        <f>IF(H4799="","",ROW()-4)</f>
        <v/>
      </c>
      <c r="B4799" s="13">
        <f>IF(H4799="","",ROW()-4)</f>
        <v/>
      </c>
    </row>
    <row r="4800">
      <c r="A4800" s="13">
        <f>IF(H4800="","",ROW()-4)</f>
        <v/>
      </c>
      <c r="B4800" s="13">
        <f>IF(H4800="","",ROW()-4)</f>
        <v/>
      </c>
    </row>
    <row r="4801">
      <c r="A4801" s="13">
        <f>IF(H4801="","",ROW()-4)</f>
        <v/>
      </c>
      <c r="B4801" s="13">
        <f>IF(H4801="","",ROW()-4)</f>
        <v/>
      </c>
    </row>
    <row r="4802">
      <c r="A4802" s="13">
        <f>IF(H4802="","",ROW()-4)</f>
        <v/>
      </c>
      <c r="B4802" s="13">
        <f>IF(H4802="","",ROW()-4)</f>
        <v/>
      </c>
    </row>
    <row r="4803">
      <c r="A4803" s="13">
        <f>IF(H4803="","",ROW()-4)</f>
        <v/>
      </c>
      <c r="B4803" s="13">
        <f>IF(H4803="","",ROW()-4)</f>
        <v/>
      </c>
    </row>
    <row r="4804">
      <c r="A4804" s="13">
        <f>IF(H4804="","",ROW()-4)</f>
        <v/>
      </c>
      <c r="B4804" s="13">
        <f>IF(H4804="","",ROW()-4)</f>
        <v/>
      </c>
    </row>
    <row r="4805">
      <c r="A4805" s="13">
        <f>IF(H4805="","",ROW()-4)</f>
        <v/>
      </c>
      <c r="B4805" s="13">
        <f>IF(H4805="","",ROW()-4)</f>
        <v/>
      </c>
    </row>
    <row r="4806">
      <c r="A4806" s="13">
        <f>IF(H4806="","",ROW()-4)</f>
        <v/>
      </c>
      <c r="B4806" s="13">
        <f>IF(H4806="","",ROW()-4)</f>
        <v/>
      </c>
    </row>
    <row r="4807">
      <c r="A4807" s="13">
        <f>IF(H4807="","",ROW()-4)</f>
        <v/>
      </c>
      <c r="B4807" s="13">
        <f>IF(H4807="","",ROW()-4)</f>
        <v/>
      </c>
    </row>
    <row r="4808">
      <c r="A4808" s="13">
        <f>IF(H4808="","",ROW()-4)</f>
        <v/>
      </c>
      <c r="B4808" s="13">
        <f>IF(H4808="","",ROW()-4)</f>
        <v/>
      </c>
    </row>
    <row r="4809">
      <c r="A4809" s="13">
        <f>IF(H4809="","",ROW()-4)</f>
        <v/>
      </c>
      <c r="B4809" s="13">
        <f>IF(H4809="","",ROW()-4)</f>
        <v/>
      </c>
    </row>
    <row r="4810">
      <c r="A4810" s="13">
        <f>IF(H4810="","",ROW()-4)</f>
        <v/>
      </c>
      <c r="B4810" s="13">
        <f>IF(H4810="","",ROW()-4)</f>
        <v/>
      </c>
    </row>
    <row r="4811">
      <c r="A4811" s="13">
        <f>IF(H4811="","",ROW()-4)</f>
        <v/>
      </c>
      <c r="B4811" s="13">
        <f>IF(H4811="","",ROW()-4)</f>
        <v/>
      </c>
    </row>
    <row r="4812">
      <c r="A4812" s="13">
        <f>IF(H4812="","",ROW()-4)</f>
        <v/>
      </c>
      <c r="B4812" s="13">
        <f>IF(H4812="","",ROW()-4)</f>
        <v/>
      </c>
    </row>
    <row r="4813">
      <c r="A4813" s="13">
        <f>IF(H4813="","",ROW()-4)</f>
        <v/>
      </c>
      <c r="B4813" s="13">
        <f>IF(H4813="","",ROW()-4)</f>
        <v/>
      </c>
    </row>
    <row r="4814">
      <c r="A4814" s="13">
        <f>IF(H4814="","",ROW()-4)</f>
        <v/>
      </c>
      <c r="B4814" s="13">
        <f>IF(H4814="","",ROW()-4)</f>
        <v/>
      </c>
    </row>
    <row r="4815">
      <c r="A4815" s="13">
        <f>IF(H4815="","",ROW()-4)</f>
        <v/>
      </c>
      <c r="B4815" s="13">
        <f>IF(H4815="","",ROW()-4)</f>
        <v/>
      </c>
    </row>
    <row r="4816">
      <c r="A4816" s="13">
        <f>IF(H4816="","",ROW()-4)</f>
        <v/>
      </c>
      <c r="B4816" s="13">
        <f>IF(H4816="","",ROW()-4)</f>
        <v/>
      </c>
    </row>
    <row r="4817">
      <c r="A4817" s="13">
        <f>IF(H4817="","",ROW()-4)</f>
        <v/>
      </c>
      <c r="B4817" s="13">
        <f>IF(H4817="","",ROW()-4)</f>
        <v/>
      </c>
    </row>
    <row r="4818">
      <c r="A4818" s="13">
        <f>IF(H4818="","",ROW()-4)</f>
        <v/>
      </c>
      <c r="B4818" s="13">
        <f>IF(H4818="","",ROW()-4)</f>
        <v/>
      </c>
    </row>
    <row r="4819">
      <c r="A4819" s="13">
        <f>IF(H4819="","",ROW()-4)</f>
        <v/>
      </c>
      <c r="B4819" s="13">
        <f>IF(H4819="","",ROW()-4)</f>
        <v/>
      </c>
    </row>
    <row r="4820">
      <c r="A4820" s="13">
        <f>IF(H4820="","",ROW()-4)</f>
        <v/>
      </c>
      <c r="B4820" s="13">
        <f>IF(H4820="","",ROW()-4)</f>
        <v/>
      </c>
    </row>
    <row r="4821">
      <c r="A4821" s="13">
        <f>IF(H4821="","",ROW()-4)</f>
        <v/>
      </c>
      <c r="B4821" s="13">
        <f>IF(H4821="","",ROW()-4)</f>
        <v/>
      </c>
    </row>
    <row r="4822">
      <c r="A4822" s="13">
        <f>IF(H4822="","",ROW()-4)</f>
        <v/>
      </c>
      <c r="B4822" s="13">
        <f>IF(H4822="","",ROW()-4)</f>
        <v/>
      </c>
    </row>
    <row r="4823">
      <c r="A4823" s="13">
        <f>IF(H4823="","",ROW()-4)</f>
        <v/>
      </c>
      <c r="B4823" s="13">
        <f>IF(H4823="","",ROW()-4)</f>
        <v/>
      </c>
    </row>
    <row r="4824">
      <c r="A4824" s="13">
        <f>IF(H4824="","",ROW()-4)</f>
        <v/>
      </c>
      <c r="B4824" s="13">
        <f>IF(H4824="","",ROW()-4)</f>
        <v/>
      </c>
    </row>
    <row r="4825">
      <c r="A4825" s="13">
        <f>IF(H4825="","",ROW()-4)</f>
        <v/>
      </c>
      <c r="B4825" s="13">
        <f>IF(H4825="","",ROW()-4)</f>
        <v/>
      </c>
    </row>
    <row r="4826">
      <c r="A4826" s="13">
        <f>IF(H4826="","",ROW()-4)</f>
        <v/>
      </c>
      <c r="B4826" s="13">
        <f>IF(H4826="","",ROW()-4)</f>
        <v/>
      </c>
    </row>
    <row r="4827">
      <c r="A4827" s="13">
        <f>IF(H4827="","",ROW()-4)</f>
        <v/>
      </c>
      <c r="B4827" s="13">
        <f>IF(H4827="","",ROW()-4)</f>
        <v/>
      </c>
    </row>
    <row r="4828">
      <c r="A4828" s="13">
        <f>IF(H4828="","",ROW()-4)</f>
        <v/>
      </c>
      <c r="B4828" s="13">
        <f>IF(H4828="","",ROW()-4)</f>
        <v/>
      </c>
    </row>
    <row r="4829">
      <c r="A4829" s="13">
        <f>IF(H4829="","",ROW()-4)</f>
        <v/>
      </c>
      <c r="B4829" s="13">
        <f>IF(H4829="","",ROW()-4)</f>
        <v/>
      </c>
    </row>
    <row r="4830">
      <c r="A4830" s="13">
        <f>IF(H4830="","",ROW()-4)</f>
        <v/>
      </c>
      <c r="B4830" s="13">
        <f>IF(H4830="","",ROW()-4)</f>
        <v/>
      </c>
    </row>
    <row r="4831">
      <c r="A4831" s="13">
        <f>IF(H4831="","",ROW()-4)</f>
        <v/>
      </c>
      <c r="B4831" s="13">
        <f>IF(H4831="","",ROW()-4)</f>
        <v/>
      </c>
    </row>
    <row r="4832">
      <c r="A4832" s="13">
        <f>IF(H4832="","",ROW()-4)</f>
        <v/>
      </c>
      <c r="B4832" s="13">
        <f>IF(H4832="","",ROW()-4)</f>
        <v/>
      </c>
    </row>
    <row r="4833">
      <c r="A4833" s="13">
        <f>IF(H4833="","",ROW()-4)</f>
        <v/>
      </c>
      <c r="B4833" s="13">
        <f>IF(H4833="","",ROW()-4)</f>
        <v/>
      </c>
    </row>
    <row r="4834">
      <c r="A4834" s="13">
        <f>IF(H4834="","",ROW()-4)</f>
        <v/>
      </c>
      <c r="B4834" s="13">
        <f>IF(H4834="","",ROW()-4)</f>
        <v/>
      </c>
    </row>
    <row r="4835">
      <c r="A4835" s="13">
        <f>IF(H4835="","",ROW()-4)</f>
        <v/>
      </c>
      <c r="B4835" s="13">
        <f>IF(H4835="","",ROW()-4)</f>
        <v/>
      </c>
    </row>
    <row r="4836">
      <c r="A4836" s="13">
        <f>IF(H4836="","",ROW()-4)</f>
        <v/>
      </c>
      <c r="B4836" s="13">
        <f>IF(H4836="","",ROW()-4)</f>
        <v/>
      </c>
    </row>
    <row r="4837">
      <c r="A4837" s="13">
        <f>IF(H4837="","",ROW()-4)</f>
        <v/>
      </c>
      <c r="B4837" s="13">
        <f>IF(H4837="","",ROW()-4)</f>
        <v/>
      </c>
    </row>
    <row r="4838">
      <c r="A4838" s="13">
        <f>IF(H4838="","",ROW()-4)</f>
        <v/>
      </c>
      <c r="B4838" s="13">
        <f>IF(H4838="","",ROW()-4)</f>
        <v/>
      </c>
    </row>
    <row r="4839">
      <c r="A4839" s="13">
        <f>IF(H4839="","",ROW()-4)</f>
        <v/>
      </c>
      <c r="B4839" s="13">
        <f>IF(H4839="","",ROW()-4)</f>
        <v/>
      </c>
    </row>
    <row r="4840">
      <c r="A4840" s="13">
        <f>IF(H4840="","",ROW()-4)</f>
        <v/>
      </c>
      <c r="B4840" s="13">
        <f>IF(H4840="","",ROW()-4)</f>
        <v/>
      </c>
    </row>
    <row r="4841">
      <c r="A4841" s="13">
        <f>IF(H4841="","",ROW()-4)</f>
        <v/>
      </c>
      <c r="B4841" s="13">
        <f>IF(H4841="","",ROW()-4)</f>
        <v/>
      </c>
    </row>
    <row r="4842">
      <c r="A4842" s="13">
        <f>IF(H4842="","",ROW()-4)</f>
        <v/>
      </c>
      <c r="B4842" s="13">
        <f>IF(H4842="","",ROW()-4)</f>
        <v/>
      </c>
    </row>
    <row r="4843">
      <c r="A4843" s="13">
        <f>IF(H4843="","",ROW()-4)</f>
        <v/>
      </c>
      <c r="B4843" s="13">
        <f>IF(H4843="","",ROW()-4)</f>
        <v/>
      </c>
    </row>
    <row r="4844">
      <c r="A4844" s="13">
        <f>IF(H4844="","",ROW()-4)</f>
        <v/>
      </c>
      <c r="B4844" s="13">
        <f>IF(H4844="","",ROW()-4)</f>
        <v/>
      </c>
    </row>
    <row r="4845">
      <c r="A4845" s="13">
        <f>IF(H4845="","",ROW()-4)</f>
        <v/>
      </c>
      <c r="B4845" s="13">
        <f>IF(H4845="","",ROW()-4)</f>
        <v/>
      </c>
    </row>
    <row r="4846">
      <c r="A4846" s="13">
        <f>IF(H4846="","",ROW()-4)</f>
        <v/>
      </c>
      <c r="B4846" s="13">
        <f>IF(H4846="","",ROW()-4)</f>
        <v/>
      </c>
    </row>
    <row r="4847">
      <c r="A4847" s="13">
        <f>IF(H4847="","",ROW()-4)</f>
        <v/>
      </c>
      <c r="B4847" s="13">
        <f>IF(H4847="","",ROW()-4)</f>
        <v/>
      </c>
    </row>
    <row r="4848">
      <c r="A4848" s="13">
        <f>IF(H4848="","",ROW()-4)</f>
        <v/>
      </c>
      <c r="B4848" s="13">
        <f>IF(H4848="","",ROW()-4)</f>
        <v/>
      </c>
    </row>
    <row r="4849">
      <c r="A4849" s="13">
        <f>IF(H4849="","",ROW()-4)</f>
        <v/>
      </c>
      <c r="B4849" s="13">
        <f>IF(H4849="","",ROW()-4)</f>
        <v/>
      </c>
    </row>
    <row r="4850">
      <c r="A4850" s="13">
        <f>IF(H4850="","",ROW()-4)</f>
        <v/>
      </c>
      <c r="B4850" s="13">
        <f>IF(H4850="","",ROW()-4)</f>
        <v/>
      </c>
    </row>
    <row r="4851">
      <c r="A4851" s="13">
        <f>IF(H4851="","",ROW()-4)</f>
        <v/>
      </c>
      <c r="B4851" s="13">
        <f>IF(H4851="","",ROW()-4)</f>
        <v/>
      </c>
    </row>
    <row r="4852">
      <c r="A4852" s="13">
        <f>IF(H4852="","",ROW()-4)</f>
        <v/>
      </c>
      <c r="B4852" s="13">
        <f>IF(H4852="","",ROW()-4)</f>
        <v/>
      </c>
    </row>
    <row r="4853">
      <c r="A4853" s="13">
        <f>IF(H4853="","",ROW()-4)</f>
        <v/>
      </c>
      <c r="B4853" s="13">
        <f>IF(H4853="","",ROW()-4)</f>
        <v/>
      </c>
    </row>
    <row r="4854">
      <c r="A4854" s="13">
        <f>IF(H4854="","",ROW()-4)</f>
        <v/>
      </c>
      <c r="B4854" s="13">
        <f>IF(H4854="","",ROW()-4)</f>
        <v/>
      </c>
    </row>
    <row r="4855">
      <c r="A4855" s="13">
        <f>IF(H4855="","",ROW()-4)</f>
        <v/>
      </c>
      <c r="B4855" s="13">
        <f>IF(H4855="","",ROW()-4)</f>
        <v/>
      </c>
    </row>
    <row r="4856">
      <c r="A4856" s="13">
        <f>IF(H4856="","",ROW()-4)</f>
        <v/>
      </c>
      <c r="B4856" s="13">
        <f>IF(H4856="","",ROW()-4)</f>
        <v/>
      </c>
    </row>
    <row r="4857">
      <c r="A4857" s="13">
        <f>IF(H4857="","",ROW()-4)</f>
        <v/>
      </c>
      <c r="B4857" s="13">
        <f>IF(H4857="","",ROW()-4)</f>
        <v/>
      </c>
    </row>
    <row r="4858">
      <c r="A4858" s="13">
        <f>IF(H4858="","",ROW()-4)</f>
        <v/>
      </c>
      <c r="B4858" s="13">
        <f>IF(H4858="","",ROW()-4)</f>
        <v/>
      </c>
    </row>
    <row r="4859">
      <c r="A4859" s="13">
        <f>IF(H4859="","",ROW()-4)</f>
        <v/>
      </c>
      <c r="B4859" s="13">
        <f>IF(H4859="","",ROW()-4)</f>
        <v/>
      </c>
    </row>
    <row r="4860">
      <c r="A4860" s="13">
        <f>IF(H4860="","",ROW()-4)</f>
        <v/>
      </c>
      <c r="B4860" s="13">
        <f>IF(H4860="","",ROW()-4)</f>
        <v/>
      </c>
    </row>
    <row r="4861">
      <c r="A4861" s="13">
        <f>IF(H4861="","",ROW()-4)</f>
        <v/>
      </c>
      <c r="B4861" s="13">
        <f>IF(H4861="","",ROW()-4)</f>
        <v/>
      </c>
    </row>
    <row r="4862">
      <c r="A4862" s="13">
        <f>IF(H4862="","",ROW()-4)</f>
        <v/>
      </c>
      <c r="B4862" s="13">
        <f>IF(H4862="","",ROW()-4)</f>
        <v/>
      </c>
    </row>
    <row r="4863">
      <c r="A4863" s="13">
        <f>IF(H4863="","",ROW()-4)</f>
        <v/>
      </c>
      <c r="B4863" s="13">
        <f>IF(H4863="","",ROW()-4)</f>
        <v/>
      </c>
    </row>
    <row r="4864">
      <c r="A4864" s="13">
        <f>IF(H4864="","",ROW()-4)</f>
        <v/>
      </c>
      <c r="B4864" s="13">
        <f>IF(H4864="","",ROW()-4)</f>
        <v/>
      </c>
    </row>
    <row r="4865">
      <c r="A4865" s="13">
        <f>IF(H4865="","",ROW()-4)</f>
        <v/>
      </c>
      <c r="B4865" s="13">
        <f>IF(H4865="","",ROW()-4)</f>
        <v/>
      </c>
    </row>
    <row r="4866">
      <c r="A4866" s="13">
        <f>IF(H4866="","",ROW()-4)</f>
        <v/>
      </c>
      <c r="B4866" s="13">
        <f>IF(H4866="","",ROW()-4)</f>
        <v/>
      </c>
    </row>
    <row r="4867">
      <c r="A4867" s="13">
        <f>IF(H4867="","",ROW()-4)</f>
        <v/>
      </c>
      <c r="B4867" s="13">
        <f>IF(H4867="","",ROW()-4)</f>
        <v/>
      </c>
    </row>
    <row r="4868">
      <c r="A4868" s="13">
        <f>IF(H4868="","",ROW()-4)</f>
        <v/>
      </c>
      <c r="B4868" s="13">
        <f>IF(H4868="","",ROW()-4)</f>
        <v/>
      </c>
    </row>
    <row r="4869">
      <c r="A4869" s="13">
        <f>IF(H4869="","",ROW()-4)</f>
        <v/>
      </c>
      <c r="B4869" s="13">
        <f>IF(H4869="","",ROW()-4)</f>
        <v/>
      </c>
    </row>
    <row r="4870">
      <c r="A4870" s="13">
        <f>IF(H4870="","",ROW()-4)</f>
        <v/>
      </c>
      <c r="B4870" s="13">
        <f>IF(H4870="","",ROW()-4)</f>
        <v/>
      </c>
    </row>
    <row r="4871">
      <c r="A4871" s="13">
        <f>IF(H4871="","",ROW()-4)</f>
        <v/>
      </c>
      <c r="B4871" s="13">
        <f>IF(H4871="","",ROW()-4)</f>
        <v/>
      </c>
    </row>
    <row r="4872">
      <c r="A4872" s="13">
        <f>IF(H4872="","",ROW()-4)</f>
        <v/>
      </c>
      <c r="B4872" s="13">
        <f>IF(H4872="","",ROW()-4)</f>
        <v/>
      </c>
    </row>
    <row r="4873">
      <c r="A4873" s="13">
        <f>IF(H4873="","",ROW()-4)</f>
        <v/>
      </c>
      <c r="B4873" s="13">
        <f>IF(H4873="","",ROW()-4)</f>
        <v/>
      </c>
    </row>
    <row r="4874">
      <c r="A4874" s="13">
        <f>IF(H4874="","",ROW()-4)</f>
        <v/>
      </c>
      <c r="B4874" s="13">
        <f>IF(H4874="","",ROW()-4)</f>
        <v/>
      </c>
    </row>
    <row r="4875">
      <c r="A4875" s="13">
        <f>IF(H4875="","",ROW()-4)</f>
        <v/>
      </c>
      <c r="B4875" s="13">
        <f>IF(H4875="","",ROW()-4)</f>
        <v/>
      </c>
    </row>
    <row r="4876">
      <c r="A4876" s="13">
        <f>IF(H4876="","",ROW()-4)</f>
        <v/>
      </c>
      <c r="B4876" s="13">
        <f>IF(H4876="","",ROW()-4)</f>
        <v/>
      </c>
    </row>
    <row r="4877">
      <c r="A4877" s="13">
        <f>IF(H4877="","",ROW()-4)</f>
        <v/>
      </c>
      <c r="B4877" s="13">
        <f>IF(H4877="","",ROW()-4)</f>
        <v/>
      </c>
    </row>
    <row r="4878">
      <c r="A4878" s="13">
        <f>IF(H4878="","",ROW()-4)</f>
        <v/>
      </c>
      <c r="B4878" s="13">
        <f>IF(H4878="","",ROW()-4)</f>
        <v/>
      </c>
    </row>
    <row r="4879">
      <c r="A4879" s="13">
        <f>IF(H4879="","",ROW()-4)</f>
        <v/>
      </c>
      <c r="B4879" s="13">
        <f>IF(H4879="","",ROW()-4)</f>
        <v/>
      </c>
    </row>
    <row r="4880">
      <c r="A4880" s="13">
        <f>IF(H4880="","",ROW()-4)</f>
        <v/>
      </c>
      <c r="B4880" s="13">
        <f>IF(H4880="","",ROW()-4)</f>
        <v/>
      </c>
    </row>
    <row r="4881">
      <c r="A4881" s="13">
        <f>IF(H4881="","",ROW()-4)</f>
        <v/>
      </c>
      <c r="B4881" s="13">
        <f>IF(H4881="","",ROW()-4)</f>
        <v/>
      </c>
    </row>
    <row r="4882">
      <c r="A4882" s="13">
        <f>IF(H4882="","",ROW()-4)</f>
        <v/>
      </c>
      <c r="B4882" s="13">
        <f>IF(H4882="","",ROW()-4)</f>
        <v/>
      </c>
    </row>
    <row r="4883">
      <c r="A4883" s="13">
        <f>IF(H4883="","",ROW()-4)</f>
        <v/>
      </c>
      <c r="B4883" s="13">
        <f>IF(H4883="","",ROW()-4)</f>
        <v/>
      </c>
    </row>
    <row r="4884">
      <c r="A4884" s="13">
        <f>IF(H4884="","",ROW()-4)</f>
        <v/>
      </c>
      <c r="B4884" s="13">
        <f>IF(H4884="","",ROW()-4)</f>
        <v/>
      </c>
    </row>
    <row r="4885">
      <c r="A4885" s="13">
        <f>IF(H4885="","",ROW()-4)</f>
        <v/>
      </c>
      <c r="B4885" s="13">
        <f>IF(H4885="","",ROW()-4)</f>
        <v/>
      </c>
    </row>
    <row r="4886">
      <c r="A4886" s="13">
        <f>IF(H4886="","",ROW()-4)</f>
        <v/>
      </c>
      <c r="B4886" s="13">
        <f>IF(H4886="","",ROW()-4)</f>
        <v/>
      </c>
    </row>
    <row r="4887">
      <c r="A4887" s="13">
        <f>IF(H4887="","",ROW()-4)</f>
        <v/>
      </c>
      <c r="B4887" s="13">
        <f>IF(H4887="","",ROW()-4)</f>
        <v/>
      </c>
    </row>
    <row r="4888">
      <c r="A4888" s="13">
        <f>IF(H4888="","",ROW()-4)</f>
        <v/>
      </c>
      <c r="B4888" s="13">
        <f>IF(H4888="","",ROW()-4)</f>
        <v/>
      </c>
    </row>
    <row r="4889">
      <c r="A4889" s="13">
        <f>IF(H4889="","",ROW()-4)</f>
        <v/>
      </c>
      <c r="B4889" s="13">
        <f>IF(H4889="","",ROW()-4)</f>
        <v/>
      </c>
    </row>
    <row r="4890">
      <c r="A4890" s="13">
        <f>IF(H4890="","",ROW()-4)</f>
        <v/>
      </c>
      <c r="B4890" s="13">
        <f>IF(H4890="","",ROW()-4)</f>
        <v/>
      </c>
    </row>
    <row r="4891">
      <c r="A4891" s="13">
        <f>IF(H4891="","",ROW()-4)</f>
        <v/>
      </c>
      <c r="B4891" s="13">
        <f>IF(H4891="","",ROW()-4)</f>
        <v/>
      </c>
    </row>
    <row r="4892">
      <c r="A4892" s="13">
        <f>IF(H4892="","",ROW()-4)</f>
        <v/>
      </c>
      <c r="B4892" s="13">
        <f>IF(H4892="","",ROW()-4)</f>
        <v/>
      </c>
    </row>
    <row r="4893">
      <c r="A4893" s="13">
        <f>IF(H4893="","",ROW()-4)</f>
        <v/>
      </c>
      <c r="B4893" s="13">
        <f>IF(H4893="","",ROW()-4)</f>
        <v/>
      </c>
    </row>
    <row r="4894">
      <c r="A4894" s="13">
        <f>IF(H4894="","",ROW()-4)</f>
        <v/>
      </c>
      <c r="B4894" s="13">
        <f>IF(H4894="","",ROW()-4)</f>
        <v/>
      </c>
    </row>
    <row r="4895">
      <c r="A4895" s="13">
        <f>IF(H4895="","",ROW()-4)</f>
        <v/>
      </c>
      <c r="B4895" s="13">
        <f>IF(H4895="","",ROW()-4)</f>
        <v/>
      </c>
    </row>
    <row r="4896">
      <c r="A4896" s="13">
        <f>IF(H4896="","",ROW()-4)</f>
        <v/>
      </c>
      <c r="B4896" s="13">
        <f>IF(H4896="","",ROW()-4)</f>
        <v/>
      </c>
    </row>
    <row r="4897">
      <c r="A4897" s="13">
        <f>IF(H4897="","",ROW()-4)</f>
        <v/>
      </c>
      <c r="B4897" s="13">
        <f>IF(H4897="","",ROW()-4)</f>
        <v/>
      </c>
    </row>
    <row r="4898">
      <c r="A4898" s="13">
        <f>IF(H4898="","",ROW()-4)</f>
        <v/>
      </c>
      <c r="B4898" s="13">
        <f>IF(H4898="","",ROW()-4)</f>
        <v/>
      </c>
    </row>
    <row r="4899">
      <c r="A4899" s="13">
        <f>IF(H4899="","",ROW()-4)</f>
        <v/>
      </c>
      <c r="B4899" s="13">
        <f>IF(H4899="","",ROW()-4)</f>
        <v/>
      </c>
    </row>
    <row r="4900">
      <c r="A4900" s="13">
        <f>IF(H4900="","",ROW()-4)</f>
        <v/>
      </c>
      <c r="B4900" s="13">
        <f>IF(H4900="","",ROW()-4)</f>
        <v/>
      </c>
    </row>
    <row r="4901">
      <c r="A4901" s="13">
        <f>IF(H4901="","",ROW()-4)</f>
        <v/>
      </c>
      <c r="B4901" s="13">
        <f>IF(H4901="","",ROW()-4)</f>
        <v/>
      </c>
    </row>
    <row r="4902">
      <c r="A4902" s="13">
        <f>IF(H4902="","",ROW()-4)</f>
        <v/>
      </c>
      <c r="B4902" s="13">
        <f>IF(H4902="","",ROW()-4)</f>
        <v/>
      </c>
    </row>
    <row r="4903">
      <c r="A4903" s="13">
        <f>IF(H4903="","",ROW()-4)</f>
        <v/>
      </c>
      <c r="B4903" s="13">
        <f>IF(H4903="","",ROW()-4)</f>
        <v/>
      </c>
    </row>
    <row r="4904">
      <c r="A4904" s="13">
        <f>IF(H4904="","",ROW()-4)</f>
        <v/>
      </c>
      <c r="B4904" s="13">
        <f>IF(H4904="","",ROW()-4)</f>
        <v/>
      </c>
    </row>
    <row r="4905">
      <c r="A4905" s="13">
        <f>IF(H4905="","",ROW()-4)</f>
        <v/>
      </c>
      <c r="B4905" s="13">
        <f>IF(H4905="","",ROW()-4)</f>
        <v/>
      </c>
    </row>
    <row r="4906">
      <c r="A4906" s="13">
        <f>IF(H4906="","",ROW()-4)</f>
        <v/>
      </c>
      <c r="B4906" s="13">
        <f>IF(H4906="","",ROW()-4)</f>
        <v/>
      </c>
    </row>
    <row r="4907">
      <c r="A4907" s="13">
        <f>IF(H4907="","",ROW()-4)</f>
        <v/>
      </c>
      <c r="B4907" s="13">
        <f>IF(H4907="","",ROW()-4)</f>
        <v/>
      </c>
    </row>
    <row r="4908">
      <c r="A4908" s="13">
        <f>IF(H4908="","",ROW()-4)</f>
        <v/>
      </c>
      <c r="B4908" s="13">
        <f>IF(H4908="","",ROW()-4)</f>
        <v/>
      </c>
    </row>
    <row r="4909">
      <c r="A4909" s="13">
        <f>IF(H4909="","",ROW()-4)</f>
        <v/>
      </c>
      <c r="B4909" s="13">
        <f>IF(H4909="","",ROW()-4)</f>
        <v/>
      </c>
    </row>
    <row r="4910">
      <c r="A4910" s="13">
        <f>IF(H4910="","",ROW()-4)</f>
        <v/>
      </c>
      <c r="B4910" s="13">
        <f>IF(H4910="","",ROW()-4)</f>
        <v/>
      </c>
    </row>
    <row r="4911">
      <c r="A4911" s="13">
        <f>IF(H4911="","",ROW()-4)</f>
        <v/>
      </c>
      <c r="B4911" s="13">
        <f>IF(H4911="","",ROW()-4)</f>
        <v/>
      </c>
    </row>
    <row r="4912">
      <c r="A4912" s="13">
        <f>IF(H4912="","",ROW()-4)</f>
        <v/>
      </c>
      <c r="B4912" s="13">
        <f>IF(H4912="","",ROW()-4)</f>
        <v/>
      </c>
    </row>
    <row r="4913">
      <c r="A4913" s="13">
        <f>IF(H4913="","",ROW()-4)</f>
        <v/>
      </c>
      <c r="B4913" s="13">
        <f>IF(H4913="","",ROW()-4)</f>
        <v/>
      </c>
    </row>
    <row r="4914">
      <c r="A4914" s="13">
        <f>IF(H4914="","",ROW()-4)</f>
        <v/>
      </c>
      <c r="B4914" s="13">
        <f>IF(H4914="","",ROW()-4)</f>
        <v/>
      </c>
    </row>
    <row r="4915">
      <c r="A4915" s="13">
        <f>IF(H4915="","",ROW()-4)</f>
        <v/>
      </c>
      <c r="B4915" s="13">
        <f>IF(H4915="","",ROW()-4)</f>
        <v/>
      </c>
    </row>
    <row r="4916">
      <c r="A4916" s="13">
        <f>IF(H4916="","",ROW()-4)</f>
        <v/>
      </c>
      <c r="B4916" s="13">
        <f>IF(H4916="","",ROW()-4)</f>
        <v/>
      </c>
    </row>
    <row r="4917">
      <c r="A4917" s="13">
        <f>IF(H4917="","",ROW()-4)</f>
        <v/>
      </c>
      <c r="B4917" s="13">
        <f>IF(H4917="","",ROW()-4)</f>
        <v/>
      </c>
    </row>
    <row r="4918">
      <c r="A4918" s="13">
        <f>IF(H4918="","",ROW()-4)</f>
        <v/>
      </c>
      <c r="B4918" s="13">
        <f>IF(H4918="","",ROW()-4)</f>
        <v/>
      </c>
    </row>
    <row r="4919">
      <c r="A4919" s="13">
        <f>IF(H4919="","",ROW()-4)</f>
        <v/>
      </c>
      <c r="B4919" s="13">
        <f>IF(H4919="","",ROW()-4)</f>
        <v/>
      </c>
    </row>
    <row r="4920">
      <c r="A4920" s="13">
        <f>IF(H4920="","",ROW()-4)</f>
        <v/>
      </c>
      <c r="B4920" s="13">
        <f>IF(H4920="","",ROW()-4)</f>
        <v/>
      </c>
    </row>
    <row r="4921">
      <c r="A4921" s="13">
        <f>IF(H4921="","",ROW()-4)</f>
        <v/>
      </c>
      <c r="B4921" s="13">
        <f>IF(H4921="","",ROW()-4)</f>
        <v/>
      </c>
    </row>
    <row r="4922">
      <c r="A4922" s="13">
        <f>IF(H4922="","",ROW()-4)</f>
        <v/>
      </c>
      <c r="B4922" s="13">
        <f>IF(H4922="","",ROW()-4)</f>
        <v/>
      </c>
    </row>
    <row r="4923">
      <c r="A4923" s="13">
        <f>IF(H4923="","",ROW()-4)</f>
        <v/>
      </c>
      <c r="B4923" s="13">
        <f>IF(H4923="","",ROW()-4)</f>
        <v/>
      </c>
    </row>
    <row r="4924">
      <c r="A4924" s="13">
        <f>IF(H4924="","",ROW()-4)</f>
        <v/>
      </c>
      <c r="B4924" s="13">
        <f>IF(H4924="","",ROW()-4)</f>
        <v/>
      </c>
    </row>
    <row r="4925">
      <c r="A4925" s="13">
        <f>IF(H4925="","",ROW()-4)</f>
        <v/>
      </c>
      <c r="B4925" s="13">
        <f>IF(H4925="","",ROW()-4)</f>
        <v/>
      </c>
    </row>
    <row r="4926">
      <c r="A4926" s="13">
        <f>IF(H4926="","",ROW()-4)</f>
        <v/>
      </c>
      <c r="B4926" s="13">
        <f>IF(H4926="","",ROW()-4)</f>
        <v/>
      </c>
    </row>
    <row r="4927">
      <c r="A4927" s="13">
        <f>IF(H4927="","",ROW()-4)</f>
        <v/>
      </c>
      <c r="B4927" s="13">
        <f>IF(H4927="","",ROW()-4)</f>
        <v/>
      </c>
    </row>
    <row r="4928">
      <c r="A4928" s="13">
        <f>IF(H4928="","",ROW()-4)</f>
        <v/>
      </c>
      <c r="B4928" s="13">
        <f>IF(H4928="","",ROW()-4)</f>
        <v/>
      </c>
    </row>
    <row r="4929">
      <c r="A4929" s="13">
        <f>IF(H4929="","",ROW()-4)</f>
        <v/>
      </c>
      <c r="B4929" s="13">
        <f>IF(H4929="","",ROW()-4)</f>
        <v/>
      </c>
    </row>
    <row r="4930">
      <c r="A4930" s="13">
        <f>IF(H4930="","",ROW()-4)</f>
        <v/>
      </c>
      <c r="B4930" s="13">
        <f>IF(H4930="","",ROW()-4)</f>
        <v/>
      </c>
    </row>
    <row r="4931">
      <c r="A4931" s="13">
        <f>IF(H4931="","",ROW()-4)</f>
        <v/>
      </c>
      <c r="B4931" s="13">
        <f>IF(H4931="","",ROW()-4)</f>
        <v/>
      </c>
    </row>
    <row r="4932">
      <c r="A4932" s="13">
        <f>IF(H4932="","",ROW()-4)</f>
        <v/>
      </c>
      <c r="B4932" s="13">
        <f>IF(H4932="","",ROW()-4)</f>
        <v/>
      </c>
    </row>
    <row r="4933">
      <c r="A4933" s="13">
        <f>IF(H4933="","",ROW()-4)</f>
        <v/>
      </c>
      <c r="B4933" s="13">
        <f>IF(H4933="","",ROW()-4)</f>
        <v/>
      </c>
    </row>
    <row r="4934">
      <c r="A4934" s="13">
        <f>IF(H4934="","",ROW()-4)</f>
        <v/>
      </c>
      <c r="B4934" s="13">
        <f>IF(H4934="","",ROW()-4)</f>
        <v/>
      </c>
    </row>
    <row r="4935">
      <c r="A4935" s="13">
        <f>IF(H4935="","",ROW()-4)</f>
        <v/>
      </c>
      <c r="B4935" s="13">
        <f>IF(H4935="","",ROW()-4)</f>
        <v/>
      </c>
    </row>
    <row r="4936">
      <c r="A4936" s="13">
        <f>IF(H4936="","",ROW()-4)</f>
        <v/>
      </c>
      <c r="B4936" s="13">
        <f>IF(H4936="","",ROW()-4)</f>
        <v/>
      </c>
    </row>
    <row r="4937">
      <c r="A4937" s="13">
        <f>IF(H4937="","",ROW()-4)</f>
        <v/>
      </c>
      <c r="B4937" s="13">
        <f>IF(H4937="","",ROW()-4)</f>
        <v/>
      </c>
    </row>
    <row r="4938">
      <c r="A4938" s="13">
        <f>IF(H4938="","",ROW()-4)</f>
        <v/>
      </c>
      <c r="B4938" s="13">
        <f>IF(H4938="","",ROW()-4)</f>
        <v/>
      </c>
    </row>
    <row r="4939">
      <c r="A4939" s="13">
        <f>IF(H4939="","",ROW()-4)</f>
        <v/>
      </c>
      <c r="B4939" s="13">
        <f>IF(H4939="","",ROW()-4)</f>
        <v/>
      </c>
    </row>
    <row r="4940">
      <c r="A4940" s="13">
        <f>IF(H4940="","",ROW()-4)</f>
        <v/>
      </c>
      <c r="B4940" s="13">
        <f>IF(H4940="","",ROW()-4)</f>
        <v/>
      </c>
    </row>
    <row r="4941">
      <c r="A4941" s="13">
        <f>IF(H4941="","",ROW()-4)</f>
        <v/>
      </c>
      <c r="B4941" s="13">
        <f>IF(H4941="","",ROW()-4)</f>
        <v/>
      </c>
    </row>
    <row r="4942">
      <c r="A4942" s="13">
        <f>IF(H4942="","",ROW()-4)</f>
        <v/>
      </c>
      <c r="B4942" s="13">
        <f>IF(H4942="","",ROW()-4)</f>
        <v/>
      </c>
    </row>
    <row r="4943">
      <c r="A4943" s="13">
        <f>IF(H4943="","",ROW()-4)</f>
        <v/>
      </c>
      <c r="B4943" s="13">
        <f>IF(H4943="","",ROW()-4)</f>
        <v/>
      </c>
    </row>
    <row r="4944">
      <c r="A4944" s="13">
        <f>IF(H4944="","",ROW()-4)</f>
        <v/>
      </c>
      <c r="B4944" s="13">
        <f>IF(H4944="","",ROW()-4)</f>
        <v/>
      </c>
    </row>
    <row r="4945">
      <c r="A4945" s="13">
        <f>IF(H4945="","",ROW()-4)</f>
        <v/>
      </c>
      <c r="B4945" s="13">
        <f>IF(H4945="","",ROW()-4)</f>
        <v/>
      </c>
    </row>
    <row r="4946">
      <c r="A4946" s="13">
        <f>IF(H4946="","",ROW()-4)</f>
        <v/>
      </c>
      <c r="B4946" s="13">
        <f>IF(H4946="","",ROW()-4)</f>
        <v/>
      </c>
    </row>
    <row r="4947">
      <c r="A4947" s="13">
        <f>IF(H4947="","",ROW()-4)</f>
        <v/>
      </c>
      <c r="B4947" s="13">
        <f>IF(H4947="","",ROW()-4)</f>
        <v/>
      </c>
    </row>
    <row r="4948">
      <c r="A4948" s="13">
        <f>IF(H4948="","",ROW()-4)</f>
        <v/>
      </c>
      <c r="B4948" s="13">
        <f>IF(H4948="","",ROW()-4)</f>
        <v/>
      </c>
    </row>
    <row r="4949">
      <c r="A4949" s="13">
        <f>IF(H4949="","",ROW()-4)</f>
        <v/>
      </c>
      <c r="B4949" s="13">
        <f>IF(H4949="","",ROW()-4)</f>
        <v/>
      </c>
    </row>
    <row r="4950">
      <c r="A4950" s="13">
        <f>IF(H4950="","",ROW()-4)</f>
        <v/>
      </c>
      <c r="B4950" s="13">
        <f>IF(H4950="","",ROW()-4)</f>
        <v/>
      </c>
    </row>
    <row r="4951">
      <c r="A4951" s="13">
        <f>IF(H4951="","",ROW()-4)</f>
        <v/>
      </c>
      <c r="B4951" s="13">
        <f>IF(H4951="","",ROW()-4)</f>
        <v/>
      </c>
    </row>
    <row r="4952">
      <c r="A4952" s="13">
        <f>IF(H4952="","",ROW()-4)</f>
        <v/>
      </c>
      <c r="B4952" s="13">
        <f>IF(H4952="","",ROW()-4)</f>
        <v/>
      </c>
    </row>
    <row r="4953">
      <c r="A4953" s="13">
        <f>IF(H4953="","",ROW()-4)</f>
        <v/>
      </c>
      <c r="B4953" s="13">
        <f>IF(H4953="","",ROW()-4)</f>
        <v/>
      </c>
    </row>
    <row r="4954">
      <c r="A4954" s="13">
        <f>IF(H4954="","",ROW()-4)</f>
        <v/>
      </c>
      <c r="B4954" s="13">
        <f>IF(H4954="","",ROW()-4)</f>
        <v/>
      </c>
    </row>
    <row r="4955">
      <c r="A4955" s="13">
        <f>IF(H4955="","",ROW()-4)</f>
        <v/>
      </c>
      <c r="B4955" s="13">
        <f>IF(H4955="","",ROW()-4)</f>
        <v/>
      </c>
    </row>
    <row r="4956">
      <c r="A4956" s="13">
        <f>IF(H4956="","",ROW()-4)</f>
        <v/>
      </c>
      <c r="B4956" s="13">
        <f>IF(H4956="","",ROW()-4)</f>
        <v/>
      </c>
    </row>
    <row r="4957">
      <c r="A4957" s="13">
        <f>IF(H4957="","",ROW()-4)</f>
        <v/>
      </c>
      <c r="B4957" s="13">
        <f>IF(H4957="","",ROW()-4)</f>
        <v/>
      </c>
    </row>
    <row r="4958">
      <c r="A4958" s="13">
        <f>IF(H4958="","",ROW()-4)</f>
        <v/>
      </c>
      <c r="B4958" s="13">
        <f>IF(H4958="","",ROW()-4)</f>
        <v/>
      </c>
    </row>
    <row r="4959">
      <c r="A4959" s="13">
        <f>IF(H4959="","",ROW()-4)</f>
        <v/>
      </c>
      <c r="B4959" s="13">
        <f>IF(H4959="","",ROW()-4)</f>
        <v/>
      </c>
    </row>
    <row r="4960">
      <c r="A4960" s="13">
        <f>IF(H4960="","",ROW()-4)</f>
        <v/>
      </c>
      <c r="B4960" s="13">
        <f>IF(H4960="","",ROW()-4)</f>
        <v/>
      </c>
    </row>
    <row r="4961">
      <c r="A4961" s="13">
        <f>IF(H4961="","",ROW()-4)</f>
        <v/>
      </c>
      <c r="B4961" s="13">
        <f>IF(H4961="","",ROW()-4)</f>
        <v/>
      </c>
    </row>
    <row r="4962">
      <c r="A4962" s="13">
        <f>IF(H4962="","",ROW()-4)</f>
        <v/>
      </c>
      <c r="B4962" s="13">
        <f>IF(H4962="","",ROW()-4)</f>
        <v/>
      </c>
    </row>
    <row r="4963">
      <c r="A4963" s="13">
        <f>IF(H4963="","",ROW()-4)</f>
        <v/>
      </c>
      <c r="B4963" s="13">
        <f>IF(H4963="","",ROW()-4)</f>
        <v/>
      </c>
    </row>
    <row r="4964">
      <c r="A4964" s="13">
        <f>IF(H4964="","",ROW()-4)</f>
        <v/>
      </c>
      <c r="B4964" s="13">
        <f>IF(H4964="","",ROW()-4)</f>
        <v/>
      </c>
    </row>
    <row r="4965">
      <c r="A4965" s="13">
        <f>IF(H4965="","",ROW()-4)</f>
        <v/>
      </c>
      <c r="B4965" s="13">
        <f>IF(H4965="","",ROW()-4)</f>
        <v/>
      </c>
    </row>
    <row r="4966">
      <c r="A4966" s="13">
        <f>IF(H4966="","",ROW()-4)</f>
        <v/>
      </c>
      <c r="B4966" s="13">
        <f>IF(H4966="","",ROW()-4)</f>
        <v/>
      </c>
    </row>
    <row r="4967">
      <c r="A4967" s="13">
        <f>IF(H4967="","",ROW()-4)</f>
        <v/>
      </c>
      <c r="B4967" s="13">
        <f>IF(H4967="","",ROW()-4)</f>
        <v/>
      </c>
    </row>
    <row r="4968">
      <c r="A4968" s="13">
        <f>IF(H4968="","",ROW()-4)</f>
        <v/>
      </c>
      <c r="B4968" s="13">
        <f>IF(H4968="","",ROW()-4)</f>
        <v/>
      </c>
    </row>
    <row r="4969">
      <c r="A4969" s="13">
        <f>IF(H4969="","",ROW()-4)</f>
        <v/>
      </c>
      <c r="B4969" s="13">
        <f>IF(H4969="","",ROW()-4)</f>
        <v/>
      </c>
    </row>
    <row r="4970">
      <c r="A4970" s="13">
        <f>IF(H4970="","",ROW()-4)</f>
        <v/>
      </c>
      <c r="B4970" s="13">
        <f>IF(H4970="","",ROW()-4)</f>
        <v/>
      </c>
    </row>
    <row r="4971">
      <c r="A4971" s="13">
        <f>IF(H4971="","",ROW()-4)</f>
        <v/>
      </c>
      <c r="B4971" s="13">
        <f>IF(H4971="","",ROW()-4)</f>
        <v/>
      </c>
    </row>
    <row r="4972">
      <c r="A4972" s="13">
        <f>IF(H4972="","",ROW()-4)</f>
        <v/>
      </c>
      <c r="B4972" s="13">
        <f>IF(H4972="","",ROW()-4)</f>
        <v/>
      </c>
    </row>
    <row r="4973">
      <c r="A4973" s="13">
        <f>IF(H4973="","",ROW()-4)</f>
        <v/>
      </c>
      <c r="B4973" s="13">
        <f>IF(H4973="","",ROW()-4)</f>
        <v/>
      </c>
    </row>
    <row r="4974">
      <c r="A4974" s="13">
        <f>IF(H4974="","",ROW()-4)</f>
        <v/>
      </c>
      <c r="B4974" s="13">
        <f>IF(H4974="","",ROW()-4)</f>
        <v/>
      </c>
    </row>
    <row r="4975">
      <c r="A4975" s="13">
        <f>IF(H4975="","",ROW()-4)</f>
        <v/>
      </c>
      <c r="B4975" s="13">
        <f>IF(H4975="","",ROW()-4)</f>
        <v/>
      </c>
    </row>
    <row r="4976">
      <c r="A4976" s="13">
        <f>IF(H4976="","",ROW()-4)</f>
        <v/>
      </c>
      <c r="B4976" s="13">
        <f>IF(H4976="","",ROW()-4)</f>
        <v/>
      </c>
    </row>
    <row r="4977">
      <c r="A4977" s="13">
        <f>IF(H4977="","",ROW()-4)</f>
        <v/>
      </c>
      <c r="B4977" s="13">
        <f>IF(H4977="","",ROW()-4)</f>
        <v/>
      </c>
    </row>
    <row r="4978">
      <c r="A4978" s="13">
        <f>IF(H4978="","",ROW()-4)</f>
        <v/>
      </c>
      <c r="B4978" s="13">
        <f>IF(H4978="","",ROW()-4)</f>
        <v/>
      </c>
    </row>
    <row r="4979">
      <c r="A4979" s="13">
        <f>IF(H4979="","",ROW()-4)</f>
        <v/>
      </c>
      <c r="B4979" s="13">
        <f>IF(H4979="","",ROW()-4)</f>
        <v/>
      </c>
    </row>
    <row r="4980">
      <c r="A4980" s="13">
        <f>IF(H4980="","",ROW()-4)</f>
        <v/>
      </c>
      <c r="B4980" s="13">
        <f>IF(H4980="","",ROW()-4)</f>
        <v/>
      </c>
    </row>
    <row r="4981">
      <c r="A4981" s="13">
        <f>IF(H4981="","",ROW()-4)</f>
        <v/>
      </c>
      <c r="B4981" s="13">
        <f>IF(H4981="","",ROW()-4)</f>
        <v/>
      </c>
    </row>
    <row r="4982">
      <c r="A4982" s="13">
        <f>IF(H4982="","",ROW()-4)</f>
        <v/>
      </c>
      <c r="B4982" s="13">
        <f>IF(H4982="","",ROW()-4)</f>
        <v/>
      </c>
    </row>
    <row r="4983">
      <c r="A4983" s="13">
        <f>IF(H4983="","",ROW()-4)</f>
        <v/>
      </c>
      <c r="B4983" s="13">
        <f>IF(H4983="","",ROW()-4)</f>
        <v/>
      </c>
    </row>
    <row r="4984">
      <c r="A4984" s="13">
        <f>IF(H4984="","",ROW()-4)</f>
        <v/>
      </c>
      <c r="B4984" s="13">
        <f>IF(H4984="","",ROW()-4)</f>
        <v/>
      </c>
    </row>
    <row r="4985">
      <c r="A4985" s="13">
        <f>IF(H4985="","",ROW()-4)</f>
        <v/>
      </c>
      <c r="B4985" s="13">
        <f>IF(H4985="","",ROW()-4)</f>
        <v/>
      </c>
    </row>
    <row r="4986">
      <c r="A4986" s="13">
        <f>IF(H4986="","",ROW()-4)</f>
        <v/>
      </c>
      <c r="B4986" s="13">
        <f>IF(H4986="","",ROW()-4)</f>
        <v/>
      </c>
    </row>
    <row r="4987">
      <c r="A4987" s="13">
        <f>IF(H4987="","",ROW()-4)</f>
        <v/>
      </c>
      <c r="B4987" s="13">
        <f>IF(H4987="","",ROW()-4)</f>
        <v/>
      </c>
    </row>
    <row r="4988">
      <c r="A4988" s="13">
        <f>IF(H4988="","",ROW()-4)</f>
        <v/>
      </c>
      <c r="B4988" s="13">
        <f>IF(H4988="","",ROW()-4)</f>
        <v/>
      </c>
    </row>
    <row r="4989">
      <c r="A4989" s="13">
        <f>IF(H4989="","",ROW()-4)</f>
        <v/>
      </c>
      <c r="B4989" s="13">
        <f>IF(H4989="","",ROW()-4)</f>
        <v/>
      </c>
    </row>
    <row r="4990">
      <c r="A4990" s="13">
        <f>IF(H4990="","",ROW()-4)</f>
        <v/>
      </c>
      <c r="B4990" s="13">
        <f>IF(H4990="","",ROW()-4)</f>
        <v/>
      </c>
    </row>
    <row r="4991">
      <c r="A4991" s="13">
        <f>IF(H4991="","",ROW()-4)</f>
        <v/>
      </c>
      <c r="B4991" s="13">
        <f>IF(H4991="","",ROW()-4)</f>
        <v/>
      </c>
    </row>
    <row r="4992">
      <c r="A4992" s="13">
        <f>IF(H4992="","",ROW()-4)</f>
        <v/>
      </c>
      <c r="B4992" s="13">
        <f>IF(H4992="","",ROW()-4)</f>
        <v/>
      </c>
    </row>
    <row r="4993">
      <c r="A4993" s="13">
        <f>IF(H4993="","",ROW()-4)</f>
        <v/>
      </c>
      <c r="B4993" s="13">
        <f>IF(H4993="","",ROW()-4)</f>
        <v/>
      </c>
    </row>
    <row r="4994">
      <c r="A4994" s="13">
        <f>IF(H4994="","",ROW()-4)</f>
        <v/>
      </c>
      <c r="B4994" s="13">
        <f>IF(H4994="","",ROW()-4)</f>
        <v/>
      </c>
    </row>
    <row r="4995">
      <c r="A4995" s="13">
        <f>IF(H4995="","",ROW()-4)</f>
        <v/>
      </c>
      <c r="B4995" s="13">
        <f>IF(H4995="","",ROW()-4)</f>
        <v/>
      </c>
    </row>
    <row r="4996">
      <c r="A4996" s="13">
        <f>IF(H4996="","",ROW()-4)</f>
        <v/>
      </c>
      <c r="B4996" s="13">
        <f>IF(H4996="","",ROW()-4)</f>
        <v/>
      </c>
    </row>
    <row r="4997">
      <c r="A4997" s="13">
        <f>IF(H4997="","",ROW()-4)</f>
        <v/>
      </c>
      <c r="B4997" s="13">
        <f>IF(H4997="","",ROW()-4)</f>
        <v/>
      </c>
    </row>
    <row r="4998">
      <c r="A4998" s="13">
        <f>IF(H4998="","",ROW()-4)</f>
        <v/>
      </c>
      <c r="B4998" s="13">
        <f>IF(H4998="","",ROW()-4)</f>
        <v/>
      </c>
    </row>
    <row r="4999">
      <c r="A4999" s="13">
        <f>IF(H4999="","",ROW()-4)</f>
        <v/>
      </c>
      <c r="B4999" s="13">
        <f>IF(H4999="","",ROW()-4)</f>
        <v/>
      </c>
    </row>
    <row r="5000">
      <c r="A5000" s="13">
        <f>IF(H5000="","",ROW()-4)</f>
        <v/>
      </c>
      <c r="B5000" s="13">
        <f>IF(H5000="","",ROW()-4)</f>
        <v/>
      </c>
    </row>
    <row r="5001">
      <c r="A5001" s="13">
        <f>IF(H5001="","",ROW()-4)</f>
        <v/>
      </c>
      <c r="B5001" s="13">
        <f>IF(H5001="","",ROW()-4)</f>
        <v/>
      </c>
    </row>
    <row r="5002">
      <c r="A5002" s="13">
        <f>IF(H5002="","",ROW()-4)</f>
        <v/>
      </c>
      <c r="B5002" s="13">
        <f>IF(H5002="","",ROW()-4)</f>
        <v/>
      </c>
    </row>
    <row r="5003">
      <c r="A5003" s="13">
        <f>IF(H5003="","",ROW()-4)</f>
        <v/>
      </c>
      <c r="B5003" s="13">
        <f>IF(H5003="","",ROW()-4)</f>
        <v/>
      </c>
    </row>
    <row r="5004">
      <c r="A5004" s="13">
        <f>IF(H5004="","",ROW()-4)</f>
        <v/>
      </c>
      <c r="B5004" s="13">
        <f>IF(H5004="","",ROW()-4)</f>
        <v/>
      </c>
    </row>
    <row r="5005">
      <c r="A5005" s="13">
        <f>IF(H5005="","",ROW()-4)</f>
        <v/>
      </c>
      <c r="B5005" s="13">
        <f>IF(H5005="","",ROW()-4)</f>
        <v/>
      </c>
    </row>
    <row r="5006">
      <c r="A5006" s="13">
        <f>IF(H5006="","",ROW()-4)</f>
        <v/>
      </c>
      <c r="B5006" s="13">
        <f>IF(H5006="","",ROW()-4)</f>
        <v/>
      </c>
    </row>
    <row r="5007">
      <c r="A5007" s="13">
        <f>IF(H5007="","",ROW()-4)</f>
        <v/>
      </c>
      <c r="B5007" s="13">
        <f>IF(H5007="","",ROW()-4)</f>
        <v/>
      </c>
    </row>
    <row r="5008">
      <c r="A5008" s="13">
        <f>IF(H5008="","",ROW()-4)</f>
        <v/>
      </c>
      <c r="B5008" s="13">
        <f>IF(H5008="","",ROW()-4)</f>
        <v/>
      </c>
    </row>
    <row r="5009">
      <c r="A5009" s="13">
        <f>IF(H5009="","",ROW()-4)</f>
        <v/>
      </c>
      <c r="B5009" s="13">
        <f>IF(H5009="","",ROW()-4)</f>
        <v/>
      </c>
    </row>
    <row r="5010">
      <c r="A5010" s="13">
        <f>IF(H5010="","",ROW()-4)</f>
        <v/>
      </c>
      <c r="B5010" s="13">
        <f>IF(H5010="","",ROW()-4)</f>
        <v/>
      </c>
    </row>
    <row r="5011">
      <c r="A5011" s="13">
        <f>IF(H5011="","",ROW()-4)</f>
        <v/>
      </c>
      <c r="B5011" s="13">
        <f>IF(H5011="","",ROW()-4)</f>
        <v/>
      </c>
    </row>
    <row r="5012">
      <c r="A5012" s="13">
        <f>IF(H5012="","",ROW()-4)</f>
        <v/>
      </c>
      <c r="B5012" s="13">
        <f>IF(H5012="","",ROW()-4)</f>
        <v/>
      </c>
    </row>
    <row r="5013">
      <c r="A5013" s="13">
        <f>IF(H5013="","",ROW()-4)</f>
        <v/>
      </c>
      <c r="B5013" s="13">
        <f>IF(H5013="","",ROW()-4)</f>
        <v/>
      </c>
    </row>
    <row r="5014">
      <c r="A5014" s="13">
        <f>IF(H5014="","",ROW()-4)</f>
        <v/>
      </c>
      <c r="B5014" s="13">
        <f>IF(H5014="","",ROW()-4)</f>
        <v/>
      </c>
    </row>
    <row r="5015">
      <c r="A5015" s="13">
        <f>IF(H5015="","",ROW()-4)</f>
        <v/>
      </c>
      <c r="B5015" s="13">
        <f>IF(H5015="","",ROW()-4)</f>
        <v/>
      </c>
    </row>
    <row r="5016">
      <c r="A5016" s="13">
        <f>IF(H5016="","",ROW()-4)</f>
        <v/>
      </c>
      <c r="B5016" s="13">
        <f>IF(H5016="","",ROW()-4)</f>
        <v/>
      </c>
    </row>
    <row r="5017">
      <c r="A5017" s="13">
        <f>IF(H5017="","",ROW()-4)</f>
        <v/>
      </c>
      <c r="B5017" s="13">
        <f>IF(H5017="","",ROW()-4)</f>
        <v/>
      </c>
    </row>
    <row r="5018">
      <c r="A5018" s="13">
        <f>IF(H5018="","",ROW()-4)</f>
        <v/>
      </c>
      <c r="B5018" s="13">
        <f>IF(H5018="","",ROW()-4)</f>
        <v/>
      </c>
    </row>
    <row r="5019">
      <c r="A5019" s="13">
        <f>IF(H5019="","",ROW()-4)</f>
        <v/>
      </c>
      <c r="B5019" s="13">
        <f>IF(H5019="","",ROW()-4)</f>
        <v/>
      </c>
    </row>
    <row r="5020">
      <c r="A5020" s="13">
        <f>IF(H5020="","",ROW()-4)</f>
        <v/>
      </c>
      <c r="B5020" s="13">
        <f>IF(H5020="","",ROW()-4)</f>
        <v/>
      </c>
    </row>
    <row r="5021">
      <c r="A5021" s="13">
        <f>IF(H5021="","",ROW()-4)</f>
        <v/>
      </c>
      <c r="B5021" s="13">
        <f>IF(H5021="","",ROW()-4)</f>
        <v/>
      </c>
    </row>
    <row r="5022">
      <c r="A5022" s="13">
        <f>IF(H5022="","",ROW()-4)</f>
        <v/>
      </c>
      <c r="B5022" s="13">
        <f>IF(H5022="","",ROW()-4)</f>
        <v/>
      </c>
    </row>
    <row r="5023">
      <c r="A5023" s="13">
        <f>IF(H5023="","",ROW()-4)</f>
        <v/>
      </c>
      <c r="B5023" s="13">
        <f>IF(H5023="","",ROW()-4)</f>
        <v/>
      </c>
    </row>
    <row r="5024">
      <c r="A5024" s="13">
        <f>IF(H5024="","",ROW()-4)</f>
        <v/>
      </c>
      <c r="B5024" s="13">
        <f>IF(H5024="","",ROW()-4)</f>
        <v/>
      </c>
    </row>
    <row r="5025">
      <c r="A5025" s="13">
        <f>IF(H5025="","",ROW()-4)</f>
        <v/>
      </c>
      <c r="B5025" s="13">
        <f>IF(H5025="","",ROW()-4)</f>
        <v/>
      </c>
    </row>
    <row r="5026">
      <c r="A5026" s="13">
        <f>IF(H5026="","",ROW()-4)</f>
        <v/>
      </c>
      <c r="B5026" s="13">
        <f>IF(H5026="","",ROW()-4)</f>
        <v/>
      </c>
    </row>
    <row r="5027">
      <c r="A5027" s="13">
        <f>IF(H5027="","",ROW()-4)</f>
        <v/>
      </c>
      <c r="B5027" s="13">
        <f>IF(H5027="","",ROW()-4)</f>
        <v/>
      </c>
    </row>
    <row r="5028">
      <c r="A5028" s="13">
        <f>IF(H5028="","",ROW()-4)</f>
        <v/>
      </c>
      <c r="B5028" s="13">
        <f>IF(H5028="","",ROW()-4)</f>
        <v/>
      </c>
    </row>
    <row r="5029">
      <c r="A5029" s="13">
        <f>IF(H5029="","",ROW()-4)</f>
        <v/>
      </c>
      <c r="B5029" s="13">
        <f>IF(H5029="","",ROW()-4)</f>
        <v/>
      </c>
    </row>
    <row r="5030">
      <c r="A5030" s="13">
        <f>IF(H5030="","",ROW()-4)</f>
        <v/>
      </c>
      <c r="B5030" s="13">
        <f>IF(H5030="","",ROW()-4)</f>
        <v/>
      </c>
    </row>
    <row r="5031">
      <c r="A5031" s="13">
        <f>IF(H5031="","",ROW()-4)</f>
        <v/>
      </c>
      <c r="B5031" s="13">
        <f>IF(H5031="","",ROW()-4)</f>
        <v/>
      </c>
    </row>
    <row r="5032">
      <c r="A5032" s="13">
        <f>IF(H5032="","",ROW()-4)</f>
        <v/>
      </c>
      <c r="B5032" s="13">
        <f>IF(H5032="","",ROW()-4)</f>
        <v/>
      </c>
    </row>
    <row r="5033">
      <c r="A5033" s="13">
        <f>IF(H5033="","",ROW()-4)</f>
        <v/>
      </c>
      <c r="B5033" s="13">
        <f>IF(H5033="","",ROW()-4)</f>
        <v/>
      </c>
    </row>
    <row r="5034">
      <c r="A5034" s="13">
        <f>IF(H5034="","",ROW()-4)</f>
        <v/>
      </c>
      <c r="B5034" s="13">
        <f>IF(H5034="","",ROW()-4)</f>
        <v/>
      </c>
    </row>
    <row r="5035">
      <c r="A5035" s="13">
        <f>IF(H5035="","",ROW()-4)</f>
        <v/>
      </c>
      <c r="B5035" s="13">
        <f>IF(H5035="","",ROW()-4)</f>
        <v/>
      </c>
    </row>
    <row r="5036">
      <c r="A5036" s="13">
        <f>IF(H5036="","",ROW()-4)</f>
        <v/>
      </c>
      <c r="B5036" s="13">
        <f>IF(H5036="","",ROW()-4)</f>
        <v/>
      </c>
    </row>
    <row r="5037">
      <c r="A5037" s="13">
        <f>IF(H5037="","",ROW()-4)</f>
        <v/>
      </c>
      <c r="B5037" s="13">
        <f>IF(H5037="","",ROW()-4)</f>
        <v/>
      </c>
    </row>
    <row r="5038">
      <c r="A5038" s="13">
        <f>IF(H5038="","",ROW()-4)</f>
        <v/>
      </c>
      <c r="B5038" s="13">
        <f>IF(H5038="","",ROW()-4)</f>
        <v/>
      </c>
    </row>
    <row r="5039">
      <c r="A5039" s="13">
        <f>IF(H5039="","",ROW()-4)</f>
        <v/>
      </c>
      <c r="B5039" s="13">
        <f>IF(H5039="","",ROW()-4)</f>
        <v/>
      </c>
    </row>
    <row r="5040">
      <c r="A5040" s="13">
        <f>IF(H5040="","",ROW()-4)</f>
        <v/>
      </c>
      <c r="B5040" s="13">
        <f>IF(H5040="","",ROW()-4)</f>
        <v/>
      </c>
    </row>
    <row r="5041">
      <c r="A5041" s="13">
        <f>IF(H5041="","",ROW()-4)</f>
        <v/>
      </c>
      <c r="B5041" s="13">
        <f>IF(H5041="","",ROW()-4)</f>
        <v/>
      </c>
    </row>
    <row r="5042">
      <c r="A5042" s="13">
        <f>IF(H5042="","",ROW()-4)</f>
        <v/>
      </c>
      <c r="B5042" s="13">
        <f>IF(H5042="","",ROW()-4)</f>
        <v/>
      </c>
    </row>
    <row r="5043">
      <c r="A5043" s="13">
        <f>IF(H5043="","",ROW()-4)</f>
        <v/>
      </c>
      <c r="B5043" s="13">
        <f>IF(H5043="","",ROW()-4)</f>
        <v/>
      </c>
    </row>
    <row r="5044">
      <c r="A5044" s="13">
        <f>IF(H5044="","",ROW()-4)</f>
        <v/>
      </c>
      <c r="B5044" s="13">
        <f>IF(H5044="","",ROW()-4)</f>
        <v/>
      </c>
    </row>
    <row r="5045">
      <c r="A5045" s="13">
        <f>IF(H5045="","",ROW()-4)</f>
        <v/>
      </c>
      <c r="B5045" s="13">
        <f>IF(H5045="","",ROW()-4)</f>
        <v/>
      </c>
    </row>
    <row r="5046">
      <c r="A5046" s="13">
        <f>IF(H5046="","",ROW()-4)</f>
        <v/>
      </c>
      <c r="B5046" s="13">
        <f>IF(H5046="","",ROW()-4)</f>
        <v/>
      </c>
    </row>
    <row r="5047">
      <c r="A5047" s="13">
        <f>IF(H5047="","",ROW()-4)</f>
        <v/>
      </c>
      <c r="B5047" s="13">
        <f>IF(H5047="","",ROW()-4)</f>
        <v/>
      </c>
    </row>
    <row r="5048">
      <c r="A5048" s="13">
        <f>IF(H5048="","",ROW()-4)</f>
        <v/>
      </c>
      <c r="B5048" s="13">
        <f>IF(H5048="","",ROW()-4)</f>
        <v/>
      </c>
    </row>
    <row r="5049">
      <c r="A5049" s="13">
        <f>IF(H5049="","",ROW()-4)</f>
        <v/>
      </c>
      <c r="B5049" s="13">
        <f>IF(H5049="","",ROW()-4)</f>
        <v/>
      </c>
    </row>
    <row r="5050">
      <c r="A5050" s="13">
        <f>IF(H5050="","",ROW()-4)</f>
        <v/>
      </c>
      <c r="B5050" s="13">
        <f>IF(H5050="","",ROW()-4)</f>
        <v/>
      </c>
    </row>
    <row r="5051">
      <c r="A5051" s="13">
        <f>IF(H5051="","",ROW()-4)</f>
        <v/>
      </c>
      <c r="B5051" s="13">
        <f>IF(H5051="","",ROW()-4)</f>
        <v/>
      </c>
    </row>
    <row r="5052">
      <c r="A5052" s="13">
        <f>IF(H5052="","",ROW()-4)</f>
        <v/>
      </c>
      <c r="B5052" s="13">
        <f>IF(H5052="","",ROW()-4)</f>
        <v/>
      </c>
    </row>
    <row r="5053">
      <c r="A5053" s="13">
        <f>IF(H5053="","",ROW()-4)</f>
        <v/>
      </c>
      <c r="B5053" s="13">
        <f>IF(H5053="","",ROW()-4)</f>
        <v/>
      </c>
    </row>
    <row r="5054">
      <c r="A5054" s="13">
        <f>IF(H5054="","",ROW()-4)</f>
        <v/>
      </c>
      <c r="B5054" s="13">
        <f>IF(H5054="","",ROW()-4)</f>
        <v/>
      </c>
    </row>
    <row r="5055">
      <c r="A5055" s="13">
        <f>IF(H5055="","",ROW()-4)</f>
        <v/>
      </c>
      <c r="B5055" s="13">
        <f>IF(H5055="","",ROW()-4)</f>
        <v/>
      </c>
    </row>
    <row r="5056">
      <c r="A5056" s="13">
        <f>IF(H5056="","",ROW()-4)</f>
        <v/>
      </c>
      <c r="B5056" s="13">
        <f>IF(H5056="","",ROW()-4)</f>
        <v/>
      </c>
    </row>
    <row r="5057">
      <c r="A5057" s="13">
        <f>IF(H5057="","",ROW()-4)</f>
        <v/>
      </c>
      <c r="B5057" s="13">
        <f>IF(H5057="","",ROW()-4)</f>
        <v/>
      </c>
    </row>
    <row r="5058">
      <c r="A5058" s="13">
        <f>IF(H5058="","",ROW()-4)</f>
        <v/>
      </c>
      <c r="B5058" s="13">
        <f>IF(H5058="","",ROW()-4)</f>
        <v/>
      </c>
    </row>
    <row r="5059">
      <c r="A5059" s="13">
        <f>IF(H5059="","",ROW()-4)</f>
        <v/>
      </c>
      <c r="B5059" s="13">
        <f>IF(H5059="","",ROW()-4)</f>
        <v/>
      </c>
    </row>
    <row r="5060">
      <c r="A5060" s="13">
        <f>IF(H5060="","",ROW()-4)</f>
        <v/>
      </c>
      <c r="B5060" s="13">
        <f>IF(H5060="","",ROW()-4)</f>
        <v/>
      </c>
    </row>
    <row r="5061">
      <c r="A5061" s="13">
        <f>IF(H5061="","",ROW()-4)</f>
        <v/>
      </c>
      <c r="B5061" s="13">
        <f>IF(H5061="","",ROW()-4)</f>
        <v/>
      </c>
    </row>
    <row r="5062">
      <c r="A5062" s="13">
        <f>IF(H5062="","",ROW()-4)</f>
        <v/>
      </c>
      <c r="B5062" s="13">
        <f>IF(H5062="","",ROW()-4)</f>
        <v/>
      </c>
    </row>
    <row r="5063">
      <c r="A5063" s="13">
        <f>IF(H5063="","",ROW()-4)</f>
        <v/>
      </c>
      <c r="B5063" s="13">
        <f>IF(H5063="","",ROW()-4)</f>
        <v/>
      </c>
    </row>
    <row r="5064">
      <c r="A5064" s="13">
        <f>IF(H5064="","",ROW()-4)</f>
        <v/>
      </c>
      <c r="B5064" s="13">
        <f>IF(H5064="","",ROW()-4)</f>
        <v/>
      </c>
    </row>
    <row r="5065">
      <c r="A5065" s="13">
        <f>IF(H5065="","",ROW()-4)</f>
        <v/>
      </c>
      <c r="B5065" s="13">
        <f>IF(H5065="","",ROW()-4)</f>
        <v/>
      </c>
    </row>
    <row r="5066">
      <c r="A5066" s="13">
        <f>IF(H5066="","",ROW()-4)</f>
        <v/>
      </c>
      <c r="B5066" s="13">
        <f>IF(H5066="","",ROW()-4)</f>
        <v/>
      </c>
    </row>
    <row r="5067">
      <c r="A5067" s="13">
        <f>IF(H5067="","",ROW()-4)</f>
        <v/>
      </c>
      <c r="B5067" s="13">
        <f>IF(H5067="","",ROW()-4)</f>
        <v/>
      </c>
    </row>
    <row r="5068">
      <c r="A5068" s="13">
        <f>IF(H5068="","",ROW()-4)</f>
        <v/>
      </c>
      <c r="B5068" s="13">
        <f>IF(H5068="","",ROW()-4)</f>
        <v/>
      </c>
    </row>
    <row r="5069">
      <c r="A5069" s="13">
        <f>IF(H5069="","",ROW()-4)</f>
        <v/>
      </c>
      <c r="B5069" s="13">
        <f>IF(H5069="","",ROW()-4)</f>
        <v/>
      </c>
    </row>
    <row r="5070">
      <c r="A5070" s="13">
        <f>IF(H5070="","",ROW()-4)</f>
        <v/>
      </c>
      <c r="B5070" s="13">
        <f>IF(H5070="","",ROW()-4)</f>
        <v/>
      </c>
    </row>
    <row r="5071">
      <c r="A5071" s="13">
        <f>IF(H5071="","",ROW()-4)</f>
        <v/>
      </c>
      <c r="B5071" s="13">
        <f>IF(H5071="","",ROW()-4)</f>
        <v/>
      </c>
    </row>
    <row r="5072">
      <c r="A5072" s="13">
        <f>IF(H5072="","",ROW()-4)</f>
        <v/>
      </c>
      <c r="B5072" s="13">
        <f>IF(H5072="","",ROW()-4)</f>
        <v/>
      </c>
    </row>
    <row r="5073">
      <c r="A5073" s="13">
        <f>IF(H5073="","",ROW()-4)</f>
        <v/>
      </c>
      <c r="B5073" s="13">
        <f>IF(H5073="","",ROW()-4)</f>
        <v/>
      </c>
    </row>
    <row r="5074">
      <c r="A5074" s="13">
        <f>IF(H5074="","",ROW()-4)</f>
        <v/>
      </c>
      <c r="B5074" s="13">
        <f>IF(H5074="","",ROW()-4)</f>
        <v/>
      </c>
    </row>
    <row r="5075">
      <c r="A5075" s="13">
        <f>IF(H5075="","",ROW()-4)</f>
        <v/>
      </c>
      <c r="B5075" s="13">
        <f>IF(H5075="","",ROW()-4)</f>
        <v/>
      </c>
    </row>
    <row r="5076">
      <c r="A5076" s="13">
        <f>IF(H5076="","",ROW()-4)</f>
        <v/>
      </c>
      <c r="B5076" s="13">
        <f>IF(H5076="","",ROW()-4)</f>
        <v/>
      </c>
    </row>
    <row r="5077">
      <c r="A5077" s="13">
        <f>IF(H5077="","",ROW()-4)</f>
        <v/>
      </c>
      <c r="B5077" s="13">
        <f>IF(H5077="","",ROW()-4)</f>
        <v/>
      </c>
    </row>
    <row r="5078">
      <c r="A5078" s="13">
        <f>IF(H5078="","",ROW()-4)</f>
        <v/>
      </c>
      <c r="B5078" s="13">
        <f>IF(H5078="","",ROW()-4)</f>
        <v/>
      </c>
    </row>
    <row r="5079">
      <c r="A5079" s="13">
        <f>IF(H5079="","",ROW()-4)</f>
        <v/>
      </c>
      <c r="B5079" s="13">
        <f>IF(H5079="","",ROW()-4)</f>
        <v/>
      </c>
    </row>
    <row r="5080">
      <c r="A5080" s="13">
        <f>IF(H5080="","",ROW()-4)</f>
        <v/>
      </c>
      <c r="B5080" s="13">
        <f>IF(H5080="","",ROW()-4)</f>
        <v/>
      </c>
    </row>
    <row r="5081">
      <c r="A5081" s="13">
        <f>IF(H5081="","",ROW()-4)</f>
        <v/>
      </c>
      <c r="B5081" s="13">
        <f>IF(H5081="","",ROW()-4)</f>
        <v/>
      </c>
    </row>
    <row r="5082">
      <c r="A5082" s="13">
        <f>IF(H5082="","",ROW()-4)</f>
        <v/>
      </c>
      <c r="B5082" s="13">
        <f>IF(H5082="","",ROW()-4)</f>
        <v/>
      </c>
    </row>
    <row r="5083">
      <c r="A5083" s="13">
        <f>IF(H5083="","",ROW()-4)</f>
        <v/>
      </c>
      <c r="B5083" s="13">
        <f>IF(H5083="","",ROW()-4)</f>
        <v/>
      </c>
    </row>
    <row r="5084">
      <c r="A5084" s="13">
        <f>IF(H5084="","",ROW()-4)</f>
        <v/>
      </c>
      <c r="B5084" s="13">
        <f>IF(H5084="","",ROW()-4)</f>
        <v/>
      </c>
    </row>
    <row r="5085">
      <c r="A5085" s="13">
        <f>IF(H5085="","",ROW()-4)</f>
        <v/>
      </c>
      <c r="B5085" s="13">
        <f>IF(H5085="","",ROW()-4)</f>
        <v/>
      </c>
    </row>
    <row r="5086">
      <c r="A5086" s="13">
        <f>IF(H5086="","",ROW()-4)</f>
        <v/>
      </c>
      <c r="B5086" s="13">
        <f>IF(H5086="","",ROW()-4)</f>
        <v/>
      </c>
    </row>
    <row r="5087">
      <c r="A5087" s="13">
        <f>IF(H5087="","",ROW()-4)</f>
        <v/>
      </c>
      <c r="B5087" s="13">
        <f>IF(H5087="","",ROW()-4)</f>
        <v/>
      </c>
    </row>
    <row r="5088">
      <c r="A5088" s="13">
        <f>IF(H5088="","",ROW()-4)</f>
        <v/>
      </c>
      <c r="B5088" s="13">
        <f>IF(H5088="","",ROW()-4)</f>
        <v/>
      </c>
    </row>
    <row r="5089">
      <c r="A5089" s="13">
        <f>IF(H5089="","",ROW()-4)</f>
        <v/>
      </c>
      <c r="B5089" s="13">
        <f>IF(H5089="","",ROW()-4)</f>
        <v/>
      </c>
    </row>
    <row r="5090">
      <c r="A5090" s="13">
        <f>IF(H5090="","",ROW()-4)</f>
        <v/>
      </c>
      <c r="B5090" s="13">
        <f>IF(H5090="","",ROW()-4)</f>
        <v/>
      </c>
    </row>
    <row r="5091">
      <c r="A5091" s="13">
        <f>IF(H5091="","",ROW()-4)</f>
        <v/>
      </c>
      <c r="B5091" s="13">
        <f>IF(H5091="","",ROW()-4)</f>
        <v/>
      </c>
    </row>
    <row r="5092">
      <c r="A5092" s="13">
        <f>IF(H5092="","",ROW()-4)</f>
        <v/>
      </c>
      <c r="B5092" s="13">
        <f>IF(H5092="","",ROW()-4)</f>
        <v/>
      </c>
    </row>
    <row r="5093">
      <c r="A5093" s="13">
        <f>IF(H5093="","",ROW()-4)</f>
        <v/>
      </c>
      <c r="B5093" s="13">
        <f>IF(H5093="","",ROW()-4)</f>
        <v/>
      </c>
    </row>
    <row r="5094">
      <c r="A5094" s="13">
        <f>IF(H5094="","",ROW()-4)</f>
        <v/>
      </c>
      <c r="B5094" s="13">
        <f>IF(H5094="","",ROW()-4)</f>
        <v/>
      </c>
    </row>
    <row r="5095">
      <c r="A5095" s="13">
        <f>IF(H5095="","",ROW()-4)</f>
        <v/>
      </c>
      <c r="B5095" s="13">
        <f>IF(H5095="","",ROW()-4)</f>
        <v/>
      </c>
    </row>
    <row r="5096">
      <c r="A5096" s="13">
        <f>IF(H5096="","",ROW()-4)</f>
        <v/>
      </c>
      <c r="B5096" s="13">
        <f>IF(H5096="","",ROW()-4)</f>
        <v/>
      </c>
    </row>
    <row r="5097">
      <c r="A5097" s="13">
        <f>IF(H5097="","",ROW()-4)</f>
        <v/>
      </c>
      <c r="B5097" s="13">
        <f>IF(H5097="","",ROW()-4)</f>
        <v/>
      </c>
    </row>
    <row r="5098">
      <c r="A5098" s="13">
        <f>IF(H5098="","",ROW()-4)</f>
        <v/>
      </c>
      <c r="B5098" s="13">
        <f>IF(H5098="","",ROW()-4)</f>
        <v/>
      </c>
    </row>
    <row r="5099">
      <c r="A5099" s="13">
        <f>IF(H5099="","",ROW()-4)</f>
        <v/>
      </c>
      <c r="B5099" s="13">
        <f>IF(H5099="","",ROW()-4)</f>
        <v/>
      </c>
    </row>
    <row r="5100">
      <c r="A5100" s="13">
        <f>IF(H5100="","",ROW()-4)</f>
        <v/>
      </c>
      <c r="B5100" s="13">
        <f>IF(H5100="","",ROW()-4)</f>
        <v/>
      </c>
    </row>
    <row r="5101">
      <c r="A5101" s="13">
        <f>IF(H5101="","",ROW()-4)</f>
        <v/>
      </c>
      <c r="B5101" s="13">
        <f>IF(H5101="","",ROW()-4)</f>
        <v/>
      </c>
    </row>
    <row r="5102">
      <c r="A5102" s="13">
        <f>IF(H5102="","",ROW()-4)</f>
        <v/>
      </c>
      <c r="B5102" s="13">
        <f>IF(H5102="","",ROW()-4)</f>
        <v/>
      </c>
    </row>
    <row r="5103">
      <c r="A5103" s="13">
        <f>IF(H5103="","",ROW()-4)</f>
        <v/>
      </c>
      <c r="B5103" s="13">
        <f>IF(H5103="","",ROW()-4)</f>
        <v/>
      </c>
    </row>
    <row r="5104">
      <c r="A5104" s="13">
        <f>IF(H5104="","",ROW()-4)</f>
        <v/>
      </c>
      <c r="B5104" s="13">
        <f>IF(H5104="","",ROW()-4)</f>
        <v/>
      </c>
    </row>
    <row r="5105">
      <c r="A5105" s="13">
        <f>IF(H5105="","",ROW()-4)</f>
        <v/>
      </c>
      <c r="B5105" s="13">
        <f>IF(H5105="","",ROW()-4)</f>
        <v/>
      </c>
    </row>
    <row r="5106">
      <c r="A5106" s="13">
        <f>IF(H5106="","",ROW()-4)</f>
        <v/>
      </c>
      <c r="B5106" s="13">
        <f>IF(H5106="","",ROW()-4)</f>
        <v/>
      </c>
    </row>
    <row r="5107">
      <c r="A5107" s="13">
        <f>IF(H5107="","",ROW()-4)</f>
        <v/>
      </c>
      <c r="B5107" s="13">
        <f>IF(H5107="","",ROW()-4)</f>
        <v/>
      </c>
    </row>
    <row r="5108">
      <c r="A5108" s="13">
        <f>IF(H5108="","",ROW()-4)</f>
        <v/>
      </c>
      <c r="B5108" s="13">
        <f>IF(H5108="","",ROW()-4)</f>
        <v/>
      </c>
    </row>
    <row r="5109">
      <c r="A5109" s="13">
        <f>IF(H5109="","",ROW()-4)</f>
        <v/>
      </c>
      <c r="B5109" s="13">
        <f>IF(H5109="","",ROW()-4)</f>
        <v/>
      </c>
    </row>
    <row r="5110">
      <c r="A5110" s="13">
        <f>IF(H5110="","",ROW()-4)</f>
        <v/>
      </c>
      <c r="B5110" s="13">
        <f>IF(H5110="","",ROW()-4)</f>
        <v/>
      </c>
    </row>
    <row r="5111">
      <c r="A5111" s="13">
        <f>IF(H5111="","",ROW()-4)</f>
        <v/>
      </c>
      <c r="B5111" s="13">
        <f>IF(H5111="","",ROW()-4)</f>
        <v/>
      </c>
    </row>
    <row r="5112">
      <c r="A5112" s="13">
        <f>IF(H5112="","",ROW()-4)</f>
        <v/>
      </c>
      <c r="B5112" s="13">
        <f>IF(H5112="","",ROW()-4)</f>
        <v/>
      </c>
    </row>
    <row r="5113">
      <c r="A5113" s="13">
        <f>IF(H5113="","",ROW()-4)</f>
        <v/>
      </c>
      <c r="B5113" s="13">
        <f>IF(H5113="","",ROW()-4)</f>
        <v/>
      </c>
    </row>
    <row r="5114">
      <c r="A5114" s="13">
        <f>IF(H5114="","",ROW()-4)</f>
        <v/>
      </c>
      <c r="B5114" s="13">
        <f>IF(H5114="","",ROW()-4)</f>
        <v/>
      </c>
    </row>
    <row r="5115">
      <c r="A5115" s="13">
        <f>IF(H5115="","",ROW()-4)</f>
        <v/>
      </c>
      <c r="B5115" s="13">
        <f>IF(H5115="","",ROW()-4)</f>
        <v/>
      </c>
    </row>
    <row r="5116">
      <c r="A5116" s="13">
        <f>IF(H5116="","",ROW()-4)</f>
        <v/>
      </c>
      <c r="B5116" s="13">
        <f>IF(H5116="","",ROW()-4)</f>
        <v/>
      </c>
    </row>
    <row r="5117">
      <c r="A5117" s="13">
        <f>IF(H5117="","",ROW()-4)</f>
        <v/>
      </c>
      <c r="B5117" s="13">
        <f>IF(H5117="","",ROW()-4)</f>
        <v/>
      </c>
    </row>
    <row r="5118">
      <c r="A5118" s="13">
        <f>IF(H5118="","",ROW()-4)</f>
        <v/>
      </c>
      <c r="B5118" s="13">
        <f>IF(H5118="","",ROW()-4)</f>
        <v/>
      </c>
    </row>
    <row r="5119">
      <c r="A5119" s="13">
        <f>IF(H5119="","",ROW()-4)</f>
        <v/>
      </c>
      <c r="B5119" s="13">
        <f>IF(H5119="","",ROW()-4)</f>
        <v/>
      </c>
    </row>
    <row r="5120">
      <c r="A5120" s="13">
        <f>IF(H5120="","",ROW()-4)</f>
        <v/>
      </c>
      <c r="B5120" s="13">
        <f>IF(H5120="","",ROW()-4)</f>
        <v/>
      </c>
    </row>
    <row r="5121">
      <c r="A5121" s="13">
        <f>IF(H5121="","",ROW()-4)</f>
        <v/>
      </c>
      <c r="B5121" s="13">
        <f>IF(H5121="","",ROW()-4)</f>
        <v/>
      </c>
    </row>
    <row r="5122">
      <c r="A5122" s="13">
        <f>IF(H5122="","",ROW()-4)</f>
        <v/>
      </c>
      <c r="B5122" s="13">
        <f>IF(H5122="","",ROW()-4)</f>
        <v/>
      </c>
    </row>
    <row r="5123">
      <c r="A5123" s="13">
        <f>IF(H5123="","",ROW()-4)</f>
        <v/>
      </c>
      <c r="B5123" s="13">
        <f>IF(H5123="","",ROW()-4)</f>
        <v/>
      </c>
    </row>
    <row r="5124">
      <c r="A5124" s="13">
        <f>IF(H5124="","",ROW()-4)</f>
        <v/>
      </c>
      <c r="B5124" s="13">
        <f>IF(H5124="","",ROW()-4)</f>
        <v/>
      </c>
    </row>
    <row r="5125">
      <c r="A5125" s="13">
        <f>IF(H5125="","",ROW()-4)</f>
        <v/>
      </c>
      <c r="B5125" s="13">
        <f>IF(H5125="","",ROW()-4)</f>
        <v/>
      </c>
    </row>
    <row r="5126">
      <c r="A5126" s="13">
        <f>IF(H5126="","",ROW()-4)</f>
        <v/>
      </c>
      <c r="B5126" s="13">
        <f>IF(H5126="","",ROW()-4)</f>
        <v/>
      </c>
    </row>
    <row r="5127">
      <c r="A5127" s="13">
        <f>IF(H5127="","",ROW()-4)</f>
        <v/>
      </c>
      <c r="B5127" s="13">
        <f>IF(H5127="","",ROW()-4)</f>
        <v/>
      </c>
    </row>
    <row r="5128">
      <c r="A5128" s="13">
        <f>IF(H5128="","",ROW()-4)</f>
        <v/>
      </c>
      <c r="B5128" s="13">
        <f>IF(H5128="","",ROW()-4)</f>
        <v/>
      </c>
    </row>
    <row r="5129">
      <c r="A5129" s="13">
        <f>IF(H5129="","",ROW()-4)</f>
        <v/>
      </c>
      <c r="B5129" s="13">
        <f>IF(H5129="","",ROW()-4)</f>
        <v/>
      </c>
    </row>
    <row r="5130">
      <c r="A5130" s="13">
        <f>IF(H5130="","",ROW()-4)</f>
        <v/>
      </c>
      <c r="B5130" s="13">
        <f>IF(H5130="","",ROW()-4)</f>
        <v/>
      </c>
    </row>
    <row r="5131">
      <c r="A5131" s="13">
        <f>IF(H5131="","",ROW()-4)</f>
        <v/>
      </c>
      <c r="B5131" s="13">
        <f>IF(H5131="","",ROW()-4)</f>
        <v/>
      </c>
    </row>
    <row r="5132">
      <c r="A5132" s="13">
        <f>IF(H5132="","",ROW()-4)</f>
        <v/>
      </c>
      <c r="B5132" s="13">
        <f>IF(H5132="","",ROW()-4)</f>
        <v/>
      </c>
    </row>
    <row r="5133">
      <c r="A5133" s="13">
        <f>IF(H5133="","",ROW()-4)</f>
        <v/>
      </c>
      <c r="B5133" s="13">
        <f>IF(H5133="","",ROW()-4)</f>
        <v/>
      </c>
    </row>
    <row r="5134">
      <c r="A5134" s="13">
        <f>IF(H5134="","",ROW()-4)</f>
        <v/>
      </c>
      <c r="B5134" s="13">
        <f>IF(H5134="","",ROW()-4)</f>
        <v/>
      </c>
    </row>
    <row r="5135">
      <c r="A5135" s="13">
        <f>IF(H5135="","",ROW()-4)</f>
        <v/>
      </c>
      <c r="B5135" s="13">
        <f>IF(H5135="","",ROW()-4)</f>
        <v/>
      </c>
    </row>
    <row r="5136">
      <c r="A5136" s="13">
        <f>IF(H5136="","",ROW()-4)</f>
        <v/>
      </c>
      <c r="B5136" s="13">
        <f>IF(H5136="","",ROW()-4)</f>
        <v/>
      </c>
    </row>
    <row r="5137">
      <c r="A5137" s="13">
        <f>IF(H5137="","",ROW()-4)</f>
        <v/>
      </c>
      <c r="B5137" s="13">
        <f>IF(H5137="","",ROW()-4)</f>
        <v/>
      </c>
    </row>
    <row r="5138">
      <c r="A5138" s="13">
        <f>IF(H5138="","",ROW()-4)</f>
        <v/>
      </c>
      <c r="B5138" s="13">
        <f>IF(H5138="","",ROW()-4)</f>
        <v/>
      </c>
    </row>
    <row r="5139">
      <c r="A5139" s="13">
        <f>IF(H5139="","",ROW()-4)</f>
        <v/>
      </c>
      <c r="B5139" s="13">
        <f>IF(H5139="","",ROW()-4)</f>
        <v/>
      </c>
    </row>
    <row r="5140">
      <c r="A5140" s="13">
        <f>IF(H5140="","",ROW()-4)</f>
        <v/>
      </c>
      <c r="B5140" s="13">
        <f>IF(H5140="","",ROW()-4)</f>
        <v/>
      </c>
    </row>
    <row r="5141">
      <c r="A5141" s="13">
        <f>IF(H5141="","",ROW()-4)</f>
        <v/>
      </c>
      <c r="B5141" s="13">
        <f>IF(H5141="","",ROW()-4)</f>
        <v/>
      </c>
    </row>
    <row r="5142">
      <c r="A5142" s="13">
        <f>IF(H5142="","",ROW()-4)</f>
        <v/>
      </c>
      <c r="B5142" s="13">
        <f>IF(H5142="","",ROW()-4)</f>
        <v/>
      </c>
    </row>
    <row r="5143">
      <c r="A5143" s="13">
        <f>IF(H5143="","",ROW()-4)</f>
        <v/>
      </c>
      <c r="B5143" s="13">
        <f>IF(H5143="","",ROW()-4)</f>
        <v/>
      </c>
    </row>
    <row r="5144">
      <c r="A5144" s="13">
        <f>IF(H5144="","",ROW()-4)</f>
        <v/>
      </c>
      <c r="B5144" s="13">
        <f>IF(H5144="","",ROW()-4)</f>
        <v/>
      </c>
    </row>
    <row r="5145">
      <c r="A5145" s="13">
        <f>IF(H5145="","",ROW()-4)</f>
        <v/>
      </c>
      <c r="B5145" s="13">
        <f>IF(H5145="","",ROW()-4)</f>
        <v/>
      </c>
    </row>
    <row r="5146">
      <c r="A5146" s="13">
        <f>IF(H5146="","",ROW()-4)</f>
        <v/>
      </c>
      <c r="B5146" s="13">
        <f>IF(H5146="","",ROW()-4)</f>
        <v/>
      </c>
    </row>
    <row r="5147">
      <c r="A5147" s="13">
        <f>IF(H5147="","",ROW()-4)</f>
        <v/>
      </c>
      <c r="B5147" s="13">
        <f>IF(H5147="","",ROW()-4)</f>
        <v/>
      </c>
    </row>
    <row r="5148">
      <c r="A5148" s="13">
        <f>IF(H5148="","",ROW()-4)</f>
        <v/>
      </c>
      <c r="B5148" s="13">
        <f>IF(H5148="","",ROW()-4)</f>
        <v/>
      </c>
    </row>
    <row r="5149">
      <c r="A5149" s="13">
        <f>IF(H5149="","",ROW()-4)</f>
        <v/>
      </c>
      <c r="B5149" s="13">
        <f>IF(H5149="","",ROW()-4)</f>
        <v/>
      </c>
    </row>
    <row r="5150">
      <c r="A5150" s="13">
        <f>IF(H5150="","",ROW()-4)</f>
        <v/>
      </c>
      <c r="B5150" s="13">
        <f>IF(H5150="","",ROW()-4)</f>
        <v/>
      </c>
    </row>
    <row r="5151">
      <c r="A5151" s="13">
        <f>IF(H5151="","",ROW()-4)</f>
        <v/>
      </c>
      <c r="B5151" s="13">
        <f>IF(H5151="","",ROW()-4)</f>
        <v/>
      </c>
    </row>
    <row r="5152">
      <c r="A5152" s="13">
        <f>IF(H5152="","",ROW()-4)</f>
        <v/>
      </c>
      <c r="B5152" s="13">
        <f>IF(H5152="","",ROW()-4)</f>
        <v/>
      </c>
    </row>
    <row r="5153">
      <c r="A5153" s="13">
        <f>IF(H5153="","",ROW()-4)</f>
        <v/>
      </c>
      <c r="B5153" s="13">
        <f>IF(H5153="","",ROW()-4)</f>
        <v/>
      </c>
    </row>
    <row r="5154">
      <c r="A5154" s="13">
        <f>IF(H5154="","",ROW()-4)</f>
        <v/>
      </c>
      <c r="B5154" s="13">
        <f>IF(H5154="","",ROW()-4)</f>
        <v/>
      </c>
    </row>
    <row r="5155">
      <c r="A5155" s="13">
        <f>IF(H5155="","",ROW()-4)</f>
        <v/>
      </c>
      <c r="B5155" s="13">
        <f>IF(H5155="","",ROW()-4)</f>
        <v/>
      </c>
    </row>
    <row r="5156">
      <c r="A5156" s="13">
        <f>IF(H5156="","",ROW()-4)</f>
        <v/>
      </c>
      <c r="B5156" s="13">
        <f>IF(H5156="","",ROW()-4)</f>
        <v/>
      </c>
    </row>
    <row r="5157">
      <c r="A5157" s="13">
        <f>IF(H5157="","",ROW()-4)</f>
        <v/>
      </c>
      <c r="B5157" s="13">
        <f>IF(H5157="","",ROW()-4)</f>
        <v/>
      </c>
    </row>
    <row r="5158">
      <c r="A5158" s="13">
        <f>IF(H5158="","",ROW()-4)</f>
        <v/>
      </c>
      <c r="B5158" s="13">
        <f>IF(H5158="","",ROW()-4)</f>
        <v/>
      </c>
    </row>
    <row r="5159">
      <c r="A5159" s="13">
        <f>IF(H5159="","",ROW()-4)</f>
        <v/>
      </c>
      <c r="B5159" s="13">
        <f>IF(H5159="","",ROW()-4)</f>
        <v/>
      </c>
    </row>
    <row r="5160">
      <c r="A5160" s="13">
        <f>IF(H5160="","",ROW()-4)</f>
        <v/>
      </c>
      <c r="B5160" s="13">
        <f>IF(H5160="","",ROW()-4)</f>
        <v/>
      </c>
    </row>
    <row r="5161">
      <c r="A5161" s="13">
        <f>IF(H5161="","",ROW()-4)</f>
        <v/>
      </c>
      <c r="B5161" s="13">
        <f>IF(H5161="","",ROW()-4)</f>
        <v/>
      </c>
    </row>
    <row r="5162">
      <c r="A5162" s="13">
        <f>IF(H5162="","",ROW()-4)</f>
        <v/>
      </c>
      <c r="B5162" s="13">
        <f>IF(H5162="","",ROW()-4)</f>
        <v/>
      </c>
    </row>
    <row r="5163">
      <c r="A5163" s="13">
        <f>IF(H5163="","",ROW()-4)</f>
        <v/>
      </c>
      <c r="B5163" s="13">
        <f>IF(H5163="","",ROW()-4)</f>
        <v/>
      </c>
    </row>
    <row r="5164">
      <c r="A5164" s="13">
        <f>IF(H5164="","",ROW()-4)</f>
        <v/>
      </c>
      <c r="B5164" s="13">
        <f>IF(H5164="","",ROW()-4)</f>
        <v/>
      </c>
    </row>
    <row r="5165">
      <c r="A5165" s="13">
        <f>IF(H5165="","",ROW()-4)</f>
        <v/>
      </c>
      <c r="B5165" s="13">
        <f>IF(H5165="","",ROW()-4)</f>
        <v/>
      </c>
    </row>
    <row r="5166">
      <c r="A5166" s="13">
        <f>IF(H5166="","",ROW()-4)</f>
        <v/>
      </c>
      <c r="B5166" s="13">
        <f>IF(H5166="","",ROW()-4)</f>
        <v/>
      </c>
    </row>
    <row r="5167">
      <c r="A5167" s="13">
        <f>IF(H5167="","",ROW()-4)</f>
        <v/>
      </c>
      <c r="B5167" s="13">
        <f>IF(H5167="","",ROW()-4)</f>
        <v/>
      </c>
    </row>
    <row r="5168">
      <c r="A5168" s="13">
        <f>IF(H5168="","",ROW()-4)</f>
        <v/>
      </c>
      <c r="B5168" s="13">
        <f>IF(H5168="","",ROW()-4)</f>
        <v/>
      </c>
    </row>
    <row r="5169">
      <c r="A5169" s="13">
        <f>IF(H5169="","",ROW()-4)</f>
        <v/>
      </c>
      <c r="B5169" s="13">
        <f>IF(H5169="","",ROW()-4)</f>
        <v/>
      </c>
    </row>
    <row r="5170">
      <c r="A5170" s="13">
        <f>IF(H5170="","",ROW()-4)</f>
        <v/>
      </c>
      <c r="B5170" s="13">
        <f>IF(H5170="","",ROW()-4)</f>
        <v/>
      </c>
    </row>
    <row r="5171">
      <c r="A5171" s="13">
        <f>IF(H5171="","",ROW()-4)</f>
        <v/>
      </c>
      <c r="B5171" s="13">
        <f>IF(H5171="","",ROW()-4)</f>
        <v/>
      </c>
    </row>
    <row r="5172">
      <c r="A5172" s="13">
        <f>IF(H5172="","",ROW()-4)</f>
        <v/>
      </c>
      <c r="B5172" s="13">
        <f>IF(H5172="","",ROW()-4)</f>
        <v/>
      </c>
    </row>
    <row r="5173">
      <c r="A5173" s="13">
        <f>IF(H5173="","",ROW()-4)</f>
        <v/>
      </c>
      <c r="B5173" s="13">
        <f>IF(H5173="","",ROW()-4)</f>
        <v/>
      </c>
    </row>
    <row r="5174">
      <c r="A5174" s="13">
        <f>IF(H5174="","",ROW()-4)</f>
        <v/>
      </c>
      <c r="B5174" s="13">
        <f>IF(H5174="","",ROW()-4)</f>
        <v/>
      </c>
    </row>
    <row r="5175">
      <c r="A5175" s="13">
        <f>IF(H5175="","",ROW()-4)</f>
        <v/>
      </c>
      <c r="B5175" s="13">
        <f>IF(H5175="","",ROW()-4)</f>
        <v/>
      </c>
    </row>
    <row r="5176">
      <c r="A5176" s="13">
        <f>IF(H5176="","",ROW()-4)</f>
        <v/>
      </c>
      <c r="B5176" s="13">
        <f>IF(H5176="","",ROW()-4)</f>
        <v/>
      </c>
    </row>
    <row r="5177">
      <c r="A5177" s="13">
        <f>IF(H5177="","",ROW()-4)</f>
        <v/>
      </c>
      <c r="B5177" s="13">
        <f>IF(H5177="","",ROW()-4)</f>
        <v/>
      </c>
    </row>
    <row r="5178">
      <c r="A5178" s="13">
        <f>IF(H5178="","",ROW()-4)</f>
        <v/>
      </c>
      <c r="B5178" s="13">
        <f>IF(H5178="","",ROW()-4)</f>
        <v/>
      </c>
    </row>
    <row r="5179">
      <c r="A5179" s="13">
        <f>IF(H5179="","",ROW()-4)</f>
        <v/>
      </c>
      <c r="B5179" s="13">
        <f>IF(H5179="","",ROW()-4)</f>
        <v/>
      </c>
    </row>
    <row r="5180">
      <c r="A5180" s="13">
        <f>IF(H5180="","",ROW()-4)</f>
        <v/>
      </c>
      <c r="B5180" s="13">
        <f>IF(H5180="","",ROW()-4)</f>
        <v/>
      </c>
    </row>
    <row r="5181">
      <c r="A5181" s="13">
        <f>IF(H5181="","",ROW()-4)</f>
        <v/>
      </c>
      <c r="B5181" s="13">
        <f>IF(H5181="","",ROW()-4)</f>
        <v/>
      </c>
    </row>
    <row r="5182">
      <c r="A5182" s="13">
        <f>IF(H5182="","",ROW()-4)</f>
        <v/>
      </c>
      <c r="B5182" s="13">
        <f>IF(H5182="","",ROW()-4)</f>
        <v/>
      </c>
    </row>
    <row r="5183">
      <c r="A5183" s="13">
        <f>IF(H5183="","",ROW()-4)</f>
        <v/>
      </c>
      <c r="B5183" s="13">
        <f>IF(H5183="","",ROW()-4)</f>
        <v/>
      </c>
    </row>
    <row r="5184">
      <c r="A5184" s="13">
        <f>IF(H5184="","",ROW()-4)</f>
        <v/>
      </c>
      <c r="B5184" s="13">
        <f>IF(H5184="","",ROW()-4)</f>
        <v/>
      </c>
    </row>
    <row r="5185">
      <c r="A5185" s="13">
        <f>IF(H5185="","",ROW()-4)</f>
        <v/>
      </c>
      <c r="B5185" s="13">
        <f>IF(H5185="","",ROW()-4)</f>
        <v/>
      </c>
    </row>
    <row r="5186">
      <c r="A5186" s="13">
        <f>IF(H5186="","",ROW()-4)</f>
        <v/>
      </c>
      <c r="B5186" s="13">
        <f>IF(H5186="","",ROW()-4)</f>
        <v/>
      </c>
    </row>
    <row r="5187">
      <c r="A5187" s="13">
        <f>IF(H5187="","",ROW()-4)</f>
        <v/>
      </c>
      <c r="B5187" s="13">
        <f>IF(H5187="","",ROW()-4)</f>
        <v/>
      </c>
    </row>
    <row r="5188">
      <c r="A5188" s="13">
        <f>IF(H5188="","",ROW()-4)</f>
        <v/>
      </c>
      <c r="B5188" s="13">
        <f>IF(H5188="","",ROW()-4)</f>
        <v/>
      </c>
    </row>
    <row r="5189">
      <c r="A5189" s="13">
        <f>IF(H5189="","",ROW()-4)</f>
        <v/>
      </c>
      <c r="B5189" s="13">
        <f>IF(H5189="","",ROW()-4)</f>
        <v/>
      </c>
    </row>
    <row r="5190">
      <c r="A5190" s="13">
        <f>IF(H5190="","",ROW()-4)</f>
        <v/>
      </c>
      <c r="B5190" s="13">
        <f>IF(H5190="","",ROW()-4)</f>
        <v/>
      </c>
    </row>
    <row r="5191">
      <c r="A5191" s="13">
        <f>IF(H5191="","",ROW()-4)</f>
        <v/>
      </c>
      <c r="B5191" s="13">
        <f>IF(H5191="","",ROW()-4)</f>
        <v/>
      </c>
    </row>
    <row r="5192">
      <c r="A5192" s="13">
        <f>IF(H5192="","",ROW()-4)</f>
        <v/>
      </c>
      <c r="B5192" s="13">
        <f>IF(H5192="","",ROW()-4)</f>
        <v/>
      </c>
    </row>
    <row r="5193">
      <c r="A5193" s="13">
        <f>IF(H5193="","",ROW()-4)</f>
        <v/>
      </c>
      <c r="B5193" s="13">
        <f>IF(H5193="","",ROW()-4)</f>
        <v/>
      </c>
    </row>
    <row r="5194">
      <c r="A5194" s="13">
        <f>IF(H5194="","",ROW()-4)</f>
        <v/>
      </c>
      <c r="B5194" s="13">
        <f>IF(H5194="","",ROW()-4)</f>
        <v/>
      </c>
    </row>
    <row r="5195">
      <c r="A5195" s="13">
        <f>IF(H5195="","",ROW()-4)</f>
        <v/>
      </c>
      <c r="B5195" s="13">
        <f>IF(H5195="","",ROW()-4)</f>
        <v/>
      </c>
    </row>
    <row r="5196">
      <c r="A5196" s="13">
        <f>IF(H5196="","",ROW()-4)</f>
        <v/>
      </c>
      <c r="B5196" s="13">
        <f>IF(H5196="","",ROW()-4)</f>
        <v/>
      </c>
    </row>
    <row r="5197">
      <c r="A5197" s="13">
        <f>IF(H5197="","",ROW()-4)</f>
        <v/>
      </c>
      <c r="B5197" s="13">
        <f>IF(H5197="","",ROW()-4)</f>
        <v/>
      </c>
    </row>
    <row r="5198">
      <c r="A5198" s="13">
        <f>IF(H5198="","",ROW()-4)</f>
        <v/>
      </c>
      <c r="B5198" s="13">
        <f>IF(H5198="","",ROW()-4)</f>
        <v/>
      </c>
    </row>
    <row r="5199">
      <c r="A5199" s="13">
        <f>IF(H5199="","",ROW()-4)</f>
        <v/>
      </c>
      <c r="B5199" s="13">
        <f>IF(H5199="","",ROW()-4)</f>
        <v/>
      </c>
    </row>
    <row r="5200">
      <c r="A5200" s="13">
        <f>IF(H5200="","",ROW()-4)</f>
        <v/>
      </c>
      <c r="B5200" s="13">
        <f>IF(H5200="","",ROW()-4)</f>
        <v/>
      </c>
    </row>
    <row r="5201">
      <c r="A5201" s="13">
        <f>IF(H5201="","",ROW()-4)</f>
        <v/>
      </c>
      <c r="B5201" s="13">
        <f>IF(H5201="","",ROW()-4)</f>
        <v/>
      </c>
    </row>
    <row r="5202">
      <c r="A5202" s="13">
        <f>IF(H5202="","",ROW()-4)</f>
        <v/>
      </c>
      <c r="B5202" s="13">
        <f>IF(H5202="","",ROW()-4)</f>
        <v/>
      </c>
    </row>
    <row r="5203">
      <c r="A5203" s="13">
        <f>IF(H5203="","",ROW()-4)</f>
        <v/>
      </c>
      <c r="B5203" s="13">
        <f>IF(H5203="","",ROW()-4)</f>
        <v/>
      </c>
    </row>
    <row r="5204">
      <c r="A5204" s="13">
        <f>IF(H5204="","",ROW()-4)</f>
        <v/>
      </c>
      <c r="B5204" s="13">
        <f>IF(H5204="","",ROW()-4)</f>
        <v/>
      </c>
    </row>
    <row r="5205">
      <c r="A5205" s="13">
        <f>IF(H5205="","",ROW()-4)</f>
        <v/>
      </c>
      <c r="B5205" s="13">
        <f>IF(H5205="","",ROW()-4)</f>
        <v/>
      </c>
    </row>
    <row r="5206">
      <c r="A5206" s="13">
        <f>IF(H5206="","",ROW()-4)</f>
        <v/>
      </c>
      <c r="B5206" s="13">
        <f>IF(H5206="","",ROW()-4)</f>
        <v/>
      </c>
    </row>
    <row r="5207">
      <c r="A5207" s="13">
        <f>IF(H5207="","",ROW()-4)</f>
        <v/>
      </c>
      <c r="B5207" s="13">
        <f>IF(H5207="","",ROW()-4)</f>
        <v/>
      </c>
    </row>
    <row r="5208">
      <c r="A5208" s="13">
        <f>IF(H5208="","",ROW()-4)</f>
        <v/>
      </c>
      <c r="B5208" s="13">
        <f>IF(H5208="","",ROW()-4)</f>
        <v/>
      </c>
    </row>
    <row r="5209">
      <c r="A5209" s="13">
        <f>IF(H5209="","",ROW()-4)</f>
        <v/>
      </c>
      <c r="B5209" s="13">
        <f>IF(H5209="","",ROW()-4)</f>
        <v/>
      </c>
    </row>
    <row r="5210">
      <c r="A5210" s="13">
        <f>IF(H5210="","",ROW()-4)</f>
        <v/>
      </c>
      <c r="B5210" s="13">
        <f>IF(H5210="","",ROW()-4)</f>
        <v/>
      </c>
    </row>
    <row r="5211">
      <c r="A5211" s="13">
        <f>IF(H5211="","",ROW()-4)</f>
        <v/>
      </c>
      <c r="B5211" s="13">
        <f>IF(H5211="","",ROW()-4)</f>
        <v/>
      </c>
    </row>
    <row r="5212">
      <c r="A5212" s="13">
        <f>IF(H5212="","",ROW()-4)</f>
        <v/>
      </c>
      <c r="B5212" s="13">
        <f>IF(H5212="","",ROW()-4)</f>
        <v/>
      </c>
    </row>
    <row r="5213">
      <c r="A5213" s="13">
        <f>IF(H5213="","",ROW()-4)</f>
        <v/>
      </c>
      <c r="B5213" s="13">
        <f>IF(H5213="","",ROW()-4)</f>
        <v/>
      </c>
    </row>
    <row r="5214">
      <c r="A5214" s="13">
        <f>IF(H5214="","",ROW()-4)</f>
        <v/>
      </c>
      <c r="B5214" s="13">
        <f>IF(H5214="","",ROW()-4)</f>
        <v/>
      </c>
    </row>
    <row r="5215">
      <c r="A5215" s="13">
        <f>IF(H5215="","",ROW()-4)</f>
        <v/>
      </c>
      <c r="B5215" s="13">
        <f>IF(H5215="","",ROW()-4)</f>
        <v/>
      </c>
    </row>
    <row r="5216">
      <c r="A5216" s="13">
        <f>IF(H5216="","",ROW()-4)</f>
        <v/>
      </c>
      <c r="B5216" s="13">
        <f>IF(H5216="","",ROW()-4)</f>
        <v/>
      </c>
    </row>
    <row r="5217">
      <c r="A5217" s="13">
        <f>IF(H5217="","",ROW()-4)</f>
        <v/>
      </c>
      <c r="B5217" s="13">
        <f>IF(H5217="","",ROW()-4)</f>
        <v/>
      </c>
    </row>
    <row r="5218">
      <c r="A5218" s="13">
        <f>IF(H5218="","",ROW()-4)</f>
        <v/>
      </c>
      <c r="B5218" s="13">
        <f>IF(H5218="","",ROW()-4)</f>
        <v/>
      </c>
    </row>
    <row r="5219">
      <c r="A5219" s="13">
        <f>IF(H5219="","",ROW()-4)</f>
        <v/>
      </c>
      <c r="B5219" s="13">
        <f>IF(H5219="","",ROW()-4)</f>
        <v/>
      </c>
    </row>
    <row r="5220">
      <c r="A5220" s="13">
        <f>IF(H5220="","",ROW()-4)</f>
        <v/>
      </c>
      <c r="B5220" s="13">
        <f>IF(H5220="","",ROW()-4)</f>
        <v/>
      </c>
    </row>
    <row r="5221">
      <c r="A5221" s="13">
        <f>IF(H5221="","",ROW()-4)</f>
        <v/>
      </c>
      <c r="B5221" s="13">
        <f>IF(H5221="","",ROW()-4)</f>
        <v/>
      </c>
    </row>
    <row r="5222">
      <c r="A5222" s="13">
        <f>IF(H5222="","",ROW()-4)</f>
        <v/>
      </c>
      <c r="B5222" s="13">
        <f>IF(H5222="","",ROW()-4)</f>
        <v/>
      </c>
    </row>
    <row r="5223">
      <c r="A5223" s="13">
        <f>IF(H5223="","",ROW()-4)</f>
        <v/>
      </c>
      <c r="B5223" s="13">
        <f>IF(H5223="","",ROW()-4)</f>
        <v/>
      </c>
    </row>
    <row r="5224">
      <c r="A5224" s="13">
        <f>IF(H5224="","",ROW()-4)</f>
        <v/>
      </c>
      <c r="B5224" s="13">
        <f>IF(H5224="","",ROW()-4)</f>
        <v/>
      </c>
    </row>
    <row r="5225">
      <c r="A5225" s="13">
        <f>IF(H5225="","",ROW()-4)</f>
        <v/>
      </c>
      <c r="B5225" s="13">
        <f>IF(H5225="","",ROW()-4)</f>
        <v/>
      </c>
    </row>
    <row r="5226">
      <c r="A5226" s="13">
        <f>IF(H5226="","",ROW()-4)</f>
        <v/>
      </c>
      <c r="B5226" s="13">
        <f>IF(H5226="","",ROW()-4)</f>
        <v/>
      </c>
    </row>
    <row r="5227">
      <c r="A5227" s="13">
        <f>IF(H5227="","",ROW()-4)</f>
        <v/>
      </c>
      <c r="B5227" s="13">
        <f>IF(H5227="","",ROW()-4)</f>
        <v/>
      </c>
    </row>
    <row r="5228">
      <c r="A5228" s="13">
        <f>IF(H5228="","",ROW()-4)</f>
        <v/>
      </c>
      <c r="B5228" s="13">
        <f>IF(H5228="","",ROW()-4)</f>
        <v/>
      </c>
    </row>
    <row r="5229">
      <c r="A5229" s="13">
        <f>IF(H5229="","",ROW()-4)</f>
        <v/>
      </c>
      <c r="B5229" s="13">
        <f>IF(H5229="","",ROW()-4)</f>
        <v/>
      </c>
    </row>
    <row r="5230">
      <c r="A5230" s="13">
        <f>IF(H5230="","",ROW()-4)</f>
        <v/>
      </c>
      <c r="B5230" s="13">
        <f>IF(H5230="","",ROW()-4)</f>
        <v/>
      </c>
    </row>
    <row r="5231">
      <c r="A5231" s="13">
        <f>IF(H5231="","",ROW()-4)</f>
        <v/>
      </c>
      <c r="B5231" s="13">
        <f>IF(H5231="","",ROW()-4)</f>
        <v/>
      </c>
    </row>
    <row r="5232">
      <c r="A5232" s="13">
        <f>IF(H5232="","",ROW()-4)</f>
        <v/>
      </c>
      <c r="B5232" s="13">
        <f>IF(H5232="","",ROW()-4)</f>
        <v/>
      </c>
    </row>
    <row r="5233">
      <c r="A5233" s="13">
        <f>IF(H5233="","",ROW()-4)</f>
        <v/>
      </c>
      <c r="B5233" s="13">
        <f>IF(H5233="","",ROW()-4)</f>
        <v/>
      </c>
    </row>
    <row r="5234">
      <c r="A5234" s="13">
        <f>IF(H5234="","",ROW()-4)</f>
        <v/>
      </c>
      <c r="B5234" s="13">
        <f>IF(H5234="","",ROW()-4)</f>
        <v/>
      </c>
    </row>
    <row r="5235">
      <c r="A5235" s="13">
        <f>IF(H5235="","",ROW()-4)</f>
        <v/>
      </c>
      <c r="B5235" s="13">
        <f>IF(H5235="","",ROW()-4)</f>
        <v/>
      </c>
    </row>
    <row r="5236">
      <c r="A5236" s="13">
        <f>IF(H5236="","",ROW()-4)</f>
        <v/>
      </c>
      <c r="B5236" s="13">
        <f>IF(H5236="","",ROW()-4)</f>
        <v/>
      </c>
    </row>
    <row r="5237">
      <c r="A5237" s="13">
        <f>IF(H5237="","",ROW()-4)</f>
        <v/>
      </c>
      <c r="B5237" s="13">
        <f>IF(H5237="","",ROW()-4)</f>
        <v/>
      </c>
    </row>
    <row r="5238">
      <c r="A5238" s="13">
        <f>IF(H5238="","",ROW()-4)</f>
        <v/>
      </c>
      <c r="B5238" s="13">
        <f>IF(H5238="","",ROW()-4)</f>
        <v/>
      </c>
    </row>
    <row r="5239">
      <c r="A5239" s="13">
        <f>IF(H5239="","",ROW()-4)</f>
        <v/>
      </c>
      <c r="B5239" s="13">
        <f>IF(H5239="","",ROW()-4)</f>
        <v/>
      </c>
    </row>
    <row r="5240">
      <c r="A5240" s="13">
        <f>IF(H5240="","",ROW()-4)</f>
        <v/>
      </c>
      <c r="B5240" s="13">
        <f>IF(H5240="","",ROW()-4)</f>
        <v/>
      </c>
    </row>
    <row r="5241">
      <c r="A5241" s="13">
        <f>IF(H5241="","",ROW()-4)</f>
        <v/>
      </c>
      <c r="B5241" s="13">
        <f>IF(H5241="","",ROW()-4)</f>
        <v/>
      </c>
    </row>
    <row r="5242">
      <c r="A5242" s="13">
        <f>IF(H5242="","",ROW()-4)</f>
        <v/>
      </c>
      <c r="B5242" s="13">
        <f>IF(H5242="","",ROW()-4)</f>
        <v/>
      </c>
    </row>
    <row r="5243">
      <c r="A5243" s="13">
        <f>IF(H5243="","",ROW()-4)</f>
        <v/>
      </c>
      <c r="B5243" s="13">
        <f>IF(H5243="","",ROW()-4)</f>
        <v/>
      </c>
    </row>
    <row r="5244">
      <c r="A5244" s="13">
        <f>IF(H5244="","",ROW()-4)</f>
        <v/>
      </c>
      <c r="B5244" s="13">
        <f>IF(H5244="","",ROW()-4)</f>
        <v/>
      </c>
    </row>
    <row r="5245">
      <c r="A5245" s="13">
        <f>IF(H5245="","",ROW()-4)</f>
        <v/>
      </c>
      <c r="B5245" s="13">
        <f>IF(H5245="","",ROW()-4)</f>
        <v/>
      </c>
    </row>
    <row r="5246">
      <c r="A5246" s="13">
        <f>IF(H5246="","",ROW()-4)</f>
        <v/>
      </c>
      <c r="B5246" s="13">
        <f>IF(H5246="","",ROW()-4)</f>
        <v/>
      </c>
    </row>
    <row r="5247">
      <c r="A5247" s="13">
        <f>IF(H5247="","",ROW()-4)</f>
        <v/>
      </c>
      <c r="B5247" s="13">
        <f>IF(H5247="","",ROW()-4)</f>
        <v/>
      </c>
    </row>
    <row r="5248">
      <c r="A5248" s="13">
        <f>IF(H5248="","",ROW()-4)</f>
        <v/>
      </c>
      <c r="B5248" s="13">
        <f>IF(H5248="","",ROW()-4)</f>
        <v/>
      </c>
    </row>
    <row r="5249">
      <c r="A5249" s="13">
        <f>IF(H5249="","",ROW()-4)</f>
        <v/>
      </c>
      <c r="B5249" s="13">
        <f>IF(H5249="","",ROW()-4)</f>
        <v/>
      </c>
    </row>
    <row r="5250">
      <c r="A5250" s="13">
        <f>IF(H5250="","",ROW()-4)</f>
        <v/>
      </c>
      <c r="B5250" s="13">
        <f>IF(H5250="","",ROW()-4)</f>
        <v/>
      </c>
    </row>
    <row r="5251">
      <c r="A5251" s="13">
        <f>IF(H5251="","",ROW()-4)</f>
        <v/>
      </c>
      <c r="B5251" s="13">
        <f>IF(H5251="","",ROW()-4)</f>
        <v/>
      </c>
    </row>
    <row r="5252">
      <c r="A5252" s="13">
        <f>IF(H5252="","",ROW()-4)</f>
        <v/>
      </c>
      <c r="B5252" s="13">
        <f>IF(H5252="","",ROW()-4)</f>
        <v/>
      </c>
    </row>
    <row r="5253">
      <c r="A5253" s="13">
        <f>IF(H5253="","",ROW()-4)</f>
        <v/>
      </c>
      <c r="B5253" s="13">
        <f>IF(H5253="","",ROW()-4)</f>
        <v/>
      </c>
    </row>
    <row r="5254">
      <c r="A5254" s="13">
        <f>IF(H5254="","",ROW()-4)</f>
        <v/>
      </c>
      <c r="B5254" s="13">
        <f>IF(H5254="","",ROW()-4)</f>
        <v/>
      </c>
    </row>
    <row r="5255">
      <c r="A5255" s="13">
        <f>IF(H5255="","",ROW()-4)</f>
        <v/>
      </c>
      <c r="B5255" s="13">
        <f>IF(H5255="","",ROW()-4)</f>
        <v/>
      </c>
    </row>
    <row r="5256">
      <c r="A5256" s="13">
        <f>IF(H5256="","",ROW()-4)</f>
        <v/>
      </c>
      <c r="B5256" s="13">
        <f>IF(H5256="","",ROW()-4)</f>
        <v/>
      </c>
    </row>
    <row r="5257">
      <c r="A5257" s="13">
        <f>IF(H5257="","",ROW()-4)</f>
        <v/>
      </c>
      <c r="B5257" s="13">
        <f>IF(H5257="","",ROW()-4)</f>
        <v/>
      </c>
    </row>
    <row r="5258">
      <c r="A5258" s="13">
        <f>IF(H5258="","",ROW()-4)</f>
        <v/>
      </c>
      <c r="B5258" s="13">
        <f>IF(H5258="","",ROW()-4)</f>
        <v/>
      </c>
    </row>
    <row r="5259">
      <c r="A5259" s="13">
        <f>IF(H5259="","",ROW()-4)</f>
        <v/>
      </c>
      <c r="B5259" s="13">
        <f>IF(H5259="","",ROW()-4)</f>
        <v/>
      </c>
    </row>
    <row r="5260">
      <c r="A5260" s="13">
        <f>IF(H5260="","",ROW()-4)</f>
        <v/>
      </c>
      <c r="B5260" s="13">
        <f>IF(H5260="","",ROW()-4)</f>
        <v/>
      </c>
    </row>
    <row r="5261">
      <c r="A5261" s="13">
        <f>IF(H5261="","",ROW()-4)</f>
        <v/>
      </c>
      <c r="B5261" s="13">
        <f>IF(H5261="","",ROW()-4)</f>
        <v/>
      </c>
    </row>
    <row r="5262">
      <c r="A5262" s="13">
        <f>IF(H5262="","",ROW()-4)</f>
        <v/>
      </c>
      <c r="B5262" s="13">
        <f>IF(H5262="","",ROW()-4)</f>
        <v/>
      </c>
    </row>
    <row r="5263">
      <c r="A5263" s="13">
        <f>IF(H5263="","",ROW()-4)</f>
        <v/>
      </c>
      <c r="B5263" s="13">
        <f>IF(H5263="","",ROW()-4)</f>
        <v/>
      </c>
    </row>
    <row r="5264">
      <c r="A5264" s="13">
        <f>IF(H5264="","",ROW()-4)</f>
        <v/>
      </c>
      <c r="B5264" s="13">
        <f>IF(H5264="","",ROW()-4)</f>
        <v/>
      </c>
    </row>
    <row r="5265">
      <c r="A5265" s="13">
        <f>IF(H5265="","",ROW()-4)</f>
        <v/>
      </c>
      <c r="B5265" s="13">
        <f>IF(H5265="","",ROW()-4)</f>
        <v/>
      </c>
    </row>
    <row r="5266">
      <c r="A5266" s="13">
        <f>IF(H5266="","",ROW()-4)</f>
        <v/>
      </c>
      <c r="B5266" s="13">
        <f>IF(H5266="","",ROW()-4)</f>
        <v/>
      </c>
    </row>
    <row r="5267">
      <c r="A5267" s="13">
        <f>IF(H5267="","",ROW()-4)</f>
        <v/>
      </c>
      <c r="B5267" s="13">
        <f>IF(H5267="","",ROW()-4)</f>
        <v/>
      </c>
    </row>
    <row r="5268">
      <c r="A5268" s="13">
        <f>IF(H5268="","",ROW()-4)</f>
        <v/>
      </c>
      <c r="B5268" s="13">
        <f>IF(H5268="","",ROW()-4)</f>
        <v/>
      </c>
    </row>
    <row r="5269">
      <c r="A5269" s="13">
        <f>IF(H5269="","",ROW()-4)</f>
        <v/>
      </c>
      <c r="B5269" s="13">
        <f>IF(H5269="","",ROW()-4)</f>
        <v/>
      </c>
    </row>
    <row r="5270">
      <c r="A5270" s="13">
        <f>IF(H5270="","",ROW()-4)</f>
        <v/>
      </c>
      <c r="B5270" s="13">
        <f>IF(H5270="","",ROW()-4)</f>
        <v/>
      </c>
    </row>
    <row r="5271">
      <c r="A5271" s="13">
        <f>IF(H5271="","",ROW()-4)</f>
        <v/>
      </c>
      <c r="B5271" s="13">
        <f>IF(H5271="","",ROW()-4)</f>
        <v/>
      </c>
    </row>
    <row r="5272">
      <c r="A5272" s="13">
        <f>IF(H5272="","",ROW()-4)</f>
        <v/>
      </c>
      <c r="B5272" s="13">
        <f>IF(H5272="","",ROW()-4)</f>
        <v/>
      </c>
    </row>
    <row r="5273">
      <c r="A5273" s="13">
        <f>IF(H5273="","",ROW()-4)</f>
        <v/>
      </c>
      <c r="B5273" s="13">
        <f>IF(H5273="","",ROW()-4)</f>
        <v/>
      </c>
    </row>
    <row r="5274">
      <c r="A5274" s="13">
        <f>IF(H5274="","",ROW()-4)</f>
        <v/>
      </c>
      <c r="B5274" s="13">
        <f>IF(H5274="","",ROW()-4)</f>
        <v/>
      </c>
    </row>
    <row r="5275">
      <c r="A5275" s="13">
        <f>IF(H5275="","",ROW()-4)</f>
        <v/>
      </c>
      <c r="B5275" s="13">
        <f>IF(H5275="","",ROW()-4)</f>
        <v/>
      </c>
    </row>
    <row r="5276">
      <c r="A5276" s="13">
        <f>IF(H5276="","",ROW()-4)</f>
        <v/>
      </c>
      <c r="B5276" s="13">
        <f>IF(H5276="","",ROW()-4)</f>
        <v/>
      </c>
    </row>
    <row r="5277">
      <c r="A5277" s="13">
        <f>IF(H5277="","",ROW()-4)</f>
        <v/>
      </c>
      <c r="B5277" s="13">
        <f>IF(H5277="","",ROW()-4)</f>
        <v/>
      </c>
    </row>
    <row r="5278">
      <c r="A5278" s="13">
        <f>IF(H5278="","",ROW()-4)</f>
        <v/>
      </c>
      <c r="B5278" s="13">
        <f>IF(H5278="","",ROW()-4)</f>
        <v/>
      </c>
    </row>
    <row r="5279">
      <c r="A5279" s="13">
        <f>IF(H5279="","",ROW()-4)</f>
        <v/>
      </c>
      <c r="B5279" s="13">
        <f>IF(H5279="","",ROW()-4)</f>
        <v/>
      </c>
    </row>
    <row r="5280">
      <c r="A5280" s="13">
        <f>IF(H5280="","",ROW()-4)</f>
        <v/>
      </c>
      <c r="B5280" s="13">
        <f>IF(H5280="","",ROW()-4)</f>
        <v/>
      </c>
    </row>
    <row r="5281">
      <c r="A5281" s="13">
        <f>IF(H5281="","",ROW()-4)</f>
        <v/>
      </c>
      <c r="B5281" s="13">
        <f>IF(H5281="","",ROW()-4)</f>
        <v/>
      </c>
    </row>
    <row r="5282">
      <c r="A5282" s="13">
        <f>IF(H5282="","",ROW()-4)</f>
        <v/>
      </c>
      <c r="B5282" s="13">
        <f>IF(H5282="","",ROW()-4)</f>
        <v/>
      </c>
    </row>
    <row r="5283">
      <c r="A5283" s="13">
        <f>IF(H5283="","",ROW()-4)</f>
        <v/>
      </c>
      <c r="B5283" s="13">
        <f>IF(H5283="","",ROW()-4)</f>
        <v/>
      </c>
    </row>
    <row r="5284">
      <c r="A5284" s="13">
        <f>IF(H5284="","",ROW()-4)</f>
        <v/>
      </c>
      <c r="B5284" s="13">
        <f>IF(H5284="","",ROW()-4)</f>
        <v/>
      </c>
    </row>
    <row r="5285">
      <c r="A5285" s="13">
        <f>IF(H5285="","",ROW()-4)</f>
        <v/>
      </c>
      <c r="B5285" s="13">
        <f>IF(H5285="","",ROW()-4)</f>
        <v/>
      </c>
    </row>
    <row r="5286">
      <c r="A5286" s="13">
        <f>IF(H5286="","",ROW()-4)</f>
        <v/>
      </c>
      <c r="B5286" s="13">
        <f>IF(H5286="","",ROW()-4)</f>
        <v/>
      </c>
    </row>
    <row r="5287">
      <c r="A5287" s="13">
        <f>IF(H5287="","",ROW()-4)</f>
        <v/>
      </c>
      <c r="B5287" s="13">
        <f>IF(H5287="","",ROW()-4)</f>
        <v/>
      </c>
    </row>
    <row r="5288">
      <c r="A5288" s="13">
        <f>IF(H5288="","",ROW()-4)</f>
        <v/>
      </c>
      <c r="B5288" s="13">
        <f>IF(H5288="","",ROW()-4)</f>
        <v/>
      </c>
    </row>
    <row r="5289">
      <c r="A5289" s="13">
        <f>IF(H5289="","",ROW()-4)</f>
        <v/>
      </c>
      <c r="B5289" s="13">
        <f>IF(H5289="","",ROW()-4)</f>
        <v/>
      </c>
    </row>
    <row r="5290">
      <c r="A5290" s="13">
        <f>IF(H5290="","",ROW()-4)</f>
        <v/>
      </c>
      <c r="B5290" s="13">
        <f>IF(H5290="","",ROW()-4)</f>
        <v/>
      </c>
    </row>
    <row r="5291">
      <c r="A5291" s="13">
        <f>IF(H5291="","",ROW()-4)</f>
        <v/>
      </c>
      <c r="B5291" s="13">
        <f>IF(H5291="","",ROW()-4)</f>
        <v/>
      </c>
    </row>
    <row r="5292">
      <c r="A5292" s="13">
        <f>IF(H5292="","",ROW()-4)</f>
        <v/>
      </c>
      <c r="B5292" s="13">
        <f>IF(H5292="","",ROW()-4)</f>
        <v/>
      </c>
    </row>
    <row r="5293">
      <c r="A5293" s="13">
        <f>IF(H5293="","",ROW()-4)</f>
        <v/>
      </c>
      <c r="B5293" s="13">
        <f>IF(H5293="","",ROW()-4)</f>
        <v/>
      </c>
    </row>
    <row r="5294">
      <c r="A5294" s="13">
        <f>IF(H5294="","",ROW()-4)</f>
        <v/>
      </c>
      <c r="B5294" s="13">
        <f>IF(H5294="","",ROW()-4)</f>
        <v/>
      </c>
    </row>
    <row r="5295">
      <c r="A5295" s="13">
        <f>IF(H5295="","",ROW()-4)</f>
        <v/>
      </c>
      <c r="B5295" s="13">
        <f>IF(H5295="","",ROW()-4)</f>
        <v/>
      </c>
    </row>
    <row r="5296">
      <c r="A5296" s="13">
        <f>IF(H5296="","",ROW()-4)</f>
        <v/>
      </c>
      <c r="B5296" s="13">
        <f>IF(H5296="","",ROW()-4)</f>
        <v/>
      </c>
    </row>
    <row r="5297">
      <c r="A5297" s="13">
        <f>IF(H5297="","",ROW()-4)</f>
        <v/>
      </c>
      <c r="B5297" s="13">
        <f>IF(H5297="","",ROW()-4)</f>
        <v/>
      </c>
    </row>
    <row r="5298">
      <c r="A5298" s="13">
        <f>IF(H5298="","",ROW()-4)</f>
        <v/>
      </c>
      <c r="B5298" s="13">
        <f>IF(H5298="","",ROW()-4)</f>
        <v/>
      </c>
    </row>
    <row r="5299">
      <c r="A5299" s="13">
        <f>IF(H5299="","",ROW()-4)</f>
        <v/>
      </c>
      <c r="B5299" s="13">
        <f>IF(H5299="","",ROW()-4)</f>
        <v/>
      </c>
    </row>
    <row r="5300">
      <c r="A5300" s="13">
        <f>IF(H5300="","",ROW()-4)</f>
        <v/>
      </c>
      <c r="B5300" s="13">
        <f>IF(H5300="","",ROW()-4)</f>
        <v/>
      </c>
    </row>
    <row r="5301">
      <c r="A5301" s="13">
        <f>IF(H5301="","",ROW()-4)</f>
        <v/>
      </c>
      <c r="B5301" s="13">
        <f>IF(H5301="","",ROW()-4)</f>
        <v/>
      </c>
    </row>
    <row r="5302">
      <c r="A5302" s="13">
        <f>IF(H5302="","",ROW()-4)</f>
        <v/>
      </c>
      <c r="B5302" s="13">
        <f>IF(H5302="","",ROW()-4)</f>
        <v/>
      </c>
    </row>
    <row r="5303">
      <c r="A5303" s="13">
        <f>IF(H5303="","",ROW()-4)</f>
        <v/>
      </c>
      <c r="B5303" s="13">
        <f>IF(H5303="","",ROW()-4)</f>
        <v/>
      </c>
    </row>
    <row r="5304">
      <c r="A5304" s="13">
        <f>IF(H5304="","",ROW()-4)</f>
        <v/>
      </c>
      <c r="B5304" s="13">
        <f>IF(H5304="","",ROW()-4)</f>
        <v/>
      </c>
    </row>
    <row r="5305">
      <c r="A5305" s="13">
        <f>IF(H5305="","",ROW()-4)</f>
        <v/>
      </c>
      <c r="B5305" s="13">
        <f>IF(H5305="","",ROW()-4)</f>
        <v/>
      </c>
    </row>
    <row r="5306">
      <c r="A5306" s="13">
        <f>IF(H5306="","",ROW()-4)</f>
        <v/>
      </c>
      <c r="B5306" s="13">
        <f>IF(H5306="","",ROW()-4)</f>
        <v/>
      </c>
    </row>
    <row r="5307">
      <c r="A5307" s="13">
        <f>IF(H5307="","",ROW()-4)</f>
        <v/>
      </c>
      <c r="B5307" s="13">
        <f>IF(H5307="","",ROW()-4)</f>
        <v/>
      </c>
    </row>
    <row r="5308">
      <c r="A5308" s="13">
        <f>IF(H5308="","",ROW()-4)</f>
        <v/>
      </c>
      <c r="B5308" s="13">
        <f>IF(H5308="","",ROW()-4)</f>
        <v/>
      </c>
    </row>
    <row r="5309">
      <c r="A5309" s="13">
        <f>IF(H5309="","",ROW()-4)</f>
        <v/>
      </c>
      <c r="B5309" s="13">
        <f>IF(H5309="","",ROW()-4)</f>
        <v/>
      </c>
    </row>
    <row r="5310">
      <c r="A5310" s="13">
        <f>IF(H5310="","",ROW()-4)</f>
        <v/>
      </c>
      <c r="B5310" s="13">
        <f>IF(H5310="","",ROW()-4)</f>
        <v/>
      </c>
    </row>
    <row r="5311">
      <c r="A5311" s="13">
        <f>IF(H5311="","",ROW()-4)</f>
        <v/>
      </c>
      <c r="B5311" s="13">
        <f>IF(H5311="","",ROW()-4)</f>
        <v/>
      </c>
    </row>
    <row r="5312">
      <c r="A5312" s="13">
        <f>IF(H5312="","",ROW()-4)</f>
        <v/>
      </c>
      <c r="B5312" s="13">
        <f>IF(H5312="","",ROW()-4)</f>
        <v/>
      </c>
    </row>
    <row r="5313">
      <c r="A5313" s="13">
        <f>IF(H5313="","",ROW()-4)</f>
        <v/>
      </c>
      <c r="B5313" s="13">
        <f>IF(H5313="","",ROW()-4)</f>
        <v/>
      </c>
    </row>
    <row r="5314">
      <c r="A5314" s="13">
        <f>IF(H5314="","",ROW()-4)</f>
        <v/>
      </c>
      <c r="B5314" s="13">
        <f>IF(H5314="","",ROW()-4)</f>
        <v/>
      </c>
    </row>
    <row r="5315">
      <c r="A5315" s="13">
        <f>IF(H5315="","",ROW()-4)</f>
        <v/>
      </c>
      <c r="B5315" s="13">
        <f>IF(H5315="","",ROW()-4)</f>
        <v/>
      </c>
    </row>
    <row r="5316">
      <c r="A5316" s="13">
        <f>IF(H5316="","",ROW()-4)</f>
        <v/>
      </c>
      <c r="B5316" s="13">
        <f>IF(H5316="","",ROW()-4)</f>
        <v/>
      </c>
    </row>
    <row r="5317">
      <c r="A5317" s="13">
        <f>IF(H5317="","",ROW()-4)</f>
        <v/>
      </c>
      <c r="B5317" s="13">
        <f>IF(H5317="","",ROW()-4)</f>
        <v/>
      </c>
    </row>
    <row r="5318">
      <c r="A5318" s="13">
        <f>IF(H5318="","",ROW()-4)</f>
        <v/>
      </c>
      <c r="B5318" s="13">
        <f>IF(H5318="","",ROW()-4)</f>
        <v/>
      </c>
    </row>
    <row r="5319">
      <c r="A5319" s="13">
        <f>IF(H5319="","",ROW()-4)</f>
        <v/>
      </c>
      <c r="B5319" s="13">
        <f>IF(H5319="","",ROW()-4)</f>
        <v/>
      </c>
    </row>
    <row r="5320">
      <c r="A5320" s="13">
        <f>IF(H5320="","",ROW()-4)</f>
        <v/>
      </c>
      <c r="B5320" s="13">
        <f>IF(H5320="","",ROW()-4)</f>
        <v/>
      </c>
    </row>
    <row r="5321">
      <c r="A5321" s="13">
        <f>IF(H5321="","",ROW()-4)</f>
        <v/>
      </c>
      <c r="B5321" s="13">
        <f>IF(H5321="","",ROW()-4)</f>
        <v/>
      </c>
    </row>
    <row r="5322">
      <c r="A5322" s="13">
        <f>IF(H5322="","",ROW()-4)</f>
        <v/>
      </c>
      <c r="B5322" s="13">
        <f>IF(H5322="","",ROW()-4)</f>
        <v/>
      </c>
    </row>
    <row r="5323">
      <c r="A5323" s="13">
        <f>IF(H5323="","",ROW()-4)</f>
        <v/>
      </c>
      <c r="B5323" s="13">
        <f>IF(H5323="","",ROW()-4)</f>
        <v/>
      </c>
    </row>
    <row r="5324">
      <c r="A5324" s="13">
        <f>IF(H5324="","",ROW()-4)</f>
        <v/>
      </c>
      <c r="B5324" s="13">
        <f>IF(H5324="","",ROW()-4)</f>
        <v/>
      </c>
    </row>
    <row r="5325">
      <c r="A5325" s="13">
        <f>IF(H5325="","",ROW()-4)</f>
        <v/>
      </c>
      <c r="B5325" s="13">
        <f>IF(H5325="","",ROW()-4)</f>
        <v/>
      </c>
    </row>
    <row r="5326">
      <c r="A5326" s="13">
        <f>IF(H5326="","",ROW()-4)</f>
        <v/>
      </c>
      <c r="B5326" s="13">
        <f>IF(H5326="","",ROW()-4)</f>
        <v/>
      </c>
    </row>
    <row r="5327">
      <c r="A5327" s="13">
        <f>IF(H5327="","",ROW()-4)</f>
        <v/>
      </c>
      <c r="B5327" s="13">
        <f>IF(H5327="","",ROW()-4)</f>
        <v/>
      </c>
    </row>
    <row r="5328">
      <c r="A5328" s="13">
        <f>IF(H5328="","",ROW()-4)</f>
        <v/>
      </c>
      <c r="B5328" s="13">
        <f>IF(H5328="","",ROW()-4)</f>
        <v/>
      </c>
    </row>
    <row r="5329">
      <c r="A5329" s="13">
        <f>IF(H5329="","",ROW()-4)</f>
        <v/>
      </c>
      <c r="B5329" s="13">
        <f>IF(H5329="","",ROW()-4)</f>
        <v/>
      </c>
    </row>
    <row r="5330">
      <c r="A5330" s="13">
        <f>IF(H5330="","",ROW()-4)</f>
        <v/>
      </c>
      <c r="B5330" s="13">
        <f>IF(H5330="","",ROW()-4)</f>
        <v/>
      </c>
    </row>
    <row r="5331">
      <c r="A5331" s="13">
        <f>IF(H5331="","",ROW()-4)</f>
        <v/>
      </c>
      <c r="B5331" s="13">
        <f>IF(H5331="","",ROW()-4)</f>
        <v/>
      </c>
    </row>
    <row r="5332">
      <c r="A5332" s="13">
        <f>IF(H5332="","",ROW()-4)</f>
        <v/>
      </c>
      <c r="B5332" s="13">
        <f>IF(H5332="","",ROW()-4)</f>
        <v/>
      </c>
    </row>
    <row r="5333">
      <c r="A5333" s="13">
        <f>IF(H5333="","",ROW()-4)</f>
        <v/>
      </c>
      <c r="B5333" s="13">
        <f>IF(H5333="","",ROW()-4)</f>
        <v/>
      </c>
    </row>
    <row r="5334">
      <c r="A5334" s="13">
        <f>IF(H5334="","",ROW()-4)</f>
        <v/>
      </c>
      <c r="B5334" s="13">
        <f>IF(H5334="","",ROW()-4)</f>
        <v/>
      </c>
    </row>
    <row r="5335">
      <c r="A5335" s="13">
        <f>IF(H5335="","",ROW()-4)</f>
        <v/>
      </c>
      <c r="B5335" s="13">
        <f>IF(H5335="","",ROW()-4)</f>
        <v/>
      </c>
    </row>
    <row r="5336">
      <c r="A5336" s="13">
        <f>IF(H5336="","",ROW()-4)</f>
        <v/>
      </c>
      <c r="B5336" s="13">
        <f>IF(H5336="","",ROW()-4)</f>
        <v/>
      </c>
    </row>
    <row r="5337">
      <c r="A5337" s="13">
        <f>IF(H5337="","",ROW()-4)</f>
        <v/>
      </c>
      <c r="B5337" s="13">
        <f>IF(H5337="","",ROW()-4)</f>
        <v/>
      </c>
    </row>
    <row r="5338">
      <c r="A5338" s="13">
        <f>IF(H5338="","",ROW()-4)</f>
        <v/>
      </c>
      <c r="B5338" s="13">
        <f>IF(H5338="","",ROW()-4)</f>
        <v/>
      </c>
    </row>
    <row r="5339">
      <c r="A5339" s="13">
        <f>IF(H5339="","",ROW()-4)</f>
        <v/>
      </c>
      <c r="B5339" s="13">
        <f>IF(H5339="","",ROW()-4)</f>
        <v/>
      </c>
    </row>
    <row r="5340">
      <c r="A5340" s="13">
        <f>IF(H5340="","",ROW()-4)</f>
        <v/>
      </c>
      <c r="B5340" s="13">
        <f>IF(H5340="","",ROW()-4)</f>
        <v/>
      </c>
    </row>
    <row r="5341">
      <c r="A5341" s="13">
        <f>IF(H5341="","",ROW()-4)</f>
        <v/>
      </c>
      <c r="B5341" s="13">
        <f>IF(H5341="","",ROW()-4)</f>
        <v/>
      </c>
    </row>
    <row r="5342">
      <c r="A5342" s="13">
        <f>IF(H5342="","",ROW()-4)</f>
        <v/>
      </c>
      <c r="B5342" s="13">
        <f>IF(H5342="","",ROW()-4)</f>
        <v/>
      </c>
    </row>
    <row r="5343">
      <c r="A5343" s="13">
        <f>IF(H5343="","",ROW()-4)</f>
        <v/>
      </c>
      <c r="B5343" s="13">
        <f>IF(H5343="","",ROW()-4)</f>
        <v/>
      </c>
    </row>
    <row r="5344">
      <c r="A5344" s="13">
        <f>IF(H5344="","",ROW()-4)</f>
        <v/>
      </c>
      <c r="B5344" s="13">
        <f>IF(H5344="","",ROW()-4)</f>
        <v/>
      </c>
    </row>
    <row r="5345">
      <c r="A5345" s="13">
        <f>IF(H5345="","",ROW()-4)</f>
        <v/>
      </c>
      <c r="B5345" s="13">
        <f>IF(H5345="","",ROW()-4)</f>
        <v/>
      </c>
    </row>
    <row r="5346">
      <c r="A5346" s="13">
        <f>IF(H5346="","",ROW()-4)</f>
        <v/>
      </c>
      <c r="B5346" s="13">
        <f>IF(H5346="","",ROW()-4)</f>
        <v/>
      </c>
    </row>
    <row r="5347">
      <c r="A5347" s="13">
        <f>IF(H5347="","",ROW()-4)</f>
        <v/>
      </c>
      <c r="B5347" s="13">
        <f>IF(H5347="","",ROW()-4)</f>
        <v/>
      </c>
    </row>
    <row r="5348">
      <c r="A5348" s="13">
        <f>IF(H5348="","",ROW()-4)</f>
        <v/>
      </c>
      <c r="B5348" s="13">
        <f>IF(H5348="","",ROW()-4)</f>
        <v/>
      </c>
    </row>
    <row r="5349">
      <c r="A5349" s="13">
        <f>IF(H5349="","",ROW()-4)</f>
        <v/>
      </c>
      <c r="B5349" s="13">
        <f>IF(H5349="","",ROW()-4)</f>
        <v/>
      </c>
    </row>
    <row r="5350">
      <c r="A5350" s="13">
        <f>IF(H5350="","",ROW()-4)</f>
        <v/>
      </c>
      <c r="B5350" s="13">
        <f>IF(H5350="","",ROW()-4)</f>
        <v/>
      </c>
    </row>
    <row r="5351">
      <c r="A5351" s="13">
        <f>IF(H5351="","",ROW()-4)</f>
        <v/>
      </c>
      <c r="B5351" s="13">
        <f>IF(H5351="","",ROW()-4)</f>
        <v/>
      </c>
    </row>
    <row r="5352">
      <c r="A5352" s="13">
        <f>IF(H5352="","",ROW()-4)</f>
        <v/>
      </c>
      <c r="B5352" s="13">
        <f>IF(H5352="","",ROW()-4)</f>
        <v/>
      </c>
    </row>
    <row r="5353">
      <c r="A5353" s="13">
        <f>IF(H5353="","",ROW()-4)</f>
        <v/>
      </c>
      <c r="B5353" s="13">
        <f>IF(H5353="","",ROW()-4)</f>
        <v/>
      </c>
    </row>
    <row r="5354">
      <c r="A5354" s="13">
        <f>IF(H5354="","",ROW()-4)</f>
        <v/>
      </c>
      <c r="B5354" s="13">
        <f>IF(H5354="","",ROW()-4)</f>
        <v/>
      </c>
    </row>
    <row r="5355">
      <c r="A5355" s="13">
        <f>IF(H5355="","",ROW()-4)</f>
        <v/>
      </c>
      <c r="B5355" s="13">
        <f>IF(H5355="","",ROW()-4)</f>
        <v/>
      </c>
    </row>
    <row r="5356">
      <c r="A5356" s="13">
        <f>IF(H5356="","",ROW()-4)</f>
        <v/>
      </c>
      <c r="B5356" s="13">
        <f>IF(H5356="","",ROW()-4)</f>
        <v/>
      </c>
    </row>
    <row r="5357">
      <c r="A5357" s="13">
        <f>IF(H5357="","",ROW()-4)</f>
        <v/>
      </c>
      <c r="B5357" s="13">
        <f>IF(H5357="","",ROW()-4)</f>
        <v/>
      </c>
    </row>
    <row r="5358">
      <c r="A5358" s="13">
        <f>IF(H5358="","",ROW()-4)</f>
        <v/>
      </c>
      <c r="B5358" s="13">
        <f>IF(H5358="","",ROW()-4)</f>
        <v/>
      </c>
    </row>
    <row r="5359">
      <c r="A5359" s="13">
        <f>IF(H5359="","",ROW()-4)</f>
        <v/>
      </c>
      <c r="B5359" s="13">
        <f>IF(H5359="","",ROW()-4)</f>
        <v/>
      </c>
    </row>
    <row r="5360">
      <c r="A5360" s="13">
        <f>IF(H5360="","",ROW()-4)</f>
        <v/>
      </c>
      <c r="B5360" s="13">
        <f>IF(H5360="","",ROW()-4)</f>
        <v/>
      </c>
    </row>
    <row r="5361">
      <c r="A5361" s="13">
        <f>IF(H5361="","",ROW()-4)</f>
        <v/>
      </c>
      <c r="B5361" s="13">
        <f>IF(H5361="","",ROW()-4)</f>
        <v/>
      </c>
    </row>
    <row r="5362">
      <c r="A5362" s="13">
        <f>IF(H5362="","",ROW()-4)</f>
        <v/>
      </c>
      <c r="B5362" s="13">
        <f>IF(H5362="","",ROW()-4)</f>
        <v/>
      </c>
    </row>
    <row r="5363">
      <c r="A5363" s="13">
        <f>IF(H5363="","",ROW()-4)</f>
        <v/>
      </c>
      <c r="B5363" s="13">
        <f>IF(H5363="","",ROW()-4)</f>
        <v/>
      </c>
    </row>
    <row r="5364">
      <c r="A5364" s="13">
        <f>IF(H5364="","",ROW()-4)</f>
        <v/>
      </c>
      <c r="B5364" s="13">
        <f>IF(H5364="","",ROW()-4)</f>
        <v/>
      </c>
    </row>
    <row r="5365">
      <c r="A5365" s="13">
        <f>IF(H5365="","",ROW()-4)</f>
        <v/>
      </c>
      <c r="B5365" s="13">
        <f>IF(H5365="","",ROW()-4)</f>
        <v/>
      </c>
    </row>
    <row r="5366">
      <c r="A5366" s="13">
        <f>IF(H5366="","",ROW()-4)</f>
        <v/>
      </c>
      <c r="B5366" s="13">
        <f>IF(H5366="","",ROW()-4)</f>
        <v/>
      </c>
    </row>
    <row r="5367">
      <c r="A5367" s="13">
        <f>IF(H5367="","",ROW()-4)</f>
        <v/>
      </c>
      <c r="B5367" s="13">
        <f>IF(H5367="","",ROW()-4)</f>
        <v/>
      </c>
    </row>
    <row r="5368">
      <c r="A5368" s="13">
        <f>IF(H5368="","",ROW()-4)</f>
        <v/>
      </c>
      <c r="B5368" s="13">
        <f>IF(H5368="","",ROW()-4)</f>
        <v/>
      </c>
    </row>
    <row r="5369">
      <c r="A5369" s="13">
        <f>IF(H5369="","",ROW()-4)</f>
        <v/>
      </c>
      <c r="B5369" s="13">
        <f>IF(H5369="","",ROW()-4)</f>
        <v/>
      </c>
    </row>
    <row r="5370">
      <c r="A5370" s="13">
        <f>IF(H5370="","",ROW()-4)</f>
        <v/>
      </c>
      <c r="B5370" s="13">
        <f>IF(H5370="","",ROW()-4)</f>
        <v/>
      </c>
    </row>
    <row r="5371">
      <c r="A5371" s="13">
        <f>IF(H5371="","",ROW()-4)</f>
        <v/>
      </c>
      <c r="B5371" s="13">
        <f>IF(H5371="","",ROW()-4)</f>
        <v/>
      </c>
    </row>
    <row r="5372">
      <c r="A5372" s="13">
        <f>IF(H5372="","",ROW()-4)</f>
        <v/>
      </c>
      <c r="B5372" s="13">
        <f>IF(H5372="","",ROW()-4)</f>
        <v/>
      </c>
    </row>
    <row r="5373">
      <c r="A5373" s="13">
        <f>IF(H5373="","",ROW()-4)</f>
        <v/>
      </c>
      <c r="B5373" s="13">
        <f>IF(H5373="","",ROW()-4)</f>
        <v/>
      </c>
    </row>
    <row r="5374">
      <c r="A5374" s="13">
        <f>IF(H5374="","",ROW()-4)</f>
        <v/>
      </c>
      <c r="B5374" s="13">
        <f>IF(H5374="","",ROW()-4)</f>
        <v/>
      </c>
    </row>
    <row r="5375">
      <c r="A5375" s="13">
        <f>IF(H5375="","",ROW()-4)</f>
        <v/>
      </c>
      <c r="B5375" s="13">
        <f>IF(H5375="","",ROW()-4)</f>
        <v/>
      </c>
    </row>
    <row r="5376">
      <c r="A5376" s="13">
        <f>IF(H5376="","",ROW()-4)</f>
        <v/>
      </c>
      <c r="B5376" s="13">
        <f>IF(H5376="","",ROW()-4)</f>
        <v/>
      </c>
    </row>
    <row r="5377">
      <c r="A5377" s="13">
        <f>IF(H5377="","",ROW()-4)</f>
        <v/>
      </c>
      <c r="B5377" s="13">
        <f>IF(H5377="","",ROW()-4)</f>
        <v/>
      </c>
    </row>
    <row r="5378">
      <c r="A5378" s="13">
        <f>IF(H5378="","",ROW()-4)</f>
        <v/>
      </c>
      <c r="B5378" s="13">
        <f>IF(H5378="","",ROW()-4)</f>
        <v/>
      </c>
    </row>
    <row r="5379">
      <c r="A5379" s="13">
        <f>IF(H5379="","",ROW()-4)</f>
        <v/>
      </c>
      <c r="B5379" s="13">
        <f>IF(H5379="","",ROW()-4)</f>
        <v/>
      </c>
    </row>
    <row r="5380">
      <c r="A5380" s="13">
        <f>IF(H5380="","",ROW()-4)</f>
        <v/>
      </c>
      <c r="B5380" s="13">
        <f>IF(H5380="","",ROW()-4)</f>
        <v/>
      </c>
    </row>
    <row r="5381">
      <c r="A5381" s="13">
        <f>IF(H5381="","",ROW()-4)</f>
        <v/>
      </c>
      <c r="B5381" s="13">
        <f>IF(H5381="","",ROW()-4)</f>
        <v/>
      </c>
    </row>
    <row r="5382">
      <c r="A5382" s="13">
        <f>IF(H5382="","",ROW()-4)</f>
        <v/>
      </c>
      <c r="B5382" s="13">
        <f>IF(H5382="","",ROW()-4)</f>
        <v/>
      </c>
    </row>
    <row r="5383">
      <c r="A5383" s="13">
        <f>IF(H5383="","",ROW()-4)</f>
        <v/>
      </c>
      <c r="B5383" s="13">
        <f>IF(H5383="","",ROW()-4)</f>
        <v/>
      </c>
    </row>
    <row r="5384">
      <c r="A5384" s="13">
        <f>IF(H5384="","",ROW()-4)</f>
        <v/>
      </c>
      <c r="B5384" s="13">
        <f>IF(H5384="","",ROW()-4)</f>
        <v/>
      </c>
    </row>
    <row r="5385">
      <c r="A5385" s="13">
        <f>IF(H5385="","",ROW()-4)</f>
        <v/>
      </c>
      <c r="B5385" s="13">
        <f>IF(H5385="","",ROW()-4)</f>
        <v/>
      </c>
    </row>
    <row r="5386">
      <c r="A5386" s="13">
        <f>IF(H5386="","",ROW()-4)</f>
        <v/>
      </c>
      <c r="B5386" s="13">
        <f>IF(H5386="","",ROW()-4)</f>
        <v/>
      </c>
    </row>
    <row r="5387">
      <c r="A5387" s="13">
        <f>IF(H5387="","",ROW()-4)</f>
        <v/>
      </c>
      <c r="B5387" s="13">
        <f>IF(H5387="","",ROW()-4)</f>
        <v/>
      </c>
    </row>
    <row r="5388">
      <c r="A5388" s="13">
        <f>IF(H5388="","",ROW()-4)</f>
        <v/>
      </c>
      <c r="B5388" s="13">
        <f>IF(H5388="","",ROW()-4)</f>
        <v/>
      </c>
    </row>
    <row r="5389">
      <c r="A5389" s="13">
        <f>IF(H5389="","",ROW()-4)</f>
        <v/>
      </c>
      <c r="B5389" s="13">
        <f>IF(H5389="","",ROW()-4)</f>
        <v/>
      </c>
    </row>
    <row r="5390">
      <c r="A5390" s="13">
        <f>IF(H5390="","",ROW()-4)</f>
        <v/>
      </c>
      <c r="B5390" s="13">
        <f>IF(H5390="","",ROW()-4)</f>
        <v/>
      </c>
    </row>
    <row r="5391">
      <c r="A5391" s="13">
        <f>IF(H5391="","",ROW()-4)</f>
        <v/>
      </c>
      <c r="B5391" s="13">
        <f>IF(H5391="","",ROW()-4)</f>
        <v/>
      </c>
    </row>
    <row r="5392">
      <c r="A5392" s="13">
        <f>IF(H5392="","",ROW()-4)</f>
        <v/>
      </c>
      <c r="B5392" s="13">
        <f>IF(H5392="","",ROW()-4)</f>
        <v/>
      </c>
    </row>
    <row r="5393">
      <c r="A5393" s="13">
        <f>IF(H5393="","",ROW()-4)</f>
        <v/>
      </c>
      <c r="B5393" s="13">
        <f>IF(H5393="","",ROW()-4)</f>
        <v/>
      </c>
    </row>
    <row r="5394">
      <c r="A5394" s="13">
        <f>IF(H5394="","",ROW()-4)</f>
        <v/>
      </c>
      <c r="B5394" s="13">
        <f>IF(H5394="","",ROW()-4)</f>
        <v/>
      </c>
    </row>
    <row r="5395">
      <c r="A5395" s="13">
        <f>IF(H5395="","",ROW()-4)</f>
        <v/>
      </c>
      <c r="B5395" s="13">
        <f>IF(H5395="","",ROW()-4)</f>
        <v/>
      </c>
    </row>
    <row r="5396">
      <c r="A5396" s="13">
        <f>IF(H5396="","",ROW()-4)</f>
        <v/>
      </c>
      <c r="B5396" s="13">
        <f>IF(H5396="","",ROW()-4)</f>
        <v/>
      </c>
    </row>
    <row r="5397">
      <c r="A5397" s="13">
        <f>IF(H5397="","",ROW()-4)</f>
        <v/>
      </c>
      <c r="B5397" s="13">
        <f>IF(H5397="","",ROW()-4)</f>
        <v/>
      </c>
    </row>
    <row r="5398">
      <c r="A5398" s="13">
        <f>IF(H5398="","",ROW()-4)</f>
        <v/>
      </c>
      <c r="B5398" s="13">
        <f>IF(H5398="","",ROW()-4)</f>
        <v/>
      </c>
    </row>
    <row r="5399">
      <c r="A5399" s="13">
        <f>IF(H5399="","",ROW()-4)</f>
        <v/>
      </c>
      <c r="B5399" s="13">
        <f>IF(H5399="","",ROW()-4)</f>
        <v/>
      </c>
    </row>
    <row r="5400">
      <c r="A5400" s="13">
        <f>IF(H5400="","",ROW()-4)</f>
        <v/>
      </c>
      <c r="B5400" s="13">
        <f>IF(H5400="","",ROW()-4)</f>
        <v/>
      </c>
    </row>
    <row r="5401">
      <c r="A5401" s="13">
        <f>IF(H5401="","",ROW()-4)</f>
        <v/>
      </c>
      <c r="B5401" s="13">
        <f>IF(H5401="","",ROW()-4)</f>
        <v/>
      </c>
    </row>
    <row r="5402">
      <c r="A5402" s="13">
        <f>IF(H5402="","",ROW()-4)</f>
        <v/>
      </c>
      <c r="B5402" s="13">
        <f>IF(H5402="","",ROW()-4)</f>
        <v/>
      </c>
    </row>
    <row r="5403">
      <c r="A5403" s="13">
        <f>IF(H5403="","",ROW()-4)</f>
        <v/>
      </c>
      <c r="B5403" s="13">
        <f>IF(H5403="","",ROW()-4)</f>
        <v/>
      </c>
    </row>
    <row r="5404">
      <c r="A5404" s="13">
        <f>IF(H5404="","",ROW()-4)</f>
        <v/>
      </c>
      <c r="B5404" s="13">
        <f>IF(H5404="","",ROW()-4)</f>
        <v/>
      </c>
    </row>
    <row r="5405">
      <c r="A5405" s="13">
        <f>IF(H5405="","",ROW()-4)</f>
        <v/>
      </c>
      <c r="B5405" s="13">
        <f>IF(H5405="","",ROW()-4)</f>
        <v/>
      </c>
    </row>
    <row r="5406">
      <c r="A5406" s="13">
        <f>IF(H5406="","",ROW()-4)</f>
        <v/>
      </c>
      <c r="B5406" s="13">
        <f>IF(H5406="","",ROW()-4)</f>
        <v/>
      </c>
    </row>
    <row r="5407">
      <c r="A5407" s="13">
        <f>IF(H5407="","",ROW()-4)</f>
        <v/>
      </c>
      <c r="B5407" s="13">
        <f>IF(H5407="","",ROW()-4)</f>
        <v/>
      </c>
    </row>
    <row r="5408">
      <c r="A5408" s="13">
        <f>IF(H5408="","",ROW()-4)</f>
        <v/>
      </c>
      <c r="B5408" s="13">
        <f>IF(H5408="","",ROW()-4)</f>
        <v/>
      </c>
    </row>
    <row r="5409">
      <c r="A5409" s="13">
        <f>IF(H5409="","",ROW()-4)</f>
        <v/>
      </c>
      <c r="B5409" s="13">
        <f>IF(H5409="","",ROW()-4)</f>
        <v/>
      </c>
    </row>
    <row r="5410">
      <c r="A5410" s="13">
        <f>IF(H5410="","",ROW()-4)</f>
        <v/>
      </c>
      <c r="B5410" s="13">
        <f>IF(H5410="","",ROW()-4)</f>
        <v/>
      </c>
    </row>
    <row r="5411">
      <c r="A5411" s="13">
        <f>IF(H5411="","",ROW()-4)</f>
        <v/>
      </c>
      <c r="B5411" s="13">
        <f>IF(H5411="","",ROW()-4)</f>
        <v/>
      </c>
    </row>
    <row r="5412">
      <c r="A5412" s="13">
        <f>IF(H5412="","",ROW()-4)</f>
        <v/>
      </c>
      <c r="B5412" s="13">
        <f>IF(H5412="","",ROW()-4)</f>
        <v/>
      </c>
    </row>
    <row r="5413">
      <c r="A5413" s="13">
        <f>IF(H5413="","",ROW()-4)</f>
        <v/>
      </c>
      <c r="B5413" s="13">
        <f>IF(H5413="","",ROW()-4)</f>
        <v/>
      </c>
    </row>
    <row r="5414">
      <c r="A5414" s="13">
        <f>IF(H5414="","",ROW()-4)</f>
        <v/>
      </c>
      <c r="B5414" s="13">
        <f>IF(H5414="","",ROW()-4)</f>
        <v/>
      </c>
    </row>
    <row r="5415">
      <c r="A5415" s="13">
        <f>IF(H5415="","",ROW()-4)</f>
        <v/>
      </c>
      <c r="B5415" s="13">
        <f>IF(H5415="","",ROW()-4)</f>
        <v/>
      </c>
    </row>
    <row r="5416">
      <c r="A5416" s="13">
        <f>IF(H5416="","",ROW()-4)</f>
        <v/>
      </c>
      <c r="B5416" s="13">
        <f>IF(H5416="","",ROW()-4)</f>
        <v/>
      </c>
    </row>
    <row r="5417">
      <c r="A5417" s="13">
        <f>IF(H5417="","",ROW()-4)</f>
        <v/>
      </c>
      <c r="B5417" s="13">
        <f>IF(H5417="","",ROW()-4)</f>
        <v/>
      </c>
    </row>
    <row r="5418">
      <c r="A5418" s="13">
        <f>IF(H5418="","",ROW()-4)</f>
        <v/>
      </c>
      <c r="B5418" s="13">
        <f>IF(H5418="","",ROW()-4)</f>
        <v/>
      </c>
    </row>
    <row r="5419">
      <c r="A5419" s="13">
        <f>IF(H5419="","",ROW()-4)</f>
        <v/>
      </c>
      <c r="B5419" s="13">
        <f>IF(H5419="","",ROW()-4)</f>
        <v/>
      </c>
    </row>
    <row r="5420">
      <c r="A5420" s="13">
        <f>IF(H5420="","",ROW()-4)</f>
        <v/>
      </c>
      <c r="B5420" s="13">
        <f>IF(H5420="","",ROW()-4)</f>
        <v/>
      </c>
    </row>
    <row r="5421">
      <c r="A5421" s="13">
        <f>IF(H5421="","",ROW()-4)</f>
        <v/>
      </c>
      <c r="B5421" s="13">
        <f>IF(H5421="","",ROW()-4)</f>
        <v/>
      </c>
    </row>
    <row r="5422">
      <c r="A5422" s="13">
        <f>IF(H5422="","",ROW()-4)</f>
        <v/>
      </c>
      <c r="B5422" s="13">
        <f>IF(H5422="","",ROW()-4)</f>
        <v/>
      </c>
    </row>
    <row r="5423">
      <c r="A5423" s="13">
        <f>IF(H5423="","",ROW()-4)</f>
        <v/>
      </c>
      <c r="B5423" s="13">
        <f>IF(H5423="","",ROW()-4)</f>
        <v/>
      </c>
    </row>
    <row r="5424">
      <c r="A5424" s="13">
        <f>IF(H5424="","",ROW()-4)</f>
        <v/>
      </c>
      <c r="B5424" s="13">
        <f>IF(H5424="","",ROW()-4)</f>
        <v/>
      </c>
    </row>
    <row r="5425">
      <c r="A5425" s="13">
        <f>IF(H5425="","",ROW()-4)</f>
        <v/>
      </c>
      <c r="B5425" s="13">
        <f>IF(H5425="","",ROW()-4)</f>
        <v/>
      </c>
    </row>
    <row r="5426">
      <c r="A5426" s="13">
        <f>IF(H5426="","",ROW()-4)</f>
        <v/>
      </c>
      <c r="B5426" s="13">
        <f>IF(H5426="","",ROW()-4)</f>
        <v/>
      </c>
    </row>
    <row r="5427">
      <c r="A5427" s="13">
        <f>IF(H5427="","",ROW()-4)</f>
        <v/>
      </c>
      <c r="B5427" s="13">
        <f>IF(H5427="","",ROW()-4)</f>
        <v/>
      </c>
    </row>
    <row r="5428">
      <c r="A5428" s="13">
        <f>IF(H5428="","",ROW()-4)</f>
        <v/>
      </c>
      <c r="B5428" s="13">
        <f>IF(H5428="","",ROW()-4)</f>
        <v/>
      </c>
    </row>
    <row r="5429">
      <c r="A5429" s="13">
        <f>IF(H5429="","",ROW()-4)</f>
        <v/>
      </c>
      <c r="B5429" s="13">
        <f>IF(H5429="","",ROW()-4)</f>
        <v/>
      </c>
    </row>
    <row r="5430">
      <c r="A5430" s="13">
        <f>IF(H5430="","",ROW()-4)</f>
        <v/>
      </c>
      <c r="B5430" s="13">
        <f>IF(H5430="","",ROW()-4)</f>
        <v/>
      </c>
    </row>
    <row r="5431">
      <c r="A5431" s="13">
        <f>IF(H5431="","",ROW()-4)</f>
        <v/>
      </c>
      <c r="B5431" s="13">
        <f>IF(H5431="","",ROW()-4)</f>
        <v/>
      </c>
    </row>
    <row r="5432">
      <c r="A5432" s="13">
        <f>IF(H5432="","",ROW()-4)</f>
        <v/>
      </c>
      <c r="B5432" s="13">
        <f>IF(H5432="","",ROW()-4)</f>
        <v/>
      </c>
    </row>
    <row r="5433">
      <c r="A5433" s="13">
        <f>IF(H5433="","",ROW()-4)</f>
        <v/>
      </c>
      <c r="B5433" s="13">
        <f>IF(H5433="","",ROW()-4)</f>
        <v/>
      </c>
    </row>
    <row r="5434">
      <c r="A5434" s="13">
        <f>IF(H5434="","",ROW()-4)</f>
        <v/>
      </c>
      <c r="B5434" s="13">
        <f>IF(H5434="","",ROW()-4)</f>
        <v/>
      </c>
    </row>
    <row r="5435">
      <c r="A5435" s="13">
        <f>IF(H5435="","",ROW()-4)</f>
        <v/>
      </c>
      <c r="B5435" s="13">
        <f>IF(H5435="","",ROW()-4)</f>
        <v/>
      </c>
    </row>
    <row r="5436">
      <c r="A5436" s="13">
        <f>IF(H5436="","",ROW()-4)</f>
        <v/>
      </c>
      <c r="B5436" s="13">
        <f>IF(H5436="","",ROW()-4)</f>
        <v/>
      </c>
    </row>
    <row r="5437">
      <c r="A5437" s="13">
        <f>IF(H5437="","",ROW()-4)</f>
        <v/>
      </c>
      <c r="B5437" s="13">
        <f>IF(H5437="","",ROW()-4)</f>
        <v/>
      </c>
    </row>
    <row r="5438">
      <c r="A5438" s="13">
        <f>IF(H5438="","",ROW()-4)</f>
        <v/>
      </c>
      <c r="B5438" s="13">
        <f>IF(H5438="","",ROW()-4)</f>
        <v/>
      </c>
    </row>
    <row r="5439">
      <c r="A5439" s="13">
        <f>IF(H5439="","",ROW()-4)</f>
        <v/>
      </c>
      <c r="B5439" s="13">
        <f>IF(H5439="","",ROW()-4)</f>
        <v/>
      </c>
    </row>
    <row r="5440">
      <c r="A5440" s="13">
        <f>IF(H5440="","",ROW()-4)</f>
        <v/>
      </c>
      <c r="B5440" s="13">
        <f>IF(H5440="","",ROW()-4)</f>
        <v/>
      </c>
    </row>
    <row r="5441">
      <c r="A5441" s="13">
        <f>IF(H5441="","",ROW()-4)</f>
        <v/>
      </c>
      <c r="B5441" s="13">
        <f>IF(H5441="","",ROW()-4)</f>
        <v/>
      </c>
    </row>
    <row r="5442">
      <c r="A5442" s="13">
        <f>IF(H5442="","",ROW()-4)</f>
        <v/>
      </c>
      <c r="B5442" s="13">
        <f>IF(H5442="","",ROW()-4)</f>
        <v/>
      </c>
    </row>
    <row r="5443">
      <c r="A5443" s="13">
        <f>IF(H5443="","",ROW()-4)</f>
        <v/>
      </c>
      <c r="B5443" s="13">
        <f>IF(H5443="","",ROW()-4)</f>
        <v/>
      </c>
    </row>
    <row r="5444">
      <c r="A5444" s="13">
        <f>IF(H5444="","",ROW()-4)</f>
        <v/>
      </c>
      <c r="B5444" s="13">
        <f>IF(H5444="","",ROW()-4)</f>
        <v/>
      </c>
    </row>
    <row r="5445">
      <c r="A5445" s="13">
        <f>IF(H5445="","",ROW()-4)</f>
        <v/>
      </c>
      <c r="B5445" s="13">
        <f>IF(H5445="","",ROW()-4)</f>
        <v/>
      </c>
    </row>
    <row r="5446">
      <c r="A5446" s="13">
        <f>IF(H5446="","",ROW()-4)</f>
        <v/>
      </c>
      <c r="B5446" s="13">
        <f>IF(H5446="","",ROW()-4)</f>
        <v/>
      </c>
    </row>
    <row r="5447">
      <c r="A5447" s="13">
        <f>IF(H5447="","",ROW()-4)</f>
        <v/>
      </c>
      <c r="B5447" s="13">
        <f>IF(H5447="","",ROW()-4)</f>
        <v/>
      </c>
    </row>
    <row r="5448">
      <c r="A5448" s="13">
        <f>IF(H5448="","",ROW()-4)</f>
        <v/>
      </c>
      <c r="B5448" s="13">
        <f>IF(H5448="","",ROW()-4)</f>
        <v/>
      </c>
    </row>
    <row r="5449">
      <c r="A5449" s="13">
        <f>IF(H5449="","",ROW()-4)</f>
        <v/>
      </c>
      <c r="B5449" s="13">
        <f>IF(H5449="","",ROW()-4)</f>
        <v/>
      </c>
    </row>
    <row r="5450">
      <c r="A5450" s="13">
        <f>IF(H5450="","",ROW()-4)</f>
        <v/>
      </c>
      <c r="B5450" s="13">
        <f>IF(H5450="","",ROW()-4)</f>
        <v/>
      </c>
    </row>
    <row r="5451">
      <c r="A5451" s="13">
        <f>IF(H5451="","",ROW()-4)</f>
        <v/>
      </c>
      <c r="B5451" s="13">
        <f>IF(H5451="","",ROW()-4)</f>
        <v/>
      </c>
    </row>
    <row r="5452">
      <c r="A5452" s="13">
        <f>IF(H5452="","",ROW()-4)</f>
        <v/>
      </c>
      <c r="B5452" s="13">
        <f>IF(H5452="","",ROW()-4)</f>
        <v/>
      </c>
    </row>
    <row r="5453">
      <c r="A5453" s="13">
        <f>IF(H5453="","",ROW()-4)</f>
        <v/>
      </c>
      <c r="B5453" s="13">
        <f>IF(H5453="","",ROW()-4)</f>
        <v/>
      </c>
    </row>
    <row r="5454">
      <c r="A5454" s="13">
        <f>IF(H5454="","",ROW()-4)</f>
        <v/>
      </c>
      <c r="B5454" s="13">
        <f>IF(H5454="","",ROW()-4)</f>
        <v/>
      </c>
    </row>
    <row r="5455">
      <c r="A5455" s="13">
        <f>IF(H5455="","",ROW()-4)</f>
        <v/>
      </c>
      <c r="B5455" s="13">
        <f>IF(H5455="","",ROW()-4)</f>
        <v/>
      </c>
    </row>
    <row r="5456">
      <c r="A5456" s="13">
        <f>IF(H5456="","",ROW()-4)</f>
        <v/>
      </c>
      <c r="B5456" s="13">
        <f>IF(H5456="","",ROW()-4)</f>
        <v/>
      </c>
    </row>
    <row r="5457">
      <c r="A5457" s="13">
        <f>IF(H5457="","",ROW()-4)</f>
        <v/>
      </c>
      <c r="B5457" s="13">
        <f>IF(H5457="","",ROW()-4)</f>
        <v/>
      </c>
    </row>
    <row r="5458">
      <c r="A5458" s="13">
        <f>IF(H5458="","",ROW()-4)</f>
        <v/>
      </c>
      <c r="B5458" s="13">
        <f>IF(H5458="","",ROW()-4)</f>
        <v/>
      </c>
    </row>
    <row r="5459">
      <c r="A5459" s="13">
        <f>IF(H5459="","",ROW()-4)</f>
        <v/>
      </c>
      <c r="B5459" s="13">
        <f>IF(H5459="","",ROW()-4)</f>
        <v/>
      </c>
    </row>
    <row r="5460">
      <c r="A5460" s="13">
        <f>IF(H5460="","",ROW()-4)</f>
        <v/>
      </c>
      <c r="B5460" s="13">
        <f>IF(H5460="","",ROW()-4)</f>
        <v/>
      </c>
    </row>
    <row r="5461">
      <c r="A5461" s="13">
        <f>IF(H5461="","",ROW()-4)</f>
        <v/>
      </c>
      <c r="B5461" s="13">
        <f>IF(H5461="","",ROW()-4)</f>
        <v/>
      </c>
    </row>
    <row r="5462">
      <c r="A5462" s="13">
        <f>IF(H5462="","",ROW()-4)</f>
        <v/>
      </c>
      <c r="B5462" s="13">
        <f>IF(H5462="","",ROW()-4)</f>
        <v/>
      </c>
    </row>
    <row r="5463">
      <c r="A5463" s="13">
        <f>IF(H5463="","",ROW()-4)</f>
        <v/>
      </c>
      <c r="B5463" s="13">
        <f>IF(H5463="","",ROW()-4)</f>
        <v/>
      </c>
    </row>
    <row r="5464">
      <c r="A5464" s="13">
        <f>IF(H5464="","",ROW()-4)</f>
        <v/>
      </c>
      <c r="B5464" s="13">
        <f>IF(H5464="","",ROW()-4)</f>
        <v/>
      </c>
    </row>
    <row r="5465">
      <c r="A5465" s="13">
        <f>IF(H5465="","",ROW()-4)</f>
        <v/>
      </c>
      <c r="B5465" s="13">
        <f>IF(H5465="","",ROW()-4)</f>
        <v/>
      </c>
    </row>
    <row r="5466">
      <c r="A5466" s="13">
        <f>IF(H5466="","",ROW()-4)</f>
        <v/>
      </c>
      <c r="B5466" s="13">
        <f>IF(H5466="","",ROW()-4)</f>
        <v/>
      </c>
    </row>
    <row r="5467">
      <c r="A5467" s="13">
        <f>IF(H5467="","",ROW()-4)</f>
        <v/>
      </c>
      <c r="B5467" s="13">
        <f>IF(H5467="","",ROW()-4)</f>
        <v/>
      </c>
    </row>
    <row r="5468">
      <c r="A5468" s="13">
        <f>IF(H5468="","",ROW()-4)</f>
        <v/>
      </c>
      <c r="B5468" s="13">
        <f>IF(H5468="","",ROW()-4)</f>
        <v/>
      </c>
    </row>
    <row r="5469">
      <c r="A5469" s="13">
        <f>IF(H5469="","",ROW()-4)</f>
        <v/>
      </c>
      <c r="B5469" s="13">
        <f>IF(H5469="","",ROW()-4)</f>
        <v/>
      </c>
    </row>
    <row r="5470">
      <c r="A5470" s="13">
        <f>IF(H5470="","",ROW()-4)</f>
        <v/>
      </c>
      <c r="B5470" s="13">
        <f>IF(H5470="","",ROW()-4)</f>
        <v/>
      </c>
    </row>
    <row r="5471">
      <c r="A5471" s="13">
        <f>IF(H5471="","",ROW()-4)</f>
        <v/>
      </c>
      <c r="B5471" s="13">
        <f>IF(H5471="","",ROW()-4)</f>
        <v/>
      </c>
    </row>
    <row r="5472">
      <c r="A5472" s="13">
        <f>IF(H5472="","",ROW()-4)</f>
        <v/>
      </c>
      <c r="B5472" s="13">
        <f>IF(H5472="","",ROW()-4)</f>
        <v/>
      </c>
    </row>
    <row r="5473">
      <c r="A5473" s="13">
        <f>IF(H5473="","",ROW()-4)</f>
        <v/>
      </c>
      <c r="B5473" s="13">
        <f>IF(H5473="","",ROW()-4)</f>
        <v/>
      </c>
    </row>
    <row r="5474">
      <c r="A5474" s="13">
        <f>IF(H5474="","",ROW()-4)</f>
        <v/>
      </c>
      <c r="B5474" s="13">
        <f>IF(H5474="","",ROW()-4)</f>
        <v/>
      </c>
    </row>
    <row r="5475">
      <c r="A5475" s="13">
        <f>IF(H5475="","",ROW()-4)</f>
        <v/>
      </c>
      <c r="B5475" s="13">
        <f>IF(H5475="","",ROW()-4)</f>
        <v/>
      </c>
    </row>
    <row r="5476">
      <c r="A5476" s="13">
        <f>IF(H5476="","",ROW()-4)</f>
        <v/>
      </c>
      <c r="B5476" s="13">
        <f>IF(H5476="","",ROW()-4)</f>
        <v/>
      </c>
    </row>
    <row r="5477">
      <c r="A5477" s="13">
        <f>IF(H5477="","",ROW()-4)</f>
        <v/>
      </c>
      <c r="B5477" s="13">
        <f>IF(H5477="","",ROW()-4)</f>
        <v/>
      </c>
    </row>
    <row r="5478">
      <c r="A5478" s="13">
        <f>IF(H5478="","",ROW()-4)</f>
        <v/>
      </c>
      <c r="B5478" s="13">
        <f>IF(H5478="","",ROW()-4)</f>
        <v/>
      </c>
    </row>
    <row r="5479">
      <c r="A5479" s="13">
        <f>IF(H5479="","",ROW()-4)</f>
        <v/>
      </c>
      <c r="B5479" s="13">
        <f>IF(H5479="","",ROW()-4)</f>
        <v/>
      </c>
    </row>
    <row r="5480">
      <c r="A5480" s="13">
        <f>IF(H5480="","",ROW()-4)</f>
        <v/>
      </c>
      <c r="B5480" s="13">
        <f>IF(H5480="","",ROW()-4)</f>
        <v/>
      </c>
    </row>
    <row r="5481">
      <c r="A5481" s="13">
        <f>IF(H5481="","",ROW()-4)</f>
        <v/>
      </c>
      <c r="B5481" s="13">
        <f>IF(H5481="","",ROW()-4)</f>
        <v/>
      </c>
    </row>
    <row r="5482">
      <c r="A5482" s="13">
        <f>IF(H5482="","",ROW()-4)</f>
        <v/>
      </c>
      <c r="B5482" s="13">
        <f>IF(H5482="","",ROW()-4)</f>
        <v/>
      </c>
    </row>
    <row r="5483">
      <c r="A5483" s="13">
        <f>IF(H5483="","",ROW()-4)</f>
        <v/>
      </c>
      <c r="B5483" s="13">
        <f>IF(H5483="","",ROW()-4)</f>
        <v/>
      </c>
    </row>
    <row r="5484">
      <c r="A5484" s="13">
        <f>IF(H5484="","",ROW()-4)</f>
        <v/>
      </c>
      <c r="B5484" s="13">
        <f>IF(H5484="","",ROW()-4)</f>
        <v/>
      </c>
    </row>
    <row r="5485">
      <c r="A5485" s="13">
        <f>IF(H5485="","",ROW()-4)</f>
        <v/>
      </c>
      <c r="B5485" s="13">
        <f>IF(H5485="","",ROW()-4)</f>
        <v/>
      </c>
    </row>
    <row r="5486">
      <c r="A5486" s="13">
        <f>IF(H5486="","",ROW()-4)</f>
        <v/>
      </c>
      <c r="B5486" s="13">
        <f>IF(H5486="","",ROW()-4)</f>
        <v/>
      </c>
    </row>
    <row r="5487">
      <c r="A5487" s="13">
        <f>IF(H5487="","",ROW()-4)</f>
        <v/>
      </c>
      <c r="B5487" s="13">
        <f>IF(H5487="","",ROW()-4)</f>
        <v/>
      </c>
    </row>
    <row r="5488">
      <c r="A5488" s="13">
        <f>IF(H5488="","",ROW()-4)</f>
        <v/>
      </c>
      <c r="B5488" s="13">
        <f>IF(H5488="","",ROW()-4)</f>
        <v/>
      </c>
    </row>
    <row r="5489">
      <c r="A5489" s="13">
        <f>IF(H5489="","",ROW()-4)</f>
        <v/>
      </c>
      <c r="B5489" s="13">
        <f>IF(H5489="","",ROW()-4)</f>
        <v/>
      </c>
    </row>
    <row r="5490">
      <c r="A5490" s="13">
        <f>IF(H5490="","",ROW()-4)</f>
        <v/>
      </c>
      <c r="B5490" s="13">
        <f>IF(H5490="","",ROW()-4)</f>
        <v/>
      </c>
    </row>
    <row r="5491">
      <c r="A5491" s="13">
        <f>IF(H5491="","",ROW()-4)</f>
        <v/>
      </c>
      <c r="B5491" s="13">
        <f>IF(H5491="","",ROW()-4)</f>
        <v/>
      </c>
    </row>
    <row r="5492">
      <c r="A5492" s="13">
        <f>IF(H5492="","",ROW()-4)</f>
        <v/>
      </c>
      <c r="B5492" s="13">
        <f>IF(H5492="","",ROW()-4)</f>
        <v/>
      </c>
    </row>
    <row r="5493">
      <c r="A5493" s="13">
        <f>IF(H5493="","",ROW()-4)</f>
        <v/>
      </c>
      <c r="B5493" s="13">
        <f>IF(H5493="","",ROW()-4)</f>
        <v/>
      </c>
    </row>
    <row r="5494">
      <c r="A5494" s="13">
        <f>IF(H5494="","",ROW()-4)</f>
        <v/>
      </c>
      <c r="B5494" s="13">
        <f>IF(H5494="","",ROW()-4)</f>
        <v/>
      </c>
    </row>
    <row r="5495">
      <c r="A5495" s="13">
        <f>IF(H5495="","",ROW()-4)</f>
        <v/>
      </c>
      <c r="B5495" s="13">
        <f>IF(H5495="","",ROW()-4)</f>
        <v/>
      </c>
    </row>
    <row r="5496">
      <c r="A5496" s="13">
        <f>IF(H5496="","",ROW()-4)</f>
        <v/>
      </c>
      <c r="B5496" s="13">
        <f>IF(H5496="","",ROW()-4)</f>
        <v/>
      </c>
    </row>
    <row r="5497">
      <c r="A5497" s="13">
        <f>IF(H5497="","",ROW()-4)</f>
        <v/>
      </c>
      <c r="B5497" s="13">
        <f>IF(H5497="","",ROW()-4)</f>
        <v/>
      </c>
    </row>
    <row r="5498">
      <c r="A5498" s="13">
        <f>IF(H5498="","",ROW()-4)</f>
        <v/>
      </c>
      <c r="B5498" s="13">
        <f>IF(H5498="","",ROW()-4)</f>
        <v/>
      </c>
    </row>
    <row r="5499">
      <c r="A5499" s="13">
        <f>IF(H5499="","",ROW()-4)</f>
        <v/>
      </c>
      <c r="B5499" s="13">
        <f>IF(H5499="","",ROW()-4)</f>
        <v/>
      </c>
    </row>
    <row r="5500">
      <c r="A5500" s="13">
        <f>IF(H5500="","",ROW()-4)</f>
        <v/>
      </c>
      <c r="B5500" s="13">
        <f>IF(H5500="","",ROW()-4)</f>
        <v/>
      </c>
    </row>
    <row r="5501">
      <c r="A5501" s="13">
        <f>IF(H5501="","",ROW()-4)</f>
        <v/>
      </c>
      <c r="B5501" s="13">
        <f>IF(H5501="","",ROW()-4)</f>
        <v/>
      </c>
    </row>
    <row r="5502">
      <c r="A5502" s="13">
        <f>IF(H5502="","",ROW()-4)</f>
        <v/>
      </c>
      <c r="B5502" s="13">
        <f>IF(H5502="","",ROW()-4)</f>
        <v/>
      </c>
    </row>
    <row r="5503">
      <c r="A5503" s="13">
        <f>IF(H5503="","",ROW()-4)</f>
        <v/>
      </c>
      <c r="B5503" s="13">
        <f>IF(H5503="","",ROW()-4)</f>
        <v/>
      </c>
    </row>
    <row r="5504">
      <c r="A5504" s="13">
        <f>IF(H5504="","",ROW()-4)</f>
        <v/>
      </c>
      <c r="B5504" s="13">
        <f>IF(H5504="","",ROW()-4)</f>
        <v/>
      </c>
    </row>
    <row r="5505">
      <c r="A5505" s="13">
        <f>IF(H5505="","",ROW()-4)</f>
        <v/>
      </c>
      <c r="B5505" s="13">
        <f>IF(H5505="","",ROW()-4)</f>
        <v/>
      </c>
    </row>
    <row r="5506">
      <c r="A5506" s="13">
        <f>IF(H5506="","",ROW()-4)</f>
        <v/>
      </c>
      <c r="B5506" s="13">
        <f>IF(H5506="","",ROW()-4)</f>
        <v/>
      </c>
    </row>
    <row r="5507">
      <c r="A5507" s="13">
        <f>IF(H5507="","",ROW()-4)</f>
        <v/>
      </c>
      <c r="B5507" s="13">
        <f>IF(H5507="","",ROW()-4)</f>
        <v/>
      </c>
    </row>
    <row r="5508">
      <c r="A5508" s="13">
        <f>IF(H5508="","",ROW()-4)</f>
        <v/>
      </c>
      <c r="B5508" s="13">
        <f>IF(H5508="","",ROW()-4)</f>
        <v/>
      </c>
    </row>
    <row r="5509">
      <c r="A5509" s="13">
        <f>IF(H5509="","",ROW()-4)</f>
        <v/>
      </c>
      <c r="B5509" s="13">
        <f>IF(H5509="","",ROW()-4)</f>
        <v/>
      </c>
    </row>
    <row r="5510">
      <c r="A5510" s="13">
        <f>IF(H5510="","",ROW()-4)</f>
        <v/>
      </c>
      <c r="B5510" s="13">
        <f>IF(H5510="","",ROW()-4)</f>
        <v/>
      </c>
    </row>
    <row r="5511">
      <c r="A5511" s="13">
        <f>IF(H5511="","",ROW()-4)</f>
        <v/>
      </c>
      <c r="B5511" s="13">
        <f>IF(H5511="","",ROW()-4)</f>
        <v/>
      </c>
    </row>
    <row r="5512">
      <c r="A5512" s="13">
        <f>IF(H5512="","",ROW()-4)</f>
        <v/>
      </c>
      <c r="B5512" s="13">
        <f>IF(H5512="","",ROW()-4)</f>
        <v/>
      </c>
    </row>
    <row r="5513">
      <c r="A5513" s="13">
        <f>IF(H5513="","",ROW()-4)</f>
        <v/>
      </c>
      <c r="B5513" s="13">
        <f>IF(H5513="","",ROW()-4)</f>
        <v/>
      </c>
    </row>
    <row r="5514">
      <c r="A5514" s="13">
        <f>IF(H5514="","",ROW()-4)</f>
        <v/>
      </c>
      <c r="B5514" s="13">
        <f>IF(H5514="","",ROW()-4)</f>
        <v/>
      </c>
    </row>
    <row r="5515">
      <c r="A5515" s="13">
        <f>IF(H5515="","",ROW()-4)</f>
        <v/>
      </c>
      <c r="B5515" s="13">
        <f>IF(H5515="","",ROW()-4)</f>
        <v/>
      </c>
    </row>
    <row r="5516">
      <c r="A5516" s="13">
        <f>IF(H5516="","",ROW()-4)</f>
        <v/>
      </c>
      <c r="B5516" s="13">
        <f>IF(H5516="","",ROW()-4)</f>
        <v/>
      </c>
    </row>
    <row r="5517">
      <c r="A5517" s="13">
        <f>IF(H5517="","",ROW()-4)</f>
        <v/>
      </c>
      <c r="B5517" s="13">
        <f>IF(H5517="","",ROW()-4)</f>
        <v/>
      </c>
    </row>
    <row r="5518">
      <c r="A5518" s="13">
        <f>IF(H5518="","",ROW()-4)</f>
        <v/>
      </c>
      <c r="B5518" s="13">
        <f>IF(H5518="","",ROW()-4)</f>
        <v/>
      </c>
    </row>
    <row r="5519">
      <c r="A5519" s="13">
        <f>IF(H5519="","",ROW()-4)</f>
        <v/>
      </c>
      <c r="B5519" s="13">
        <f>IF(H5519="","",ROW()-4)</f>
        <v/>
      </c>
    </row>
    <row r="5520">
      <c r="A5520" s="13">
        <f>IF(H5520="","",ROW()-4)</f>
        <v/>
      </c>
      <c r="B5520" s="13">
        <f>IF(H5520="","",ROW()-4)</f>
        <v/>
      </c>
    </row>
    <row r="5521">
      <c r="A5521" s="13">
        <f>IF(H5521="","",ROW()-4)</f>
        <v/>
      </c>
      <c r="B5521" s="13">
        <f>IF(H5521="","",ROW()-4)</f>
        <v/>
      </c>
    </row>
    <row r="5522">
      <c r="A5522" s="13">
        <f>IF(H5522="","",ROW()-4)</f>
        <v/>
      </c>
      <c r="B5522" s="13">
        <f>IF(H5522="","",ROW()-4)</f>
        <v/>
      </c>
    </row>
    <row r="5523">
      <c r="A5523" s="13">
        <f>IF(H5523="","",ROW()-4)</f>
        <v/>
      </c>
      <c r="B5523" s="13">
        <f>IF(H5523="","",ROW()-4)</f>
        <v/>
      </c>
    </row>
    <row r="5524">
      <c r="A5524" s="13">
        <f>IF(H5524="","",ROW()-4)</f>
        <v/>
      </c>
      <c r="B5524" s="13">
        <f>IF(H5524="","",ROW()-4)</f>
        <v/>
      </c>
    </row>
    <row r="5525">
      <c r="A5525" s="13">
        <f>IF(H5525="","",ROW()-4)</f>
        <v/>
      </c>
      <c r="B5525" s="13">
        <f>IF(H5525="","",ROW()-4)</f>
        <v/>
      </c>
    </row>
    <row r="5526">
      <c r="A5526" s="13">
        <f>IF(H5526="","",ROW()-4)</f>
        <v/>
      </c>
      <c r="B5526" s="13">
        <f>IF(H5526="","",ROW()-4)</f>
        <v/>
      </c>
    </row>
    <row r="5527">
      <c r="A5527" s="13">
        <f>IF(H5527="","",ROW()-4)</f>
        <v/>
      </c>
      <c r="B5527" s="13">
        <f>IF(H5527="","",ROW()-4)</f>
        <v/>
      </c>
    </row>
    <row r="5528">
      <c r="A5528" s="13">
        <f>IF(H5528="","",ROW()-4)</f>
        <v/>
      </c>
      <c r="B5528" s="13">
        <f>IF(H5528="","",ROW()-4)</f>
        <v/>
      </c>
    </row>
    <row r="5529">
      <c r="A5529" s="13">
        <f>IF(H5529="","",ROW()-4)</f>
        <v/>
      </c>
      <c r="B5529" s="13">
        <f>IF(H5529="","",ROW()-4)</f>
        <v/>
      </c>
    </row>
    <row r="5530">
      <c r="A5530" s="13">
        <f>IF(H5530="","",ROW()-4)</f>
        <v/>
      </c>
      <c r="B5530" s="13">
        <f>IF(H5530="","",ROW()-4)</f>
        <v/>
      </c>
    </row>
    <row r="5531">
      <c r="A5531" s="13">
        <f>IF(H5531="","",ROW()-4)</f>
        <v/>
      </c>
      <c r="B5531" s="13">
        <f>IF(H5531="","",ROW()-4)</f>
        <v/>
      </c>
    </row>
    <row r="5532">
      <c r="A5532" s="13">
        <f>IF(H5532="","",ROW()-4)</f>
        <v/>
      </c>
      <c r="B5532" s="13">
        <f>IF(H5532="","",ROW()-4)</f>
        <v/>
      </c>
    </row>
    <row r="5533">
      <c r="A5533" s="13">
        <f>IF(H5533="","",ROW()-4)</f>
        <v/>
      </c>
      <c r="B5533" s="13">
        <f>IF(H5533="","",ROW()-4)</f>
        <v/>
      </c>
    </row>
    <row r="5534">
      <c r="A5534" s="13">
        <f>IF(H5534="","",ROW()-4)</f>
        <v/>
      </c>
      <c r="B5534" s="13">
        <f>IF(H5534="","",ROW()-4)</f>
        <v/>
      </c>
    </row>
    <row r="5535">
      <c r="A5535" s="13">
        <f>IF(H5535="","",ROW()-4)</f>
        <v/>
      </c>
      <c r="B5535" s="13">
        <f>IF(H5535="","",ROW()-4)</f>
        <v/>
      </c>
    </row>
    <row r="5536">
      <c r="A5536" s="13">
        <f>IF(H5536="","",ROW()-4)</f>
        <v/>
      </c>
      <c r="B5536" s="13">
        <f>IF(H5536="","",ROW()-4)</f>
        <v/>
      </c>
    </row>
    <row r="5537">
      <c r="A5537" s="13">
        <f>IF(H5537="","",ROW()-4)</f>
        <v/>
      </c>
      <c r="B5537" s="13">
        <f>IF(H5537="","",ROW()-4)</f>
        <v/>
      </c>
    </row>
    <row r="5538">
      <c r="A5538" s="13">
        <f>IF(H5538="","",ROW()-4)</f>
        <v/>
      </c>
      <c r="B5538" s="13">
        <f>IF(H5538="","",ROW()-4)</f>
        <v/>
      </c>
    </row>
    <row r="5539">
      <c r="A5539" s="13">
        <f>IF(H5539="","",ROW()-4)</f>
        <v/>
      </c>
      <c r="B5539" s="13">
        <f>IF(H5539="","",ROW()-4)</f>
        <v/>
      </c>
    </row>
    <row r="5540">
      <c r="A5540" s="13">
        <f>IF(H5540="","",ROW()-4)</f>
        <v/>
      </c>
      <c r="B5540" s="13">
        <f>IF(H5540="","",ROW()-4)</f>
        <v/>
      </c>
    </row>
    <row r="5541">
      <c r="A5541" s="13">
        <f>IF(H5541="","",ROW()-4)</f>
        <v/>
      </c>
      <c r="B5541" s="13">
        <f>IF(H5541="","",ROW()-4)</f>
        <v/>
      </c>
    </row>
    <row r="5542">
      <c r="A5542" s="13">
        <f>IF(H5542="","",ROW()-4)</f>
        <v/>
      </c>
      <c r="B5542" s="13">
        <f>IF(H5542="","",ROW()-4)</f>
        <v/>
      </c>
    </row>
    <row r="5543">
      <c r="A5543" s="13">
        <f>IF(H5543="","",ROW()-4)</f>
        <v/>
      </c>
      <c r="B5543" s="13">
        <f>IF(H5543="","",ROW()-4)</f>
        <v/>
      </c>
    </row>
    <row r="5544">
      <c r="A5544" s="13">
        <f>IF(H5544="","",ROW()-4)</f>
        <v/>
      </c>
      <c r="B5544" s="13">
        <f>IF(H5544="","",ROW()-4)</f>
        <v/>
      </c>
    </row>
    <row r="5545">
      <c r="A5545" s="13">
        <f>IF(H5545="","",ROW()-4)</f>
        <v/>
      </c>
      <c r="B5545" s="13">
        <f>IF(H5545="","",ROW()-4)</f>
        <v/>
      </c>
    </row>
    <row r="5546">
      <c r="A5546" s="13">
        <f>IF(H5546="","",ROW()-4)</f>
        <v/>
      </c>
      <c r="B5546" s="13">
        <f>IF(H5546="","",ROW()-4)</f>
        <v/>
      </c>
    </row>
    <row r="5547">
      <c r="A5547" s="13">
        <f>IF(H5547="","",ROW()-4)</f>
        <v/>
      </c>
      <c r="B5547" s="13">
        <f>IF(H5547="","",ROW()-4)</f>
        <v/>
      </c>
    </row>
    <row r="5548">
      <c r="A5548" s="13">
        <f>IF(H5548="","",ROW()-4)</f>
        <v/>
      </c>
      <c r="B5548" s="13">
        <f>IF(H5548="","",ROW()-4)</f>
        <v/>
      </c>
    </row>
    <row r="5549">
      <c r="A5549" s="13">
        <f>IF(H5549="","",ROW()-4)</f>
        <v/>
      </c>
      <c r="B5549" s="13">
        <f>IF(H5549="","",ROW()-4)</f>
        <v/>
      </c>
    </row>
    <row r="5550">
      <c r="A5550" s="13">
        <f>IF(H5550="","",ROW()-4)</f>
        <v/>
      </c>
      <c r="B5550" s="13">
        <f>IF(H5550="","",ROW()-4)</f>
        <v/>
      </c>
    </row>
    <row r="5551">
      <c r="A5551" s="13">
        <f>IF(H5551="","",ROW()-4)</f>
        <v/>
      </c>
      <c r="B5551" s="13">
        <f>IF(H5551="","",ROW()-4)</f>
        <v/>
      </c>
    </row>
    <row r="5552">
      <c r="A5552" s="13">
        <f>IF(H5552="","",ROW()-4)</f>
        <v/>
      </c>
      <c r="B5552" s="13">
        <f>IF(H5552="","",ROW()-4)</f>
        <v/>
      </c>
    </row>
    <row r="5553">
      <c r="A5553" s="13">
        <f>IF(H5553="","",ROW()-4)</f>
        <v/>
      </c>
      <c r="B5553" s="13">
        <f>IF(H5553="","",ROW()-4)</f>
        <v/>
      </c>
    </row>
    <row r="5554">
      <c r="A5554" s="13">
        <f>IF(H5554="","",ROW()-4)</f>
        <v/>
      </c>
      <c r="B5554" s="13">
        <f>IF(H5554="","",ROW()-4)</f>
        <v/>
      </c>
    </row>
    <row r="5555">
      <c r="A5555" s="13">
        <f>IF(H5555="","",ROW()-4)</f>
        <v/>
      </c>
      <c r="B5555" s="13">
        <f>IF(H5555="","",ROW()-4)</f>
        <v/>
      </c>
    </row>
    <row r="5556">
      <c r="A5556" s="13">
        <f>IF(H5556="","",ROW()-4)</f>
        <v/>
      </c>
      <c r="B5556" s="13">
        <f>IF(H5556="","",ROW()-4)</f>
        <v/>
      </c>
    </row>
    <row r="5557">
      <c r="A5557" s="13">
        <f>IF(H5557="","",ROW()-4)</f>
        <v/>
      </c>
      <c r="B5557" s="13">
        <f>IF(H5557="","",ROW()-4)</f>
        <v/>
      </c>
    </row>
    <row r="5558">
      <c r="A5558" s="13">
        <f>IF(H5558="","",ROW()-4)</f>
        <v/>
      </c>
      <c r="B5558" s="13">
        <f>IF(H5558="","",ROW()-4)</f>
        <v/>
      </c>
    </row>
    <row r="5559">
      <c r="A5559" s="13">
        <f>IF(H5559="","",ROW()-4)</f>
        <v/>
      </c>
      <c r="B5559" s="13">
        <f>IF(H5559="","",ROW()-4)</f>
        <v/>
      </c>
    </row>
    <row r="5560">
      <c r="A5560" s="13">
        <f>IF(H5560="","",ROW()-4)</f>
        <v/>
      </c>
      <c r="B5560" s="13">
        <f>IF(H5560="","",ROW()-4)</f>
        <v/>
      </c>
    </row>
    <row r="5561">
      <c r="A5561" s="13">
        <f>IF(H5561="","",ROW()-4)</f>
        <v/>
      </c>
      <c r="B5561" s="13">
        <f>IF(H5561="","",ROW()-4)</f>
        <v/>
      </c>
    </row>
    <row r="5562">
      <c r="A5562" s="13">
        <f>IF(H5562="","",ROW()-4)</f>
        <v/>
      </c>
      <c r="B5562" s="13">
        <f>IF(H5562="","",ROW()-4)</f>
        <v/>
      </c>
    </row>
    <row r="5563">
      <c r="A5563" s="13">
        <f>IF(H5563="","",ROW()-4)</f>
        <v/>
      </c>
      <c r="B5563" s="13">
        <f>IF(H5563="","",ROW()-4)</f>
        <v/>
      </c>
    </row>
    <row r="5564">
      <c r="A5564" s="13">
        <f>IF(H5564="","",ROW()-4)</f>
        <v/>
      </c>
      <c r="B5564" s="13">
        <f>IF(H5564="","",ROW()-4)</f>
        <v/>
      </c>
    </row>
    <row r="5565">
      <c r="A5565" s="13">
        <f>IF(H5565="","",ROW()-4)</f>
        <v/>
      </c>
      <c r="B5565" s="13">
        <f>IF(H5565="","",ROW()-4)</f>
        <v/>
      </c>
    </row>
    <row r="5566">
      <c r="A5566" s="13">
        <f>IF(H5566="","",ROW()-4)</f>
        <v/>
      </c>
      <c r="B5566" s="13">
        <f>IF(H5566="","",ROW()-4)</f>
        <v/>
      </c>
    </row>
    <row r="5567">
      <c r="A5567" s="13">
        <f>IF(H5567="","",ROW()-4)</f>
        <v/>
      </c>
      <c r="B5567" s="13">
        <f>IF(H5567="","",ROW()-4)</f>
        <v/>
      </c>
    </row>
    <row r="5568">
      <c r="A5568" s="13">
        <f>IF(H5568="","",ROW()-4)</f>
        <v/>
      </c>
      <c r="B5568" s="13">
        <f>IF(H5568="","",ROW()-4)</f>
        <v/>
      </c>
    </row>
    <row r="5569">
      <c r="A5569" s="13">
        <f>IF(H5569="","",ROW()-4)</f>
        <v/>
      </c>
      <c r="B5569" s="13">
        <f>IF(H5569="","",ROW()-4)</f>
        <v/>
      </c>
    </row>
    <row r="5570">
      <c r="A5570" s="13">
        <f>IF(H5570="","",ROW()-4)</f>
        <v/>
      </c>
      <c r="B5570" s="13">
        <f>IF(H5570="","",ROW()-4)</f>
        <v/>
      </c>
    </row>
    <row r="5571">
      <c r="A5571" s="13">
        <f>IF(H5571="","",ROW()-4)</f>
        <v/>
      </c>
      <c r="B5571" s="13">
        <f>IF(H5571="","",ROW()-4)</f>
        <v/>
      </c>
    </row>
    <row r="5572">
      <c r="A5572" s="13">
        <f>IF(H5572="","",ROW()-4)</f>
        <v/>
      </c>
      <c r="B5572" s="13">
        <f>IF(H5572="","",ROW()-4)</f>
        <v/>
      </c>
    </row>
    <row r="5573">
      <c r="A5573" s="13">
        <f>IF(H5573="","",ROW()-4)</f>
        <v/>
      </c>
      <c r="B5573" s="13">
        <f>IF(H5573="","",ROW()-4)</f>
        <v/>
      </c>
    </row>
    <row r="5574">
      <c r="A5574" s="13">
        <f>IF(H5574="","",ROW()-4)</f>
        <v/>
      </c>
      <c r="B5574" s="13">
        <f>IF(H5574="","",ROW()-4)</f>
        <v/>
      </c>
    </row>
    <row r="5575">
      <c r="A5575" s="13">
        <f>IF(H5575="","",ROW()-4)</f>
        <v/>
      </c>
      <c r="B5575" s="13">
        <f>IF(H5575="","",ROW()-4)</f>
        <v/>
      </c>
    </row>
    <row r="5576">
      <c r="A5576" s="13">
        <f>IF(H5576="","",ROW()-4)</f>
        <v/>
      </c>
      <c r="B5576" s="13">
        <f>IF(H5576="","",ROW()-4)</f>
        <v/>
      </c>
    </row>
    <row r="5577">
      <c r="A5577" s="13">
        <f>IF(H5577="","",ROW()-4)</f>
        <v/>
      </c>
      <c r="B5577" s="13">
        <f>IF(H5577="","",ROW()-4)</f>
        <v/>
      </c>
    </row>
    <row r="5578">
      <c r="A5578" s="13">
        <f>IF(H5578="","",ROW()-4)</f>
        <v/>
      </c>
      <c r="B5578" s="13">
        <f>IF(H5578="","",ROW()-4)</f>
        <v/>
      </c>
    </row>
    <row r="5579">
      <c r="A5579" s="13">
        <f>IF(H5579="","",ROW()-4)</f>
        <v/>
      </c>
      <c r="B5579" s="13">
        <f>IF(H5579="","",ROW()-4)</f>
        <v/>
      </c>
    </row>
    <row r="5580">
      <c r="A5580" s="13">
        <f>IF(H5580="","",ROW()-4)</f>
        <v/>
      </c>
      <c r="B5580" s="13">
        <f>IF(H5580="","",ROW()-4)</f>
        <v/>
      </c>
    </row>
    <row r="5581">
      <c r="A5581" s="13">
        <f>IF(H5581="","",ROW()-4)</f>
        <v/>
      </c>
      <c r="B5581" s="13">
        <f>IF(H5581="","",ROW()-4)</f>
        <v/>
      </c>
    </row>
    <row r="5582">
      <c r="A5582" s="13">
        <f>IF(H5582="","",ROW()-4)</f>
        <v/>
      </c>
      <c r="B5582" s="13">
        <f>IF(H5582="","",ROW()-4)</f>
        <v/>
      </c>
    </row>
    <row r="5583">
      <c r="A5583" s="13">
        <f>IF(H5583="","",ROW()-4)</f>
        <v/>
      </c>
      <c r="B5583" s="13">
        <f>IF(H5583="","",ROW()-4)</f>
        <v/>
      </c>
    </row>
    <row r="5584">
      <c r="A5584" s="13">
        <f>IF(H5584="","",ROW()-4)</f>
        <v/>
      </c>
      <c r="B5584" s="13">
        <f>IF(H5584="","",ROW()-4)</f>
        <v/>
      </c>
    </row>
    <row r="5585">
      <c r="A5585" s="13">
        <f>IF(H5585="","",ROW()-4)</f>
        <v/>
      </c>
      <c r="B5585" s="13">
        <f>IF(H5585="","",ROW()-4)</f>
        <v/>
      </c>
    </row>
    <row r="5586">
      <c r="A5586" s="13">
        <f>IF(H5586="","",ROW()-4)</f>
        <v/>
      </c>
      <c r="B5586" s="13">
        <f>IF(H5586="","",ROW()-4)</f>
        <v/>
      </c>
    </row>
    <row r="5587">
      <c r="A5587" s="13">
        <f>IF(H5587="","",ROW()-4)</f>
        <v/>
      </c>
      <c r="B5587" s="13">
        <f>IF(H5587="","",ROW()-4)</f>
        <v/>
      </c>
    </row>
    <row r="5588">
      <c r="A5588" s="13">
        <f>IF(H5588="","",ROW()-4)</f>
        <v/>
      </c>
      <c r="B5588" s="13">
        <f>IF(H5588="","",ROW()-4)</f>
        <v/>
      </c>
    </row>
    <row r="5589">
      <c r="A5589" s="13">
        <f>IF(H5589="","",ROW()-4)</f>
        <v/>
      </c>
      <c r="B5589" s="13">
        <f>IF(H5589="","",ROW()-4)</f>
        <v/>
      </c>
    </row>
    <row r="5590">
      <c r="A5590" s="13">
        <f>IF(H5590="","",ROW()-4)</f>
        <v/>
      </c>
      <c r="B5590" s="13">
        <f>IF(H5590="","",ROW()-4)</f>
        <v/>
      </c>
    </row>
    <row r="5591">
      <c r="A5591" s="13">
        <f>IF(H5591="","",ROW()-4)</f>
        <v/>
      </c>
      <c r="B5591" s="13">
        <f>IF(H5591="","",ROW()-4)</f>
        <v/>
      </c>
    </row>
    <row r="5592">
      <c r="A5592" s="13">
        <f>IF(H5592="","",ROW()-4)</f>
        <v/>
      </c>
      <c r="B5592" s="13">
        <f>IF(H5592="","",ROW()-4)</f>
        <v/>
      </c>
    </row>
    <row r="5593">
      <c r="A5593" s="13">
        <f>IF(H5593="","",ROW()-4)</f>
        <v/>
      </c>
      <c r="B5593" s="13">
        <f>IF(H5593="","",ROW()-4)</f>
        <v/>
      </c>
    </row>
    <row r="5594">
      <c r="A5594" s="13">
        <f>IF(H5594="","",ROW()-4)</f>
        <v/>
      </c>
      <c r="B5594" s="13">
        <f>IF(H5594="","",ROW()-4)</f>
        <v/>
      </c>
    </row>
    <row r="5595">
      <c r="A5595" s="13">
        <f>IF(H5595="","",ROW()-4)</f>
        <v/>
      </c>
      <c r="B5595" s="13">
        <f>IF(H5595="","",ROW()-4)</f>
        <v/>
      </c>
    </row>
    <row r="5596">
      <c r="A5596" s="13">
        <f>IF(H5596="","",ROW()-4)</f>
        <v/>
      </c>
      <c r="B5596" s="13">
        <f>IF(H5596="","",ROW()-4)</f>
        <v/>
      </c>
    </row>
    <row r="5597">
      <c r="A5597" s="13">
        <f>IF(H5597="","",ROW()-4)</f>
        <v/>
      </c>
      <c r="B5597" s="13">
        <f>IF(H5597="","",ROW()-4)</f>
        <v/>
      </c>
    </row>
    <row r="5598">
      <c r="A5598" s="13">
        <f>IF(H5598="","",ROW()-4)</f>
        <v/>
      </c>
      <c r="B5598" s="13">
        <f>IF(H5598="","",ROW()-4)</f>
        <v/>
      </c>
    </row>
    <row r="5599">
      <c r="A5599" s="13">
        <f>IF(H5599="","",ROW()-4)</f>
        <v/>
      </c>
      <c r="B5599" s="13">
        <f>IF(H5599="","",ROW()-4)</f>
        <v/>
      </c>
    </row>
    <row r="5600">
      <c r="A5600" s="13">
        <f>IF(H5600="","",ROW()-4)</f>
        <v/>
      </c>
      <c r="B5600" s="13">
        <f>IF(H5600="","",ROW()-4)</f>
        <v/>
      </c>
    </row>
    <row r="5601">
      <c r="A5601" s="13">
        <f>IF(H5601="","",ROW()-4)</f>
        <v/>
      </c>
      <c r="B5601" s="13">
        <f>IF(H5601="","",ROW()-4)</f>
        <v/>
      </c>
    </row>
    <row r="5602">
      <c r="A5602" s="13">
        <f>IF(H5602="","",ROW()-4)</f>
        <v/>
      </c>
      <c r="B5602" s="13">
        <f>IF(H5602="","",ROW()-4)</f>
        <v/>
      </c>
    </row>
    <row r="5603">
      <c r="A5603" s="13">
        <f>IF(H5603="","",ROW()-4)</f>
        <v/>
      </c>
      <c r="B5603" s="13">
        <f>IF(H5603="","",ROW()-4)</f>
        <v/>
      </c>
    </row>
    <row r="5604">
      <c r="A5604" s="13">
        <f>IF(H5604="","",ROW()-4)</f>
        <v/>
      </c>
      <c r="B5604" s="13">
        <f>IF(H5604="","",ROW()-4)</f>
        <v/>
      </c>
    </row>
    <row r="5605">
      <c r="A5605" s="13">
        <f>IF(H5605="","",ROW()-4)</f>
        <v/>
      </c>
      <c r="B5605" s="13">
        <f>IF(H5605="","",ROW()-4)</f>
        <v/>
      </c>
    </row>
    <row r="5606">
      <c r="A5606" s="13">
        <f>IF(H5606="","",ROW()-4)</f>
        <v/>
      </c>
      <c r="B5606" s="13">
        <f>IF(H5606="","",ROW()-4)</f>
        <v/>
      </c>
    </row>
    <row r="5607">
      <c r="A5607" s="13">
        <f>IF(H5607="","",ROW()-4)</f>
        <v/>
      </c>
      <c r="B5607" s="13">
        <f>IF(H5607="","",ROW()-4)</f>
        <v/>
      </c>
    </row>
    <row r="5608">
      <c r="A5608" s="13">
        <f>IF(H5608="","",ROW()-4)</f>
        <v/>
      </c>
      <c r="B5608" s="13">
        <f>IF(H5608="","",ROW()-4)</f>
        <v/>
      </c>
    </row>
    <row r="5609">
      <c r="A5609" s="13">
        <f>IF(H5609="","",ROW()-4)</f>
        <v/>
      </c>
      <c r="B5609" s="13">
        <f>IF(H5609="","",ROW()-4)</f>
        <v/>
      </c>
    </row>
    <row r="5610">
      <c r="A5610" s="13">
        <f>IF(H5610="","",ROW()-4)</f>
        <v/>
      </c>
      <c r="B5610" s="13">
        <f>IF(H5610="","",ROW()-4)</f>
        <v/>
      </c>
    </row>
    <row r="5611">
      <c r="A5611" s="13">
        <f>IF(H5611="","",ROW()-4)</f>
        <v/>
      </c>
      <c r="B5611" s="13">
        <f>IF(H5611="","",ROW()-4)</f>
        <v/>
      </c>
    </row>
    <row r="5612">
      <c r="A5612" s="13">
        <f>IF(H5612="","",ROW()-4)</f>
        <v/>
      </c>
      <c r="B5612" s="13">
        <f>IF(H5612="","",ROW()-4)</f>
        <v/>
      </c>
    </row>
    <row r="5613">
      <c r="A5613" s="13">
        <f>IF(H5613="","",ROW()-4)</f>
        <v/>
      </c>
      <c r="B5613" s="13">
        <f>IF(H5613="","",ROW()-4)</f>
        <v/>
      </c>
    </row>
    <row r="5614">
      <c r="A5614" s="13">
        <f>IF(H5614="","",ROW()-4)</f>
        <v/>
      </c>
      <c r="B5614" s="13">
        <f>IF(H5614="","",ROW()-4)</f>
        <v/>
      </c>
    </row>
    <row r="5615">
      <c r="A5615" s="13">
        <f>IF(H5615="","",ROW()-4)</f>
        <v/>
      </c>
      <c r="B5615" s="13">
        <f>IF(H5615="","",ROW()-4)</f>
        <v/>
      </c>
    </row>
    <row r="5616">
      <c r="A5616" s="13">
        <f>IF(H5616="","",ROW()-4)</f>
        <v/>
      </c>
      <c r="B5616" s="13">
        <f>IF(H5616="","",ROW()-4)</f>
        <v/>
      </c>
    </row>
    <row r="5617">
      <c r="A5617" s="13">
        <f>IF(H5617="","",ROW()-4)</f>
        <v/>
      </c>
      <c r="B5617" s="13">
        <f>IF(H5617="","",ROW()-4)</f>
        <v/>
      </c>
    </row>
    <row r="5618">
      <c r="A5618" s="13">
        <f>IF(H5618="","",ROW()-4)</f>
        <v/>
      </c>
      <c r="B5618" s="13">
        <f>IF(H5618="","",ROW()-4)</f>
        <v/>
      </c>
    </row>
    <row r="5619">
      <c r="A5619" s="13">
        <f>IF(H5619="","",ROW()-4)</f>
        <v/>
      </c>
      <c r="B5619" s="13">
        <f>IF(H5619="","",ROW()-4)</f>
        <v/>
      </c>
    </row>
    <row r="5620">
      <c r="A5620" s="13">
        <f>IF(H5620="","",ROW()-4)</f>
        <v/>
      </c>
      <c r="B5620" s="13">
        <f>IF(H5620="","",ROW()-4)</f>
        <v/>
      </c>
    </row>
    <row r="5621">
      <c r="A5621" s="13">
        <f>IF(H5621="","",ROW()-4)</f>
        <v/>
      </c>
      <c r="B5621" s="13">
        <f>IF(H5621="","",ROW()-4)</f>
        <v/>
      </c>
    </row>
    <row r="5622">
      <c r="A5622" s="13">
        <f>IF(H5622="","",ROW()-4)</f>
        <v/>
      </c>
      <c r="B5622" s="13">
        <f>IF(H5622="","",ROW()-4)</f>
        <v/>
      </c>
    </row>
    <row r="5623">
      <c r="A5623" s="13">
        <f>IF(H5623="","",ROW()-4)</f>
        <v/>
      </c>
      <c r="B5623" s="13">
        <f>IF(H5623="","",ROW()-4)</f>
        <v/>
      </c>
    </row>
    <row r="5624">
      <c r="A5624" s="13">
        <f>IF(H5624="","",ROW()-4)</f>
        <v/>
      </c>
      <c r="B5624" s="13">
        <f>IF(H5624="","",ROW()-4)</f>
        <v/>
      </c>
    </row>
    <row r="5625">
      <c r="A5625" s="13">
        <f>IF(H5625="","",ROW()-4)</f>
        <v/>
      </c>
      <c r="B5625" s="13">
        <f>IF(H5625="","",ROW()-4)</f>
        <v/>
      </c>
    </row>
    <row r="5626">
      <c r="A5626" s="13">
        <f>IF(H5626="","",ROW()-4)</f>
        <v/>
      </c>
      <c r="B5626" s="13">
        <f>IF(H5626="","",ROW()-4)</f>
        <v/>
      </c>
    </row>
    <row r="5627">
      <c r="A5627" s="13">
        <f>IF(H5627="","",ROW()-4)</f>
        <v/>
      </c>
      <c r="B5627" s="13">
        <f>IF(H5627="","",ROW()-4)</f>
        <v/>
      </c>
    </row>
    <row r="5628">
      <c r="A5628" s="13">
        <f>IF(H5628="","",ROW()-4)</f>
        <v/>
      </c>
      <c r="B5628" s="13">
        <f>IF(H5628="","",ROW()-4)</f>
        <v/>
      </c>
    </row>
    <row r="5629">
      <c r="A5629" s="13">
        <f>IF(H5629="","",ROW()-4)</f>
        <v/>
      </c>
      <c r="B5629" s="13">
        <f>IF(H5629="","",ROW()-4)</f>
        <v/>
      </c>
    </row>
    <row r="5630">
      <c r="A5630" s="13">
        <f>IF(H5630="","",ROW()-4)</f>
        <v/>
      </c>
      <c r="B5630" s="13">
        <f>IF(H5630="","",ROW()-4)</f>
        <v/>
      </c>
    </row>
    <row r="5631">
      <c r="A5631" s="13">
        <f>IF(H5631="","",ROW()-4)</f>
        <v/>
      </c>
      <c r="B5631" s="13">
        <f>IF(H5631="","",ROW()-4)</f>
        <v/>
      </c>
    </row>
    <row r="5632">
      <c r="A5632" s="13">
        <f>IF(H5632="","",ROW()-4)</f>
        <v/>
      </c>
      <c r="B5632" s="13">
        <f>IF(H5632="","",ROW()-4)</f>
        <v/>
      </c>
    </row>
    <row r="5633">
      <c r="A5633" s="13">
        <f>IF(H5633="","",ROW()-4)</f>
        <v/>
      </c>
      <c r="B5633" s="13">
        <f>IF(H5633="","",ROW()-4)</f>
        <v/>
      </c>
    </row>
    <row r="5634">
      <c r="A5634" s="13">
        <f>IF(H5634="","",ROW()-4)</f>
        <v/>
      </c>
      <c r="B5634" s="13">
        <f>IF(H5634="","",ROW()-4)</f>
        <v/>
      </c>
    </row>
    <row r="5635">
      <c r="A5635" s="13">
        <f>IF(H5635="","",ROW()-4)</f>
        <v/>
      </c>
      <c r="B5635" s="13">
        <f>IF(H5635="","",ROW()-4)</f>
        <v/>
      </c>
    </row>
    <row r="5636">
      <c r="A5636" s="13">
        <f>IF(H5636="","",ROW()-4)</f>
        <v/>
      </c>
      <c r="B5636" s="13">
        <f>IF(H5636="","",ROW()-4)</f>
        <v/>
      </c>
    </row>
    <row r="5637">
      <c r="A5637" s="13">
        <f>IF(H5637="","",ROW()-4)</f>
        <v/>
      </c>
      <c r="B5637" s="13">
        <f>IF(H5637="","",ROW()-4)</f>
        <v/>
      </c>
    </row>
    <row r="5638">
      <c r="A5638" s="13">
        <f>IF(H5638="","",ROW()-4)</f>
        <v/>
      </c>
      <c r="B5638" s="13">
        <f>IF(H5638="","",ROW()-4)</f>
        <v/>
      </c>
    </row>
    <row r="5639">
      <c r="A5639" s="13">
        <f>IF(H5639="","",ROW()-4)</f>
        <v/>
      </c>
      <c r="B5639" s="13">
        <f>IF(H5639="","",ROW()-4)</f>
        <v/>
      </c>
    </row>
    <row r="5640">
      <c r="A5640" s="13">
        <f>IF(H5640="","",ROW()-4)</f>
        <v/>
      </c>
      <c r="B5640" s="13">
        <f>IF(H5640="","",ROW()-4)</f>
        <v/>
      </c>
    </row>
    <row r="5641">
      <c r="A5641" s="13">
        <f>IF(H5641="","",ROW()-4)</f>
        <v/>
      </c>
      <c r="B5641" s="13">
        <f>IF(H5641="","",ROW()-4)</f>
        <v/>
      </c>
    </row>
    <row r="5642">
      <c r="A5642" s="13">
        <f>IF(H5642="","",ROW()-4)</f>
        <v/>
      </c>
      <c r="B5642" s="13">
        <f>IF(H5642="","",ROW()-4)</f>
        <v/>
      </c>
    </row>
    <row r="5643">
      <c r="A5643" s="13">
        <f>IF(H5643="","",ROW()-4)</f>
        <v/>
      </c>
      <c r="B5643" s="13">
        <f>IF(H5643="","",ROW()-4)</f>
        <v/>
      </c>
    </row>
    <row r="5644">
      <c r="A5644" s="13">
        <f>IF(H5644="","",ROW()-4)</f>
        <v/>
      </c>
      <c r="B5644" s="13">
        <f>IF(H5644="","",ROW()-4)</f>
        <v/>
      </c>
    </row>
    <row r="5645">
      <c r="A5645" s="13">
        <f>IF(H5645="","",ROW()-4)</f>
        <v/>
      </c>
      <c r="B5645" s="13">
        <f>IF(H5645="","",ROW()-4)</f>
        <v/>
      </c>
    </row>
    <row r="5646">
      <c r="A5646" s="13">
        <f>IF(H5646="","",ROW()-4)</f>
        <v/>
      </c>
      <c r="B5646" s="13">
        <f>IF(H5646="","",ROW()-4)</f>
        <v/>
      </c>
    </row>
    <row r="5647">
      <c r="A5647" s="13">
        <f>IF(H5647="","",ROW()-4)</f>
        <v/>
      </c>
      <c r="B5647" s="13">
        <f>IF(H5647="","",ROW()-4)</f>
        <v/>
      </c>
    </row>
    <row r="5648">
      <c r="A5648" s="13">
        <f>IF(H5648="","",ROW()-4)</f>
        <v/>
      </c>
      <c r="B5648" s="13">
        <f>IF(H5648="","",ROW()-4)</f>
        <v/>
      </c>
    </row>
    <row r="5649">
      <c r="A5649" s="13">
        <f>IF(H5649="","",ROW()-4)</f>
        <v/>
      </c>
      <c r="B5649" s="13">
        <f>IF(H5649="","",ROW()-4)</f>
        <v/>
      </c>
    </row>
    <row r="5650">
      <c r="A5650" s="13">
        <f>IF(H5650="","",ROW()-4)</f>
        <v/>
      </c>
      <c r="B5650" s="13">
        <f>IF(H5650="","",ROW()-4)</f>
        <v/>
      </c>
    </row>
    <row r="5651">
      <c r="A5651" s="13">
        <f>IF(H5651="","",ROW()-4)</f>
        <v/>
      </c>
      <c r="B5651" s="13">
        <f>IF(H5651="","",ROW()-4)</f>
        <v/>
      </c>
    </row>
    <row r="5652">
      <c r="A5652" s="13">
        <f>IF(H5652="","",ROW()-4)</f>
        <v/>
      </c>
      <c r="B5652" s="13">
        <f>IF(H5652="","",ROW()-4)</f>
        <v/>
      </c>
    </row>
    <row r="5653">
      <c r="A5653" s="13">
        <f>IF(H5653="","",ROW()-4)</f>
        <v/>
      </c>
      <c r="B5653" s="13">
        <f>IF(H5653="","",ROW()-4)</f>
        <v/>
      </c>
    </row>
    <row r="5654">
      <c r="A5654" s="13">
        <f>IF(H5654="","",ROW()-4)</f>
        <v/>
      </c>
      <c r="B5654" s="13">
        <f>IF(H5654="","",ROW()-4)</f>
        <v/>
      </c>
    </row>
    <row r="5655">
      <c r="A5655" s="13">
        <f>IF(H5655="","",ROW()-4)</f>
        <v/>
      </c>
      <c r="B5655" s="13">
        <f>IF(H5655="","",ROW()-4)</f>
        <v/>
      </c>
    </row>
    <row r="5656">
      <c r="A5656" s="13">
        <f>IF(H5656="","",ROW()-4)</f>
        <v/>
      </c>
      <c r="B5656" s="13">
        <f>IF(H5656="","",ROW()-4)</f>
        <v/>
      </c>
    </row>
    <row r="5657">
      <c r="A5657" s="13">
        <f>IF(H5657="","",ROW()-4)</f>
        <v/>
      </c>
      <c r="B5657" s="13">
        <f>IF(H5657="","",ROW()-4)</f>
        <v/>
      </c>
    </row>
    <row r="5658">
      <c r="A5658" s="13">
        <f>IF(H5658="","",ROW()-4)</f>
        <v/>
      </c>
      <c r="B5658" s="13">
        <f>IF(H5658="","",ROW()-4)</f>
        <v/>
      </c>
    </row>
    <row r="5659">
      <c r="A5659" s="13">
        <f>IF(H5659="","",ROW()-4)</f>
        <v/>
      </c>
      <c r="B5659" s="13">
        <f>IF(H5659="","",ROW()-4)</f>
        <v/>
      </c>
    </row>
    <row r="5660">
      <c r="A5660" s="13">
        <f>IF(H5660="","",ROW()-4)</f>
        <v/>
      </c>
      <c r="B5660" s="13">
        <f>IF(H5660="","",ROW()-4)</f>
        <v/>
      </c>
    </row>
    <row r="5661">
      <c r="A5661" s="13">
        <f>IF(H5661="","",ROW()-4)</f>
        <v/>
      </c>
      <c r="B5661" s="13">
        <f>IF(H5661="","",ROW()-4)</f>
        <v/>
      </c>
    </row>
    <row r="5662">
      <c r="A5662" s="13">
        <f>IF(H5662="","",ROW()-4)</f>
        <v/>
      </c>
      <c r="B5662" s="13">
        <f>IF(H5662="","",ROW()-4)</f>
        <v/>
      </c>
    </row>
    <row r="5663">
      <c r="A5663" s="13">
        <f>IF(H5663="","",ROW()-4)</f>
        <v/>
      </c>
      <c r="B5663" s="13">
        <f>IF(H5663="","",ROW()-4)</f>
        <v/>
      </c>
    </row>
    <row r="5664">
      <c r="A5664" s="13">
        <f>IF(H5664="","",ROW()-4)</f>
        <v/>
      </c>
      <c r="B5664" s="13">
        <f>IF(H5664="","",ROW()-4)</f>
        <v/>
      </c>
    </row>
    <row r="5665">
      <c r="A5665" s="13">
        <f>IF(H5665="","",ROW()-4)</f>
        <v/>
      </c>
      <c r="B5665" s="13">
        <f>IF(H5665="","",ROW()-4)</f>
        <v/>
      </c>
    </row>
    <row r="5666">
      <c r="A5666" s="13">
        <f>IF(H5666="","",ROW()-4)</f>
        <v/>
      </c>
      <c r="B5666" s="13">
        <f>IF(H5666="","",ROW()-4)</f>
        <v/>
      </c>
    </row>
    <row r="5667">
      <c r="A5667" s="13">
        <f>IF(H5667="","",ROW()-4)</f>
        <v/>
      </c>
      <c r="B5667" s="13">
        <f>IF(H5667="","",ROW()-4)</f>
        <v/>
      </c>
    </row>
    <row r="5668">
      <c r="A5668" s="13">
        <f>IF(H5668="","",ROW()-4)</f>
        <v/>
      </c>
      <c r="B5668" s="13">
        <f>IF(H5668="","",ROW()-4)</f>
        <v/>
      </c>
    </row>
    <row r="5669">
      <c r="A5669" s="13">
        <f>IF(H5669="","",ROW()-4)</f>
        <v/>
      </c>
      <c r="B5669" s="13">
        <f>IF(H5669="","",ROW()-4)</f>
        <v/>
      </c>
    </row>
    <row r="5670">
      <c r="A5670" s="13">
        <f>IF(H5670="","",ROW()-4)</f>
        <v/>
      </c>
      <c r="B5670" s="13">
        <f>IF(H5670="","",ROW()-4)</f>
        <v/>
      </c>
    </row>
    <row r="5671">
      <c r="A5671" s="13">
        <f>IF(H5671="","",ROW()-4)</f>
        <v/>
      </c>
      <c r="B5671" s="13">
        <f>IF(H5671="","",ROW()-4)</f>
        <v/>
      </c>
    </row>
    <row r="5672">
      <c r="A5672" s="13">
        <f>IF(H5672="","",ROW()-4)</f>
        <v/>
      </c>
      <c r="B5672" s="13">
        <f>IF(H5672="","",ROW()-4)</f>
        <v/>
      </c>
    </row>
    <row r="5673">
      <c r="A5673" s="13">
        <f>IF(H5673="","",ROW()-4)</f>
        <v/>
      </c>
      <c r="B5673" s="13">
        <f>IF(H5673="","",ROW()-4)</f>
        <v/>
      </c>
    </row>
    <row r="5674">
      <c r="A5674" s="13">
        <f>IF(H5674="","",ROW()-4)</f>
        <v/>
      </c>
      <c r="B5674" s="13">
        <f>IF(H5674="","",ROW()-4)</f>
        <v/>
      </c>
    </row>
    <row r="5675">
      <c r="A5675" s="13">
        <f>IF(H5675="","",ROW()-4)</f>
        <v/>
      </c>
      <c r="B5675" s="13">
        <f>IF(H5675="","",ROW()-4)</f>
        <v/>
      </c>
    </row>
    <row r="5676">
      <c r="A5676" s="13">
        <f>IF(H5676="","",ROW()-4)</f>
        <v/>
      </c>
      <c r="B5676" s="13">
        <f>IF(H5676="","",ROW()-4)</f>
        <v/>
      </c>
    </row>
    <row r="5677">
      <c r="A5677" s="13">
        <f>IF(H5677="","",ROW()-4)</f>
        <v/>
      </c>
      <c r="B5677" s="13">
        <f>IF(H5677="","",ROW()-4)</f>
        <v/>
      </c>
    </row>
    <row r="5678">
      <c r="A5678" s="13">
        <f>IF(H5678="","",ROW()-4)</f>
        <v/>
      </c>
      <c r="B5678" s="13">
        <f>IF(H5678="","",ROW()-4)</f>
        <v/>
      </c>
    </row>
    <row r="5679">
      <c r="A5679" s="13">
        <f>IF(H5679="","",ROW()-4)</f>
        <v/>
      </c>
      <c r="B5679" s="13">
        <f>IF(H5679="","",ROW()-4)</f>
        <v/>
      </c>
    </row>
    <row r="5680">
      <c r="A5680" s="13">
        <f>IF(H5680="","",ROW()-4)</f>
        <v/>
      </c>
      <c r="B5680" s="13">
        <f>IF(H5680="","",ROW()-4)</f>
        <v/>
      </c>
    </row>
    <row r="5681">
      <c r="A5681" s="13">
        <f>IF(H5681="","",ROW()-4)</f>
        <v/>
      </c>
      <c r="B5681" s="13">
        <f>IF(H5681="","",ROW()-4)</f>
        <v/>
      </c>
    </row>
    <row r="5682">
      <c r="A5682" s="13">
        <f>IF(H5682="","",ROW()-4)</f>
        <v/>
      </c>
      <c r="B5682" s="13">
        <f>IF(H5682="","",ROW()-4)</f>
        <v/>
      </c>
    </row>
    <row r="5683">
      <c r="A5683" s="13">
        <f>IF(H5683="","",ROW()-4)</f>
        <v/>
      </c>
      <c r="B5683" s="13">
        <f>IF(H5683="","",ROW()-4)</f>
        <v/>
      </c>
    </row>
    <row r="5684">
      <c r="A5684" s="13">
        <f>IF(H5684="","",ROW()-4)</f>
        <v/>
      </c>
      <c r="B5684" s="13">
        <f>IF(H5684="","",ROW()-4)</f>
        <v/>
      </c>
    </row>
    <row r="5685">
      <c r="A5685" s="13">
        <f>IF(H5685="","",ROW()-4)</f>
        <v/>
      </c>
      <c r="B5685" s="13">
        <f>IF(H5685="","",ROW()-4)</f>
        <v/>
      </c>
    </row>
    <row r="5686">
      <c r="A5686" s="13">
        <f>IF(H5686="","",ROW()-4)</f>
        <v/>
      </c>
      <c r="B5686" s="13">
        <f>IF(H5686="","",ROW()-4)</f>
        <v/>
      </c>
    </row>
    <row r="5687">
      <c r="A5687" s="13">
        <f>IF(H5687="","",ROW()-4)</f>
        <v/>
      </c>
      <c r="B5687" s="13">
        <f>IF(H5687="","",ROW()-4)</f>
        <v/>
      </c>
    </row>
    <row r="5688">
      <c r="A5688" s="13">
        <f>IF(H5688="","",ROW()-4)</f>
        <v/>
      </c>
      <c r="B5688" s="13">
        <f>IF(H5688="","",ROW()-4)</f>
        <v/>
      </c>
    </row>
    <row r="5689">
      <c r="A5689" s="13">
        <f>IF(H5689="","",ROW()-4)</f>
        <v/>
      </c>
      <c r="B5689" s="13">
        <f>IF(H5689="","",ROW()-4)</f>
        <v/>
      </c>
    </row>
    <row r="5690">
      <c r="A5690" s="13">
        <f>IF(H5690="","",ROW()-4)</f>
        <v/>
      </c>
      <c r="B5690" s="13">
        <f>IF(H5690="","",ROW()-4)</f>
        <v/>
      </c>
    </row>
    <row r="5691">
      <c r="A5691" s="13">
        <f>IF(H5691="","",ROW()-4)</f>
        <v/>
      </c>
      <c r="B5691" s="13">
        <f>IF(H5691="","",ROW()-4)</f>
        <v/>
      </c>
    </row>
    <row r="5692">
      <c r="A5692" s="13">
        <f>IF(H5692="","",ROW()-4)</f>
        <v/>
      </c>
      <c r="B5692" s="13">
        <f>IF(H5692="","",ROW()-4)</f>
        <v/>
      </c>
    </row>
    <row r="5693">
      <c r="A5693" s="13">
        <f>IF(H5693="","",ROW()-4)</f>
        <v/>
      </c>
      <c r="B5693" s="13">
        <f>IF(H5693="","",ROW()-4)</f>
        <v/>
      </c>
    </row>
    <row r="5694">
      <c r="A5694" s="13">
        <f>IF(H5694="","",ROW()-4)</f>
        <v/>
      </c>
      <c r="B5694" s="13">
        <f>IF(H5694="","",ROW()-4)</f>
        <v/>
      </c>
    </row>
    <row r="5695">
      <c r="A5695" s="13">
        <f>IF(H5695="","",ROW()-4)</f>
        <v/>
      </c>
      <c r="B5695" s="13">
        <f>IF(H5695="","",ROW()-4)</f>
        <v/>
      </c>
    </row>
    <row r="5696">
      <c r="A5696" s="13">
        <f>IF(H5696="","",ROW()-4)</f>
        <v/>
      </c>
      <c r="B5696" s="13">
        <f>IF(H5696="","",ROW()-4)</f>
        <v/>
      </c>
    </row>
    <row r="5697">
      <c r="A5697" s="13">
        <f>IF(H5697="","",ROW()-4)</f>
        <v/>
      </c>
      <c r="B5697" s="13">
        <f>IF(H5697="","",ROW()-4)</f>
        <v/>
      </c>
    </row>
    <row r="5698">
      <c r="A5698" s="13">
        <f>IF(H5698="","",ROW()-4)</f>
        <v/>
      </c>
      <c r="B5698" s="13">
        <f>IF(H5698="","",ROW()-4)</f>
        <v/>
      </c>
    </row>
    <row r="5699">
      <c r="A5699" s="13">
        <f>IF(H5699="","",ROW()-4)</f>
        <v/>
      </c>
      <c r="B5699" s="13">
        <f>IF(H5699="","",ROW()-4)</f>
        <v/>
      </c>
    </row>
    <row r="5700">
      <c r="A5700" s="13">
        <f>IF(H5700="","",ROW()-4)</f>
        <v/>
      </c>
      <c r="B5700" s="13">
        <f>IF(H5700="","",ROW()-4)</f>
        <v/>
      </c>
    </row>
    <row r="5701">
      <c r="A5701" s="13">
        <f>IF(H5701="","",ROW()-4)</f>
        <v/>
      </c>
      <c r="B5701" s="13">
        <f>IF(H5701="","",ROW()-4)</f>
        <v/>
      </c>
    </row>
    <row r="5702">
      <c r="A5702" s="13">
        <f>IF(H5702="","",ROW()-4)</f>
        <v/>
      </c>
      <c r="B5702" s="13">
        <f>IF(H5702="","",ROW()-4)</f>
        <v/>
      </c>
    </row>
    <row r="5703">
      <c r="A5703" s="13">
        <f>IF(H5703="","",ROW()-4)</f>
        <v/>
      </c>
      <c r="B5703" s="13">
        <f>IF(H5703="","",ROW()-4)</f>
        <v/>
      </c>
    </row>
    <row r="5704">
      <c r="A5704" s="13">
        <f>IF(H5704="","",ROW()-4)</f>
        <v/>
      </c>
      <c r="B5704" s="13">
        <f>IF(H5704="","",ROW()-4)</f>
        <v/>
      </c>
    </row>
    <row r="5705">
      <c r="A5705" s="13">
        <f>IF(H5705="","",ROW()-4)</f>
        <v/>
      </c>
      <c r="B5705" s="13">
        <f>IF(H5705="","",ROW()-4)</f>
        <v/>
      </c>
    </row>
    <row r="5706">
      <c r="A5706" s="13">
        <f>IF(H5706="","",ROW()-4)</f>
        <v/>
      </c>
      <c r="B5706" s="13">
        <f>IF(H5706="","",ROW()-4)</f>
        <v/>
      </c>
    </row>
    <row r="5707">
      <c r="A5707" s="13">
        <f>IF(H5707="","",ROW()-4)</f>
        <v/>
      </c>
      <c r="B5707" s="13">
        <f>IF(H5707="","",ROW()-4)</f>
        <v/>
      </c>
    </row>
    <row r="5708">
      <c r="A5708" s="13">
        <f>IF(H5708="","",ROW()-4)</f>
        <v/>
      </c>
      <c r="B5708" s="13">
        <f>IF(H5708="","",ROW()-4)</f>
        <v/>
      </c>
    </row>
    <row r="5709">
      <c r="A5709" s="13">
        <f>IF(H5709="","",ROW()-4)</f>
        <v/>
      </c>
      <c r="B5709" s="13">
        <f>IF(H5709="","",ROW()-4)</f>
        <v/>
      </c>
    </row>
    <row r="5710">
      <c r="A5710" s="13">
        <f>IF(H5710="","",ROW()-4)</f>
        <v/>
      </c>
      <c r="B5710" s="13">
        <f>IF(H5710="","",ROW()-4)</f>
        <v/>
      </c>
    </row>
    <row r="5711">
      <c r="A5711" s="13">
        <f>IF(H5711="","",ROW()-4)</f>
        <v/>
      </c>
      <c r="B5711" s="13">
        <f>IF(H5711="","",ROW()-4)</f>
        <v/>
      </c>
    </row>
    <row r="5712">
      <c r="A5712" s="13">
        <f>IF(H5712="","",ROW()-4)</f>
        <v/>
      </c>
      <c r="B5712" s="13">
        <f>IF(H5712="","",ROW()-4)</f>
        <v/>
      </c>
    </row>
    <row r="5713">
      <c r="A5713" s="13">
        <f>IF(H5713="","",ROW()-4)</f>
        <v/>
      </c>
      <c r="B5713" s="13">
        <f>IF(H5713="","",ROW()-4)</f>
        <v/>
      </c>
    </row>
    <row r="5714">
      <c r="A5714" s="13">
        <f>IF(H5714="","",ROW()-4)</f>
        <v/>
      </c>
      <c r="B5714" s="13">
        <f>IF(H5714="","",ROW()-4)</f>
        <v/>
      </c>
    </row>
    <row r="5715">
      <c r="A5715" s="13">
        <f>IF(H5715="","",ROW()-4)</f>
        <v/>
      </c>
      <c r="B5715" s="13">
        <f>IF(H5715="","",ROW()-4)</f>
        <v/>
      </c>
    </row>
    <row r="5716">
      <c r="A5716" s="13">
        <f>IF(H5716="","",ROW()-4)</f>
        <v/>
      </c>
      <c r="B5716" s="13">
        <f>IF(H5716="","",ROW()-4)</f>
        <v/>
      </c>
    </row>
    <row r="5717">
      <c r="A5717" s="13">
        <f>IF(H5717="","",ROW()-4)</f>
        <v/>
      </c>
      <c r="B5717" s="13">
        <f>IF(H5717="","",ROW()-4)</f>
        <v/>
      </c>
    </row>
    <row r="5718">
      <c r="A5718" s="13">
        <f>IF(H5718="","",ROW()-4)</f>
        <v/>
      </c>
      <c r="B5718" s="13">
        <f>IF(H5718="","",ROW()-4)</f>
        <v/>
      </c>
    </row>
    <row r="5719">
      <c r="A5719" s="13">
        <f>IF(H5719="","",ROW()-4)</f>
        <v/>
      </c>
      <c r="B5719" s="13">
        <f>IF(H5719="","",ROW()-4)</f>
        <v/>
      </c>
    </row>
    <row r="5720">
      <c r="A5720" s="13">
        <f>IF(H5720="","",ROW()-4)</f>
        <v/>
      </c>
      <c r="B5720" s="13">
        <f>IF(H5720="","",ROW()-4)</f>
        <v/>
      </c>
    </row>
    <row r="5721">
      <c r="A5721" s="13">
        <f>IF(H5721="","",ROW()-4)</f>
        <v/>
      </c>
      <c r="B5721" s="13">
        <f>IF(H5721="","",ROW()-4)</f>
        <v/>
      </c>
    </row>
    <row r="5722">
      <c r="A5722" s="13">
        <f>IF(H5722="","",ROW()-4)</f>
        <v/>
      </c>
      <c r="B5722" s="13">
        <f>IF(H5722="","",ROW()-4)</f>
        <v/>
      </c>
    </row>
    <row r="5723">
      <c r="A5723" s="13">
        <f>IF(H5723="","",ROW()-4)</f>
        <v/>
      </c>
      <c r="B5723" s="13">
        <f>IF(H5723="","",ROW()-4)</f>
        <v/>
      </c>
    </row>
    <row r="5724">
      <c r="A5724" s="13">
        <f>IF(H5724="","",ROW()-4)</f>
        <v/>
      </c>
      <c r="B5724" s="13">
        <f>IF(H5724="","",ROW()-4)</f>
        <v/>
      </c>
    </row>
    <row r="5725">
      <c r="A5725" s="13">
        <f>IF(H5725="","",ROW()-4)</f>
        <v/>
      </c>
      <c r="B5725" s="13">
        <f>IF(H5725="","",ROW()-4)</f>
        <v/>
      </c>
    </row>
    <row r="5726">
      <c r="A5726" s="13">
        <f>IF(H5726="","",ROW()-4)</f>
        <v/>
      </c>
      <c r="B5726" s="13">
        <f>IF(H5726="","",ROW()-4)</f>
        <v/>
      </c>
    </row>
    <row r="5727">
      <c r="A5727" s="13">
        <f>IF(H5727="","",ROW()-4)</f>
        <v/>
      </c>
      <c r="B5727" s="13">
        <f>IF(H5727="","",ROW()-4)</f>
        <v/>
      </c>
    </row>
    <row r="5728">
      <c r="A5728" s="13">
        <f>IF(H5728="","",ROW()-4)</f>
        <v/>
      </c>
      <c r="B5728" s="13">
        <f>IF(H5728="","",ROW()-4)</f>
        <v/>
      </c>
    </row>
    <row r="5729">
      <c r="A5729" s="13">
        <f>IF(H5729="","",ROW()-4)</f>
        <v/>
      </c>
      <c r="B5729" s="13">
        <f>IF(H5729="","",ROW()-4)</f>
        <v/>
      </c>
    </row>
    <row r="5730">
      <c r="A5730" s="13">
        <f>IF(H5730="","",ROW()-4)</f>
        <v/>
      </c>
      <c r="B5730" s="13">
        <f>IF(H5730="","",ROW()-4)</f>
        <v/>
      </c>
    </row>
    <row r="5731">
      <c r="A5731" s="13">
        <f>IF(H5731="","",ROW()-4)</f>
        <v/>
      </c>
      <c r="B5731" s="13">
        <f>IF(H5731="","",ROW()-4)</f>
        <v/>
      </c>
    </row>
    <row r="5732">
      <c r="A5732" s="13">
        <f>IF(H5732="","",ROW()-4)</f>
        <v/>
      </c>
      <c r="B5732" s="13">
        <f>IF(H5732="","",ROW()-4)</f>
        <v/>
      </c>
    </row>
    <row r="5733">
      <c r="A5733" s="13">
        <f>IF(H5733="","",ROW()-4)</f>
        <v/>
      </c>
      <c r="B5733" s="13">
        <f>IF(H5733="","",ROW()-4)</f>
        <v/>
      </c>
    </row>
    <row r="5734">
      <c r="A5734" s="13">
        <f>IF(H5734="","",ROW()-4)</f>
        <v/>
      </c>
      <c r="B5734" s="13">
        <f>IF(H5734="","",ROW()-4)</f>
        <v/>
      </c>
    </row>
    <row r="5735">
      <c r="A5735" s="13">
        <f>IF(H5735="","",ROW()-4)</f>
        <v/>
      </c>
      <c r="B5735" s="13">
        <f>IF(H5735="","",ROW()-4)</f>
        <v/>
      </c>
    </row>
    <row r="5736">
      <c r="A5736" s="13">
        <f>IF(H5736="","",ROW()-4)</f>
        <v/>
      </c>
      <c r="B5736" s="13">
        <f>IF(H5736="","",ROW()-4)</f>
        <v/>
      </c>
    </row>
    <row r="5737">
      <c r="A5737" s="13">
        <f>IF(H5737="","",ROW()-4)</f>
        <v/>
      </c>
      <c r="B5737" s="13">
        <f>IF(H5737="","",ROW()-4)</f>
        <v/>
      </c>
    </row>
    <row r="5738">
      <c r="A5738" s="13">
        <f>IF(H5738="","",ROW()-4)</f>
        <v/>
      </c>
      <c r="B5738" s="13">
        <f>IF(H5738="","",ROW()-4)</f>
        <v/>
      </c>
    </row>
    <row r="5739">
      <c r="A5739" s="13">
        <f>IF(H5739="","",ROW()-4)</f>
        <v/>
      </c>
      <c r="B5739" s="13">
        <f>IF(H5739="","",ROW()-4)</f>
        <v/>
      </c>
    </row>
    <row r="5740">
      <c r="A5740" s="13">
        <f>IF(H5740="","",ROW()-4)</f>
        <v/>
      </c>
      <c r="B5740" s="13">
        <f>IF(H5740="","",ROW()-4)</f>
        <v/>
      </c>
    </row>
    <row r="5741">
      <c r="A5741" s="13">
        <f>IF(H5741="","",ROW()-4)</f>
        <v/>
      </c>
      <c r="B5741" s="13">
        <f>IF(H5741="","",ROW()-4)</f>
        <v/>
      </c>
    </row>
    <row r="5742">
      <c r="A5742" s="13">
        <f>IF(H5742="","",ROW()-4)</f>
        <v/>
      </c>
      <c r="B5742" s="13">
        <f>IF(H5742="","",ROW()-4)</f>
        <v/>
      </c>
    </row>
    <row r="5743">
      <c r="A5743" s="13">
        <f>IF(H5743="","",ROW()-4)</f>
        <v/>
      </c>
      <c r="B5743" s="13">
        <f>IF(H5743="","",ROW()-4)</f>
        <v/>
      </c>
    </row>
    <row r="5744">
      <c r="A5744" s="13">
        <f>IF(H5744="","",ROW()-4)</f>
        <v/>
      </c>
      <c r="B5744" s="13">
        <f>IF(H5744="","",ROW()-4)</f>
        <v/>
      </c>
    </row>
    <row r="5745">
      <c r="A5745" s="13">
        <f>IF(H5745="","",ROW()-4)</f>
        <v/>
      </c>
      <c r="B5745" s="13">
        <f>IF(H5745="","",ROW()-4)</f>
        <v/>
      </c>
    </row>
    <row r="5746">
      <c r="A5746" s="13">
        <f>IF(H5746="","",ROW()-4)</f>
        <v/>
      </c>
      <c r="B5746" s="13">
        <f>IF(H5746="","",ROW()-4)</f>
        <v/>
      </c>
    </row>
    <row r="5747">
      <c r="A5747" s="13">
        <f>IF(H5747="","",ROW()-4)</f>
        <v/>
      </c>
      <c r="B5747" s="13">
        <f>IF(H5747="","",ROW()-4)</f>
        <v/>
      </c>
    </row>
    <row r="5748">
      <c r="A5748" s="13">
        <f>IF(H5748="","",ROW()-4)</f>
        <v/>
      </c>
      <c r="B5748" s="13">
        <f>IF(H5748="","",ROW()-4)</f>
        <v/>
      </c>
    </row>
    <row r="5749">
      <c r="A5749" s="13">
        <f>IF(H5749="","",ROW()-4)</f>
        <v/>
      </c>
      <c r="B5749" s="13">
        <f>IF(H5749="","",ROW()-4)</f>
        <v/>
      </c>
    </row>
    <row r="5750">
      <c r="A5750" s="13">
        <f>IF(H5750="","",ROW()-4)</f>
        <v/>
      </c>
      <c r="B5750" s="13">
        <f>IF(H5750="","",ROW()-4)</f>
        <v/>
      </c>
    </row>
    <row r="5751">
      <c r="A5751" s="13">
        <f>IF(H5751="","",ROW()-4)</f>
        <v/>
      </c>
      <c r="B5751" s="13">
        <f>IF(H5751="","",ROW()-4)</f>
        <v/>
      </c>
    </row>
    <row r="5752">
      <c r="A5752" s="13">
        <f>IF(H5752="","",ROW()-4)</f>
        <v/>
      </c>
      <c r="B5752" s="13">
        <f>IF(H5752="","",ROW()-4)</f>
        <v/>
      </c>
    </row>
    <row r="5753">
      <c r="A5753" s="13">
        <f>IF(H5753="","",ROW()-4)</f>
        <v/>
      </c>
      <c r="B5753" s="13">
        <f>IF(H5753="","",ROW()-4)</f>
        <v/>
      </c>
    </row>
    <row r="5754">
      <c r="A5754" s="13">
        <f>IF(H5754="","",ROW()-4)</f>
        <v/>
      </c>
      <c r="B5754" s="13">
        <f>IF(H5754="","",ROW()-4)</f>
        <v/>
      </c>
    </row>
    <row r="5755">
      <c r="A5755" s="13">
        <f>IF(H5755="","",ROW()-4)</f>
        <v/>
      </c>
      <c r="B5755" s="13">
        <f>IF(H5755="","",ROW()-4)</f>
        <v/>
      </c>
    </row>
    <row r="5756">
      <c r="A5756" s="13">
        <f>IF(H5756="","",ROW()-4)</f>
        <v/>
      </c>
      <c r="B5756" s="13">
        <f>IF(H5756="","",ROW()-4)</f>
        <v/>
      </c>
    </row>
    <row r="5757">
      <c r="A5757" s="13">
        <f>IF(H5757="","",ROW()-4)</f>
        <v/>
      </c>
      <c r="B5757" s="13">
        <f>IF(H5757="","",ROW()-4)</f>
        <v/>
      </c>
    </row>
    <row r="5758">
      <c r="A5758" s="13">
        <f>IF(H5758="","",ROW()-4)</f>
        <v/>
      </c>
      <c r="B5758" s="13">
        <f>IF(H5758="","",ROW()-4)</f>
        <v/>
      </c>
    </row>
    <row r="5759">
      <c r="A5759" s="13">
        <f>IF(H5759="","",ROW()-4)</f>
        <v/>
      </c>
      <c r="B5759" s="13">
        <f>IF(H5759="","",ROW()-4)</f>
        <v/>
      </c>
    </row>
    <row r="5760">
      <c r="A5760" s="13">
        <f>IF(H5760="","",ROW()-4)</f>
        <v/>
      </c>
      <c r="B5760" s="13">
        <f>IF(H5760="","",ROW()-4)</f>
        <v/>
      </c>
    </row>
    <row r="5761">
      <c r="A5761" s="13">
        <f>IF(H5761="","",ROW()-4)</f>
        <v/>
      </c>
      <c r="B5761" s="13">
        <f>IF(H5761="","",ROW()-4)</f>
        <v/>
      </c>
    </row>
    <row r="5762">
      <c r="A5762" s="13">
        <f>IF(H5762="","",ROW()-4)</f>
        <v/>
      </c>
      <c r="B5762" s="13">
        <f>IF(H5762="","",ROW()-4)</f>
        <v/>
      </c>
    </row>
    <row r="5763">
      <c r="A5763" s="13">
        <f>IF(H5763="","",ROW()-4)</f>
        <v/>
      </c>
      <c r="B5763" s="13">
        <f>IF(H5763="","",ROW()-4)</f>
        <v/>
      </c>
    </row>
    <row r="5764">
      <c r="A5764" s="13">
        <f>IF(H5764="","",ROW()-4)</f>
        <v/>
      </c>
      <c r="B5764" s="13">
        <f>IF(H5764="","",ROW()-4)</f>
        <v/>
      </c>
    </row>
    <row r="5765">
      <c r="A5765" s="13">
        <f>IF(H5765="","",ROW()-4)</f>
        <v/>
      </c>
      <c r="B5765" s="13">
        <f>IF(H5765="","",ROW()-4)</f>
        <v/>
      </c>
    </row>
    <row r="5766">
      <c r="A5766" s="13">
        <f>IF(H5766="","",ROW()-4)</f>
        <v/>
      </c>
      <c r="B5766" s="13">
        <f>IF(H5766="","",ROW()-4)</f>
        <v/>
      </c>
    </row>
    <row r="5767">
      <c r="A5767" s="13">
        <f>IF(H5767="","",ROW()-4)</f>
        <v/>
      </c>
      <c r="B5767" s="13">
        <f>IF(H5767="","",ROW()-4)</f>
        <v/>
      </c>
    </row>
    <row r="5768">
      <c r="A5768" s="13">
        <f>IF(H5768="","",ROW()-4)</f>
        <v/>
      </c>
      <c r="B5768" s="13">
        <f>IF(H5768="","",ROW()-4)</f>
        <v/>
      </c>
    </row>
    <row r="5769">
      <c r="A5769" s="13">
        <f>IF(H5769="","",ROW()-4)</f>
        <v/>
      </c>
      <c r="B5769" s="13">
        <f>IF(H5769="","",ROW()-4)</f>
        <v/>
      </c>
    </row>
    <row r="5770">
      <c r="A5770" s="13">
        <f>IF(H5770="","",ROW()-4)</f>
        <v/>
      </c>
      <c r="B5770" s="13">
        <f>IF(H5770="","",ROW()-4)</f>
        <v/>
      </c>
    </row>
    <row r="5771">
      <c r="A5771" s="13">
        <f>IF(H5771="","",ROW()-4)</f>
        <v/>
      </c>
      <c r="B5771" s="13">
        <f>IF(H5771="","",ROW()-4)</f>
        <v/>
      </c>
    </row>
    <row r="5772">
      <c r="A5772" s="13">
        <f>IF(H5772="","",ROW()-4)</f>
        <v/>
      </c>
      <c r="B5772" s="13">
        <f>IF(H5772="","",ROW()-4)</f>
        <v/>
      </c>
    </row>
    <row r="5773">
      <c r="A5773" s="13">
        <f>IF(H5773="","",ROW()-4)</f>
        <v/>
      </c>
      <c r="B5773" s="13">
        <f>IF(H5773="","",ROW()-4)</f>
        <v/>
      </c>
    </row>
    <row r="5774">
      <c r="A5774" s="13">
        <f>IF(H5774="","",ROW()-4)</f>
        <v/>
      </c>
      <c r="B5774" s="13">
        <f>IF(H5774="","",ROW()-4)</f>
        <v/>
      </c>
    </row>
    <row r="5775">
      <c r="A5775" s="13">
        <f>IF(H5775="","",ROW()-4)</f>
        <v/>
      </c>
      <c r="B5775" s="13">
        <f>IF(H5775="","",ROW()-4)</f>
        <v/>
      </c>
    </row>
    <row r="5776">
      <c r="A5776" s="13">
        <f>IF(H5776="","",ROW()-4)</f>
        <v/>
      </c>
      <c r="B5776" s="13">
        <f>IF(H5776="","",ROW()-4)</f>
        <v/>
      </c>
    </row>
    <row r="5777">
      <c r="A5777" s="13">
        <f>IF(H5777="","",ROW()-4)</f>
        <v/>
      </c>
      <c r="B5777" s="13">
        <f>IF(H5777="","",ROW()-4)</f>
        <v/>
      </c>
    </row>
    <row r="5778">
      <c r="A5778" s="13">
        <f>IF(H5778="","",ROW()-4)</f>
        <v/>
      </c>
      <c r="B5778" s="13">
        <f>IF(H5778="","",ROW()-4)</f>
        <v/>
      </c>
    </row>
    <row r="5779">
      <c r="A5779" s="13">
        <f>IF(H5779="","",ROW()-4)</f>
        <v/>
      </c>
      <c r="B5779" s="13">
        <f>IF(H5779="","",ROW()-4)</f>
        <v/>
      </c>
    </row>
    <row r="5780">
      <c r="A5780" s="13">
        <f>IF(H5780="","",ROW()-4)</f>
        <v/>
      </c>
      <c r="B5780" s="13">
        <f>IF(H5780="","",ROW()-4)</f>
        <v/>
      </c>
    </row>
    <row r="5781">
      <c r="A5781" s="13">
        <f>IF(H5781="","",ROW()-4)</f>
        <v/>
      </c>
      <c r="B5781" s="13">
        <f>IF(H5781="","",ROW()-4)</f>
        <v/>
      </c>
    </row>
    <row r="5782">
      <c r="A5782" s="13">
        <f>IF(H5782="","",ROW()-4)</f>
        <v/>
      </c>
      <c r="B5782" s="13">
        <f>IF(H5782="","",ROW()-4)</f>
        <v/>
      </c>
    </row>
    <row r="5783">
      <c r="A5783" s="13">
        <f>IF(H5783="","",ROW()-4)</f>
        <v/>
      </c>
      <c r="B5783" s="13">
        <f>IF(H5783="","",ROW()-4)</f>
        <v/>
      </c>
    </row>
    <row r="5784">
      <c r="A5784" s="13">
        <f>IF(H5784="","",ROW()-4)</f>
        <v/>
      </c>
      <c r="B5784" s="13">
        <f>IF(H5784="","",ROW()-4)</f>
        <v/>
      </c>
    </row>
    <row r="5785">
      <c r="A5785" s="13">
        <f>IF(H5785="","",ROW()-4)</f>
        <v/>
      </c>
      <c r="B5785" s="13">
        <f>IF(H5785="","",ROW()-4)</f>
        <v/>
      </c>
    </row>
    <row r="5786">
      <c r="A5786" s="13">
        <f>IF(H5786="","",ROW()-4)</f>
        <v/>
      </c>
      <c r="B5786" s="13">
        <f>IF(H5786="","",ROW()-4)</f>
        <v/>
      </c>
    </row>
    <row r="5787">
      <c r="A5787" s="13">
        <f>IF(H5787="","",ROW()-4)</f>
        <v/>
      </c>
      <c r="B5787" s="13">
        <f>IF(H5787="","",ROW()-4)</f>
        <v/>
      </c>
    </row>
    <row r="5788">
      <c r="A5788" s="13">
        <f>IF(H5788="","",ROW()-4)</f>
        <v/>
      </c>
      <c r="B5788" s="13">
        <f>IF(H5788="","",ROW()-4)</f>
        <v/>
      </c>
    </row>
    <row r="5789">
      <c r="A5789" s="13">
        <f>IF(H5789="","",ROW()-4)</f>
        <v/>
      </c>
      <c r="B5789" s="13">
        <f>IF(H5789="","",ROW()-4)</f>
        <v/>
      </c>
    </row>
    <row r="5790">
      <c r="A5790" s="13">
        <f>IF(H5790="","",ROW()-4)</f>
        <v/>
      </c>
      <c r="B5790" s="13">
        <f>IF(H5790="","",ROW()-4)</f>
        <v/>
      </c>
    </row>
    <row r="5791">
      <c r="A5791" s="13">
        <f>IF(H5791="","",ROW()-4)</f>
        <v/>
      </c>
      <c r="B5791" s="13">
        <f>IF(H5791="","",ROW()-4)</f>
        <v/>
      </c>
    </row>
    <row r="5792">
      <c r="A5792" s="13">
        <f>IF(H5792="","",ROW()-4)</f>
        <v/>
      </c>
      <c r="B5792" s="13">
        <f>IF(H5792="","",ROW()-4)</f>
        <v/>
      </c>
    </row>
    <row r="5793">
      <c r="A5793" s="13">
        <f>IF(H5793="","",ROW()-4)</f>
        <v/>
      </c>
      <c r="B5793" s="13">
        <f>IF(H5793="","",ROW()-4)</f>
        <v/>
      </c>
    </row>
    <row r="5794">
      <c r="A5794" s="13">
        <f>IF(H5794="","",ROW()-4)</f>
        <v/>
      </c>
      <c r="B5794" s="13">
        <f>IF(H5794="","",ROW()-4)</f>
        <v/>
      </c>
    </row>
    <row r="5795">
      <c r="A5795" s="13">
        <f>IF(H5795="","",ROW()-4)</f>
        <v/>
      </c>
      <c r="B5795" s="13">
        <f>IF(H5795="","",ROW()-4)</f>
        <v/>
      </c>
    </row>
    <row r="5796">
      <c r="A5796" s="13">
        <f>IF(H5796="","",ROW()-4)</f>
        <v/>
      </c>
      <c r="B5796" s="13">
        <f>IF(H5796="","",ROW()-4)</f>
        <v/>
      </c>
    </row>
    <row r="5797">
      <c r="A5797" s="13">
        <f>IF(H5797="","",ROW()-4)</f>
        <v/>
      </c>
      <c r="B5797" s="13">
        <f>IF(H5797="","",ROW()-4)</f>
        <v/>
      </c>
    </row>
    <row r="5798">
      <c r="A5798" s="13">
        <f>IF(H5798="","",ROW()-4)</f>
        <v/>
      </c>
      <c r="B5798" s="13">
        <f>IF(H5798="","",ROW()-4)</f>
        <v/>
      </c>
    </row>
    <row r="5799">
      <c r="A5799" s="13">
        <f>IF(H5799="","",ROW()-4)</f>
        <v/>
      </c>
      <c r="B5799" s="13">
        <f>IF(H5799="","",ROW()-4)</f>
        <v/>
      </c>
    </row>
    <row r="5800">
      <c r="A5800" s="13">
        <f>IF(H5800="","",ROW()-4)</f>
        <v/>
      </c>
      <c r="B5800" s="13">
        <f>IF(H5800="","",ROW()-4)</f>
        <v/>
      </c>
    </row>
    <row r="5801">
      <c r="A5801" s="13">
        <f>IF(H5801="","",ROW()-4)</f>
        <v/>
      </c>
      <c r="B5801" s="13">
        <f>IF(H5801="","",ROW()-4)</f>
        <v/>
      </c>
    </row>
    <row r="5802">
      <c r="A5802" s="13">
        <f>IF(H5802="","",ROW()-4)</f>
        <v/>
      </c>
      <c r="B5802" s="13">
        <f>IF(H5802="","",ROW()-4)</f>
        <v/>
      </c>
    </row>
    <row r="5803">
      <c r="A5803" s="13">
        <f>IF(H5803="","",ROW()-4)</f>
        <v/>
      </c>
      <c r="B5803" s="13">
        <f>IF(H5803="","",ROW()-4)</f>
        <v/>
      </c>
    </row>
    <row r="5804">
      <c r="A5804" s="13">
        <f>IF(H5804="","",ROW()-4)</f>
        <v/>
      </c>
      <c r="B5804" s="13">
        <f>IF(H5804="","",ROW()-4)</f>
        <v/>
      </c>
    </row>
    <row r="5805">
      <c r="A5805" s="13">
        <f>IF(H5805="","",ROW()-4)</f>
        <v/>
      </c>
      <c r="B5805" s="13">
        <f>IF(H5805="","",ROW()-4)</f>
        <v/>
      </c>
    </row>
    <row r="5806">
      <c r="A5806" s="13">
        <f>IF(H5806="","",ROW()-4)</f>
        <v/>
      </c>
      <c r="B5806" s="13">
        <f>IF(H5806="","",ROW()-4)</f>
        <v/>
      </c>
    </row>
    <row r="5807">
      <c r="A5807" s="13">
        <f>IF(H5807="","",ROW()-4)</f>
        <v/>
      </c>
      <c r="B5807" s="13">
        <f>IF(H5807="","",ROW()-4)</f>
        <v/>
      </c>
    </row>
    <row r="5808">
      <c r="A5808" s="13">
        <f>IF(H5808="","",ROW()-4)</f>
        <v/>
      </c>
      <c r="B5808" s="13">
        <f>IF(H5808="","",ROW()-4)</f>
        <v/>
      </c>
    </row>
    <row r="5809">
      <c r="A5809" s="13">
        <f>IF(H5809="","",ROW()-4)</f>
        <v/>
      </c>
      <c r="B5809" s="13">
        <f>IF(H5809="","",ROW()-4)</f>
        <v/>
      </c>
    </row>
    <row r="5810">
      <c r="A5810" s="13">
        <f>IF(H5810="","",ROW()-4)</f>
        <v/>
      </c>
      <c r="B5810" s="13">
        <f>IF(H5810="","",ROW()-4)</f>
        <v/>
      </c>
    </row>
    <row r="5811">
      <c r="A5811" s="13">
        <f>IF(H5811="","",ROW()-4)</f>
        <v/>
      </c>
      <c r="B5811" s="13">
        <f>IF(H5811="","",ROW()-4)</f>
        <v/>
      </c>
    </row>
    <row r="5812">
      <c r="A5812" s="13">
        <f>IF(H5812="","",ROW()-4)</f>
        <v/>
      </c>
      <c r="B5812" s="13">
        <f>IF(H5812="","",ROW()-4)</f>
        <v/>
      </c>
    </row>
    <row r="5813">
      <c r="A5813" s="13">
        <f>IF(H5813="","",ROW()-4)</f>
        <v/>
      </c>
      <c r="B5813" s="13">
        <f>IF(H5813="","",ROW()-4)</f>
        <v/>
      </c>
    </row>
    <row r="5814">
      <c r="A5814" s="13">
        <f>IF(H5814="","",ROW()-4)</f>
        <v/>
      </c>
      <c r="B5814" s="13">
        <f>IF(H5814="","",ROW()-4)</f>
        <v/>
      </c>
    </row>
    <row r="5815">
      <c r="A5815" s="13">
        <f>IF(H5815="","",ROW()-4)</f>
        <v/>
      </c>
      <c r="B5815" s="13">
        <f>IF(H5815="","",ROW()-4)</f>
        <v/>
      </c>
    </row>
    <row r="5816">
      <c r="A5816" s="13">
        <f>IF(H5816="","",ROW()-4)</f>
        <v/>
      </c>
      <c r="B5816" s="13">
        <f>IF(H5816="","",ROW()-4)</f>
        <v/>
      </c>
    </row>
    <row r="5817">
      <c r="A5817" s="13">
        <f>IF(H5817="","",ROW()-4)</f>
        <v/>
      </c>
      <c r="B5817" s="13">
        <f>IF(H5817="","",ROW()-4)</f>
        <v/>
      </c>
    </row>
    <row r="5818">
      <c r="A5818" s="13">
        <f>IF(H5818="","",ROW()-4)</f>
        <v/>
      </c>
      <c r="B5818" s="13">
        <f>IF(H5818="","",ROW()-4)</f>
        <v/>
      </c>
    </row>
    <row r="5819">
      <c r="A5819" s="13">
        <f>IF(H5819="","",ROW()-4)</f>
        <v/>
      </c>
      <c r="B5819" s="13">
        <f>IF(H5819="","",ROW()-4)</f>
        <v/>
      </c>
    </row>
    <row r="5820">
      <c r="A5820" s="13">
        <f>IF(H5820="","",ROW()-4)</f>
        <v/>
      </c>
      <c r="B5820" s="13">
        <f>IF(H5820="","",ROW()-4)</f>
        <v/>
      </c>
    </row>
    <row r="5821">
      <c r="A5821" s="13">
        <f>IF(H5821="","",ROW()-4)</f>
        <v/>
      </c>
      <c r="B5821" s="13">
        <f>IF(H5821="","",ROW()-4)</f>
        <v/>
      </c>
    </row>
    <row r="5822">
      <c r="A5822" s="13">
        <f>IF(H5822="","",ROW()-4)</f>
        <v/>
      </c>
      <c r="B5822" s="13">
        <f>IF(H5822="","",ROW()-4)</f>
        <v/>
      </c>
    </row>
    <row r="5823">
      <c r="A5823" s="13">
        <f>IF(H5823="","",ROW()-4)</f>
        <v/>
      </c>
      <c r="B5823" s="13">
        <f>IF(H5823="","",ROW()-4)</f>
        <v/>
      </c>
    </row>
    <row r="5824">
      <c r="A5824" s="13">
        <f>IF(H5824="","",ROW()-4)</f>
        <v/>
      </c>
      <c r="B5824" s="13">
        <f>IF(H5824="","",ROW()-4)</f>
        <v/>
      </c>
    </row>
    <row r="5825">
      <c r="A5825" s="13">
        <f>IF(H5825="","",ROW()-4)</f>
        <v/>
      </c>
      <c r="B5825" s="13">
        <f>IF(H5825="","",ROW()-4)</f>
        <v/>
      </c>
    </row>
    <row r="5826">
      <c r="A5826" s="13">
        <f>IF(H5826="","",ROW()-4)</f>
        <v/>
      </c>
      <c r="B5826" s="13">
        <f>IF(H5826="","",ROW()-4)</f>
        <v/>
      </c>
    </row>
    <row r="5827">
      <c r="A5827" s="13">
        <f>IF(H5827="","",ROW()-4)</f>
        <v/>
      </c>
      <c r="B5827" s="13">
        <f>IF(H5827="","",ROW()-4)</f>
        <v/>
      </c>
    </row>
    <row r="5828">
      <c r="A5828" s="13">
        <f>IF(H5828="","",ROW()-4)</f>
        <v/>
      </c>
      <c r="B5828" s="13">
        <f>IF(H5828="","",ROW()-4)</f>
        <v/>
      </c>
    </row>
    <row r="5829">
      <c r="A5829" s="13">
        <f>IF(H5829="","",ROW()-4)</f>
        <v/>
      </c>
      <c r="B5829" s="13">
        <f>IF(H5829="","",ROW()-4)</f>
        <v/>
      </c>
    </row>
    <row r="5830">
      <c r="A5830" s="13">
        <f>IF(H5830="","",ROW()-4)</f>
        <v/>
      </c>
      <c r="B5830" s="13">
        <f>IF(H5830="","",ROW()-4)</f>
        <v/>
      </c>
    </row>
    <row r="5831">
      <c r="A5831" s="13">
        <f>IF(H5831="","",ROW()-4)</f>
        <v/>
      </c>
      <c r="B5831" s="13">
        <f>IF(H5831="","",ROW()-4)</f>
        <v/>
      </c>
    </row>
    <row r="5832">
      <c r="A5832" s="13">
        <f>IF(H5832="","",ROW()-4)</f>
        <v/>
      </c>
      <c r="B5832" s="13">
        <f>IF(H5832="","",ROW()-4)</f>
        <v/>
      </c>
    </row>
    <row r="5833">
      <c r="A5833" s="13">
        <f>IF(H5833="","",ROW()-4)</f>
        <v/>
      </c>
      <c r="B5833" s="13">
        <f>IF(H5833="","",ROW()-4)</f>
        <v/>
      </c>
    </row>
    <row r="5834">
      <c r="A5834" s="13">
        <f>IF(H5834="","",ROW()-4)</f>
        <v/>
      </c>
      <c r="B5834" s="13">
        <f>IF(H5834="","",ROW()-4)</f>
        <v/>
      </c>
    </row>
    <row r="5835">
      <c r="A5835" s="13">
        <f>IF(H5835="","",ROW()-4)</f>
        <v/>
      </c>
      <c r="B5835" s="13">
        <f>IF(H5835="","",ROW()-4)</f>
        <v/>
      </c>
    </row>
    <row r="5836">
      <c r="A5836" s="13">
        <f>IF(H5836="","",ROW()-4)</f>
        <v/>
      </c>
      <c r="B5836" s="13">
        <f>IF(H5836="","",ROW()-4)</f>
        <v/>
      </c>
    </row>
    <row r="5837">
      <c r="A5837" s="13">
        <f>IF(H5837="","",ROW()-4)</f>
        <v/>
      </c>
      <c r="B5837" s="13">
        <f>IF(H5837="","",ROW()-4)</f>
        <v/>
      </c>
    </row>
    <row r="5838">
      <c r="A5838" s="13">
        <f>IF(H5838="","",ROW()-4)</f>
        <v/>
      </c>
      <c r="B5838" s="13">
        <f>IF(H5838="","",ROW()-4)</f>
        <v/>
      </c>
    </row>
    <row r="5839">
      <c r="A5839" s="13">
        <f>IF(H5839="","",ROW()-4)</f>
        <v/>
      </c>
      <c r="B5839" s="13">
        <f>IF(H5839="","",ROW()-4)</f>
        <v/>
      </c>
    </row>
    <row r="5840">
      <c r="A5840" s="13">
        <f>IF(H5840="","",ROW()-4)</f>
        <v/>
      </c>
      <c r="B5840" s="13">
        <f>IF(H5840="","",ROW()-4)</f>
        <v/>
      </c>
    </row>
    <row r="5841">
      <c r="A5841" s="13">
        <f>IF(H5841="","",ROW()-4)</f>
        <v/>
      </c>
      <c r="B5841" s="13">
        <f>IF(H5841="","",ROW()-4)</f>
        <v/>
      </c>
    </row>
    <row r="5842">
      <c r="A5842" s="13">
        <f>IF(H5842="","",ROW()-4)</f>
        <v/>
      </c>
      <c r="B5842" s="13">
        <f>IF(H5842="","",ROW()-4)</f>
        <v/>
      </c>
    </row>
    <row r="5843">
      <c r="A5843" s="13">
        <f>IF(H5843="","",ROW()-4)</f>
        <v/>
      </c>
      <c r="B5843" s="13">
        <f>IF(H5843="","",ROW()-4)</f>
        <v/>
      </c>
    </row>
    <row r="5844">
      <c r="A5844" s="13">
        <f>IF(H5844="","",ROW()-4)</f>
        <v/>
      </c>
      <c r="B5844" s="13">
        <f>IF(H5844="","",ROW()-4)</f>
        <v/>
      </c>
    </row>
    <row r="5845">
      <c r="A5845" s="13">
        <f>IF(H5845="","",ROW()-4)</f>
        <v/>
      </c>
      <c r="B5845" s="13">
        <f>IF(H5845="","",ROW()-4)</f>
        <v/>
      </c>
    </row>
    <row r="5846">
      <c r="A5846" s="13">
        <f>IF(H5846="","",ROW()-4)</f>
        <v/>
      </c>
      <c r="B5846" s="13">
        <f>IF(H5846="","",ROW()-4)</f>
        <v/>
      </c>
    </row>
    <row r="5847">
      <c r="A5847" s="13">
        <f>IF(H5847="","",ROW()-4)</f>
        <v/>
      </c>
      <c r="B5847" s="13">
        <f>IF(H5847="","",ROW()-4)</f>
        <v/>
      </c>
    </row>
    <row r="5848">
      <c r="A5848" s="13">
        <f>IF(H5848="","",ROW()-4)</f>
        <v/>
      </c>
      <c r="B5848" s="13">
        <f>IF(H5848="","",ROW()-4)</f>
        <v/>
      </c>
    </row>
    <row r="5849">
      <c r="A5849" s="13">
        <f>IF(H5849="","",ROW()-4)</f>
        <v/>
      </c>
      <c r="B5849" s="13">
        <f>IF(H5849="","",ROW()-4)</f>
        <v/>
      </c>
    </row>
    <row r="5850">
      <c r="A5850" s="13">
        <f>IF(H5850="","",ROW()-4)</f>
        <v/>
      </c>
      <c r="B5850" s="13">
        <f>IF(H5850="","",ROW()-4)</f>
        <v/>
      </c>
    </row>
    <row r="5851">
      <c r="A5851" s="13">
        <f>IF(H5851="","",ROW()-4)</f>
        <v/>
      </c>
      <c r="B5851" s="13">
        <f>IF(H5851="","",ROW()-4)</f>
        <v/>
      </c>
    </row>
    <row r="5852">
      <c r="A5852" s="13">
        <f>IF(H5852="","",ROW()-4)</f>
        <v/>
      </c>
      <c r="B5852" s="13">
        <f>IF(H5852="","",ROW()-4)</f>
        <v/>
      </c>
    </row>
    <row r="5853">
      <c r="A5853" s="13">
        <f>IF(H5853="","",ROW()-4)</f>
        <v/>
      </c>
      <c r="B5853" s="13">
        <f>IF(H5853="","",ROW()-4)</f>
        <v/>
      </c>
    </row>
    <row r="5854">
      <c r="A5854" s="13">
        <f>IF(H5854="","",ROW()-4)</f>
        <v/>
      </c>
      <c r="B5854" s="13">
        <f>IF(H5854="","",ROW()-4)</f>
        <v/>
      </c>
    </row>
    <row r="5855">
      <c r="A5855" s="13">
        <f>IF(H5855="","",ROW()-4)</f>
        <v/>
      </c>
      <c r="B5855" s="13">
        <f>IF(H5855="","",ROW()-4)</f>
        <v/>
      </c>
    </row>
    <row r="5856">
      <c r="A5856" s="13">
        <f>IF(H5856="","",ROW()-4)</f>
        <v/>
      </c>
      <c r="B5856" s="13">
        <f>IF(H5856="","",ROW()-4)</f>
        <v/>
      </c>
    </row>
    <row r="5857">
      <c r="A5857" s="13">
        <f>IF(H5857="","",ROW()-4)</f>
        <v/>
      </c>
      <c r="B5857" s="13">
        <f>IF(H5857="","",ROW()-4)</f>
        <v/>
      </c>
    </row>
    <row r="5858">
      <c r="A5858" s="13">
        <f>IF(H5858="","",ROW()-4)</f>
        <v/>
      </c>
      <c r="B5858" s="13">
        <f>IF(H5858="","",ROW()-4)</f>
        <v/>
      </c>
    </row>
    <row r="5859">
      <c r="A5859" s="13">
        <f>IF(H5859="","",ROW()-4)</f>
        <v/>
      </c>
      <c r="B5859" s="13">
        <f>IF(H5859="","",ROW()-4)</f>
        <v/>
      </c>
    </row>
    <row r="5860">
      <c r="A5860" s="13">
        <f>IF(H5860="","",ROW()-4)</f>
        <v/>
      </c>
      <c r="B5860" s="13">
        <f>IF(H5860="","",ROW()-4)</f>
        <v/>
      </c>
    </row>
    <row r="5861">
      <c r="A5861" s="13">
        <f>IF(H5861="","",ROW()-4)</f>
        <v/>
      </c>
      <c r="B5861" s="13">
        <f>IF(H5861="","",ROW()-4)</f>
        <v/>
      </c>
    </row>
    <row r="5862">
      <c r="A5862" s="13">
        <f>IF(H5862="","",ROW()-4)</f>
        <v/>
      </c>
      <c r="B5862" s="13">
        <f>IF(H5862="","",ROW()-4)</f>
        <v/>
      </c>
    </row>
    <row r="5863">
      <c r="A5863" s="13">
        <f>IF(H5863="","",ROW()-4)</f>
        <v/>
      </c>
      <c r="B5863" s="13">
        <f>IF(H5863="","",ROW()-4)</f>
        <v/>
      </c>
    </row>
    <row r="5864">
      <c r="A5864" s="13">
        <f>IF(H5864="","",ROW()-4)</f>
        <v/>
      </c>
      <c r="B5864" s="13">
        <f>IF(H5864="","",ROW()-4)</f>
        <v/>
      </c>
    </row>
    <row r="5865">
      <c r="A5865" s="13">
        <f>IF(H5865="","",ROW()-4)</f>
        <v/>
      </c>
      <c r="B5865" s="13">
        <f>IF(H5865="","",ROW()-4)</f>
        <v/>
      </c>
    </row>
    <row r="5866">
      <c r="A5866" s="13">
        <f>IF(H5866="","",ROW()-4)</f>
        <v/>
      </c>
      <c r="B5866" s="13">
        <f>IF(H5866="","",ROW()-4)</f>
        <v/>
      </c>
    </row>
    <row r="5867">
      <c r="A5867" s="13">
        <f>IF(H5867="","",ROW()-4)</f>
        <v/>
      </c>
      <c r="B5867" s="13">
        <f>IF(H5867="","",ROW()-4)</f>
        <v/>
      </c>
    </row>
    <row r="5868">
      <c r="A5868" s="13">
        <f>IF(H5868="","",ROW()-4)</f>
        <v/>
      </c>
      <c r="B5868" s="13">
        <f>IF(H5868="","",ROW()-4)</f>
        <v/>
      </c>
    </row>
    <row r="5869">
      <c r="A5869" s="13">
        <f>IF(H5869="","",ROW()-4)</f>
        <v/>
      </c>
      <c r="B5869" s="13">
        <f>IF(H5869="","",ROW()-4)</f>
        <v/>
      </c>
    </row>
    <row r="5870">
      <c r="A5870" s="13">
        <f>IF(H5870="","",ROW()-4)</f>
        <v/>
      </c>
      <c r="B5870" s="13">
        <f>IF(H5870="","",ROW()-4)</f>
        <v/>
      </c>
    </row>
    <row r="5871">
      <c r="A5871" s="13">
        <f>IF(H5871="","",ROW()-4)</f>
        <v/>
      </c>
      <c r="B5871" s="13">
        <f>IF(H5871="","",ROW()-4)</f>
        <v/>
      </c>
    </row>
    <row r="5872">
      <c r="A5872" s="13">
        <f>IF(H5872="","",ROW()-4)</f>
        <v/>
      </c>
      <c r="B5872" s="13">
        <f>IF(H5872="","",ROW()-4)</f>
        <v/>
      </c>
    </row>
    <row r="5873">
      <c r="A5873" s="13">
        <f>IF(H5873="","",ROW()-4)</f>
        <v/>
      </c>
      <c r="B5873" s="13">
        <f>IF(H5873="","",ROW()-4)</f>
        <v/>
      </c>
    </row>
    <row r="5874">
      <c r="A5874" s="13">
        <f>IF(H5874="","",ROW()-4)</f>
        <v/>
      </c>
      <c r="B5874" s="13">
        <f>IF(H5874="","",ROW()-4)</f>
        <v/>
      </c>
    </row>
    <row r="5875">
      <c r="A5875" s="13">
        <f>IF(H5875="","",ROW()-4)</f>
        <v/>
      </c>
      <c r="B5875" s="13">
        <f>IF(H5875="","",ROW()-4)</f>
        <v/>
      </c>
    </row>
    <row r="5876">
      <c r="A5876" s="13">
        <f>IF(H5876="","",ROW()-4)</f>
        <v/>
      </c>
      <c r="B5876" s="13">
        <f>IF(H5876="","",ROW()-4)</f>
        <v/>
      </c>
    </row>
    <row r="5877">
      <c r="A5877" s="13">
        <f>IF(H5877="","",ROW()-4)</f>
        <v/>
      </c>
      <c r="B5877" s="13">
        <f>IF(H5877="","",ROW()-4)</f>
        <v/>
      </c>
    </row>
    <row r="5878">
      <c r="A5878" s="13">
        <f>IF(H5878="","",ROW()-4)</f>
        <v/>
      </c>
      <c r="B5878" s="13">
        <f>IF(H5878="","",ROW()-4)</f>
        <v/>
      </c>
    </row>
    <row r="5879">
      <c r="A5879" s="13">
        <f>IF(H5879="","",ROW()-4)</f>
        <v/>
      </c>
      <c r="B5879" s="13">
        <f>IF(H5879="","",ROW()-4)</f>
        <v/>
      </c>
    </row>
    <row r="5880">
      <c r="A5880" s="13">
        <f>IF(H5880="","",ROW()-4)</f>
        <v/>
      </c>
      <c r="B5880" s="13">
        <f>IF(H5880="","",ROW()-4)</f>
        <v/>
      </c>
    </row>
    <row r="5881">
      <c r="A5881" s="13">
        <f>IF(H5881="","",ROW()-4)</f>
        <v/>
      </c>
      <c r="B5881" s="13">
        <f>IF(H5881="","",ROW()-4)</f>
        <v/>
      </c>
    </row>
    <row r="5882">
      <c r="A5882" s="13">
        <f>IF(H5882="","",ROW()-4)</f>
        <v/>
      </c>
      <c r="B5882" s="13">
        <f>IF(H5882="","",ROW()-4)</f>
        <v/>
      </c>
    </row>
    <row r="5883">
      <c r="A5883" s="13">
        <f>IF(H5883="","",ROW()-4)</f>
        <v/>
      </c>
      <c r="B5883" s="13">
        <f>IF(H5883="","",ROW()-4)</f>
        <v/>
      </c>
    </row>
    <row r="5884">
      <c r="A5884" s="13">
        <f>IF(H5884="","",ROW()-4)</f>
        <v/>
      </c>
      <c r="B5884" s="13">
        <f>IF(H5884="","",ROW()-4)</f>
        <v/>
      </c>
    </row>
    <row r="5885">
      <c r="A5885" s="13">
        <f>IF(H5885="","",ROW()-4)</f>
        <v/>
      </c>
      <c r="B5885" s="13">
        <f>IF(H5885="","",ROW()-4)</f>
        <v/>
      </c>
    </row>
    <row r="5886">
      <c r="A5886" s="13">
        <f>IF(H5886="","",ROW()-4)</f>
        <v/>
      </c>
      <c r="B5886" s="13">
        <f>IF(H5886="","",ROW()-4)</f>
        <v/>
      </c>
    </row>
    <row r="5887">
      <c r="A5887" s="13">
        <f>IF(H5887="","",ROW()-4)</f>
        <v/>
      </c>
      <c r="B5887" s="13">
        <f>IF(H5887="","",ROW()-4)</f>
        <v/>
      </c>
    </row>
    <row r="5888">
      <c r="A5888" s="13">
        <f>IF(H5888="","",ROW()-4)</f>
        <v/>
      </c>
      <c r="B5888" s="13">
        <f>IF(H5888="","",ROW()-4)</f>
        <v/>
      </c>
    </row>
    <row r="5889">
      <c r="A5889" s="13">
        <f>IF(H5889="","",ROW()-4)</f>
        <v/>
      </c>
      <c r="B5889" s="13">
        <f>IF(H5889="","",ROW()-4)</f>
        <v/>
      </c>
    </row>
    <row r="5890">
      <c r="A5890" s="13">
        <f>IF(H5890="","",ROW()-4)</f>
        <v/>
      </c>
      <c r="B5890" s="13">
        <f>IF(H5890="","",ROW()-4)</f>
        <v/>
      </c>
    </row>
    <row r="5891">
      <c r="A5891" s="13">
        <f>IF(H5891="","",ROW()-4)</f>
        <v/>
      </c>
      <c r="B5891" s="13">
        <f>IF(H5891="","",ROW()-4)</f>
        <v/>
      </c>
    </row>
    <row r="5892">
      <c r="A5892" s="13">
        <f>IF(H5892="","",ROW()-4)</f>
        <v/>
      </c>
      <c r="B5892" s="13">
        <f>IF(H5892="","",ROW()-4)</f>
        <v/>
      </c>
    </row>
    <row r="5893">
      <c r="A5893" s="13">
        <f>IF(H5893="","",ROW()-4)</f>
        <v/>
      </c>
      <c r="B5893" s="13">
        <f>IF(H5893="","",ROW()-4)</f>
        <v/>
      </c>
    </row>
    <row r="5894">
      <c r="A5894" s="13">
        <f>IF(H5894="","",ROW()-4)</f>
        <v/>
      </c>
      <c r="B5894" s="13">
        <f>IF(H5894="","",ROW()-4)</f>
        <v/>
      </c>
    </row>
    <row r="5895">
      <c r="A5895" s="13">
        <f>IF(H5895="","",ROW()-4)</f>
        <v/>
      </c>
      <c r="B5895" s="13">
        <f>IF(H5895="","",ROW()-4)</f>
        <v/>
      </c>
    </row>
    <row r="5896">
      <c r="A5896" s="13">
        <f>IF(H5896="","",ROW()-4)</f>
        <v/>
      </c>
      <c r="B5896" s="13">
        <f>IF(H5896="","",ROW()-4)</f>
        <v/>
      </c>
    </row>
    <row r="5897">
      <c r="A5897" s="13">
        <f>IF(H5897="","",ROW()-4)</f>
        <v/>
      </c>
      <c r="B5897" s="13">
        <f>IF(H5897="","",ROW()-4)</f>
        <v/>
      </c>
    </row>
    <row r="5898">
      <c r="A5898" s="13">
        <f>IF(H5898="","",ROW()-4)</f>
        <v/>
      </c>
      <c r="B5898" s="13">
        <f>IF(H5898="","",ROW()-4)</f>
        <v/>
      </c>
    </row>
    <row r="5899">
      <c r="A5899" s="13">
        <f>IF(H5899="","",ROW()-4)</f>
        <v/>
      </c>
      <c r="B5899" s="13">
        <f>IF(H5899="","",ROW()-4)</f>
        <v/>
      </c>
    </row>
    <row r="5900">
      <c r="A5900" s="13">
        <f>IF(H5900="","",ROW()-4)</f>
        <v/>
      </c>
      <c r="B5900" s="13">
        <f>IF(H5900="","",ROW()-4)</f>
        <v/>
      </c>
    </row>
    <row r="5901">
      <c r="A5901" s="13">
        <f>IF(H5901="","",ROW()-4)</f>
        <v/>
      </c>
      <c r="B5901" s="13">
        <f>IF(H5901="","",ROW()-4)</f>
        <v/>
      </c>
    </row>
    <row r="5902">
      <c r="A5902" s="13">
        <f>IF(H5902="","",ROW()-4)</f>
        <v/>
      </c>
      <c r="B5902" s="13">
        <f>IF(H5902="","",ROW()-4)</f>
        <v/>
      </c>
    </row>
    <row r="5903">
      <c r="A5903" s="13">
        <f>IF(H5903="","",ROW()-4)</f>
        <v/>
      </c>
      <c r="B5903" s="13">
        <f>IF(H5903="","",ROW()-4)</f>
        <v/>
      </c>
    </row>
    <row r="5904">
      <c r="A5904" s="13">
        <f>IF(H5904="","",ROW()-4)</f>
        <v/>
      </c>
      <c r="B5904" s="13">
        <f>IF(H5904="","",ROW()-4)</f>
        <v/>
      </c>
    </row>
    <row r="5905">
      <c r="A5905" s="13">
        <f>IF(H5905="","",ROW()-4)</f>
        <v/>
      </c>
      <c r="B5905" s="13">
        <f>IF(H5905="","",ROW()-4)</f>
        <v/>
      </c>
    </row>
    <row r="5906">
      <c r="A5906" s="13">
        <f>IF(H5906="","",ROW()-4)</f>
        <v/>
      </c>
      <c r="B5906" s="13">
        <f>IF(H5906="","",ROW()-4)</f>
        <v/>
      </c>
    </row>
    <row r="5907">
      <c r="A5907" s="13">
        <f>IF(H5907="","",ROW()-4)</f>
        <v/>
      </c>
      <c r="B5907" s="13">
        <f>IF(H5907="","",ROW()-4)</f>
        <v/>
      </c>
    </row>
    <row r="5908">
      <c r="A5908" s="13">
        <f>IF(H5908="","",ROW()-4)</f>
        <v/>
      </c>
      <c r="B5908" s="13">
        <f>IF(H5908="","",ROW()-4)</f>
        <v/>
      </c>
    </row>
    <row r="5909">
      <c r="A5909" s="13">
        <f>IF(H5909="","",ROW()-4)</f>
        <v/>
      </c>
      <c r="B5909" s="13">
        <f>IF(H5909="","",ROW()-4)</f>
        <v/>
      </c>
    </row>
    <row r="5910">
      <c r="A5910" s="13">
        <f>IF(H5910="","",ROW()-4)</f>
        <v/>
      </c>
      <c r="B5910" s="13">
        <f>IF(H5910="","",ROW()-4)</f>
        <v/>
      </c>
    </row>
    <row r="5911">
      <c r="A5911" s="13">
        <f>IF(H5911="","",ROW()-4)</f>
        <v/>
      </c>
      <c r="B5911" s="13">
        <f>IF(H5911="","",ROW()-4)</f>
        <v/>
      </c>
    </row>
    <row r="5912">
      <c r="A5912" s="13">
        <f>IF(H5912="","",ROW()-4)</f>
        <v/>
      </c>
      <c r="B5912" s="13">
        <f>IF(H5912="","",ROW()-4)</f>
        <v/>
      </c>
    </row>
    <row r="5913">
      <c r="A5913" s="13">
        <f>IF(H5913="","",ROW()-4)</f>
        <v/>
      </c>
      <c r="B5913" s="13">
        <f>IF(H5913="","",ROW()-4)</f>
        <v/>
      </c>
    </row>
    <row r="5914">
      <c r="A5914" s="13">
        <f>IF(H5914="","",ROW()-4)</f>
        <v/>
      </c>
      <c r="B5914" s="13">
        <f>IF(H5914="","",ROW()-4)</f>
        <v/>
      </c>
    </row>
    <row r="5915">
      <c r="A5915" s="13">
        <f>IF(H5915="","",ROW()-4)</f>
        <v/>
      </c>
      <c r="B5915" s="13">
        <f>IF(H5915="","",ROW()-4)</f>
        <v/>
      </c>
    </row>
    <row r="5916">
      <c r="A5916" s="13">
        <f>IF(H5916="","",ROW()-4)</f>
        <v/>
      </c>
      <c r="B5916" s="13">
        <f>IF(H5916="","",ROW()-4)</f>
        <v/>
      </c>
    </row>
    <row r="5917">
      <c r="A5917" s="13">
        <f>IF(H5917="","",ROW()-4)</f>
        <v/>
      </c>
      <c r="B5917" s="13">
        <f>IF(H5917="","",ROW()-4)</f>
        <v/>
      </c>
    </row>
    <row r="5918">
      <c r="A5918" s="13">
        <f>IF(H5918="","",ROW()-4)</f>
        <v/>
      </c>
      <c r="B5918" s="13">
        <f>IF(H5918="","",ROW()-4)</f>
        <v/>
      </c>
    </row>
    <row r="5919">
      <c r="A5919" s="13">
        <f>IF(H5919="","",ROW()-4)</f>
        <v/>
      </c>
      <c r="B5919" s="13">
        <f>IF(H5919="","",ROW()-4)</f>
        <v/>
      </c>
    </row>
    <row r="5920">
      <c r="A5920" s="13">
        <f>IF(H5920="","",ROW()-4)</f>
        <v/>
      </c>
      <c r="B5920" s="13">
        <f>IF(H5920="","",ROW()-4)</f>
        <v/>
      </c>
    </row>
    <row r="5921">
      <c r="A5921" s="13">
        <f>IF(H5921="","",ROW()-4)</f>
        <v/>
      </c>
      <c r="B5921" s="13">
        <f>IF(H5921="","",ROW()-4)</f>
        <v/>
      </c>
    </row>
    <row r="5922">
      <c r="A5922" s="13">
        <f>IF(H5922="","",ROW()-4)</f>
        <v/>
      </c>
      <c r="B5922" s="13">
        <f>IF(H5922="","",ROW()-4)</f>
        <v/>
      </c>
    </row>
    <row r="5923">
      <c r="A5923" s="13">
        <f>IF(H5923="","",ROW()-4)</f>
        <v/>
      </c>
      <c r="B5923" s="13">
        <f>IF(H5923="","",ROW()-4)</f>
        <v/>
      </c>
    </row>
    <row r="5924">
      <c r="A5924" s="13">
        <f>IF(H5924="","",ROW()-4)</f>
        <v/>
      </c>
      <c r="B5924" s="13">
        <f>IF(H5924="","",ROW()-4)</f>
        <v/>
      </c>
    </row>
    <row r="5925">
      <c r="A5925" s="13">
        <f>IF(H5925="","",ROW()-4)</f>
        <v/>
      </c>
      <c r="B5925" s="13">
        <f>IF(H5925="","",ROW()-4)</f>
        <v/>
      </c>
    </row>
    <row r="5926">
      <c r="A5926" s="13">
        <f>IF(H5926="","",ROW()-4)</f>
        <v/>
      </c>
      <c r="B5926" s="13">
        <f>IF(H5926="","",ROW()-4)</f>
        <v/>
      </c>
    </row>
    <row r="5927">
      <c r="A5927" s="13">
        <f>IF(H5927="","",ROW()-4)</f>
        <v/>
      </c>
      <c r="B5927" s="13">
        <f>IF(H5927="","",ROW()-4)</f>
        <v/>
      </c>
    </row>
    <row r="5928">
      <c r="A5928" s="13">
        <f>IF(H5928="","",ROW()-4)</f>
        <v/>
      </c>
      <c r="B5928" s="13">
        <f>IF(H5928="","",ROW()-4)</f>
        <v/>
      </c>
    </row>
    <row r="5929">
      <c r="A5929" s="13">
        <f>IF(H5929="","",ROW()-4)</f>
        <v/>
      </c>
      <c r="B5929" s="13">
        <f>IF(H5929="","",ROW()-4)</f>
        <v/>
      </c>
    </row>
    <row r="5930">
      <c r="A5930" s="13">
        <f>IF(H5930="","",ROW()-4)</f>
        <v/>
      </c>
      <c r="B5930" s="13">
        <f>IF(H5930="","",ROW()-4)</f>
        <v/>
      </c>
    </row>
    <row r="5931">
      <c r="A5931" s="13">
        <f>IF(H5931="","",ROW()-4)</f>
        <v/>
      </c>
      <c r="B5931" s="13">
        <f>IF(H5931="","",ROW()-4)</f>
        <v/>
      </c>
    </row>
    <row r="5932">
      <c r="A5932" s="13">
        <f>IF(H5932="","",ROW()-4)</f>
        <v/>
      </c>
      <c r="B5932" s="13">
        <f>IF(H5932="","",ROW()-4)</f>
        <v/>
      </c>
    </row>
    <row r="5933">
      <c r="A5933" s="13">
        <f>IF(H5933="","",ROW()-4)</f>
        <v/>
      </c>
      <c r="B5933" s="13">
        <f>IF(H5933="","",ROW()-4)</f>
        <v/>
      </c>
    </row>
    <row r="5934">
      <c r="A5934" s="13">
        <f>IF(H5934="","",ROW()-4)</f>
        <v/>
      </c>
      <c r="B5934" s="13">
        <f>IF(H5934="","",ROW()-4)</f>
        <v/>
      </c>
    </row>
    <row r="5935">
      <c r="A5935" s="13">
        <f>IF(H5935="","",ROW()-4)</f>
        <v/>
      </c>
      <c r="B5935" s="13">
        <f>IF(H5935="","",ROW()-4)</f>
        <v/>
      </c>
    </row>
    <row r="5936">
      <c r="A5936" s="13">
        <f>IF(H5936="","",ROW()-4)</f>
        <v/>
      </c>
      <c r="B5936" s="13">
        <f>IF(H5936="","",ROW()-4)</f>
        <v/>
      </c>
    </row>
    <row r="5937">
      <c r="A5937" s="13">
        <f>IF(H5937="","",ROW()-4)</f>
        <v/>
      </c>
      <c r="B5937" s="13">
        <f>IF(H5937="","",ROW()-4)</f>
        <v/>
      </c>
    </row>
    <row r="5938">
      <c r="A5938" s="13">
        <f>IF(H5938="","",ROW()-4)</f>
        <v/>
      </c>
      <c r="B5938" s="13">
        <f>IF(H5938="","",ROW()-4)</f>
        <v/>
      </c>
    </row>
    <row r="5939">
      <c r="A5939" s="13">
        <f>IF(H5939="","",ROW()-4)</f>
        <v/>
      </c>
      <c r="B5939" s="13">
        <f>IF(H5939="","",ROW()-4)</f>
        <v/>
      </c>
    </row>
    <row r="5940">
      <c r="A5940" s="13">
        <f>IF(H5940="","",ROW()-4)</f>
        <v/>
      </c>
      <c r="B5940" s="13">
        <f>IF(H5940="","",ROW()-4)</f>
        <v/>
      </c>
    </row>
    <row r="5941">
      <c r="A5941" s="13">
        <f>IF(H5941="","",ROW()-4)</f>
        <v/>
      </c>
      <c r="B5941" s="13">
        <f>IF(H5941="","",ROW()-4)</f>
        <v/>
      </c>
    </row>
    <row r="5942">
      <c r="A5942" s="13">
        <f>IF(H5942="","",ROW()-4)</f>
        <v/>
      </c>
      <c r="B5942" s="13">
        <f>IF(H5942="","",ROW()-4)</f>
        <v/>
      </c>
    </row>
    <row r="5943">
      <c r="A5943" s="13">
        <f>IF(H5943="","",ROW()-4)</f>
        <v/>
      </c>
      <c r="B5943" s="13">
        <f>IF(H5943="","",ROW()-4)</f>
        <v/>
      </c>
    </row>
    <row r="5944">
      <c r="A5944" s="13">
        <f>IF(H5944="","",ROW()-4)</f>
        <v/>
      </c>
      <c r="B5944" s="13">
        <f>IF(H5944="","",ROW()-4)</f>
        <v/>
      </c>
    </row>
    <row r="5945">
      <c r="A5945" s="13">
        <f>IF(H5945="","",ROW()-4)</f>
        <v/>
      </c>
      <c r="B5945" s="13">
        <f>IF(H5945="","",ROW()-4)</f>
        <v/>
      </c>
    </row>
    <row r="5946">
      <c r="A5946" s="13">
        <f>IF(H5946="","",ROW()-4)</f>
        <v/>
      </c>
      <c r="B5946" s="13">
        <f>IF(H5946="","",ROW()-4)</f>
        <v/>
      </c>
    </row>
    <row r="5947">
      <c r="A5947" s="13">
        <f>IF(H5947="","",ROW()-4)</f>
        <v/>
      </c>
      <c r="B5947" s="13">
        <f>IF(H5947="","",ROW()-4)</f>
        <v/>
      </c>
    </row>
    <row r="5948">
      <c r="A5948" s="13">
        <f>IF(H5948="","",ROW()-4)</f>
        <v/>
      </c>
      <c r="B5948" s="13">
        <f>IF(H5948="","",ROW()-4)</f>
        <v/>
      </c>
    </row>
    <row r="5949">
      <c r="A5949" s="13">
        <f>IF(H5949="","",ROW()-4)</f>
        <v/>
      </c>
      <c r="B5949" s="13">
        <f>IF(H5949="","",ROW()-4)</f>
        <v/>
      </c>
    </row>
    <row r="5950">
      <c r="A5950" s="13">
        <f>IF(H5950="","",ROW()-4)</f>
        <v/>
      </c>
      <c r="B5950" s="13">
        <f>IF(H5950="","",ROW()-4)</f>
        <v/>
      </c>
    </row>
    <row r="5951">
      <c r="A5951" s="13">
        <f>IF(H5951="","",ROW()-4)</f>
        <v/>
      </c>
      <c r="B5951" s="13">
        <f>IF(H5951="","",ROW()-4)</f>
        <v/>
      </c>
    </row>
    <row r="5952">
      <c r="A5952" s="13">
        <f>IF(H5952="","",ROW()-4)</f>
        <v/>
      </c>
      <c r="B5952" s="13">
        <f>IF(H5952="","",ROW()-4)</f>
        <v/>
      </c>
    </row>
    <row r="5953">
      <c r="A5953" s="13">
        <f>IF(H5953="","",ROW()-4)</f>
        <v/>
      </c>
      <c r="B5953" s="13">
        <f>IF(H5953="","",ROW()-4)</f>
        <v/>
      </c>
    </row>
    <row r="5954">
      <c r="A5954" s="13">
        <f>IF(H5954="","",ROW()-4)</f>
        <v/>
      </c>
      <c r="B5954" s="13">
        <f>IF(H5954="","",ROW()-4)</f>
        <v/>
      </c>
    </row>
    <row r="5955">
      <c r="A5955" s="13">
        <f>IF(H5955="","",ROW()-4)</f>
        <v/>
      </c>
      <c r="B5955" s="13">
        <f>IF(H5955="","",ROW()-4)</f>
        <v/>
      </c>
    </row>
    <row r="5956">
      <c r="A5956" s="13">
        <f>IF(H5956="","",ROW()-4)</f>
        <v/>
      </c>
      <c r="B5956" s="13">
        <f>IF(H5956="","",ROW()-4)</f>
        <v/>
      </c>
    </row>
    <row r="5957">
      <c r="A5957" s="13">
        <f>IF(H5957="","",ROW()-4)</f>
        <v/>
      </c>
      <c r="B5957" s="13">
        <f>IF(H5957="","",ROW()-4)</f>
        <v/>
      </c>
    </row>
    <row r="5958">
      <c r="A5958" s="13">
        <f>IF(H5958="","",ROW()-4)</f>
        <v/>
      </c>
      <c r="B5958" s="13">
        <f>IF(H5958="","",ROW()-4)</f>
        <v/>
      </c>
    </row>
    <row r="5959">
      <c r="A5959" s="13">
        <f>IF(H5959="","",ROW()-4)</f>
        <v/>
      </c>
      <c r="B5959" s="13">
        <f>IF(H5959="","",ROW()-4)</f>
        <v/>
      </c>
    </row>
    <row r="5960">
      <c r="A5960" s="13">
        <f>IF(H5960="","",ROW()-4)</f>
        <v/>
      </c>
      <c r="B5960" s="13">
        <f>IF(H5960="","",ROW()-4)</f>
        <v/>
      </c>
    </row>
    <row r="5961">
      <c r="A5961" s="13">
        <f>IF(H5961="","",ROW()-4)</f>
        <v/>
      </c>
      <c r="B5961" s="13">
        <f>IF(H5961="","",ROW()-4)</f>
        <v/>
      </c>
    </row>
    <row r="5962">
      <c r="A5962" s="13">
        <f>IF(H5962="","",ROW()-4)</f>
        <v/>
      </c>
      <c r="B5962" s="13">
        <f>IF(H5962="","",ROW()-4)</f>
        <v/>
      </c>
    </row>
    <row r="5963">
      <c r="A5963" s="13">
        <f>IF(H5963="","",ROW()-4)</f>
        <v/>
      </c>
      <c r="B5963" s="13">
        <f>IF(H5963="","",ROW()-4)</f>
        <v/>
      </c>
    </row>
    <row r="5964">
      <c r="A5964" s="13">
        <f>IF(H5964="","",ROW()-4)</f>
        <v/>
      </c>
      <c r="B5964" s="13">
        <f>IF(H5964="","",ROW()-4)</f>
        <v/>
      </c>
    </row>
    <row r="5965">
      <c r="A5965" s="13">
        <f>IF(H5965="","",ROW()-4)</f>
        <v/>
      </c>
      <c r="B5965" s="13">
        <f>IF(H5965="","",ROW()-4)</f>
        <v/>
      </c>
    </row>
    <row r="5966">
      <c r="A5966" s="13">
        <f>IF(H5966="","",ROW()-4)</f>
        <v/>
      </c>
      <c r="B5966" s="13">
        <f>IF(H5966="","",ROW()-4)</f>
        <v/>
      </c>
    </row>
    <row r="5967">
      <c r="A5967" s="13">
        <f>IF(H5967="","",ROW()-4)</f>
        <v/>
      </c>
      <c r="B5967" s="13">
        <f>IF(H5967="","",ROW()-4)</f>
        <v/>
      </c>
    </row>
    <row r="5968">
      <c r="A5968" s="13">
        <f>IF(H5968="","",ROW()-4)</f>
        <v/>
      </c>
      <c r="B5968" s="13">
        <f>IF(H5968="","",ROW()-4)</f>
        <v/>
      </c>
    </row>
    <row r="5969">
      <c r="A5969" s="13">
        <f>IF(H5969="","",ROW()-4)</f>
        <v/>
      </c>
      <c r="B5969" s="13">
        <f>IF(H5969="","",ROW()-4)</f>
        <v/>
      </c>
    </row>
    <row r="5970">
      <c r="A5970" s="13">
        <f>IF(H5970="","",ROW()-4)</f>
        <v/>
      </c>
      <c r="B5970" s="13">
        <f>IF(H5970="","",ROW()-4)</f>
        <v/>
      </c>
    </row>
    <row r="5971">
      <c r="A5971" s="13">
        <f>IF(H5971="","",ROW()-4)</f>
        <v/>
      </c>
      <c r="B5971" s="13">
        <f>IF(H5971="","",ROW()-4)</f>
        <v/>
      </c>
    </row>
    <row r="5972">
      <c r="A5972" s="13">
        <f>IF(H5972="","",ROW()-4)</f>
        <v/>
      </c>
      <c r="B5972" s="13">
        <f>IF(H5972="","",ROW()-4)</f>
        <v/>
      </c>
    </row>
    <row r="5973">
      <c r="A5973" s="13">
        <f>IF(H5973="","",ROW()-4)</f>
        <v/>
      </c>
      <c r="B5973" s="13">
        <f>IF(H5973="","",ROW()-4)</f>
        <v/>
      </c>
    </row>
    <row r="5974">
      <c r="A5974" s="13">
        <f>IF(H5974="","",ROW()-4)</f>
        <v/>
      </c>
      <c r="B5974" s="13">
        <f>IF(H5974="","",ROW()-4)</f>
        <v/>
      </c>
    </row>
    <row r="5975">
      <c r="A5975" s="13">
        <f>IF(H5975="","",ROW()-4)</f>
        <v/>
      </c>
      <c r="B5975" s="13">
        <f>IF(H5975="","",ROW()-4)</f>
        <v/>
      </c>
    </row>
    <row r="5976">
      <c r="A5976" s="13">
        <f>IF(H5976="","",ROW()-4)</f>
        <v/>
      </c>
      <c r="B5976" s="13">
        <f>IF(H5976="","",ROW()-4)</f>
        <v/>
      </c>
    </row>
    <row r="5977">
      <c r="A5977" s="13">
        <f>IF(H5977="","",ROW()-4)</f>
        <v/>
      </c>
      <c r="B5977" s="13">
        <f>IF(H5977="","",ROW()-4)</f>
        <v/>
      </c>
    </row>
    <row r="5978">
      <c r="A5978" s="13">
        <f>IF(H5978="","",ROW()-4)</f>
        <v/>
      </c>
      <c r="B5978" s="13">
        <f>IF(H5978="","",ROW()-4)</f>
        <v/>
      </c>
    </row>
    <row r="5979">
      <c r="A5979" s="13">
        <f>IF(H5979="","",ROW()-4)</f>
        <v/>
      </c>
      <c r="B5979" s="13">
        <f>IF(H5979="","",ROW()-4)</f>
        <v/>
      </c>
    </row>
    <row r="5980">
      <c r="A5980" s="13">
        <f>IF(H5980="","",ROW()-4)</f>
        <v/>
      </c>
      <c r="B5980" s="13">
        <f>IF(H5980="","",ROW()-4)</f>
        <v/>
      </c>
    </row>
    <row r="5981">
      <c r="A5981" s="13">
        <f>IF(H5981="","",ROW()-4)</f>
        <v/>
      </c>
      <c r="B5981" s="13">
        <f>IF(H5981="","",ROW()-4)</f>
        <v/>
      </c>
    </row>
    <row r="5982">
      <c r="A5982" s="13">
        <f>IF(H5982="","",ROW()-4)</f>
        <v/>
      </c>
      <c r="B5982" s="13">
        <f>IF(H5982="","",ROW()-4)</f>
        <v/>
      </c>
    </row>
    <row r="5983">
      <c r="A5983" s="13">
        <f>IF(H5983="","",ROW()-4)</f>
        <v/>
      </c>
      <c r="B5983" s="13">
        <f>IF(H5983="","",ROW()-4)</f>
        <v/>
      </c>
    </row>
    <row r="5984">
      <c r="A5984" s="13">
        <f>IF(H5984="","",ROW()-4)</f>
        <v/>
      </c>
      <c r="B5984" s="13">
        <f>IF(H5984="","",ROW()-4)</f>
        <v/>
      </c>
    </row>
    <row r="5985">
      <c r="A5985" s="13">
        <f>IF(H5985="","",ROW()-4)</f>
        <v/>
      </c>
      <c r="B5985" s="13">
        <f>IF(H5985="","",ROW()-4)</f>
        <v/>
      </c>
    </row>
    <row r="5986">
      <c r="A5986" s="13">
        <f>IF(H5986="","",ROW()-4)</f>
        <v/>
      </c>
      <c r="B5986" s="13">
        <f>IF(H5986="","",ROW()-4)</f>
        <v/>
      </c>
    </row>
    <row r="5987">
      <c r="A5987" s="13">
        <f>IF(H5987="","",ROW()-4)</f>
        <v/>
      </c>
      <c r="B5987" s="13">
        <f>IF(H5987="","",ROW()-4)</f>
        <v/>
      </c>
    </row>
    <row r="5988">
      <c r="A5988" s="13">
        <f>IF(H5988="","",ROW()-4)</f>
        <v/>
      </c>
      <c r="B5988" s="13">
        <f>IF(H5988="","",ROW()-4)</f>
        <v/>
      </c>
    </row>
    <row r="5989">
      <c r="A5989" s="13">
        <f>IF(H5989="","",ROW()-4)</f>
        <v/>
      </c>
      <c r="B5989" s="13">
        <f>IF(H5989="","",ROW()-4)</f>
        <v/>
      </c>
    </row>
    <row r="5990">
      <c r="A5990" s="13">
        <f>IF(H5990="","",ROW()-4)</f>
        <v/>
      </c>
      <c r="B5990" s="13">
        <f>IF(H5990="","",ROW()-4)</f>
        <v/>
      </c>
    </row>
    <row r="5991">
      <c r="A5991" s="13">
        <f>IF(H5991="","",ROW()-4)</f>
        <v/>
      </c>
      <c r="B5991" s="13">
        <f>IF(H5991="","",ROW()-4)</f>
        <v/>
      </c>
    </row>
    <row r="5992">
      <c r="A5992" s="13">
        <f>IF(H5992="","",ROW()-4)</f>
        <v/>
      </c>
      <c r="B5992" s="13">
        <f>IF(H5992="","",ROW()-4)</f>
        <v/>
      </c>
    </row>
    <row r="5993">
      <c r="A5993" s="13">
        <f>IF(H5993="","",ROW()-4)</f>
        <v/>
      </c>
      <c r="B5993" s="13">
        <f>IF(H5993="","",ROW()-4)</f>
        <v/>
      </c>
    </row>
    <row r="5994">
      <c r="A5994" s="13">
        <f>IF(H5994="","",ROW()-4)</f>
        <v/>
      </c>
      <c r="B5994" s="13">
        <f>IF(H5994="","",ROW()-4)</f>
        <v/>
      </c>
    </row>
    <row r="5995">
      <c r="A5995" s="13">
        <f>IF(H5995="","",ROW()-4)</f>
        <v/>
      </c>
      <c r="B5995" s="13">
        <f>IF(H5995="","",ROW()-4)</f>
        <v/>
      </c>
    </row>
    <row r="5996">
      <c r="A5996" s="13">
        <f>IF(H5996="","",ROW()-4)</f>
        <v/>
      </c>
      <c r="B5996" s="13">
        <f>IF(H5996="","",ROW()-4)</f>
        <v/>
      </c>
    </row>
    <row r="5997">
      <c r="A5997" s="13">
        <f>IF(H5997="","",ROW()-4)</f>
        <v/>
      </c>
      <c r="B5997" s="13">
        <f>IF(H5997="","",ROW()-4)</f>
        <v/>
      </c>
    </row>
    <row r="5998">
      <c r="A5998" s="13">
        <f>IF(H5998="","",ROW()-4)</f>
        <v/>
      </c>
      <c r="B5998" s="13">
        <f>IF(H5998="","",ROW()-4)</f>
        <v/>
      </c>
    </row>
    <row r="5999">
      <c r="A5999" s="13">
        <f>IF(H5999="","",ROW()-4)</f>
        <v/>
      </c>
      <c r="B5999" s="13">
        <f>IF(H5999="","",ROW()-4)</f>
        <v/>
      </c>
    </row>
    <row r="6000">
      <c r="A6000" s="13">
        <f>IF(H6000="","",ROW()-4)</f>
        <v/>
      </c>
      <c r="B6000" s="13">
        <f>IF(H6000="","",ROW()-4)</f>
        <v/>
      </c>
    </row>
    <row r="6001">
      <c r="A6001" s="13">
        <f>IF(H6001="","",ROW()-4)</f>
        <v/>
      </c>
      <c r="B6001" s="13">
        <f>IF(H6001="","",ROW()-4)</f>
        <v/>
      </c>
    </row>
    <row r="6002">
      <c r="A6002" s="13">
        <f>IF(H6002="","",ROW()-4)</f>
        <v/>
      </c>
      <c r="B6002" s="13">
        <f>IF(H6002="","",ROW()-4)</f>
        <v/>
      </c>
    </row>
    <row r="6003">
      <c r="A6003" s="13">
        <f>IF(H6003="","",ROW()-4)</f>
        <v/>
      </c>
      <c r="B6003" s="13">
        <f>IF(H6003="","",ROW()-4)</f>
        <v/>
      </c>
    </row>
    <row r="6004">
      <c r="A6004" s="13">
        <f>IF(H6004="","",ROW()-4)</f>
        <v/>
      </c>
      <c r="B6004" s="13">
        <f>IF(H6004="","",ROW()-4)</f>
        <v/>
      </c>
    </row>
    <row r="6005">
      <c r="A6005" s="13">
        <f>IF(H6005="","",ROW()-4)</f>
        <v/>
      </c>
      <c r="B6005" s="13">
        <f>IF(H6005="","",ROW()-4)</f>
        <v/>
      </c>
    </row>
    <row r="6006">
      <c r="A6006" s="13">
        <f>IF(H6006="","",ROW()-4)</f>
        <v/>
      </c>
      <c r="B6006" s="13">
        <f>IF(H6006="","",ROW()-4)</f>
        <v/>
      </c>
    </row>
    <row r="6007">
      <c r="A6007" s="13">
        <f>IF(H6007="","",ROW()-4)</f>
        <v/>
      </c>
      <c r="B6007" s="13">
        <f>IF(H6007="","",ROW()-4)</f>
        <v/>
      </c>
    </row>
    <row r="6008">
      <c r="A6008" s="13">
        <f>IF(H6008="","",ROW()-4)</f>
        <v/>
      </c>
      <c r="B6008" s="13">
        <f>IF(H6008="","",ROW()-4)</f>
        <v/>
      </c>
    </row>
    <row r="6009">
      <c r="A6009" s="13">
        <f>IF(H6009="","",ROW()-4)</f>
        <v/>
      </c>
      <c r="B6009" s="13">
        <f>IF(H6009="","",ROW()-4)</f>
        <v/>
      </c>
    </row>
    <row r="6010">
      <c r="A6010" s="13">
        <f>IF(H6010="","",ROW()-4)</f>
        <v/>
      </c>
      <c r="B6010" s="13">
        <f>IF(H6010="","",ROW()-4)</f>
        <v/>
      </c>
    </row>
    <row r="6011">
      <c r="A6011" s="13">
        <f>IF(H6011="","",ROW()-4)</f>
        <v/>
      </c>
      <c r="B6011" s="13">
        <f>IF(H6011="","",ROW()-4)</f>
        <v/>
      </c>
    </row>
    <row r="6012">
      <c r="A6012" s="13">
        <f>IF(H6012="","",ROW()-4)</f>
        <v/>
      </c>
      <c r="B6012" s="13">
        <f>IF(H6012="","",ROW()-4)</f>
        <v/>
      </c>
    </row>
    <row r="6013">
      <c r="A6013" s="13">
        <f>IF(H6013="","",ROW()-4)</f>
        <v/>
      </c>
      <c r="B6013" s="13">
        <f>IF(H6013="","",ROW()-4)</f>
        <v/>
      </c>
    </row>
    <row r="6014">
      <c r="A6014" s="13">
        <f>IF(H6014="","",ROW()-4)</f>
        <v/>
      </c>
      <c r="B6014" s="13">
        <f>IF(H6014="","",ROW()-4)</f>
        <v/>
      </c>
    </row>
    <row r="6015">
      <c r="A6015" s="13">
        <f>IF(H6015="","",ROW()-4)</f>
        <v/>
      </c>
      <c r="B6015" s="13">
        <f>IF(H6015="","",ROW()-4)</f>
        <v/>
      </c>
    </row>
    <row r="6016">
      <c r="A6016" s="13">
        <f>IF(H6016="","",ROW()-4)</f>
        <v/>
      </c>
      <c r="B6016" s="13">
        <f>IF(H6016="","",ROW()-4)</f>
        <v/>
      </c>
    </row>
    <row r="6017">
      <c r="A6017" s="13">
        <f>IF(H6017="","",ROW()-4)</f>
        <v/>
      </c>
      <c r="B6017" s="13">
        <f>IF(H6017="","",ROW()-4)</f>
        <v/>
      </c>
    </row>
    <row r="6018">
      <c r="A6018" s="13">
        <f>IF(H6018="","",ROW()-4)</f>
        <v/>
      </c>
      <c r="B6018" s="13">
        <f>IF(H6018="","",ROW()-4)</f>
        <v/>
      </c>
    </row>
    <row r="6019">
      <c r="A6019" s="13">
        <f>IF(H6019="","",ROW()-4)</f>
        <v/>
      </c>
      <c r="B6019" s="13">
        <f>IF(H6019="","",ROW()-4)</f>
        <v/>
      </c>
    </row>
    <row r="6020">
      <c r="A6020" s="13">
        <f>IF(H6020="","",ROW()-4)</f>
        <v/>
      </c>
      <c r="B6020" s="13">
        <f>IF(H6020="","",ROW()-4)</f>
        <v/>
      </c>
    </row>
    <row r="6021">
      <c r="A6021" s="13">
        <f>IF(H6021="","",ROW()-4)</f>
        <v/>
      </c>
      <c r="B6021" s="13">
        <f>IF(H6021="","",ROW()-4)</f>
        <v/>
      </c>
    </row>
    <row r="6022">
      <c r="A6022" s="13">
        <f>IF(H6022="","",ROW()-4)</f>
        <v/>
      </c>
      <c r="B6022" s="13">
        <f>IF(H6022="","",ROW()-4)</f>
        <v/>
      </c>
    </row>
    <row r="6023">
      <c r="A6023" s="13">
        <f>IF(H6023="","",ROW()-4)</f>
        <v/>
      </c>
      <c r="B6023" s="13">
        <f>IF(H6023="","",ROW()-4)</f>
        <v/>
      </c>
    </row>
    <row r="6024">
      <c r="A6024" s="13">
        <f>IF(H6024="","",ROW()-4)</f>
        <v/>
      </c>
      <c r="B6024" s="13">
        <f>IF(H6024="","",ROW()-4)</f>
        <v/>
      </c>
    </row>
    <row r="6025">
      <c r="A6025" s="13">
        <f>IF(H6025="","",ROW()-4)</f>
        <v/>
      </c>
      <c r="B6025" s="13">
        <f>IF(H6025="","",ROW()-4)</f>
        <v/>
      </c>
    </row>
    <row r="6026">
      <c r="A6026" s="13">
        <f>IF(H6026="","",ROW()-4)</f>
        <v/>
      </c>
      <c r="B6026" s="13">
        <f>IF(H6026="","",ROW()-4)</f>
        <v/>
      </c>
    </row>
    <row r="6027">
      <c r="A6027" s="13">
        <f>IF(H6027="","",ROW()-4)</f>
        <v/>
      </c>
      <c r="B6027" s="13">
        <f>IF(H6027="","",ROW()-4)</f>
        <v/>
      </c>
    </row>
    <row r="6028">
      <c r="A6028" s="13">
        <f>IF(H6028="","",ROW()-4)</f>
        <v/>
      </c>
      <c r="B6028" s="13">
        <f>IF(H6028="","",ROW()-4)</f>
        <v/>
      </c>
    </row>
    <row r="6029">
      <c r="A6029" s="13">
        <f>IF(H6029="","",ROW()-4)</f>
        <v/>
      </c>
      <c r="B6029" s="13">
        <f>IF(H6029="","",ROW()-4)</f>
        <v/>
      </c>
    </row>
    <row r="6030">
      <c r="A6030" s="13">
        <f>IF(H6030="","",ROW()-4)</f>
        <v/>
      </c>
      <c r="B6030" s="13">
        <f>IF(H6030="","",ROW()-4)</f>
        <v/>
      </c>
    </row>
    <row r="6031">
      <c r="A6031" s="13">
        <f>IF(H6031="","",ROW()-4)</f>
        <v/>
      </c>
      <c r="B6031" s="13">
        <f>IF(H6031="","",ROW()-4)</f>
        <v/>
      </c>
    </row>
    <row r="6032">
      <c r="A6032" s="13">
        <f>IF(H6032="","",ROW()-4)</f>
        <v/>
      </c>
      <c r="B6032" s="13">
        <f>IF(H6032="","",ROW()-4)</f>
        <v/>
      </c>
    </row>
    <row r="6033">
      <c r="A6033" s="13">
        <f>IF(H6033="","",ROW()-4)</f>
        <v/>
      </c>
      <c r="B6033" s="13">
        <f>IF(H6033="","",ROW()-4)</f>
        <v/>
      </c>
    </row>
    <row r="6034">
      <c r="A6034" s="13">
        <f>IF(H6034="","",ROW()-4)</f>
        <v/>
      </c>
      <c r="B6034" s="13">
        <f>IF(H6034="","",ROW()-4)</f>
        <v/>
      </c>
    </row>
    <row r="6035">
      <c r="A6035" s="13">
        <f>IF(H6035="","",ROW()-4)</f>
        <v/>
      </c>
      <c r="B6035" s="13">
        <f>IF(H6035="","",ROW()-4)</f>
        <v/>
      </c>
    </row>
    <row r="6036">
      <c r="A6036" s="13">
        <f>IF(H6036="","",ROW()-4)</f>
        <v/>
      </c>
      <c r="B6036" s="13">
        <f>IF(H6036="","",ROW()-4)</f>
        <v/>
      </c>
    </row>
    <row r="6037">
      <c r="A6037" s="13">
        <f>IF(H6037="","",ROW()-4)</f>
        <v/>
      </c>
      <c r="B6037" s="13">
        <f>IF(H6037="","",ROW()-4)</f>
        <v/>
      </c>
    </row>
    <row r="6038">
      <c r="A6038" s="13">
        <f>IF(H6038="","",ROW()-4)</f>
        <v/>
      </c>
      <c r="B6038" s="13">
        <f>IF(H6038="","",ROW()-4)</f>
        <v/>
      </c>
    </row>
    <row r="6039">
      <c r="A6039" s="13">
        <f>IF(H6039="","",ROW()-4)</f>
        <v/>
      </c>
      <c r="B6039" s="13">
        <f>IF(H6039="","",ROW()-4)</f>
        <v/>
      </c>
    </row>
    <row r="6040">
      <c r="A6040" s="13">
        <f>IF(H6040="","",ROW()-4)</f>
        <v/>
      </c>
      <c r="B6040" s="13">
        <f>IF(H6040="","",ROW()-4)</f>
        <v/>
      </c>
    </row>
    <row r="6041">
      <c r="A6041" s="13">
        <f>IF(H6041="","",ROW()-4)</f>
        <v/>
      </c>
      <c r="B6041" s="13">
        <f>IF(H6041="","",ROW()-4)</f>
        <v/>
      </c>
    </row>
    <row r="6042">
      <c r="A6042" s="13">
        <f>IF(H6042="","",ROW()-4)</f>
        <v/>
      </c>
      <c r="B6042" s="13">
        <f>IF(H6042="","",ROW()-4)</f>
        <v/>
      </c>
    </row>
    <row r="6043">
      <c r="A6043" s="13">
        <f>IF(H6043="","",ROW()-4)</f>
        <v/>
      </c>
      <c r="B6043" s="13">
        <f>IF(H6043="","",ROW()-4)</f>
        <v/>
      </c>
    </row>
    <row r="6044">
      <c r="A6044" s="13">
        <f>IF(H6044="","",ROW()-4)</f>
        <v/>
      </c>
      <c r="B6044" s="13">
        <f>IF(H6044="","",ROW()-4)</f>
        <v/>
      </c>
    </row>
    <row r="6045">
      <c r="A6045" s="13">
        <f>IF(H6045="","",ROW()-4)</f>
        <v/>
      </c>
      <c r="B6045" s="13">
        <f>IF(H6045="","",ROW()-4)</f>
        <v/>
      </c>
    </row>
    <row r="6046">
      <c r="A6046" s="13">
        <f>IF(H6046="","",ROW()-4)</f>
        <v/>
      </c>
      <c r="B6046" s="13">
        <f>IF(H6046="","",ROW()-4)</f>
        <v/>
      </c>
    </row>
    <row r="6047">
      <c r="A6047" s="13">
        <f>IF(H6047="","",ROW()-4)</f>
        <v/>
      </c>
      <c r="B6047" s="13">
        <f>IF(H6047="","",ROW()-4)</f>
        <v/>
      </c>
    </row>
    <row r="6048">
      <c r="A6048" s="13">
        <f>IF(H6048="","",ROW()-4)</f>
        <v/>
      </c>
      <c r="B6048" s="13">
        <f>IF(H6048="","",ROW()-4)</f>
        <v/>
      </c>
    </row>
    <row r="6049">
      <c r="A6049" s="13">
        <f>IF(H6049="","",ROW()-4)</f>
        <v/>
      </c>
      <c r="B6049" s="13">
        <f>IF(H6049="","",ROW()-4)</f>
        <v/>
      </c>
    </row>
    <row r="6050">
      <c r="A6050" s="13">
        <f>IF(H6050="","",ROW()-4)</f>
        <v/>
      </c>
      <c r="B6050" s="13">
        <f>IF(H6050="","",ROW()-4)</f>
        <v/>
      </c>
    </row>
    <row r="6051">
      <c r="A6051" s="13">
        <f>IF(H6051="","",ROW()-4)</f>
        <v/>
      </c>
      <c r="B6051" s="13">
        <f>IF(H6051="","",ROW()-4)</f>
        <v/>
      </c>
    </row>
    <row r="6052">
      <c r="A6052" s="13">
        <f>IF(H6052="","",ROW()-4)</f>
        <v/>
      </c>
      <c r="B6052" s="13">
        <f>IF(H6052="","",ROW()-4)</f>
        <v/>
      </c>
    </row>
    <row r="6053">
      <c r="A6053" s="13">
        <f>IF(H6053="","",ROW()-4)</f>
        <v/>
      </c>
      <c r="B6053" s="13">
        <f>IF(H6053="","",ROW()-4)</f>
        <v/>
      </c>
    </row>
    <row r="6054">
      <c r="A6054" s="13">
        <f>IF(H6054="","",ROW()-4)</f>
        <v/>
      </c>
      <c r="B6054" s="13">
        <f>IF(H6054="","",ROW()-4)</f>
        <v/>
      </c>
    </row>
    <row r="6055">
      <c r="A6055" s="13">
        <f>IF(H6055="","",ROW()-4)</f>
        <v/>
      </c>
      <c r="B6055" s="13">
        <f>IF(H6055="","",ROW()-4)</f>
        <v/>
      </c>
    </row>
    <row r="6056">
      <c r="A6056" s="13">
        <f>IF(H6056="","",ROW()-4)</f>
        <v/>
      </c>
      <c r="B6056" s="13">
        <f>IF(H6056="","",ROW()-4)</f>
        <v/>
      </c>
    </row>
    <row r="6057">
      <c r="A6057" s="13">
        <f>IF(H6057="","",ROW()-4)</f>
        <v/>
      </c>
      <c r="B6057" s="13">
        <f>IF(H6057="","",ROW()-4)</f>
        <v/>
      </c>
    </row>
    <row r="6058">
      <c r="A6058" s="13">
        <f>IF(H6058="","",ROW()-4)</f>
        <v/>
      </c>
      <c r="B6058" s="13">
        <f>IF(H6058="","",ROW()-4)</f>
        <v/>
      </c>
    </row>
    <row r="6059">
      <c r="A6059" s="13">
        <f>IF(H6059="","",ROW()-4)</f>
        <v/>
      </c>
      <c r="B6059" s="13">
        <f>IF(H6059="","",ROW()-4)</f>
        <v/>
      </c>
    </row>
    <row r="6060">
      <c r="A6060" s="13">
        <f>IF(H6060="","",ROW()-4)</f>
        <v/>
      </c>
      <c r="B6060" s="13">
        <f>IF(H6060="","",ROW()-4)</f>
        <v/>
      </c>
    </row>
    <row r="6061">
      <c r="A6061" s="13">
        <f>IF(H6061="","",ROW()-4)</f>
        <v/>
      </c>
      <c r="B6061" s="13">
        <f>IF(H6061="","",ROW()-4)</f>
        <v/>
      </c>
    </row>
    <row r="6062">
      <c r="A6062" s="13">
        <f>IF(H6062="","",ROW()-4)</f>
        <v/>
      </c>
      <c r="B6062" s="13">
        <f>IF(H6062="","",ROW()-4)</f>
        <v/>
      </c>
    </row>
    <row r="6063">
      <c r="A6063" s="13">
        <f>IF(H6063="","",ROW()-4)</f>
        <v/>
      </c>
      <c r="B6063" s="13">
        <f>IF(H6063="","",ROW()-4)</f>
        <v/>
      </c>
    </row>
    <row r="6064">
      <c r="A6064" s="13">
        <f>IF(H6064="","",ROW()-4)</f>
        <v/>
      </c>
      <c r="B6064" s="13">
        <f>IF(H6064="","",ROW()-4)</f>
        <v/>
      </c>
    </row>
    <row r="6065">
      <c r="A6065" s="13">
        <f>IF(H6065="","",ROW()-4)</f>
        <v/>
      </c>
      <c r="B6065" s="13">
        <f>IF(H6065="","",ROW()-4)</f>
        <v/>
      </c>
    </row>
    <row r="6066">
      <c r="A6066" s="13">
        <f>IF(H6066="","",ROW()-4)</f>
        <v/>
      </c>
      <c r="B6066" s="13">
        <f>IF(H6066="","",ROW()-4)</f>
        <v/>
      </c>
    </row>
    <row r="6067">
      <c r="A6067" s="13">
        <f>IF(H6067="","",ROW()-4)</f>
        <v/>
      </c>
      <c r="B6067" s="13">
        <f>IF(H6067="","",ROW()-4)</f>
        <v/>
      </c>
    </row>
    <row r="6068">
      <c r="A6068" s="13">
        <f>IF(H6068="","",ROW()-4)</f>
        <v/>
      </c>
      <c r="B6068" s="13">
        <f>IF(H6068="","",ROW()-4)</f>
        <v/>
      </c>
    </row>
    <row r="6069">
      <c r="A6069" s="13">
        <f>IF(H6069="","",ROW()-4)</f>
        <v/>
      </c>
      <c r="B6069" s="13">
        <f>IF(H6069="","",ROW()-4)</f>
        <v/>
      </c>
    </row>
    <row r="6070">
      <c r="A6070" s="13">
        <f>IF(H6070="","",ROW()-4)</f>
        <v/>
      </c>
      <c r="B6070" s="13">
        <f>IF(H6070="","",ROW()-4)</f>
        <v/>
      </c>
    </row>
    <row r="6071">
      <c r="A6071" s="13">
        <f>IF(H6071="","",ROW()-4)</f>
        <v/>
      </c>
      <c r="B6071" s="13">
        <f>IF(H6071="","",ROW()-4)</f>
        <v/>
      </c>
    </row>
    <row r="6072">
      <c r="A6072" s="13">
        <f>IF(H6072="","",ROW()-4)</f>
        <v/>
      </c>
      <c r="B6072" s="13">
        <f>IF(H6072="","",ROW()-4)</f>
        <v/>
      </c>
    </row>
    <row r="6073">
      <c r="A6073" s="13">
        <f>IF(H6073="","",ROW()-4)</f>
        <v/>
      </c>
      <c r="B6073" s="13">
        <f>IF(H6073="","",ROW()-4)</f>
        <v/>
      </c>
    </row>
    <row r="6074">
      <c r="A6074" s="13">
        <f>IF(H6074="","",ROW()-4)</f>
        <v/>
      </c>
      <c r="B6074" s="13">
        <f>IF(H6074="","",ROW()-4)</f>
        <v/>
      </c>
    </row>
    <row r="6075">
      <c r="A6075" s="13">
        <f>IF(H6075="","",ROW()-4)</f>
        <v/>
      </c>
      <c r="B6075" s="13">
        <f>IF(H6075="","",ROW()-4)</f>
        <v/>
      </c>
    </row>
    <row r="6076">
      <c r="A6076" s="13">
        <f>IF(H6076="","",ROW()-4)</f>
        <v/>
      </c>
      <c r="B6076" s="13">
        <f>IF(H6076="","",ROW()-4)</f>
        <v/>
      </c>
    </row>
    <row r="6077">
      <c r="A6077" s="13">
        <f>IF(H6077="","",ROW()-4)</f>
        <v/>
      </c>
      <c r="B6077" s="13">
        <f>IF(H6077="","",ROW()-4)</f>
        <v/>
      </c>
    </row>
    <row r="6078">
      <c r="A6078" s="13">
        <f>IF(H6078="","",ROW()-4)</f>
        <v/>
      </c>
      <c r="B6078" s="13">
        <f>IF(H6078="","",ROW()-4)</f>
        <v/>
      </c>
    </row>
    <row r="6079">
      <c r="A6079" s="13">
        <f>IF(H6079="","",ROW()-4)</f>
        <v/>
      </c>
      <c r="B6079" s="13">
        <f>IF(H6079="","",ROW()-4)</f>
        <v/>
      </c>
    </row>
    <row r="6080">
      <c r="A6080" s="13">
        <f>IF(H6080="","",ROW()-4)</f>
        <v/>
      </c>
      <c r="B6080" s="13">
        <f>IF(H6080="","",ROW()-4)</f>
        <v/>
      </c>
    </row>
    <row r="6081">
      <c r="A6081" s="13">
        <f>IF(H6081="","",ROW()-4)</f>
        <v/>
      </c>
      <c r="B6081" s="13">
        <f>IF(H6081="","",ROW()-4)</f>
        <v/>
      </c>
    </row>
    <row r="6082">
      <c r="A6082" s="13">
        <f>IF(H6082="","",ROW()-4)</f>
        <v/>
      </c>
      <c r="B6082" s="13">
        <f>IF(H6082="","",ROW()-4)</f>
        <v/>
      </c>
    </row>
    <row r="6083">
      <c r="A6083" s="13">
        <f>IF(H6083="","",ROW()-4)</f>
        <v/>
      </c>
      <c r="B6083" s="13">
        <f>IF(H6083="","",ROW()-4)</f>
        <v/>
      </c>
    </row>
    <row r="6084">
      <c r="A6084" s="13">
        <f>IF(H6084="","",ROW()-4)</f>
        <v/>
      </c>
      <c r="B6084" s="13">
        <f>IF(H6084="","",ROW()-4)</f>
        <v/>
      </c>
    </row>
    <row r="6085">
      <c r="A6085" s="13">
        <f>IF(H6085="","",ROW()-4)</f>
        <v/>
      </c>
      <c r="B6085" s="13">
        <f>IF(H6085="","",ROW()-4)</f>
        <v/>
      </c>
    </row>
    <row r="6086">
      <c r="A6086" s="13">
        <f>IF(H6086="","",ROW()-4)</f>
        <v/>
      </c>
      <c r="B6086" s="13">
        <f>IF(H6086="","",ROW()-4)</f>
        <v/>
      </c>
    </row>
    <row r="6087">
      <c r="A6087" s="13">
        <f>IF(H6087="","",ROW()-4)</f>
        <v/>
      </c>
      <c r="B6087" s="13">
        <f>IF(H6087="","",ROW()-4)</f>
        <v/>
      </c>
    </row>
    <row r="6088">
      <c r="A6088" s="13">
        <f>IF(H6088="","",ROW()-4)</f>
        <v/>
      </c>
      <c r="B6088" s="13">
        <f>IF(H6088="","",ROW()-4)</f>
        <v/>
      </c>
    </row>
    <row r="6089">
      <c r="A6089" s="13">
        <f>IF(H6089="","",ROW()-4)</f>
        <v/>
      </c>
      <c r="B6089" s="13">
        <f>IF(H6089="","",ROW()-4)</f>
        <v/>
      </c>
    </row>
    <row r="6090">
      <c r="A6090" s="13">
        <f>IF(H6090="","",ROW()-4)</f>
        <v/>
      </c>
      <c r="B6090" s="13">
        <f>IF(H6090="","",ROW()-4)</f>
        <v/>
      </c>
    </row>
    <row r="6091">
      <c r="A6091" s="13">
        <f>IF(H6091="","",ROW()-4)</f>
        <v/>
      </c>
      <c r="B6091" s="13">
        <f>IF(H6091="","",ROW()-4)</f>
        <v/>
      </c>
    </row>
    <row r="6092">
      <c r="A6092" s="13">
        <f>IF(H6092="","",ROW()-4)</f>
        <v/>
      </c>
      <c r="B6092" s="13">
        <f>IF(H6092="","",ROW()-4)</f>
        <v/>
      </c>
    </row>
    <row r="6093">
      <c r="A6093" s="13">
        <f>IF(H6093="","",ROW()-4)</f>
        <v/>
      </c>
      <c r="B6093" s="13">
        <f>IF(H6093="","",ROW()-4)</f>
        <v/>
      </c>
    </row>
    <row r="6094">
      <c r="A6094" s="13">
        <f>IF(H6094="","",ROW()-4)</f>
        <v/>
      </c>
      <c r="B6094" s="13">
        <f>IF(H6094="","",ROW()-4)</f>
        <v/>
      </c>
    </row>
    <row r="6095">
      <c r="A6095" s="13">
        <f>IF(H6095="","",ROW()-4)</f>
        <v/>
      </c>
      <c r="B6095" s="13">
        <f>IF(H6095="","",ROW()-4)</f>
        <v/>
      </c>
    </row>
    <row r="6096">
      <c r="A6096" s="13">
        <f>IF(H6096="","",ROW()-4)</f>
        <v/>
      </c>
      <c r="B6096" s="13">
        <f>IF(H6096="","",ROW()-4)</f>
        <v/>
      </c>
    </row>
    <row r="6097">
      <c r="A6097" s="13">
        <f>IF(H6097="","",ROW()-4)</f>
        <v/>
      </c>
      <c r="B6097" s="13">
        <f>IF(H6097="","",ROW()-4)</f>
        <v/>
      </c>
    </row>
    <row r="6098">
      <c r="A6098" s="13">
        <f>IF(H6098="","",ROW()-4)</f>
        <v/>
      </c>
      <c r="B6098" s="13">
        <f>IF(H6098="","",ROW()-4)</f>
        <v/>
      </c>
    </row>
    <row r="6099">
      <c r="A6099" s="13">
        <f>IF(H6099="","",ROW()-4)</f>
        <v/>
      </c>
      <c r="B6099" s="13">
        <f>IF(H6099="","",ROW()-4)</f>
        <v/>
      </c>
    </row>
    <row r="6100">
      <c r="A6100" s="13">
        <f>IF(H6100="","",ROW()-4)</f>
        <v/>
      </c>
      <c r="B6100" s="13">
        <f>IF(H6100="","",ROW()-4)</f>
        <v/>
      </c>
    </row>
    <row r="6101">
      <c r="A6101" s="13">
        <f>IF(H6101="","",ROW()-4)</f>
        <v/>
      </c>
      <c r="B6101" s="13">
        <f>IF(H6101="","",ROW()-4)</f>
        <v/>
      </c>
    </row>
    <row r="6102">
      <c r="A6102" s="13">
        <f>IF(H6102="","",ROW()-4)</f>
        <v/>
      </c>
      <c r="B6102" s="13">
        <f>IF(H6102="","",ROW()-4)</f>
        <v/>
      </c>
    </row>
    <row r="6103">
      <c r="A6103" s="13">
        <f>IF(H6103="","",ROW()-4)</f>
        <v/>
      </c>
      <c r="B6103" s="13">
        <f>IF(H6103="","",ROW()-4)</f>
        <v/>
      </c>
    </row>
    <row r="6104">
      <c r="A6104" s="13">
        <f>IF(H6104="","",ROW()-4)</f>
        <v/>
      </c>
      <c r="B6104" s="13">
        <f>IF(H6104="","",ROW()-4)</f>
        <v/>
      </c>
    </row>
    <row r="6105">
      <c r="A6105" s="13">
        <f>IF(H6105="","",ROW()-4)</f>
        <v/>
      </c>
      <c r="B6105" s="13">
        <f>IF(H6105="","",ROW()-4)</f>
        <v/>
      </c>
    </row>
    <row r="6106">
      <c r="A6106" s="13">
        <f>IF(H6106="","",ROW()-4)</f>
        <v/>
      </c>
      <c r="B6106" s="13">
        <f>IF(H6106="","",ROW()-4)</f>
        <v/>
      </c>
    </row>
    <row r="6107">
      <c r="A6107" s="13">
        <f>IF(H6107="","",ROW()-4)</f>
        <v/>
      </c>
      <c r="B6107" s="13">
        <f>IF(H6107="","",ROW()-4)</f>
        <v/>
      </c>
    </row>
    <row r="6108">
      <c r="A6108" s="13">
        <f>IF(H6108="","",ROW()-4)</f>
        <v/>
      </c>
      <c r="B6108" s="13">
        <f>IF(H6108="","",ROW()-4)</f>
        <v/>
      </c>
    </row>
    <row r="6109">
      <c r="A6109" s="13">
        <f>IF(H6109="","",ROW()-4)</f>
        <v/>
      </c>
      <c r="B6109" s="13">
        <f>IF(H6109="","",ROW()-4)</f>
        <v/>
      </c>
    </row>
    <row r="6110">
      <c r="A6110" s="13">
        <f>IF(H6110="","",ROW()-4)</f>
        <v/>
      </c>
      <c r="B6110" s="13">
        <f>IF(H6110="","",ROW()-4)</f>
        <v/>
      </c>
    </row>
    <row r="6111">
      <c r="A6111" s="13">
        <f>IF(H6111="","",ROW()-4)</f>
        <v/>
      </c>
      <c r="B6111" s="13">
        <f>IF(H6111="","",ROW()-4)</f>
        <v/>
      </c>
    </row>
    <row r="6112">
      <c r="A6112" s="13">
        <f>IF(H6112="","",ROW()-4)</f>
        <v/>
      </c>
      <c r="B6112" s="13">
        <f>IF(H6112="","",ROW()-4)</f>
        <v/>
      </c>
    </row>
    <row r="6113">
      <c r="A6113" s="13">
        <f>IF(H6113="","",ROW()-4)</f>
        <v/>
      </c>
      <c r="B6113" s="13">
        <f>IF(H6113="","",ROW()-4)</f>
        <v/>
      </c>
    </row>
    <row r="6114">
      <c r="A6114" s="13">
        <f>IF(H6114="","",ROW()-4)</f>
        <v/>
      </c>
      <c r="B6114" s="13">
        <f>IF(H6114="","",ROW()-4)</f>
        <v/>
      </c>
    </row>
    <row r="6115">
      <c r="A6115" s="13">
        <f>IF(H6115="","",ROW()-4)</f>
        <v/>
      </c>
      <c r="B6115" s="13">
        <f>IF(H6115="","",ROW()-4)</f>
        <v/>
      </c>
    </row>
    <row r="6116">
      <c r="A6116" s="13">
        <f>IF(H6116="","",ROW()-4)</f>
        <v/>
      </c>
      <c r="B6116" s="13">
        <f>IF(H6116="","",ROW()-4)</f>
        <v/>
      </c>
    </row>
    <row r="6117">
      <c r="A6117" s="13">
        <f>IF(H6117="","",ROW()-4)</f>
        <v/>
      </c>
      <c r="B6117" s="13">
        <f>IF(H6117="","",ROW()-4)</f>
        <v/>
      </c>
    </row>
    <row r="6118">
      <c r="A6118" s="13">
        <f>IF(H6118="","",ROW()-4)</f>
        <v/>
      </c>
      <c r="B6118" s="13">
        <f>IF(H6118="","",ROW()-4)</f>
        <v/>
      </c>
    </row>
    <row r="6119">
      <c r="A6119" s="13">
        <f>IF(H6119="","",ROW()-4)</f>
        <v/>
      </c>
      <c r="B6119" s="13">
        <f>IF(H6119="","",ROW()-4)</f>
        <v/>
      </c>
    </row>
    <row r="6120">
      <c r="A6120" s="13">
        <f>IF(H6120="","",ROW()-4)</f>
        <v/>
      </c>
      <c r="B6120" s="13">
        <f>IF(H6120="","",ROW()-4)</f>
        <v/>
      </c>
    </row>
    <row r="6121">
      <c r="A6121" s="13">
        <f>IF(H6121="","",ROW()-4)</f>
        <v/>
      </c>
      <c r="B6121" s="13">
        <f>IF(H6121="","",ROW()-4)</f>
        <v/>
      </c>
    </row>
    <row r="6122">
      <c r="A6122" s="13">
        <f>IF(H6122="","",ROW()-4)</f>
        <v/>
      </c>
      <c r="B6122" s="13">
        <f>IF(H6122="","",ROW()-4)</f>
        <v/>
      </c>
    </row>
    <row r="6123">
      <c r="A6123" s="13">
        <f>IF(H6123="","",ROW()-4)</f>
        <v/>
      </c>
      <c r="B6123" s="13">
        <f>IF(H6123="","",ROW()-4)</f>
        <v/>
      </c>
    </row>
    <row r="6124">
      <c r="A6124" s="13">
        <f>IF(H6124="","",ROW()-4)</f>
        <v/>
      </c>
      <c r="B6124" s="13">
        <f>IF(H6124="","",ROW()-4)</f>
        <v/>
      </c>
    </row>
    <row r="6125">
      <c r="A6125" s="13">
        <f>IF(H6125="","",ROW()-4)</f>
        <v/>
      </c>
      <c r="B6125" s="13">
        <f>IF(H6125="","",ROW()-4)</f>
        <v/>
      </c>
    </row>
    <row r="6126">
      <c r="A6126" s="13">
        <f>IF(H6126="","",ROW()-4)</f>
        <v/>
      </c>
      <c r="B6126" s="13">
        <f>IF(H6126="","",ROW()-4)</f>
        <v/>
      </c>
    </row>
    <row r="6127">
      <c r="A6127" s="13">
        <f>IF(H6127="","",ROW()-4)</f>
        <v/>
      </c>
      <c r="B6127" s="13">
        <f>IF(H6127="","",ROW()-4)</f>
        <v/>
      </c>
    </row>
    <row r="6128">
      <c r="A6128" s="13">
        <f>IF(H6128="","",ROW()-4)</f>
        <v/>
      </c>
      <c r="B6128" s="13">
        <f>IF(H6128="","",ROW()-4)</f>
        <v/>
      </c>
    </row>
    <row r="6129">
      <c r="A6129" s="13">
        <f>IF(H6129="","",ROW()-4)</f>
        <v/>
      </c>
      <c r="B6129" s="13">
        <f>IF(H6129="","",ROW()-4)</f>
        <v/>
      </c>
    </row>
    <row r="6130">
      <c r="A6130" s="13">
        <f>IF(H6130="","",ROW()-4)</f>
        <v/>
      </c>
      <c r="B6130" s="13">
        <f>IF(H6130="","",ROW()-4)</f>
        <v/>
      </c>
    </row>
    <row r="6131">
      <c r="A6131" s="13">
        <f>IF(H6131="","",ROW()-4)</f>
        <v/>
      </c>
      <c r="B6131" s="13">
        <f>IF(H6131="","",ROW()-4)</f>
        <v/>
      </c>
    </row>
    <row r="6132">
      <c r="A6132" s="13">
        <f>IF(H6132="","",ROW()-4)</f>
        <v/>
      </c>
      <c r="B6132" s="13">
        <f>IF(H6132="","",ROW()-4)</f>
        <v/>
      </c>
    </row>
    <row r="6133">
      <c r="A6133" s="13">
        <f>IF(H6133="","",ROW()-4)</f>
        <v/>
      </c>
      <c r="B6133" s="13">
        <f>IF(H6133="","",ROW()-4)</f>
        <v/>
      </c>
    </row>
    <row r="6134">
      <c r="A6134" s="13">
        <f>IF(H6134="","",ROW()-4)</f>
        <v/>
      </c>
      <c r="B6134" s="13">
        <f>IF(H6134="","",ROW()-4)</f>
        <v/>
      </c>
    </row>
    <row r="6135">
      <c r="A6135" s="13">
        <f>IF(H6135="","",ROW()-4)</f>
        <v/>
      </c>
      <c r="B6135" s="13">
        <f>IF(H6135="","",ROW()-4)</f>
        <v/>
      </c>
    </row>
    <row r="6136">
      <c r="A6136" s="13">
        <f>IF(H6136="","",ROW()-4)</f>
        <v/>
      </c>
      <c r="B6136" s="13">
        <f>IF(H6136="","",ROW()-4)</f>
        <v/>
      </c>
    </row>
    <row r="6137">
      <c r="A6137" s="13">
        <f>IF(H6137="","",ROW()-4)</f>
        <v/>
      </c>
      <c r="B6137" s="13">
        <f>IF(H6137="","",ROW()-4)</f>
        <v/>
      </c>
    </row>
    <row r="6138">
      <c r="A6138" s="13">
        <f>IF(H6138="","",ROW()-4)</f>
        <v/>
      </c>
      <c r="B6138" s="13">
        <f>IF(H6138="","",ROW()-4)</f>
        <v/>
      </c>
    </row>
    <row r="6139">
      <c r="A6139" s="13">
        <f>IF(H6139="","",ROW()-4)</f>
        <v/>
      </c>
      <c r="B6139" s="13">
        <f>IF(H6139="","",ROW()-4)</f>
        <v/>
      </c>
    </row>
    <row r="6140">
      <c r="A6140" s="13">
        <f>IF(H6140="","",ROW()-4)</f>
        <v/>
      </c>
      <c r="B6140" s="13">
        <f>IF(H6140="","",ROW()-4)</f>
        <v/>
      </c>
    </row>
    <row r="6141">
      <c r="A6141" s="13">
        <f>IF(H6141="","",ROW()-4)</f>
        <v/>
      </c>
      <c r="B6141" s="13">
        <f>IF(H6141="","",ROW()-4)</f>
        <v/>
      </c>
    </row>
    <row r="6142">
      <c r="A6142" s="13">
        <f>IF(H6142="","",ROW()-4)</f>
        <v/>
      </c>
      <c r="B6142" s="13">
        <f>IF(H6142="","",ROW()-4)</f>
        <v/>
      </c>
    </row>
    <row r="6143">
      <c r="A6143" s="13">
        <f>IF(H6143="","",ROW()-4)</f>
        <v/>
      </c>
      <c r="B6143" s="13">
        <f>IF(H6143="","",ROW()-4)</f>
        <v/>
      </c>
    </row>
    <row r="6144">
      <c r="A6144" s="13">
        <f>IF(H6144="","",ROW()-4)</f>
        <v/>
      </c>
      <c r="B6144" s="13">
        <f>IF(H6144="","",ROW()-4)</f>
        <v/>
      </c>
    </row>
    <row r="6145">
      <c r="A6145" s="13">
        <f>IF(H6145="","",ROW()-4)</f>
        <v/>
      </c>
      <c r="B6145" s="13">
        <f>IF(H6145="","",ROW()-4)</f>
        <v/>
      </c>
    </row>
    <row r="6146">
      <c r="A6146" s="13">
        <f>IF(H6146="","",ROW()-4)</f>
        <v/>
      </c>
      <c r="B6146" s="13">
        <f>IF(H6146="","",ROW()-4)</f>
        <v/>
      </c>
    </row>
    <row r="6147">
      <c r="A6147" s="13">
        <f>IF(H6147="","",ROW()-4)</f>
        <v/>
      </c>
      <c r="B6147" s="13">
        <f>IF(H6147="","",ROW()-4)</f>
        <v/>
      </c>
    </row>
    <row r="6148">
      <c r="A6148" s="13">
        <f>IF(H6148="","",ROW()-4)</f>
        <v/>
      </c>
      <c r="B6148" s="13">
        <f>IF(H6148="","",ROW()-4)</f>
        <v/>
      </c>
    </row>
    <row r="6149">
      <c r="A6149" s="13">
        <f>IF(H6149="","",ROW()-4)</f>
        <v/>
      </c>
      <c r="B6149" s="13">
        <f>IF(H6149="","",ROW()-4)</f>
        <v/>
      </c>
    </row>
    <row r="6150">
      <c r="A6150" s="13">
        <f>IF(H6150="","",ROW()-4)</f>
        <v/>
      </c>
      <c r="B6150" s="13">
        <f>IF(H6150="","",ROW()-4)</f>
        <v/>
      </c>
    </row>
    <row r="6151">
      <c r="A6151" s="13">
        <f>IF(H6151="","",ROW()-4)</f>
        <v/>
      </c>
      <c r="B6151" s="13">
        <f>IF(H6151="","",ROW()-4)</f>
        <v/>
      </c>
    </row>
    <row r="6152">
      <c r="A6152" s="13">
        <f>IF(H6152="","",ROW()-4)</f>
        <v/>
      </c>
      <c r="B6152" s="13">
        <f>IF(H6152="","",ROW()-4)</f>
        <v/>
      </c>
    </row>
    <row r="6153">
      <c r="A6153" s="13">
        <f>IF(H6153="","",ROW()-4)</f>
        <v/>
      </c>
      <c r="B6153" s="13">
        <f>IF(H6153="","",ROW()-4)</f>
        <v/>
      </c>
    </row>
    <row r="6154">
      <c r="A6154" s="13">
        <f>IF(H6154="","",ROW()-4)</f>
        <v/>
      </c>
      <c r="B6154" s="13">
        <f>IF(H6154="","",ROW()-4)</f>
        <v/>
      </c>
    </row>
    <row r="6155">
      <c r="A6155" s="13">
        <f>IF(H6155="","",ROW()-4)</f>
        <v/>
      </c>
      <c r="B6155" s="13">
        <f>IF(H6155="","",ROW()-4)</f>
        <v/>
      </c>
    </row>
    <row r="6156">
      <c r="A6156" s="13">
        <f>IF(H6156="","",ROW()-4)</f>
        <v/>
      </c>
      <c r="B6156" s="13">
        <f>IF(H6156="","",ROW()-4)</f>
        <v/>
      </c>
    </row>
    <row r="6157">
      <c r="A6157" s="13">
        <f>IF(H6157="","",ROW()-4)</f>
        <v/>
      </c>
      <c r="B6157" s="13">
        <f>IF(H6157="","",ROW()-4)</f>
        <v/>
      </c>
    </row>
    <row r="6158">
      <c r="A6158" s="13">
        <f>IF(H6158="","",ROW()-4)</f>
        <v/>
      </c>
      <c r="B6158" s="13">
        <f>IF(H6158="","",ROW()-4)</f>
        <v/>
      </c>
    </row>
    <row r="6159">
      <c r="A6159" s="13">
        <f>IF(H6159="","",ROW()-4)</f>
        <v/>
      </c>
      <c r="B6159" s="13">
        <f>IF(H6159="","",ROW()-4)</f>
        <v/>
      </c>
    </row>
    <row r="6160">
      <c r="A6160" s="13">
        <f>IF(H6160="","",ROW()-4)</f>
        <v/>
      </c>
      <c r="B6160" s="13">
        <f>IF(H6160="","",ROW()-4)</f>
        <v/>
      </c>
    </row>
    <row r="6161">
      <c r="A6161" s="13">
        <f>IF(H6161="","",ROW()-4)</f>
        <v/>
      </c>
      <c r="B6161" s="13">
        <f>IF(H6161="","",ROW()-4)</f>
        <v/>
      </c>
    </row>
    <row r="6162">
      <c r="A6162" s="13">
        <f>IF(H6162="","",ROW()-4)</f>
        <v/>
      </c>
      <c r="B6162" s="13">
        <f>IF(H6162="","",ROW()-4)</f>
        <v/>
      </c>
    </row>
    <row r="6163">
      <c r="A6163" s="13">
        <f>IF(H6163="","",ROW()-4)</f>
        <v/>
      </c>
      <c r="B6163" s="13">
        <f>IF(H6163="","",ROW()-4)</f>
        <v/>
      </c>
    </row>
    <row r="6164">
      <c r="A6164" s="13">
        <f>IF(H6164="","",ROW()-4)</f>
        <v/>
      </c>
      <c r="B6164" s="13">
        <f>IF(H6164="","",ROW()-4)</f>
        <v/>
      </c>
    </row>
    <row r="6165">
      <c r="A6165" s="13">
        <f>IF(H6165="","",ROW()-4)</f>
        <v/>
      </c>
      <c r="B6165" s="13">
        <f>IF(H6165="","",ROW()-4)</f>
        <v/>
      </c>
    </row>
    <row r="6166">
      <c r="A6166" s="13">
        <f>IF(H6166="","",ROW()-4)</f>
        <v/>
      </c>
      <c r="B6166" s="13">
        <f>IF(H6166="","",ROW()-4)</f>
        <v/>
      </c>
    </row>
    <row r="6167">
      <c r="A6167" s="13">
        <f>IF(H6167="","",ROW()-4)</f>
        <v/>
      </c>
      <c r="B6167" s="13">
        <f>IF(H6167="","",ROW()-4)</f>
        <v/>
      </c>
    </row>
    <row r="6168">
      <c r="A6168" s="13">
        <f>IF(H6168="","",ROW()-4)</f>
        <v/>
      </c>
      <c r="B6168" s="13">
        <f>IF(H6168="","",ROW()-4)</f>
        <v/>
      </c>
    </row>
    <row r="6169">
      <c r="A6169" s="13">
        <f>IF(H6169="","",ROW()-4)</f>
        <v/>
      </c>
      <c r="B6169" s="13">
        <f>IF(H6169="","",ROW()-4)</f>
        <v/>
      </c>
    </row>
    <row r="6170">
      <c r="A6170" s="13">
        <f>IF(H6170="","",ROW()-4)</f>
        <v/>
      </c>
      <c r="B6170" s="13">
        <f>IF(H6170="","",ROW()-4)</f>
        <v/>
      </c>
    </row>
    <row r="6171">
      <c r="A6171" s="13">
        <f>IF(H6171="","",ROW()-4)</f>
        <v/>
      </c>
      <c r="B6171" s="13">
        <f>IF(H6171="","",ROW()-4)</f>
        <v/>
      </c>
    </row>
    <row r="6172">
      <c r="A6172" s="13">
        <f>IF(H6172="","",ROW()-4)</f>
        <v/>
      </c>
      <c r="B6172" s="13">
        <f>IF(H6172="","",ROW()-4)</f>
        <v/>
      </c>
    </row>
    <row r="6173">
      <c r="A6173" s="13">
        <f>IF(H6173="","",ROW()-4)</f>
        <v/>
      </c>
      <c r="B6173" s="13">
        <f>IF(H6173="","",ROW()-4)</f>
        <v/>
      </c>
    </row>
    <row r="6174">
      <c r="A6174" s="13">
        <f>IF(H6174="","",ROW()-4)</f>
        <v/>
      </c>
      <c r="B6174" s="13">
        <f>IF(H6174="","",ROW()-4)</f>
        <v/>
      </c>
    </row>
    <row r="6175">
      <c r="A6175" s="13">
        <f>IF(H6175="","",ROW()-4)</f>
        <v/>
      </c>
      <c r="B6175" s="13">
        <f>IF(H6175="","",ROW()-4)</f>
        <v/>
      </c>
    </row>
    <row r="6176">
      <c r="A6176" s="13">
        <f>IF(H6176="","",ROW()-4)</f>
        <v/>
      </c>
      <c r="B6176" s="13">
        <f>IF(H6176="","",ROW()-4)</f>
        <v/>
      </c>
    </row>
    <row r="6177">
      <c r="A6177" s="13">
        <f>IF(H6177="","",ROW()-4)</f>
        <v/>
      </c>
      <c r="B6177" s="13">
        <f>IF(H6177="","",ROW()-4)</f>
        <v/>
      </c>
    </row>
    <row r="6178">
      <c r="A6178" s="13">
        <f>IF(H6178="","",ROW()-4)</f>
        <v/>
      </c>
      <c r="B6178" s="13">
        <f>IF(H6178="","",ROW()-4)</f>
        <v/>
      </c>
    </row>
    <row r="6179">
      <c r="A6179" s="13">
        <f>IF(H6179="","",ROW()-4)</f>
        <v/>
      </c>
      <c r="B6179" s="13">
        <f>IF(H6179="","",ROW()-4)</f>
        <v/>
      </c>
    </row>
    <row r="6180">
      <c r="A6180" s="13">
        <f>IF(H6180="","",ROW()-4)</f>
        <v/>
      </c>
      <c r="B6180" s="13">
        <f>IF(H6180="","",ROW()-4)</f>
        <v/>
      </c>
    </row>
    <row r="6181">
      <c r="A6181" s="13">
        <f>IF(H6181="","",ROW()-4)</f>
        <v/>
      </c>
      <c r="B6181" s="13">
        <f>IF(H6181="","",ROW()-4)</f>
        <v/>
      </c>
    </row>
    <row r="6182">
      <c r="A6182" s="13">
        <f>IF(H6182="","",ROW()-4)</f>
        <v/>
      </c>
      <c r="B6182" s="13">
        <f>IF(H6182="","",ROW()-4)</f>
        <v/>
      </c>
    </row>
    <row r="6183">
      <c r="A6183" s="13">
        <f>IF(H6183="","",ROW()-4)</f>
        <v/>
      </c>
      <c r="B6183" s="13">
        <f>IF(H6183="","",ROW()-4)</f>
        <v/>
      </c>
    </row>
    <row r="6184">
      <c r="A6184" s="13">
        <f>IF(H6184="","",ROW()-4)</f>
        <v/>
      </c>
      <c r="B6184" s="13">
        <f>IF(H6184="","",ROW()-4)</f>
        <v/>
      </c>
    </row>
    <row r="6185">
      <c r="A6185" s="13">
        <f>IF(H6185="","",ROW()-4)</f>
        <v/>
      </c>
      <c r="B6185" s="13">
        <f>IF(H6185="","",ROW()-4)</f>
        <v/>
      </c>
    </row>
    <row r="6186">
      <c r="A6186" s="13">
        <f>IF(H6186="","",ROW()-4)</f>
        <v/>
      </c>
      <c r="B6186" s="13">
        <f>IF(H6186="","",ROW()-4)</f>
        <v/>
      </c>
    </row>
    <row r="6187">
      <c r="A6187" s="13">
        <f>IF(H6187="","",ROW()-4)</f>
        <v/>
      </c>
      <c r="B6187" s="13">
        <f>IF(H6187="","",ROW()-4)</f>
        <v/>
      </c>
    </row>
    <row r="6188">
      <c r="A6188" s="13">
        <f>IF(H6188="","",ROW()-4)</f>
        <v/>
      </c>
      <c r="B6188" s="13">
        <f>IF(H6188="","",ROW()-4)</f>
        <v/>
      </c>
    </row>
    <row r="6189">
      <c r="A6189" s="13">
        <f>IF(H6189="","",ROW()-4)</f>
        <v/>
      </c>
      <c r="B6189" s="13">
        <f>IF(H6189="","",ROW()-4)</f>
        <v/>
      </c>
    </row>
    <row r="6190">
      <c r="A6190" s="13">
        <f>IF(H6190="","",ROW()-4)</f>
        <v/>
      </c>
      <c r="B6190" s="13">
        <f>IF(H6190="","",ROW()-4)</f>
        <v/>
      </c>
    </row>
    <row r="6191">
      <c r="A6191" s="13">
        <f>IF(H6191="","",ROW()-4)</f>
        <v/>
      </c>
      <c r="B6191" s="13">
        <f>IF(H6191="","",ROW()-4)</f>
        <v/>
      </c>
    </row>
    <row r="6192">
      <c r="A6192" s="13">
        <f>IF(H6192="","",ROW()-4)</f>
        <v/>
      </c>
      <c r="B6192" s="13">
        <f>IF(H6192="","",ROW()-4)</f>
        <v/>
      </c>
    </row>
    <row r="6193">
      <c r="A6193" s="13">
        <f>IF(H6193="","",ROW()-4)</f>
        <v/>
      </c>
      <c r="B6193" s="13">
        <f>IF(H6193="","",ROW()-4)</f>
        <v/>
      </c>
    </row>
    <row r="6194">
      <c r="A6194" s="13">
        <f>IF(H6194="","",ROW()-4)</f>
        <v/>
      </c>
      <c r="B6194" s="13">
        <f>IF(H6194="","",ROW()-4)</f>
        <v/>
      </c>
    </row>
    <row r="6195">
      <c r="A6195" s="13">
        <f>IF(H6195="","",ROW()-4)</f>
        <v/>
      </c>
      <c r="B6195" s="13">
        <f>IF(H6195="","",ROW()-4)</f>
        <v/>
      </c>
    </row>
    <row r="6196">
      <c r="A6196" s="13">
        <f>IF(H6196="","",ROW()-4)</f>
        <v/>
      </c>
      <c r="B6196" s="13">
        <f>IF(H6196="","",ROW()-4)</f>
        <v/>
      </c>
    </row>
    <row r="6197">
      <c r="A6197" s="13">
        <f>IF(H6197="","",ROW()-4)</f>
        <v/>
      </c>
      <c r="B6197" s="13">
        <f>IF(H6197="","",ROW()-4)</f>
        <v/>
      </c>
    </row>
    <row r="6198">
      <c r="A6198" s="13">
        <f>IF(H6198="","",ROW()-4)</f>
        <v/>
      </c>
      <c r="B6198" s="13">
        <f>IF(H6198="","",ROW()-4)</f>
        <v/>
      </c>
    </row>
    <row r="6199">
      <c r="A6199" s="13">
        <f>IF(H6199="","",ROW()-4)</f>
        <v/>
      </c>
      <c r="B6199" s="13">
        <f>IF(H6199="","",ROW()-4)</f>
        <v/>
      </c>
    </row>
    <row r="6200">
      <c r="A6200" s="13">
        <f>IF(H6200="","",ROW()-4)</f>
        <v/>
      </c>
      <c r="B6200" s="13">
        <f>IF(H6200="","",ROW()-4)</f>
        <v/>
      </c>
    </row>
    <row r="6201">
      <c r="A6201" s="13">
        <f>IF(H6201="","",ROW()-4)</f>
        <v/>
      </c>
      <c r="B6201" s="13">
        <f>IF(H6201="","",ROW()-4)</f>
        <v/>
      </c>
    </row>
    <row r="6202">
      <c r="A6202" s="13">
        <f>IF(H6202="","",ROW()-4)</f>
        <v/>
      </c>
      <c r="B6202" s="13">
        <f>IF(H6202="","",ROW()-4)</f>
        <v/>
      </c>
    </row>
    <row r="6203">
      <c r="A6203" s="13">
        <f>IF(H6203="","",ROW()-4)</f>
        <v/>
      </c>
      <c r="B6203" s="13">
        <f>IF(H6203="","",ROW()-4)</f>
        <v/>
      </c>
    </row>
    <row r="6204">
      <c r="A6204" s="13">
        <f>IF(H6204="","",ROW()-4)</f>
        <v/>
      </c>
      <c r="B6204" s="13">
        <f>IF(H6204="","",ROW()-4)</f>
        <v/>
      </c>
    </row>
    <row r="6205">
      <c r="A6205" s="13">
        <f>IF(H6205="","",ROW()-4)</f>
        <v/>
      </c>
      <c r="B6205" s="13">
        <f>IF(H6205="","",ROW()-4)</f>
        <v/>
      </c>
    </row>
    <row r="6206">
      <c r="A6206" s="13">
        <f>IF(H6206="","",ROW()-4)</f>
        <v/>
      </c>
      <c r="B6206" s="13">
        <f>IF(H6206="","",ROW()-4)</f>
        <v/>
      </c>
    </row>
    <row r="6207">
      <c r="A6207" s="13">
        <f>IF(H6207="","",ROW()-4)</f>
        <v/>
      </c>
      <c r="B6207" s="13">
        <f>IF(H6207="","",ROW()-4)</f>
        <v/>
      </c>
    </row>
    <row r="6208">
      <c r="A6208" s="13">
        <f>IF(H6208="","",ROW()-4)</f>
        <v/>
      </c>
      <c r="B6208" s="13">
        <f>IF(H6208="","",ROW()-4)</f>
        <v/>
      </c>
    </row>
    <row r="6209">
      <c r="A6209" s="13">
        <f>IF(H6209="","",ROW()-4)</f>
        <v/>
      </c>
      <c r="B6209" s="13">
        <f>IF(H6209="","",ROW()-4)</f>
        <v/>
      </c>
    </row>
    <row r="6210">
      <c r="A6210" s="13">
        <f>IF(H6210="","",ROW()-4)</f>
        <v/>
      </c>
      <c r="B6210" s="13">
        <f>IF(H6210="","",ROW()-4)</f>
        <v/>
      </c>
    </row>
    <row r="6211">
      <c r="A6211" s="13">
        <f>IF(H6211="","",ROW()-4)</f>
        <v/>
      </c>
      <c r="B6211" s="13">
        <f>IF(H6211="","",ROW()-4)</f>
        <v/>
      </c>
    </row>
    <row r="6212">
      <c r="A6212" s="13">
        <f>IF(H6212="","",ROW()-4)</f>
        <v/>
      </c>
      <c r="B6212" s="13">
        <f>IF(H6212="","",ROW()-4)</f>
        <v/>
      </c>
    </row>
    <row r="6213">
      <c r="A6213" s="13">
        <f>IF(H6213="","",ROW()-4)</f>
        <v/>
      </c>
      <c r="B6213" s="13">
        <f>IF(H6213="","",ROW()-4)</f>
        <v/>
      </c>
    </row>
    <row r="6214">
      <c r="A6214" s="13">
        <f>IF(H6214="","",ROW()-4)</f>
        <v/>
      </c>
      <c r="B6214" s="13">
        <f>IF(H6214="","",ROW()-4)</f>
        <v/>
      </c>
    </row>
    <row r="6215">
      <c r="A6215" s="13">
        <f>IF(H6215="","",ROW()-4)</f>
        <v/>
      </c>
      <c r="B6215" s="13">
        <f>IF(H6215="","",ROW()-4)</f>
        <v/>
      </c>
    </row>
    <row r="6216">
      <c r="A6216" s="13">
        <f>IF(H6216="","",ROW()-4)</f>
        <v/>
      </c>
      <c r="B6216" s="13">
        <f>IF(H6216="","",ROW()-4)</f>
        <v/>
      </c>
    </row>
    <row r="6217">
      <c r="A6217" s="13">
        <f>IF(H6217="","",ROW()-4)</f>
        <v/>
      </c>
      <c r="B6217" s="13">
        <f>IF(H6217="","",ROW()-4)</f>
        <v/>
      </c>
    </row>
    <row r="6218">
      <c r="A6218" s="13">
        <f>IF(H6218="","",ROW()-4)</f>
        <v/>
      </c>
      <c r="B6218" s="13">
        <f>IF(H6218="","",ROW()-4)</f>
        <v/>
      </c>
    </row>
    <row r="6219">
      <c r="A6219" s="13">
        <f>IF(H6219="","",ROW()-4)</f>
        <v/>
      </c>
      <c r="B6219" s="13">
        <f>IF(H6219="","",ROW()-4)</f>
        <v/>
      </c>
    </row>
    <row r="6220">
      <c r="A6220" s="13">
        <f>IF(H6220="","",ROW()-4)</f>
        <v/>
      </c>
      <c r="B6220" s="13">
        <f>IF(H6220="","",ROW()-4)</f>
        <v/>
      </c>
    </row>
    <row r="6221">
      <c r="A6221" s="13">
        <f>IF(H6221="","",ROW()-4)</f>
        <v/>
      </c>
      <c r="B6221" s="13">
        <f>IF(H6221="","",ROW()-4)</f>
        <v/>
      </c>
    </row>
    <row r="6222">
      <c r="A6222" s="13">
        <f>IF(H6222="","",ROW()-4)</f>
        <v/>
      </c>
      <c r="B6222" s="13">
        <f>IF(H6222="","",ROW()-4)</f>
        <v/>
      </c>
    </row>
    <row r="6223">
      <c r="A6223" s="13">
        <f>IF(H6223="","",ROW()-4)</f>
        <v/>
      </c>
      <c r="B6223" s="13">
        <f>IF(H6223="","",ROW()-4)</f>
        <v/>
      </c>
    </row>
    <row r="6224">
      <c r="A6224" s="13">
        <f>IF(H6224="","",ROW()-4)</f>
        <v/>
      </c>
      <c r="B6224" s="13">
        <f>IF(H6224="","",ROW()-4)</f>
        <v/>
      </c>
    </row>
    <row r="6225">
      <c r="A6225" s="13">
        <f>IF(H6225="","",ROW()-4)</f>
        <v/>
      </c>
      <c r="B6225" s="13">
        <f>IF(H6225="","",ROW()-4)</f>
        <v/>
      </c>
    </row>
    <row r="6226">
      <c r="A6226" s="13">
        <f>IF(H6226="","",ROW()-4)</f>
        <v/>
      </c>
      <c r="B6226" s="13">
        <f>IF(H6226="","",ROW()-4)</f>
        <v/>
      </c>
    </row>
    <row r="6227">
      <c r="A6227" s="13">
        <f>IF(H6227="","",ROW()-4)</f>
        <v/>
      </c>
      <c r="B6227" s="13">
        <f>IF(H6227="","",ROW()-4)</f>
        <v/>
      </c>
    </row>
    <row r="6228">
      <c r="A6228" s="13">
        <f>IF(H6228="","",ROW()-4)</f>
        <v/>
      </c>
      <c r="B6228" s="13">
        <f>IF(H6228="","",ROW()-4)</f>
        <v/>
      </c>
    </row>
    <row r="6229">
      <c r="A6229" s="13">
        <f>IF(H6229="","",ROW()-4)</f>
        <v/>
      </c>
      <c r="B6229" s="13">
        <f>IF(H6229="","",ROW()-4)</f>
        <v/>
      </c>
    </row>
    <row r="6230">
      <c r="A6230" s="13">
        <f>IF(H6230="","",ROW()-4)</f>
        <v/>
      </c>
      <c r="B6230" s="13">
        <f>IF(H6230="","",ROW()-4)</f>
        <v/>
      </c>
    </row>
    <row r="6231">
      <c r="A6231" s="13">
        <f>IF(H6231="","",ROW()-4)</f>
        <v/>
      </c>
      <c r="B6231" s="13">
        <f>IF(H6231="","",ROW()-4)</f>
        <v/>
      </c>
    </row>
    <row r="6232">
      <c r="A6232" s="13">
        <f>IF(H6232="","",ROW()-4)</f>
        <v/>
      </c>
      <c r="B6232" s="13">
        <f>IF(H6232="","",ROW()-4)</f>
        <v/>
      </c>
    </row>
    <row r="6233">
      <c r="A6233" s="13">
        <f>IF(H6233="","",ROW()-4)</f>
        <v/>
      </c>
      <c r="B6233" s="13">
        <f>IF(H6233="","",ROW()-4)</f>
        <v/>
      </c>
    </row>
    <row r="6234">
      <c r="A6234" s="13">
        <f>IF(H6234="","",ROW()-4)</f>
        <v/>
      </c>
      <c r="B6234" s="13">
        <f>IF(H6234="","",ROW()-4)</f>
        <v/>
      </c>
    </row>
    <row r="6235">
      <c r="A6235" s="13">
        <f>IF(H6235="","",ROW()-4)</f>
        <v/>
      </c>
      <c r="B6235" s="13">
        <f>IF(H6235="","",ROW()-4)</f>
        <v/>
      </c>
    </row>
    <row r="6236">
      <c r="A6236" s="13">
        <f>IF(H6236="","",ROW()-4)</f>
        <v/>
      </c>
      <c r="B6236" s="13">
        <f>IF(H6236="","",ROW()-4)</f>
        <v/>
      </c>
    </row>
    <row r="6237">
      <c r="A6237" s="13">
        <f>IF(H6237="","",ROW()-4)</f>
        <v/>
      </c>
      <c r="B6237" s="13">
        <f>IF(H6237="","",ROW()-4)</f>
        <v/>
      </c>
    </row>
    <row r="6238">
      <c r="A6238" s="13">
        <f>IF(H6238="","",ROW()-4)</f>
        <v/>
      </c>
      <c r="B6238" s="13">
        <f>IF(H6238="","",ROW()-4)</f>
        <v/>
      </c>
    </row>
    <row r="6239">
      <c r="A6239" s="13">
        <f>IF(H6239="","",ROW()-4)</f>
        <v/>
      </c>
      <c r="B6239" s="13">
        <f>IF(H6239="","",ROW()-4)</f>
        <v/>
      </c>
    </row>
    <row r="6240">
      <c r="A6240" s="13">
        <f>IF(H6240="","",ROW()-4)</f>
        <v/>
      </c>
      <c r="B6240" s="13">
        <f>IF(H6240="","",ROW()-4)</f>
        <v/>
      </c>
    </row>
    <row r="6241">
      <c r="A6241" s="13">
        <f>IF(H6241="","",ROW()-4)</f>
        <v/>
      </c>
      <c r="B6241" s="13">
        <f>IF(H6241="","",ROW()-4)</f>
        <v/>
      </c>
    </row>
    <row r="6242">
      <c r="A6242" s="13">
        <f>IF(H6242="","",ROW()-4)</f>
        <v/>
      </c>
      <c r="B6242" s="13">
        <f>IF(H6242="","",ROW()-4)</f>
        <v/>
      </c>
    </row>
    <row r="6243">
      <c r="A6243" s="13">
        <f>IF(H6243="","",ROW()-4)</f>
        <v/>
      </c>
      <c r="B6243" s="13">
        <f>IF(H6243="","",ROW()-4)</f>
        <v/>
      </c>
    </row>
    <row r="6244">
      <c r="A6244" s="13">
        <f>IF(H6244="","",ROW()-4)</f>
        <v/>
      </c>
      <c r="B6244" s="13">
        <f>IF(H6244="","",ROW()-4)</f>
        <v/>
      </c>
    </row>
    <row r="6245">
      <c r="A6245" s="13">
        <f>IF(H6245="","",ROW()-4)</f>
        <v/>
      </c>
      <c r="B6245" s="13">
        <f>IF(H6245="","",ROW()-4)</f>
        <v/>
      </c>
    </row>
    <row r="6246">
      <c r="A6246" s="13">
        <f>IF(H6246="","",ROW()-4)</f>
        <v/>
      </c>
      <c r="B6246" s="13">
        <f>IF(H6246="","",ROW()-4)</f>
        <v/>
      </c>
    </row>
    <row r="6247">
      <c r="A6247" s="13">
        <f>IF(H6247="","",ROW()-4)</f>
        <v/>
      </c>
      <c r="B6247" s="13">
        <f>IF(H6247="","",ROW()-4)</f>
        <v/>
      </c>
    </row>
    <row r="6248">
      <c r="A6248" s="13">
        <f>IF(H6248="","",ROW()-4)</f>
        <v/>
      </c>
      <c r="B6248" s="13">
        <f>IF(H6248="","",ROW()-4)</f>
        <v/>
      </c>
    </row>
    <row r="6249">
      <c r="A6249" s="13">
        <f>IF(H6249="","",ROW()-4)</f>
        <v/>
      </c>
      <c r="B6249" s="13">
        <f>IF(H6249="","",ROW()-4)</f>
        <v/>
      </c>
    </row>
    <row r="6250">
      <c r="A6250" s="13">
        <f>IF(H6250="","",ROW()-4)</f>
        <v/>
      </c>
      <c r="B6250" s="13">
        <f>IF(H6250="","",ROW()-4)</f>
        <v/>
      </c>
    </row>
    <row r="6251">
      <c r="A6251" s="13">
        <f>IF(H6251="","",ROW()-4)</f>
        <v/>
      </c>
      <c r="B6251" s="13">
        <f>IF(H6251="","",ROW()-4)</f>
        <v/>
      </c>
    </row>
    <row r="6252">
      <c r="A6252" s="13">
        <f>IF(H6252="","",ROW()-4)</f>
        <v/>
      </c>
      <c r="B6252" s="13">
        <f>IF(H6252="","",ROW()-4)</f>
        <v/>
      </c>
    </row>
    <row r="6253">
      <c r="A6253" s="13">
        <f>IF(H6253="","",ROW()-4)</f>
        <v/>
      </c>
      <c r="B6253" s="13">
        <f>IF(H6253="","",ROW()-4)</f>
        <v/>
      </c>
    </row>
    <row r="6254">
      <c r="A6254" s="13">
        <f>IF(H6254="","",ROW()-4)</f>
        <v/>
      </c>
      <c r="B6254" s="13">
        <f>IF(H6254="","",ROW()-4)</f>
        <v/>
      </c>
    </row>
    <row r="6255">
      <c r="A6255" s="13">
        <f>IF(H6255="","",ROW()-4)</f>
        <v/>
      </c>
      <c r="B6255" s="13">
        <f>IF(H6255="","",ROW()-4)</f>
        <v/>
      </c>
    </row>
    <row r="6256">
      <c r="A6256" s="13">
        <f>IF(H6256="","",ROW()-4)</f>
        <v/>
      </c>
      <c r="B6256" s="13">
        <f>IF(H6256="","",ROW()-4)</f>
        <v/>
      </c>
    </row>
    <row r="6257">
      <c r="A6257" s="13">
        <f>IF(H6257="","",ROW()-4)</f>
        <v/>
      </c>
      <c r="B6257" s="13">
        <f>IF(H6257="","",ROW()-4)</f>
        <v/>
      </c>
    </row>
    <row r="6258">
      <c r="A6258" s="13">
        <f>IF(H6258="","",ROW()-4)</f>
        <v/>
      </c>
      <c r="B6258" s="13">
        <f>IF(H6258="","",ROW()-4)</f>
        <v/>
      </c>
    </row>
    <row r="6259">
      <c r="A6259" s="13">
        <f>IF(H6259="","",ROW()-4)</f>
        <v/>
      </c>
      <c r="B6259" s="13">
        <f>IF(H6259="","",ROW()-4)</f>
        <v/>
      </c>
    </row>
    <row r="6260">
      <c r="A6260" s="13">
        <f>IF(H6260="","",ROW()-4)</f>
        <v/>
      </c>
      <c r="B6260" s="13">
        <f>IF(H6260="","",ROW()-4)</f>
        <v/>
      </c>
    </row>
    <row r="6261">
      <c r="A6261" s="13">
        <f>IF(H6261="","",ROW()-4)</f>
        <v/>
      </c>
      <c r="B6261" s="13">
        <f>IF(H6261="","",ROW()-4)</f>
        <v/>
      </c>
    </row>
    <row r="6262">
      <c r="A6262" s="13">
        <f>IF(H6262="","",ROW()-4)</f>
        <v/>
      </c>
      <c r="B6262" s="13">
        <f>IF(H6262="","",ROW()-4)</f>
        <v/>
      </c>
    </row>
    <row r="6263">
      <c r="A6263" s="13">
        <f>IF(H6263="","",ROW()-4)</f>
        <v/>
      </c>
      <c r="B6263" s="13">
        <f>IF(H6263="","",ROW()-4)</f>
        <v/>
      </c>
    </row>
    <row r="6264">
      <c r="A6264" s="13">
        <f>IF(H6264="","",ROW()-4)</f>
        <v/>
      </c>
      <c r="B6264" s="13">
        <f>IF(H6264="","",ROW()-4)</f>
        <v/>
      </c>
    </row>
    <row r="6265">
      <c r="A6265" s="13">
        <f>IF(H6265="","",ROW()-4)</f>
        <v/>
      </c>
      <c r="B6265" s="13">
        <f>IF(H6265="","",ROW()-4)</f>
        <v/>
      </c>
    </row>
    <row r="6266">
      <c r="A6266" s="13">
        <f>IF(H6266="","",ROW()-4)</f>
        <v/>
      </c>
      <c r="B6266" s="13">
        <f>IF(H6266="","",ROW()-4)</f>
        <v/>
      </c>
    </row>
    <row r="6267">
      <c r="A6267" s="13">
        <f>IF(H6267="","",ROW()-4)</f>
        <v/>
      </c>
      <c r="B6267" s="13">
        <f>IF(H6267="","",ROW()-4)</f>
        <v/>
      </c>
    </row>
    <row r="6268">
      <c r="A6268" s="13">
        <f>IF(H6268="","",ROW()-4)</f>
        <v/>
      </c>
      <c r="B6268" s="13">
        <f>IF(H6268="","",ROW()-4)</f>
        <v/>
      </c>
    </row>
    <row r="6269">
      <c r="A6269" s="13">
        <f>IF(H6269="","",ROW()-4)</f>
        <v/>
      </c>
      <c r="B6269" s="13">
        <f>IF(H6269="","",ROW()-4)</f>
        <v/>
      </c>
    </row>
    <row r="6270">
      <c r="A6270" s="13">
        <f>IF(H6270="","",ROW()-4)</f>
        <v/>
      </c>
      <c r="B6270" s="13">
        <f>IF(H6270="","",ROW()-4)</f>
        <v/>
      </c>
    </row>
    <row r="6271">
      <c r="A6271" s="13">
        <f>IF(H6271="","",ROW()-4)</f>
        <v/>
      </c>
      <c r="B6271" s="13">
        <f>IF(H6271="","",ROW()-4)</f>
        <v/>
      </c>
    </row>
    <row r="6272">
      <c r="A6272" s="13">
        <f>IF(H6272="","",ROW()-4)</f>
        <v/>
      </c>
      <c r="B6272" s="13">
        <f>IF(H6272="","",ROW()-4)</f>
        <v/>
      </c>
    </row>
    <row r="6273">
      <c r="A6273" s="13">
        <f>IF(H6273="","",ROW()-4)</f>
        <v/>
      </c>
      <c r="B6273" s="13">
        <f>IF(H6273="","",ROW()-4)</f>
        <v/>
      </c>
    </row>
    <row r="6274">
      <c r="A6274" s="13">
        <f>IF(H6274="","",ROW()-4)</f>
        <v/>
      </c>
      <c r="B6274" s="13">
        <f>IF(H6274="","",ROW()-4)</f>
        <v/>
      </c>
    </row>
    <row r="6275">
      <c r="A6275" s="13">
        <f>IF(H6275="","",ROW()-4)</f>
        <v/>
      </c>
      <c r="B6275" s="13">
        <f>IF(H6275="","",ROW()-4)</f>
        <v/>
      </c>
    </row>
    <row r="6276">
      <c r="A6276" s="13">
        <f>IF(H6276="","",ROW()-4)</f>
        <v/>
      </c>
      <c r="B6276" s="13">
        <f>IF(H6276="","",ROW()-4)</f>
        <v/>
      </c>
    </row>
    <row r="6277">
      <c r="A6277" s="13">
        <f>IF(H6277="","",ROW()-4)</f>
        <v/>
      </c>
      <c r="B6277" s="13">
        <f>IF(H6277="","",ROW()-4)</f>
        <v/>
      </c>
    </row>
    <row r="6278">
      <c r="A6278" s="13">
        <f>IF(H6278="","",ROW()-4)</f>
        <v/>
      </c>
      <c r="B6278" s="13">
        <f>IF(H6278="","",ROW()-4)</f>
        <v/>
      </c>
    </row>
    <row r="6279">
      <c r="A6279" s="13">
        <f>IF(H6279="","",ROW()-4)</f>
        <v/>
      </c>
      <c r="B6279" s="13">
        <f>IF(H6279="","",ROW()-4)</f>
        <v/>
      </c>
    </row>
    <row r="6280">
      <c r="A6280" s="13">
        <f>IF(H6280="","",ROW()-4)</f>
        <v/>
      </c>
      <c r="B6280" s="13">
        <f>IF(H6280="","",ROW()-4)</f>
        <v/>
      </c>
    </row>
    <row r="6281">
      <c r="A6281" s="13">
        <f>IF(H6281="","",ROW()-4)</f>
        <v/>
      </c>
      <c r="B6281" s="13">
        <f>IF(H6281="","",ROW()-4)</f>
        <v/>
      </c>
    </row>
    <row r="6282">
      <c r="A6282" s="13">
        <f>IF(H6282="","",ROW()-4)</f>
        <v/>
      </c>
      <c r="B6282" s="13">
        <f>IF(H6282="","",ROW()-4)</f>
        <v/>
      </c>
    </row>
    <row r="6283">
      <c r="A6283" s="13">
        <f>IF(H6283="","",ROW()-4)</f>
        <v/>
      </c>
      <c r="B6283" s="13">
        <f>IF(H6283="","",ROW()-4)</f>
        <v/>
      </c>
    </row>
    <row r="6284">
      <c r="A6284" s="13">
        <f>IF(H6284="","",ROW()-4)</f>
        <v/>
      </c>
      <c r="B6284" s="13">
        <f>IF(H6284="","",ROW()-4)</f>
        <v/>
      </c>
    </row>
    <row r="6285">
      <c r="A6285" s="13">
        <f>IF(H6285="","",ROW()-4)</f>
        <v/>
      </c>
      <c r="B6285" s="13">
        <f>IF(H6285="","",ROW()-4)</f>
        <v/>
      </c>
    </row>
    <row r="6286">
      <c r="A6286" s="13">
        <f>IF(H6286="","",ROW()-4)</f>
        <v/>
      </c>
      <c r="B6286" s="13">
        <f>IF(H6286="","",ROW()-4)</f>
        <v/>
      </c>
    </row>
    <row r="6287">
      <c r="A6287" s="13">
        <f>IF(H6287="","",ROW()-4)</f>
        <v/>
      </c>
      <c r="B6287" s="13">
        <f>IF(H6287="","",ROW()-4)</f>
        <v/>
      </c>
    </row>
    <row r="6288">
      <c r="A6288" s="13">
        <f>IF(H6288="","",ROW()-4)</f>
        <v/>
      </c>
      <c r="B6288" s="13">
        <f>IF(H6288="","",ROW()-4)</f>
        <v/>
      </c>
    </row>
    <row r="6289">
      <c r="A6289" s="13">
        <f>IF(H6289="","",ROW()-4)</f>
        <v/>
      </c>
      <c r="B6289" s="13">
        <f>IF(H6289="","",ROW()-4)</f>
        <v/>
      </c>
    </row>
    <row r="6290">
      <c r="A6290" s="13">
        <f>IF(H6290="","",ROW()-4)</f>
        <v/>
      </c>
      <c r="B6290" s="13">
        <f>IF(H6290="","",ROW()-4)</f>
        <v/>
      </c>
    </row>
    <row r="6291">
      <c r="A6291" s="13">
        <f>IF(H6291="","",ROW()-4)</f>
        <v/>
      </c>
      <c r="B6291" s="13">
        <f>IF(H6291="","",ROW()-4)</f>
        <v/>
      </c>
    </row>
    <row r="6292">
      <c r="A6292" s="13">
        <f>IF(H6292="","",ROW()-4)</f>
        <v/>
      </c>
      <c r="B6292" s="13">
        <f>IF(H6292="","",ROW()-4)</f>
        <v/>
      </c>
    </row>
    <row r="6293">
      <c r="A6293" s="13">
        <f>IF(H6293="","",ROW()-4)</f>
        <v/>
      </c>
      <c r="B6293" s="13">
        <f>IF(H6293="","",ROW()-4)</f>
        <v/>
      </c>
    </row>
    <row r="6294">
      <c r="A6294" s="13">
        <f>IF(H6294="","",ROW()-4)</f>
        <v/>
      </c>
      <c r="B6294" s="13">
        <f>IF(H6294="","",ROW()-4)</f>
        <v/>
      </c>
    </row>
    <row r="6295">
      <c r="A6295" s="13">
        <f>IF(H6295="","",ROW()-4)</f>
        <v/>
      </c>
      <c r="B6295" s="13">
        <f>IF(H6295="","",ROW()-4)</f>
        <v/>
      </c>
    </row>
    <row r="6296">
      <c r="A6296" s="13">
        <f>IF(H6296="","",ROW()-4)</f>
        <v/>
      </c>
      <c r="B6296" s="13">
        <f>IF(H6296="","",ROW()-4)</f>
        <v/>
      </c>
    </row>
    <row r="6297">
      <c r="A6297" s="13">
        <f>IF(H6297="","",ROW()-4)</f>
        <v/>
      </c>
      <c r="B6297" s="13">
        <f>IF(H6297="","",ROW()-4)</f>
        <v/>
      </c>
    </row>
    <row r="6298">
      <c r="A6298" s="13">
        <f>IF(H6298="","",ROW()-4)</f>
        <v/>
      </c>
      <c r="B6298" s="13">
        <f>IF(H6298="","",ROW()-4)</f>
        <v/>
      </c>
    </row>
    <row r="6299">
      <c r="A6299" s="13">
        <f>IF(H6299="","",ROW()-4)</f>
        <v/>
      </c>
      <c r="B6299" s="13">
        <f>IF(H6299="","",ROW()-4)</f>
        <v/>
      </c>
    </row>
    <row r="6300">
      <c r="A6300" s="13">
        <f>IF(H6300="","",ROW()-4)</f>
        <v/>
      </c>
      <c r="B6300" s="13">
        <f>IF(H6300="","",ROW()-4)</f>
        <v/>
      </c>
    </row>
    <row r="6301">
      <c r="A6301" s="13">
        <f>IF(H6301="","",ROW()-4)</f>
        <v/>
      </c>
      <c r="B6301" s="13">
        <f>IF(H6301="","",ROW()-4)</f>
        <v/>
      </c>
    </row>
    <row r="6302">
      <c r="A6302" s="13">
        <f>IF(H6302="","",ROW()-4)</f>
        <v/>
      </c>
      <c r="B6302" s="13">
        <f>IF(H6302="","",ROW()-4)</f>
        <v/>
      </c>
    </row>
    <row r="6303">
      <c r="A6303" s="13">
        <f>IF(H6303="","",ROW()-4)</f>
        <v/>
      </c>
      <c r="B6303" s="13">
        <f>IF(H6303="","",ROW()-4)</f>
        <v/>
      </c>
    </row>
    <row r="6304">
      <c r="A6304" s="13">
        <f>IF(H6304="","",ROW()-4)</f>
        <v/>
      </c>
      <c r="B6304" s="13">
        <f>IF(H6304="","",ROW()-4)</f>
        <v/>
      </c>
    </row>
    <row r="6305">
      <c r="A6305" s="13">
        <f>IF(H6305="","",ROW()-4)</f>
        <v/>
      </c>
      <c r="B6305" s="13">
        <f>IF(H6305="","",ROW()-4)</f>
        <v/>
      </c>
    </row>
    <row r="6306">
      <c r="A6306" s="13">
        <f>IF(H6306="","",ROW()-4)</f>
        <v/>
      </c>
      <c r="B6306" s="13">
        <f>IF(H6306="","",ROW()-4)</f>
        <v/>
      </c>
    </row>
    <row r="6307">
      <c r="A6307" s="13">
        <f>IF(H6307="","",ROW()-4)</f>
        <v/>
      </c>
      <c r="B6307" s="13">
        <f>IF(H6307="","",ROW()-4)</f>
        <v/>
      </c>
    </row>
    <row r="6308">
      <c r="A6308" s="13">
        <f>IF(H6308="","",ROW()-4)</f>
        <v/>
      </c>
      <c r="B6308" s="13">
        <f>IF(H6308="","",ROW()-4)</f>
        <v/>
      </c>
    </row>
    <row r="6309">
      <c r="A6309" s="13">
        <f>IF(H6309="","",ROW()-4)</f>
        <v/>
      </c>
      <c r="B6309" s="13">
        <f>IF(H6309="","",ROW()-4)</f>
        <v/>
      </c>
    </row>
    <row r="6310">
      <c r="A6310" s="13">
        <f>IF(H6310="","",ROW()-4)</f>
        <v/>
      </c>
      <c r="B6310" s="13">
        <f>IF(H6310="","",ROW()-4)</f>
        <v/>
      </c>
    </row>
    <row r="6311">
      <c r="A6311" s="13">
        <f>IF(H6311="","",ROW()-4)</f>
        <v/>
      </c>
      <c r="B6311" s="13">
        <f>IF(H6311="","",ROW()-4)</f>
        <v/>
      </c>
    </row>
    <row r="6312">
      <c r="A6312" s="13">
        <f>IF(H6312="","",ROW()-4)</f>
        <v/>
      </c>
      <c r="B6312" s="13">
        <f>IF(H6312="","",ROW()-4)</f>
        <v/>
      </c>
    </row>
    <row r="6313">
      <c r="A6313" s="13">
        <f>IF(H6313="","",ROW()-4)</f>
        <v/>
      </c>
      <c r="B6313" s="13">
        <f>IF(H6313="","",ROW()-4)</f>
        <v/>
      </c>
    </row>
    <row r="6314">
      <c r="A6314" s="13">
        <f>IF(H6314="","",ROW()-4)</f>
        <v/>
      </c>
      <c r="B6314" s="13">
        <f>IF(H6314="","",ROW()-4)</f>
        <v/>
      </c>
    </row>
    <row r="6315">
      <c r="A6315" s="13">
        <f>IF(H6315="","",ROW()-4)</f>
        <v/>
      </c>
      <c r="B6315" s="13">
        <f>IF(H6315="","",ROW()-4)</f>
        <v/>
      </c>
    </row>
    <row r="6316">
      <c r="A6316" s="13">
        <f>IF(H6316="","",ROW()-4)</f>
        <v/>
      </c>
      <c r="B6316" s="13">
        <f>IF(H6316="","",ROW()-4)</f>
        <v/>
      </c>
    </row>
    <row r="6317">
      <c r="A6317" s="13">
        <f>IF(H6317="","",ROW()-4)</f>
        <v/>
      </c>
      <c r="B6317" s="13">
        <f>IF(H6317="","",ROW()-4)</f>
        <v/>
      </c>
    </row>
    <row r="6318">
      <c r="A6318" s="13">
        <f>IF(H6318="","",ROW()-4)</f>
        <v/>
      </c>
      <c r="B6318" s="13">
        <f>IF(H6318="","",ROW()-4)</f>
        <v/>
      </c>
    </row>
    <row r="6319">
      <c r="A6319" s="13">
        <f>IF(H6319="","",ROW()-4)</f>
        <v/>
      </c>
      <c r="B6319" s="13">
        <f>IF(H6319="","",ROW()-4)</f>
        <v/>
      </c>
    </row>
    <row r="6320">
      <c r="A6320" s="13">
        <f>IF(H6320="","",ROW()-4)</f>
        <v/>
      </c>
      <c r="B6320" s="13">
        <f>IF(H6320="","",ROW()-4)</f>
        <v/>
      </c>
    </row>
    <row r="6321">
      <c r="A6321" s="13">
        <f>IF(H6321="","",ROW()-4)</f>
        <v/>
      </c>
      <c r="B6321" s="13">
        <f>IF(H6321="","",ROW()-4)</f>
        <v/>
      </c>
    </row>
    <row r="6322">
      <c r="A6322" s="13">
        <f>IF(H6322="","",ROW()-4)</f>
        <v/>
      </c>
      <c r="B6322" s="13">
        <f>IF(H6322="","",ROW()-4)</f>
        <v/>
      </c>
    </row>
    <row r="6323">
      <c r="A6323" s="13">
        <f>IF(H6323="","",ROW()-4)</f>
        <v/>
      </c>
      <c r="B6323" s="13">
        <f>IF(H6323="","",ROW()-4)</f>
        <v/>
      </c>
    </row>
    <row r="6324">
      <c r="A6324" s="13">
        <f>IF(H6324="","",ROW()-4)</f>
        <v/>
      </c>
      <c r="B6324" s="13">
        <f>IF(H6324="","",ROW()-4)</f>
        <v/>
      </c>
    </row>
    <row r="6325">
      <c r="A6325" s="13">
        <f>IF(H6325="","",ROW()-4)</f>
        <v/>
      </c>
      <c r="B6325" s="13">
        <f>IF(H6325="","",ROW()-4)</f>
        <v/>
      </c>
    </row>
    <row r="6326">
      <c r="A6326" s="13">
        <f>IF(H6326="","",ROW()-4)</f>
        <v/>
      </c>
      <c r="B6326" s="13">
        <f>IF(H6326="","",ROW()-4)</f>
        <v/>
      </c>
    </row>
    <row r="6327">
      <c r="A6327" s="13">
        <f>IF(H6327="","",ROW()-4)</f>
        <v/>
      </c>
      <c r="B6327" s="13">
        <f>IF(H6327="","",ROW()-4)</f>
        <v/>
      </c>
    </row>
    <row r="6328">
      <c r="A6328" s="13">
        <f>IF(H6328="","",ROW()-4)</f>
        <v/>
      </c>
      <c r="B6328" s="13">
        <f>IF(H6328="","",ROW()-4)</f>
        <v/>
      </c>
    </row>
    <row r="6329">
      <c r="A6329" s="13">
        <f>IF(H6329="","",ROW()-4)</f>
        <v/>
      </c>
      <c r="B6329" s="13">
        <f>IF(H6329="","",ROW()-4)</f>
        <v/>
      </c>
    </row>
    <row r="6330">
      <c r="A6330" s="13">
        <f>IF(H6330="","",ROW()-4)</f>
        <v/>
      </c>
      <c r="B6330" s="13">
        <f>IF(H6330="","",ROW()-4)</f>
        <v/>
      </c>
    </row>
    <row r="6331">
      <c r="A6331" s="13">
        <f>IF(H6331="","",ROW()-4)</f>
        <v/>
      </c>
      <c r="B6331" s="13">
        <f>IF(H6331="","",ROW()-4)</f>
        <v/>
      </c>
    </row>
    <row r="6332">
      <c r="A6332" s="13">
        <f>IF(H6332="","",ROW()-4)</f>
        <v/>
      </c>
      <c r="B6332" s="13">
        <f>IF(H6332="","",ROW()-4)</f>
        <v/>
      </c>
    </row>
    <row r="6333">
      <c r="A6333" s="13">
        <f>IF(H6333="","",ROW()-4)</f>
        <v/>
      </c>
      <c r="B6333" s="13">
        <f>IF(H6333="","",ROW()-4)</f>
        <v/>
      </c>
    </row>
    <row r="6334">
      <c r="A6334" s="13">
        <f>IF(H6334="","",ROW()-4)</f>
        <v/>
      </c>
      <c r="B6334" s="13">
        <f>IF(H6334="","",ROW()-4)</f>
        <v/>
      </c>
    </row>
    <row r="6335">
      <c r="A6335" s="13">
        <f>IF(H6335="","",ROW()-4)</f>
        <v/>
      </c>
      <c r="B6335" s="13">
        <f>IF(H6335="","",ROW()-4)</f>
        <v/>
      </c>
    </row>
    <row r="6336">
      <c r="A6336" s="13">
        <f>IF(H6336="","",ROW()-4)</f>
        <v/>
      </c>
      <c r="B6336" s="13">
        <f>IF(H6336="","",ROW()-4)</f>
        <v/>
      </c>
    </row>
    <row r="6337">
      <c r="A6337" s="13">
        <f>IF(H6337="","",ROW()-4)</f>
        <v/>
      </c>
      <c r="B6337" s="13">
        <f>IF(H6337="","",ROW()-4)</f>
        <v/>
      </c>
    </row>
    <row r="6338">
      <c r="A6338" s="13">
        <f>IF(H6338="","",ROW()-4)</f>
        <v/>
      </c>
      <c r="B6338" s="13">
        <f>IF(H6338="","",ROW()-4)</f>
        <v/>
      </c>
    </row>
    <row r="6339">
      <c r="A6339" s="13">
        <f>IF(H6339="","",ROW()-4)</f>
        <v/>
      </c>
      <c r="B6339" s="13">
        <f>IF(H6339="","",ROW()-4)</f>
        <v/>
      </c>
    </row>
    <row r="6340">
      <c r="A6340" s="13">
        <f>IF(H6340="","",ROW()-4)</f>
        <v/>
      </c>
      <c r="B6340" s="13">
        <f>IF(H6340="","",ROW()-4)</f>
        <v/>
      </c>
    </row>
    <row r="6341">
      <c r="A6341" s="13">
        <f>IF(H6341="","",ROW()-4)</f>
        <v/>
      </c>
      <c r="B6341" s="13">
        <f>IF(H6341="","",ROW()-4)</f>
        <v/>
      </c>
    </row>
    <row r="6342">
      <c r="A6342" s="13">
        <f>IF(H6342="","",ROW()-4)</f>
        <v/>
      </c>
      <c r="B6342" s="13">
        <f>IF(H6342="","",ROW()-4)</f>
        <v/>
      </c>
    </row>
    <row r="6343">
      <c r="A6343" s="13">
        <f>IF(H6343="","",ROW()-4)</f>
        <v/>
      </c>
      <c r="B6343" s="13">
        <f>IF(H6343="","",ROW()-4)</f>
        <v/>
      </c>
    </row>
    <row r="6344">
      <c r="A6344" s="13">
        <f>IF(H6344="","",ROW()-4)</f>
        <v/>
      </c>
      <c r="B6344" s="13">
        <f>IF(H6344="","",ROW()-4)</f>
        <v/>
      </c>
    </row>
    <row r="6345">
      <c r="A6345" s="13">
        <f>IF(H6345="","",ROW()-4)</f>
        <v/>
      </c>
      <c r="B6345" s="13">
        <f>IF(H6345="","",ROW()-4)</f>
        <v/>
      </c>
    </row>
    <row r="6346">
      <c r="A6346" s="13">
        <f>IF(H6346="","",ROW()-4)</f>
        <v/>
      </c>
      <c r="B6346" s="13">
        <f>IF(H6346="","",ROW()-4)</f>
        <v/>
      </c>
    </row>
    <row r="6347">
      <c r="A6347" s="13">
        <f>IF(H6347="","",ROW()-4)</f>
        <v/>
      </c>
      <c r="B6347" s="13">
        <f>IF(H6347="","",ROW()-4)</f>
        <v/>
      </c>
    </row>
    <row r="6348">
      <c r="A6348" s="13">
        <f>IF(H6348="","",ROW()-4)</f>
        <v/>
      </c>
      <c r="B6348" s="13">
        <f>IF(H6348="","",ROW()-4)</f>
        <v/>
      </c>
    </row>
    <row r="6349">
      <c r="A6349" s="13">
        <f>IF(H6349="","",ROW()-4)</f>
        <v/>
      </c>
      <c r="B6349" s="13">
        <f>IF(H6349="","",ROW()-4)</f>
        <v/>
      </c>
    </row>
    <row r="6350">
      <c r="A6350" s="13">
        <f>IF(H6350="","",ROW()-4)</f>
        <v/>
      </c>
      <c r="B6350" s="13">
        <f>IF(H6350="","",ROW()-4)</f>
        <v/>
      </c>
    </row>
    <row r="6351">
      <c r="A6351" s="13">
        <f>IF(H6351="","",ROW()-4)</f>
        <v/>
      </c>
      <c r="B6351" s="13">
        <f>IF(H6351="","",ROW()-4)</f>
        <v/>
      </c>
    </row>
    <row r="6352">
      <c r="A6352" s="13">
        <f>IF(H6352="","",ROW()-4)</f>
        <v/>
      </c>
      <c r="B6352" s="13">
        <f>IF(H6352="","",ROW()-4)</f>
        <v/>
      </c>
    </row>
    <row r="6353">
      <c r="A6353" s="13">
        <f>IF(H6353="","",ROW()-4)</f>
        <v/>
      </c>
      <c r="B6353" s="13">
        <f>IF(H6353="","",ROW()-4)</f>
        <v/>
      </c>
    </row>
    <row r="6354">
      <c r="A6354" s="13">
        <f>IF(H6354="","",ROW()-4)</f>
        <v/>
      </c>
      <c r="B6354" s="13">
        <f>IF(H6354="","",ROW()-4)</f>
        <v/>
      </c>
    </row>
    <row r="6355">
      <c r="A6355" s="13">
        <f>IF(H6355="","",ROW()-4)</f>
        <v/>
      </c>
      <c r="B6355" s="13">
        <f>IF(H6355="","",ROW()-4)</f>
        <v/>
      </c>
    </row>
    <row r="6356">
      <c r="A6356" s="13">
        <f>IF(H6356="","",ROW()-4)</f>
        <v/>
      </c>
      <c r="B6356" s="13">
        <f>IF(H6356="","",ROW()-4)</f>
        <v/>
      </c>
    </row>
    <row r="6357">
      <c r="A6357" s="13">
        <f>IF(H6357="","",ROW()-4)</f>
        <v/>
      </c>
      <c r="B6357" s="13">
        <f>IF(H6357="","",ROW()-4)</f>
        <v/>
      </c>
    </row>
    <row r="6358">
      <c r="A6358" s="13">
        <f>IF(H6358="","",ROW()-4)</f>
        <v/>
      </c>
      <c r="B6358" s="13">
        <f>IF(H6358="","",ROW()-4)</f>
        <v/>
      </c>
    </row>
    <row r="6359">
      <c r="A6359" s="13">
        <f>IF(H6359="","",ROW()-4)</f>
        <v/>
      </c>
      <c r="B6359" s="13">
        <f>IF(H6359="","",ROW()-4)</f>
        <v/>
      </c>
    </row>
    <row r="6360">
      <c r="A6360" s="13">
        <f>IF(H6360="","",ROW()-4)</f>
        <v/>
      </c>
      <c r="B6360" s="13">
        <f>IF(H6360="","",ROW()-4)</f>
        <v/>
      </c>
    </row>
    <row r="6361">
      <c r="A6361" s="13">
        <f>IF(H6361="","",ROW()-4)</f>
        <v/>
      </c>
      <c r="B6361" s="13">
        <f>IF(H6361="","",ROW()-4)</f>
        <v/>
      </c>
    </row>
    <row r="6362">
      <c r="A6362" s="13">
        <f>IF(H6362="","",ROW()-4)</f>
        <v/>
      </c>
      <c r="B6362" s="13">
        <f>IF(H6362="","",ROW()-4)</f>
        <v/>
      </c>
    </row>
    <row r="6363">
      <c r="A6363" s="13">
        <f>IF(H6363="","",ROW()-4)</f>
        <v/>
      </c>
      <c r="B6363" s="13">
        <f>IF(H6363="","",ROW()-4)</f>
        <v/>
      </c>
    </row>
    <row r="6364">
      <c r="A6364" s="13">
        <f>IF(H6364="","",ROW()-4)</f>
        <v/>
      </c>
      <c r="B6364" s="13">
        <f>IF(H6364="","",ROW()-4)</f>
        <v/>
      </c>
    </row>
    <row r="6365">
      <c r="A6365" s="13">
        <f>IF(H6365="","",ROW()-4)</f>
        <v/>
      </c>
      <c r="B6365" s="13">
        <f>IF(H6365="","",ROW()-4)</f>
        <v/>
      </c>
    </row>
    <row r="6366">
      <c r="A6366" s="13">
        <f>IF(H6366="","",ROW()-4)</f>
        <v/>
      </c>
      <c r="B6366" s="13">
        <f>IF(H6366="","",ROW()-4)</f>
        <v/>
      </c>
    </row>
    <row r="6367">
      <c r="A6367" s="13">
        <f>IF(H6367="","",ROW()-4)</f>
        <v/>
      </c>
      <c r="B6367" s="13">
        <f>IF(H6367="","",ROW()-4)</f>
        <v/>
      </c>
    </row>
    <row r="6368">
      <c r="A6368" s="13">
        <f>IF(H6368="","",ROW()-4)</f>
        <v/>
      </c>
      <c r="B6368" s="13">
        <f>IF(H6368="","",ROW()-4)</f>
        <v/>
      </c>
    </row>
    <row r="6369">
      <c r="A6369" s="13">
        <f>IF(H6369="","",ROW()-4)</f>
        <v/>
      </c>
      <c r="B6369" s="13">
        <f>IF(H6369="","",ROW()-4)</f>
        <v/>
      </c>
    </row>
    <row r="6370">
      <c r="A6370" s="13">
        <f>IF(H6370="","",ROW()-4)</f>
        <v/>
      </c>
      <c r="B6370" s="13">
        <f>IF(H6370="","",ROW()-4)</f>
        <v/>
      </c>
    </row>
    <row r="6371">
      <c r="A6371" s="13">
        <f>IF(H6371="","",ROW()-4)</f>
        <v/>
      </c>
      <c r="B6371" s="13">
        <f>IF(H6371="","",ROW()-4)</f>
        <v/>
      </c>
    </row>
    <row r="6372">
      <c r="A6372" s="13">
        <f>IF(H6372="","",ROW()-4)</f>
        <v/>
      </c>
      <c r="B6372" s="13">
        <f>IF(H6372="","",ROW()-4)</f>
        <v/>
      </c>
    </row>
    <row r="6373">
      <c r="A6373" s="13">
        <f>IF(H6373="","",ROW()-4)</f>
        <v/>
      </c>
      <c r="B6373" s="13">
        <f>IF(H6373="","",ROW()-4)</f>
        <v/>
      </c>
    </row>
    <row r="6374">
      <c r="A6374" s="13">
        <f>IF(H6374="","",ROW()-4)</f>
        <v/>
      </c>
      <c r="B6374" s="13">
        <f>IF(H6374="","",ROW()-4)</f>
        <v/>
      </c>
    </row>
    <row r="6375">
      <c r="A6375" s="13">
        <f>IF(H6375="","",ROW()-4)</f>
        <v/>
      </c>
      <c r="B6375" s="13">
        <f>IF(H6375="","",ROW()-4)</f>
        <v/>
      </c>
    </row>
    <row r="6376">
      <c r="A6376" s="13">
        <f>IF(H6376="","",ROW()-4)</f>
        <v/>
      </c>
      <c r="B6376" s="13">
        <f>IF(H6376="","",ROW()-4)</f>
        <v/>
      </c>
    </row>
    <row r="6377">
      <c r="A6377" s="13">
        <f>IF(H6377="","",ROW()-4)</f>
        <v/>
      </c>
      <c r="B6377" s="13">
        <f>IF(H6377="","",ROW()-4)</f>
        <v/>
      </c>
    </row>
    <row r="6378">
      <c r="A6378" s="13">
        <f>IF(H6378="","",ROW()-4)</f>
        <v/>
      </c>
      <c r="B6378" s="13">
        <f>IF(H6378="","",ROW()-4)</f>
        <v/>
      </c>
    </row>
    <row r="6379">
      <c r="A6379" s="13">
        <f>IF(H6379="","",ROW()-4)</f>
        <v/>
      </c>
      <c r="B6379" s="13">
        <f>IF(H6379="","",ROW()-4)</f>
        <v/>
      </c>
    </row>
    <row r="6380">
      <c r="A6380" s="13">
        <f>IF(H6380="","",ROW()-4)</f>
        <v/>
      </c>
      <c r="B6380" s="13">
        <f>IF(H6380="","",ROW()-4)</f>
        <v/>
      </c>
    </row>
    <row r="6381">
      <c r="A6381" s="13">
        <f>IF(H6381="","",ROW()-4)</f>
        <v/>
      </c>
      <c r="B6381" s="13">
        <f>IF(H6381="","",ROW()-4)</f>
        <v/>
      </c>
    </row>
    <row r="6382">
      <c r="A6382" s="13">
        <f>IF(H6382="","",ROW()-4)</f>
        <v/>
      </c>
      <c r="B6382" s="13">
        <f>IF(H6382="","",ROW()-4)</f>
        <v/>
      </c>
    </row>
    <row r="6383">
      <c r="A6383" s="13">
        <f>IF(H6383="","",ROW()-4)</f>
        <v/>
      </c>
      <c r="B6383" s="13">
        <f>IF(H6383="","",ROW()-4)</f>
        <v/>
      </c>
    </row>
    <row r="6384">
      <c r="A6384" s="13">
        <f>IF(H6384="","",ROW()-4)</f>
        <v/>
      </c>
      <c r="B6384" s="13">
        <f>IF(H6384="","",ROW()-4)</f>
        <v/>
      </c>
    </row>
    <row r="6385">
      <c r="A6385" s="13">
        <f>IF(H6385="","",ROW()-4)</f>
        <v/>
      </c>
      <c r="B6385" s="13">
        <f>IF(H6385="","",ROW()-4)</f>
        <v/>
      </c>
    </row>
    <row r="6386">
      <c r="A6386" s="13">
        <f>IF(H6386="","",ROW()-4)</f>
        <v/>
      </c>
      <c r="B6386" s="13">
        <f>IF(H6386="","",ROW()-4)</f>
        <v/>
      </c>
    </row>
    <row r="6387">
      <c r="A6387" s="13">
        <f>IF(H6387="","",ROW()-4)</f>
        <v/>
      </c>
      <c r="B6387" s="13">
        <f>IF(H6387="","",ROW()-4)</f>
        <v/>
      </c>
    </row>
    <row r="6388">
      <c r="A6388" s="13">
        <f>IF(H6388="","",ROW()-4)</f>
        <v/>
      </c>
      <c r="B6388" s="13">
        <f>IF(H6388="","",ROW()-4)</f>
        <v/>
      </c>
    </row>
    <row r="6389">
      <c r="A6389" s="13">
        <f>IF(H6389="","",ROW()-4)</f>
        <v/>
      </c>
      <c r="B6389" s="13">
        <f>IF(H6389="","",ROW()-4)</f>
        <v/>
      </c>
    </row>
    <row r="6390">
      <c r="A6390" s="13">
        <f>IF(H6390="","",ROW()-4)</f>
        <v/>
      </c>
      <c r="B6390" s="13">
        <f>IF(H6390="","",ROW()-4)</f>
        <v/>
      </c>
    </row>
    <row r="6391">
      <c r="A6391" s="13">
        <f>IF(H6391="","",ROW()-4)</f>
        <v/>
      </c>
      <c r="B6391" s="13">
        <f>IF(H6391="","",ROW()-4)</f>
        <v/>
      </c>
    </row>
    <row r="6392">
      <c r="A6392" s="13">
        <f>IF(H6392="","",ROW()-4)</f>
        <v/>
      </c>
      <c r="B6392" s="13">
        <f>IF(H6392="","",ROW()-4)</f>
        <v/>
      </c>
    </row>
    <row r="6393">
      <c r="A6393" s="13">
        <f>IF(H6393="","",ROW()-4)</f>
        <v/>
      </c>
      <c r="B6393" s="13">
        <f>IF(H6393="","",ROW()-4)</f>
        <v/>
      </c>
    </row>
    <row r="6394">
      <c r="A6394" s="13">
        <f>IF(H6394="","",ROW()-4)</f>
        <v/>
      </c>
      <c r="B6394" s="13">
        <f>IF(H6394="","",ROW()-4)</f>
        <v/>
      </c>
    </row>
    <row r="6395">
      <c r="A6395" s="13">
        <f>IF(H6395="","",ROW()-4)</f>
        <v/>
      </c>
      <c r="B6395" s="13">
        <f>IF(H6395="","",ROW()-4)</f>
        <v/>
      </c>
    </row>
    <row r="6396">
      <c r="A6396" s="13">
        <f>IF(H6396="","",ROW()-4)</f>
        <v/>
      </c>
      <c r="B6396" s="13">
        <f>IF(H6396="","",ROW()-4)</f>
        <v/>
      </c>
    </row>
    <row r="6397">
      <c r="A6397" s="13">
        <f>IF(H6397="","",ROW()-4)</f>
        <v/>
      </c>
      <c r="B6397" s="13">
        <f>IF(H6397="","",ROW()-4)</f>
        <v/>
      </c>
    </row>
    <row r="6398">
      <c r="A6398" s="13">
        <f>IF(H6398="","",ROW()-4)</f>
        <v/>
      </c>
      <c r="B6398" s="13">
        <f>IF(H6398="","",ROW()-4)</f>
        <v/>
      </c>
    </row>
    <row r="6399">
      <c r="A6399" s="13">
        <f>IF(H6399="","",ROW()-4)</f>
        <v/>
      </c>
      <c r="B6399" s="13">
        <f>IF(H6399="","",ROW()-4)</f>
        <v/>
      </c>
    </row>
    <row r="6400">
      <c r="A6400" s="13">
        <f>IF(H6400="","",ROW()-4)</f>
        <v/>
      </c>
      <c r="B6400" s="13">
        <f>IF(H6400="","",ROW()-4)</f>
        <v/>
      </c>
    </row>
    <row r="6401">
      <c r="A6401" s="13">
        <f>IF(H6401="","",ROW()-4)</f>
        <v/>
      </c>
      <c r="B6401" s="13">
        <f>IF(H6401="","",ROW()-4)</f>
        <v/>
      </c>
    </row>
    <row r="6402">
      <c r="A6402" s="13">
        <f>IF(H6402="","",ROW()-4)</f>
        <v/>
      </c>
      <c r="B6402" s="13">
        <f>IF(H6402="","",ROW()-4)</f>
        <v/>
      </c>
    </row>
    <row r="6403">
      <c r="A6403" s="13">
        <f>IF(H6403="","",ROW()-4)</f>
        <v/>
      </c>
      <c r="B6403" s="13">
        <f>IF(H6403="","",ROW()-4)</f>
        <v/>
      </c>
    </row>
    <row r="6404">
      <c r="A6404" s="13">
        <f>IF(H6404="","",ROW()-4)</f>
        <v/>
      </c>
      <c r="B6404" s="13">
        <f>IF(H6404="","",ROW()-4)</f>
        <v/>
      </c>
    </row>
    <row r="6405">
      <c r="A6405" s="13">
        <f>IF(H6405="","",ROW()-4)</f>
        <v/>
      </c>
      <c r="B6405" s="13">
        <f>IF(H6405="","",ROW()-4)</f>
        <v/>
      </c>
    </row>
    <row r="6406">
      <c r="A6406" s="13">
        <f>IF(H6406="","",ROW()-4)</f>
        <v/>
      </c>
      <c r="B6406" s="13">
        <f>IF(H6406="","",ROW()-4)</f>
        <v/>
      </c>
    </row>
    <row r="6407">
      <c r="A6407" s="13">
        <f>IF(H6407="","",ROW()-4)</f>
        <v/>
      </c>
      <c r="B6407" s="13">
        <f>IF(H6407="","",ROW()-4)</f>
        <v/>
      </c>
    </row>
    <row r="6408">
      <c r="A6408" s="13">
        <f>IF(H6408="","",ROW()-4)</f>
        <v/>
      </c>
      <c r="B6408" s="13">
        <f>IF(H6408="","",ROW()-4)</f>
        <v/>
      </c>
    </row>
    <row r="6409">
      <c r="A6409" s="13">
        <f>IF(H6409="","",ROW()-4)</f>
        <v/>
      </c>
      <c r="B6409" s="13">
        <f>IF(H6409="","",ROW()-4)</f>
        <v/>
      </c>
    </row>
    <row r="6410">
      <c r="A6410" s="13">
        <f>IF(H6410="","",ROW()-4)</f>
        <v/>
      </c>
      <c r="B6410" s="13">
        <f>IF(H6410="","",ROW()-4)</f>
        <v/>
      </c>
    </row>
    <row r="6411">
      <c r="A6411" s="13">
        <f>IF(H6411="","",ROW()-4)</f>
        <v/>
      </c>
      <c r="B6411" s="13">
        <f>IF(H6411="","",ROW()-4)</f>
        <v/>
      </c>
    </row>
    <row r="6412">
      <c r="A6412" s="13">
        <f>IF(H6412="","",ROW()-4)</f>
        <v/>
      </c>
      <c r="B6412" s="13">
        <f>IF(H6412="","",ROW()-4)</f>
        <v/>
      </c>
    </row>
    <row r="6413">
      <c r="A6413" s="13">
        <f>IF(H6413="","",ROW()-4)</f>
        <v/>
      </c>
      <c r="B6413" s="13">
        <f>IF(H6413="","",ROW()-4)</f>
        <v/>
      </c>
    </row>
    <row r="6414">
      <c r="A6414" s="13">
        <f>IF(H6414="","",ROW()-4)</f>
        <v/>
      </c>
      <c r="B6414" s="13">
        <f>IF(H6414="","",ROW()-4)</f>
        <v/>
      </c>
    </row>
    <row r="6415">
      <c r="A6415" s="13">
        <f>IF(H6415="","",ROW()-4)</f>
        <v/>
      </c>
      <c r="B6415" s="13">
        <f>IF(H6415="","",ROW()-4)</f>
        <v/>
      </c>
    </row>
    <row r="6416">
      <c r="A6416" s="13">
        <f>IF(H6416="","",ROW()-4)</f>
        <v/>
      </c>
      <c r="B6416" s="13">
        <f>IF(H6416="","",ROW()-4)</f>
        <v/>
      </c>
    </row>
    <row r="6417">
      <c r="A6417" s="13">
        <f>IF(H6417="","",ROW()-4)</f>
        <v/>
      </c>
      <c r="B6417" s="13">
        <f>IF(H6417="","",ROW()-4)</f>
        <v/>
      </c>
    </row>
    <row r="6418">
      <c r="A6418" s="13">
        <f>IF(H6418="","",ROW()-4)</f>
        <v/>
      </c>
      <c r="B6418" s="13">
        <f>IF(H6418="","",ROW()-4)</f>
        <v/>
      </c>
    </row>
    <row r="6419">
      <c r="A6419" s="13">
        <f>IF(H6419="","",ROW()-4)</f>
        <v/>
      </c>
      <c r="B6419" s="13">
        <f>IF(H6419="","",ROW()-4)</f>
        <v/>
      </c>
    </row>
    <row r="6420">
      <c r="A6420" s="13">
        <f>IF(H6420="","",ROW()-4)</f>
        <v/>
      </c>
      <c r="B6420" s="13">
        <f>IF(H6420="","",ROW()-4)</f>
        <v/>
      </c>
    </row>
    <row r="6421">
      <c r="A6421" s="13">
        <f>IF(H6421="","",ROW()-4)</f>
        <v/>
      </c>
      <c r="B6421" s="13">
        <f>IF(H6421="","",ROW()-4)</f>
        <v/>
      </c>
    </row>
    <row r="6422">
      <c r="A6422" s="13">
        <f>IF(H6422="","",ROW()-4)</f>
        <v/>
      </c>
      <c r="B6422" s="13">
        <f>IF(H6422="","",ROW()-4)</f>
        <v/>
      </c>
    </row>
    <row r="6423">
      <c r="A6423" s="13">
        <f>IF(H6423="","",ROW()-4)</f>
        <v/>
      </c>
      <c r="B6423" s="13">
        <f>IF(H6423="","",ROW()-4)</f>
        <v/>
      </c>
    </row>
    <row r="6424">
      <c r="A6424" s="13">
        <f>IF(H6424="","",ROW()-4)</f>
        <v/>
      </c>
      <c r="B6424" s="13">
        <f>IF(H6424="","",ROW()-4)</f>
        <v/>
      </c>
    </row>
    <row r="6425">
      <c r="A6425" s="13">
        <f>IF(H6425="","",ROW()-4)</f>
        <v/>
      </c>
      <c r="B6425" s="13">
        <f>IF(H6425="","",ROW()-4)</f>
        <v/>
      </c>
    </row>
    <row r="6426">
      <c r="A6426" s="13">
        <f>IF(H6426="","",ROW()-4)</f>
        <v/>
      </c>
      <c r="B6426" s="13">
        <f>IF(H6426="","",ROW()-4)</f>
        <v/>
      </c>
    </row>
    <row r="6427">
      <c r="A6427" s="13">
        <f>IF(H6427="","",ROW()-4)</f>
        <v/>
      </c>
      <c r="B6427" s="13">
        <f>IF(H6427="","",ROW()-4)</f>
        <v/>
      </c>
    </row>
    <row r="6428">
      <c r="A6428" s="13">
        <f>IF(H6428="","",ROW()-4)</f>
        <v/>
      </c>
      <c r="B6428" s="13">
        <f>IF(H6428="","",ROW()-4)</f>
        <v/>
      </c>
    </row>
    <row r="6429">
      <c r="A6429" s="13">
        <f>IF(H6429="","",ROW()-4)</f>
        <v/>
      </c>
      <c r="B6429" s="13">
        <f>IF(H6429="","",ROW()-4)</f>
        <v/>
      </c>
    </row>
    <row r="6430">
      <c r="A6430" s="13">
        <f>IF(H6430="","",ROW()-4)</f>
        <v/>
      </c>
      <c r="B6430" s="13">
        <f>IF(H6430="","",ROW()-4)</f>
        <v/>
      </c>
    </row>
    <row r="6431">
      <c r="A6431" s="13">
        <f>IF(H6431="","",ROW()-4)</f>
        <v/>
      </c>
      <c r="B6431" s="13">
        <f>IF(H6431="","",ROW()-4)</f>
        <v/>
      </c>
    </row>
    <row r="6432">
      <c r="A6432" s="13">
        <f>IF(H6432="","",ROW()-4)</f>
        <v/>
      </c>
      <c r="B6432" s="13">
        <f>IF(H6432="","",ROW()-4)</f>
        <v/>
      </c>
    </row>
    <row r="6433">
      <c r="A6433" s="13">
        <f>IF(H6433="","",ROW()-4)</f>
        <v/>
      </c>
      <c r="B6433" s="13">
        <f>IF(H6433="","",ROW()-4)</f>
        <v/>
      </c>
    </row>
    <row r="6434">
      <c r="A6434" s="13">
        <f>IF(H6434="","",ROW()-4)</f>
        <v/>
      </c>
      <c r="B6434" s="13">
        <f>IF(H6434="","",ROW()-4)</f>
        <v/>
      </c>
    </row>
    <row r="6435">
      <c r="A6435" s="13">
        <f>IF(H6435="","",ROW()-4)</f>
        <v/>
      </c>
      <c r="B6435" s="13">
        <f>IF(H6435="","",ROW()-4)</f>
        <v/>
      </c>
    </row>
    <row r="6436">
      <c r="A6436" s="13">
        <f>IF(H6436="","",ROW()-4)</f>
        <v/>
      </c>
      <c r="B6436" s="13">
        <f>IF(H6436="","",ROW()-4)</f>
        <v/>
      </c>
    </row>
    <row r="6437">
      <c r="A6437" s="13">
        <f>IF(H6437="","",ROW()-4)</f>
        <v/>
      </c>
      <c r="B6437" s="13">
        <f>IF(H6437="","",ROW()-4)</f>
        <v/>
      </c>
    </row>
    <row r="6438">
      <c r="A6438" s="13">
        <f>IF(H6438="","",ROW()-4)</f>
        <v/>
      </c>
      <c r="B6438" s="13">
        <f>IF(H6438="","",ROW()-4)</f>
        <v/>
      </c>
    </row>
    <row r="6439">
      <c r="A6439" s="13">
        <f>IF(H6439="","",ROW()-4)</f>
        <v/>
      </c>
      <c r="B6439" s="13">
        <f>IF(H6439="","",ROW()-4)</f>
        <v/>
      </c>
    </row>
    <row r="6440">
      <c r="A6440" s="13">
        <f>IF(H6440="","",ROW()-4)</f>
        <v/>
      </c>
      <c r="B6440" s="13">
        <f>IF(H6440="","",ROW()-4)</f>
        <v/>
      </c>
    </row>
    <row r="6441">
      <c r="A6441" s="13">
        <f>IF(H6441="","",ROW()-4)</f>
        <v/>
      </c>
      <c r="B6441" s="13">
        <f>IF(H6441="","",ROW()-4)</f>
        <v/>
      </c>
    </row>
    <row r="6442">
      <c r="A6442" s="13">
        <f>IF(H6442="","",ROW()-4)</f>
        <v/>
      </c>
      <c r="B6442" s="13">
        <f>IF(H6442="","",ROW()-4)</f>
        <v/>
      </c>
    </row>
    <row r="6443">
      <c r="A6443" s="13">
        <f>IF(H6443="","",ROW()-4)</f>
        <v/>
      </c>
      <c r="B6443" s="13">
        <f>IF(H6443="","",ROW()-4)</f>
        <v/>
      </c>
    </row>
    <row r="6444">
      <c r="A6444" s="13">
        <f>IF(H6444="","",ROW()-4)</f>
        <v/>
      </c>
      <c r="B6444" s="13">
        <f>IF(H6444="","",ROW()-4)</f>
        <v/>
      </c>
    </row>
    <row r="6445">
      <c r="A6445" s="13">
        <f>IF(H6445="","",ROW()-4)</f>
        <v/>
      </c>
      <c r="B6445" s="13">
        <f>IF(H6445="","",ROW()-4)</f>
        <v/>
      </c>
    </row>
    <row r="6446">
      <c r="A6446" s="13">
        <f>IF(H6446="","",ROW()-4)</f>
        <v/>
      </c>
      <c r="B6446" s="13">
        <f>IF(H6446="","",ROW()-4)</f>
        <v/>
      </c>
    </row>
    <row r="6447">
      <c r="A6447" s="13">
        <f>IF(H6447="","",ROW()-4)</f>
        <v/>
      </c>
      <c r="B6447" s="13">
        <f>IF(H6447="","",ROW()-4)</f>
        <v/>
      </c>
    </row>
    <row r="6448">
      <c r="A6448" s="13">
        <f>IF(H6448="","",ROW()-4)</f>
        <v/>
      </c>
      <c r="B6448" s="13">
        <f>IF(H6448="","",ROW()-4)</f>
        <v/>
      </c>
    </row>
    <row r="6449">
      <c r="A6449" s="13">
        <f>IF(H6449="","",ROW()-4)</f>
        <v/>
      </c>
      <c r="B6449" s="13">
        <f>IF(H6449="","",ROW()-4)</f>
        <v/>
      </c>
    </row>
    <row r="6450">
      <c r="A6450" s="13">
        <f>IF(H6450="","",ROW()-4)</f>
        <v/>
      </c>
      <c r="B6450" s="13">
        <f>IF(H6450="","",ROW()-4)</f>
        <v/>
      </c>
    </row>
    <row r="6451">
      <c r="A6451" s="13">
        <f>IF(H6451="","",ROW()-4)</f>
        <v/>
      </c>
      <c r="B6451" s="13">
        <f>IF(H6451="","",ROW()-4)</f>
        <v/>
      </c>
    </row>
    <row r="6452">
      <c r="A6452" s="13">
        <f>IF(H6452="","",ROW()-4)</f>
        <v/>
      </c>
      <c r="B6452" s="13">
        <f>IF(H6452="","",ROW()-4)</f>
        <v/>
      </c>
    </row>
    <row r="6453">
      <c r="A6453" s="13">
        <f>IF(H6453="","",ROW()-4)</f>
        <v/>
      </c>
      <c r="B6453" s="13">
        <f>IF(H6453="","",ROW()-4)</f>
        <v/>
      </c>
    </row>
    <row r="6454">
      <c r="A6454" s="13">
        <f>IF(H6454="","",ROW()-4)</f>
        <v/>
      </c>
      <c r="B6454" s="13">
        <f>IF(H6454="","",ROW()-4)</f>
        <v/>
      </c>
    </row>
    <row r="6455">
      <c r="A6455" s="13">
        <f>IF(H6455="","",ROW()-4)</f>
        <v/>
      </c>
      <c r="B6455" s="13">
        <f>IF(H6455="","",ROW()-4)</f>
        <v/>
      </c>
    </row>
    <row r="6456">
      <c r="A6456" s="13">
        <f>IF(H6456="","",ROW()-4)</f>
        <v/>
      </c>
      <c r="B6456" s="13">
        <f>IF(H6456="","",ROW()-4)</f>
        <v/>
      </c>
    </row>
    <row r="6457">
      <c r="A6457" s="13">
        <f>IF(H6457="","",ROW()-4)</f>
        <v/>
      </c>
      <c r="B6457" s="13">
        <f>IF(H6457="","",ROW()-4)</f>
        <v/>
      </c>
    </row>
    <row r="6458">
      <c r="A6458" s="13">
        <f>IF(H6458="","",ROW()-4)</f>
        <v/>
      </c>
      <c r="B6458" s="13">
        <f>IF(H6458="","",ROW()-4)</f>
        <v/>
      </c>
    </row>
    <row r="6459">
      <c r="A6459" s="13">
        <f>IF(H6459="","",ROW()-4)</f>
        <v/>
      </c>
      <c r="B6459" s="13">
        <f>IF(H6459="","",ROW()-4)</f>
        <v/>
      </c>
    </row>
    <row r="6460">
      <c r="A6460" s="13">
        <f>IF(H6460="","",ROW()-4)</f>
        <v/>
      </c>
      <c r="B6460" s="13">
        <f>IF(H6460="","",ROW()-4)</f>
        <v/>
      </c>
    </row>
    <row r="6461">
      <c r="A6461" s="13">
        <f>IF(H6461="","",ROW()-4)</f>
        <v/>
      </c>
      <c r="B6461" s="13">
        <f>IF(H6461="","",ROW()-4)</f>
        <v/>
      </c>
    </row>
    <row r="6462">
      <c r="A6462" s="13">
        <f>IF(H6462="","",ROW()-4)</f>
        <v/>
      </c>
      <c r="B6462" s="13">
        <f>IF(H6462="","",ROW()-4)</f>
        <v/>
      </c>
    </row>
    <row r="6463">
      <c r="A6463" s="13">
        <f>IF(H6463="","",ROW()-4)</f>
        <v/>
      </c>
      <c r="B6463" s="13">
        <f>IF(H6463="","",ROW()-4)</f>
        <v/>
      </c>
    </row>
    <row r="6464">
      <c r="A6464" s="13">
        <f>IF(H6464="","",ROW()-4)</f>
        <v/>
      </c>
      <c r="B6464" s="13">
        <f>IF(H6464="","",ROW()-4)</f>
        <v/>
      </c>
    </row>
    <row r="6465">
      <c r="A6465" s="13">
        <f>IF(H6465="","",ROW()-4)</f>
        <v/>
      </c>
      <c r="B6465" s="13">
        <f>IF(H6465="","",ROW()-4)</f>
        <v/>
      </c>
    </row>
    <row r="6466">
      <c r="A6466" s="13">
        <f>IF(H6466="","",ROW()-4)</f>
        <v/>
      </c>
      <c r="B6466" s="13">
        <f>IF(H6466="","",ROW()-4)</f>
        <v/>
      </c>
    </row>
    <row r="6467">
      <c r="A6467" s="13">
        <f>IF(H6467="","",ROW()-4)</f>
        <v/>
      </c>
      <c r="B6467" s="13">
        <f>IF(H6467="","",ROW()-4)</f>
        <v/>
      </c>
    </row>
    <row r="6468">
      <c r="A6468" s="13">
        <f>IF(H6468="","",ROW()-4)</f>
        <v/>
      </c>
      <c r="B6468" s="13">
        <f>IF(H6468="","",ROW()-4)</f>
        <v/>
      </c>
    </row>
    <row r="6469">
      <c r="A6469" s="13">
        <f>IF(H6469="","",ROW()-4)</f>
        <v/>
      </c>
      <c r="B6469" s="13">
        <f>IF(H6469="","",ROW()-4)</f>
        <v/>
      </c>
    </row>
    <row r="6470">
      <c r="A6470" s="13">
        <f>IF(H6470="","",ROW()-4)</f>
        <v/>
      </c>
      <c r="B6470" s="13">
        <f>IF(H6470="","",ROW()-4)</f>
        <v/>
      </c>
    </row>
    <row r="6471">
      <c r="A6471" s="13">
        <f>IF(H6471="","",ROW()-4)</f>
        <v/>
      </c>
      <c r="B6471" s="13">
        <f>IF(H6471="","",ROW()-4)</f>
        <v/>
      </c>
    </row>
    <row r="6472">
      <c r="A6472" s="13">
        <f>IF(H6472="","",ROW()-4)</f>
        <v/>
      </c>
      <c r="B6472" s="13">
        <f>IF(H6472="","",ROW()-4)</f>
        <v/>
      </c>
    </row>
    <row r="6473">
      <c r="A6473" s="13">
        <f>IF(H6473="","",ROW()-4)</f>
        <v/>
      </c>
      <c r="B6473" s="13">
        <f>IF(H6473="","",ROW()-4)</f>
        <v/>
      </c>
    </row>
    <row r="6474">
      <c r="A6474" s="13">
        <f>IF(H6474="","",ROW()-4)</f>
        <v/>
      </c>
      <c r="B6474" s="13">
        <f>IF(H6474="","",ROW()-4)</f>
        <v/>
      </c>
    </row>
    <row r="6475">
      <c r="A6475" s="13">
        <f>IF(H6475="","",ROW()-4)</f>
        <v/>
      </c>
      <c r="B6475" s="13">
        <f>IF(H6475="","",ROW()-4)</f>
        <v/>
      </c>
    </row>
    <row r="6476">
      <c r="A6476" s="13">
        <f>IF(H6476="","",ROW()-4)</f>
        <v/>
      </c>
      <c r="B6476" s="13">
        <f>IF(H6476="","",ROW()-4)</f>
        <v/>
      </c>
    </row>
    <row r="6477">
      <c r="A6477" s="13">
        <f>IF(H6477="","",ROW()-4)</f>
        <v/>
      </c>
      <c r="B6477" s="13">
        <f>IF(H6477="","",ROW()-4)</f>
        <v/>
      </c>
    </row>
    <row r="6478">
      <c r="A6478" s="13">
        <f>IF(H6478="","",ROW()-4)</f>
        <v/>
      </c>
      <c r="B6478" s="13">
        <f>IF(H6478="","",ROW()-4)</f>
        <v/>
      </c>
    </row>
    <row r="6479">
      <c r="A6479" s="13">
        <f>IF(H6479="","",ROW()-4)</f>
        <v/>
      </c>
      <c r="B6479" s="13">
        <f>IF(H6479="","",ROW()-4)</f>
        <v/>
      </c>
    </row>
    <row r="6480">
      <c r="A6480" s="13">
        <f>IF(H6480="","",ROW()-4)</f>
        <v/>
      </c>
      <c r="B6480" s="13">
        <f>IF(H6480="","",ROW()-4)</f>
        <v/>
      </c>
    </row>
    <row r="6481">
      <c r="A6481" s="13">
        <f>IF(H6481="","",ROW()-4)</f>
        <v/>
      </c>
      <c r="B6481" s="13">
        <f>IF(H6481="","",ROW()-4)</f>
        <v/>
      </c>
    </row>
    <row r="6482">
      <c r="A6482" s="13">
        <f>IF(H6482="","",ROW()-4)</f>
        <v/>
      </c>
      <c r="B6482" s="13">
        <f>IF(H6482="","",ROW()-4)</f>
        <v/>
      </c>
    </row>
    <row r="6483">
      <c r="A6483" s="13">
        <f>IF(H6483="","",ROW()-4)</f>
        <v/>
      </c>
      <c r="B6483" s="13">
        <f>IF(H6483="","",ROW()-4)</f>
        <v/>
      </c>
    </row>
    <row r="6484">
      <c r="A6484" s="13">
        <f>IF(H6484="","",ROW()-4)</f>
        <v/>
      </c>
      <c r="B6484" s="13">
        <f>IF(H6484="","",ROW()-4)</f>
        <v/>
      </c>
    </row>
    <row r="6485">
      <c r="A6485" s="13">
        <f>IF(H6485="","",ROW()-4)</f>
        <v/>
      </c>
      <c r="B6485" s="13">
        <f>IF(H6485="","",ROW()-4)</f>
        <v/>
      </c>
    </row>
    <row r="6486">
      <c r="A6486" s="13">
        <f>IF(H6486="","",ROW()-4)</f>
        <v/>
      </c>
      <c r="B6486" s="13">
        <f>IF(H6486="","",ROW()-4)</f>
        <v/>
      </c>
    </row>
    <row r="6487">
      <c r="A6487" s="13">
        <f>IF(H6487="","",ROW()-4)</f>
        <v/>
      </c>
      <c r="B6487" s="13">
        <f>IF(H6487="","",ROW()-4)</f>
        <v/>
      </c>
    </row>
    <row r="6488">
      <c r="A6488" s="13">
        <f>IF(H6488="","",ROW()-4)</f>
        <v/>
      </c>
      <c r="B6488" s="13">
        <f>IF(H6488="","",ROW()-4)</f>
        <v/>
      </c>
    </row>
    <row r="6489">
      <c r="A6489" s="13">
        <f>IF(H6489="","",ROW()-4)</f>
        <v/>
      </c>
      <c r="B6489" s="13">
        <f>IF(H6489="","",ROW()-4)</f>
        <v/>
      </c>
    </row>
    <row r="6490">
      <c r="A6490" s="13">
        <f>IF(H6490="","",ROW()-4)</f>
        <v/>
      </c>
      <c r="B6490" s="13">
        <f>IF(H6490="","",ROW()-4)</f>
        <v/>
      </c>
    </row>
    <row r="6491">
      <c r="A6491" s="13">
        <f>IF(H6491="","",ROW()-4)</f>
        <v/>
      </c>
      <c r="B6491" s="13">
        <f>IF(H6491="","",ROW()-4)</f>
        <v/>
      </c>
    </row>
    <row r="6492">
      <c r="A6492" s="13">
        <f>IF(H6492="","",ROW()-4)</f>
        <v/>
      </c>
      <c r="B6492" s="13">
        <f>IF(H6492="","",ROW()-4)</f>
        <v/>
      </c>
    </row>
    <row r="6493">
      <c r="A6493" s="13">
        <f>IF(H6493="","",ROW()-4)</f>
        <v/>
      </c>
      <c r="B6493" s="13">
        <f>IF(H6493="","",ROW()-4)</f>
        <v/>
      </c>
    </row>
    <row r="6494">
      <c r="A6494" s="13">
        <f>IF(H6494="","",ROW()-4)</f>
        <v/>
      </c>
      <c r="B6494" s="13">
        <f>IF(H6494="","",ROW()-4)</f>
        <v/>
      </c>
    </row>
    <row r="6495">
      <c r="A6495" s="13">
        <f>IF(H6495="","",ROW()-4)</f>
        <v/>
      </c>
      <c r="B6495" s="13">
        <f>IF(H6495="","",ROW()-4)</f>
        <v/>
      </c>
    </row>
    <row r="6496">
      <c r="A6496" s="13">
        <f>IF(H6496="","",ROW()-4)</f>
        <v/>
      </c>
      <c r="B6496" s="13">
        <f>IF(H6496="","",ROW()-4)</f>
        <v/>
      </c>
    </row>
    <row r="6497">
      <c r="A6497" s="13">
        <f>IF(H6497="","",ROW()-4)</f>
        <v/>
      </c>
      <c r="B6497" s="13">
        <f>IF(H6497="","",ROW()-4)</f>
        <v/>
      </c>
    </row>
    <row r="6498">
      <c r="A6498" s="13">
        <f>IF(H6498="","",ROW()-4)</f>
        <v/>
      </c>
      <c r="B6498" s="13">
        <f>IF(H6498="","",ROW()-4)</f>
        <v/>
      </c>
    </row>
    <row r="6499">
      <c r="A6499" s="13">
        <f>IF(H6499="","",ROW()-4)</f>
        <v/>
      </c>
      <c r="B6499" s="13">
        <f>IF(H6499="","",ROW()-4)</f>
        <v/>
      </c>
    </row>
    <row r="6500">
      <c r="A6500" s="13">
        <f>IF(H6500="","",ROW()-4)</f>
        <v/>
      </c>
      <c r="B6500" s="13">
        <f>IF(H6500="","",ROW()-4)</f>
        <v/>
      </c>
    </row>
    <row r="6501">
      <c r="A6501" s="13">
        <f>IF(H6501="","",ROW()-4)</f>
        <v/>
      </c>
      <c r="B6501" s="13">
        <f>IF(H6501="","",ROW()-4)</f>
        <v/>
      </c>
    </row>
    <row r="6502">
      <c r="A6502" s="13">
        <f>IF(H6502="","",ROW()-4)</f>
        <v/>
      </c>
      <c r="B6502" s="13">
        <f>IF(H6502="","",ROW()-4)</f>
        <v/>
      </c>
    </row>
    <row r="6503">
      <c r="A6503" s="13">
        <f>IF(H6503="","",ROW()-4)</f>
        <v/>
      </c>
      <c r="B6503" s="13">
        <f>IF(H6503="","",ROW()-4)</f>
        <v/>
      </c>
    </row>
    <row r="6504">
      <c r="A6504" s="13">
        <f>IF(H6504="","",ROW()-4)</f>
        <v/>
      </c>
      <c r="B6504" s="13">
        <f>IF(H6504="","",ROW()-4)</f>
        <v/>
      </c>
    </row>
    <row r="6505">
      <c r="A6505" s="13">
        <f>IF(H6505="","",ROW()-4)</f>
        <v/>
      </c>
      <c r="B6505" s="13">
        <f>IF(H6505="","",ROW()-4)</f>
        <v/>
      </c>
    </row>
    <row r="6506">
      <c r="A6506" s="13">
        <f>IF(H6506="","",ROW()-4)</f>
        <v/>
      </c>
      <c r="B6506" s="13">
        <f>IF(H6506="","",ROW()-4)</f>
        <v/>
      </c>
    </row>
    <row r="6507">
      <c r="A6507" s="13">
        <f>IF(H6507="","",ROW()-4)</f>
        <v/>
      </c>
      <c r="B6507" s="13">
        <f>IF(H6507="","",ROW()-4)</f>
        <v/>
      </c>
    </row>
    <row r="6508">
      <c r="A6508" s="13">
        <f>IF(H6508="","",ROW()-4)</f>
        <v/>
      </c>
      <c r="B6508" s="13">
        <f>IF(H6508="","",ROW()-4)</f>
        <v/>
      </c>
    </row>
    <row r="6509">
      <c r="A6509" s="13">
        <f>IF(H6509="","",ROW()-4)</f>
        <v/>
      </c>
      <c r="B6509" s="13">
        <f>IF(H6509="","",ROW()-4)</f>
        <v/>
      </c>
    </row>
    <row r="6510">
      <c r="A6510" s="13">
        <f>IF(H6510="","",ROW()-4)</f>
        <v/>
      </c>
      <c r="B6510" s="13">
        <f>IF(H6510="","",ROW()-4)</f>
        <v/>
      </c>
    </row>
    <row r="6511">
      <c r="A6511" s="13">
        <f>IF(H6511="","",ROW()-4)</f>
        <v/>
      </c>
      <c r="B6511" s="13">
        <f>IF(H6511="","",ROW()-4)</f>
        <v/>
      </c>
    </row>
    <row r="6512">
      <c r="A6512" s="13">
        <f>IF(H6512="","",ROW()-4)</f>
        <v/>
      </c>
      <c r="B6512" s="13">
        <f>IF(H6512="","",ROW()-4)</f>
        <v/>
      </c>
    </row>
    <row r="6513">
      <c r="A6513" s="13">
        <f>IF(H6513="","",ROW()-4)</f>
        <v/>
      </c>
      <c r="B6513" s="13">
        <f>IF(H6513="","",ROW()-4)</f>
        <v/>
      </c>
    </row>
    <row r="6514">
      <c r="A6514" s="13">
        <f>IF(H6514="","",ROW()-4)</f>
        <v/>
      </c>
      <c r="B6514" s="13">
        <f>IF(H6514="","",ROW()-4)</f>
        <v/>
      </c>
    </row>
    <row r="6515">
      <c r="A6515" s="13">
        <f>IF(H6515="","",ROW()-4)</f>
        <v/>
      </c>
      <c r="B6515" s="13">
        <f>IF(H6515="","",ROW()-4)</f>
        <v/>
      </c>
    </row>
    <row r="6516">
      <c r="A6516" s="13">
        <f>IF(H6516="","",ROW()-4)</f>
        <v/>
      </c>
      <c r="B6516" s="13">
        <f>IF(H6516="","",ROW()-4)</f>
        <v/>
      </c>
    </row>
    <row r="6517">
      <c r="A6517" s="13">
        <f>IF(H6517="","",ROW()-4)</f>
        <v/>
      </c>
      <c r="B6517" s="13">
        <f>IF(H6517="","",ROW()-4)</f>
        <v/>
      </c>
    </row>
    <row r="6518">
      <c r="A6518" s="13">
        <f>IF(H6518="","",ROW()-4)</f>
        <v/>
      </c>
      <c r="B6518" s="13">
        <f>IF(H6518="","",ROW()-4)</f>
        <v/>
      </c>
    </row>
    <row r="6519">
      <c r="A6519" s="13">
        <f>IF(H6519="","",ROW()-4)</f>
        <v/>
      </c>
      <c r="B6519" s="13">
        <f>IF(H6519="","",ROW()-4)</f>
        <v/>
      </c>
    </row>
    <row r="6520">
      <c r="A6520" s="13">
        <f>IF(H6520="","",ROW()-4)</f>
        <v/>
      </c>
      <c r="B6520" s="13">
        <f>IF(H6520="","",ROW()-4)</f>
        <v/>
      </c>
    </row>
    <row r="6521">
      <c r="A6521" s="13">
        <f>IF(H6521="","",ROW()-4)</f>
        <v/>
      </c>
      <c r="B6521" s="13">
        <f>IF(H6521="","",ROW()-4)</f>
        <v/>
      </c>
    </row>
    <row r="6522">
      <c r="A6522" s="13">
        <f>IF(H6522="","",ROW()-4)</f>
        <v/>
      </c>
      <c r="B6522" s="13">
        <f>IF(H6522="","",ROW()-4)</f>
        <v/>
      </c>
    </row>
    <row r="6523">
      <c r="A6523" s="13">
        <f>IF(H6523="","",ROW()-4)</f>
        <v/>
      </c>
      <c r="B6523" s="13">
        <f>IF(H6523="","",ROW()-4)</f>
        <v/>
      </c>
    </row>
    <row r="6524">
      <c r="A6524" s="13">
        <f>IF(H6524="","",ROW()-4)</f>
        <v/>
      </c>
      <c r="B6524" s="13">
        <f>IF(H6524="","",ROW()-4)</f>
        <v/>
      </c>
    </row>
    <row r="6525">
      <c r="A6525" s="13">
        <f>IF(H6525="","",ROW()-4)</f>
        <v/>
      </c>
      <c r="B6525" s="13">
        <f>IF(H6525="","",ROW()-4)</f>
        <v/>
      </c>
    </row>
    <row r="6526">
      <c r="A6526" s="13">
        <f>IF(H6526="","",ROW()-4)</f>
        <v/>
      </c>
      <c r="B6526" s="13">
        <f>IF(H6526="","",ROW()-4)</f>
        <v/>
      </c>
    </row>
    <row r="6527">
      <c r="A6527" s="13">
        <f>IF(H6527="","",ROW()-4)</f>
        <v/>
      </c>
      <c r="B6527" s="13">
        <f>IF(H6527="","",ROW()-4)</f>
        <v/>
      </c>
    </row>
    <row r="6528">
      <c r="A6528" s="13">
        <f>IF(H6528="","",ROW()-4)</f>
        <v/>
      </c>
      <c r="B6528" s="13">
        <f>IF(H6528="","",ROW()-4)</f>
        <v/>
      </c>
    </row>
    <row r="6529">
      <c r="A6529" s="13">
        <f>IF(H6529="","",ROW()-4)</f>
        <v/>
      </c>
      <c r="B6529" s="13">
        <f>IF(H6529="","",ROW()-4)</f>
        <v/>
      </c>
    </row>
    <row r="6530">
      <c r="A6530" s="13">
        <f>IF(H6530="","",ROW()-4)</f>
        <v/>
      </c>
      <c r="B6530" s="13">
        <f>IF(H6530="","",ROW()-4)</f>
        <v/>
      </c>
    </row>
    <row r="6531">
      <c r="A6531" s="13">
        <f>IF(H6531="","",ROW()-4)</f>
        <v/>
      </c>
      <c r="B6531" s="13">
        <f>IF(H6531="","",ROW()-4)</f>
        <v/>
      </c>
    </row>
    <row r="6532">
      <c r="A6532" s="13">
        <f>IF(H6532="","",ROW()-4)</f>
        <v/>
      </c>
      <c r="B6532" s="13">
        <f>IF(H6532="","",ROW()-4)</f>
        <v/>
      </c>
    </row>
    <row r="6533">
      <c r="A6533" s="13">
        <f>IF(H6533="","",ROW()-4)</f>
        <v/>
      </c>
      <c r="B6533" s="13">
        <f>IF(H6533="","",ROW()-4)</f>
        <v/>
      </c>
    </row>
    <row r="6534">
      <c r="A6534" s="13">
        <f>IF(H6534="","",ROW()-4)</f>
        <v/>
      </c>
      <c r="B6534" s="13">
        <f>IF(H6534="","",ROW()-4)</f>
        <v/>
      </c>
    </row>
    <row r="6535">
      <c r="A6535" s="13">
        <f>IF(H6535="","",ROW()-4)</f>
        <v/>
      </c>
      <c r="B6535" s="13">
        <f>IF(H6535="","",ROW()-4)</f>
        <v/>
      </c>
    </row>
    <row r="6536">
      <c r="A6536" s="13">
        <f>IF(H6536="","",ROW()-4)</f>
        <v/>
      </c>
      <c r="B6536" s="13">
        <f>IF(H6536="","",ROW()-4)</f>
        <v/>
      </c>
    </row>
    <row r="6537">
      <c r="A6537" s="13">
        <f>IF(H6537="","",ROW()-4)</f>
        <v/>
      </c>
      <c r="B6537" s="13">
        <f>IF(H6537="","",ROW()-4)</f>
        <v/>
      </c>
    </row>
    <row r="6538">
      <c r="A6538" s="13">
        <f>IF(H6538="","",ROW()-4)</f>
        <v/>
      </c>
      <c r="B6538" s="13">
        <f>IF(H6538="","",ROW()-4)</f>
        <v/>
      </c>
    </row>
    <row r="6539">
      <c r="A6539" s="13">
        <f>IF(H6539="","",ROW()-4)</f>
        <v/>
      </c>
      <c r="B6539" s="13">
        <f>IF(H6539="","",ROW()-4)</f>
        <v/>
      </c>
    </row>
    <row r="6540">
      <c r="A6540" s="13">
        <f>IF(H6540="","",ROW()-4)</f>
        <v/>
      </c>
      <c r="B6540" s="13">
        <f>IF(H6540="","",ROW()-4)</f>
        <v/>
      </c>
    </row>
    <row r="6541">
      <c r="A6541" s="13">
        <f>IF(H6541="","",ROW()-4)</f>
        <v/>
      </c>
      <c r="B6541" s="13">
        <f>IF(H6541="","",ROW()-4)</f>
        <v/>
      </c>
    </row>
    <row r="6542">
      <c r="A6542" s="13">
        <f>IF(H6542="","",ROW()-4)</f>
        <v/>
      </c>
      <c r="B6542" s="13">
        <f>IF(H6542="","",ROW()-4)</f>
        <v/>
      </c>
    </row>
    <row r="6543">
      <c r="A6543" s="13">
        <f>IF(H6543="","",ROW()-4)</f>
        <v/>
      </c>
      <c r="B6543" s="13">
        <f>IF(H6543="","",ROW()-4)</f>
        <v/>
      </c>
    </row>
    <row r="6544">
      <c r="A6544" s="13">
        <f>IF(H6544="","",ROW()-4)</f>
        <v/>
      </c>
      <c r="B6544" s="13">
        <f>IF(H6544="","",ROW()-4)</f>
        <v/>
      </c>
    </row>
    <row r="6545">
      <c r="A6545" s="13">
        <f>IF(H6545="","",ROW()-4)</f>
        <v/>
      </c>
      <c r="B6545" s="13">
        <f>IF(H6545="","",ROW()-4)</f>
        <v/>
      </c>
    </row>
    <row r="6546">
      <c r="A6546" s="13">
        <f>IF(H6546="","",ROW()-4)</f>
        <v/>
      </c>
      <c r="B6546" s="13">
        <f>IF(H6546="","",ROW()-4)</f>
        <v/>
      </c>
    </row>
    <row r="6547">
      <c r="A6547" s="13">
        <f>IF(H6547="","",ROW()-4)</f>
        <v/>
      </c>
      <c r="B6547" s="13">
        <f>IF(H6547="","",ROW()-4)</f>
        <v/>
      </c>
    </row>
    <row r="6548">
      <c r="A6548" s="13">
        <f>IF(H6548="","",ROW()-4)</f>
        <v/>
      </c>
      <c r="B6548" s="13">
        <f>IF(H6548="","",ROW()-4)</f>
        <v/>
      </c>
    </row>
    <row r="6549">
      <c r="A6549" s="13">
        <f>IF(H6549="","",ROW()-4)</f>
        <v/>
      </c>
      <c r="B6549" s="13">
        <f>IF(H6549="","",ROW()-4)</f>
        <v/>
      </c>
    </row>
    <row r="6550">
      <c r="A6550" s="13">
        <f>IF(H6550="","",ROW()-4)</f>
        <v/>
      </c>
      <c r="B6550" s="13">
        <f>IF(H6550="","",ROW()-4)</f>
        <v/>
      </c>
    </row>
    <row r="6551">
      <c r="A6551" s="13">
        <f>IF(H6551="","",ROW()-4)</f>
        <v/>
      </c>
      <c r="B6551" s="13">
        <f>IF(H6551="","",ROW()-4)</f>
        <v/>
      </c>
    </row>
    <row r="6552">
      <c r="A6552" s="13">
        <f>IF(H6552="","",ROW()-4)</f>
        <v/>
      </c>
      <c r="B6552" s="13">
        <f>IF(H6552="","",ROW()-4)</f>
        <v/>
      </c>
    </row>
    <row r="6553">
      <c r="A6553" s="13">
        <f>IF(H6553="","",ROW()-4)</f>
        <v/>
      </c>
      <c r="B6553" s="13">
        <f>IF(H6553="","",ROW()-4)</f>
        <v/>
      </c>
    </row>
    <row r="6554">
      <c r="A6554" s="13">
        <f>IF(H6554="","",ROW()-4)</f>
        <v/>
      </c>
      <c r="B6554" s="13">
        <f>IF(H6554="","",ROW()-4)</f>
        <v/>
      </c>
    </row>
    <row r="6555">
      <c r="A6555" s="13">
        <f>IF(H6555="","",ROW()-4)</f>
        <v/>
      </c>
      <c r="B6555" s="13">
        <f>IF(H6555="","",ROW()-4)</f>
        <v/>
      </c>
    </row>
    <row r="6556">
      <c r="A6556" s="13">
        <f>IF(H6556="","",ROW()-4)</f>
        <v/>
      </c>
      <c r="B6556" s="13">
        <f>IF(H6556="","",ROW()-4)</f>
        <v/>
      </c>
    </row>
    <row r="6557">
      <c r="A6557" s="13">
        <f>IF(H6557="","",ROW()-4)</f>
        <v/>
      </c>
      <c r="B6557" s="13">
        <f>IF(H6557="","",ROW()-4)</f>
        <v/>
      </c>
    </row>
    <row r="6558">
      <c r="A6558" s="13">
        <f>IF(H6558="","",ROW()-4)</f>
        <v/>
      </c>
      <c r="B6558" s="13">
        <f>IF(H6558="","",ROW()-4)</f>
        <v/>
      </c>
    </row>
    <row r="6559">
      <c r="A6559" s="13">
        <f>IF(H6559="","",ROW()-4)</f>
        <v/>
      </c>
      <c r="B6559" s="13">
        <f>IF(H6559="","",ROW()-4)</f>
        <v/>
      </c>
    </row>
    <row r="6560">
      <c r="A6560" s="13">
        <f>IF(H6560="","",ROW()-4)</f>
        <v/>
      </c>
      <c r="B6560" s="13">
        <f>IF(H6560="","",ROW()-4)</f>
        <v/>
      </c>
    </row>
    <row r="6561">
      <c r="A6561" s="13">
        <f>IF(H6561="","",ROW()-4)</f>
        <v/>
      </c>
      <c r="B6561" s="13">
        <f>IF(H6561="","",ROW()-4)</f>
        <v/>
      </c>
    </row>
    <row r="6562">
      <c r="A6562" s="13">
        <f>IF(H6562="","",ROW()-4)</f>
        <v/>
      </c>
      <c r="B6562" s="13">
        <f>IF(H6562="","",ROW()-4)</f>
        <v/>
      </c>
    </row>
    <row r="6563">
      <c r="A6563" s="13">
        <f>IF(H6563="","",ROW()-4)</f>
        <v/>
      </c>
      <c r="B6563" s="13">
        <f>IF(H6563="","",ROW()-4)</f>
        <v/>
      </c>
    </row>
    <row r="6564">
      <c r="A6564" s="13">
        <f>IF(H6564="","",ROW()-4)</f>
        <v/>
      </c>
      <c r="B6564" s="13">
        <f>IF(H6564="","",ROW()-4)</f>
        <v/>
      </c>
    </row>
    <row r="6565">
      <c r="A6565" s="13">
        <f>IF(H6565="","",ROW()-4)</f>
        <v/>
      </c>
      <c r="B6565" s="13">
        <f>IF(H6565="","",ROW()-4)</f>
        <v/>
      </c>
    </row>
    <row r="6566">
      <c r="A6566" s="13">
        <f>IF(H6566="","",ROW()-4)</f>
        <v/>
      </c>
      <c r="B6566" s="13">
        <f>IF(H6566="","",ROW()-4)</f>
        <v/>
      </c>
    </row>
    <row r="6567">
      <c r="A6567" s="13">
        <f>IF(H6567="","",ROW()-4)</f>
        <v/>
      </c>
      <c r="B6567" s="13">
        <f>IF(H6567="","",ROW()-4)</f>
        <v/>
      </c>
    </row>
    <row r="6568">
      <c r="A6568" s="13">
        <f>IF(H6568="","",ROW()-4)</f>
        <v/>
      </c>
      <c r="B6568" s="13">
        <f>IF(H6568="","",ROW()-4)</f>
        <v/>
      </c>
    </row>
    <row r="6569">
      <c r="A6569" s="13">
        <f>IF(H6569="","",ROW()-4)</f>
        <v/>
      </c>
      <c r="B6569" s="13">
        <f>IF(H6569="","",ROW()-4)</f>
        <v/>
      </c>
    </row>
    <row r="6570">
      <c r="A6570" s="13">
        <f>IF(H6570="","",ROW()-4)</f>
        <v/>
      </c>
      <c r="B6570" s="13">
        <f>IF(H6570="","",ROW()-4)</f>
        <v/>
      </c>
    </row>
    <row r="6571">
      <c r="A6571" s="13">
        <f>IF(H6571="","",ROW()-4)</f>
        <v/>
      </c>
      <c r="B6571" s="13">
        <f>IF(H6571="","",ROW()-4)</f>
        <v/>
      </c>
    </row>
    <row r="6572">
      <c r="A6572" s="13">
        <f>IF(H6572="","",ROW()-4)</f>
        <v/>
      </c>
      <c r="B6572" s="13">
        <f>IF(H6572="","",ROW()-4)</f>
        <v/>
      </c>
    </row>
    <row r="6573">
      <c r="A6573" s="13">
        <f>IF(H6573="","",ROW()-4)</f>
        <v/>
      </c>
      <c r="B6573" s="13">
        <f>IF(H6573="","",ROW()-4)</f>
        <v/>
      </c>
    </row>
    <row r="6574">
      <c r="A6574" s="13">
        <f>IF(H6574="","",ROW()-4)</f>
        <v/>
      </c>
      <c r="B6574" s="13">
        <f>IF(H6574="","",ROW()-4)</f>
        <v/>
      </c>
    </row>
    <row r="6575">
      <c r="A6575" s="13">
        <f>IF(H6575="","",ROW()-4)</f>
        <v/>
      </c>
      <c r="B6575" s="13">
        <f>IF(H6575="","",ROW()-4)</f>
        <v/>
      </c>
    </row>
    <row r="6576">
      <c r="A6576" s="13">
        <f>IF(H6576="","",ROW()-4)</f>
        <v/>
      </c>
      <c r="B6576" s="13">
        <f>IF(H6576="","",ROW()-4)</f>
        <v/>
      </c>
    </row>
    <row r="6577">
      <c r="A6577" s="13">
        <f>IF(H6577="","",ROW()-4)</f>
        <v/>
      </c>
      <c r="B6577" s="13">
        <f>IF(H6577="","",ROW()-4)</f>
        <v/>
      </c>
    </row>
    <row r="6578">
      <c r="A6578" s="13">
        <f>IF(H6578="","",ROW()-4)</f>
        <v/>
      </c>
      <c r="B6578" s="13">
        <f>IF(H6578="","",ROW()-4)</f>
        <v/>
      </c>
    </row>
    <row r="6579">
      <c r="A6579" s="13">
        <f>IF(H6579="","",ROW()-4)</f>
        <v/>
      </c>
      <c r="B6579" s="13">
        <f>IF(H6579="","",ROW()-4)</f>
        <v/>
      </c>
    </row>
    <row r="6580">
      <c r="A6580" s="13">
        <f>IF(H6580="","",ROW()-4)</f>
        <v/>
      </c>
      <c r="B6580" s="13">
        <f>IF(H6580="","",ROW()-4)</f>
        <v/>
      </c>
    </row>
    <row r="6581">
      <c r="A6581" s="13">
        <f>IF(H6581="","",ROW()-4)</f>
        <v/>
      </c>
      <c r="B6581" s="13">
        <f>IF(H6581="","",ROW()-4)</f>
        <v/>
      </c>
    </row>
    <row r="6582">
      <c r="A6582" s="13">
        <f>IF(H6582="","",ROW()-4)</f>
        <v/>
      </c>
      <c r="B6582" s="13">
        <f>IF(H6582="","",ROW()-4)</f>
        <v/>
      </c>
    </row>
    <row r="6583">
      <c r="A6583" s="13">
        <f>IF(H6583="","",ROW()-4)</f>
        <v/>
      </c>
      <c r="B6583" s="13">
        <f>IF(H6583="","",ROW()-4)</f>
        <v/>
      </c>
    </row>
    <row r="6584">
      <c r="A6584" s="13">
        <f>IF(H6584="","",ROW()-4)</f>
        <v/>
      </c>
      <c r="B6584" s="13">
        <f>IF(H6584="","",ROW()-4)</f>
        <v/>
      </c>
    </row>
    <row r="6585">
      <c r="A6585" s="13">
        <f>IF(H6585="","",ROW()-4)</f>
        <v/>
      </c>
      <c r="B6585" s="13">
        <f>IF(H6585="","",ROW()-4)</f>
        <v/>
      </c>
    </row>
    <row r="6586">
      <c r="A6586" s="13">
        <f>IF(H6586="","",ROW()-4)</f>
        <v/>
      </c>
      <c r="B6586" s="13">
        <f>IF(H6586="","",ROW()-4)</f>
        <v/>
      </c>
    </row>
    <row r="6587">
      <c r="A6587" s="13">
        <f>IF(H6587="","",ROW()-4)</f>
        <v/>
      </c>
      <c r="B6587" s="13">
        <f>IF(H6587="","",ROW()-4)</f>
        <v/>
      </c>
    </row>
    <row r="6588">
      <c r="A6588" s="13">
        <f>IF(H6588="","",ROW()-4)</f>
        <v/>
      </c>
      <c r="B6588" s="13">
        <f>IF(H6588="","",ROW()-4)</f>
        <v/>
      </c>
    </row>
    <row r="6589">
      <c r="A6589" s="13">
        <f>IF(H6589="","",ROW()-4)</f>
        <v/>
      </c>
      <c r="B6589" s="13">
        <f>IF(H6589="","",ROW()-4)</f>
        <v/>
      </c>
    </row>
    <row r="6590">
      <c r="A6590" s="13">
        <f>IF(H6590="","",ROW()-4)</f>
        <v/>
      </c>
      <c r="B6590" s="13">
        <f>IF(H6590="","",ROW()-4)</f>
        <v/>
      </c>
    </row>
    <row r="6591">
      <c r="A6591" s="13">
        <f>IF(H6591="","",ROW()-4)</f>
        <v/>
      </c>
      <c r="B6591" s="13">
        <f>IF(H6591="","",ROW()-4)</f>
        <v/>
      </c>
    </row>
    <row r="6592">
      <c r="A6592" s="13">
        <f>IF(H6592="","",ROW()-4)</f>
        <v/>
      </c>
      <c r="B6592" s="13">
        <f>IF(H6592="","",ROW()-4)</f>
        <v/>
      </c>
    </row>
    <row r="6593">
      <c r="A6593" s="13">
        <f>IF(H6593="","",ROW()-4)</f>
        <v/>
      </c>
      <c r="B6593" s="13">
        <f>IF(H6593="","",ROW()-4)</f>
        <v/>
      </c>
    </row>
    <row r="6594">
      <c r="A6594" s="13">
        <f>IF(H6594="","",ROW()-4)</f>
        <v/>
      </c>
      <c r="B6594" s="13">
        <f>IF(H6594="","",ROW()-4)</f>
        <v/>
      </c>
    </row>
    <row r="6595">
      <c r="A6595" s="13">
        <f>IF(H6595="","",ROW()-4)</f>
        <v/>
      </c>
      <c r="B6595" s="13">
        <f>IF(H6595="","",ROW()-4)</f>
        <v/>
      </c>
    </row>
    <row r="6596">
      <c r="A6596" s="13">
        <f>IF(H6596="","",ROW()-4)</f>
        <v/>
      </c>
      <c r="B6596" s="13">
        <f>IF(H6596="","",ROW()-4)</f>
        <v/>
      </c>
    </row>
    <row r="6597">
      <c r="A6597" s="13">
        <f>IF(H6597="","",ROW()-4)</f>
        <v/>
      </c>
      <c r="B6597" s="13">
        <f>IF(H6597="","",ROW()-4)</f>
        <v/>
      </c>
    </row>
    <row r="6598">
      <c r="A6598" s="13">
        <f>IF(H6598="","",ROW()-4)</f>
        <v/>
      </c>
      <c r="B6598" s="13">
        <f>IF(H6598="","",ROW()-4)</f>
        <v/>
      </c>
    </row>
    <row r="6599">
      <c r="A6599" s="13">
        <f>IF(H6599="","",ROW()-4)</f>
        <v/>
      </c>
      <c r="B6599" s="13">
        <f>IF(H6599="","",ROW()-4)</f>
        <v/>
      </c>
    </row>
    <row r="6600">
      <c r="A6600" s="13">
        <f>IF(H6600="","",ROW()-4)</f>
        <v/>
      </c>
      <c r="B6600" s="13">
        <f>IF(H6600="","",ROW()-4)</f>
        <v/>
      </c>
    </row>
    <row r="6601">
      <c r="A6601" s="13">
        <f>IF(H6601="","",ROW()-4)</f>
        <v/>
      </c>
      <c r="B6601" s="13">
        <f>IF(H6601="","",ROW()-4)</f>
        <v/>
      </c>
    </row>
    <row r="6602">
      <c r="A6602" s="13">
        <f>IF(H6602="","",ROW()-4)</f>
        <v/>
      </c>
      <c r="B6602" s="13">
        <f>IF(H6602="","",ROW()-4)</f>
        <v/>
      </c>
    </row>
    <row r="6603">
      <c r="A6603" s="13">
        <f>IF(H6603="","",ROW()-4)</f>
        <v/>
      </c>
      <c r="B6603" s="13">
        <f>IF(H6603="","",ROW()-4)</f>
        <v/>
      </c>
    </row>
    <row r="6604">
      <c r="A6604" s="13">
        <f>IF(H6604="","",ROW()-4)</f>
        <v/>
      </c>
      <c r="B6604" s="13">
        <f>IF(H6604="","",ROW()-4)</f>
        <v/>
      </c>
    </row>
    <row r="6605">
      <c r="A6605" s="13">
        <f>IF(H6605="","",ROW()-4)</f>
        <v/>
      </c>
      <c r="B6605" s="13">
        <f>IF(H6605="","",ROW()-4)</f>
        <v/>
      </c>
    </row>
    <row r="6606">
      <c r="A6606" s="13">
        <f>IF(H6606="","",ROW()-4)</f>
        <v/>
      </c>
      <c r="B6606" s="13">
        <f>IF(H6606="","",ROW()-4)</f>
        <v/>
      </c>
    </row>
    <row r="6607">
      <c r="A6607" s="13">
        <f>IF(H6607="","",ROW()-4)</f>
        <v/>
      </c>
      <c r="B6607" s="13">
        <f>IF(H6607="","",ROW()-4)</f>
        <v/>
      </c>
    </row>
    <row r="6608">
      <c r="A6608" s="13">
        <f>IF(H6608="","",ROW()-4)</f>
        <v/>
      </c>
      <c r="B6608" s="13">
        <f>IF(H6608="","",ROW()-4)</f>
        <v/>
      </c>
    </row>
    <row r="6609">
      <c r="A6609" s="13">
        <f>IF(H6609="","",ROW()-4)</f>
        <v/>
      </c>
      <c r="B6609" s="13">
        <f>IF(H6609="","",ROW()-4)</f>
        <v/>
      </c>
    </row>
    <row r="6610">
      <c r="A6610" s="13">
        <f>IF(H6610="","",ROW()-4)</f>
        <v/>
      </c>
      <c r="B6610" s="13">
        <f>IF(H6610="","",ROW()-4)</f>
        <v/>
      </c>
    </row>
    <row r="6611">
      <c r="A6611" s="13">
        <f>IF(H6611="","",ROW()-4)</f>
        <v/>
      </c>
      <c r="B6611" s="13">
        <f>IF(H6611="","",ROW()-4)</f>
        <v/>
      </c>
    </row>
    <row r="6612">
      <c r="A6612" s="13">
        <f>IF(H6612="","",ROW()-4)</f>
        <v/>
      </c>
      <c r="B6612" s="13">
        <f>IF(H6612="","",ROW()-4)</f>
        <v/>
      </c>
    </row>
    <row r="6613">
      <c r="A6613" s="13">
        <f>IF(H6613="","",ROW()-4)</f>
        <v/>
      </c>
      <c r="B6613" s="13">
        <f>IF(H6613="","",ROW()-4)</f>
        <v/>
      </c>
    </row>
    <row r="6614">
      <c r="A6614" s="13">
        <f>IF(H6614="","",ROW()-4)</f>
        <v/>
      </c>
      <c r="B6614" s="13">
        <f>IF(H6614="","",ROW()-4)</f>
        <v/>
      </c>
    </row>
    <row r="6615">
      <c r="A6615" s="13">
        <f>IF(H6615="","",ROW()-4)</f>
        <v/>
      </c>
      <c r="B6615" s="13">
        <f>IF(H6615="","",ROW()-4)</f>
        <v/>
      </c>
    </row>
    <row r="6616">
      <c r="A6616" s="13">
        <f>IF(H6616="","",ROW()-4)</f>
        <v/>
      </c>
      <c r="B6616" s="13">
        <f>IF(H6616="","",ROW()-4)</f>
        <v/>
      </c>
    </row>
    <row r="6617">
      <c r="A6617" s="13">
        <f>IF(H6617="","",ROW()-4)</f>
        <v/>
      </c>
      <c r="B6617" s="13">
        <f>IF(H6617="","",ROW()-4)</f>
        <v/>
      </c>
    </row>
    <row r="6618">
      <c r="A6618" s="13">
        <f>IF(H6618="","",ROW()-4)</f>
        <v/>
      </c>
      <c r="B6618" s="13">
        <f>IF(H6618="","",ROW()-4)</f>
        <v/>
      </c>
    </row>
    <row r="6619">
      <c r="A6619" s="13">
        <f>IF(H6619="","",ROW()-4)</f>
        <v/>
      </c>
      <c r="B6619" s="13">
        <f>IF(H6619="","",ROW()-4)</f>
        <v/>
      </c>
    </row>
    <row r="6620">
      <c r="A6620" s="13">
        <f>IF(H6620="","",ROW()-4)</f>
        <v/>
      </c>
      <c r="B6620" s="13">
        <f>IF(H6620="","",ROW()-4)</f>
        <v/>
      </c>
    </row>
    <row r="6621">
      <c r="A6621" s="13">
        <f>IF(H6621="","",ROW()-4)</f>
        <v/>
      </c>
      <c r="B6621" s="13">
        <f>IF(H6621="","",ROW()-4)</f>
        <v/>
      </c>
    </row>
    <row r="6622">
      <c r="A6622" s="13">
        <f>IF(H6622="","",ROW()-4)</f>
        <v/>
      </c>
      <c r="B6622" s="13">
        <f>IF(H6622="","",ROW()-4)</f>
        <v/>
      </c>
    </row>
    <row r="6623">
      <c r="A6623" s="13">
        <f>IF(H6623="","",ROW()-4)</f>
        <v/>
      </c>
      <c r="B6623" s="13">
        <f>IF(H6623="","",ROW()-4)</f>
        <v/>
      </c>
    </row>
    <row r="6624">
      <c r="A6624" s="13">
        <f>IF(H6624="","",ROW()-4)</f>
        <v/>
      </c>
      <c r="B6624" s="13">
        <f>IF(H6624="","",ROW()-4)</f>
        <v/>
      </c>
    </row>
    <row r="6625">
      <c r="A6625" s="13">
        <f>IF(H6625="","",ROW()-4)</f>
        <v/>
      </c>
      <c r="B6625" s="13">
        <f>IF(H6625="","",ROW()-4)</f>
        <v/>
      </c>
    </row>
    <row r="6626">
      <c r="A6626" s="13">
        <f>IF(H6626="","",ROW()-4)</f>
        <v/>
      </c>
      <c r="B6626" s="13">
        <f>IF(H6626="","",ROW()-4)</f>
        <v/>
      </c>
    </row>
    <row r="6627">
      <c r="A6627" s="13">
        <f>IF(H6627="","",ROW()-4)</f>
        <v/>
      </c>
      <c r="B6627" s="13">
        <f>IF(H6627="","",ROW()-4)</f>
        <v/>
      </c>
    </row>
    <row r="6628">
      <c r="A6628" s="13">
        <f>IF(H6628="","",ROW()-4)</f>
        <v/>
      </c>
      <c r="B6628" s="13">
        <f>IF(H6628="","",ROW()-4)</f>
        <v/>
      </c>
    </row>
    <row r="6629">
      <c r="A6629" s="13">
        <f>IF(H6629="","",ROW()-4)</f>
        <v/>
      </c>
      <c r="B6629" s="13">
        <f>IF(H6629="","",ROW()-4)</f>
        <v/>
      </c>
    </row>
    <row r="6630">
      <c r="A6630" s="13">
        <f>IF(H6630="","",ROW()-4)</f>
        <v/>
      </c>
      <c r="B6630" s="13">
        <f>IF(H6630="","",ROW()-4)</f>
        <v/>
      </c>
    </row>
    <row r="6631">
      <c r="A6631" s="13">
        <f>IF(H6631="","",ROW()-4)</f>
        <v/>
      </c>
      <c r="B6631" s="13">
        <f>IF(H6631="","",ROW()-4)</f>
        <v/>
      </c>
    </row>
    <row r="6632">
      <c r="A6632" s="13">
        <f>IF(H6632="","",ROW()-4)</f>
        <v/>
      </c>
      <c r="B6632" s="13">
        <f>IF(H6632="","",ROW()-4)</f>
        <v/>
      </c>
    </row>
    <row r="6633">
      <c r="A6633" s="13">
        <f>IF(H6633="","",ROW()-4)</f>
        <v/>
      </c>
      <c r="B6633" s="13">
        <f>IF(H6633="","",ROW()-4)</f>
        <v/>
      </c>
    </row>
    <row r="6634">
      <c r="A6634" s="13">
        <f>IF(H6634="","",ROW()-4)</f>
        <v/>
      </c>
      <c r="B6634" s="13">
        <f>IF(H6634="","",ROW()-4)</f>
        <v/>
      </c>
    </row>
    <row r="6635">
      <c r="A6635" s="13">
        <f>IF(H6635="","",ROW()-4)</f>
        <v/>
      </c>
      <c r="B6635" s="13">
        <f>IF(H6635="","",ROW()-4)</f>
        <v/>
      </c>
    </row>
    <row r="6636">
      <c r="A6636" s="13">
        <f>IF(H6636="","",ROW()-4)</f>
        <v/>
      </c>
      <c r="B6636" s="13">
        <f>IF(H6636="","",ROW()-4)</f>
        <v/>
      </c>
    </row>
    <row r="6637">
      <c r="A6637" s="13">
        <f>IF(H6637="","",ROW()-4)</f>
        <v/>
      </c>
      <c r="B6637" s="13">
        <f>IF(H6637="","",ROW()-4)</f>
        <v/>
      </c>
    </row>
    <row r="6638">
      <c r="A6638" s="13">
        <f>IF(H6638="","",ROW()-4)</f>
        <v/>
      </c>
      <c r="B6638" s="13">
        <f>IF(H6638="","",ROW()-4)</f>
        <v/>
      </c>
    </row>
    <row r="6639">
      <c r="A6639" s="13">
        <f>IF(H6639="","",ROW()-4)</f>
        <v/>
      </c>
      <c r="B6639" s="13">
        <f>IF(H6639="","",ROW()-4)</f>
        <v/>
      </c>
    </row>
    <row r="6640">
      <c r="A6640" s="13">
        <f>IF(H6640="","",ROW()-4)</f>
        <v/>
      </c>
      <c r="B6640" s="13">
        <f>IF(H6640="","",ROW()-4)</f>
        <v/>
      </c>
    </row>
    <row r="6641">
      <c r="A6641" s="13">
        <f>IF(H6641="","",ROW()-4)</f>
        <v/>
      </c>
      <c r="B6641" s="13">
        <f>IF(H6641="","",ROW()-4)</f>
        <v/>
      </c>
    </row>
    <row r="6642">
      <c r="A6642" s="13">
        <f>IF(H6642="","",ROW()-4)</f>
        <v/>
      </c>
      <c r="B6642" s="13">
        <f>IF(H6642="","",ROW()-4)</f>
        <v/>
      </c>
    </row>
    <row r="6643">
      <c r="A6643" s="13">
        <f>IF(H6643="","",ROW()-4)</f>
        <v/>
      </c>
      <c r="B6643" s="13">
        <f>IF(H6643="","",ROW()-4)</f>
        <v/>
      </c>
    </row>
    <row r="6644">
      <c r="A6644" s="13">
        <f>IF(H6644="","",ROW()-4)</f>
        <v/>
      </c>
      <c r="B6644" s="13">
        <f>IF(H6644="","",ROW()-4)</f>
        <v/>
      </c>
    </row>
    <row r="6645">
      <c r="A6645" s="13">
        <f>IF(H6645="","",ROW()-4)</f>
        <v/>
      </c>
      <c r="B6645" s="13">
        <f>IF(H6645="","",ROW()-4)</f>
        <v/>
      </c>
    </row>
    <row r="6646">
      <c r="A6646" s="13">
        <f>IF(H6646="","",ROW()-4)</f>
        <v/>
      </c>
      <c r="B6646" s="13">
        <f>IF(H6646="","",ROW()-4)</f>
        <v/>
      </c>
    </row>
    <row r="6647">
      <c r="A6647" s="13">
        <f>IF(H6647="","",ROW()-4)</f>
        <v/>
      </c>
      <c r="B6647" s="13">
        <f>IF(H6647="","",ROW()-4)</f>
        <v/>
      </c>
    </row>
    <row r="6648">
      <c r="A6648" s="13">
        <f>IF(H6648="","",ROW()-4)</f>
        <v/>
      </c>
      <c r="B6648" s="13">
        <f>IF(H6648="","",ROW()-4)</f>
        <v/>
      </c>
    </row>
    <row r="6649">
      <c r="A6649" s="13">
        <f>IF(H6649="","",ROW()-4)</f>
        <v/>
      </c>
      <c r="B6649" s="13">
        <f>IF(H6649="","",ROW()-4)</f>
        <v/>
      </c>
    </row>
    <row r="6650">
      <c r="A6650" s="13">
        <f>IF(H6650="","",ROW()-4)</f>
        <v/>
      </c>
      <c r="B6650" s="13">
        <f>IF(H6650="","",ROW()-4)</f>
        <v/>
      </c>
    </row>
    <row r="6651">
      <c r="A6651" s="13">
        <f>IF(H6651="","",ROW()-4)</f>
        <v/>
      </c>
      <c r="B6651" s="13">
        <f>IF(H6651="","",ROW()-4)</f>
        <v/>
      </c>
    </row>
    <row r="6652">
      <c r="A6652" s="13">
        <f>IF(H6652="","",ROW()-4)</f>
        <v/>
      </c>
      <c r="B6652" s="13">
        <f>IF(H6652="","",ROW()-4)</f>
        <v/>
      </c>
    </row>
    <row r="6653">
      <c r="A6653" s="13">
        <f>IF(H6653="","",ROW()-4)</f>
        <v/>
      </c>
      <c r="B6653" s="13">
        <f>IF(H6653="","",ROW()-4)</f>
        <v/>
      </c>
    </row>
    <row r="6654">
      <c r="A6654" s="13">
        <f>IF(H6654="","",ROW()-4)</f>
        <v/>
      </c>
      <c r="B6654" s="13">
        <f>IF(H6654="","",ROW()-4)</f>
        <v/>
      </c>
    </row>
    <row r="6655">
      <c r="A6655" s="13">
        <f>IF(H6655="","",ROW()-4)</f>
        <v/>
      </c>
      <c r="B6655" s="13">
        <f>IF(H6655="","",ROW()-4)</f>
        <v/>
      </c>
    </row>
    <row r="6656">
      <c r="A6656" s="13">
        <f>IF(H6656="","",ROW()-4)</f>
        <v/>
      </c>
      <c r="B6656" s="13">
        <f>IF(H6656="","",ROW()-4)</f>
        <v/>
      </c>
    </row>
    <row r="6657">
      <c r="A6657" s="13">
        <f>IF(H6657="","",ROW()-4)</f>
        <v/>
      </c>
      <c r="B6657" s="13">
        <f>IF(H6657="","",ROW()-4)</f>
        <v/>
      </c>
    </row>
    <row r="6658">
      <c r="A6658" s="13">
        <f>IF(H6658="","",ROW()-4)</f>
        <v/>
      </c>
      <c r="B6658" s="13">
        <f>IF(H6658="","",ROW()-4)</f>
        <v/>
      </c>
    </row>
    <row r="6659">
      <c r="A6659" s="13">
        <f>IF(H6659="","",ROW()-4)</f>
        <v/>
      </c>
      <c r="B6659" s="13">
        <f>IF(H6659="","",ROW()-4)</f>
        <v/>
      </c>
    </row>
    <row r="6660">
      <c r="A6660" s="13">
        <f>IF(H6660="","",ROW()-4)</f>
        <v/>
      </c>
      <c r="B6660" s="13">
        <f>IF(H6660="","",ROW()-4)</f>
        <v/>
      </c>
    </row>
    <row r="6661">
      <c r="A6661" s="13">
        <f>IF(H6661="","",ROW()-4)</f>
        <v/>
      </c>
      <c r="B6661" s="13">
        <f>IF(H6661="","",ROW()-4)</f>
        <v/>
      </c>
    </row>
    <row r="6662">
      <c r="A6662" s="13">
        <f>IF(H6662="","",ROW()-4)</f>
        <v/>
      </c>
      <c r="B6662" s="13">
        <f>IF(H6662="","",ROW()-4)</f>
        <v/>
      </c>
    </row>
    <row r="6663">
      <c r="A6663" s="13">
        <f>IF(H6663="","",ROW()-4)</f>
        <v/>
      </c>
      <c r="B6663" s="13">
        <f>IF(H6663="","",ROW()-4)</f>
        <v/>
      </c>
    </row>
    <row r="6664">
      <c r="A6664" s="13">
        <f>IF(H6664="","",ROW()-4)</f>
        <v/>
      </c>
      <c r="B6664" s="13">
        <f>IF(H6664="","",ROW()-4)</f>
        <v/>
      </c>
    </row>
    <row r="6665">
      <c r="A6665" s="13">
        <f>IF(H6665="","",ROW()-4)</f>
        <v/>
      </c>
      <c r="B6665" s="13">
        <f>IF(H6665="","",ROW()-4)</f>
        <v/>
      </c>
    </row>
    <row r="6666">
      <c r="A6666" s="13">
        <f>IF(H6666="","",ROW()-4)</f>
        <v/>
      </c>
      <c r="B6666" s="13">
        <f>IF(H6666="","",ROW()-4)</f>
        <v/>
      </c>
    </row>
    <row r="6667">
      <c r="A6667" s="13">
        <f>IF(H6667="","",ROW()-4)</f>
        <v/>
      </c>
      <c r="B6667" s="13">
        <f>IF(H6667="","",ROW()-4)</f>
        <v/>
      </c>
    </row>
    <row r="6668">
      <c r="A6668" s="13">
        <f>IF(H6668="","",ROW()-4)</f>
        <v/>
      </c>
      <c r="B6668" s="13">
        <f>IF(H6668="","",ROW()-4)</f>
        <v/>
      </c>
    </row>
    <row r="6669">
      <c r="A6669" s="13">
        <f>IF(H6669="","",ROW()-4)</f>
        <v/>
      </c>
      <c r="B6669" s="13">
        <f>IF(H6669="","",ROW()-4)</f>
        <v/>
      </c>
    </row>
    <row r="6670">
      <c r="A6670" s="13">
        <f>IF(H6670="","",ROW()-4)</f>
        <v/>
      </c>
      <c r="B6670" s="13">
        <f>IF(H6670="","",ROW()-4)</f>
        <v/>
      </c>
    </row>
    <row r="6671">
      <c r="A6671" s="13">
        <f>IF(H6671="","",ROW()-4)</f>
        <v/>
      </c>
      <c r="B6671" s="13">
        <f>IF(H6671="","",ROW()-4)</f>
        <v/>
      </c>
    </row>
    <row r="6672">
      <c r="A6672" s="13">
        <f>IF(H6672="","",ROW()-4)</f>
        <v/>
      </c>
      <c r="B6672" s="13">
        <f>IF(H6672="","",ROW()-4)</f>
        <v/>
      </c>
    </row>
    <row r="6673">
      <c r="A6673" s="13">
        <f>IF(H6673="","",ROW()-4)</f>
        <v/>
      </c>
      <c r="B6673" s="13">
        <f>IF(H6673="","",ROW()-4)</f>
        <v/>
      </c>
    </row>
    <row r="6674">
      <c r="A6674" s="13">
        <f>IF(H6674="","",ROW()-4)</f>
        <v/>
      </c>
      <c r="B6674" s="13">
        <f>IF(H6674="","",ROW()-4)</f>
        <v/>
      </c>
    </row>
    <row r="6675">
      <c r="A6675" s="13">
        <f>IF(H6675="","",ROW()-4)</f>
        <v/>
      </c>
      <c r="B6675" s="13">
        <f>IF(H6675="","",ROW()-4)</f>
        <v/>
      </c>
    </row>
    <row r="6676">
      <c r="A6676" s="13">
        <f>IF(H6676="","",ROW()-4)</f>
        <v/>
      </c>
      <c r="B6676" s="13">
        <f>IF(H6676="","",ROW()-4)</f>
        <v/>
      </c>
    </row>
    <row r="6677">
      <c r="A6677" s="13">
        <f>IF(H6677="","",ROW()-4)</f>
        <v/>
      </c>
      <c r="B6677" s="13">
        <f>IF(H6677="","",ROW()-4)</f>
        <v/>
      </c>
    </row>
    <row r="6678">
      <c r="A6678" s="13">
        <f>IF(H6678="","",ROW()-4)</f>
        <v/>
      </c>
      <c r="B6678" s="13">
        <f>IF(H6678="","",ROW()-4)</f>
        <v/>
      </c>
    </row>
    <row r="6679">
      <c r="A6679" s="13">
        <f>IF(H6679="","",ROW()-4)</f>
        <v/>
      </c>
      <c r="B6679" s="13">
        <f>IF(H6679="","",ROW()-4)</f>
        <v/>
      </c>
    </row>
    <row r="6680">
      <c r="A6680" s="13">
        <f>IF(H6680="","",ROW()-4)</f>
        <v/>
      </c>
      <c r="B6680" s="13">
        <f>IF(H6680="","",ROW()-4)</f>
        <v/>
      </c>
    </row>
    <row r="6681">
      <c r="A6681" s="13">
        <f>IF(H6681="","",ROW()-4)</f>
        <v/>
      </c>
      <c r="B6681" s="13">
        <f>IF(H6681="","",ROW()-4)</f>
        <v/>
      </c>
    </row>
    <row r="6682">
      <c r="A6682" s="13">
        <f>IF(H6682="","",ROW()-4)</f>
        <v/>
      </c>
      <c r="B6682" s="13">
        <f>IF(H6682="","",ROW()-4)</f>
        <v/>
      </c>
    </row>
    <row r="6683">
      <c r="A6683" s="13">
        <f>IF(H6683="","",ROW()-4)</f>
        <v/>
      </c>
      <c r="B6683" s="13">
        <f>IF(H6683="","",ROW()-4)</f>
        <v/>
      </c>
    </row>
    <row r="6684">
      <c r="A6684" s="13">
        <f>IF(H6684="","",ROW()-4)</f>
        <v/>
      </c>
      <c r="B6684" s="13">
        <f>IF(H6684="","",ROW()-4)</f>
        <v/>
      </c>
    </row>
    <row r="6685">
      <c r="A6685" s="13">
        <f>IF(H6685="","",ROW()-4)</f>
        <v/>
      </c>
      <c r="B6685" s="13">
        <f>IF(H6685="","",ROW()-4)</f>
        <v/>
      </c>
    </row>
    <row r="6686">
      <c r="A6686" s="13">
        <f>IF(H6686="","",ROW()-4)</f>
        <v/>
      </c>
      <c r="B6686" s="13">
        <f>IF(H6686="","",ROW()-4)</f>
        <v/>
      </c>
    </row>
    <row r="6687">
      <c r="A6687" s="13">
        <f>IF(H6687="","",ROW()-4)</f>
        <v/>
      </c>
      <c r="B6687" s="13">
        <f>IF(H6687="","",ROW()-4)</f>
        <v/>
      </c>
    </row>
    <row r="6688">
      <c r="A6688" s="13">
        <f>IF(H6688="","",ROW()-4)</f>
        <v/>
      </c>
      <c r="B6688" s="13">
        <f>IF(H6688="","",ROW()-4)</f>
        <v/>
      </c>
    </row>
    <row r="6689">
      <c r="A6689" s="13">
        <f>IF(H6689="","",ROW()-4)</f>
        <v/>
      </c>
      <c r="B6689" s="13">
        <f>IF(H6689="","",ROW()-4)</f>
        <v/>
      </c>
    </row>
    <row r="6690">
      <c r="A6690" s="13">
        <f>IF(H6690="","",ROW()-4)</f>
        <v/>
      </c>
      <c r="B6690" s="13">
        <f>IF(H6690="","",ROW()-4)</f>
        <v/>
      </c>
    </row>
    <row r="6691">
      <c r="A6691" s="13">
        <f>IF(H6691="","",ROW()-4)</f>
        <v/>
      </c>
      <c r="B6691" s="13">
        <f>IF(H6691="","",ROW()-4)</f>
        <v/>
      </c>
    </row>
    <row r="6692">
      <c r="A6692" s="13">
        <f>IF(H6692="","",ROW()-4)</f>
        <v/>
      </c>
      <c r="B6692" s="13">
        <f>IF(H6692="","",ROW()-4)</f>
        <v/>
      </c>
    </row>
    <row r="6693">
      <c r="A6693" s="13">
        <f>IF(H6693="","",ROW()-4)</f>
        <v/>
      </c>
      <c r="B6693" s="13">
        <f>IF(H6693="","",ROW()-4)</f>
        <v/>
      </c>
    </row>
    <row r="6694">
      <c r="A6694" s="13">
        <f>IF(H6694="","",ROW()-4)</f>
        <v/>
      </c>
      <c r="B6694" s="13">
        <f>IF(H6694="","",ROW()-4)</f>
        <v/>
      </c>
    </row>
    <row r="6695">
      <c r="A6695" s="13">
        <f>IF(H6695="","",ROW()-4)</f>
        <v/>
      </c>
      <c r="B6695" s="13">
        <f>IF(H6695="","",ROW()-4)</f>
        <v/>
      </c>
    </row>
    <row r="6696">
      <c r="A6696" s="13">
        <f>IF(H6696="","",ROW()-4)</f>
        <v/>
      </c>
      <c r="B6696" s="13">
        <f>IF(H6696="","",ROW()-4)</f>
        <v/>
      </c>
    </row>
    <row r="6697">
      <c r="A6697" s="13">
        <f>IF(H6697="","",ROW()-4)</f>
        <v/>
      </c>
      <c r="B6697" s="13">
        <f>IF(H6697="","",ROW()-4)</f>
        <v/>
      </c>
    </row>
    <row r="6698">
      <c r="A6698" s="13">
        <f>IF(H6698="","",ROW()-4)</f>
        <v/>
      </c>
      <c r="B6698" s="13">
        <f>IF(H6698="","",ROW()-4)</f>
        <v/>
      </c>
    </row>
    <row r="6699">
      <c r="A6699" s="13">
        <f>IF(H6699="","",ROW()-4)</f>
        <v/>
      </c>
      <c r="B6699" s="13">
        <f>IF(H6699="","",ROW()-4)</f>
        <v/>
      </c>
    </row>
    <row r="6700">
      <c r="A6700" s="13">
        <f>IF(H6700="","",ROW()-4)</f>
        <v/>
      </c>
      <c r="B6700" s="13">
        <f>IF(H6700="","",ROW()-4)</f>
        <v/>
      </c>
    </row>
    <row r="6701">
      <c r="A6701" s="13">
        <f>IF(H6701="","",ROW()-4)</f>
        <v/>
      </c>
      <c r="B6701" s="13">
        <f>IF(H6701="","",ROW()-4)</f>
        <v/>
      </c>
    </row>
    <row r="6702">
      <c r="A6702" s="13">
        <f>IF(H6702="","",ROW()-4)</f>
        <v/>
      </c>
      <c r="B6702" s="13">
        <f>IF(H6702="","",ROW()-4)</f>
        <v/>
      </c>
    </row>
    <row r="6703">
      <c r="A6703" s="13">
        <f>IF(H6703="","",ROW()-4)</f>
        <v/>
      </c>
      <c r="B6703" s="13">
        <f>IF(H6703="","",ROW()-4)</f>
        <v/>
      </c>
    </row>
    <row r="6704">
      <c r="A6704" s="13">
        <f>IF(H6704="","",ROW()-4)</f>
        <v/>
      </c>
      <c r="B6704" s="13">
        <f>IF(H6704="","",ROW()-4)</f>
        <v/>
      </c>
    </row>
    <row r="6705">
      <c r="A6705" s="13">
        <f>IF(H6705="","",ROW()-4)</f>
        <v/>
      </c>
      <c r="B6705" s="13">
        <f>IF(H6705="","",ROW()-4)</f>
        <v/>
      </c>
    </row>
    <row r="6706">
      <c r="A6706" s="13">
        <f>IF(H6706="","",ROW()-4)</f>
        <v/>
      </c>
      <c r="B6706" s="13">
        <f>IF(H6706="","",ROW()-4)</f>
        <v/>
      </c>
    </row>
    <row r="6707">
      <c r="A6707" s="13">
        <f>IF(H6707="","",ROW()-4)</f>
        <v/>
      </c>
      <c r="B6707" s="13">
        <f>IF(H6707="","",ROW()-4)</f>
        <v/>
      </c>
    </row>
    <row r="6708">
      <c r="A6708" s="13">
        <f>IF(H6708="","",ROW()-4)</f>
        <v/>
      </c>
      <c r="B6708" s="13">
        <f>IF(H6708="","",ROW()-4)</f>
        <v/>
      </c>
    </row>
    <row r="6709">
      <c r="A6709" s="13">
        <f>IF(H6709="","",ROW()-4)</f>
        <v/>
      </c>
      <c r="B6709" s="13">
        <f>IF(H6709="","",ROW()-4)</f>
        <v/>
      </c>
    </row>
    <row r="6710">
      <c r="A6710" s="13">
        <f>IF(H6710="","",ROW()-4)</f>
        <v/>
      </c>
      <c r="B6710" s="13">
        <f>IF(H6710="","",ROW()-4)</f>
        <v/>
      </c>
    </row>
    <row r="6711">
      <c r="A6711" s="13">
        <f>IF(H6711="","",ROW()-4)</f>
        <v/>
      </c>
      <c r="B6711" s="13">
        <f>IF(H6711="","",ROW()-4)</f>
        <v/>
      </c>
    </row>
    <row r="6712">
      <c r="A6712" s="13">
        <f>IF(H6712="","",ROW()-4)</f>
        <v/>
      </c>
      <c r="B6712" s="13">
        <f>IF(H6712="","",ROW()-4)</f>
        <v/>
      </c>
    </row>
    <row r="6713">
      <c r="A6713" s="13">
        <f>IF(H6713="","",ROW()-4)</f>
        <v/>
      </c>
      <c r="B6713" s="13">
        <f>IF(H6713="","",ROW()-4)</f>
        <v/>
      </c>
    </row>
    <row r="6714">
      <c r="A6714" s="13">
        <f>IF(H6714="","",ROW()-4)</f>
        <v/>
      </c>
      <c r="B6714" s="13">
        <f>IF(H6714="","",ROW()-4)</f>
        <v/>
      </c>
    </row>
    <row r="6715">
      <c r="A6715" s="13">
        <f>IF(H6715="","",ROW()-4)</f>
        <v/>
      </c>
      <c r="B6715" s="13">
        <f>IF(H6715="","",ROW()-4)</f>
        <v/>
      </c>
    </row>
    <row r="6716">
      <c r="A6716" s="13">
        <f>IF(H6716="","",ROW()-4)</f>
        <v/>
      </c>
      <c r="B6716" s="13">
        <f>IF(H6716="","",ROW()-4)</f>
        <v/>
      </c>
    </row>
    <row r="6717">
      <c r="A6717" s="13">
        <f>IF(H6717="","",ROW()-4)</f>
        <v/>
      </c>
      <c r="B6717" s="13">
        <f>IF(H6717="","",ROW()-4)</f>
        <v/>
      </c>
    </row>
    <row r="6718">
      <c r="A6718" s="13">
        <f>IF(H6718="","",ROW()-4)</f>
        <v/>
      </c>
      <c r="B6718" s="13">
        <f>IF(H6718="","",ROW()-4)</f>
        <v/>
      </c>
    </row>
    <row r="6719">
      <c r="A6719" s="13">
        <f>IF(H6719="","",ROW()-4)</f>
        <v/>
      </c>
      <c r="B6719" s="13">
        <f>IF(H6719="","",ROW()-4)</f>
        <v/>
      </c>
    </row>
    <row r="6720">
      <c r="A6720" s="13">
        <f>IF(H6720="","",ROW()-4)</f>
        <v/>
      </c>
      <c r="B6720" s="13">
        <f>IF(H6720="","",ROW()-4)</f>
        <v/>
      </c>
    </row>
    <row r="6721">
      <c r="A6721" s="13">
        <f>IF(H6721="","",ROW()-4)</f>
        <v/>
      </c>
      <c r="B6721" s="13">
        <f>IF(H6721="","",ROW()-4)</f>
        <v/>
      </c>
    </row>
    <row r="6722">
      <c r="A6722" s="13">
        <f>IF(H6722="","",ROW()-4)</f>
        <v/>
      </c>
      <c r="B6722" s="13">
        <f>IF(H6722="","",ROW()-4)</f>
        <v/>
      </c>
    </row>
    <row r="6723">
      <c r="A6723" s="13">
        <f>IF(H6723="","",ROW()-4)</f>
        <v/>
      </c>
      <c r="B6723" s="13">
        <f>IF(H6723="","",ROW()-4)</f>
        <v/>
      </c>
    </row>
    <row r="6724">
      <c r="A6724" s="13">
        <f>IF(H6724="","",ROW()-4)</f>
        <v/>
      </c>
      <c r="B6724" s="13">
        <f>IF(H6724="","",ROW()-4)</f>
        <v/>
      </c>
    </row>
    <row r="6725">
      <c r="A6725" s="13">
        <f>IF(H6725="","",ROW()-4)</f>
        <v/>
      </c>
      <c r="B6725" s="13">
        <f>IF(H6725="","",ROW()-4)</f>
        <v/>
      </c>
    </row>
    <row r="6726">
      <c r="A6726" s="13">
        <f>IF(H6726="","",ROW()-4)</f>
        <v/>
      </c>
      <c r="B6726" s="13">
        <f>IF(H6726="","",ROW()-4)</f>
        <v/>
      </c>
    </row>
    <row r="6727">
      <c r="A6727" s="13">
        <f>IF(H6727="","",ROW()-4)</f>
        <v/>
      </c>
      <c r="B6727" s="13">
        <f>IF(H6727="","",ROW()-4)</f>
        <v/>
      </c>
    </row>
    <row r="6728">
      <c r="A6728" s="13">
        <f>IF(H6728="","",ROW()-4)</f>
        <v/>
      </c>
      <c r="B6728" s="13">
        <f>IF(H6728="","",ROW()-4)</f>
        <v/>
      </c>
    </row>
    <row r="6729">
      <c r="A6729" s="13">
        <f>IF(H6729="","",ROW()-4)</f>
        <v/>
      </c>
      <c r="B6729" s="13">
        <f>IF(H6729="","",ROW()-4)</f>
        <v/>
      </c>
    </row>
    <row r="6730">
      <c r="A6730" s="13">
        <f>IF(H6730="","",ROW()-4)</f>
        <v/>
      </c>
      <c r="B6730" s="13">
        <f>IF(H6730="","",ROW()-4)</f>
        <v/>
      </c>
    </row>
    <row r="6731">
      <c r="A6731" s="13">
        <f>IF(H6731="","",ROW()-4)</f>
        <v/>
      </c>
      <c r="B6731" s="13">
        <f>IF(H6731="","",ROW()-4)</f>
        <v/>
      </c>
    </row>
    <row r="6732">
      <c r="A6732" s="13">
        <f>IF(H6732="","",ROW()-4)</f>
        <v/>
      </c>
      <c r="B6732" s="13">
        <f>IF(H6732="","",ROW()-4)</f>
        <v/>
      </c>
    </row>
    <row r="6733">
      <c r="A6733" s="13">
        <f>IF(H6733="","",ROW()-4)</f>
        <v/>
      </c>
      <c r="B6733" s="13">
        <f>IF(H6733="","",ROW()-4)</f>
        <v/>
      </c>
    </row>
    <row r="6734">
      <c r="A6734" s="13">
        <f>IF(H6734="","",ROW()-4)</f>
        <v/>
      </c>
      <c r="B6734" s="13">
        <f>IF(H6734="","",ROW()-4)</f>
        <v/>
      </c>
    </row>
    <row r="6735">
      <c r="A6735" s="13">
        <f>IF(H6735="","",ROW()-4)</f>
        <v/>
      </c>
      <c r="B6735" s="13">
        <f>IF(H6735="","",ROW()-4)</f>
        <v/>
      </c>
    </row>
    <row r="6736">
      <c r="A6736" s="13">
        <f>IF(H6736="","",ROW()-4)</f>
        <v/>
      </c>
      <c r="B6736" s="13">
        <f>IF(H6736="","",ROW()-4)</f>
        <v/>
      </c>
    </row>
    <row r="6737">
      <c r="A6737" s="13">
        <f>IF(H6737="","",ROW()-4)</f>
        <v/>
      </c>
      <c r="B6737" s="13">
        <f>IF(H6737="","",ROW()-4)</f>
        <v/>
      </c>
    </row>
    <row r="6738">
      <c r="A6738" s="13">
        <f>IF(H6738="","",ROW()-4)</f>
        <v/>
      </c>
      <c r="B6738" s="13">
        <f>IF(H6738="","",ROW()-4)</f>
        <v/>
      </c>
    </row>
    <row r="6739">
      <c r="A6739" s="13">
        <f>IF(H6739="","",ROW()-4)</f>
        <v/>
      </c>
      <c r="B6739" s="13">
        <f>IF(H6739="","",ROW()-4)</f>
        <v/>
      </c>
    </row>
    <row r="6740">
      <c r="A6740" s="13">
        <f>IF(H6740="","",ROW()-4)</f>
        <v/>
      </c>
      <c r="B6740" s="13">
        <f>IF(H6740="","",ROW()-4)</f>
        <v/>
      </c>
    </row>
    <row r="6741">
      <c r="A6741" s="13">
        <f>IF(H6741="","",ROW()-4)</f>
        <v/>
      </c>
      <c r="B6741" s="13">
        <f>IF(H6741="","",ROW()-4)</f>
        <v/>
      </c>
    </row>
    <row r="6742">
      <c r="A6742" s="13">
        <f>IF(H6742="","",ROW()-4)</f>
        <v/>
      </c>
      <c r="B6742" s="13">
        <f>IF(H6742="","",ROW()-4)</f>
        <v/>
      </c>
    </row>
    <row r="6743">
      <c r="A6743" s="13">
        <f>IF(H6743="","",ROW()-4)</f>
        <v/>
      </c>
      <c r="B6743" s="13">
        <f>IF(H6743="","",ROW()-4)</f>
        <v/>
      </c>
    </row>
    <row r="6744">
      <c r="A6744" s="13">
        <f>IF(H6744="","",ROW()-4)</f>
        <v/>
      </c>
      <c r="B6744" s="13">
        <f>IF(H6744="","",ROW()-4)</f>
        <v/>
      </c>
    </row>
    <row r="6745">
      <c r="A6745" s="13">
        <f>IF(H6745="","",ROW()-4)</f>
        <v/>
      </c>
      <c r="B6745" s="13">
        <f>IF(H6745="","",ROW()-4)</f>
        <v/>
      </c>
    </row>
    <row r="6746">
      <c r="A6746" s="13">
        <f>IF(H6746="","",ROW()-4)</f>
        <v/>
      </c>
      <c r="B6746" s="13">
        <f>IF(H6746="","",ROW()-4)</f>
        <v/>
      </c>
    </row>
    <row r="6747">
      <c r="A6747" s="13">
        <f>IF(H6747="","",ROW()-4)</f>
        <v/>
      </c>
      <c r="B6747" s="13">
        <f>IF(H6747="","",ROW()-4)</f>
        <v/>
      </c>
    </row>
    <row r="6748">
      <c r="A6748" s="13">
        <f>IF(H6748="","",ROW()-4)</f>
        <v/>
      </c>
      <c r="B6748" s="13">
        <f>IF(H6748="","",ROW()-4)</f>
        <v/>
      </c>
    </row>
    <row r="6749">
      <c r="A6749" s="13">
        <f>IF(H6749="","",ROW()-4)</f>
        <v/>
      </c>
      <c r="B6749" s="13">
        <f>IF(H6749="","",ROW()-4)</f>
        <v/>
      </c>
    </row>
    <row r="6750">
      <c r="A6750" s="13">
        <f>IF(H6750="","",ROW()-4)</f>
        <v/>
      </c>
      <c r="B6750" s="13">
        <f>IF(H6750="","",ROW()-4)</f>
        <v/>
      </c>
    </row>
    <row r="6751">
      <c r="A6751" s="13">
        <f>IF(H6751="","",ROW()-4)</f>
        <v/>
      </c>
      <c r="B6751" s="13">
        <f>IF(H6751="","",ROW()-4)</f>
        <v/>
      </c>
    </row>
    <row r="6752">
      <c r="A6752" s="13">
        <f>IF(H6752="","",ROW()-4)</f>
        <v/>
      </c>
      <c r="B6752" s="13">
        <f>IF(H6752="","",ROW()-4)</f>
        <v/>
      </c>
    </row>
    <row r="6753">
      <c r="A6753" s="13">
        <f>IF(H6753="","",ROW()-4)</f>
        <v/>
      </c>
      <c r="B6753" s="13">
        <f>IF(H6753="","",ROW()-4)</f>
        <v/>
      </c>
    </row>
    <row r="6754">
      <c r="A6754" s="13">
        <f>IF(H6754="","",ROW()-4)</f>
        <v/>
      </c>
      <c r="B6754" s="13">
        <f>IF(H6754="","",ROW()-4)</f>
        <v/>
      </c>
    </row>
    <row r="6755">
      <c r="A6755" s="13">
        <f>IF(H6755="","",ROW()-4)</f>
        <v/>
      </c>
      <c r="B6755" s="13">
        <f>IF(H6755="","",ROW()-4)</f>
        <v/>
      </c>
    </row>
    <row r="6756">
      <c r="A6756" s="13">
        <f>IF(H6756="","",ROW()-4)</f>
        <v/>
      </c>
      <c r="B6756" s="13">
        <f>IF(H6756="","",ROW()-4)</f>
        <v/>
      </c>
    </row>
    <row r="6757">
      <c r="A6757" s="13">
        <f>IF(H6757="","",ROW()-4)</f>
        <v/>
      </c>
      <c r="B6757" s="13">
        <f>IF(H6757="","",ROW()-4)</f>
        <v/>
      </c>
    </row>
    <row r="6758">
      <c r="A6758" s="13">
        <f>IF(H6758="","",ROW()-4)</f>
        <v/>
      </c>
      <c r="B6758" s="13">
        <f>IF(H6758="","",ROW()-4)</f>
        <v/>
      </c>
    </row>
    <row r="6759">
      <c r="A6759" s="13">
        <f>IF(H6759="","",ROW()-4)</f>
        <v/>
      </c>
      <c r="B6759" s="13">
        <f>IF(H6759="","",ROW()-4)</f>
        <v/>
      </c>
    </row>
    <row r="6760">
      <c r="A6760" s="13">
        <f>IF(H6760="","",ROW()-4)</f>
        <v/>
      </c>
      <c r="B6760" s="13">
        <f>IF(H6760="","",ROW()-4)</f>
        <v/>
      </c>
    </row>
    <row r="6761">
      <c r="A6761" s="13">
        <f>IF(H6761="","",ROW()-4)</f>
        <v/>
      </c>
      <c r="B6761" s="13">
        <f>IF(H6761="","",ROW()-4)</f>
        <v/>
      </c>
    </row>
    <row r="6762">
      <c r="A6762" s="13">
        <f>IF(H6762="","",ROW()-4)</f>
        <v/>
      </c>
      <c r="B6762" s="13">
        <f>IF(H6762="","",ROW()-4)</f>
        <v/>
      </c>
    </row>
    <row r="6763">
      <c r="A6763" s="13">
        <f>IF(H6763="","",ROW()-4)</f>
        <v/>
      </c>
      <c r="B6763" s="13">
        <f>IF(H6763="","",ROW()-4)</f>
        <v/>
      </c>
    </row>
    <row r="6764">
      <c r="A6764" s="13">
        <f>IF(H6764="","",ROW()-4)</f>
        <v/>
      </c>
      <c r="B6764" s="13">
        <f>IF(H6764="","",ROW()-4)</f>
        <v/>
      </c>
    </row>
    <row r="6765">
      <c r="A6765" s="13">
        <f>IF(H6765="","",ROW()-4)</f>
        <v/>
      </c>
      <c r="B6765" s="13">
        <f>IF(H6765="","",ROW()-4)</f>
        <v/>
      </c>
    </row>
    <row r="6766">
      <c r="A6766" s="13">
        <f>IF(H6766="","",ROW()-4)</f>
        <v/>
      </c>
      <c r="B6766" s="13">
        <f>IF(H6766="","",ROW()-4)</f>
        <v/>
      </c>
    </row>
    <row r="6767">
      <c r="A6767" s="13">
        <f>IF(H6767="","",ROW()-4)</f>
        <v/>
      </c>
      <c r="B6767" s="13">
        <f>IF(H6767="","",ROW()-4)</f>
        <v/>
      </c>
    </row>
    <row r="6768">
      <c r="A6768" s="13">
        <f>IF(H6768="","",ROW()-4)</f>
        <v/>
      </c>
      <c r="B6768" s="13">
        <f>IF(H6768="","",ROW()-4)</f>
        <v/>
      </c>
    </row>
    <row r="6769">
      <c r="A6769" s="13">
        <f>IF(H6769="","",ROW()-4)</f>
        <v/>
      </c>
      <c r="B6769" s="13">
        <f>IF(H6769="","",ROW()-4)</f>
        <v/>
      </c>
    </row>
    <row r="6770">
      <c r="A6770" s="13">
        <f>IF(H6770="","",ROW()-4)</f>
        <v/>
      </c>
      <c r="B6770" s="13">
        <f>IF(H6770="","",ROW()-4)</f>
        <v/>
      </c>
    </row>
    <row r="6771">
      <c r="A6771" s="13">
        <f>IF(H6771="","",ROW()-4)</f>
        <v/>
      </c>
      <c r="B6771" s="13">
        <f>IF(H6771="","",ROW()-4)</f>
        <v/>
      </c>
    </row>
    <row r="6772">
      <c r="A6772" s="13">
        <f>IF(H6772="","",ROW()-4)</f>
        <v/>
      </c>
      <c r="B6772" s="13">
        <f>IF(H6772="","",ROW()-4)</f>
        <v/>
      </c>
    </row>
    <row r="6773">
      <c r="A6773" s="13">
        <f>IF(H6773="","",ROW()-4)</f>
        <v/>
      </c>
      <c r="B6773" s="13">
        <f>IF(H6773="","",ROW()-4)</f>
        <v/>
      </c>
    </row>
    <row r="6774">
      <c r="A6774" s="13">
        <f>IF(H6774="","",ROW()-4)</f>
        <v/>
      </c>
      <c r="B6774" s="13">
        <f>IF(H6774="","",ROW()-4)</f>
        <v/>
      </c>
    </row>
    <row r="6775">
      <c r="A6775" s="13">
        <f>IF(H6775="","",ROW()-4)</f>
        <v/>
      </c>
      <c r="B6775" s="13">
        <f>IF(H6775="","",ROW()-4)</f>
        <v/>
      </c>
    </row>
    <row r="6776">
      <c r="A6776" s="13">
        <f>IF(H6776="","",ROW()-4)</f>
        <v/>
      </c>
      <c r="B6776" s="13">
        <f>IF(H6776="","",ROW()-4)</f>
        <v/>
      </c>
    </row>
    <row r="6777">
      <c r="A6777" s="13">
        <f>IF(H6777="","",ROW()-4)</f>
        <v/>
      </c>
      <c r="B6777" s="13">
        <f>IF(H6777="","",ROW()-4)</f>
        <v/>
      </c>
    </row>
    <row r="6778">
      <c r="A6778" s="13">
        <f>IF(H6778="","",ROW()-4)</f>
        <v/>
      </c>
      <c r="B6778" s="13">
        <f>IF(H6778="","",ROW()-4)</f>
        <v/>
      </c>
    </row>
    <row r="6779">
      <c r="A6779" s="13">
        <f>IF(H6779="","",ROW()-4)</f>
        <v/>
      </c>
      <c r="B6779" s="13">
        <f>IF(H6779="","",ROW()-4)</f>
        <v/>
      </c>
    </row>
    <row r="6780">
      <c r="A6780" s="13">
        <f>IF(H6780="","",ROW()-4)</f>
        <v/>
      </c>
      <c r="B6780" s="13">
        <f>IF(H6780="","",ROW()-4)</f>
        <v/>
      </c>
    </row>
    <row r="6781">
      <c r="A6781" s="13">
        <f>IF(H6781="","",ROW()-4)</f>
        <v/>
      </c>
      <c r="B6781" s="13">
        <f>IF(H6781="","",ROW()-4)</f>
        <v/>
      </c>
    </row>
    <row r="6782">
      <c r="A6782" s="13">
        <f>IF(H6782="","",ROW()-4)</f>
        <v/>
      </c>
      <c r="B6782" s="13">
        <f>IF(H6782="","",ROW()-4)</f>
        <v/>
      </c>
    </row>
    <row r="6783">
      <c r="A6783" s="13">
        <f>IF(H6783="","",ROW()-4)</f>
        <v/>
      </c>
      <c r="B6783" s="13">
        <f>IF(H6783="","",ROW()-4)</f>
        <v/>
      </c>
    </row>
    <row r="6784">
      <c r="A6784" s="13">
        <f>IF(H6784="","",ROW()-4)</f>
        <v/>
      </c>
      <c r="B6784" s="13">
        <f>IF(H6784="","",ROW()-4)</f>
        <v/>
      </c>
    </row>
    <row r="6785">
      <c r="A6785" s="13">
        <f>IF(H6785="","",ROW()-4)</f>
        <v/>
      </c>
      <c r="B6785" s="13">
        <f>IF(H6785="","",ROW()-4)</f>
        <v/>
      </c>
    </row>
    <row r="6786">
      <c r="A6786" s="13">
        <f>IF(H6786="","",ROW()-4)</f>
        <v/>
      </c>
      <c r="B6786" s="13">
        <f>IF(H6786="","",ROW()-4)</f>
        <v/>
      </c>
    </row>
    <row r="6787">
      <c r="A6787" s="13">
        <f>IF(H6787="","",ROW()-4)</f>
        <v/>
      </c>
      <c r="B6787" s="13">
        <f>IF(H6787="","",ROW()-4)</f>
        <v/>
      </c>
    </row>
    <row r="6788">
      <c r="A6788" s="13">
        <f>IF(H6788="","",ROW()-4)</f>
        <v/>
      </c>
      <c r="B6788" s="13">
        <f>IF(H6788="","",ROW()-4)</f>
        <v/>
      </c>
    </row>
    <row r="6789">
      <c r="A6789" s="13">
        <f>IF(H6789="","",ROW()-4)</f>
        <v/>
      </c>
      <c r="B6789" s="13">
        <f>IF(H6789="","",ROW()-4)</f>
        <v/>
      </c>
    </row>
    <row r="6790">
      <c r="A6790" s="13">
        <f>IF(H6790="","",ROW()-4)</f>
        <v/>
      </c>
      <c r="B6790" s="13">
        <f>IF(H6790="","",ROW()-4)</f>
        <v/>
      </c>
    </row>
    <row r="6791">
      <c r="A6791" s="13">
        <f>IF(H6791="","",ROW()-4)</f>
        <v/>
      </c>
      <c r="B6791" s="13">
        <f>IF(H6791="","",ROW()-4)</f>
        <v/>
      </c>
    </row>
    <row r="6792">
      <c r="A6792" s="13">
        <f>IF(H6792="","",ROW()-4)</f>
        <v/>
      </c>
      <c r="B6792" s="13">
        <f>IF(H6792="","",ROW()-4)</f>
        <v/>
      </c>
    </row>
    <row r="6793">
      <c r="A6793" s="13">
        <f>IF(H6793="","",ROW()-4)</f>
        <v/>
      </c>
      <c r="B6793" s="13">
        <f>IF(H6793="","",ROW()-4)</f>
        <v/>
      </c>
    </row>
    <row r="6794">
      <c r="A6794" s="13">
        <f>IF(H6794="","",ROW()-4)</f>
        <v/>
      </c>
      <c r="B6794" s="13">
        <f>IF(H6794="","",ROW()-4)</f>
        <v/>
      </c>
    </row>
    <row r="6795">
      <c r="A6795" s="13">
        <f>IF(H6795="","",ROW()-4)</f>
        <v/>
      </c>
      <c r="B6795" s="13">
        <f>IF(H6795="","",ROW()-4)</f>
        <v/>
      </c>
    </row>
    <row r="6796">
      <c r="A6796" s="13">
        <f>IF(H6796="","",ROW()-4)</f>
        <v/>
      </c>
      <c r="B6796" s="13">
        <f>IF(H6796="","",ROW()-4)</f>
        <v/>
      </c>
    </row>
    <row r="6797">
      <c r="A6797" s="13">
        <f>IF(H6797="","",ROW()-4)</f>
        <v/>
      </c>
      <c r="B6797" s="13">
        <f>IF(H6797="","",ROW()-4)</f>
        <v/>
      </c>
    </row>
    <row r="6798">
      <c r="A6798" s="13">
        <f>IF(H6798="","",ROW()-4)</f>
        <v/>
      </c>
      <c r="B6798" s="13">
        <f>IF(H6798="","",ROW()-4)</f>
        <v/>
      </c>
    </row>
    <row r="6799">
      <c r="A6799" s="13">
        <f>IF(H6799="","",ROW()-4)</f>
        <v/>
      </c>
      <c r="B6799" s="13">
        <f>IF(H6799="","",ROW()-4)</f>
        <v/>
      </c>
    </row>
    <row r="6800">
      <c r="A6800" s="13">
        <f>IF(H6800="","",ROW()-4)</f>
        <v/>
      </c>
      <c r="B6800" s="13">
        <f>IF(H6800="","",ROW()-4)</f>
        <v/>
      </c>
    </row>
    <row r="6801">
      <c r="A6801" s="13">
        <f>IF(H6801="","",ROW()-4)</f>
        <v/>
      </c>
      <c r="B6801" s="13">
        <f>IF(H6801="","",ROW()-4)</f>
        <v/>
      </c>
    </row>
    <row r="6802">
      <c r="A6802" s="13">
        <f>IF(H6802="","",ROW()-4)</f>
        <v/>
      </c>
      <c r="B6802" s="13">
        <f>IF(H6802="","",ROW()-4)</f>
        <v/>
      </c>
    </row>
    <row r="6803">
      <c r="A6803" s="13">
        <f>IF(H6803="","",ROW()-4)</f>
        <v/>
      </c>
      <c r="B6803" s="13">
        <f>IF(H6803="","",ROW()-4)</f>
        <v/>
      </c>
    </row>
    <row r="6804">
      <c r="A6804" s="13">
        <f>IF(H6804="","",ROW()-4)</f>
        <v/>
      </c>
      <c r="B6804" s="13">
        <f>IF(H6804="","",ROW()-4)</f>
        <v/>
      </c>
    </row>
    <row r="6805">
      <c r="A6805" s="13">
        <f>IF(H6805="","",ROW()-4)</f>
        <v/>
      </c>
      <c r="B6805" s="13">
        <f>IF(H6805="","",ROW()-4)</f>
        <v/>
      </c>
    </row>
    <row r="6806">
      <c r="A6806" s="13">
        <f>IF(H6806="","",ROW()-4)</f>
        <v/>
      </c>
      <c r="B6806" s="13">
        <f>IF(H6806="","",ROW()-4)</f>
        <v/>
      </c>
    </row>
    <row r="6807">
      <c r="A6807" s="13">
        <f>IF(H6807="","",ROW()-4)</f>
        <v/>
      </c>
      <c r="B6807" s="13">
        <f>IF(H6807="","",ROW()-4)</f>
        <v/>
      </c>
    </row>
    <row r="6808">
      <c r="A6808" s="13">
        <f>IF(H6808="","",ROW()-4)</f>
        <v/>
      </c>
      <c r="B6808" s="13">
        <f>IF(H6808="","",ROW()-4)</f>
        <v/>
      </c>
    </row>
    <row r="6809">
      <c r="A6809" s="13">
        <f>IF(H6809="","",ROW()-4)</f>
        <v/>
      </c>
      <c r="B6809" s="13">
        <f>IF(H6809="","",ROW()-4)</f>
        <v/>
      </c>
    </row>
    <row r="6810">
      <c r="A6810" s="13">
        <f>IF(H6810="","",ROW()-4)</f>
        <v/>
      </c>
      <c r="B6810" s="13">
        <f>IF(H6810="","",ROW()-4)</f>
        <v/>
      </c>
    </row>
    <row r="6811">
      <c r="A6811" s="13">
        <f>IF(H6811="","",ROW()-4)</f>
        <v/>
      </c>
      <c r="B6811" s="13">
        <f>IF(H6811="","",ROW()-4)</f>
        <v/>
      </c>
    </row>
    <row r="6812">
      <c r="A6812" s="13">
        <f>IF(H6812="","",ROW()-4)</f>
        <v/>
      </c>
      <c r="B6812" s="13">
        <f>IF(H6812="","",ROW()-4)</f>
        <v/>
      </c>
    </row>
    <row r="6813">
      <c r="A6813" s="13">
        <f>IF(H6813="","",ROW()-4)</f>
        <v/>
      </c>
      <c r="B6813" s="13">
        <f>IF(H6813="","",ROW()-4)</f>
        <v/>
      </c>
    </row>
    <row r="6814">
      <c r="A6814" s="13">
        <f>IF(H6814="","",ROW()-4)</f>
        <v/>
      </c>
      <c r="B6814" s="13">
        <f>IF(H6814="","",ROW()-4)</f>
        <v/>
      </c>
    </row>
    <row r="6815">
      <c r="A6815" s="13">
        <f>IF(H6815="","",ROW()-4)</f>
        <v/>
      </c>
      <c r="B6815" s="13">
        <f>IF(H6815="","",ROW()-4)</f>
        <v/>
      </c>
    </row>
    <row r="6816">
      <c r="A6816" s="13">
        <f>IF(H6816="","",ROW()-4)</f>
        <v/>
      </c>
      <c r="B6816" s="13">
        <f>IF(H6816="","",ROW()-4)</f>
        <v/>
      </c>
    </row>
    <row r="6817">
      <c r="A6817" s="13">
        <f>IF(H6817="","",ROW()-4)</f>
        <v/>
      </c>
      <c r="B6817" s="13">
        <f>IF(H6817="","",ROW()-4)</f>
        <v/>
      </c>
    </row>
    <row r="6818">
      <c r="A6818" s="13">
        <f>IF(H6818="","",ROW()-4)</f>
        <v/>
      </c>
      <c r="B6818" s="13">
        <f>IF(H6818="","",ROW()-4)</f>
        <v/>
      </c>
    </row>
    <row r="6819">
      <c r="A6819" s="13">
        <f>IF(H6819="","",ROW()-4)</f>
        <v/>
      </c>
      <c r="B6819" s="13">
        <f>IF(H6819="","",ROW()-4)</f>
        <v/>
      </c>
    </row>
    <row r="6820">
      <c r="A6820" s="13">
        <f>IF(H6820="","",ROW()-4)</f>
        <v/>
      </c>
      <c r="B6820" s="13">
        <f>IF(H6820="","",ROW()-4)</f>
        <v/>
      </c>
    </row>
    <row r="6821">
      <c r="A6821" s="13">
        <f>IF(H6821="","",ROW()-4)</f>
        <v/>
      </c>
      <c r="B6821" s="13">
        <f>IF(H6821="","",ROW()-4)</f>
        <v/>
      </c>
    </row>
    <row r="6822">
      <c r="A6822" s="13">
        <f>IF(H6822="","",ROW()-4)</f>
        <v/>
      </c>
      <c r="B6822" s="13">
        <f>IF(H6822="","",ROW()-4)</f>
        <v/>
      </c>
    </row>
    <row r="6823">
      <c r="A6823" s="13">
        <f>IF(H6823="","",ROW()-4)</f>
        <v/>
      </c>
      <c r="B6823" s="13">
        <f>IF(H6823="","",ROW()-4)</f>
        <v/>
      </c>
    </row>
    <row r="6824">
      <c r="A6824" s="13">
        <f>IF(H6824="","",ROW()-4)</f>
        <v/>
      </c>
      <c r="B6824" s="13">
        <f>IF(H6824="","",ROW()-4)</f>
        <v/>
      </c>
    </row>
    <row r="6825">
      <c r="A6825" s="13">
        <f>IF(H6825="","",ROW()-4)</f>
        <v/>
      </c>
      <c r="B6825" s="13">
        <f>IF(H6825="","",ROW()-4)</f>
        <v/>
      </c>
    </row>
    <row r="6826">
      <c r="A6826" s="13">
        <f>IF(H6826="","",ROW()-4)</f>
        <v/>
      </c>
      <c r="B6826" s="13">
        <f>IF(H6826="","",ROW()-4)</f>
        <v/>
      </c>
    </row>
    <row r="6827">
      <c r="A6827" s="13">
        <f>IF(H6827="","",ROW()-4)</f>
        <v/>
      </c>
      <c r="B6827" s="13">
        <f>IF(H6827="","",ROW()-4)</f>
        <v/>
      </c>
    </row>
    <row r="6828">
      <c r="A6828" s="13">
        <f>IF(H6828="","",ROW()-4)</f>
        <v/>
      </c>
      <c r="B6828" s="13">
        <f>IF(H6828="","",ROW()-4)</f>
        <v/>
      </c>
    </row>
    <row r="6829">
      <c r="A6829" s="13">
        <f>IF(H6829="","",ROW()-4)</f>
        <v/>
      </c>
      <c r="B6829" s="13">
        <f>IF(H6829="","",ROW()-4)</f>
        <v/>
      </c>
    </row>
    <row r="6830">
      <c r="A6830" s="13">
        <f>IF(H6830="","",ROW()-4)</f>
        <v/>
      </c>
      <c r="B6830" s="13">
        <f>IF(H6830="","",ROW()-4)</f>
        <v/>
      </c>
    </row>
    <row r="6831">
      <c r="A6831" s="13">
        <f>IF(H6831="","",ROW()-4)</f>
        <v/>
      </c>
      <c r="B6831" s="13">
        <f>IF(H6831="","",ROW()-4)</f>
        <v/>
      </c>
    </row>
    <row r="6832">
      <c r="A6832" s="13">
        <f>IF(H6832="","",ROW()-4)</f>
        <v/>
      </c>
      <c r="B6832" s="13">
        <f>IF(H6832="","",ROW()-4)</f>
        <v/>
      </c>
    </row>
    <row r="6833">
      <c r="A6833" s="13">
        <f>IF(H6833="","",ROW()-4)</f>
        <v/>
      </c>
      <c r="B6833" s="13">
        <f>IF(H6833="","",ROW()-4)</f>
        <v/>
      </c>
    </row>
    <row r="6834">
      <c r="A6834" s="13">
        <f>IF(H6834="","",ROW()-4)</f>
        <v/>
      </c>
      <c r="B6834" s="13">
        <f>IF(H6834="","",ROW()-4)</f>
        <v/>
      </c>
    </row>
    <row r="6835">
      <c r="A6835" s="13">
        <f>IF(H6835="","",ROW()-4)</f>
        <v/>
      </c>
      <c r="B6835" s="13">
        <f>IF(H6835="","",ROW()-4)</f>
        <v/>
      </c>
    </row>
    <row r="6836">
      <c r="A6836" s="13">
        <f>IF(H6836="","",ROW()-4)</f>
        <v/>
      </c>
      <c r="B6836" s="13">
        <f>IF(H6836="","",ROW()-4)</f>
        <v/>
      </c>
    </row>
    <row r="6837">
      <c r="A6837" s="13">
        <f>IF(H6837="","",ROW()-4)</f>
        <v/>
      </c>
      <c r="B6837" s="13">
        <f>IF(H6837="","",ROW()-4)</f>
        <v/>
      </c>
    </row>
    <row r="6838">
      <c r="A6838" s="13">
        <f>IF(H6838="","",ROW()-4)</f>
        <v/>
      </c>
      <c r="B6838" s="13">
        <f>IF(H6838="","",ROW()-4)</f>
        <v/>
      </c>
    </row>
    <row r="6839">
      <c r="A6839" s="13">
        <f>IF(H6839="","",ROW()-4)</f>
        <v/>
      </c>
      <c r="B6839" s="13">
        <f>IF(H6839="","",ROW()-4)</f>
        <v/>
      </c>
    </row>
    <row r="6840">
      <c r="A6840" s="13">
        <f>IF(H6840="","",ROW()-4)</f>
        <v/>
      </c>
      <c r="B6840" s="13">
        <f>IF(H6840="","",ROW()-4)</f>
        <v/>
      </c>
    </row>
    <row r="6841">
      <c r="A6841" s="13">
        <f>IF(H6841="","",ROW()-4)</f>
        <v/>
      </c>
      <c r="B6841" s="13">
        <f>IF(H6841="","",ROW()-4)</f>
        <v/>
      </c>
    </row>
    <row r="6842">
      <c r="A6842" s="13">
        <f>IF(H6842="","",ROW()-4)</f>
        <v/>
      </c>
      <c r="B6842" s="13">
        <f>IF(H6842="","",ROW()-4)</f>
        <v/>
      </c>
    </row>
    <row r="6843">
      <c r="A6843" s="13">
        <f>IF(H6843="","",ROW()-4)</f>
        <v/>
      </c>
      <c r="B6843" s="13">
        <f>IF(H6843="","",ROW()-4)</f>
        <v/>
      </c>
    </row>
    <row r="6844">
      <c r="A6844" s="13">
        <f>IF(H6844="","",ROW()-4)</f>
        <v/>
      </c>
      <c r="B6844" s="13">
        <f>IF(H6844="","",ROW()-4)</f>
        <v/>
      </c>
    </row>
    <row r="6845">
      <c r="A6845" s="13">
        <f>IF(H6845="","",ROW()-4)</f>
        <v/>
      </c>
      <c r="B6845" s="13">
        <f>IF(H6845="","",ROW()-4)</f>
        <v/>
      </c>
    </row>
    <row r="6846">
      <c r="A6846" s="13">
        <f>IF(H6846="","",ROW()-4)</f>
        <v/>
      </c>
      <c r="B6846" s="13">
        <f>IF(H6846="","",ROW()-4)</f>
        <v/>
      </c>
    </row>
    <row r="6847">
      <c r="A6847" s="13">
        <f>IF(H6847="","",ROW()-4)</f>
        <v/>
      </c>
      <c r="B6847" s="13">
        <f>IF(H6847="","",ROW()-4)</f>
        <v/>
      </c>
    </row>
    <row r="6848">
      <c r="A6848" s="13">
        <f>IF(H6848="","",ROW()-4)</f>
        <v/>
      </c>
      <c r="B6848" s="13">
        <f>IF(H6848="","",ROW()-4)</f>
        <v/>
      </c>
    </row>
    <row r="6849">
      <c r="A6849" s="13">
        <f>IF(H6849="","",ROW()-4)</f>
        <v/>
      </c>
      <c r="B6849" s="13">
        <f>IF(H6849="","",ROW()-4)</f>
        <v/>
      </c>
    </row>
    <row r="6850">
      <c r="A6850" s="13">
        <f>IF(H6850="","",ROW()-4)</f>
        <v/>
      </c>
      <c r="B6850" s="13">
        <f>IF(H6850="","",ROW()-4)</f>
        <v/>
      </c>
    </row>
    <row r="6851">
      <c r="A6851" s="13">
        <f>IF(H6851="","",ROW()-4)</f>
        <v/>
      </c>
      <c r="B6851" s="13">
        <f>IF(H6851="","",ROW()-4)</f>
        <v/>
      </c>
    </row>
    <row r="6852">
      <c r="A6852" s="13">
        <f>IF(H6852="","",ROW()-4)</f>
        <v/>
      </c>
      <c r="B6852" s="13">
        <f>IF(H6852="","",ROW()-4)</f>
        <v/>
      </c>
    </row>
    <row r="6853">
      <c r="A6853" s="13">
        <f>IF(H6853="","",ROW()-4)</f>
        <v/>
      </c>
      <c r="B6853" s="13">
        <f>IF(H6853="","",ROW()-4)</f>
        <v/>
      </c>
    </row>
    <row r="6854">
      <c r="A6854" s="13">
        <f>IF(H6854="","",ROW()-4)</f>
        <v/>
      </c>
      <c r="B6854" s="13">
        <f>IF(H6854="","",ROW()-4)</f>
        <v/>
      </c>
    </row>
    <row r="6855">
      <c r="A6855" s="13">
        <f>IF(H6855="","",ROW()-4)</f>
        <v/>
      </c>
      <c r="B6855" s="13">
        <f>IF(H6855="","",ROW()-4)</f>
        <v/>
      </c>
    </row>
    <row r="6856">
      <c r="A6856" s="13">
        <f>IF(H6856="","",ROW()-4)</f>
        <v/>
      </c>
      <c r="B6856" s="13">
        <f>IF(H6856="","",ROW()-4)</f>
        <v/>
      </c>
    </row>
    <row r="6857">
      <c r="A6857" s="13">
        <f>IF(H6857="","",ROW()-4)</f>
        <v/>
      </c>
      <c r="B6857" s="13">
        <f>IF(H6857="","",ROW()-4)</f>
        <v/>
      </c>
    </row>
    <row r="6858">
      <c r="A6858" s="13">
        <f>IF(H6858="","",ROW()-4)</f>
        <v/>
      </c>
      <c r="B6858" s="13">
        <f>IF(H6858="","",ROW()-4)</f>
        <v/>
      </c>
    </row>
    <row r="6859">
      <c r="A6859" s="13">
        <f>IF(H6859="","",ROW()-4)</f>
        <v/>
      </c>
      <c r="B6859" s="13">
        <f>IF(H6859="","",ROW()-4)</f>
        <v/>
      </c>
    </row>
    <row r="6860">
      <c r="A6860" s="13">
        <f>IF(H6860="","",ROW()-4)</f>
        <v/>
      </c>
      <c r="B6860" s="13">
        <f>IF(H6860="","",ROW()-4)</f>
        <v/>
      </c>
    </row>
    <row r="6861">
      <c r="A6861" s="13">
        <f>IF(H6861="","",ROW()-4)</f>
        <v/>
      </c>
      <c r="B6861" s="13">
        <f>IF(H6861="","",ROW()-4)</f>
        <v/>
      </c>
    </row>
    <row r="6862">
      <c r="A6862" s="13">
        <f>IF(H6862="","",ROW()-4)</f>
        <v/>
      </c>
      <c r="B6862" s="13">
        <f>IF(H6862="","",ROW()-4)</f>
        <v/>
      </c>
    </row>
    <row r="6863">
      <c r="A6863" s="13">
        <f>IF(H6863="","",ROW()-4)</f>
        <v/>
      </c>
      <c r="B6863" s="13">
        <f>IF(H6863="","",ROW()-4)</f>
        <v/>
      </c>
    </row>
    <row r="6864">
      <c r="A6864" s="13">
        <f>IF(H6864="","",ROW()-4)</f>
        <v/>
      </c>
      <c r="B6864" s="13">
        <f>IF(H6864="","",ROW()-4)</f>
        <v/>
      </c>
    </row>
    <row r="6865">
      <c r="A6865" s="13">
        <f>IF(H6865="","",ROW()-4)</f>
        <v/>
      </c>
      <c r="B6865" s="13">
        <f>IF(H6865="","",ROW()-4)</f>
        <v/>
      </c>
    </row>
    <row r="6866">
      <c r="A6866" s="13">
        <f>IF(H6866="","",ROW()-4)</f>
        <v/>
      </c>
      <c r="B6866" s="13">
        <f>IF(H6866="","",ROW()-4)</f>
        <v/>
      </c>
    </row>
    <row r="6867">
      <c r="A6867" s="13">
        <f>IF(H6867="","",ROW()-4)</f>
        <v/>
      </c>
      <c r="B6867" s="13">
        <f>IF(H6867="","",ROW()-4)</f>
        <v/>
      </c>
    </row>
    <row r="6868">
      <c r="A6868" s="13">
        <f>IF(H6868="","",ROW()-4)</f>
        <v/>
      </c>
      <c r="B6868" s="13">
        <f>IF(H6868="","",ROW()-4)</f>
        <v/>
      </c>
    </row>
    <row r="6869">
      <c r="A6869" s="13">
        <f>IF(H6869="","",ROW()-4)</f>
        <v/>
      </c>
      <c r="B6869" s="13">
        <f>IF(H6869="","",ROW()-4)</f>
        <v/>
      </c>
    </row>
    <row r="6870">
      <c r="A6870" s="13">
        <f>IF(H6870="","",ROW()-4)</f>
        <v/>
      </c>
      <c r="B6870" s="13">
        <f>IF(H6870="","",ROW()-4)</f>
        <v/>
      </c>
    </row>
    <row r="6871">
      <c r="A6871" s="13">
        <f>IF(H6871="","",ROW()-4)</f>
        <v/>
      </c>
      <c r="B6871" s="13">
        <f>IF(H6871="","",ROW()-4)</f>
        <v/>
      </c>
    </row>
    <row r="6872">
      <c r="A6872" s="13">
        <f>IF(H6872="","",ROW()-4)</f>
        <v/>
      </c>
      <c r="B6872" s="13">
        <f>IF(H6872="","",ROW()-4)</f>
        <v/>
      </c>
    </row>
    <row r="6873">
      <c r="A6873" s="13">
        <f>IF(H6873="","",ROW()-4)</f>
        <v/>
      </c>
      <c r="B6873" s="13">
        <f>IF(H6873="","",ROW()-4)</f>
        <v/>
      </c>
    </row>
    <row r="6874">
      <c r="A6874" s="13">
        <f>IF(H6874="","",ROW()-4)</f>
        <v/>
      </c>
      <c r="B6874" s="13">
        <f>IF(H6874="","",ROW()-4)</f>
        <v/>
      </c>
    </row>
    <row r="6875">
      <c r="A6875" s="13">
        <f>IF(H6875="","",ROW()-4)</f>
        <v/>
      </c>
      <c r="B6875" s="13">
        <f>IF(H6875="","",ROW()-4)</f>
        <v/>
      </c>
    </row>
    <row r="6876">
      <c r="A6876" s="13">
        <f>IF(H6876="","",ROW()-4)</f>
        <v/>
      </c>
      <c r="B6876" s="13">
        <f>IF(H6876="","",ROW()-4)</f>
        <v/>
      </c>
    </row>
    <row r="6877">
      <c r="A6877" s="13">
        <f>IF(H6877="","",ROW()-4)</f>
        <v/>
      </c>
      <c r="B6877" s="13">
        <f>IF(H6877="","",ROW()-4)</f>
        <v/>
      </c>
    </row>
    <row r="6878">
      <c r="A6878" s="13">
        <f>IF(H6878="","",ROW()-4)</f>
        <v/>
      </c>
      <c r="B6878" s="13">
        <f>IF(H6878="","",ROW()-4)</f>
        <v/>
      </c>
    </row>
    <row r="6879">
      <c r="A6879" s="13">
        <f>IF(H6879="","",ROW()-4)</f>
        <v/>
      </c>
      <c r="B6879" s="13">
        <f>IF(H6879="","",ROW()-4)</f>
        <v/>
      </c>
    </row>
    <row r="6880">
      <c r="A6880" s="13">
        <f>IF(H6880="","",ROW()-4)</f>
        <v/>
      </c>
      <c r="B6880" s="13">
        <f>IF(H6880="","",ROW()-4)</f>
        <v/>
      </c>
    </row>
    <row r="6881">
      <c r="A6881" s="13">
        <f>IF(H6881="","",ROW()-4)</f>
        <v/>
      </c>
      <c r="B6881" s="13">
        <f>IF(H6881="","",ROW()-4)</f>
        <v/>
      </c>
    </row>
    <row r="6882">
      <c r="A6882" s="13">
        <f>IF(H6882="","",ROW()-4)</f>
        <v/>
      </c>
      <c r="B6882" s="13">
        <f>IF(H6882="","",ROW()-4)</f>
        <v/>
      </c>
    </row>
    <row r="6883">
      <c r="A6883" s="13">
        <f>IF(H6883="","",ROW()-4)</f>
        <v/>
      </c>
      <c r="B6883" s="13">
        <f>IF(H6883="","",ROW()-4)</f>
        <v/>
      </c>
    </row>
    <row r="6884">
      <c r="A6884" s="13">
        <f>IF(H6884="","",ROW()-4)</f>
        <v/>
      </c>
      <c r="B6884" s="13">
        <f>IF(H6884="","",ROW()-4)</f>
        <v/>
      </c>
    </row>
    <row r="6885">
      <c r="A6885" s="13">
        <f>IF(H6885="","",ROW()-4)</f>
        <v/>
      </c>
      <c r="B6885" s="13">
        <f>IF(H6885="","",ROW()-4)</f>
        <v/>
      </c>
    </row>
    <row r="6886">
      <c r="A6886" s="13">
        <f>IF(H6886="","",ROW()-4)</f>
        <v/>
      </c>
      <c r="B6886" s="13">
        <f>IF(H6886="","",ROW()-4)</f>
        <v/>
      </c>
    </row>
    <row r="6887">
      <c r="A6887" s="13">
        <f>IF(H6887="","",ROW()-4)</f>
        <v/>
      </c>
      <c r="B6887" s="13">
        <f>IF(H6887="","",ROW()-4)</f>
        <v/>
      </c>
    </row>
    <row r="6888">
      <c r="A6888" s="13">
        <f>IF(H6888="","",ROW()-4)</f>
        <v/>
      </c>
      <c r="B6888" s="13">
        <f>IF(H6888="","",ROW()-4)</f>
        <v/>
      </c>
    </row>
    <row r="6889">
      <c r="A6889" s="13">
        <f>IF(H6889="","",ROW()-4)</f>
        <v/>
      </c>
      <c r="B6889" s="13">
        <f>IF(H6889="","",ROW()-4)</f>
        <v/>
      </c>
    </row>
    <row r="6890">
      <c r="A6890" s="13">
        <f>IF(H6890="","",ROW()-4)</f>
        <v/>
      </c>
      <c r="B6890" s="13">
        <f>IF(H6890="","",ROW()-4)</f>
        <v/>
      </c>
    </row>
    <row r="6891">
      <c r="A6891" s="13">
        <f>IF(H6891="","",ROW()-4)</f>
        <v/>
      </c>
      <c r="B6891" s="13">
        <f>IF(H6891="","",ROW()-4)</f>
        <v/>
      </c>
    </row>
    <row r="6892">
      <c r="A6892" s="13">
        <f>IF(H6892="","",ROW()-4)</f>
        <v/>
      </c>
      <c r="B6892" s="13">
        <f>IF(H6892="","",ROW()-4)</f>
        <v/>
      </c>
    </row>
    <row r="6893">
      <c r="A6893" s="13">
        <f>IF(H6893="","",ROW()-4)</f>
        <v/>
      </c>
      <c r="B6893" s="13">
        <f>IF(H6893="","",ROW()-4)</f>
        <v/>
      </c>
    </row>
    <row r="6894">
      <c r="A6894" s="13">
        <f>IF(H6894="","",ROW()-4)</f>
        <v/>
      </c>
      <c r="B6894" s="13">
        <f>IF(H6894="","",ROW()-4)</f>
        <v/>
      </c>
    </row>
    <row r="6895">
      <c r="A6895" s="13">
        <f>IF(H6895="","",ROW()-4)</f>
        <v/>
      </c>
      <c r="B6895" s="13">
        <f>IF(H6895="","",ROW()-4)</f>
        <v/>
      </c>
    </row>
    <row r="6896">
      <c r="A6896" s="13">
        <f>IF(H6896="","",ROW()-4)</f>
        <v/>
      </c>
      <c r="B6896" s="13">
        <f>IF(H6896="","",ROW()-4)</f>
        <v/>
      </c>
    </row>
    <row r="6897">
      <c r="A6897" s="13">
        <f>IF(H6897="","",ROW()-4)</f>
        <v/>
      </c>
      <c r="B6897" s="13">
        <f>IF(H6897="","",ROW()-4)</f>
        <v/>
      </c>
    </row>
    <row r="6898">
      <c r="A6898" s="13">
        <f>IF(H6898="","",ROW()-4)</f>
        <v/>
      </c>
      <c r="B6898" s="13">
        <f>IF(H6898="","",ROW()-4)</f>
        <v/>
      </c>
    </row>
    <row r="6899">
      <c r="A6899" s="13">
        <f>IF(H6899="","",ROW()-4)</f>
        <v/>
      </c>
      <c r="B6899" s="13">
        <f>IF(H6899="","",ROW()-4)</f>
        <v/>
      </c>
    </row>
    <row r="6900">
      <c r="A6900" s="13">
        <f>IF(H6900="","",ROW()-4)</f>
        <v/>
      </c>
      <c r="B6900" s="13">
        <f>IF(H6900="","",ROW()-4)</f>
        <v/>
      </c>
    </row>
    <row r="6901">
      <c r="A6901" s="13">
        <f>IF(H6901="","",ROW()-4)</f>
        <v/>
      </c>
      <c r="B6901" s="13">
        <f>IF(H6901="","",ROW()-4)</f>
        <v/>
      </c>
    </row>
    <row r="6902">
      <c r="A6902" s="13">
        <f>IF(H6902="","",ROW()-4)</f>
        <v/>
      </c>
      <c r="B6902" s="13">
        <f>IF(H6902="","",ROW()-4)</f>
        <v/>
      </c>
    </row>
    <row r="6903">
      <c r="A6903" s="13">
        <f>IF(H6903="","",ROW()-4)</f>
        <v/>
      </c>
      <c r="B6903" s="13">
        <f>IF(H6903="","",ROW()-4)</f>
        <v/>
      </c>
    </row>
    <row r="6904">
      <c r="A6904" s="13">
        <f>IF(H6904="","",ROW()-4)</f>
        <v/>
      </c>
      <c r="B6904" s="13">
        <f>IF(H6904="","",ROW()-4)</f>
        <v/>
      </c>
    </row>
    <row r="6905">
      <c r="A6905" s="13">
        <f>IF(H6905="","",ROW()-4)</f>
        <v/>
      </c>
      <c r="B6905" s="13">
        <f>IF(H6905="","",ROW()-4)</f>
        <v/>
      </c>
    </row>
    <row r="6906">
      <c r="A6906" s="13">
        <f>IF(H6906="","",ROW()-4)</f>
        <v/>
      </c>
      <c r="B6906" s="13">
        <f>IF(H6906="","",ROW()-4)</f>
        <v/>
      </c>
    </row>
    <row r="6907">
      <c r="A6907" s="13">
        <f>IF(H6907="","",ROW()-4)</f>
        <v/>
      </c>
      <c r="B6907" s="13">
        <f>IF(H6907="","",ROW()-4)</f>
        <v/>
      </c>
    </row>
    <row r="6908">
      <c r="A6908" s="13">
        <f>IF(H6908="","",ROW()-4)</f>
        <v/>
      </c>
      <c r="B6908" s="13">
        <f>IF(H6908="","",ROW()-4)</f>
        <v/>
      </c>
    </row>
    <row r="6909">
      <c r="A6909" s="13">
        <f>IF(H6909="","",ROW()-4)</f>
        <v/>
      </c>
      <c r="B6909" s="13">
        <f>IF(H6909="","",ROW()-4)</f>
        <v/>
      </c>
    </row>
    <row r="6910">
      <c r="A6910" s="13">
        <f>IF(H6910="","",ROW()-4)</f>
        <v/>
      </c>
      <c r="B6910" s="13">
        <f>IF(H6910="","",ROW()-4)</f>
        <v/>
      </c>
    </row>
    <row r="6911">
      <c r="A6911" s="13">
        <f>IF(H6911="","",ROW()-4)</f>
        <v/>
      </c>
      <c r="B6911" s="13">
        <f>IF(H6911="","",ROW()-4)</f>
        <v/>
      </c>
    </row>
    <row r="6912">
      <c r="A6912" s="13">
        <f>IF(H6912="","",ROW()-4)</f>
        <v/>
      </c>
      <c r="B6912" s="13">
        <f>IF(H6912="","",ROW()-4)</f>
        <v/>
      </c>
    </row>
    <row r="6913">
      <c r="A6913" s="13">
        <f>IF(H6913="","",ROW()-4)</f>
        <v/>
      </c>
      <c r="B6913" s="13">
        <f>IF(H6913="","",ROW()-4)</f>
        <v/>
      </c>
    </row>
    <row r="6914">
      <c r="A6914" s="13">
        <f>IF(H6914="","",ROW()-4)</f>
        <v/>
      </c>
      <c r="B6914" s="13">
        <f>IF(H6914="","",ROW()-4)</f>
        <v/>
      </c>
    </row>
    <row r="6915">
      <c r="A6915" s="13">
        <f>IF(H6915="","",ROW()-4)</f>
        <v/>
      </c>
      <c r="B6915" s="13">
        <f>IF(H6915="","",ROW()-4)</f>
        <v/>
      </c>
    </row>
    <row r="6916">
      <c r="A6916" s="13">
        <f>IF(H6916="","",ROW()-4)</f>
        <v/>
      </c>
      <c r="B6916" s="13">
        <f>IF(H6916="","",ROW()-4)</f>
        <v/>
      </c>
    </row>
    <row r="6917">
      <c r="A6917" s="13">
        <f>IF(H6917="","",ROW()-4)</f>
        <v/>
      </c>
      <c r="B6917" s="13">
        <f>IF(H6917="","",ROW()-4)</f>
        <v/>
      </c>
    </row>
    <row r="6918">
      <c r="A6918" s="13">
        <f>IF(H6918="","",ROW()-4)</f>
        <v/>
      </c>
      <c r="B6918" s="13">
        <f>IF(H6918="","",ROW()-4)</f>
        <v/>
      </c>
    </row>
    <row r="6919">
      <c r="A6919" s="13">
        <f>IF(H6919="","",ROW()-4)</f>
        <v/>
      </c>
      <c r="B6919" s="13">
        <f>IF(H6919="","",ROW()-4)</f>
        <v/>
      </c>
    </row>
    <row r="6920">
      <c r="A6920" s="13">
        <f>IF(H6920="","",ROW()-4)</f>
        <v/>
      </c>
      <c r="B6920" s="13">
        <f>IF(H6920="","",ROW()-4)</f>
        <v/>
      </c>
    </row>
    <row r="6921">
      <c r="A6921" s="13">
        <f>IF(H6921="","",ROW()-4)</f>
        <v/>
      </c>
      <c r="B6921" s="13">
        <f>IF(H6921="","",ROW()-4)</f>
        <v/>
      </c>
    </row>
    <row r="6922">
      <c r="A6922" s="13">
        <f>IF(H6922="","",ROW()-4)</f>
        <v/>
      </c>
      <c r="B6922" s="13">
        <f>IF(H6922="","",ROW()-4)</f>
        <v/>
      </c>
    </row>
    <row r="6923">
      <c r="A6923" s="13">
        <f>IF(H6923="","",ROW()-4)</f>
        <v/>
      </c>
      <c r="B6923" s="13">
        <f>IF(H6923="","",ROW()-4)</f>
        <v/>
      </c>
    </row>
    <row r="6924">
      <c r="A6924" s="13">
        <f>IF(H6924="","",ROW()-4)</f>
        <v/>
      </c>
      <c r="B6924" s="13">
        <f>IF(H6924="","",ROW()-4)</f>
        <v/>
      </c>
    </row>
    <row r="6925">
      <c r="A6925" s="13">
        <f>IF(H6925="","",ROW()-4)</f>
        <v/>
      </c>
      <c r="B6925" s="13">
        <f>IF(H6925="","",ROW()-4)</f>
        <v/>
      </c>
    </row>
    <row r="6926">
      <c r="A6926" s="13">
        <f>IF(H6926="","",ROW()-4)</f>
        <v/>
      </c>
      <c r="B6926" s="13">
        <f>IF(H6926="","",ROW()-4)</f>
        <v/>
      </c>
    </row>
    <row r="6927">
      <c r="A6927" s="13">
        <f>IF(H6927="","",ROW()-4)</f>
        <v/>
      </c>
      <c r="B6927" s="13">
        <f>IF(H6927="","",ROW()-4)</f>
        <v/>
      </c>
    </row>
    <row r="6928">
      <c r="A6928" s="13">
        <f>IF(H6928="","",ROW()-4)</f>
        <v/>
      </c>
      <c r="B6928" s="13">
        <f>IF(H6928="","",ROW()-4)</f>
        <v/>
      </c>
    </row>
    <row r="6929">
      <c r="A6929" s="13">
        <f>IF(H6929="","",ROW()-4)</f>
        <v/>
      </c>
      <c r="B6929" s="13">
        <f>IF(H6929="","",ROW()-4)</f>
        <v/>
      </c>
    </row>
    <row r="6930">
      <c r="A6930" s="13">
        <f>IF(H6930="","",ROW()-4)</f>
        <v/>
      </c>
      <c r="B6930" s="13">
        <f>IF(H6930="","",ROW()-4)</f>
        <v/>
      </c>
    </row>
    <row r="6931">
      <c r="A6931" s="13">
        <f>IF(H6931="","",ROW()-4)</f>
        <v/>
      </c>
      <c r="B6931" s="13">
        <f>IF(H6931="","",ROW()-4)</f>
        <v/>
      </c>
    </row>
    <row r="6932">
      <c r="A6932" s="13">
        <f>IF(H6932="","",ROW()-4)</f>
        <v/>
      </c>
      <c r="B6932" s="13">
        <f>IF(H6932="","",ROW()-4)</f>
        <v/>
      </c>
    </row>
    <row r="6933">
      <c r="A6933" s="13">
        <f>IF(H6933="","",ROW()-4)</f>
        <v/>
      </c>
      <c r="B6933" s="13">
        <f>IF(H6933="","",ROW()-4)</f>
        <v/>
      </c>
    </row>
    <row r="6934">
      <c r="A6934" s="13">
        <f>IF(H6934="","",ROW()-4)</f>
        <v/>
      </c>
      <c r="B6934" s="13">
        <f>IF(H6934="","",ROW()-4)</f>
        <v/>
      </c>
    </row>
    <row r="6935">
      <c r="A6935" s="13">
        <f>IF(H6935="","",ROW()-4)</f>
        <v/>
      </c>
      <c r="B6935" s="13">
        <f>IF(H6935="","",ROW()-4)</f>
        <v/>
      </c>
    </row>
    <row r="6936">
      <c r="A6936" s="13">
        <f>IF(H6936="","",ROW()-4)</f>
        <v/>
      </c>
      <c r="B6936" s="13">
        <f>IF(H6936="","",ROW()-4)</f>
        <v/>
      </c>
    </row>
    <row r="6937">
      <c r="A6937" s="13">
        <f>IF(H6937="","",ROW()-4)</f>
        <v/>
      </c>
      <c r="B6937" s="13">
        <f>IF(H6937="","",ROW()-4)</f>
        <v/>
      </c>
    </row>
    <row r="6938">
      <c r="A6938" s="13">
        <f>IF(H6938="","",ROW()-4)</f>
        <v/>
      </c>
      <c r="B6938" s="13">
        <f>IF(H6938="","",ROW()-4)</f>
        <v/>
      </c>
    </row>
    <row r="6939">
      <c r="A6939" s="13">
        <f>IF(H6939="","",ROW()-4)</f>
        <v/>
      </c>
      <c r="B6939" s="13">
        <f>IF(H6939="","",ROW()-4)</f>
        <v/>
      </c>
    </row>
    <row r="6940">
      <c r="A6940" s="13">
        <f>IF(H6940="","",ROW()-4)</f>
        <v/>
      </c>
      <c r="B6940" s="13">
        <f>IF(H6940="","",ROW()-4)</f>
        <v/>
      </c>
    </row>
    <row r="6941">
      <c r="A6941" s="13">
        <f>IF(H6941="","",ROW()-4)</f>
        <v/>
      </c>
      <c r="B6941" s="13">
        <f>IF(H6941="","",ROW()-4)</f>
        <v/>
      </c>
    </row>
    <row r="6942">
      <c r="A6942" s="13">
        <f>IF(H6942="","",ROW()-4)</f>
        <v/>
      </c>
      <c r="B6942" s="13">
        <f>IF(H6942="","",ROW()-4)</f>
        <v/>
      </c>
    </row>
    <row r="6943">
      <c r="A6943" s="13">
        <f>IF(H6943="","",ROW()-4)</f>
        <v/>
      </c>
      <c r="B6943" s="13">
        <f>IF(H6943="","",ROW()-4)</f>
        <v/>
      </c>
    </row>
    <row r="6944">
      <c r="A6944" s="13">
        <f>IF(H6944="","",ROW()-4)</f>
        <v/>
      </c>
      <c r="B6944" s="13">
        <f>IF(H6944="","",ROW()-4)</f>
        <v/>
      </c>
    </row>
    <row r="6945">
      <c r="A6945" s="13">
        <f>IF(H6945="","",ROW()-4)</f>
        <v/>
      </c>
      <c r="B6945" s="13">
        <f>IF(H6945="","",ROW()-4)</f>
        <v/>
      </c>
    </row>
    <row r="6946">
      <c r="A6946" s="13">
        <f>IF(H6946="","",ROW()-4)</f>
        <v/>
      </c>
      <c r="B6946" s="13">
        <f>IF(H6946="","",ROW()-4)</f>
        <v/>
      </c>
    </row>
    <row r="6947">
      <c r="A6947" s="13">
        <f>IF(H6947="","",ROW()-4)</f>
        <v/>
      </c>
      <c r="B6947" s="13">
        <f>IF(H6947="","",ROW()-4)</f>
        <v/>
      </c>
    </row>
    <row r="6948">
      <c r="A6948" s="13">
        <f>IF(H6948="","",ROW()-4)</f>
        <v/>
      </c>
      <c r="B6948" s="13">
        <f>IF(H6948="","",ROW()-4)</f>
        <v/>
      </c>
    </row>
    <row r="6949">
      <c r="A6949" s="13">
        <f>IF(H6949="","",ROW()-4)</f>
        <v/>
      </c>
      <c r="B6949" s="13">
        <f>IF(H6949="","",ROW()-4)</f>
        <v/>
      </c>
    </row>
    <row r="6950">
      <c r="A6950" s="13">
        <f>IF(H6950="","",ROW()-4)</f>
        <v/>
      </c>
      <c r="B6950" s="13">
        <f>IF(H6950="","",ROW()-4)</f>
        <v/>
      </c>
    </row>
    <row r="6951">
      <c r="A6951" s="13">
        <f>IF(H6951="","",ROW()-4)</f>
        <v/>
      </c>
      <c r="B6951" s="13">
        <f>IF(H6951="","",ROW()-4)</f>
        <v/>
      </c>
    </row>
    <row r="6952">
      <c r="A6952" s="13">
        <f>IF(H6952="","",ROW()-4)</f>
        <v/>
      </c>
      <c r="B6952" s="13">
        <f>IF(H6952="","",ROW()-4)</f>
        <v/>
      </c>
    </row>
    <row r="6953">
      <c r="A6953" s="13">
        <f>IF(H6953="","",ROW()-4)</f>
        <v/>
      </c>
      <c r="B6953" s="13">
        <f>IF(H6953="","",ROW()-4)</f>
        <v/>
      </c>
    </row>
    <row r="6954">
      <c r="A6954" s="13">
        <f>IF(H6954="","",ROW()-4)</f>
        <v/>
      </c>
      <c r="B6954" s="13">
        <f>IF(H6954="","",ROW()-4)</f>
        <v/>
      </c>
    </row>
    <row r="6955">
      <c r="A6955" s="13">
        <f>IF(H6955="","",ROW()-4)</f>
        <v/>
      </c>
      <c r="B6955" s="13">
        <f>IF(H6955="","",ROW()-4)</f>
        <v/>
      </c>
    </row>
    <row r="6956">
      <c r="A6956" s="13">
        <f>IF(H6956="","",ROW()-4)</f>
        <v/>
      </c>
      <c r="B6956" s="13">
        <f>IF(H6956="","",ROW()-4)</f>
        <v/>
      </c>
    </row>
    <row r="6957">
      <c r="A6957" s="13">
        <f>IF(H6957="","",ROW()-4)</f>
        <v/>
      </c>
      <c r="B6957" s="13">
        <f>IF(H6957="","",ROW()-4)</f>
        <v/>
      </c>
    </row>
    <row r="6958">
      <c r="A6958" s="13">
        <f>IF(H6958="","",ROW()-4)</f>
        <v/>
      </c>
      <c r="B6958" s="13">
        <f>IF(H6958="","",ROW()-4)</f>
        <v/>
      </c>
    </row>
    <row r="6959">
      <c r="A6959" s="13">
        <f>IF(H6959="","",ROW()-4)</f>
        <v/>
      </c>
      <c r="B6959" s="13">
        <f>IF(H6959="","",ROW()-4)</f>
        <v/>
      </c>
    </row>
    <row r="6960">
      <c r="A6960" s="13">
        <f>IF(H6960="","",ROW()-4)</f>
        <v/>
      </c>
      <c r="B6960" s="13">
        <f>IF(H6960="","",ROW()-4)</f>
        <v/>
      </c>
    </row>
    <row r="6961">
      <c r="A6961" s="13">
        <f>IF(H6961="","",ROW()-4)</f>
        <v/>
      </c>
      <c r="B6961" s="13">
        <f>IF(H6961="","",ROW()-4)</f>
        <v/>
      </c>
    </row>
    <row r="6962">
      <c r="A6962" s="13">
        <f>IF(H6962="","",ROW()-4)</f>
        <v/>
      </c>
      <c r="B6962" s="13">
        <f>IF(H6962="","",ROW()-4)</f>
        <v/>
      </c>
    </row>
    <row r="6963">
      <c r="A6963" s="13">
        <f>IF(H6963="","",ROW()-4)</f>
        <v/>
      </c>
      <c r="B6963" s="13">
        <f>IF(H6963="","",ROW()-4)</f>
        <v/>
      </c>
    </row>
    <row r="6964">
      <c r="A6964" s="13">
        <f>IF(H6964="","",ROW()-4)</f>
        <v/>
      </c>
      <c r="B6964" s="13">
        <f>IF(H6964="","",ROW()-4)</f>
        <v/>
      </c>
    </row>
    <row r="6965">
      <c r="A6965" s="13">
        <f>IF(H6965="","",ROW()-4)</f>
        <v/>
      </c>
      <c r="B6965" s="13">
        <f>IF(H6965="","",ROW()-4)</f>
        <v/>
      </c>
    </row>
    <row r="6966">
      <c r="A6966" s="13">
        <f>IF(H6966="","",ROW()-4)</f>
        <v/>
      </c>
      <c r="B6966" s="13">
        <f>IF(H6966="","",ROW()-4)</f>
        <v/>
      </c>
    </row>
    <row r="6967">
      <c r="A6967" s="13">
        <f>IF(H6967="","",ROW()-4)</f>
        <v/>
      </c>
      <c r="B6967" s="13">
        <f>IF(H6967="","",ROW()-4)</f>
        <v/>
      </c>
    </row>
    <row r="6968">
      <c r="A6968" s="13">
        <f>IF(H6968="","",ROW()-4)</f>
        <v/>
      </c>
      <c r="B6968" s="13">
        <f>IF(H6968="","",ROW()-4)</f>
        <v/>
      </c>
    </row>
    <row r="6969">
      <c r="A6969" s="13">
        <f>IF(H6969="","",ROW()-4)</f>
        <v/>
      </c>
      <c r="B6969" s="13">
        <f>IF(H6969="","",ROW()-4)</f>
        <v/>
      </c>
    </row>
    <row r="6970">
      <c r="A6970" s="13">
        <f>IF(H6970="","",ROW()-4)</f>
        <v/>
      </c>
      <c r="B6970" s="13">
        <f>IF(H6970="","",ROW()-4)</f>
        <v/>
      </c>
    </row>
    <row r="6971">
      <c r="A6971" s="13">
        <f>IF(H6971="","",ROW()-4)</f>
        <v/>
      </c>
      <c r="B6971" s="13">
        <f>IF(H6971="","",ROW()-4)</f>
        <v/>
      </c>
    </row>
    <row r="6972">
      <c r="A6972" s="13">
        <f>IF(H6972="","",ROW()-4)</f>
        <v/>
      </c>
      <c r="B6972" s="13">
        <f>IF(H6972="","",ROW()-4)</f>
        <v/>
      </c>
    </row>
    <row r="6973">
      <c r="A6973" s="13">
        <f>IF(H6973="","",ROW()-4)</f>
        <v/>
      </c>
      <c r="B6973" s="13">
        <f>IF(H6973="","",ROW()-4)</f>
        <v/>
      </c>
    </row>
    <row r="6974">
      <c r="A6974" s="13">
        <f>IF(H6974="","",ROW()-4)</f>
        <v/>
      </c>
      <c r="B6974" s="13">
        <f>IF(H6974="","",ROW()-4)</f>
        <v/>
      </c>
    </row>
    <row r="6975">
      <c r="A6975" s="13">
        <f>IF(H6975="","",ROW()-4)</f>
        <v/>
      </c>
      <c r="B6975" s="13">
        <f>IF(H6975="","",ROW()-4)</f>
        <v/>
      </c>
    </row>
    <row r="6976">
      <c r="A6976" s="13">
        <f>IF(H6976="","",ROW()-4)</f>
        <v/>
      </c>
      <c r="B6976" s="13">
        <f>IF(H6976="","",ROW()-4)</f>
        <v/>
      </c>
    </row>
    <row r="6977">
      <c r="A6977" s="13">
        <f>IF(H6977="","",ROW()-4)</f>
        <v/>
      </c>
      <c r="B6977" s="13">
        <f>IF(H6977="","",ROW()-4)</f>
        <v/>
      </c>
    </row>
    <row r="6978">
      <c r="A6978" s="13">
        <f>IF(H6978="","",ROW()-4)</f>
        <v/>
      </c>
      <c r="B6978" s="13">
        <f>IF(H6978="","",ROW()-4)</f>
        <v/>
      </c>
    </row>
    <row r="6979">
      <c r="A6979" s="13">
        <f>IF(H6979="","",ROW()-4)</f>
        <v/>
      </c>
      <c r="B6979" s="13">
        <f>IF(H6979="","",ROW()-4)</f>
        <v/>
      </c>
    </row>
    <row r="6980">
      <c r="A6980" s="13">
        <f>IF(H6980="","",ROW()-4)</f>
        <v/>
      </c>
      <c r="B6980" s="13">
        <f>IF(H6980="","",ROW()-4)</f>
        <v/>
      </c>
    </row>
    <row r="6981">
      <c r="A6981" s="13">
        <f>IF(H6981="","",ROW()-4)</f>
        <v/>
      </c>
      <c r="B6981" s="13">
        <f>IF(H6981="","",ROW()-4)</f>
        <v/>
      </c>
    </row>
    <row r="6982">
      <c r="A6982" s="13">
        <f>IF(H6982="","",ROW()-4)</f>
        <v/>
      </c>
      <c r="B6982" s="13">
        <f>IF(H6982="","",ROW()-4)</f>
        <v/>
      </c>
    </row>
    <row r="6983">
      <c r="A6983" s="13">
        <f>IF(H6983="","",ROW()-4)</f>
        <v/>
      </c>
      <c r="B6983" s="13">
        <f>IF(H6983="","",ROW()-4)</f>
        <v/>
      </c>
    </row>
    <row r="6984">
      <c r="A6984" s="13">
        <f>IF(H6984="","",ROW()-4)</f>
        <v/>
      </c>
      <c r="B6984" s="13">
        <f>IF(H6984="","",ROW()-4)</f>
        <v/>
      </c>
    </row>
    <row r="6985">
      <c r="A6985" s="13">
        <f>IF(H6985="","",ROW()-4)</f>
        <v/>
      </c>
      <c r="B6985" s="13">
        <f>IF(H6985="","",ROW()-4)</f>
        <v/>
      </c>
    </row>
    <row r="6986">
      <c r="A6986" s="13">
        <f>IF(H6986="","",ROW()-4)</f>
        <v/>
      </c>
      <c r="B6986" s="13">
        <f>IF(H6986="","",ROW()-4)</f>
        <v/>
      </c>
    </row>
    <row r="6987">
      <c r="A6987" s="13">
        <f>IF(H6987="","",ROW()-4)</f>
        <v/>
      </c>
      <c r="B6987" s="13">
        <f>IF(H6987="","",ROW()-4)</f>
        <v/>
      </c>
    </row>
    <row r="6988">
      <c r="A6988" s="13">
        <f>IF(H6988="","",ROW()-4)</f>
        <v/>
      </c>
      <c r="B6988" s="13">
        <f>IF(H6988="","",ROW()-4)</f>
        <v/>
      </c>
    </row>
    <row r="6989">
      <c r="A6989" s="13">
        <f>IF(H6989="","",ROW()-4)</f>
        <v/>
      </c>
      <c r="B6989" s="13">
        <f>IF(H6989="","",ROW()-4)</f>
        <v/>
      </c>
    </row>
    <row r="6990">
      <c r="A6990" s="13">
        <f>IF(H6990="","",ROW()-4)</f>
        <v/>
      </c>
      <c r="B6990" s="13">
        <f>IF(H6990="","",ROW()-4)</f>
        <v/>
      </c>
    </row>
    <row r="6991">
      <c r="A6991" s="13">
        <f>IF(H6991="","",ROW()-4)</f>
        <v/>
      </c>
      <c r="B6991" s="13">
        <f>IF(H6991="","",ROW()-4)</f>
        <v/>
      </c>
    </row>
    <row r="6992">
      <c r="A6992" s="13">
        <f>IF(H6992="","",ROW()-4)</f>
        <v/>
      </c>
      <c r="B6992" s="13">
        <f>IF(H6992="","",ROW()-4)</f>
        <v/>
      </c>
    </row>
    <row r="6993">
      <c r="A6993" s="13">
        <f>IF(H6993="","",ROW()-4)</f>
        <v/>
      </c>
      <c r="B6993" s="13">
        <f>IF(H6993="","",ROW()-4)</f>
        <v/>
      </c>
    </row>
    <row r="6994">
      <c r="A6994" s="13">
        <f>IF(H6994="","",ROW()-4)</f>
        <v/>
      </c>
      <c r="B6994" s="13">
        <f>IF(H6994="","",ROW()-4)</f>
        <v/>
      </c>
    </row>
    <row r="6995">
      <c r="A6995" s="13">
        <f>IF(H6995="","",ROW()-4)</f>
        <v/>
      </c>
      <c r="B6995" s="13">
        <f>IF(H6995="","",ROW()-4)</f>
        <v/>
      </c>
    </row>
    <row r="6996">
      <c r="A6996" s="13">
        <f>IF(H6996="","",ROW()-4)</f>
        <v/>
      </c>
      <c r="B6996" s="13">
        <f>IF(H6996="","",ROW()-4)</f>
        <v/>
      </c>
    </row>
    <row r="6997">
      <c r="A6997" s="13">
        <f>IF(H6997="","",ROW()-4)</f>
        <v/>
      </c>
      <c r="B6997" s="13">
        <f>IF(H6997="","",ROW()-4)</f>
        <v/>
      </c>
    </row>
    <row r="6998">
      <c r="A6998" s="13">
        <f>IF(H6998="","",ROW()-4)</f>
        <v/>
      </c>
      <c r="B6998" s="13">
        <f>IF(H6998="","",ROW()-4)</f>
        <v/>
      </c>
    </row>
    <row r="6999">
      <c r="A6999" s="13">
        <f>IF(H6999="","",ROW()-4)</f>
        <v/>
      </c>
      <c r="B6999" s="13">
        <f>IF(H6999="","",ROW()-4)</f>
        <v/>
      </c>
    </row>
    <row r="7000">
      <c r="A7000" s="13">
        <f>IF(H7000="","",ROW()-4)</f>
        <v/>
      </c>
      <c r="B7000" s="13">
        <f>IF(H7000="","",ROW()-4)</f>
        <v/>
      </c>
    </row>
    <row r="7001">
      <c r="A7001" s="13">
        <f>IF(H7001="","",ROW()-4)</f>
        <v/>
      </c>
      <c r="B7001" s="13">
        <f>IF(H7001="","",ROW()-4)</f>
        <v/>
      </c>
    </row>
    <row r="7002">
      <c r="A7002" s="13">
        <f>IF(H7002="","",ROW()-4)</f>
        <v/>
      </c>
      <c r="B7002" s="13">
        <f>IF(H7002="","",ROW()-4)</f>
        <v/>
      </c>
    </row>
    <row r="7003">
      <c r="A7003" s="13">
        <f>IF(H7003="","",ROW()-4)</f>
        <v/>
      </c>
      <c r="B7003" s="13">
        <f>IF(H7003="","",ROW()-4)</f>
        <v/>
      </c>
    </row>
    <row r="7004">
      <c r="A7004" s="13">
        <f>IF(H7004="","",ROW()-4)</f>
        <v/>
      </c>
      <c r="B7004" s="13">
        <f>IF(H7004="","",ROW()-4)</f>
        <v/>
      </c>
    </row>
    <row r="7005">
      <c r="A7005" s="13">
        <f>IF(H7005="","",ROW()-4)</f>
        <v/>
      </c>
      <c r="B7005" s="13">
        <f>IF(H7005="","",ROW()-4)</f>
        <v/>
      </c>
    </row>
    <row r="7006">
      <c r="A7006" s="13">
        <f>IF(H7006="","",ROW()-4)</f>
        <v/>
      </c>
      <c r="B7006" s="13">
        <f>IF(H7006="","",ROW()-4)</f>
        <v/>
      </c>
    </row>
    <row r="7007">
      <c r="A7007" s="13">
        <f>IF(H7007="","",ROW()-4)</f>
        <v/>
      </c>
      <c r="B7007" s="13">
        <f>IF(H7007="","",ROW()-4)</f>
        <v/>
      </c>
    </row>
    <row r="7008">
      <c r="A7008" s="13">
        <f>IF(H7008="","",ROW()-4)</f>
        <v/>
      </c>
      <c r="B7008" s="13">
        <f>IF(H7008="","",ROW()-4)</f>
        <v/>
      </c>
    </row>
    <row r="7009">
      <c r="A7009" s="13">
        <f>IF(H7009="","",ROW()-4)</f>
        <v/>
      </c>
      <c r="B7009" s="13">
        <f>IF(H7009="","",ROW()-4)</f>
        <v/>
      </c>
    </row>
    <row r="7010">
      <c r="A7010" s="13">
        <f>IF(H7010="","",ROW()-4)</f>
        <v/>
      </c>
      <c r="B7010" s="13">
        <f>IF(H7010="","",ROW()-4)</f>
        <v/>
      </c>
    </row>
    <row r="7011">
      <c r="A7011" s="13">
        <f>IF(H7011="","",ROW()-4)</f>
        <v/>
      </c>
      <c r="B7011" s="13">
        <f>IF(H7011="","",ROW()-4)</f>
        <v/>
      </c>
    </row>
    <row r="7012">
      <c r="A7012" s="13">
        <f>IF(H7012="","",ROW()-4)</f>
        <v/>
      </c>
      <c r="B7012" s="13">
        <f>IF(H7012="","",ROW()-4)</f>
        <v/>
      </c>
    </row>
    <row r="7013">
      <c r="A7013" s="13">
        <f>IF(H7013="","",ROW()-4)</f>
        <v/>
      </c>
      <c r="B7013" s="13">
        <f>IF(H7013="","",ROW()-4)</f>
        <v/>
      </c>
    </row>
    <row r="7014">
      <c r="A7014" s="13">
        <f>IF(H7014="","",ROW()-4)</f>
        <v/>
      </c>
      <c r="B7014" s="13">
        <f>IF(H7014="","",ROW()-4)</f>
        <v/>
      </c>
    </row>
    <row r="7015">
      <c r="A7015" s="13">
        <f>IF(H7015="","",ROW()-4)</f>
        <v/>
      </c>
      <c r="B7015" s="13">
        <f>IF(H7015="","",ROW()-4)</f>
        <v/>
      </c>
    </row>
    <row r="7016">
      <c r="A7016" s="13">
        <f>IF(H7016="","",ROW()-4)</f>
        <v/>
      </c>
      <c r="B7016" s="13">
        <f>IF(H7016="","",ROW()-4)</f>
        <v/>
      </c>
    </row>
    <row r="7017">
      <c r="A7017" s="13">
        <f>IF(H7017="","",ROW()-4)</f>
        <v/>
      </c>
      <c r="B7017" s="13">
        <f>IF(H7017="","",ROW()-4)</f>
        <v/>
      </c>
    </row>
    <row r="7018">
      <c r="A7018" s="13">
        <f>IF(H7018="","",ROW()-4)</f>
        <v/>
      </c>
      <c r="B7018" s="13">
        <f>IF(H7018="","",ROW()-4)</f>
        <v/>
      </c>
    </row>
    <row r="7019">
      <c r="A7019" s="13">
        <f>IF(H7019="","",ROW()-4)</f>
        <v/>
      </c>
      <c r="B7019" s="13">
        <f>IF(H7019="","",ROW()-4)</f>
        <v/>
      </c>
    </row>
    <row r="7020">
      <c r="A7020" s="13">
        <f>IF(H7020="","",ROW()-4)</f>
        <v/>
      </c>
      <c r="B7020" s="13">
        <f>IF(H7020="","",ROW()-4)</f>
        <v/>
      </c>
    </row>
    <row r="7021">
      <c r="A7021" s="13">
        <f>IF(H7021="","",ROW()-4)</f>
        <v/>
      </c>
      <c r="B7021" s="13">
        <f>IF(H7021="","",ROW()-4)</f>
        <v/>
      </c>
    </row>
    <row r="7022">
      <c r="A7022" s="13">
        <f>IF(H7022="","",ROW()-4)</f>
        <v/>
      </c>
      <c r="B7022" s="13">
        <f>IF(H7022="","",ROW()-4)</f>
        <v/>
      </c>
    </row>
    <row r="7023">
      <c r="A7023" s="13">
        <f>IF(H7023="","",ROW()-4)</f>
        <v/>
      </c>
      <c r="B7023" s="13">
        <f>IF(H7023="","",ROW()-4)</f>
        <v/>
      </c>
    </row>
    <row r="7024">
      <c r="A7024" s="13">
        <f>IF(H7024="","",ROW()-4)</f>
        <v/>
      </c>
      <c r="B7024" s="13">
        <f>IF(H7024="","",ROW()-4)</f>
        <v/>
      </c>
    </row>
    <row r="7025">
      <c r="A7025" s="13">
        <f>IF(H7025="","",ROW()-4)</f>
        <v/>
      </c>
      <c r="B7025" s="13">
        <f>IF(H7025="","",ROW()-4)</f>
        <v/>
      </c>
    </row>
    <row r="7026">
      <c r="A7026" s="13">
        <f>IF(H7026="","",ROW()-4)</f>
        <v/>
      </c>
      <c r="B7026" s="13">
        <f>IF(H7026="","",ROW()-4)</f>
        <v/>
      </c>
    </row>
    <row r="7027">
      <c r="A7027" s="13">
        <f>IF(H7027="","",ROW()-4)</f>
        <v/>
      </c>
      <c r="B7027" s="13">
        <f>IF(H7027="","",ROW()-4)</f>
        <v/>
      </c>
    </row>
    <row r="7028">
      <c r="A7028" s="13">
        <f>IF(H7028="","",ROW()-4)</f>
        <v/>
      </c>
      <c r="B7028" s="13">
        <f>IF(H7028="","",ROW()-4)</f>
        <v/>
      </c>
    </row>
    <row r="7029">
      <c r="A7029" s="13">
        <f>IF(H7029="","",ROW()-4)</f>
        <v/>
      </c>
      <c r="B7029" s="13">
        <f>IF(H7029="","",ROW()-4)</f>
        <v/>
      </c>
    </row>
    <row r="7030">
      <c r="A7030" s="13">
        <f>IF(H7030="","",ROW()-4)</f>
        <v/>
      </c>
      <c r="B7030" s="13">
        <f>IF(H7030="","",ROW()-4)</f>
        <v/>
      </c>
    </row>
    <row r="7031">
      <c r="A7031" s="13">
        <f>IF(H7031="","",ROW()-4)</f>
        <v/>
      </c>
      <c r="B7031" s="13">
        <f>IF(H7031="","",ROW()-4)</f>
        <v/>
      </c>
    </row>
    <row r="7032">
      <c r="A7032" s="13">
        <f>IF(H7032="","",ROW()-4)</f>
        <v/>
      </c>
      <c r="B7032" s="13">
        <f>IF(H7032="","",ROW()-4)</f>
        <v/>
      </c>
    </row>
    <row r="7033">
      <c r="A7033" s="13">
        <f>IF(H7033="","",ROW()-4)</f>
        <v/>
      </c>
      <c r="B7033" s="13">
        <f>IF(H7033="","",ROW()-4)</f>
        <v/>
      </c>
    </row>
    <row r="7034">
      <c r="A7034" s="13">
        <f>IF(H7034="","",ROW()-4)</f>
        <v/>
      </c>
      <c r="B7034" s="13">
        <f>IF(H7034="","",ROW()-4)</f>
        <v/>
      </c>
    </row>
    <row r="7035">
      <c r="A7035" s="13">
        <f>IF(H7035="","",ROW()-4)</f>
        <v/>
      </c>
      <c r="B7035" s="13">
        <f>IF(H7035="","",ROW()-4)</f>
        <v/>
      </c>
    </row>
    <row r="7036">
      <c r="A7036" s="13">
        <f>IF(H7036="","",ROW()-4)</f>
        <v/>
      </c>
      <c r="B7036" s="13">
        <f>IF(H7036="","",ROW()-4)</f>
        <v/>
      </c>
    </row>
    <row r="7037">
      <c r="A7037" s="13">
        <f>IF(H7037="","",ROW()-4)</f>
        <v/>
      </c>
      <c r="B7037" s="13">
        <f>IF(H7037="","",ROW()-4)</f>
        <v/>
      </c>
    </row>
    <row r="7038">
      <c r="A7038" s="13">
        <f>IF(H7038="","",ROW()-4)</f>
        <v/>
      </c>
      <c r="B7038" s="13">
        <f>IF(H7038="","",ROW()-4)</f>
        <v/>
      </c>
    </row>
    <row r="7039">
      <c r="A7039" s="13">
        <f>IF(H7039="","",ROW()-4)</f>
        <v/>
      </c>
      <c r="B7039" s="13">
        <f>IF(H7039="","",ROW()-4)</f>
        <v/>
      </c>
    </row>
    <row r="7040">
      <c r="A7040" s="13">
        <f>IF(H7040="","",ROW()-4)</f>
        <v/>
      </c>
      <c r="B7040" s="13">
        <f>IF(H7040="","",ROW()-4)</f>
        <v/>
      </c>
    </row>
    <row r="7041">
      <c r="A7041" s="13">
        <f>IF(H7041="","",ROW()-4)</f>
        <v/>
      </c>
      <c r="B7041" s="13">
        <f>IF(H7041="","",ROW()-4)</f>
        <v/>
      </c>
    </row>
    <row r="7042">
      <c r="A7042" s="13">
        <f>IF(H7042="","",ROW()-4)</f>
        <v/>
      </c>
      <c r="B7042" s="13">
        <f>IF(H7042="","",ROW()-4)</f>
        <v/>
      </c>
    </row>
    <row r="7043">
      <c r="A7043" s="13">
        <f>IF(H7043="","",ROW()-4)</f>
        <v/>
      </c>
      <c r="B7043" s="13">
        <f>IF(H7043="","",ROW()-4)</f>
        <v/>
      </c>
    </row>
    <row r="7044">
      <c r="A7044" s="13">
        <f>IF(H7044="","",ROW()-4)</f>
        <v/>
      </c>
      <c r="B7044" s="13">
        <f>IF(H7044="","",ROW()-4)</f>
        <v/>
      </c>
    </row>
    <row r="7045">
      <c r="A7045" s="13">
        <f>IF(H7045="","",ROW()-4)</f>
        <v/>
      </c>
      <c r="B7045" s="13">
        <f>IF(H7045="","",ROW()-4)</f>
        <v/>
      </c>
    </row>
    <row r="7046">
      <c r="A7046" s="13">
        <f>IF(H7046="","",ROW()-4)</f>
        <v/>
      </c>
      <c r="B7046" s="13">
        <f>IF(H7046="","",ROW()-4)</f>
        <v/>
      </c>
    </row>
    <row r="7047">
      <c r="A7047" s="13">
        <f>IF(H7047="","",ROW()-4)</f>
        <v/>
      </c>
      <c r="B7047" s="13">
        <f>IF(H7047="","",ROW()-4)</f>
        <v/>
      </c>
    </row>
    <row r="7048">
      <c r="A7048" s="13">
        <f>IF(H7048="","",ROW()-4)</f>
        <v/>
      </c>
      <c r="B7048" s="13">
        <f>IF(H7048="","",ROW()-4)</f>
        <v/>
      </c>
    </row>
    <row r="7049">
      <c r="A7049" s="13">
        <f>IF(H7049="","",ROW()-4)</f>
        <v/>
      </c>
      <c r="B7049" s="13">
        <f>IF(H7049="","",ROW()-4)</f>
        <v/>
      </c>
    </row>
    <row r="7050">
      <c r="A7050" s="13">
        <f>IF(H7050="","",ROW()-4)</f>
        <v/>
      </c>
      <c r="B7050" s="13">
        <f>IF(H7050="","",ROW()-4)</f>
        <v/>
      </c>
    </row>
    <row r="7051">
      <c r="A7051" s="13">
        <f>IF(H7051="","",ROW()-4)</f>
        <v/>
      </c>
      <c r="B7051" s="13">
        <f>IF(H7051="","",ROW()-4)</f>
        <v/>
      </c>
    </row>
    <row r="7052">
      <c r="A7052" s="13">
        <f>IF(H7052="","",ROW()-4)</f>
        <v/>
      </c>
      <c r="B7052" s="13">
        <f>IF(H7052="","",ROW()-4)</f>
        <v/>
      </c>
    </row>
    <row r="7053">
      <c r="A7053" s="13">
        <f>IF(H7053="","",ROW()-4)</f>
        <v/>
      </c>
      <c r="B7053" s="13">
        <f>IF(H7053="","",ROW()-4)</f>
        <v/>
      </c>
    </row>
    <row r="7054">
      <c r="A7054" s="13">
        <f>IF(H7054="","",ROW()-4)</f>
        <v/>
      </c>
      <c r="B7054" s="13">
        <f>IF(H7054="","",ROW()-4)</f>
        <v/>
      </c>
    </row>
    <row r="7055">
      <c r="A7055" s="13">
        <f>IF(H7055="","",ROW()-4)</f>
        <v/>
      </c>
      <c r="B7055" s="13">
        <f>IF(H7055="","",ROW()-4)</f>
        <v/>
      </c>
    </row>
    <row r="7056">
      <c r="A7056" s="13">
        <f>IF(H7056="","",ROW()-4)</f>
        <v/>
      </c>
      <c r="B7056" s="13">
        <f>IF(H7056="","",ROW()-4)</f>
        <v/>
      </c>
    </row>
    <row r="7057">
      <c r="A7057" s="13">
        <f>IF(H7057="","",ROW()-4)</f>
        <v/>
      </c>
      <c r="B7057" s="13">
        <f>IF(H7057="","",ROW()-4)</f>
        <v/>
      </c>
    </row>
    <row r="7058">
      <c r="A7058" s="13">
        <f>IF(H7058="","",ROW()-4)</f>
        <v/>
      </c>
      <c r="B7058" s="13">
        <f>IF(H7058="","",ROW()-4)</f>
        <v/>
      </c>
    </row>
    <row r="7059">
      <c r="A7059" s="13">
        <f>IF(H7059="","",ROW()-4)</f>
        <v/>
      </c>
      <c r="B7059" s="13">
        <f>IF(H7059="","",ROW()-4)</f>
        <v/>
      </c>
    </row>
    <row r="7060">
      <c r="A7060" s="13">
        <f>IF(H7060="","",ROW()-4)</f>
        <v/>
      </c>
      <c r="B7060" s="13">
        <f>IF(H7060="","",ROW()-4)</f>
        <v/>
      </c>
    </row>
    <row r="7061">
      <c r="A7061" s="13">
        <f>IF(H7061="","",ROW()-4)</f>
        <v/>
      </c>
      <c r="B7061" s="13">
        <f>IF(H7061="","",ROW()-4)</f>
        <v/>
      </c>
    </row>
    <row r="7062">
      <c r="A7062" s="13">
        <f>IF(H7062="","",ROW()-4)</f>
        <v/>
      </c>
      <c r="B7062" s="13">
        <f>IF(H7062="","",ROW()-4)</f>
        <v/>
      </c>
    </row>
    <row r="7063">
      <c r="A7063" s="13">
        <f>IF(H7063="","",ROW()-4)</f>
        <v/>
      </c>
      <c r="B7063" s="13">
        <f>IF(H7063="","",ROW()-4)</f>
        <v/>
      </c>
    </row>
    <row r="7064">
      <c r="A7064" s="13">
        <f>IF(H7064="","",ROW()-4)</f>
        <v/>
      </c>
      <c r="B7064" s="13">
        <f>IF(H7064="","",ROW()-4)</f>
        <v/>
      </c>
    </row>
    <row r="7065">
      <c r="A7065" s="13">
        <f>IF(H7065="","",ROW()-4)</f>
        <v/>
      </c>
      <c r="B7065" s="13">
        <f>IF(H7065="","",ROW()-4)</f>
        <v/>
      </c>
    </row>
    <row r="7066">
      <c r="A7066" s="13">
        <f>IF(H7066="","",ROW()-4)</f>
        <v/>
      </c>
      <c r="B7066" s="13">
        <f>IF(H7066="","",ROW()-4)</f>
        <v/>
      </c>
    </row>
    <row r="7067">
      <c r="A7067" s="13">
        <f>IF(H7067="","",ROW()-4)</f>
        <v/>
      </c>
      <c r="B7067" s="13">
        <f>IF(H7067="","",ROW()-4)</f>
        <v/>
      </c>
    </row>
    <row r="7068">
      <c r="A7068" s="13">
        <f>IF(H7068="","",ROW()-4)</f>
        <v/>
      </c>
      <c r="B7068" s="13">
        <f>IF(H7068="","",ROW()-4)</f>
        <v/>
      </c>
    </row>
    <row r="7069">
      <c r="A7069" s="13">
        <f>IF(H7069="","",ROW()-4)</f>
        <v/>
      </c>
      <c r="B7069" s="13">
        <f>IF(H7069="","",ROW()-4)</f>
        <v/>
      </c>
    </row>
    <row r="7070">
      <c r="A7070" s="13">
        <f>IF(H7070="","",ROW()-4)</f>
        <v/>
      </c>
      <c r="B7070" s="13">
        <f>IF(H7070="","",ROW()-4)</f>
        <v/>
      </c>
    </row>
    <row r="7071">
      <c r="A7071" s="13">
        <f>IF(H7071="","",ROW()-4)</f>
        <v/>
      </c>
      <c r="B7071" s="13">
        <f>IF(H7071="","",ROW()-4)</f>
        <v/>
      </c>
    </row>
    <row r="7072">
      <c r="A7072" s="13">
        <f>IF(H7072="","",ROW()-4)</f>
        <v/>
      </c>
      <c r="B7072" s="13">
        <f>IF(H7072="","",ROW()-4)</f>
        <v/>
      </c>
    </row>
    <row r="7073">
      <c r="A7073" s="13">
        <f>IF(H7073="","",ROW()-4)</f>
        <v/>
      </c>
      <c r="B7073" s="13">
        <f>IF(H7073="","",ROW()-4)</f>
        <v/>
      </c>
    </row>
    <row r="7074">
      <c r="A7074" s="13">
        <f>IF(H7074="","",ROW()-4)</f>
        <v/>
      </c>
      <c r="B7074" s="13">
        <f>IF(H7074="","",ROW()-4)</f>
        <v/>
      </c>
    </row>
    <row r="7075">
      <c r="A7075" s="13">
        <f>IF(H7075="","",ROW()-4)</f>
        <v/>
      </c>
      <c r="B7075" s="13">
        <f>IF(H7075="","",ROW()-4)</f>
        <v/>
      </c>
    </row>
    <row r="7076">
      <c r="A7076" s="13">
        <f>IF(H7076="","",ROW()-4)</f>
        <v/>
      </c>
      <c r="B7076" s="13">
        <f>IF(H7076="","",ROW()-4)</f>
        <v/>
      </c>
    </row>
    <row r="7077">
      <c r="A7077" s="13">
        <f>IF(H7077="","",ROW()-4)</f>
        <v/>
      </c>
      <c r="B7077" s="13">
        <f>IF(H7077="","",ROW()-4)</f>
        <v/>
      </c>
    </row>
    <row r="7078">
      <c r="A7078" s="13">
        <f>IF(H7078="","",ROW()-4)</f>
        <v/>
      </c>
      <c r="B7078" s="13">
        <f>IF(H7078="","",ROW()-4)</f>
        <v/>
      </c>
    </row>
    <row r="7079">
      <c r="A7079" s="13">
        <f>IF(H7079="","",ROW()-4)</f>
        <v/>
      </c>
      <c r="B7079" s="13">
        <f>IF(H7079="","",ROW()-4)</f>
        <v/>
      </c>
    </row>
    <row r="7080">
      <c r="A7080" s="13">
        <f>IF(H7080="","",ROW()-4)</f>
        <v/>
      </c>
      <c r="B7080" s="13">
        <f>IF(H7080="","",ROW()-4)</f>
        <v/>
      </c>
    </row>
    <row r="7081">
      <c r="A7081" s="13">
        <f>IF(H7081="","",ROW()-4)</f>
        <v/>
      </c>
      <c r="B7081" s="13">
        <f>IF(H7081="","",ROW()-4)</f>
        <v/>
      </c>
    </row>
    <row r="7082">
      <c r="A7082" s="13">
        <f>IF(H7082="","",ROW()-4)</f>
        <v/>
      </c>
      <c r="B7082" s="13">
        <f>IF(H7082="","",ROW()-4)</f>
        <v/>
      </c>
    </row>
    <row r="7083">
      <c r="A7083" s="13">
        <f>IF(H7083="","",ROW()-4)</f>
        <v/>
      </c>
      <c r="B7083" s="13">
        <f>IF(H7083="","",ROW()-4)</f>
        <v/>
      </c>
    </row>
    <row r="7084">
      <c r="A7084" s="13">
        <f>IF(H7084="","",ROW()-4)</f>
        <v/>
      </c>
      <c r="B7084" s="13">
        <f>IF(H7084="","",ROW()-4)</f>
        <v/>
      </c>
    </row>
    <row r="7085">
      <c r="A7085" s="13">
        <f>IF(H7085="","",ROW()-4)</f>
        <v/>
      </c>
      <c r="B7085" s="13">
        <f>IF(H7085="","",ROW()-4)</f>
        <v/>
      </c>
    </row>
    <row r="7086">
      <c r="A7086" s="13">
        <f>IF(H7086="","",ROW()-4)</f>
        <v/>
      </c>
      <c r="B7086" s="13">
        <f>IF(H7086="","",ROW()-4)</f>
        <v/>
      </c>
    </row>
    <row r="7087">
      <c r="A7087" s="13">
        <f>IF(H7087="","",ROW()-4)</f>
        <v/>
      </c>
      <c r="B7087" s="13">
        <f>IF(H7087="","",ROW()-4)</f>
        <v/>
      </c>
    </row>
    <row r="7088">
      <c r="A7088" s="13">
        <f>IF(H7088="","",ROW()-4)</f>
        <v/>
      </c>
      <c r="B7088" s="13">
        <f>IF(H7088="","",ROW()-4)</f>
        <v/>
      </c>
    </row>
    <row r="7089">
      <c r="A7089" s="13">
        <f>IF(H7089="","",ROW()-4)</f>
        <v/>
      </c>
      <c r="B7089" s="13">
        <f>IF(H7089="","",ROW()-4)</f>
        <v/>
      </c>
    </row>
    <row r="7090">
      <c r="A7090" s="13">
        <f>IF(H7090="","",ROW()-4)</f>
        <v/>
      </c>
      <c r="B7090" s="13">
        <f>IF(H7090="","",ROW()-4)</f>
        <v/>
      </c>
    </row>
    <row r="7091">
      <c r="A7091" s="13">
        <f>IF(H7091="","",ROW()-4)</f>
        <v/>
      </c>
      <c r="B7091" s="13">
        <f>IF(H7091="","",ROW()-4)</f>
        <v/>
      </c>
    </row>
    <row r="7092">
      <c r="A7092" s="13">
        <f>IF(H7092="","",ROW()-4)</f>
        <v/>
      </c>
      <c r="B7092" s="13">
        <f>IF(H7092="","",ROW()-4)</f>
        <v/>
      </c>
    </row>
    <row r="7093">
      <c r="A7093" s="13">
        <f>IF(H7093="","",ROW()-4)</f>
        <v/>
      </c>
      <c r="B7093" s="13">
        <f>IF(H7093="","",ROW()-4)</f>
        <v/>
      </c>
    </row>
    <row r="7094">
      <c r="A7094" s="13">
        <f>IF(H7094="","",ROW()-4)</f>
        <v/>
      </c>
      <c r="B7094" s="13">
        <f>IF(H7094="","",ROW()-4)</f>
        <v/>
      </c>
    </row>
    <row r="7095">
      <c r="A7095" s="13">
        <f>IF(H7095="","",ROW()-4)</f>
        <v/>
      </c>
      <c r="B7095" s="13">
        <f>IF(H7095="","",ROW()-4)</f>
        <v/>
      </c>
    </row>
    <row r="7096">
      <c r="A7096" s="13">
        <f>IF(H7096="","",ROW()-4)</f>
        <v/>
      </c>
      <c r="B7096" s="13">
        <f>IF(H7096="","",ROW()-4)</f>
        <v/>
      </c>
    </row>
    <row r="7097">
      <c r="A7097" s="13">
        <f>IF(H7097="","",ROW()-4)</f>
        <v/>
      </c>
      <c r="B7097" s="13">
        <f>IF(H7097="","",ROW()-4)</f>
        <v/>
      </c>
    </row>
    <row r="7098">
      <c r="A7098" s="13">
        <f>IF(H7098="","",ROW()-4)</f>
        <v/>
      </c>
      <c r="B7098" s="13">
        <f>IF(H7098="","",ROW()-4)</f>
        <v/>
      </c>
    </row>
    <row r="7099">
      <c r="A7099" s="13">
        <f>IF(H7099="","",ROW()-4)</f>
        <v/>
      </c>
      <c r="B7099" s="13">
        <f>IF(H7099="","",ROW()-4)</f>
        <v/>
      </c>
    </row>
    <row r="7100">
      <c r="A7100" s="13">
        <f>IF(H7100="","",ROW()-4)</f>
        <v/>
      </c>
      <c r="B7100" s="13">
        <f>IF(H7100="","",ROW()-4)</f>
        <v/>
      </c>
    </row>
    <row r="7101">
      <c r="A7101" s="13">
        <f>IF(H7101="","",ROW()-4)</f>
        <v/>
      </c>
      <c r="B7101" s="13">
        <f>IF(H7101="","",ROW()-4)</f>
        <v/>
      </c>
    </row>
    <row r="7102">
      <c r="A7102" s="13">
        <f>IF(H7102="","",ROW()-4)</f>
        <v/>
      </c>
      <c r="B7102" s="13">
        <f>IF(H7102="","",ROW()-4)</f>
        <v/>
      </c>
    </row>
    <row r="7103">
      <c r="A7103" s="13">
        <f>IF(H7103="","",ROW()-4)</f>
        <v/>
      </c>
      <c r="B7103" s="13">
        <f>IF(H7103="","",ROW()-4)</f>
        <v/>
      </c>
    </row>
    <row r="7104">
      <c r="A7104" s="13">
        <f>IF(H7104="","",ROW()-4)</f>
        <v/>
      </c>
      <c r="B7104" s="13">
        <f>IF(H7104="","",ROW()-4)</f>
        <v/>
      </c>
    </row>
    <row r="7105">
      <c r="A7105" s="13">
        <f>IF(H7105="","",ROW()-4)</f>
        <v/>
      </c>
      <c r="B7105" s="13">
        <f>IF(H7105="","",ROW()-4)</f>
        <v/>
      </c>
    </row>
    <row r="7106">
      <c r="A7106" s="13">
        <f>IF(H7106="","",ROW()-4)</f>
        <v/>
      </c>
      <c r="B7106" s="13">
        <f>IF(H7106="","",ROW()-4)</f>
        <v/>
      </c>
    </row>
    <row r="7107">
      <c r="A7107" s="13">
        <f>IF(H7107="","",ROW()-4)</f>
        <v/>
      </c>
      <c r="B7107" s="13">
        <f>IF(H7107="","",ROW()-4)</f>
        <v/>
      </c>
    </row>
    <row r="7108">
      <c r="A7108" s="13">
        <f>IF(H7108="","",ROW()-4)</f>
        <v/>
      </c>
      <c r="B7108" s="13">
        <f>IF(H7108="","",ROW()-4)</f>
        <v/>
      </c>
    </row>
    <row r="7109">
      <c r="A7109" s="13">
        <f>IF(H7109="","",ROW()-4)</f>
        <v/>
      </c>
      <c r="B7109" s="13">
        <f>IF(H7109="","",ROW()-4)</f>
        <v/>
      </c>
    </row>
    <row r="7110">
      <c r="A7110" s="13">
        <f>IF(H7110="","",ROW()-4)</f>
        <v/>
      </c>
      <c r="B7110" s="13">
        <f>IF(H7110="","",ROW()-4)</f>
        <v/>
      </c>
    </row>
    <row r="7111">
      <c r="A7111" s="13">
        <f>IF(H7111="","",ROW()-4)</f>
        <v/>
      </c>
      <c r="B7111" s="13">
        <f>IF(H7111="","",ROW()-4)</f>
        <v/>
      </c>
    </row>
    <row r="7112">
      <c r="A7112" s="13">
        <f>IF(H7112="","",ROW()-4)</f>
        <v/>
      </c>
      <c r="B7112" s="13">
        <f>IF(H7112="","",ROW()-4)</f>
        <v/>
      </c>
    </row>
    <row r="7113">
      <c r="A7113" s="13">
        <f>IF(H7113="","",ROW()-4)</f>
        <v/>
      </c>
      <c r="B7113" s="13">
        <f>IF(H7113="","",ROW()-4)</f>
        <v/>
      </c>
    </row>
    <row r="7114">
      <c r="A7114" s="13">
        <f>IF(H7114="","",ROW()-4)</f>
        <v/>
      </c>
      <c r="B7114" s="13">
        <f>IF(H7114="","",ROW()-4)</f>
        <v/>
      </c>
    </row>
    <row r="7115">
      <c r="A7115" s="13">
        <f>IF(H7115="","",ROW()-4)</f>
        <v/>
      </c>
      <c r="B7115" s="13">
        <f>IF(H7115="","",ROW()-4)</f>
        <v/>
      </c>
    </row>
    <row r="7116">
      <c r="A7116" s="13">
        <f>IF(H7116="","",ROW()-4)</f>
        <v/>
      </c>
      <c r="B7116" s="13">
        <f>IF(H7116="","",ROW()-4)</f>
        <v/>
      </c>
    </row>
    <row r="7117">
      <c r="A7117" s="13">
        <f>IF(H7117="","",ROW()-4)</f>
        <v/>
      </c>
      <c r="B7117" s="13">
        <f>IF(H7117="","",ROW()-4)</f>
        <v/>
      </c>
    </row>
    <row r="7118">
      <c r="A7118" s="13">
        <f>IF(H7118="","",ROW()-4)</f>
        <v/>
      </c>
      <c r="B7118" s="13">
        <f>IF(H7118="","",ROW()-4)</f>
        <v/>
      </c>
    </row>
    <row r="7119">
      <c r="A7119" s="13">
        <f>IF(H7119="","",ROW()-4)</f>
        <v/>
      </c>
      <c r="B7119" s="13">
        <f>IF(H7119="","",ROW()-4)</f>
        <v/>
      </c>
    </row>
    <row r="7120">
      <c r="A7120" s="13">
        <f>IF(H7120="","",ROW()-4)</f>
        <v/>
      </c>
      <c r="B7120" s="13">
        <f>IF(H7120="","",ROW()-4)</f>
        <v/>
      </c>
    </row>
    <row r="7121">
      <c r="A7121" s="13">
        <f>IF(H7121="","",ROW()-4)</f>
        <v/>
      </c>
      <c r="B7121" s="13">
        <f>IF(H7121="","",ROW()-4)</f>
        <v/>
      </c>
    </row>
    <row r="7122">
      <c r="A7122" s="13">
        <f>IF(H7122="","",ROW()-4)</f>
        <v/>
      </c>
      <c r="B7122" s="13">
        <f>IF(H7122="","",ROW()-4)</f>
        <v/>
      </c>
    </row>
    <row r="7123">
      <c r="A7123" s="13">
        <f>IF(H7123="","",ROW()-4)</f>
        <v/>
      </c>
      <c r="B7123" s="13">
        <f>IF(H7123="","",ROW()-4)</f>
        <v/>
      </c>
    </row>
    <row r="7124">
      <c r="A7124" s="13">
        <f>IF(H7124="","",ROW()-4)</f>
        <v/>
      </c>
      <c r="B7124" s="13">
        <f>IF(H7124="","",ROW()-4)</f>
        <v/>
      </c>
    </row>
    <row r="7125">
      <c r="A7125" s="13">
        <f>IF(H7125="","",ROW()-4)</f>
        <v/>
      </c>
      <c r="B7125" s="13">
        <f>IF(H7125="","",ROW()-4)</f>
        <v/>
      </c>
    </row>
    <row r="7126">
      <c r="A7126" s="13">
        <f>IF(H7126="","",ROW()-4)</f>
        <v/>
      </c>
      <c r="B7126" s="13">
        <f>IF(H7126="","",ROW()-4)</f>
        <v/>
      </c>
    </row>
    <row r="7127">
      <c r="A7127" s="13">
        <f>IF(H7127="","",ROW()-4)</f>
        <v/>
      </c>
      <c r="B7127" s="13">
        <f>IF(H7127="","",ROW()-4)</f>
        <v/>
      </c>
    </row>
    <row r="7128">
      <c r="A7128" s="13">
        <f>IF(H7128="","",ROW()-4)</f>
        <v/>
      </c>
      <c r="B7128" s="13">
        <f>IF(H7128="","",ROW()-4)</f>
        <v/>
      </c>
    </row>
    <row r="7129">
      <c r="A7129" s="13">
        <f>IF(H7129="","",ROW()-4)</f>
        <v/>
      </c>
      <c r="B7129" s="13">
        <f>IF(H7129="","",ROW()-4)</f>
        <v/>
      </c>
    </row>
    <row r="7130">
      <c r="A7130" s="13">
        <f>IF(H7130="","",ROW()-4)</f>
        <v/>
      </c>
      <c r="B7130" s="13">
        <f>IF(H7130="","",ROW()-4)</f>
        <v/>
      </c>
    </row>
    <row r="7131">
      <c r="A7131" s="13">
        <f>IF(H7131="","",ROW()-4)</f>
        <v/>
      </c>
      <c r="B7131" s="13">
        <f>IF(H7131="","",ROW()-4)</f>
        <v/>
      </c>
    </row>
    <row r="7132">
      <c r="A7132" s="13">
        <f>IF(H7132="","",ROW()-4)</f>
        <v/>
      </c>
      <c r="B7132" s="13">
        <f>IF(H7132="","",ROW()-4)</f>
        <v/>
      </c>
    </row>
    <row r="7133">
      <c r="A7133" s="13">
        <f>IF(H7133="","",ROW()-4)</f>
        <v/>
      </c>
      <c r="B7133" s="13">
        <f>IF(H7133="","",ROW()-4)</f>
        <v/>
      </c>
    </row>
    <row r="7134">
      <c r="A7134" s="13">
        <f>IF(H7134="","",ROW()-4)</f>
        <v/>
      </c>
      <c r="B7134" s="13">
        <f>IF(H7134="","",ROW()-4)</f>
        <v/>
      </c>
    </row>
    <row r="7135">
      <c r="A7135" s="13">
        <f>IF(H7135="","",ROW()-4)</f>
        <v/>
      </c>
      <c r="B7135" s="13">
        <f>IF(H7135="","",ROW()-4)</f>
        <v/>
      </c>
    </row>
    <row r="7136">
      <c r="A7136" s="13">
        <f>IF(H7136="","",ROW()-4)</f>
        <v/>
      </c>
      <c r="B7136" s="13">
        <f>IF(H7136="","",ROW()-4)</f>
        <v/>
      </c>
    </row>
    <row r="7137">
      <c r="A7137" s="13">
        <f>IF(H7137="","",ROW()-4)</f>
        <v/>
      </c>
      <c r="B7137" s="13">
        <f>IF(H7137="","",ROW()-4)</f>
        <v/>
      </c>
    </row>
    <row r="7138">
      <c r="A7138" s="13">
        <f>IF(H7138="","",ROW()-4)</f>
        <v/>
      </c>
      <c r="B7138" s="13">
        <f>IF(H7138="","",ROW()-4)</f>
        <v/>
      </c>
    </row>
    <row r="7139">
      <c r="A7139" s="13">
        <f>IF(H7139="","",ROW()-4)</f>
        <v/>
      </c>
      <c r="B7139" s="13">
        <f>IF(H7139="","",ROW()-4)</f>
        <v/>
      </c>
    </row>
    <row r="7140">
      <c r="A7140" s="13">
        <f>IF(H7140="","",ROW()-4)</f>
        <v/>
      </c>
      <c r="B7140" s="13">
        <f>IF(H7140="","",ROW()-4)</f>
        <v/>
      </c>
    </row>
    <row r="7141">
      <c r="A7141" s="13">
        <f>IF(H7141="","",ROW()-4)</f>
        <v/>
      </c>
      <c r="B7141" s="13">
        <f>IF(H7141="","",ROW()-4)</f>
        <v/>
      </c>
    </row>
    <row r="7142">
      <c r="A7142" s="13">
        <f>IF(H7142="","",ROW()-4)</f>
        <v/>
      </c>
      <c r="B7142" s="13">
        <f>IF(H7142="","",ROW()-4)</f>
        <v/>
      </c>
    </row>
    <row r="7143">
      <c r="A7143" s="13">
        <f>IF(H7143="","",ROW()-4)</f>
        <v/>
      </c>
      <c r="B7143" s="13">
        <f>IF(H7143="","",ROW()-4)</f>
        <v/>
      </c>
    </row>
    <row r="7144">
      <c r="A7144" s="13">
        <f>IF(H7144="","",ROW()-4)</f>
        <v/>
      </c>
      <c r="B7144" s="13">
        <f>IF(H7144="","",ROW()-4)</f>
        <v/>
      </c>
    </row>
    <row r="7145">
      <c r="A7145" s="13">
        <f>IF(H7145="","",ROW()-4)</f>
        <v/>
      </c>
      <c r="B7145" s="13">
        <f>IF(H7145="","",ROW()-4)</f>
        <v/>
      </c>
    </row>
    <row r="7146">
      <c r="A7146" s="13">
        <f>IF(H7146="","",ROW()-4)</f>
        <v/>
      </c>
      <c r="B7146" s="13">
        <f>IF(H7146="","",ROW()-4)</f>
        <v/>
      </c>
    </row>
    <row r="7147">
      <c r="A7147" s="13">
        <f>IF(H7147="","",ROW()-4)</f>
        <v/>
      </c>
      <c r="B7147" s="13">
        <f>IF(H7147="","",ROW()-4)</f>
        <v/>
      </c>
    </row>
    <row r="7148">
      <c r="A7148" s="13">
        <f>IF(H7148="","",ROW()-4)</f>
        <v/>
      </c>
      <c r="B7148" s="13">
        <f>IF(H7148="","",ROW()-4)</f>
        <v/>
      </c>
    </row>
    <row r="7149">
      <c r="A7149" s="13">
        <f>IF(H7149="","",ROW()-4)</f>
        <v/>
      </c>
      <c r="B7149" s="13">
        <f>IF(H7149="","",ROW()-4)</f>
        <v/>
      </c>
    </row>
    <row r="7150">
      <c r="A7150" s="13">
        <f>IF(H7150="","",ROW()-4)</f>
        <v/>
      </c>
      <c r="B7150" s="13">
        <f>IF(H7150="","",ROW()-4)</f>
        <v/>
      </c>
    </row>
    <row r="7151">
      <c r="A7151" s="13">
        <f>IF(H7151="","",ROW()-4)</f>
        <v/>
      </c>
      <c r="B7151" s="13">
        <f>IF(H7151="","",ROW()-4)</f>
        <v/>
      </c>
    </row>
    <row r="7152">
      <c r="A7152" s="13">
        <f>IF(H7152="","",ROW()-4)</f>
        <v/>
      </c>
      <c r="B7152" s="13">
        <f>IF(H7152="","",ROW()-4)</f>
        <v/>
      </c>
    </row>
    <row r="7153">
      <c r="A7153" s="13">
        <f>IF(H7153="","",ROW()-4)</f>
        <v/>
      </c>
      <c r="B7153" s="13">
        <f>IF(H7153="","",ROW()-4)</f>
        <v/>
      </c>
    </row>
    <row r="7154">
      <c r="A7154" s="13">
        <f>IF(H7154="","",ROW()-4)</f>
        <v/>
      </c>
      <c r="B7154" s="13">
        <f>IF(H7154="","",ROW()-4)</f>
        <v/>
      </c>
    </row>
    <row r="7155">
      <c r="A7155" s="13">
        <f>IF(H7155="","",ROW()-4)</f>
        <v/>
      </c>
      <c r="B7155" s="13">
        <f>IF(H7155="","",ROW()-4)</f>
        <v/>
      </c>
    </row>
    <row r="7156">
      <c r="A7156" s="13">
        <f>IF(H7156="","",ROW()-4)</f>
        <v/>
      </c>
      <c r="B7156" s="13">
        <f>IF(H7156="","",ROW()-4)</f>
        <v/>
      </c>
    </row>
    <row r="7157">
      <c r="A7157" s="13">
        <f>IF(H7157="","",ROW()-4)</f>
        <v/>
      </c>
      <c r="B7157" s="13">
        <f>IF(H7157="","",ROW()-4)</f>
        <v/>
      </c>
    </row>
    <row r="7158">
      <c r="A7158" s="13">
        <f>IF(H7158="","",ROW()-4)</f>
        <v/>
      </c>
      <c r="B7158" s="13">
        <f>IF(H7158="","",ROW()-4)</f>
        <v/>
      </c>
    </row>
    <row r="7159">
      <c r="A7159" s="13">
        <f>IF(H7159="","",ROW()-4)</f>
        <v/>
      </c>
      <c r="B7159" s="13">
        <f>IF(H7159="","",ROW()-4)</f>
        <v/>
      </c>
    </row>
    <row r="7160">
      <c r="A7160" s="13">
        <f>IF(H7160="","",ROW()-4)</f>
        <v/>
      </c>
      <c r="B7160" s="13">
        <f>IF(H7160="","",ROW()-4)</f>
        <v/>
      </c>
    </row>
    <row r="7161">
      <c r="A7161" s="13">
        <f>IF(H7161="","",ROW()-4)</f>
        <v/>
      </c>
      <c r="B7161" s="13">
        <f>IF(H7161="","",ROW()-4)</f>
        <v/>
      </c>
    </row>
    <row r="7162">
      <c r="A7162" s="13">
        <f>IF(H7162="","",ROW()-4)</f>
        <v/>
      </c>
      <c r="B7162" s="13">
        <f>IF(H7162="","",ROW()-4)</f>
        <v/>
      </c>
    </row>
    <row r="7163">
      <c r="A7163" s="13">
        <f>IF(H7163="","",ROW()-4)</f>
        <v/>
      </c>
      <c r="B7163" s="13">
        <f>IF(H7163="","",ROW()-4)</f>
        <v/>
      </c>
    </row>
    <row r="7164">
      <c r="A7164" s="13">
        <f>IF(H7164="","",ROW()-4)</f>
        <v/>
      </c>
      <c r="B7164" s="13">
        <f>IF(H7164="","",ROW()-4)</f>
        <v/>
      </c>
    </row>
    <row r="7165">
      <c r="A7165" s="13">
        <f>IF(H7165="","",ROW()-4)</f>
        <v/>
      </c>
      <c r="B7165" s="13">
        <f>IF(H7165="","",ROW()-4)</f>
        <v/>
      </c>
    </row>
    <row r="7166">
      <c r="A7166" s="13">
        <f>IF(H7166="","",ROW()-4)</f>
        <v/>
      </c>
      <c r="B7166" s="13">
        <f>IF(H7166="","",ROW()-4)</f>
        <v/>
      </c>
    </row>
    <row r="7167">
      <c r="A7167" s="13">
        <f>IF(H7167="","",ROW()-4)</f>
        <v/>
      </c>
      <c r="B7167" s="13">
        <f>IF(H7167="","",ROW()-4)</f>
        <v/>
      </c>
    </row>
    <row r="7168">
      <c r="A7168" s="13">
        <f>IF(H7168="","",ROW()-4)</f>
        <v/>
      </c>
      <c r="B7168" s="13">
        <f>IF(H7168="","",ROW()-4)</f>
        <v/>
      </c>
    </row>
    <row r="7169">
      <c r="A7169" s="13">
        <f>IF(H7169="","",ROW()-4)</f>
        <v/>
      </c>
      <c r="B7169" s="13">
        <f>IF(H7169="","",ROW()-4)</f>
        <v/>
      </c>
    </row>
    <row r="7170">
      <c r="A7170" s="13">
        <f>IF(H7170="","",ROW()-4)</f>
        <v/>
      </c>
      <c r="B7170" s="13">
        <f>IF(H7170="","",ROW()-4)</f>
        <v/>
      </c>
    </row>
    <row r="7171">
      <c r="A7171" s="13">
        <f>IF(H7171="","",ROW()-4)</f>
        <v/>
      </c>
      <c r="B7171" s="13">
        <f>IF(H7171="","",ROW()-4)</f>
        <v/>
      </c>
    </row>
    <row r="7172">
      <c r="A7172" s="13">
        <f>IF(H7172="","",ROW()-4)</f>
        <v/>
      </c>
      <c r="B7172" s="13">
        <f>IF(H7172="","",ROW()-4)</f>
        <v/>
      </c>
    </row>
    <row r="7173">
      <c r="A7173" s="13">
        <f>IF(H7173="","",ROW()-4)</f>
        <v/>
      </c>
      <c r="B7173" s="13">
        <f>IF(H7173="","",ROW()-4)</f>
        <v/>
      </c>
    </row>
    <row r="7174">
      <c r="A7174" s="13">
        <f>IF(H7174="","",ROW()-4)</f>
        <v/>
      </c>
      <c r="B7174" s="13">
        <f>IF(H7174="","",ROW()-4)</f>
        <v/>
      </c>
    </row>
    <row r="7175">
      <c r="A7175" s="13">
        <f>IF(H7175="","",ROW()-4)</f>
        <v/>
      </c>
      <c r="B7175" s="13">
        <f>IF(H7175="","",ROW()-4)</f>
        <v/>
      </c>
    </row>
    <row r="7176">
      <c r="A7176" s="13">
        <f>IF(H7176="","",ROW()-4)</f>
        <v/>
      </c>
      <c r="B7176" s="13">
        <f>IF(H7176="","",ROW()-4)</f>
        <v/>
      </c>
    </row>
    <row r="7177">
      <c r="A7177" s="13">
        <f>IF(H7177="","",ROW()-4)</f>
        <v/>
      </c>
      <c r="B7177" s="13">
        <f>IF(H7177="","",ROW()-4)</f>
        <v/>
      </c>
    </row>
    <row r="7178">
      <c r="A7178" s="13">
        <f>IF(H7178="","",ROW()-4)</f>
        <v/>
      </c>
      <c r="B7178" s="13">
        <f>IF(H7178="","",ROW()-4)</f>
        <v/>
      </c>
    </row>
    <row r="7179">
      <c r="A7179" s="13">
        <f>IF(H7179="","",ROW()-4)</f>
        <v/>
      </c>
      <c r="B7179" s="13">
        <f>IF(H7179="","",ROW()-4)</f>
        <v/>
      </c>
    </row>
    <row r="7180">
      <c r="A7180" s="13">
        <f>IF(H7180="","",ROW()-4)</f>
        <v/>
      </c>
      <c r="B7180" s="13">
        <f>IF(H7180="","",ROW()-4)</f>
        <v/>
      </c>
    </row>
    <row r="7181">
      <c r="A7181" s="13">
        <f>IF(H7181="","",ROW()-4)</f>
        <v/>
      </c>
      <c r="B7181" s="13">
        <f>IF(H7181="","",ROW()-4)</f>
        <v/>
      </c>
    </row>
    <row r="7182">
      <c r="A7182" s="13">
        <f>IF(H7182="","",ROW()-4)</f>
        <v/>
      </c>
      <c r="B7182" s="13">
        <f>IF(H7182="","",ROW()-4)</f>
        <v/>
      </c>
    </row>
    <row r="7183">
      <c r="A7183" s="13">
        <f>IF(H7183="","",ROW()-4)</f>
        <v/>
      </c>
      <c r="B7183" s="13">
        <f>IF(H7183="","",ROW()-4)</f>
        <v/>
      </c>
    </row>
    <row r="7184">
      <c r="A7184" s="13">
        <f>IF(H7184="","",ROW()-4)</f>
        <v/>
      </c>
      <c r="B7184" s="13">
        <f>IF(H7184="","",ROW()-4)</f>
        <v/>
      </c>
    </row>
    <row r="7185">
      <c r="A7185" s="13">
        <f>IF(H7185="","",ROW()-4)</f>
        <v/>
      </c>
      <c r="B7185" s="13">
        <f>IF(H7185="","",ROW()-4)</f>
        <v/>
      </c>
    </row>
    <row r="7186">
      <c r="A7186" s="13">
        <f>IF(H7186="","",ROW()-4)</f>
        <v/>
      </c>
      <c r="B7186" s="13">
        <f>IF(H7186="","",ROW()-4)</f>
        <v/>
      </c>
    </row>
    <row r="7187">
      <c r="A7187" s="13">
        <f>IF(H7187="","",ROW()-4)</f>
        <v/>
      </c>
      <c r="B7187" s="13">
        <f>IF(H7187="","",ROW()-4)</f>
        <v/>
      </c>
    </row>
    <row r="7188">
      <c r="A7188" s="13">
        <f>IF(H7188="","",ROW()-4)</f>
        <v/>
      </c>
      <c r="B7188" s="13">
        <f>IF(H7188="","",ROW()-4)</f>
        <v/>
      </c>
    </row>
    <row r="7189">
      <c r="A7189" s="13">
        <f>IF(H7189="","",ROW()-4)</f>
        <v/>
      </c>
      <c r="B7189" s="13">
        <f>IF(H7189="","",ROW()-4)</f>
        <v/>
      </c>
    </row>
    <row r="7190">
      <c r="A7190" s="13">
        <f>IF(H7190="","",ROW()-4)</f>
        <v/>
      </c>
      <c r="B7190" s="13">
        <f>IF(H7190="","",ROW()-4)</f>
        <v/>
      </c>
    </row>
    <row r="7191">
      <c r="A7191" s="13">
        <f>IF(H7191="","",ROW()-4)</f>
        <v/>
      </c>
      <c r="B7191" s="13">
        <f>IF(H7191="","",ROW()-4)</f>
        <v/>
      </c>
    </row>
    <row r="7192">
      <c r="A7192" s="13">
        <f>IF(H7192="","",ROW()-4)</f>
        <v/>
      </c>
      <c r="B7192" s="13">
        <f>IF(H7192="","",ROW()-4)</f>
        <v/>
      </c>
    </row>
    <row r="7193">
      <c r="A7193" s="13">
        <f>IF(H7193="","",ROW()-4)</f>
        <v/>
      </c>
      <c r="B7193" s="13">
        <f>IF(H7193="","",ROW()-4)</f>
        <v/>
      </c>
    </row>
    <row r="7194">
      <c r="A7194" s="13">
        <f>IF(H7194="","",ROW()-4)</f>
        <v/>
      </c>
      <c r="B7194" s="13">
        <f>IF(H7194="","",ROW()-4)</f>
        <v/>
      </c>
    </row>
    <row r="7195">
      <c r="A7195" s="13">
        <f>IF(H7195="","",ROW()-4)</f>
        <v/>
      </c>
      <c r="B7195" s="13">
        <f>IF(H7195="","",ROW()-4)</f>
        <v/>
      </c>
    </row>
    <row r="7196">
      <c r="A7196" s="13">
        <f>IF(H7196="","",ROW()-4)</f>
        <v/>
      </c>
      <c r="B7196" s="13">
        <f>IF(H7196="","",ROW()-4)</f>
        <v/>
      </c>
    </row>
    <row r="7197">
      <c r="A7197" s="13">
        <f>IF(H7197="","",ROW()-4)</f>
        <v/>
      </c>
      <c r="B7197" s="13">
        <f>IF(H7197="","",ROW()-4)</f>
        <v/>
      </c>
    </row>
    <row r="7198">
      <c r="A7198" s="13">
        <f>IF(H7198="","",ROW()-4)</f>
        <v/>
      </c>
      <c r="B7198" s="13">
        <f>IF(H7198="","",ROW()-4)</f>
        <v/>
      </c>
    </row>
    <row r="7199">
      <c r="A7199" s="13">
        <f>IF(H7199="","",ROW()-4)</f>
        <v/>
      </c>
      <c r="B7199" s="13">
        <f>IF(H7199="","",ROW()-4)</f>
        <v/>
      </c>
    </row>
    <row r="7200">
      <c r="A7200" s="13">
        <f>IF(H7200="","",ROW()-4)</f>
        <v/>
      </c>
      <c r="B7200" s="13">
        <f>IF(H7200="","",ROW()-4)</f>
        <v/>
      </c>
    </row>
    <row r="7201">
      <c r="A7201" s="13">
        <f>IF(H7201="","",ROW()-4)</f>
        <v/>
      </c>
      <c r="B7201" s="13">
        <f>IF(H7201="","",ROW()-4)</f>
        <v/>
      </c>
    </row>
    <row r="7202">
      <c r="A7202" s="13">
        <f>IF(H7202="","",ROW()-4)</f>
        <v/>
      </c>
      <c r="B7202" s="13">
        <f>IF(H7202="","",ROW()-4)</f>
        <v/>
      </c>
    </row>
    <row r="7203">
      <c r="A7203" s="13">
        <f>IF(H7203="","",ROW()-4)</f>
        <v/>
      </c>
      <c r="B7203" s="13">
        <f>IF(H7203="","",ROW()-4)</f>
        <v/>
      </c>
    </row>
    <row r="7204">
      <c r="A7204" s="13">
        <f>IF(H7204="","",ROW()-4)</f>
        <v/>
      </c>
      <c r="B7204" s="13">
        <f>IF(H7204="","",ROW()-4)</f>
        <v/>
      </c>
    </row>
    <row r="7205">
      <c r="A7205" s="13">
        <f>IF(H7205="","",ROW()-4)</f>
        <v/>
      </c>
      <c r="B7205" s="13">
        <f>IF(H7205="","",ROW()-4)</f>
        <v/>
      </c>
    </row>
    <row r="7206">
      <c r="A7206" s="13">
        <f>IF(H7206="","",ROW()-4)</f>
        <v/>
      </c>
      <c r="B7206" s="13">
        <f>IF(H7206="","",ROW()-4)</f>
        <v/>
      </c>
    </row>
    <row r="7207">
      <c r="A7207" s="13">
        <f>IF(H7207="","",ROW()-4)</f>
        <v/>
      </c>
      <c r="B7207" s="13">
        <f>IF(H7207="","",ROW()-4)</f>
        <v/>
      </c>
    </row>
    <row r="7208">
      <c r="A7208" s="13">
        <f>IF(H7208="","",ROW()-4)</f>
        <v/>
      </c>
      <c r="B7208" s="13">
        <f>IF(H7208="","",ROW()-4)</f>
        <v/>
      </c>
    </row>
    <row r="7209">
      <c r="A7209" s="13">
        <f>IF(H7209="","",ROW()-4)</f>
        <v/>
      </c>
      <c r="B7209" s="13">
        <f>IF(H7209="","",ROW()-4)</f>
        <v/>
      </c>
    </row>
    <row r="7210">
      <c r="A7210" s="13">
        <f>IF(H7210="","",ROW()-4)</f>
        <v/>
      </c>
      <c r="B7210" s="13">
        <f>IF(H7210="","",ROW()-4)</f>
        <v/>
      </c>
    </row>
    <row r="7211">
      <c r="A7211" s="13">
        <f>IF(H7211="","",ROW()-4)</f>
        <v/>
      </c>
      <c r="B7211" s="13">
        <f>IF(H7211="","",ROW()-4)</f>
        <v/>
      </c>
    </row>
    <row r="7212">
      <c r="A7212" s="13">
        <f>IF(H7212="","",ROW()-4)</f>
        <v/>
      </c>
      <c r="B7212" s="13">
        <f>IF(H7212="","",ROW()-4)</f>
        <v/>
      </c>
    </row>
    <row r="7213">
      <c r="A7213" s="13">
        <f>IF(H7213="","",ROW()-4)</f>
        <v/>
      </c>
      <c r="B7213" s="13">
        <f>IF(H7213="","",ROW()-4)</f>
        <v/>
      </c>
    </row>
    <row r="7214">
      <c r="A7214" s="13">
        <f>IF(H7214="","",ROW()-4)</f>
        <v/>
      </c>
      <c r="B7214" s="13">
        <f>IF(H7214="","",ROW()-4)</f>
        <v/>
      </c>
    </row>
    <row r="7215">
      <c r="A7215" s="13">
        <f>IF(H7215="","",ROW()-4)</f>
        <v/>
      </c>
      <c r="B7215" s="13">
        <f>IF(H7215="","",ROW()-4)</f>
        <v/>
      </c>
    </row>
    <row r="7216">
      <c r="A7216" s="13">
        <f>IF(H7216="","",ROW()-4)</f>
        <v/>
      </c>
      <c r="B7216" s="13">
        <f>IF(H7216="","",ROW()-4)</f>
        <v/>
      </c>
    </row>
    <row r="7217">
      <c r="A7217" s="13">
        <f>IF(H7217="","",ROW()-4)</f>
        <v/>
      </c>
      <c r="B7217" s="13">
        <f>IF(H7217="","",ROW()-4)</f>
        <v/>
      </c>
    </row>
    <row r="7218">
      <c r="A7218" s="13">
        <f>IF(H7218="","",ROW()-4)</f>
        <v/>
      </c>
      <c r="B7218" s="13">
        <f>IF(H7218="","",ROW()-4)</f>
        <v/>
      </c>
    </row>
    <row r="7219">
      <c r="A7219" s="13">
        <f>IF(H7219="","",ROW()-4)</f>
        <v/>
      </c>
      <c r="B7219" s="13">
        <f>IF(H7219="","",ROW()-4)</f>
        <v/>
      </c>
    </row>
    <row r="7220">
      <c r="A7220" s="13">
        <f>IF(H7220="","",ROW()-4)</f>
        <v/>
      </c>
      <c r="B7220" s="13">
        <f>IF(H7220="","",ROW()-4)</f>
        <v/>
      </c>
    </row>
    <row r="7221">
      <c r="A7221" s="13">
        <f>IF(H7221="","",ROW()-4)</f>
        <v/>
      </c>
      <c r="B7221" s="13">
        <f>IF(H7221="","",ROW()-4)</f>
        <v/>
      </c>
    </row>
    <row r="7222">
      <c r="A7222" s="13">
        <f>IF(H7222="","",ROW()-4)</f>
        <v/>
      </c>
      <c r="B7222" s="13">
        <f>IF(H7222="","",ROW()-4)</f>
        <v/>
      </c>
    </row>
    <row r="7223">
      <c r="A7223" s="13">
        <f>IF(H7223="","",ROW()-4)</f>
        <v/>
      </c>
      <c r="B7223" s="13">
        <f>IF(H7223="","",ROW()-4)</f>
        <v/>
      </c>
    </row>
    <row r="7224">
      <c r="A7224" s="13">
        <f>IF(H7224="","",ROW()-4)</f>
        <v/>
      </c>
      <c r="B7224" s="13">
        <f>IF(H7224="","",ROW()-4)</f>
        <v/>
      </c>
    </row>
    <row r="7225">
      <c r="A7225" s="13">
        <f>IF(H7225="","",ROW()-4)</f>
        <v/>
      </c>
      <c r="B7225" s="13">
        <f>IF(H7225="","",ROW()-4)</f>
        <v/>
      </c>
    </row>
    <row r="7226">
      <c r="A7226" s="13">
        <f>IF(H7226="","",ROW()-4)</f>
        <v/>
      </c>
      <c r="B7226" s="13">
        <f>IF(H7226="","",ROW()-4)</f>
        <v/>
      </c>
    </row>
    <row r="7227">
      <c r="A7227" s="13">
        <f>IF(H7227="","",ROW()-4)</f>
        <v/>
      </c>
      <c r="B7227" s="13">
        <f>IF(H7227="","",ROW()-4)</f>
        <v/>
      </c>
    </row>
    <row r="7228">
      <c r="A7228" s="13">
        <f>IF(H7228="","",ROW()-4)</f>
        <v/>
      </c>
      <c r="B7228" s="13">
        <f>IF(H7228="","",ROW()-4)</f>
        <v/>
      </c>
    </row>
    <row r="7229">
      <c r="A7229" s="13">
        <f>IF(H7229="","",ROW()-4)</f>
        <v/>
      </c>
      <c r="B7229" s="13">
        <f>IF(H7229="","",ROW()-4)</f>
        <v/>
      </c>
    </row>
    <row r="7230">
      <c r="A7230" s="13">
        <f>IF(H7230="","",ROW()-4)</f>
        <v/>
      </c>
      <c r="B7230" s="13">
        <f>IF(H7230="","",ROW()-4)</f>
        <v/>
      </c>
    </row>
    <row r="7231">
      <c r="A7231" s="13">
        <f>IF(H7231="","",ROW()-4)</f>
        <v/>
      </c>
      <c r="B7231" s="13">
        <f>IF(H7231="","",ROW()-4)</f>
        <v/>
      </c>
    </row>
    <row r="7232">
      <c r="A7232" s="13">
        <f>IF(H7232="","",ROW()-4)</f>
        <v/>
      </c>
      <c r="B7232" s="13">
        <f>IF(H7232="","",ROW()-4)</f>
        <v/>
      </c>
    </row>
    <row r="7233">
      <c r="A7233" s="13">
        <f>IF(H7233="","",ROW()-4)</f>
        <v/>
      </c>
      <c r="B7233" s="13">
        <f>IF(H7233="","",ROW()-4)</f>
        <v/>
      </c>
    </row>
    <row r="7234">
      <c r="A7234" s="13">
        <f>IF(H7234="","",ROW()-4)</f>
        <v/>
      </c>
      <c r="B7234" s="13">
        <f>IF(H7234="","",ROW()-4)</f>
        <v/>
      </c>
    </row>
    <row r="7235">
      <c r="A7235" s="13">
        <f>IF(H7235="","",ROW()-4)</f>
        <v/>
      </c>
      <c r="B7235" s="13">
        <f>IF(H7235="","",ROW()-4)</f>
        <v/>
      </c>
    </row>
    <row r="7236">
      <c r="A7236" s="13">
        <f>IF(H7236="","",ROW()-4)</f>
        <v/>
      </c>
      <c r="B7236" s="13">
        <f>IF(H7236="","",ROW()-4)</f>
        <v/>
      </c>
    </row>
    <row r="7237">
      <c r="A7237" s="13">
        <f>IF(H7237="","",ROW()-4)</f>
        <v/>
      </c>
      <c r="B7237" s="13">
        <f>IF(H7237="","",ROW()-4)</f>
        <v/>
      </c>
    </row>
    <row r="7238">
      <c r="A7238" s="13">
        <f>IF(H7238="","",ROW()-4)</f>
        <v/>
      </c>
      <c r="B7238" s="13">
        <f>IF(H7238="","",ROW()-4)</f>
        <v/>
      </c>
    </row>
    <row r="7239">
      <c r="A7239" s="13">
        <f>IF(H7239="","",ROW()-4)</f>
        <v/>
      </c>
      <c r="B7239" s="13">
        <f>IF(H7239="","",ROW()-4)</f>
        <v/>
      </c>
    </row>
    <row r="7240">
      <c r="A7240" s="13">
        <f>IF(H7240="","",ROW()-4)</f>
        <v/>
      </c>
      <c r="B7240" s="13">
        <f>IF(H7240="","",ROW()-4)</f>
        <v/>
      </c>
    </row>
    <row r="7241">
      <c r="A7241" s="13">
        <f>IF(H7241="","",ROW()-4)</f>
        <v/>
      </c>
      <c r="B7241" s="13">
        <f>IF(H7241="","",ROW()-4)</f>
        <v/>
      </c>
    </row>
    <row r="7242">
      <c r="A7242" s="13">
        <f>IF(H7242="","",ROW()-4)</f>
        <v/>
      </c>
      <c r="B7242" s="13">
        <f>IF(H7242="","",ROW()-4)</f>
        <v/>
      </c>
    </row>
    <row r="7243">
      <c r="A7243" s="13">
        <f>IF(H7243="","",ROW()-4)</f>
        <v/>
      </c>
      <c r="B7243" s="13">
        <f>IF(H7243="","",ROW()-4)</f>
        <v/>
      </c>
    </row>
    <row r="7244">
      <c r="A7244" s="13">
        <f>IF(H7244="","",ROW()-4)</f>
        <v/>
      </c>
      <c r="B7244" s="13">
        <f>IF(H7244="","",ROW()-4)</f>
        <v/>
      </c>
    </row>
    <row r="7245">
      <c r="A7245" s="13">
        <f>IF(H7245="","",ROW()-4)</f>
        <v/>
      </c>
      <c r="B7245" s="13">
        <f>IF(H7245="","",ROW()-4)</f>
        <v/>
      </c>
    </row>
    <row r="7246">
      <c r="A7246" s="13">
        <f>IF(H7246="","",ROW()-4)</f>
        <v/>
      </c>
      <c r="B7246" s="13">
        <f>IF(H7246="","",ROW()-4)</f>
        <v/>
      </c>
    </row>
    <row r="7247">
      <c r="A7247" s="13">
        <f>IF(H7247="","",ROW()-4)</f>
        <v/>
      </c>
      <c r="B7247" s="13">
        <f>IF(H7247="","",ROW()-4)</f>
        <v/>
      </c>
    </row>
    <row r="7248">
      <c r="A7248" s="13">
        <f>IF(H7248="","",ROW()-4)</f>
        <v/>
      </c>
      <c r="B7248" s="13">
        <f>IF(H7248="","",ROW()-4)</f>
        <v/>
      </c>
    </row>
    <row r="7249">
      <c r="A7249" s="13">
        <f>IF(H7249="","",ROW()-4)</f>
        <v/>
      </c>
      <c r="B7249" s="13">
        <f>IF(H7249="","",ROW()-4)</f>
        <v/>
      </c>
    </row>
    <row r="7250">
      <c r="A7250" s="13">
        <f>IF(H7250="","",ROW()-4)</f>
        <v/>
      </c>
      <c r="B7250" s="13">
        <f>IF(H7250="","",ROW()-4)</f>
        <v/>
      </c>
    </row>
    <row r="7251">
      <c r="A7251" s="13">
        <f>IF(H7251="","",ROW()-4)</f>
        <v/>
      </c>
      <c r="B7251" s="13">
        <f>IF(H7251="","",ROW()-4)</f>
        <v/>
      </c>
    </row>
    <row r="7252">
      <c r="A7252" s="13">
        <f>IF(H7252="","",ROW()-4)</f>
        <v/>
      </c>
      <c r="B7252" s="13">
        <f>IF(H7252="","",ROW()-4)</f>
        <v/>
      </c>
    </row>
    <row r="7253">
      <c r="A7253" s="13">
        <f>IF(H7253="","",ROW()-4)</f>
        <v/>
      </c>
      <c r="B7253" s="13">
        <f>IF(H7253="","",ROW()-4)</f>
        <v/>
      </c>
    </row>
    <row r="7254">
      <c r="A7254" s="13">
        <f>IF(H7254="","",ROW()-4)</f>
        <v/>
      </c>
      <c r="B7254" s="13">
        <f>IF(H7254="","",ROW()-4)</f>
        <v/>
      </c>
    </row>
    <row r="7255">
      <c r="A7255" s="13">
        <f>IF(H7255="","",ROW()-4)</f>
        <v/>
      </c>
      <c r="B7255" s="13">
        <f>IF(H7255="","",ROW()-4)</f>
        <v/>
      </c>
    </row>
    <row r="7256">
      <c r="A7256" s="13">
        <f>IF(H7256="","",ROW()-4)</f>
        <v/>
      </c>
      <c r="B7256" s="13">
        <f>IF(H7256="","",ROW()-4)</f>
        <v/>
      </c>
    </row>
    <row r="7257">
      <c r="A7257" s="13">
        <f>IF(H7257="","",ROW()-4)</f>
        <v/>
      </c>
      <c r="B7257" s="13">
        <f>IF(H7257="","",ROW()-4)</f>
        <v/>
      </c>
    </row>
    <row r="7258">
      <c r="A7258" s="13">
        <f>IF(H7258="","",ROW()-4)</f>
        <v/>
      </c>
      <c r="B7258" s="13">
        <f>IF(H7258="","",ROW()-4)</f>
        <v/>
      </c>
    </row>
    <row r="7259">
      <c r="A7259" s="13">
        <f>IF(H7259="","",ROW()-4)</f>
        <v/>
      </c>
      <c r="B7259" s="13">
        <f>IF(H7259="","",ROW()-4)</f>
        <v/>
      </c>
    </row>
    <row r="7260">
      <c r="A7260" s="13">
        <f>IF(H7260="","",ROW()-4)</f>
        <v/>
      </c>
      <c r="B7260" s="13">
        <f>IF(H7260="","",ROW()-4)</f>
        <v/>
      </c>
    </row>
    <row r="7261">
      <c r="A7261" s="13">
        <f>IF(H7261="","",ROW()-4)</f>
        <v/>
      </c>
      <c r="B7261" s="13">
        <f>IF(H7261="","",ROW()-4)</f>
        <v/>
      </c>
    </row>
    <row r="7262">
      <c r="A7262" s="13">
        <f>IF(H7262="","",ROW()-4)</f>
        <v/>
      </c>
      <c r="B7262" s="13">
        <f>IF(H7262="","",ROW()-4)</f>
        <v/>
      </c>
    </row>
    <row r="7263">
      <c r="A7263" s="13">
        <f>IF(H7263="","",ROW()-4)</f>
        <v/>
      </c>
      <c r="B7263" s="13">
        <f>IF(H7263="","",ROW()-4)</f>
        <v/>
      </c>
    </row>
    <row r="7264">
      <c r="A7264" s="13">
        <f>IF(H7264="","",ROW()-4)</f>
        <v/>
      </c>
      <c r="B7264" s="13">
        <f>IF(H7264="","",ROW()-4)</f>
        <v/>
      </c>
    </row>
    <row r="7265">
      <c r="A7265" s="13">
        <f>IF(H7265="","",ROW()-4)</f>
        <v/>
      </c>
      <c r="B7265" s="13">
        <f>IF(H7265="","",ROW()-4)</f>
        <v/>
      </c>
    </row>
    <row r="7266">
      <c r="A7266" s="13">
        <f>IF(H7266="","",ROW()-4)</f>
        <v/>
      </c>
      <c r="B7266" s="13">
        <f>IF(H7266="","",ROW()-4)</f>
        <v/>
      </c>
    </row>
    <row r="7267">
      <c r="A7267" s="13">
        <f>IF(H7267="","",ROW()-4)</f>
        <v/>
      </c>
      <c r="B7267" s="13">
        <f>IF(H7267="","",ROW()-4)</f>
        <v/>
      </c>
    </row>
    <row r="7268">
      <c r="A7268" s="13">
        <f>IF(H7268="","",ROW()-4)</f>
        <v/>
      </c>
      <c r="B7268" s="13">
        <f>IF(H7268="","",ROW()-4)</f>
        <v/>
      </c>
    </row>
    <row r="7269">
      <c r="A7269" s="13">
        <f>IF(H7269="","",ROW()-4)</f>
        <v/>
      </c>
      <c r="B7269" s="13">
        <f>IF(H7269="","",ROW()-4)</f>
        <v/>
      </c>
    </row>
    <row r="7270">
      <c r="A7270" s="13">
        <f>IF(H7270="","",ROW()-4)</f>
        <v/>
      </c>
      <c r="B7270" s="13">
        <f>IF(H7270="","",ROW()-4)</f>
        <v/>
      </c>
    </row>
    <row r="7271">
      <c r="A7271" s="13">
        <f>IF(H7271="","",ROW()-4)</f>
        <v/>
      </c>
      <c r="B7271" s="13">
        <f>IF(H7271="","",ROW()-4)</f>
        <v/>
      </c>
    </row>
    <row r="7272">
      <c r="A7272" s="13">
        <f>IF(H7272="","",ROW()-4)</f>
        <v/>
      </c>
      <c r="B7272" s="13">
        <f>IF(H7272="","",ROW()-4)</f>
        <v/>
      </c>
    </row>
    <row r="7273">
      <c r="A7273" s="13">
        <f>IF(H7273="","",ROW()-4)</f>
        <v/>
      </c>
      <c r="B7273" s="13">
        <f>IF(H7273="","",ROW()-4)</f>
        <v/>
      </c>
    </row>
    <row r="7274">
      <c r="A7274" s="13">
        <f>IF(H7274="","",ROW()-4)</f>
        <v/>
      </c>
      <c r="B7274" s="13">
        <f>IF(H7274="","",ROW()-4)</f>
        <v/>
      </c>
    </row>
    <row r="7275">
      <c r="A7275" s="13">
        <f>IF(H7275="","",ROW()-4)</f>
        <v/>
      </c>
      <c r="B7275" s="13">
        <f>IF(H7275="","",ROW()-4)</f>
        <v/>
      </c>
    </row>
    <row r="7276">
      <c r="A7276" s="13">
        <f>IF(H7276="","",ROW()-4)</f>
        <v/>
      </c>
      <c r="B7276" s="13">
        <f>IF(H7276="","",ROW()-4)</f>
        <v/>
      </c>
    </row>
    <row r="7277">
      <c r="A7277" s="13">
        <f>IF(H7277="","",ROW()-4)</f>
        <v/>
      </c>
      <c r="B7277" s="13">
        <f>IF(H7277="","",ROW()-4)</f>
        <v/>
      </c>
    </row>
    <row r="7278">
      <c r="A7278" s="13">
        <f>IF(H7278="","",ROW()-4)</f>
        <v/>
      </c>
      <c r="B7278" s="13">
        <f>IF(H7278="","",ROW()-4)</f>
        <v/>
      </c>
    </row>
    <row r="7279">
      <c r="A7279" s="13">
        <f>IF(H7279="","",ROW()-4)</f>
        <v/>
      </c>
      <c r="B7279" s="13">
        <f>IF(H7279="","",ROW()-4)</f>
        <v/>
      </c>
    </row>
    <row r="7280">
      <c r="A7280" s="13">
        <f>IF(H7280="","",ROW()-4)</f>
        <v/>
      </c>
      <c r="B7280" s="13">
        <f>IF(H7280="","",ROW()-4)</f>
        <v/>
      </c>
    </row>
    <row r="7281">
      <c r="A7281" s="13">
        <f>IF(H7281="","",ROW()-4)</f>
        <v/>
      </c>
      <c r="B7281" s="13">
        <f>IF(H7281="","",ROW()-4)</f>
        <v/>
      </c>
    </row>
    <row r="7282">
      <c r="A7282" s="13">
        <f>IF(H7282="","",ROW()-4)</f>
        <v/>
      </c>
      <c r="B7282" s="13">
        <f>IF(H7282="","",ROW()-4)</f>
        <v/>
      </c>
    </row>
    <row r="7283">
      <c r="A7283" s="13">
        <f>IF(H7283="","",ROW()-4)</f>
        <v/>
      </c>
      <c r="B7283" s="13">
        <f>IF(H7283="","",ROW()-4)</f>
        <v/>
      </c>
    </row>
    <row r="7284">
      <c r="A7284" s="13">
        <f>IF(H7284="","",ROW()-4)</f>
        <v/>
      </c>
      <c r="B7284" s="13">
        <f>IF(H7284="","",ROW()-4)</f>
        <v/>
      </c>
    </row>
    <row r="7285">
      <c r="A7285" s="13">
        <f>IF(H7285="","",ROW()-4)</f>
        <v/>
      </c>
      <c r="B7285" s="13">
        <f>IF(H7285="","",ROW()-4)</f>
        <v/>
      </c>
    </row>
    <row r="7286">
      <c r="A7286" s="13">
        <f>IF(H7286="","",ROW()-4)</f>
        <v/>
      </c>
      <c r="B7286" s="13">
        <f>IF(H7286="","",ROW()-4)</f>
        <v/>
      </c>
    </row>
    <row r="7287">
      <c r="A7287" s="13">
        <f>IF(H7287="","",ROW()-4)</f>
        <v/>
      </c>
      <c r="B7287" s="13">
        <f>IF(H7287="","",ROW()-4)</f>
        <v/>
      </c>
    </row>
    <row r="7288">
      <c r="A7288" s="13">
        <f>IF(H7288="","",ROW()-4)</f>
        <v/>
      </c>
      <c r="B7288" s="13">
        <f>IF(H7288="","",ROW()-4)</f>
        <v/>
      </c>
    </row>
    <row r="7289">
      <c r="A7289" s="13">
        <f>IF(H7289="","",ROW()-4)</f>
        <v/>
      </c>
      <c r="B7289" s="13">
        <f>IF(H7289="","",ROW()-4)</f>
        <v/>
      </c>
    </row>
    <row r="7290">
      <c r="A7290" s="13">
        <f>IF(H7290="","",ROW()-4)</f>
        <v/>
      </c>
      <c r="B7290" s="13">
        <f>IF(H7290="","",ROW()-4)</f>
        <v/>
      </c>
    </row>
    <row r="7291">
      <c r="A7291" s="13">
        <f>IF(H7291="","",ROW()-4)</f>
        <v/>
      </c>
      <c r="B7291" s="13">
        <f>IF(H7291="","",ROW()-4)</f>
        <v/>
      </c>
    </row>
    <row r="7292">
      <c r="A7292" s="13">
        <f>IF(H7292="","",ROW()-4)</f>
        <v/>
      </c>
      <c r="B7292" s="13">
        <f>IF(H7292="","",ROW()-4)</f>
        <v/>
      </c>
    </row>
    <row r="7293">
      <c r="A7293" s="13">
        <f>IF(H7293="","",ROW()-4)</f>
        <v/>
      </c>
      <c r="B7293" s="13">
        <f>IF(H7293="","",ROW()-4)</f>
        <v/>
      </c>
    </row>
    <row r="7294">
      <c r="A7294" s="13">
        <f>IF(H7294="","",ROW()-4)</f>
        <v/>
      </c>
      <c r="B7294" s="13">
        <f>IF(H7294="","",ROW()-4)</f>
        <v/>
      </c>
    </row>
    <row r="7295">
      <c r="A7295" s="13">
        <f>IF(H7295="","",ROW()-4)</f>
        <v/>
      </c>
      <c r="B7295" s="13">
        <f>IF(H7295="","",ROW()-4)</f>
        <v/>
      </c>
    </row>
    <row r="7296">
      <c r="A7296" s="13">
        <f>IF(H7296="","",ROW()-4)</f>
        <v/>
      </c>
      <c r="B7296" s="13">
        <f>IF(H7296="","",ROW()-4)</f>
        <v/>
      </c>
    </row>
    <row r="7297">
      <c r="A7297" s="13">
        <f>IF(H7297="","",ROW()-4)</f>
        <v/>
      </c>
      <c r="B7297" s="13">
        <f>IF(H7297="","",ROW()-4)</f>
        <v/>
      </c>
    </row>
    <row r="7298">
      <c r="A7298" s="13">
        <f>IF(H7298="","",ROW()-4)</f>
        <v/>
      </c>
      <c r="B7298" s="13">
        <f>IF(H7298="","",ROW()-4)</f>
        <v/>
      </c>
    </row>
    <row r="7299">
      <c r="A7299" s="13">
        <f>IF(H7299="","",ROW()-4)</f>
        <v/>
      </c>
      <c r="B7299" s="13">
        <f>IF(H7299="","",ROW()-4)</f>
        <v/>
      </c>
    </row>
    <row r="7300">
      <c r="A7300" s="13">
        <f>IF(H7300="","",ROW()-4)</f>
        <v/>
      </c>
      <c r="B7300" s="13">
        <f>IF(H7300="","",ROW()-4)</f>
        <v/>
      </c>
    </row>
    <row r="7301">
      <c r="A7301" s="13">
        <f>IF(H7301="","",ROW()-4)</f>
        <v/>
      </c>
      <c r="B7301" s="13">
        <f>IF(H7301="","",ROW()-4)</f>
        <v/>
      </c>
    </row>
    <row r="7302">
      <c r="A7302" s="13">
        <f>IF(H7302="","",ROW()-4)</f>
        <v/>
      </c>
      <c r="B7302" s="13">
        <f>IF(H7302="","",ROW()-4)</f>
        <v/>
      </c>
    </row>
    <row r="7303">
      <c r="A7303" s="13">
        <f>IF(H7303="","",ROW()-4)</f>
        <v/>
      </c>
      <c r="B7303" s="13">
        <f>IF(H7303="","",ROW()-4)</f>
        <v/>
      </c>
    </row>
    <row r="7304">
      <c r="A7304" s="13">
        <f>IF(H7304="","",ROW()-4)</f>
        <v/>
      </c>
      <c r="B7304" s="13">
        <f>IF(H7304="","",ROW()-4)</f>
        <v/>
      </c>
    </row>
    <row r="7305">
      <c r="A7305" s="13">
        <f>IF(H7305="","",ROW()-4)</f>
        <v/>
      </c>
      <c r="B7305" s="13">
        <f>IF(H7305="","",ROW()-4)</f>
        <v/>
      </c>
    </row>
    <row r="7306">
      <c r="A7306" s="13">
        <f>IF(H7306="","",ROW()-4)</f>
        <v/>
      </c>
      <c r="B7306" s="13">
        <f>IF(H7306="","",ROW()-4)</f>
        <v/>
      </c>
    </row>
    <row r="7307">
      <c r="A7307" s="13">
        <f>IF(H7307="","",ROW()-4)</f>
        <v/>
      </c>
      <c r="B7307" s="13">
        <f>IF(H7307="","",ROW()-4)</f>
        <v/>
      </c>
    </row>
    <row r="7308">
      <c r="A7308" s="13">
        <f>IF(H7308="","",ROW()-4)</f>
        <v/>
      </c>
      <c r="B7308" s="13">
        <f>IF(H7308="","",ROW()-4)</f>
        <v/>
      </c>
    </row>
    <row r="7309">
      <c r="A7309" s="13">
        <f>IF(H7309="","",ROW()-4)</f>
        <v/>
      </c>
      <c r="B7309" s="13">
        <f>IF(H7309="","",ROW()-4)</f>
        <v/>
      </c>
    </row>
    <row r="7310">
      <c r="A7310" s="13">
        <f>IF(H7310="","",ROW()-4)</f>
        <v/>
      </c>
      <c r="B7310" s="13">
        <f>IF(H7310="","",ROW()-4)</f>
        <v/>
      </c>
    </row>
    <row r="7311">
      <c r="A7311" s="13">
        <f>IF(H7311="","",ROW()-4)</f>
        <v/>
      </c>
      <c r="B7311" s="13">
        <f>IF(H7311="","",ROW()-4)</f>
        <v/>
      </c>
    </row>
    <row r="7312">
      <c r="A7312" s="13">
        <f>IF(H7312="","",ROW()-4)</f>
        <v/>
      </c>
      <c r="B7312" s="13">
        <f>IF(H7312="","",ROW()-4)</f>
        <v/>
      </c>
    </row>
    <row r="7313">
      <c r="A7313" s="13">
        <f>IF(H7313="","",ROW()-4)</f>
        <v/>
      </c>
      <c r="B7313" s="13">
        <f>IF(H7313="","",ROW()-4)</f>
        <v/>
      </c>
    </row>
    <row r="7314">
      <c r="A7314" s="13">
        <f>IF(H7314="","",ROW()-4)</f>
        <v/>
      </c>
      <c r="B7314" s="13">
        <f>IF(H7314="","",ROW()-4)</f>
        <v/>
      </c>
    </row>
    <row r="7315">
      <c r="A7315" s="13">
        <f>IF(H7315="","",ROW()-4)</f>
        <v/>
      </c>
      <c r="B7315" s="13">
        <f>IF(H7315="","",ROW()-4)</f>
        <v/>
      </c>
    </row>
    <row r="7316">
      <c r="A7316" s="13">
        <f>IF(H7316="","",ROW()-4)</f>
        <v/>
      </c>
      <c r="B7316" s="13">
        <f>IF(H7316="","",ROW()-4)</f>
        <v/>
      </c>
    </row>
    <row r="7317">
      <c r="A7317" s="13">
        <f>IF(H7317="","",ROW()-4)</f>
        <v/>
      </c>
      <c r="B7317" s="13">
        <f>IF(H7317="","",ROW()-4)</f>
        <v/>
      </c>
    </row>
    <row r="7318">
      <c r="A7318" s="13">
        <f>IF(H7318="","",ROW()-4)</f>
        <v/>
      </c>
      <c r="B7318" s="13">
        <f>IF(H7318="","",ROW()-4)</f>
        <v/>
      </c>
    </row>
    <row r="7319">
      <c r="A7319" s="13">
        <f>IF(H7319="","",ROW()-4)</f>
        <v/>
      </c>
      <c r="B7319" s="13">
        <f>IF(H7319="","",ROW()-4)</f>
        <v/>
      </c>
    </row>
    <row r="7320">
      <c r="A7320" s="13">
        <f>IF(H7320="","",ROW()-4)</f>
        <v/>
      </c>
      <c r="B7320" s="13">
        <f>IF(H7320="","",ROW()-4)</f>
        <v/>
      </c>
    </row>
    <row r="7321">
      <c r="A7321" s="13">
        <f>IF(H7321="","",ROW()-4)</f>
        <v/>
      </c>
      <c r="B7321" s="13">
        <f>IF(H7321="","",ROW()-4)</f>
        <v/>
      </c>
    </row>
    <row r="7322">
      <c r="A7322" s="13">
        <f>IF(H7322="","",ROW()-4)</f>
        <v/>
      </c>
      <c r="B7322" s="13">
        <f>IF(H7322="","",ROW()-4)</f>
        <v/>
      </c>
    </row>
    <row r="7323">
      <c r="A7323" s="13">
        <f>IF(H7323="","",ROW()-4)</f>
        <v/>
      </c>
      <c r="B7323" s="13">
        <f>IF(H7323="","",ROW()-4)</f>
        <v/>
      </c>
    </row>
    <row r="7324">
      <c r="A7324" s="13">
        <f>IF(H7324="","",ROW()-4)</f>
        <v/>
      </c>
      <c r="B7324" s="13">
        <f>IF(H7324="","",ROW()-4)</f>
        <v/>
      </c>
    </row>
    <row r="7325">
      <c r="A7325" s="13">
        <f>IF(H7325="","",ROW()-4)</f>
        <v/>
      </c>
      <c r="B7325" s="13">
        <f>IF(H7325="","",ROW()-4)</f>
        <v/>
      </c>
    </row>
    <row r="7326">
      <c r="A7326" s="13">
        <f>IF(H7326="","",ROW()-4)</f>
        <v/>
      </c>
      <c r="B7326" s="13">
        <f>IF(H7326="","",ROW()-4)</f>
        <v/>
      </c>
    </row>
    <row r="7327">
      <c r="A7327" s="13">
        <f>IF(H7327="","",ROW()-4)</f>
        <v/>
      </c>
      <c r="B7327" s="13">
        <f>IF(H7327="","",ROW()-4)</f>
        <v/>
      </c>
    </row>
    <row r="7328">
      <c r="A7328" s="13">
        <f>IF(H7328="","",ROW()-4)</f>
        <v/>
      </c>
      <c r="B7328" s="13">
        <f>IF(H7328="","",ROW()-4)</f>
        <v/>
      </c>
    </row>
    <row r="7329">
      <c r="A7329" s="13">
        <f>IF(H7329="","",ROW()-4)</f>
        <v/>
      </c>
      <c r="B7329" s="13">
        <f>IF(H7329="","",ROW()-4)</f>
        <v/>
      </c>
    </row>
    <row r="7330">
      <c r="A7330" s="13">
        <f>IF(H7330="","",ROW()-4)</f>
        <v/>
      </c>
      <c r="B7330" s="13">
        <f>IF(H7330="","",ROW()-4)</f>
        <v/>
      </c>
    </row>
    <row r="7331">
      <c r="A7331" s="13">
        <f>IF(H7331="","",ROW()-4)</f>
        <v/>
      </c>
      <c r="B7331" s="13">
        <f>IF(H7331="","",ROW()-4)</f>
        <v/>
      </c>
    </row>
    <row r="7332">
      <c r="A7332" s="13">
        <f>IF(H7332="","",ROW()-4)</f>
        <v/>
      </c>
      <c r="B7332" s="13">
        <f>IF(H7332="","",ROW()-4)</f>
        <v/>
      </c>
    </row>
    <row r="7333">
      <c r="A7333" s="13">
        <f>IF(H7333="","",ROW()-4)</f>
        <v/>
      </c>
      <c r="B7333" s="13">
        <f>IF(H7333="","",ROW()-4)</f>
        <v/>
      </c>
    </row>
    <row r="7334">
      <c r="A7334" s="13">
        <f>IF(H7334="","",ROW()-4)</f>
        <v/>
      </c>
      <c r="B7334" s="13">
        <f>IF(H7334="","",ROW()-4)</f>
        <v/>
      </c>
    </row>
    <row r="7335">
      <c r="A7335" s="13">
        <f>IF(H7335="","",ROW()-4)</f>
        <v/>
      </c>
      <c r="B7335" s="13">
        <f>IF(H7335="","",ROW()-4)</f>
        <v/>
      </c>
    </row>
    <row r="7336">
      <c r="A7336" s="13">
        <f>IF(H7336="","",ROW()-4)</f>
        <v/>
      </c>
      <c r="B7336" s="13">
        <f>IF(H7336="","",ROW()-4)</f>
        <v/>
      </c>
    </row>
    <row r="7337">
      <c r="A7337" s="13">
        <f>IF(H7337="","",ROW()-4)</f>
        <v/>
      </c>
      <c r="B7337" s="13">
        <f>IF(H7337="","",ROW()-4)</f>
        <v/>
      </c>
    </row>
    <row r="7338">
      <c r="A7338" s="13">
        <f>IF(H7338="","",ROW()-4)</f>
        <v/>
      </c>
      <c r="B7338" s="13">
        <f>IF(H7338="","",ROW()-4)</f>
        <v/>
      </c>
    </row>
    <row r="7339">
      <c r="A7339" s="13">
        <f>IF(H7339="","",ROW()-4)</f>
        <v/>
      </c>
      <c r="B7339" s="13">
        <f>IF(H7339="","",ROW()-4)</f>
        <v/>
      </c>
    </row>
    <row r="7340">
      <c r="A7340" s="13">
        <f>IF(H7340="","",ROW()-4)</f>
        <v/>
      </c>
      <c r="B7340" s="13">
        <f>IF(H7340="","",ROW()-4)</f>
        <v/>
      </c>
    </row>
    <row r="7341">
      <c r="A7341" s="13">
        <f>IF(H7341="","",ROW()-4)</f>
        <v/>
      </c>
      <c r="B7341" s="13">
        <f>IF(H7341="","",ROW()-4)</f>
        <v/>
      </c>
    </row>
    <row r="7342">
      <c r="A7342" s="13">
        <f>IF(H7342="","",ROW()-4)</f>
        <v/>
      </c>
      <c r="B7342" s="13">
        <f>IF(H7342="","",ROW()-4)</f>
        <v/>
      </c>
    </row>
    <row r="7343">
      <c r="A7343" s="13">
        <f>IF(H7343="","",ROW()-4)</f>
        <v/>
      </c>
      <c r="B7343" s="13">
        <f>IF(H7343="","",ROW()-4)</f>
        <v/>
      </c>
    </row>
    <row r="7344">
      <c r="A7344" s="13">
        <f>IF(H7344="","",ROW()-4)</f>
        <v/>
      </c>
      <c r="B7344" s="13">
        <f>IF(H7344="","",ROW()-4)</f>
        <v/>
      </c>
    </row>
    <row r="7345">
      <c r="A7345" s="13">
        <f>IF(H7345="","",ROW()-4)</f>
        <v/>
      </c>
      <c r="B7345" s="13">
        <f>IF(H7345="","",ROW()-4)</f>
        <v/>
      </c>
    </row>
    <row r="7346">
      <c r="A7346" s="13">
        <f>IF(H7346="","",ROW()-4)</f>
        <v/>
      </c>
      <c r="B7346" s="13">
        <f>IF(H7346="","",ROW()-4)</f>
        <v/>
      </c>
    </row>
    <row r="7347">
      <c r="A7347" s="13">
        <f>IF(H7347="","",ROW()-4)</f>
        <v/>
      </c>
      <c r="B7347" s="13">
        <f>IF(H7347="","",ROW()-4)</f>
        <v/>
      </c>
    </row>
    <row r="7348">
      <c r="A7348" s="13">
        <f>IF(H7348="","",ROW()-4)</f>
        <v/>
      </c>
      <c r="B7348" s="13">
        <f>IF(H7348="","",ROW()-4)</f>
        <v/>
      </c>
    </row>
    <row r="7349">
      <c r="A7349" s="13">
        <f>IF(H7349="","",ROW()-4)</f>
        <v/>
      </c>
      <c r="B7349" s="13">
        <f>IF(H7349="","",ROW()-4)</f>
        <v/>
      </c>
    </row>
    <row r="7350">
      <c r="A7350" s="13">
        <f>IF(H7350="","",ROW()-4)</f>
        <v/>
      </c>
      <c r="B7350" s="13">
        <f>IF(H7350="","",ROW()-4)</f>
        <v/>
      </c>
    </row>
    <row r="7351">
      <c r="A7351" s="13">
        <f>IF(H7351="","",ROW()-4)</f>
        <v/>
      </c>
      <c r="B7351" s="13">
        <f>IF(H7351="","",ROW()-4)</f>
        <v/>
      </c>
    </row>
    <row r="7352">
      <c r="A7352" s="13">
        <f>IF(H7352="","",ROW()-4)</f>
        <v/>
      </c>
      <c r="B7352" s="13">
        <f>IF(H7352="","",ROW()-4)</f>
        <v/>
      </c>
    </row>
    <row r="7353">
      <c r="A7353" s="13">
        <f>IF(H7353="","",ROW()-4)</f>
        <v/>
      </c>
      <c r="B7353" s="13">
        <f>IF(H7353="","",ROW()-4)</f>
        <v/>
      </c>
    </row>
    <row r="7354">
      <c r="A7354" s="13">
        <f>IF(H7354="","",ROW()-4)</f>
        <v/>
      </c>
      <c r="B7354" s="13">
        <f>IF(H7354="","",ROW()-4)</f>
        <v/>
      </c>
    </row>
    <row r="7355">
      <c r="A7355" s="13">
        <f>IF(H7355="","",ROW()-4)</f>
        <v/>
      </c>
      <c r="B7355" s="13">
        <f>IF(H7355="","",ROW()-4)</f>
        <v/>
      </c>
    </row>
    <row r="7356">
      <c r="A7356" s="13">
        <f>IF(H7356="","",ROW()-4)</f>
        <v/>
      </c>
      <c r="B7356" s="13">
        <f>IF(H7356="","",ROW()-4)</f>
        <v/>
      </c>
    </row>
    <row r="7357">
      <c r="A7357" s="13">
        <f>IF(H7357="","",ROW()-4)</f>
        <v/>
      </c>
      <c r="B7357" s="13">
        <f>IF(H7357="","",ROW()-4)</f>
        <v/>
      </c>
    </row>
    <row r="7358">
      <c r="A7358" s="13">
        <f>IF(H7358="","",ROW()-4)</f>
        <v/>
      </c>
      <c r="B7358" s="13">
        <f>IF(H7358="","",ROW()-4)</f>
        <v/>
      </c>
    </row>
    <row r="7359">
      <c r="A7359" s="13">
        <f>IF(H7359="","",ROW()-4)</f>
        <v/>
      </c>
      <c r="B7359" s="13">
        <f>IF(H7359="","",ROW()-4)</f>
        <v/>
      </c>
    </row>
    <row r="7360">
      <c r="A7360" s="13">
        <f>IF(H7360="","",ROW()-4)</f>
        <v/>
      </c>
      <c r="B7360" s="13">
        <f>IF(H7360="","",ROW()-4)</f>
        <v/>
      </c>
    </row>
    <row r="7361">
      <c r="A7361" s="13">
        <f>IF(H7361="","",ROW()-4)</f>
        <v/>
      </c>
      <c r="B7361" s="13">
        <f>IF(H7361="","",ROW()-4)</f>
        <v/>
      </c>
    </row>
    <row r="7362">
      <c r="A7362" s="13">
        <f>IF(H7362="","",ROW()-4)</f>
        <v/>
      </c>
      <c r="B7362" s="13">
        <f>IF(H7362="","",ROW()-4)</f>
        <v/>
      </c>
    </row>
    <row r="7363">
      <c r="A7363" s="13">
        <f>IF(H7363="","",ROW()-4)</f>
        <v/>
      </c>
      <c r="B7363" s="13">
        <f>IF(H7363="","",ROW()-4)</f>
        <v/>
      </c>
    </row>
    <row r="7364">
      <c r="A7364" s="13">
        <f>IF(H7364="","",ROW()-4)</f>
        <v/>
      </c>
      <c r="B7364" s="13">
        <f>IF(H7364="","",ROW()-4)</f>
        <v/>
      </c>
    </row>
    <row r="7365">
      <c r="A7365" s="13">
        <f>IF(H7365="","",ROW()-4)</f>
        <v/>
      </c>
      <c r="B7365" s="13">
        <f>IF(H7365="","",ROW()-4)</f>
        <v/>
      </c>
    </row>
    <row r="7366">
      <c r="A7366" s="13">
        <f>IF(H7366="","",ROW()-4)</f>
        <v/>
      </c>
      <c r="B7366" s="13">
        <f>IF(H7366="","",ROW()-4)</f>
        <v/>
      </c>
    </row>
    <row r="7367">
      <c r="A7367" s="13">
        <f>IF(H7367="","",ROW()-4)</f>
        <v/>
      </c>
      <c r="B7367" s="13">
        <f>IF(H7367="","",ROW()-4)</f>
        <v/>
      </c>
    </row>
    <row r="7368">
      <c r="A7368" s="13">
        <f>IF(H7368="","",ROW()-4)</f>
        <v/>
      </c>
      <c r="B7368" s="13">
        <f>IF(H7368="","",ROW()-4)</f>
        <v/>
      </c>
    </row>
    <row r="7369">
      <c r="A7369" s="13">
        <f>IF(H7369="","",ROW()-4)</f>
        <v/>
      </c>
      <c r="B7369" s="13">
        <f>IF(H7369="","",ROW()-4)</f>
        <v/>
      </c>
    </row>
    <row r="7370">
      <c r="A7370" s="13">
        <f>IF(H7370="","",ROW()-4)</f>
        <v/>
      </c>
      <c r="B7370" s="13">
        <f>IF(H7370="","",ROW()-4)</f>
        <v/>
      </c>
    </row>
    <row r="7371">
      <c r="A7371" s="13">
        <f>IF(H7371="","",ROW()-4)</f>
        <v/>
      </c>
      <c r="B7371" s="13">
        <f>IF(H7371="","",ROW()-4)</f>
        <v/>
      </c>
    </row>
    <row r="7372">
      <c r="A7372" s="13">
        <f>IF(H7372="","",ROW()-4)</f>
        <v/>
      </c>
      <c r="B7372" s="13">
        <f>IF(H7372="","",ROW()-4)</f>
        <v/>
      </c>
    </row>
    <row r="7373">
      <c r="A7373" s="13">
        <f>IF(H7373="","",ROW()-4)</f>
        <v/>
      </c>
      <c r="B7373" s="13">
        <f>IF(H7373="","",ROW()-4)</f>
        <v/>
      </c>
    </row>
    <row r="7374">
      <c r="A7374" s="13">
        <f>IF(H7374="","",ROW()-4)</f>
        <v/>
      </c>
      <c r="B7374" s="13">
        <f>IF(H7374="","",ROW()-4)</f>
        <v/>
      </c>
    </row>
    <row r="7375">
      <c r="A7375" s="13">
        <f>IF(H7375="","",ROW()-4)</f>
        <v/>
      </c>
      <c r="B7375" s="13">
        <f>IF(H7375="","",ROW()-4)</f>
        <v/>
      </c>
    </row>
    <row r="7376">
      <c r="A7376" s="13">
        <f>IF(H7376="","",ROW()-4)</f>
        <v/>
      </c>
      <c r="B7376" s="13">
        <f>IF(H7376="","",ROW()-4)</f>
        <v/>
      </c>
    </row>
    <row r="7377">
      <c r="A7377" s="13">
        <f>IF(H7377="","",ROW()-4)</f>
        <v/>
      </c>
      <c r="B7377" s="13">
        <f>IF(H7377="","",ROW()-4)</f>
        <v/>
      </c>
    </row>
    <row r="7378">
      <c r="A7378" s="13">
        <f>IF(H7378="","",ROW()-4)</f>
        <v/>
      </c>
      <c r="B7378" s="13">
        <f>IF(H7378="","",ROW()-4)</f>
        <v/>
      </c>
    </row>
    <row r="7379">
      <c r="A7379" s="13">
        <f>IF(H7379="","",ROW()-4)</f>
        <v/>
      </c>
      <c r="B7379" s="13">
        <f>IF(H7379="","",ROW()-4)</f>
        <v/>
      </c>
    </row>
    <row r="7380">
      <c r="A7380" s="13">
        <f>IF(H7380="","",ROW()-4)</f>
        <v/>
      </c>
      <c r="B7380" s="13">
        <f>IF(H7380="","",ROW()-4)</f>
        <v/>
      </c>
    </row>
    <row r="7381">
      <c r="A7381" s="13">
        <f>IF(H7381="","",ROW()-4)</f>
        <v/>
      </c>
      <c r="B7381" s="13">
        <f>IF(H7381="","",ROW()-4)</f>
        <v/>
      </c>
    </row>
    <row r="7382">
      <c r="A7382" s="13">
        <f>IF(H7382="","",ROW()-4)</f>
        <v/>
      </c>
      <c r="B7382" s="13">
        <f>IF(H7382="","",ROW()-4)</f>
        <v/>
      </c>
    </row>
    <row r="7383">
      <c r="A7383" s="13">
        <f>IF(H7383="","",ROW()-4)</f>
        <v/>
      </c>
      <c r="B7383" s="13">
        <f>IF(H7383="","",ROW()-4)</f>
        <v/>
      </c>
    </row>
    <row r="7384">
      <c r="A7384" s="13">
        <f>IF(H7384="","",ROW()-4)</f>
        <v/>
      </c>
      <c r="B7384" s="13">
        <f>IF(H7384="","",ROW()-4)</f>
        <v/>
      </c>
    </row>
    <row r="7385">
      <c r="A7385" s="13">
        <f>IF(H7385="","",ROW()-4)</f>
        <v/>
      </c>
      <c r="B7385" s="13">
        <f>IF(H7385="","",ROW()-4)</f>
        <v/>
      </c>
    </row>
    <row r="7386">
      <c r="A7386" s="13">
        <f>IF(H7386="","",ROW()-4)</f>
        <v/>
      </c>
      <c r="B7386" s="13">
        <f>IF(H7386="","",ROW()-4)</f>
        <v/>
      </c>
    </row>
    <row r="7387">
      <c r="A7387" s="13">
        <f>IF(H7387="","",ROW()-4)</f>
        <v/>
      </c>
      <c r="B7387" s="13">
        <f>IF(H7387="","",ROW()-4)</f>
        <v/>
      </c>
    </row>
    <row r="7388">
      <c r="A7388" s="13">
        <f>IF(H7388="","",ROW()-4)</f>
        <v/>
      </c>
      <c r="B7388" s="13">
        <f>IF(H7388="","",ROW()-4)</f>
        <v/>
      </c>
    </row>
    <row r="7389">
      <c r="A7389" s="13">
        <f>IF(H7389="","",ROW()-4)</f>
        <v/>
      </c>
      <c r="B7389" s="13">
        <f>IF(H7389="","",ROW()-4)</f>
        <v/>
      </c>
    </row>
    <row r="7390">
      <c r="A7390" s="13">
        <f>IF(H7390="","",ROW()-4)</f>
        <v/>
      </c>
      <c r="B7390" s="13">
        <f>IF(H7390="","",ROW()-4)</f>
        <v/>
      </c>
    </row>
    <row r="7391">
      <c r="A7391" s="13">
        <f>IF(H7391="","",ROW()-4)</f>
        <v/>
      </c>
      <c r="B7391" s="13">
        <f>IF(H7391="","",ROW()-4)</f>
        <v/>
      </c>
    </row>
    <row r="7392">
      <c r="A7392" s="13">
        <f>IF(H7392="","",ROW()-4)</f>
        <v/>
      </c>
      <c r="B7392" s="13">
        <f>IF(H7392="","",ROW()-4)</f>
        <v/>
      </c>
    </row>
    <row r="7393">
      <c r="A7393" s="13">
        <f>IF(H7393="","",ROW()-4)</f>
        <v/>
      </c>
      <c r="B7393" s="13">
        <f>IF(H7393="","",ROW()-4)</f>
        <v/>
      </c>
    </row>
    <row r="7394">
      <c r="A7394" s="13">
        <f>IF(H7394="","",ROW()-4)</f>
        <v/>
      </c>
      <c r="B7394" s="13">
        <f>IF(H7394="","",ROW()-4)</f>
        <v/>
      </c>
    </row>
    <row r="7395">
      <c r="A7395" s="13">
        <f>IF(H7395="","",ROW()-4)</f>
        <v/>
      </c>
      <c r="B7395" s="13">
        <f>IF(H7395="","",ROW()-4)</f>
        <v/>
      </c>
    </row>
    <row r="7396">
      <c r="A7396" s="13">
        <f>IF(H7396="","",ROW()-4)</f>
        <v/>
      </c>
      <c r="B7396" s="13">
        <f>IF(H7396="","",ROW()-4)</f>
        <v/>
      </c>
    </row>
    <row r="7397">
      <c r="A7397" s="13">
        <f>IF(H7397="","",ROW()-4)</f>
        <v/>
      </c>
      <c r="B7397" s="13">
        <f>IF(H7397="","",ROW()-4)</f>
        <v/>
      </c>
    </row>
    <row r="7398">
      <c r="A7398" s="13">
        <f>IF(H7398="","",ROW()-4)</f>
        <v/>
      </c>
      <c r="B7398" s="13">
        <f>IF(H7398="","",ROW()-4)</f>
        <v/>
      </c>
    </row>
    <row r="7399">
      <c r="A7399" s="13">
        <f>IF(H7399="","",ROW()-4)</f>
        <v/>
      </c>
      <c r="B7399" s="13">
        <f>IF(H7399="","",ROW()-4)</f>
        <v/>
      </c>
    </row>
    <row r="7400">
      <c r="A7400" s="13">
        <f>IF(H7400="","",ROW()-4)</f>
        <v/>
      </c>
      <c r="B7400" s="13">
        <f>IF(H7400="","",ROW()-4)</f>
        <v/>
      </c>
    </row>
    <row r="7401">
      <c r="A7401" s="13">
        <f>IF(H7401="","",ROW()-4)</f>
        <v/>
      </c>
      <c r="B7401" s="13">
        <f>IF(H7401="","",ROW()-4)</f>
        <v/>
      </c>
    </row>
    <row r="7402">
      <c r="A7402" s="13">
        <f>IF(H7402="","",ROW()-4)</f>
        <v/>
      </c>
      <c r="B7402" s="13">
        <f>IF(H7402="","",ROW()-4)</f>
        <v/>
      </c>
    </row>
    <row r="7403">
      <c r="A7403" s="13">
        <f>IF(H7403="","",ROW()-4)</f>
        <v/>
      </c>
      <c r="B7403" s="13">
        <f>IF(H7403="","",ROW()-4)</f>
        <v/>
      </c>
    </row>
    <row r="7404">
      <c r="A7404" s="13">
        <f>IF(H7404="","",ROW()-4)</f>
        <v/>
      </c>
      <c r="B7404" s="13">
        <f>IF(H7404="","",ROW()-4)</f>
        <v/>
      </c>
    </row>
    <row r="7405">
      <c r="A7405" s="13">
        <f>IF(H7405="","",ROW()-4)</f>
        <v/>
      </c>
      <c r="B7405" s="13">
        <f>IF(H7405="","",ROW()-4)</f>
        <v/>
      </c>
    </row>
    <row r="7406">
      <c r="A7406" s="13">
        <f>IF(H7406="","",ROW()-4)</f>
        <v/>
      </c>
      <c r="B7406" s="13">
        <f>IF(H7406="","",ROW()-4)</f>
        <v/>
      </c>
    </row>
    <row r="7407">
      <c r="A7407" s="13">
        <f>IF(H7407="","",ROW()-4)</f>
        <v/>
      </c>
      <c r="B7407" s="13">
        <f>IF(H7407="","",ROW()-4)</f>
        <v/>
      </c>
    </row>
    <row r="7408">
      <c r="A7408" s="13">
        <f>IF(H7408="","",ROW()-4)</f>
        <v/>
      </c>
      <c r="B7408" s="13">
        <f>IF(H7408="","",ROW()-4)</f>
        <v/>
      </c>
    </row>
    <row r="7409">
      <c r="A7409" s="13">
        <f>IF(H7409="","",ROW()-4)</f>
        <v/>
      </c>
      <c r="B7409" s="13">
        <f>IF(H7409="","",ROW()-4)</f>
        <v/>
      </c>
    </row>
    <row r="7410">
      <c r="A7410" s="13">
        <f>IF(H7410="","",ROW()-4)</f>
        <v/>
      </c>
      <c r="B7410" s="13">
        <f>IF(H7410="","",ROW()-4)</f>
        <v/>
      </c>
    </row>
    <row r="7411">
      <c r="A7411" s="13">
        <f>IF(H7411="","",ROW()-4)</f>
        <v/>
      </c>
      <c r="B7411" s="13">
        <f>IF(H7411="","",ROW()-4)</f>
        <v/>
      </c>
    </row>
    <row r="7412">
      <c r="A7412" s="13">
        <f>IF(H7412="","",ROW()-4)</f>
        <v/>
      </c>
      <c r="B7412" s="13">
        <f>IF(H7412="","",ROW()-4)</f>
        <v/>
      </c>
    </row>
    <row r="7413">
      <c r="A7413" s="13">
        <f>IF(H7413="","",ROW()-4)</f>
        <v/>
      </c>
      <c r="B7413" s="13">
        <f>IF(H7413="","",ROW()-4)</f>
        <v/>
      </c>
    </row>
    <row r="7414">
      <c r="A7414" s="13">
        <f>IF(H7414="","",ROW()-4)</f>
        <v/>
      </c>
      <c r="B7414" s="13">
        <f>IF(H7414="","",ROW()-4)</f>
        <v/>
      </c>
    </row>
    <row r="7415">
      <c r="A7415" s="13">
        <f>IF(H7415="","",ROW()-4)</f>
        <v/>
      </c>
      <c r="B7415" s="13">
        <f>IF(H7415="","",ROW()-4)</f>
        <v/>
      </c>
    </row>
    <row r="7416">
      <c r="A7416" s="13">
        <f>IF(H7416="","",ROW()-4)</f>
        <v/>
      </c>
      <c r="B7416" s="13">
        <f>IF(H7416="","",ROW()-4)</f>
        <v/>
      </c>
    </row>
    <row r="7417">
      <c r="A7417" s="13">
        <f>IF(H7417="","",ROW()-4)</f>
        <v/>
      </c>
      <c r="B7417" s="13">
        <f>IF(H7417="","",ROW()-4)</f>
        <v/>
      </c>
    </row>
    <row r="7418">
      <c r="A7418" s="13">
        <f>IF(H7418="","",ROW()-4)</f>
        <v/>
      </c>
      <c r="B7418" s="13">
        <f>IF(H7418="","",ROW()-4)</f>
        <v/>
      </c>
    </row>
    <row r="7419">
      <c r="A7419" s="13">
        <f>IF(H7419="","",ROW()-4)</f>
        <v/>
      </c>
      <c r="B7419" s="13">
        <f>IF(H7419="","",ROW()-4)</f>
        <v/>
      </c>
    </row>
    <row r="7420">
      <c r="A7420" s="13">
        <f>IF(H7420="","",ROW()-4)</f>
        <v/>
      </c>
      <c r="B7420" s="13">
        <f>IF(H7420="","",ROW()-4)</f>
        <v/>
      </c>
    </row>
    <row r="7421">
      <c r="A7421" s="13">
        <f>IF(H7421="","",ROW()-4)</f>
        <v/>
      </c>
      <c r="B7421" s="13">
        <f>IF(H7421="","",ROW()-4)</f>
        <v/>
      </c>
    </row>
    <row r="7422">
      <c r="A7422" s="13">
        <f>IF(H7422="","",ROW()-4)</f>
        <v/>
      </c>
      <c r="B7422" s="13">
        <f>IF(H7422="","",ROW()-4)</f>
        <v/>
      </c>
    </row>
    <row r="7423">
      <c r="A7423" s="13">
        <f>IF(H7423="","",ROW()-4)</f>
        <v/>
      </c>
      <c r="B7423" s="13">
        <f>IF(H7423="","",ROW()-4)</f>
        <v/>
      </c>
    </row>
    <row r="7424">
      <c r="A7424" s="13">
        <f>IF(H7424="","",ROW()-4)</f>
        <v/>
      </c>
      <c r="B7424" s="13">
        <f>IF(H7424="","",ROW()-4)</f>
        <v/>
      </c>
    </row>
    <row r="7425">
      <c r="A7425" s="13">
        <f>IF(H7425="","",ROW()-4)</f>
        <v/>
      </c>
      <c r="B7425" s="13">
        <f>IF(H7425="","",ROW()-4)</f>
        <v/>
      </c>
    </row>
    <row r="7426">
      <c r="A7426" s="13">
        <f>IF(H7426="","",ROW()-4)</f>
        <v/>
      </c>
      <c r="B7426" s="13">
        <f>IF(H7426="","",ROW()-4)</f>
        <v/>
      </c>
    </row>
    <row r="7427">
      <c r="A7427" s="13">
        <f>IF(H7427="","",ROW()-4)</f>
        <v/>
      </c>
      <c r="B7427" s="13">
        <f>IF(H7427="","",ROW()-4)</f>
        <v/>
      </c>
    </row>
    <row r="7428">
      <c r="A7428" s="13">
        <f>IF(H7428="","",ROW()-4)</f>
        <v/>
      </c>
      <c r="B7428" s="13">
        <f>IF(H7428="","",ROW()-4)</f>
        <v/>
      </c>
    </row>
    <row r="7429">
      <c r="A7429" s="13">
        <f>IF(H7429="","",ROW()-4)</f>
        <v/>
      </c>
      <c r="B7429" s="13">
        <f>IF(H7429="","",ROW()-4)</f>
        <v/>
      </c>
    </row>
    <row r="7430">
      <c r="A7430" s="13">
        <f>IF(H7430="","",ROW()-4)</f>
        <v/>
      </c>
      <c r="B7430" s="13">
        <f>IF(H7430="","",ROW()-4)</f>
        <v/>
      </c>
    </row>
    <row r="7431">
      <c r="A7431" s="13">
        <f>IF(H7431="","",ROW()-4)</f>
        <v/>
      </c>
      <c r="B7431" s="13">
        <f>IF(H7431="","",ROW()-4)</f>
        <v/>
      </c>
    </row>
    <row r="7432">
      <c r="A7432" s="13">
        <f>IF(H7432="","",ROW()-4)</f>
        <v/>
      </c>
      <c r="B7432" s="13">
        <f>IF(H7432="","",ROW()-4)</f>
        <v/>
      </c>
    </row>
    <row r="7433">
      <c r="A7433" s="13">
        <f>IF(H7433="","",ROW()-4)</f>
        <v/>
      </c>
      <c r="B7433" s="13">
        <f>IF(H7433="","",ROW()-4)</f>
        <v/>
      </c>
    </row>
    <row r="7434">
      <c r="A7434" s="13">
        <f>IF(H7434="","",ROW()-4)</f>
        <v/>
      </c>
      <c r="B7434" s="13">
        <f>IF(H7434="","",ROW()-4)</f>
        <v/>
      </c>
    </row>
    <row r="7435">
      <c r="A7435" s="13">
        <f>IF(H7435="","",ROW()-4)</f>
        <v/>
      </c>
      <c r="B7435" s="13">
        <f>IF(H7435="","",ROW()-4)</f>
        <v/>
      </c>
    </row>
    <row r="7436">
      <c r="A7436" s="13">
        <f>IF(H7436="","",ROW()-4)</f>
        <v/>
      </c>
      <c r="B7436" s="13">
        <f>IF(H7436="","",ROW()-4)</f>
        <v/>
      </c>
    </row>
    <row r="7437">
      <c r="A7437" s="13">
        <f>IF(H7437="","",ROW()-4)</f>
        <v/>
      </c>
      <c r="B7437" s="13">
        <f>IF(H7437="","",ROW()-4)</f>
        <v/>
      </c>
    </row>
    <row r="7438">
      <c r="A7438" s="13">
        <f>IF(H7438="","",ROW()-4)</f>
        <v/>
      </c>
      <c r="B7438" s="13">
        <f>IF(H7438="","",ROW()-4)</f>
        <v/>
      </c>
    </row>
    <row r="7439">
      <c r="A7439" s="13">
        <f>IF(H7439="","",ROW()-4)</f>
        <v/>
      </c>
      <c r="B7439" s="13">
        <f>IF(H7439="","",ROW()-4)</f>
        <v/>
      </c>
    </row>
    <row r="7440">
      <c r="A7440" s="13">
        <f>IF(H7440="","",ROW()-4)</f>
        <v/>
      </c>
      <c r="B7440" s="13">
        <f>IF(H7440="","",ROW()-4)</f>
        <v/>
      </c>
    </row>
    <row r="7441">
      <c r="A7441" s="13">
        <f>IF(H7441="","",ROW()-4)</f>
        <v/>
      </c>
      <c r="B7441" s="13">
        <f>IF(H7441="","",ROW()-4)</f>
        <v/>
      </c>
    </row>
    <row r="7442">
      <c r="A7442" s="13">
        <f>IF(H7442="","",ROW()-4)</f>
        <v/>
      </c>
      <c r="B7442" s="13">
        <f>IF(H7442="","",ROW()-4)</f>
        <v/>
      </c>
    </row>
    <row r="7443">
      <c r="A7443" s="13">
        <f>IF(H7443="","",ROW()-4)</f>
        <v/>
      </c>
      <c r="B7443" s="13">
        <f>IF(H7443="","",ROW()-4)</f>
        <v/>
      </c>
    </row>
    <row r="7444">
      <c r="A7444" s="13">
        <f>IF(H7444="","",ROW()-4)</f>
        <v/>
      </c>
      <c r="B7444" s="13">
        <f>IF(H7444="","",ROW()-4)</f>
        <v/>
      </c>
    </row>
    <row r="7445">
      <c r="A7445" s="13">
        <f>IF(H7445="","",ROW()-4)</f>
        <v/>
      </c>
      <c r="B7445" s="13">
        <f>IF(H7445="","",ROW()-4)</f>
        <v/>
      </c>
    </row>
    <row r="7446">
      <c r="A7446" s="13">
        <f>IF(H7446="","",ROW()-4)</f>
        <v/>
      </c>
      <c r="B7446" s="13">
        <f>IF(H7446="","",ROW()-4)</f>
        <v/>
      </c>
    </row>
    <row r="7447">
      <c r="A7447" s="13">
        <f>IF(H7447="","",ROW()-4)</f>
        <v/>
      </c>
      <c r="B7447" s="13">
        <f>IF(H7447="","",ROW()-4)</f>
        <v/>
      </c>
    </row>
    <row r="7448">
      <c r="A7448" s="13">
        <f>IF(H7448="","",ROW()-4)</f>
        <v/>
      </c>
      <c r="B7448" s="13">
        <f>IF(H7448="","",ROW()-4)</f>
        <v/>
      </c>
    </row>
    <row r="7449">
      <c r="A7449" s="13">
        <f>IF(H7449="","",ROW()-4)</f>
        <v/>
      </c>
      <c r="B7449" s="13">
        <f>IF(H7449="","",ROW()-4)</f>
        <v/>
      </c>
    </row>
    <row r="7450">
      <c r="A7450" s="13">
        <f>IF(H7450="","",ROW()-4)</f>
        <v/>
      </c>
      <c r="B7450" s="13">
        <f>IF(H7450="","",ROW()-4)</f>
        <v/>
      </c>
    </row>
    <row r="7451">
      <c r="A7451" s="13">
        <f>IF(H7451="","",ROW()-4)</f>
        <v/>
      </c>
      <c r="B7451" s="13">
        <f>IF(H7451="","",ROW()-4)</f>
        <v/>
      </c>
    </row>
    <row r="7452">
      <c r="A7452" s="13">
        <f>IF(H7452="","",ROW()-4)</f>
        <v/>
      </c>
      <c r="B7452" s="13">
        <f>IF(H7452="","",ROW()-4)</f>
        <v/>
      </c>
    </row>
    <row r="7453">
      <c r="A7453" s="13">
        <f>IF(H7453="","",ROW()-4)</f>
        <v/>
      </c>
      <c r="B7453" s="13">
        <f>IF(H7453="","",ROW()-4)</f>
        <v/>
      </c>
    </row>
    <row r="7454">
      <c r="A7454" s="13">
        <f>IF(H7454="","",ROW()-4)</f>
        <v/>
      </c>
      <c r="B7454" s="13">
        <f>IF(H7454="","",ROW()-4)</f>
        <v/>
      </c>
    </row>
    <row r="7455">
      <c r="A7455" s="13">
        <f>IF(H7455="","",ROW()-4)</f>
        <v/>
      </c>
      <c r="B7455" s="13">
        <f>IF(H7455="","",ROW()-4)</f>
        <v/>
      </c>
    </row>
    <row r="7456">
      <c r="A7456" s="13">
        <f>IF(H7456="","",ROW()-4)</f>
        <v/>
      </c>
      <c r="B7456" s="13">
        <f>IF(H7456="","",ROW()-4)</f>
        <v/>
      </c>
    </row>
    <row r="7457">
      <c r="A7457" s="13">
        <f>IF(H7457="","",ROW()-4)</f>
        <v/>
      </c>
      <c r="B7457" s="13">
        <f>IF(H7457="","",ROW()-4)</f>
        <v/>
      </c>
    </row>
    <row r="7458">
      <c r="A7458" s="13">
        <f>IF(H7458="","",ROW()-4)</f>
        <v/>
      </c>
      <c r="B7458" s="13">
        <f>IF(H7458="","",ROW()-4)</f>
        <v/>
      </c>
    </row>
    <row r="7459">
      <c r="A7459" s="13">
        <f>IF(H7459="","",ROW()-4)</f>
        <v/>
      </c>
      <c r="B7459" s="13">
        <f>IF(H7459="","",ROW()-4)</f>
        <v/>
      </c>
    </row>
    <row r="7460">
      <c r="A7460" s="13">
        <f>IF(H7460="","",ROW()-4)</f>
        <v/>
      </c>
      <c r="B7460" s="13">
        <f>IF(H7460="","",ROW()-4)</f>
        <v/>
      </c>
    </row>
    <row r="7461">
      <c r="A7461" s="13">
        <f>IF(H7461="","",ROW()-4)</f>
        <v/>
      </c>
      <c r="B7461" s="13">
        <f>IF(H7461="","",ROW()-4)</f>
        <v/>
      </c>
    </row>
    <row r="7462">
      <c r="A7462" s="13">
        <f>IF(H7462="","",ROW()-4)</f>
        <v/>
      </c>
      <c r="B7462" s="13">
        <f>IF(H7462="","",ROW()-4)</f>
        <v/>
      </c>
    </row>
    <row r="7463">
      <c r="A7463" s="13">
        <f>IF(H7463="","",ROW()-4)</f>
        <v/>
      </c>
      <c r="B7463" s="13">
        <f>IF(H7463="","",ROW()-4)</f>
        <v/>
      </c>
    </row>
    <row r="7464">
      <c r="A7464" s="13">
        <f>IF(H7464="","",ROW()-4)</f>
        <v/>
      </c>
      <c r="B7464" s="13">
        <f>IF(H7464="","",ROW()-4)</f>
        <v/>
      </c>
    </row>
    <row r="7465">
      <c r="A7465" s="13">
        <f>IF(H7465="","",ROW()-4)</f>
        <v/>
      </c>
      <c r="B7465" s="13">
        <f>IF(H7465="","",ROW()-4)</f>
        <v/>
      </c>
    </row>
    <row r="7466">
      <c r="A7466" s="13">
        <f>IF(H7466="","",ROW()-4)</f>
        <v/>
      </c>
      <c r="B7466" s="13">
        <f>IF(H7466="","",ROW()-4)</f>
        <v/>
      </c>
    </row>
    <row r="7467">
      <c r="A7467" s="13">
        <f>IF(H7467="","",ROW()-4)</f>
        <v/>
      </c>
      <c r="B7467" s="13">
        <f>IF(H7467="","",ROW()-4)</f>
        <v/>
      </c>
    </row>
    <row r="7468">
      <c r="A7468" s="13">
        <f>IF(H7468="","",ROW()-4)</f>
        <v/>
      </c>
      <c r="B7468" s="13">
        <f>IF(H7468="","",ROW()-4)</f>
        <v/>
      </c>
    </row>
    <row r="7469">
      <c r="A7469" s="13">
        <f>IF(H7469="","",ROW()-4)</f>
        <v/>
      </c>
      <c r="B7469" s="13">
        <f>IF(H7469="","",ROW()-4)</f>
        <v/>
      </c>
    </row>
    <row r="7470">
      <c r="A7470" s="13">
        <f>IF(H7470="","",ROW()-4)</f>
        <v/>
      </c>
      <c r="B7470" s="13">
        <f>IF(H7470="","",ROW()-4)</f>
        <v/>
      </c>
    </row>
    <row r="7471">
      <c r="A7471" s="13">
        <f>IF(H7471="","",ROW()-4)</f>
        <v/>
      </c>
      <c r="B7471" s="13">
        <f>IF(H7471="","",ROW()-4)</f>
        <v/>
      </c>
    </row>
    <row r="7472">
      <c r="A7472" s="13">
        <f>IF(H7472="","",ROW()-4)</f>
        <v/>
      </c>
      <c r="B7472" s="13">
        <f>IF(H7472="","",ROW()-4)</f>
        <v/>
      </c>
    </row>
    <row r="7473">
      <c r="A7473" s="13">
        <f>IF(H7473="","",ROW()-4)</f>
        <v/>
      </c>
      <c r="B7473" s="13">
        <f>IF(H7473="","",ROW()-4)</f>
        <v/>
      </c>
    </row>
    <row r="7474">
      <c r="A7474" s="13">
        <f>IF(H7474="","",ROW()-4)</f>
        <v/>
      </c>
      <c r="B7474" s="13">
        <f>IF(H7474="","",ROW()-4)</f>
        <v/>
      </c>
    </row>
    <row r="7475">
      <c r="A7475" s="13">
        <f>IF(H7475="","",ROW()-4)</f>
        <v/>
      </c>
      <c r="B7475" s="13">
        <f>IF(H7475="","",ROW()-4)</f>
        <v/>
      </c>
    </row>
    <row r="7476">
      <c r="A7476" s="13">
        <f>IF(H7476="","",ROW()-4)</f>
        <v/>
      </c>
      <c r="B7476" s="13">
        <f>IF(H7476="","",ROW()-4)</f>
        <v/>
      </c>
    </row>
    <row r="7477">
      <c r="A7477" s="13">
        <f>IF(H7477="","",ROW()-4)</f>
        <v/>
      </c>
      <c r="B7477" s="13">
        <f>IF(H7477="","",ROW()-4)</f>
        <v/>
      </c>
    </row>
    <row r="7478">
      <c r="A7478" s="13">
        <f>IF(H7478="","",ROW()-4)</f>
        <v/>
      </c>
      <c r="B7478" s="13">
        <f>IF(H7478="","",ROW()-4)</f>
        <v/>
      </c>
    </row>
    <row r="7479">
      <c r="A7479" s="13">
        <f>IF(H7479="","",ROW()-4)</f>
        <v/>
      </c>
      <c r="B7479" s="13">
        <f>IF(H7479="","",ROW()-4)</f>
        <v/>
      </c>
    </row>
    <row r="7480">
      <c r="A7480" s="13">
        <f>IF(H7480="","",ROW()-4)</f>
        <v/>
      </c>
      <c r="B7480" s="13">
        <f>IF(H7480="","",ROW()-4)</f>
        <v/>
      </c>
    </row>
    <row r="7481">
      <c r="A7481" s="13">
        <f>IF(H7481="","",ROW()-4)</f>
        <v/>
      </c>
      <c r="B7481" s="13">
        <f>IF(H7481="","",ROW()-4)</f>
        <v/>
      </c>
    </row>
    <row r="7482">
      <c r="A7482" s="13">
        <f>IF(H7482="","",ROW()-4)</f>
        <v/>
      </c>
      <c r="B7482" s="13">
        <f>IF(H7482="","",ROW()-4)</f>
        <v/>
      </c>
    </row>
    <row r="7483">
      <c r="A7483" s="13">
        <f>IF(H7483="","",ROW()-4)</f>
        <v/>
      </c>
      <c r="B7483" s="13">
        <f>IF(H7483="","",ROW()-4)</f>
        <v/>
      </c>
    </row>
    <row r="7484">
      <c r="A7484" s="13">
        <f>IF(H7484="","",ROW()-4)</f>
        <v/>
      </c>
      <c r="B7484" s="13">
        <f>IF(H7484="","",ROW()-4)</f>
        <v/>
      </c>
    </row>
    <row r="7485">
      <c r="A7485" s="13">
        <f>IF(H7485="","",ROW()-4)</f>
        <v/>
      </c>
      <c r="B7485" s="13">
        <f>IF(H7485="","",ROW()-4)</f>
        <v/>
      </c>
    </row>
    <row r="7486">
      <c r="A7486" s="13">
        <f>IF(H7486="","",ROW()-4)</f>
        <v/>
      </c>
      <c r="B7486" s="13">
        <f>IF(H7486="","",ROW()-4)</f>
        <v/>
      </c>
    </row>
    <row r="7487">
      <c r="A7487" s="13">
        <f>IF(H7487="","",ROW()-4)</f>
        <v/>
      </c>
      <c r="B7487" s="13">
        <f>IF(H7487="","",ROW()-4)</f>
        <v/>
      </c>
    </row>
    <row r="7488">
      <c r="A7488" s="13">
        <f>IF(H7488="","",ROW()-4)</f>
        <v/>
      </c>
      <c r="B7488" s="13">
        <f>IF(H7488="","",ROW()-4)</f>
        <v/>
      </c>
    </row>
    <row r="7489">
      <c r="A7489" s="13">
        <f>IF(H7489="","",ROW()-4)</f>
        <v/>
      </c>
      <c r="B7489" s="13">
        <f>IF(H7489="","",ROW()-4)</f>
        <v/>
      </c>
    </row>
    <row r="7490">
      <c r="A7490" s="13">
        <f>IF(H7490="","",ROW()-4)</f>
        <v/>
      </c>
      <c r="B7490" s="13">
        <f>IF(H7490="","",ROW()-4)</f>
        <v/>
      </c>
    </row>
    <row r="7491">
      <c r="A7491" s="13">
        <f>IF(H7491="","",ROW()-4)</f>
        <v/>
      </c>
      <c r="B7491" s="13">
        <f>IF(H7491="","",ROW()-4)</f>
        <v/>
      </c>
    </row>
    <row r="7492">
      <c r="A7492" s="13">
        <f>IF(H7492="","",ROW()-4)</f>
        <v/>
      </c>
      <c r="B7492" s="13">
        <f>IF(H7492="","",ROW()-4)</f>
        <v/>
      </c>
    </row>
    <row r="7493">
      <c r="A7493" s="13">
        <f>IF(H7493="","",ROW()-4)</f>
        <v/>
      </c>
      <c r="B7493" s="13">
        <f>IF(H7493="","",ROW()-4)</f>
        <v/>
      </c>
    </row>
    <row r="7494">
      <c r="A7494" s="13">
        <f>IF(H7494="","",ROW()-4)</f>
        <v/>
      </c>
      <c r="B7494" s="13">
        <f>IF(H7494="","",ROW()-4)</f>
        <v/>
      </c>
    </row>
    <row r="7495">
      <c r="A7495" s="13">
        <f>IF(H7495="","",ROW()-4)</f>
        <v/>
      </c>
      <c r="B7495" s="13">
        <f>IF(H7495="","",ROW()-4)</f>
        <v/>
      </c>
    </row>
    <row r="7496">
      <c r="A7496" s="13">
        <f>IF(H7496="","",ROW()-4)</f>
        <v/>
      </c>
      <c r="B7496" s="13">
        <f>IF(H7496="","",ROW()-4)</f>
        <v/>
      </c>
    </row>
    <row r="7497">
      <c r="A7497" s="13">
        <f>IF(H7497="","",ROW()-4)</f>
        <v/>
      </c>
      <c r="B7497" s="13">
        <f>IF(H7497="","",ROW()-4)</f>
        <v/>
      </c>
    </row>
    <row r="7498">
      <c r="A7498" s="13">
        <f>IF(H7498="","",ROW()-4)</f>
        <v/>
      </c>
      <c r="B7498" s="13">
        <f>IF(H7498="","",ROW()-4)</f>
        <v/>
      </c>
    </row>
    <row r="7499">
      <c r="A7499" s="13">
        <f>IF(H7499="","",ROW()-4)</f>
        <v/>
      </c>
      <c r="B7499" s="13">
        <f>IF(H7499="","",ROW()-4)</f>
        <v/>
      </c>
    </row>
    <row r="7500">
      <c r="A7500" s="13">
        <f>IF(H7500="","",ROW()-4)</f>
        <v/>
      </c>
      <c r="B7500" s="13">
        <f>IF(H7500="","",ROW()-4)</f>
        <v/>
      </c>
    </row>
    <row r="7501">
      <c r="A7501" s="13">
        <f>IF(H7501="","",ROW()-4)</f>
        <v/>
      </c>
      <c r="B7501" s="13">
        <f>IF(H7501="","",ROW()-4)</f>
        <v/>
      </c>
    </row>
    <row r="7502">
      <c r="A7502" s="13">
        <f>IF(H7502="","",ROW()-4)</f>
        <v/>
      </c>
      <c r="B7502" s="13">
        <f>IF(H7502="","",ROW()-4)</f>
        <v/>
      </c>
    </row>
    <row r="7503">
      <c r="A7503" s="13">
        <f>IF(H7503="","",ROW()-4)</f>
        <v/>
      </c>
      <c r="B7503" s="13">
        <f>IF(H7503="","",ROW()-4)</f>
        <v/>
      </c>
    </row>
    <row r="7504">
      <c r="A7504" s="13">
        <f>IF(H7504="","",ROW()-4)</f>
        <v/>
      </c>
      <c r="B7504" s="13">
        <f>IF(H7504="","",ROW()-4)</f>
        <v/>
      </c>
    </row>
    <row r="7505">
      <c r="A7505" s="13">
        <f>IF(H7505="","",ROW()-4)</f>
        <v/>
      </c>
      <c r="B7505" s="13">
        <f>IF(H7505="","",ROW()-4)</f>
        <v/>
      </c>
    </row>
    <row r="7506">
      <c r="A7506" s="13">
        <f>IF(H7506="","",ROW()-4)</f>
        <v/>
      </c>
      <c r="B7506" s="13">
        <f>IF(H7506="","",ROW()-4)</f>
        <v/>
      </c>
    </row>
    <row r="7507">
      <c r="A7507" s="13">
        <f>IF(H7507="","",ROW()-4)</f>
        <v/>
      </c>
      <c r="B7507" s="13">
        <f>IF(H7507="","",ROW()-4)</f>
        <v/>
      </c>
    </row>
    <row r="7508">
      <c r="A7508" s="13">
        <f>IF(H7508="","",ROW()-4)</f>
        <v/>
      </c>
      <c r="B7508" s="13">
        <f>IF(H7508="","",ROW()-4)</f>
        <v/>
      </c>
    </row>
    <row r="7509">
      <c r="A7509" s="13">
        <f>IF(H7509="","",ROW()-4)</f>
        <v/>
      </c>
      <c r="B7509" s="13">
        <f>IF(H7509="","",ROW()-4)</f>
        <v/>
      </c>
    </row>
    <row r="7510">
      <c r="A7510" s="13">
        <f>IF(H7510="","",ROW()-4)</f>
        <v/>
      </c>
      <c r="B7510" s="13">
        <f>IF(H7510="","",ROW()-4)</f>
        <v/>
      </c>
    </row>
    <row r="7511">
      <c r="A7511" s="13">
        <f>IF(H7511="","",ROW()-4)</f>
        <v/>
      </c>
      <c r="B7511" s="13">
        <f>IF(H7511="","",ROW()-4)</f>
        <v/>
      </c>
    </row>
    <row r="7512">
      <c r="A7512" s="13">
        <f>IF(H7512="","",ROW()-4)</f>
        <v/>
      </c>
      <c r="B7512" s="13">
        <f>IF(H7512="","",ROW()-4)</f>
        <v/>
      </c>
    </row>
    <row r="7513">
      <c r="A7513" s="13">
        <f>IF(H7513="","",ROW()-4)</f>
        <v/>
      </c>
      <c r="B7513" s="13">
        <f>IF(H7513="","",ROW()-4)</f>
        <v/>
      </c>
    </row>
    <row r="7514">
      <c r="A7514" s="13">
        <f>IF(H7514="","",ROW()-4)</f>
        <v/>
      </c>
      <c r="B7514" s="13">
        <f>IF(H7514="","",ROW()-4)</f>
        <v/>
      </c>
    </row>
    <row r="7515">
      <c r="A7515" s="13">
        <f>IF(H7515="","",ROW()-4)</f>
        <v/>
      </c>
      <c r="B7515" s="13">
        <f>IF(H7515="","",ROW()-4)</f>
        <v/>
      </c>
    </row>
    <row r="7516">
      <c r="A7516" s="13">
        <f>IF(H7516="","",ROW()-4)</f>
        <v/>
      </c>
      <c r="B7516" s="13">
        <f>IF(H7516="","",ROW()-4)</f>
        <v/>
      </c>
    </row>
    <row r="7517">
      <c r="A7517" s="13">
        <f>IF(H7517="","",ROW()-4)</f>
        <v/>
      </c>
      <c r="B7517" s="13">
        <f>IF(H7517="","",ROW()-4)</f>
        <v/>
      </c>
    </row>
    <row r="7518">
      <c r="A7518" s="13">
        <f>IF(H7518="","",ROW()-4)</f>
        <v/>
      </c>
      <c r="B7518" s="13">
        <f>IF(H7518="","",ROW()-4)</f>
        <v/>
      </c>
    </row>
    <row r="7519">
      <c r="A7519" s="13">
        <f>IF(H7519="","",ROW()-4)</f>
        <v/>
      </c>
      <c r="B7519" s="13">
        <f>IF(H7519="","",ROW()-4)</f>
        <v/>
      </c>
    </row>
    <row r="7520">
      <c r="A7520" s="13">
        <f>IF(H7520="","",ROW()-4)</f>
        <v/>
      </c>
      <c r="B7520" s="13">
        <f>IF(H7520="","",ROW()-4)</f>
        <v/>
      </c>
    </row>
    <row r="7521">
      <c r="A7521" s="13">
        <f>IF(H7521="","",ROW()-4)</f>
        <v/>
      </c>
      <c r="B7521" s="13">
        <f>IF(H7521="","",ROW()-4)</f>
        <v/>
      </c>
    </row>
    <row r="7522">
      <c r="A7522" s="13">
        <f>IF(H7522="","",ROW()-4)</f>
        <v/>
      </c>
      <c r="B7522" s="13">
        <f>IF(H7522="","",ROW()-4)</f>
        <v/>
      </c>
    </row>
    <row r="7523">
      <c r="A7523" s="13">
        <f>IF(H7523="","",ROW()-4)</f>
        <v/>
      </c>
      <c r="B7523" s="13">
        <f>IF(H7523="","",ROW()-4)</f>
        <v/>
      </c>
    </row>
    <row r="7524">
      <c r="A7524" s="13">
        <f>IF(H7524="","",ROW()-4)</f>
        <v/>
      </c>
      <c r="B7524" s="13">
        <f>IF(H7524="","",ROW()-4)</f>
        <v/>
      </c>
    </row>
    <row r="7525">
      <c r="A7525" s="13">
        <f>IF(H7525="","",ROW()-4)</f>
        <v/>
      </c>
      <c r="B7525" s="13">
        <f>IF(H7525="","",ROW()-4)</f>
        <v/>
      </c>
    </row>
    <row r="7526">
      <c r="A7526" s="13">
        <f>IF(H7526="","",ROW()-4)</f>
        <v/>
      </c>
      <c r="B7526" s="13">
        <f>IF(H7526="","",ROW()-4)</f>
        <v/>
      </c>
    </row>
    <row r="7527">
      <c r="A7527" s="13">
        <f>IF(H7527="","",ROW()-4)</f>
        <v/>
      </c>
      <c r="B7527" s="13">
        <f>IF(H7527="","",ROW()-4)</f>
        <v/>
      </c>
    </row>
    <row r="7528">
      <c r="A7528" s="13">
        <f>IF(H7528="","",ROW()-4)</f>
        <v/>
      </c>
      <c r="B7528" s="13">
        <f>IF(H7528="","",ROW()-4)</f>
        <v/>
      </c>
    </row>
    <row r="7529">
      <c r="A7529" s="13">
        <f>IF(H7529="","",ROW()-4)</f>
        <v/>
      </c>
      <c r="B7529" s="13">
        <f>IF(H7529="","",ROW()-4)</f>
        <v/>
      </c>
    </row>
    <row r="7530">
      <c r="A7530" s="13">
        <f>IF(H7530="","",ROW()-4)</f>
        <v/>
      </c>
      <c r="B7530" s="13">
        <f>IF(H7530="","",ROW()-4)</f>
        <v/>
      </c>
    </row>
    <row r="7531">
      <c r="A7531" s="13">
        <f>IF(H7531="","",ROW()-4)</f>
        <v/>
      </c>
      <c r="B7531" s="13">
        <f>IF(H7531="","",ROW()-4)</f>
        <v/>
      </c>
    </row>
    <row r="7532">
      <c r="A7532" s="13">
        <f>IF(H7532="","",ROW()-4)</f>
        <v/>
      </c>
      <c r="B7532" s="13">
        <f>IF(H7532="","",ROW()-4)</f>
        <v/>
      </c>
    </row>
    <row r="7533">
      <c r="A7533" s="13">
        <f>IF(H7533="","",ROW()-4)</f>
        <v/>
      </c>
      <c r="B7533" s="13">
        <f>IF(H7533="","",ROW()-4)</f>
        <v/>
      </c>
    </row>
    <row r="7534">
      <c r="A7534" s="13">
        <f>IF(H7534="","",ROW()-4)</f>
        <v/>
      </c>
      <c r="B7534" s="13">
        <f>IF(H7534="","",ROW()-4)</f>
        <v/>
      </c>
    </row>
    <row r="7535">
      <c r="A7535" s="13">
        <f>IF(H7535="","",ROW()-4)</f>
        <v/>
      </c>
      <c r="B7535" s="13">
        <f>IF(H7535="","",ROW()-4)</f>
        <v/>
      </c>
    </row>
    <row r="7536">
      <c r="A7536" s="13">
        <f>IF(H7536="","",ROW()-4)</f>
        <v/>
      </c>
      <c r="B7536" s="13">
        <f>IF(H7536="","",ROW()-4)</f>
        <v/>
      </c>
    </row>
    <row r="7537">
      <c r="A7537" s="13">
        <f>IF(H7537="","",ROW()-4)</f>
        <v/>
      </c>
      <c r="B7537" s="13">
        <f>IF(H7537="","",ROW()-4)</f>
        <v/>
      </c>
    </row>
    <row r="7538">
      <c r="A7538" s="13">
        <f>IF(H7538="","",ROW()-4)</f>
        <v/>
      </c>
      <c r="B7538" s="13">
        <f>IF(H7538="","",ROW()-4)</f>
        <v/>
      </c>
    </row>
    <row r="7539">
      <c r="A7539" s="13">
        <f>IF(H7539="","",ROW()-4)</f>
        <v/>
      </c>
      <c r="B7539" s="13">
        <f>IF(H7539="","",ROW()-4)</f>
        <v/>
      </c>
    </row>
    <row r="7540">
      <c r="A7540" s="13">
        <f>IF(H7540="","",ROW()-4)</f>
        <v/>
      </c>
      <c r="B7540" s="13">
        <f>IF(H7540="","",ROW()-4)</f>
        <v/>
      </c>
    </row>
    <row r="7541">
      <c r="A7541" s="13">
        <f>IF(H7541="","",ROW()-4)</f>
        <v/>
      </c>
      <c r="B7541" s="13">
        <f>IF(H7541="","",ROW()-4)</f>
        <v/>
      </c>
    </row>
    <row r="7542">
      <c r="A7542" s="13">
        <f>IF(H7542="","",ROW()-4)</f>
        <v/>
      </c>
      <c r="B7542" s="13">
        <f>IF(H7542="","",ROW()-4)</f>
        <v/>
      </c>
    </row>
    <row r="7543">
      <c r="A7543" s="13">
        <f>IF(H7543="","",ROW()-4)</f>
        <v/>
      </c>
      <c r="B7543" s="13">
        <f>IF(H7543="","",ROW()-4)</f>
        <v/>
      </c>
    </row>
    <row r="7544">
      <c r="A7544" s="13">
        <f>IF(H7544="","",ROW()-4)</f>
        <v/>
      </c>
      <c r="B7544" s="13">
        <f>IF(H7544="","",ROW()-4)</f>
        <v/>
      </c>
    </row>
    <row r="7545">
      <c r="A7545" s="13">
        <f>IF(H7545="","",ROW()-4)</f>
        <v/>
      </c>
      <c r="B7545" s="13">
        <f>IF(H7545="","",ROW()-4)</f>
        <v/>
      </c>
    </row>
    <row r="7546">
      <c r="A7546" s="13">
        <f>IF(H7546="","",ROW()-4)</f>
        <v/>
      </c>
      <c r="B7546" s="13">
        <f>IF(H7546="","",ROW()-4)</f>
        <v/>
      </c>
    </row>
    <row r="7547">
      <c r="A7547" s="13">
        <f>IF(H7547="","",ROW()-4)</f>
        <v/>
      </c>
      <c r="B7547" s="13">
        <f>IF(H7547="","",ROW()-4)</f>
        <v/>
      </c>
    </row>
    <row r="7548">
      <c r="A7548" s="13">
        <f>IF(H7548="","",ROW()-4)</f>
        <v/>
      </c>
      <c r="B7548" s="13">
        <f>IF(H7548="","",ROW()-4)</f>
        <v/>
      </c>
    </row>
    <row r="7549">
      <c r="A7549" s="13">
        <f>IF(H7549="","",ROW()-4)</f>
        <v/>
      </c>
      <c r="B7549" s="13">
        <f>IF(H7549="","",ROW()-4)</f>
        <v/>
      </c>
    </row>
    <row r="7550">
      <c r="A7550" s="13">
        <f>IF(H7550="","",ROW()-4)</f>
        <v/>
      </c>
      <c r="B7550" s="13">
        <f>IF(H7550="","",ROW()-4)</f>
        <v/>
      </c>
    </row>
    <row r="7551">
      <c r="A7551" s="13">
        <f>IF(H7551="","",ROW()-4)</f>
        <v/>
      </c>
      <c r="B7551" s="13">
        <f>IF(H7551="","",ROW()-4)</f>
        <v/>
      </c>
    </row>
    <row r="7552">
      <c r="A7552" s="13">
        <f>IF(H7552="","",ROW()-4)</f>
        <v/>
      </c>
      <c r="B7552" s="13">
        <f>IF(H7552="","",ROW()-4)</f>
        <v/>
      </c>
    </row>
    <row r="7553">
      <c r="A7553" s="13">
        <f>IF(H7553="","",ROW()-4)</f>
        <v/>
      </c>
      <c r="B7553" s="13">
        <f>IF(H7553="","",ROW()-4)</f>
        <v/>
      </c>
    </row>
    <row r="7554">
      <c r="A7554" s="13">
        <f>IF(H7554="","",ROW()-4)</f>
        <v/>
      </c>
      <c r="B7554" s="13">
        <f>IF(H7554="","",ROW()-4)</f>
        <v/>
      </c>
    </row>
    <row r="7555">
      <c r="A7555" s="13">
        <f>IF(H7555="","",ROW()-4)</f>
        <v/>
      </c>
      <c r="B7555" s="13">
        <f>IF(H7555="","",ROW()-4)</f>
        <v/>
      </c>
    </row>
    <row r="7556">
      <c r="A7556" s="13">
        <f>IF(H7556="","",ROW()-4)</f>
        <v/>
      </c>
      <c r="B7556" s="13">
        <f>IF(H7556="","",ROW()-4)</f>
        <v/>
      </c>
    </row>
    <row r="7557">
      <c r="A7557" s="13">
        <f>IF(H7557="","",ROW()-4)</f>
        <v/>
      </c>
      <c r="B7557" s="13">
        <f>IF(H7557="","",ROW()-4)</f>
        <v/>
      </c>
    </row>
    <row r="7558">
      <c r="A7558" s="13">
        <f>IF(H7558="","",ROW()-4)</f>
        <v/>
      </c>
      <c r="B7558" s="13">
        <f>IF(H7558="","",ROW()-4)</f>
        <v/>
      </c>
    </row>
    <row r="7559">
      <c r="A7559" s="13">
        <f>IF(H7559="","",ROW()-4)</f>
        <v/>
      </c>
      <c r="B7559" s="13">
        <f>IF(H7559="","",ROW()-4)</f>
        <v/>
      </c>
    </row>
    <row r="7560">
      <c r="A7560" s="13">
        <f>IF(H7560="","",ROW()-4)</f>
        <v/>
      </c>
      <c r="B7560" s="13">
        <f>IF(H7560="","",ROW()-4)</f>
        <v/>
      </c>
    </row>
    <row r="7561">
      <c r="A7561" s="13">
        <f>IF(H7561="","",ROW()-4)</f>
        <v/>
      </c>
      <c r="B7561" s="13">
        <f>IF(H7561="","",ROW()-4)</f>
        <v/>
      </c>
    </row>
    <row r="7562">
      <c r="A7562" s="13">
        <f>IF(H7562="","",ROW()-4)</f>
        <v/>
      </c>
      <c r="B7562" s="13">
        <f>IF(H7562="","",ROW()-4)</f>
        <v/>
      </c>
    </row>
    <row r="7563">
      <c r="A7563" s="13">
        <f>IF(H7563="","",ROW()-4)</f>
        <v/>
      </c>
      <c r="B7563" s="13">
        <f>IF(H7563="","",ROW()-4)</f>
        <v/>
      </c>
    </row>
    <row r="7564">
      <c r="A7564" s="13">
        <f>IF(H7564="","",ROW()-4)</f>
        <v/>
      </c>
      <c r="B7564" s="13">
        <f>IF(H7564="","",ROW()-4)</f>
        <v/>
      </c>
    </row>
    <row r="7565">
      <c r="A7565" s="13">
        <f>IF(H7565="","",ROW()-4)</f>
        <v/>
      </c>
      <c r="B7565" s="13">
        <f>IF(H7565="","",ROW()-4)</f>
        <v/>
      </c>
    </row>
    <row r="7566">
      <c r="A7566" s="13">
        <f>IF(H7566="","",ROW()-4)</f>
        <v/>
      </c>
      <c r="B7566" s="13">
        <f>IF(H7566="","",ROW()-4)</f>
        <v/>
      </c>
    </row>
    <row r="7567">
      <c r="A7567" s="13">
        <f>IF(H7567="","",ROW()-4)</f>
        <v/>
      </c>
      <c r="B7567" s="13">
        <f>IF(H7567="","",ROW()-4)</f>
        <v/>
      </c>
    </row>
    <row r="7568">
      <c r="A7568" s="13">
        <f>IF(H7568="","",ROW()-4)</f>
        <v/>
      </c>
      <c r="B7568" s="13">
        <f>IF(H7568="","",ROW()-4)</f>
        <v/>
      </c>
    </row>
    <row r="7569">
      <c r="A7569" s="13">
        <f>IF(H7569="","",ROW()-4)</f>
        <v/>
      </c>
      <c r="B7569" s="13">
        <f>IF(H7569="","",ROW()-4)</f>
        <v/>
      </c>
    </row>
    <row r="7570">
      <c r="A7570" s="13">
        <f>IF(H7570="","",ROW()-4)</f>
        <v/>
      </c>
      <c r="B7570" s="13">
        <f>IF(H7570="","",ROW()-4)</f>
        <v/>
      </c>
    </row>
    <row r="7571">
      <c r="A7571" s="13">
        <f>IF(H7571="","",ROW()-4)</f>
        <v/>
      </c>
      <c r="B7571" s="13">
        <f>IF(H7571="","",ROW()-4)</f>
        <v/>
      </c>
    </row>
    <row r="7572">
      <c r="A7572" s="13">
        <f>IF(H7572="","",ROW()-4)</f>
        <v/>
      </c>
      <c r="B7572" s="13">
        <f>IF(H7572="","",ROW()-4)</f>
        <v/>
      </c>
    </row>
    <row r="7573">
      <c r="A7573" s="13">
        <f>IF(H7573="","",ROW()-4)</f>
        <v/>
      </c>
      <c r="B7573" s="13">
        <f>IF(H7573="","",ROW()-4)</f>
        <v/>
      </c>
    </row>
    <row r="7574">
      <c r="A7574" s="13">
        <f>IF(H7574="","",ROW()-4)</f>
        <v/>
      </c>
      <c r="B7574" s="13">
        <f>IF(H7574="","",ROW()-4)</f>
        <v/>
      </c>
    </row>
    <row r="7575">
      <c r="A7575" s="13">
        <f>IF(H7575="","",ROW()-4)</f>
        <v/>
      </c>
      <c r="B7575" s="13">
        <f>IF(H7575="","",ROW()-4)</f>
        <v/>
      </c>
    </row>
    <row r="7576">
      <c r="A7576" s="13">
        <f>IF(H7576="","",ROW()-4)</f>
        <v/>
      </c>
      <c r="B7576" s="13">
        <f>IF(H7576="","",ROW()-4)</f>
        <v/>
      </c>
    </row>
    <row r="7577">
      <c r="A7577" s="13">
        <f>IF(H7577="","",ROW()-4)</f>
        <v/>
      </c>
      <c r="B7577" s="13">
        <f>IF(H7577="","",ROW()-4)</f>
        <v/>
      </c>
    </row>
    <row r="7578">
      <c r="A7578" s="13">
        <f>IF(H7578="","",ROW()-4)</f>
        <v/>
      </c>
      <c r="B7578" s="13">
        <f>IF(H7578="","",ROW()-4)</f>
        <v/>
      </c>
    </row>
    <row r="7579">
      <c r="A7579" s="13">
        <f>IF(H7579="","",ROW()-4)</f>
        <v/>
      </c>
      <c r="B7579" s="13">
        <f>IF(H7579="","",ROW()-4)</f>
        <v/>
      </c>
    </row>
    <row r="7580">
      <c r="A7580" s="13">
        <f>IF(H7580="","",ROW()-4)</f>
        <v/>
      </c>
      <c r="B7580" s="13">
        <f>IF(H7580="","",ROW()-4)</f>
        <v/>
      </c>
    </row>
    <row r="7581">
      <c r="A7581" s="13">
        <f>IF(H7581="","",ROW()-4)</f>
        <v/>
      </c>
      <c r="B7581" s="13">
        <f>IF(H7581="","",ROW()-4)</f>
        <v/>
      </c>
    </row>
    <row r="7582">
      <c r="A7582" s="13">
        <f>IF(H7582="","",ROW()-4)</f>
        <v/>
      </c>
      <c r="B7582" s="13">
        <f>IF(H7582="","",ROW()-4)</f>
        <v/>
      </c>
    </row>
    <row r="7583">
      <c r="A7583" s="13">
        <f>IF(H7583="","",ROW()-4)</f>
        <v/>
      </c>
      <c r="B7583" s="13">
        <f>IF(H7583="","",ROW()-4)</f>
        <v/>
      </c>
    </row>
    <row r="7584">
      <c r="A7584" s="13">
        <f>IF(H7584="","",ROW()-4)</f>
        <v/>
      </c>
      <c r="B7584" s="13">
        <f>IF(H7584="","",ROW()-4)</f>
        <v/>
      </c>
    </row>
    <row r="7585">
      <c r="A7585" s="13">
        <f>IF(H7585="","",ROW()-4)</f>
        <v/>
      </c>
      <c r="B7585" s="13">
        <f>IF(H7585="","",ROW()-4)</f>
        <v/>
      </c>
    </row>
    <row r="7586">
      <c r="A7586" s="13">
        <f>IF(H7586="","",ROW()-4)</f>
        <v/>
      </c>
      <c r="B7586" s="13">
        <f>IF(H7586="","",ROW()-4)</f>
        <v/>
      </c>
    </row>
    <row r="7587">
      <c r="A7587" s="13">
        <f>IF(H7587="","",ROW()-4)</f>
        <v/>
      </c>
      <c r="B7587" s="13">
        <f>IF(H7587="","",ROW()-4)</f>
        <v/>
      </c>
    </row>
    <row r="7588">
      <c r="A7588" s="13">
        <f>IF(H7588="","",ROW()-4)</f>
        <v/>
      </c>
      <c r="B7588" s="13">
        <f>IF(H7588="","",ROW()-4)</f>
        <v/>
      </c>
    </row>
    <row r="7589">
      <c r="A7589" s="13">
        <f>IF(H7589="","",ROW()-4)</f>
        <v/>
      </c>
      <c r="B7589" s="13">
        <f>IF(H7589="","",ROW()-4)</f>
        <v/>
      </c>
    </row>
    <row r="7590">
      <c r="A7590" s="13">
        <f>IF(H7590="","",ROW()-4)</f>
        <v/>
      </c>
      <c r="B7590" s="13">
        <f>IF(H7590="","",ROW()-4)</f>
        <v/>
      </c>
    </row>
    <row r="7591">
      <c r="A7591" s="13">
        <f>IF(H7591="","",ROW()-4)</f>
        <v/>
      </c>
      <c r="B7591" s="13">
        <f>IF(H7591="","",ROW()-4)</f>
        <v/>
      </c>
    </row>
    <row r="7592">
      <c r="A7592" s="13">
        <f>IF(H7592="","",ROW()-4)</f>
        <v/>
      </c>
      <c r="B7592" s="13">
        <f>IF(H7592="","",ROW()-4)</f>
        <v/>
      </c>
    </row>
    <row r="7593">
      <c r="A7593" s="13">
        <f>IF(H7593="","",ROW()-4)</f>
        <v/>
      </c>
      <c r="B7593" s="13">
        <f>IF(H7593="","",ROW()-4)</f>
        <v/>
      </c>
    </row>
    <row r="7594">
      <c r="A7594" s="13">
        <f>IF(H7594="","",ROW()-4)</f>
        <v/>
      </c>
      <c r="B7594" s="13">
        <f>IF(H7594="","",ROW()-4)</f>
        <v/>
      </c>
    </row>
    <row r="7595">
      <c r="A7595" s="13">
        <f>IF(H7595="","",ROW()-4)</f>
        <v/>
      </c>
      <c r="B7595" s="13">
        <f>IF(H7595="","",ROW()-4)</f>
        <v/>
      </c>
    </row>
    <row r="7596">
      <c r="A7596" s="13">
        <f>IF(H7596="","",ROW()-4)</f>
        <v/>
      </c>
      <c r="B7596" s="13">
        <f>IF(H7596="","",ROW()-4)</f>
        <v/>
      </c>
    </row>
    <row r="7597">
      <c r="A7597" s="13">
        <f>IF(H7597="","",ROW()-4)</f>
        <v/>
      </c>
      <c r="B7597" s="13">
        <f>IF(H7597="","",ROW()-4)</f>
        <v/>
      </c>
    </row>
    <row r="7598">
      <c r="A7598" s="13">
        <f>IF(H7598="","",ROW()-4)</f>
        <v/>
      </c>
      <c r="B7598" s="13">
        <f>IF(H7598="","",ROW()-4)</f>
        <v/>
      </c>
    </row>
    <row r="7599">
      <c r="A7599" s="13">
        <f>IF(H7599="","",ROW()-4)</f>
        <v/>
      </c>
      <c r="B7599" s="13">
        <f>IF(H7599="","",ROW()-4)</f>
        <v/>
      </c>
    </row>
    <row r="7600">
      <c r="A7600" s="13">
        <f>IF(H7600="","",ROW()-4)</f>
        <v/>
      </c>
      <c r="B7600" s="13">
        <f>IF(H7600="","",ROW()-4)</f>
        <v/>
      </c>
    </row>
    <row r="7601">
      <c r="A7601" s="13">
        <f>IF(H7601="","",ROW()-4)</f>
        <v/>
      </c>
      <c r="B7601" s="13">
        <f>IF(H7601="","",ROW()-4)</f>
        <v/>
      </c>
    </row>
    <row r="7602">
      <c r="A7602" s="13">
        <f>IF(H7602="","",ROW()-4)</f>
        <v/>
      </c>
      <c r="B7602" s="13">
        <f>IF(H7602="","",ROW()-4)</f>
        <v/>
      </c>
    </row>
    <row r="7603">
      <c r="A7603" s="13">
        <f>IF(H7603="","",ROW()-4)</f>
        <v/>
      </c>
      <c r="B7603" s="13">
        <f>IF(H7603="","",ROW()-4)</f>
        <v/>
      </c>
    </row>
    <row r="7604">
      <c r="A7604" s="13">
        <f>IF(H7604="","",ROW()-4)</f>
        <v/>
      </c>
      <c r="B7604" s="13">
        <f>IF(H7604="","",ROW()-4)</f>
        <v/>
      </c>
    </row>
    <row r="7605">
      <c r="A7605" s="13">
        <f>IF(H7605="","",ROW()-4)</f>
        <v/>
      </c>
      <c r="B7605" s="13">
        <f>IF(H7605="","",ROW()-4)</f>
        <v/>
      </c>
    </row>
    <row r="7606">
      <c r="A7606" s="13">
        <f>IF(H7606="","",ROW()-4)</f>
        <v/>
      </c>
      <c r="B7606" s="13">
        <f>IF(H7606="","",ROW()-4)</f>
        <v/>
      </c>
    </row>
    <row r="7607">
      <c r="A7607" s="13">
        <f>IF(H7607="","",ROW()-4)</f>
        <v/>
      </c>
      <c r="B7607" s="13">
        <f>IF(H7607="","",ROW()-4)</f>
        <v/>
      </c>
    </row>
    <row r="7608">
      <c r="A7608" s="13">
        <f>IF(H7608="","",ROW()-4)</f>
        <v/>
      </c>
      <c r="B7608" s="13">
        <f>IF(H7608="","",ROW()-4)</f>
        <v/>
      </c>
    </row>
    <row r="7609">
      <c r="A7609" s="13">
        <f>IF(H7609="","",ROW()-4)</f>
        <v/>
      </c>
      <c r="B7609" s="13">
        <f>IF(H7609="","",ROW()-4)</f>
        <v/>
      </c>
    </row>
    <row r="7610">
      <c r="A7610" s="13">
        <f>IF(H7610="","",ROW()-4)</f>
        <v/>
      </c>
      <c r="B7610" s="13">
        <f>IF(H7610="","",ROW()-4)</f>
        <v/>
      </c>
    </row>
    <row r="7611">
      <c r="A7611" s="13">
        <f>IF(H7611="","",ROW()-4)</f>
        <v/>
      </c>
      <c r="B7611" s="13">
        <f>IF(H7611="","",ROW()-4)</f>
        <v/>
      </c>
    </row>
    <row r="7612">
      <c r="A7612" s="13">
        <f>IF(H7612="","",ROW()-4)</f>
        <v/>
      </c>
      <c r="B7612" s="13">
        <f>IF(H7612="","",ROW()-4)</f>
        <v/>
      </c>
    </row>
    <row r="7613">
      <c r="A7613" s="13">
        <f>IF(H7613="","",ROW()-4)</f>
        <v/>
      </c>
      <c r="B7613" s="13">
        <f>IF(H7613="","",ROW()-4)</f>
        <v/>
      </c>
    </row>
    <row r="7614">
      <c r="A7614" s="13">
        <f>IF(H7614="","",ROW()-4)</f>
        <v/>
      </c>
      <c r="B7614" s="13">
        <f>IF(H7614="","",ROW()-4)</f>
        <v/>
      </c>
    </row>
    <row r="7615">
      <c r="A7615" s="13">
        <f>IF(H7615="","",ROW()-4)</f>
        <v/>
      </c>
      <c r="B7615" s="13">
        <f>IF(H7615="","",ROW()-4)</f>
        <v/>
      </c>
    </row>
    <row r="7616">
      <c r="A7616" s="13">
        <f>IF(H7616="","",ROW()-4)</f>
        <v/>
      </c>
      <c r="B7616" s="13">
        <f>IF(H7616="","",ROW()-4)</f>
        <v/>
      </c>
    </row>
    <row r="7617">
      <c r="A7617" s="13">
        <f>IF(H7617="","",ROW()-4)</f>
        <v/>
      </c>
      <c r="B7617" s="13">
        <f>IF(H7617="","",ROW()-4)</f>
        <v/>
      </c>
    </row>
    <row r="7618">
      <c r="A7618" s="13">
        <f>IF(H7618="","",ROW()-4)</f>
        <v/>
      </c>
      <c r="B7618" s="13">
        <f>IF(H7618="","",ROW()-4)</f>
        <v/>
      </c>
    </row>
    <row r="7619">
      <c r="A7619" s="13">
        <f>IF(H7619="","",ROW()-4)</f>
        <v/>
      </c>
      <c r="B7619" s="13">
        <f>IF(H7619="","",ROW()-4)</f>
        <v/>
      </c>
    </row>
    <row r="7620">
      <c r="A7620" s="13">
        <f>IF(H7620="","",ROW()-4)</f>
        <v/>
      </c>
      <c r="B7620" s="13">
        <f>IF(H7620="","",ROW()-4)</f>
        <v/>
      </c>
    </row>
    <row r="7621">
      <c r="A7621" s="13">
        <f>IF(H7621="","",ROW()-4)</f>
        <v/>
      </c>
      <c r="B7621" s="13">
        <f>IF(H7621="","",ROW()-4)</f>
        <v/>
      </c>
    </row>
    <row r="7622">
      <c r="A7622" s="13">
        <f>IF(H7622="","",ROW()-4)</f>
        <v/>
      </c>
      <c r="B7622" s="13">
        <f>IF(H7622="","",ROW()-4)</f>
        <v/>
      </c>
    </row>
    <row r="7623">
      <c r="A7623" s="13">
        <f>IF(H7623="","",ROW()-4)</f>
        <v/>
      </c>
      <c r="B7623" s="13">
        <f>IF(H7623="","",ROW()-4)</f>
        <v/>
      </c>
    </row>
    <row r="7624">
      <c r="A7624" s="13">
        <f>IF(H7624="","",ROW()-4)</f>
        <v/>
      </c>
      <c r="B7624" s="13">
        <f>IF(H7624="","",ROW()-4)</f>
        <v/>
      </c>
    </row>
    <row r="7625">
      <c r="A7625" s="13">
        <f>IF(H7625="","",ROW()-4)</f>
        <v/>
      </c>
      <c r="B7625" s="13">
        <f>IF(H7625="","",ROW()-4)</f>
        <v/>
      </c>
    </row>
    <row r="7626">
      <c r="A7626" s="13">
        <f>IF(H7626="","",ROW()-4)</f>
        <v/>
      </c>
      <c r="B7626" s="13">
        <f>IF(H7626="","",ROW()-4)</f>
        <v/>
      </c>
    </row>
    <row r="7627">
      <c r="A7627" s="13">
        <f>IF(H7627="","",ROW()-4)</f>
        <v/>
      </c>
      <c r="B7627" s="13">
        <f>IF(H7627="","",ROW()-4)</f>
        <v/>
      </c>
    </row>
    <row r="7628">
      <c r="A7628" s="13">
        <f>IF(H7628="","",ROW()-4)</f>
        <v/>
      </c>
      <c r="B7628" s="13">
        <f>IF(H7628="","",ROW()-4)</f>
        <v/>
      </c>
    </row>
    <row r="7629">
      <c r="A7629" s="13">
        <f>IF(H7629="","",ROW()-4)</f>
        <v/>
      </c>
      <c r="B7629" s="13">
        <f>IF(H7629="","",ROW()-4)</f>
        <v/>
      </c>
    </row>
    <row r="7630">
      <c r="A7630" s="13">
        <f>IF(H7630="","",ROW()-4)</f>
        <v/>
      </c>
      <c r="B7630" s="13">
        <f>IF(H7630="","",ROW()-4)</f>
        <v/>
      </c>
    </row>
    <row r="7631">
      <c r="A7631" s="13">
        <f>IF(H7631="","",ROW()-4)</f>
        <v/>
      </c>
      <c r="B7631" s="13">
        <f>IF(H7631="","",ROW()-4)</f>
        <v/>
      </c>
    </row>
    <row r="7632">
      <c r="A7632" s="13">
        <f>IF(H7632="","",ROW()-4)</f>
        <v/>
      </c>
      <c r="B7632" s="13">
        <f>IF(H7632="","",ROW()-4)</f>
        <v/>
      </c>
    </row>
    <row r="7633">
      <c r="A7633" s="13">
        <f>IF(H7633="","",ROW()-4)</f>
        <v/>
      </c>
      <c r="B7633" s="13">
        <f>IF(H7633="","",ROW()-4)</f>
        <v/>
      </c>
    </row>
    <row r="7634">
      <c r="A7634" s="13">
        <f>IF(H7634="","",ROW()-4)</f>
        <v/>
      </c>
      <c r="B7634" s="13">
        <f>IF(H7634="","",ROW()-4)</f>
        <v/>
      </c>
    </row>
    <row r="7635">
      <c r="A7635" s="13">
        <f>IF(H7635="","",ROW()-4)</f>
        <v/>
      </c>
      <c r="B7635" s="13">
        <f>IF(H7635="","",ROW()-4)</f>
        <v/>
      </c>
    </row>
    <row r="7636">
      <c r="A7636" s="13">
        <f>IF(H7636="","",ROW()-4)</f>
        <v/>
      </c>
      <c r="B7636" s="13">
        <f>IF(H7636="","",ROW()-4)</f>
        <v/>
      </c>
    </row>
    <row r="7637">
      <c r="A7637" s="13">
        <f>IF(H7637="","",ROW()-4)</f>
        <v/>
      </c>
      <c r="B7637" s="13">
        <f>IF(H7637="","",ROW()-4)</f>
        <v/>
      </c>
    </row>
    <row r="7638">
      <c r="A7638" s="13">
        <f>IF(H7638="","",ROW()-4)</f>
        <v/>
      </c>
      <c r="B7638" s="13">
        <f>IF(H7638="","",ROW()-4)</f>
        <v/>
      </c>
    </row>
    <row r="7639">
      <c r="A7639" s="13">
        <f>IF(H7639="","",ROW()-4)</f>
        <v/>
      </c>
      <c r="B7639" s="13">
        <f>IF(H7639="","",ROW()-4)</f>
        <v/>
      </c>
    </row>
    <row r="7640">
      <c r="A7640" s="13">
        <f>IF(H7640="","",ROW()-4)</f>
        <v/>
      </c>
      <c r="B7640" s="13">
        <f>IF(H7640="","",ROW()-4)</f>
        <v/>
      </c>
    </row>
    <row r="7641">
      <c r="A7641" s="13">
        <f>IF(H7641="","",ROW()-4)</f>
        <v/>
      </c>
      <c r="B7641" s="13">
        <f>IF(H7641="","",ROW()-4)</f>
        <v/>
      </c>
    </row>
    <row r="7642">
      <c r="A7642" s="13">
        <f>IF(H7642="","",ROW()-4)</f>
        <v/>
      </c>
      <c r="B7642" s="13">
        <f>IF(H7642="","",ROW()-4)</f>
        <v/>
      </c>
    </row>
    <row r="7643">
      <c r="A7643" s="13">
        <f>IF(H7643="","",ROW()-4)</f>
        <v/>
      </c>
      <c r="B7643" s="13">
        <f>IF(H7643="","",ROW()-4)</f>
        <v/>
      </c>
    </row>
    <row r="7644">
      <c r="A7644" s="13">
        <f>IF(H7644="","",ROW()-4)</f>
        <v/>
      </c>
      <c r="B7644" s="13">
        <f>IF(H7644="","",ROW()-4)</f>
        <v/>
      </c>
    </row>
    <row r="7645">
      <c r="A7645" s="13">
        <f>IF(H7645="","",ROW()-4)</f>
        <v/>
      </c>
      <c r="B7645" s="13">
        <f>IF(H7645="","",ROW()-4)</f>
        <v/>
      </c>
    </row>
    <row r="7646">
      <c r="A7646" s="13">
        <f>IF(H7646="","",ROW()-4)</f>
        <v/>
      </c>
      <c r="B7646" s="13">
        <f>IF(H7646="","",ROW()-4)</f>
        <v/>
      </c>
    </row>
    <row r="7647">
      <c r="A7647" s="13">
        <f>IF(H7647="","",ROW()-4)</f>
        <v/>
      </c>
      <c r="B7647" s="13">
        <f>IF(H7647="","",ROW()-4)</f>
        <v/>
      </c>
    </row>
    <row r="7648">
      <c r="A7648" s="13">
        <f>IF(H7648="","",ROW()-4)</f>
        <v/>
      </c>
      <c r="B7648" s="13">
        <f>IF(H7648="","",ROW()-4)</f>
        <v/>
      </c>
    </row>
    <row r="7649">
      <c r="A7649" s="13">
        <f>IF(H7649="","",ROW()-4)</f>
        <v/>
      </c>
      <c r="B7649" s="13">
        <f>IF(H7649="","",ROW()-4)</f>
        <v/>
      </c>
    </row>
    <row r="7650">
      <c r="A7650" s="13">
        <f>IF(H7650="","",ROW()-4)</f>
        <v/>
      </c>
      <c r="B7650" s="13">
        <f>IF(H7650="","",ROW()-4)</f>
        <v/>
      </c>
    </row>
    <row r="7651">
      <c r="A7651" s="13">
        <f>IF(H7651="","",ROW()-4)</f>
        <v/>
      </c>
      <c r="B7651" s="13">
        <f>IF(H7651="","",ROW()-4)</f>
        <v/>
      </c>
    </row>
    <row r="7652">
      <c r="A7652" s="13">
        <f>IF(H7652="","",ROW()-4)</f>
        <v/>
      </c>
      <c r="B7652" s="13">
        <f>IF(H7652="","",ROW()-4)</f>
        <v/>
      </c>
    </row>
    <row r="7653">
      <c r="A7653" s="13">
        <f>IF(H7653="","",ROW()-4)</f>
        <v/>
      </c>
      <c r="B7653" s="13">
        <f>IF(H7653="","",ROW()-4)</f>
        <v/>
      </c>
    </row>
    <row r="7654">
      <c r="A7654" s="13">
        <f>IF(H7654="","",ROW()-4)</f>
        <v/>
      </c>
      <c r="B7654" s="13">
        <f>IF(H7654="","",ROW()-4)</f>
        <v/>
      </c>
    </row>
    <row r="7655">
      <c r="A7655" s="13">
        <f>IF(H7655="","",ROW()-4)</f>
        <v/>
      </c>
      <c r="B7655" s="13">
        <f>IF(H7655="","",ROW()-4)</f>
        <v/>
      </c>
    </row>
    <row r="7656">
      <c r="A7656" s="13">
        <f>IF(H7656="","",ROW()-4)</f>
        <v/>
      </c>
      <c r="B7656" s="13">
        <f>IF(H7656="","",ROW()-4)</f>
        <v/>
      </c>
    </row>
    <row r="7657">
      <c r="A7657" s="13">
        <f>IF(H7657="","",ROW()-4)</f>
        <v/>
      </c>
      <c r="B7657" s="13">
        <f>IF(H7657="","",ROW()-4)</f>
        <v/>
      </c>
    </row>
    <row r="7658">
      <c r="A7658" s="13">
        <f>IF(H7658="","",ROW()-4)</f>
        <v/>
      </c>
      <c r="B7658" s="13">
        <f>IF(H7658="","",ROW()-4)</f>
        <v/>
      </c>
    </row>
    <row r="7659">
      <c r="A7659" s="13">
        <f>IF(H7659="","",ROW()-4)</f>
        <v/>
      </c>
      <c r="B7659" s="13">
        <f>IF(H7659="","",ROW()-4)</f>
        <v/>
      </c>
    </row>
    <row r="7660">
      <c r="A7660" s="13">
        <f>IF(H7660="","",ROW()-4)</f>
        <v/>
      </c>
      <c r="B7660" s="13">
        <f>IF(H7660="","",ROW()-4)</f>
        <v/>
      </c>
    </row>
    <row r="7661">
      <c r="A7661" s="13">
        <f>IF(H7661="","",ROW()-4)</f>
        <v/>
      </c>
      <c r="B7661" s="13">
        <f>IF(H7661="","",ROW()-4)</f>
        <v/>
      </c>
    </row>
    <row r="7662">
      <c r="A7662" s="13">
        <f>IF(H7662="","",ROW()-4)</f>
        <v/>
      </c>
      <c r="B7662" s="13">
        <f>IF(H7662="","",ROW()-4)</f>
        <v/>
      </c>
    </row>
    <row r="7663">
      <c r="A7663" s="13">
        <f>IF(H7663="","",ROW()-4)</f>
        <v/>
      </c>
      <c r="B7663" s="13">
        <f>IF(H7663="","",ROW()-4)</f>
        <v/>
      </c>
    </row>
    <row r="7664">
      <c r="A7664" s="13">
        <f>IF(H7664="","",ROW()-4)</f>
        <v/>
      </c>
      <c r="B7664" s="13">
        <f>IF(H7664="","",ROW()-4)</f>
        <v/>
      </c>
    </row>
    <row r="7665">
      <c r="A7665" s="13">
        <f>IF(H7665="","",ROW()-4)</f>
        <v/>
      </c>
      <c r="B7665" s="13">
        <f>IF(H7665="","",ROW()-4)</f>
        <v/>
      </c>
    </row>
    <row r="7666">
      <c r="A7666" s="13">
        <f>IF(H7666="","",ROW()-4)</f>
        <v/>
      </c>
      <c r="B7666" s="13">
        <f>IF(H7666="","",ROW()-4)</f>
        <v/>
      </c>
    </row>
    <row r="7667">
      <c r="A7667" s="13">
        <f>IF(H7667="","",ROW()-4)</f>
        <v/>
      </c>
      <c r="B7667" s="13">
        <f>IF(H7667="","",ROW()-4)</f>
        <v/>
      </c>
    </row>
    <row r="7668">
      <c r="A7668" s="13">
        <f>IF(H7668="","",ROW()-4)</f>
        <v/>
      </c>
      <c r="B7668" s="13">
        <f>IF(H7668="","",ROW()-4)</f>
        <v/>
      </c>
    </row>
    <row r="7669">
      <c r="A7669" s="13">
        <f>IF(H7669="","",ROW()-4)</f>
        <v/>
      </c>
      <c r="B7669" s="13">
        <f>IF(H7669="","",ROW()-4)</f>
        <v/>
      </c>
    </row>
    <row r="7670">
      <c r="A7670" s="13">
        <f>IF(H7670="","",ROW()-4)</f>
        <v/>
      </c>
      <c r="B7670" s="13">
        <f>IF(H7670="","",ROW()-4)</f>
        <v/>
      </c>
    </row>
    <row r="7671">
      <c r="A7671" s="13">
        <f>IF(H7671="","",ROW()-4)</f>
        <v/>
      </c>
      <c r="B7671" s="13">
        <f>IF(H7671="","",ROW()-4)</f>
        <v/>
      </c>
    </row>
    <row r="7672">
      <c r="A7672" s="13">
        <f>IF(H7672="","",ROW()-4)</f>
        <v/>
      </c>
      <c r="B7672" s="13">
        <f>IF(H7672="","",ROW()-4)</f>
        <v/>
      </c>
    </row>
    <row r="7673">
      <c r="A7673" s="13">
        <f>IF(H7673="","",ROW()-4)</f>
        <v/>
      </c>
      <c r="B7673" s="13">
        <f>IF(H7673="","",ROW()-4)</f>
        <v/>
      </c>
    </row>
    <row r="7674">
      <c r="A7674" s="13">
        <f>IF(H7674="","",ROW()-4)</f>
        <v/>
      </c>
      <c r="B7674" s="13">
        <f>IF(H7674="","",ROW()-4)</f>
        <v/>
      </c>
    </row>
    <row r="7675">
      <c r="A7675" s="13">
        <f>IF(H7675="","",ROW()-4)</f>
        <v/>
      </c>
      <c r="B7675" s="13">
        <f>IF(H7675="","",ROW()-4)</f>
        <v/>
      </c>
    </row>
    <row r="7676">
      <c r="A7676" s="13">
        <f>IF(H7676="","",ROW()-4)</f>
        <v/>
      </c>
      <c r="B7676" s="13">
        <f>IF(H7676="","",ROW()-4)</f>
        <v/>
      </c>
    </row>
    <row r="7677">
      <c r="A7677" s="13">
        <f>IF(H7677="","",ROW()-4)</f>
        <v/>
      </c>
      <c r="B7677" s="13">
        <f>IF(H7677="","",ROW()-4)</f>
        <v/>
      </c>
    </row>
    <row r="7678">
      <c r="A7678" s="13">
        <f>IF(H7678="","",ROW()-4)</f>
        <v/>
      </c>
      <c r="B7678" s="13">
        <f>IF(H7678="","",ROW()-4)</f>
        <v/>
      </c>
    </row>
    <row r="7679">
      <c r="A7679" s="13">
        <f>IF(H7679="","",ROW()-4)</f>
        <v/>
      </c>
      <c r="B7679" s="13">
        <f>IF(H7679="","",ROW()-4)</f>
        <v/>
      </c>
    </row>
    <row r="7680">
      <c r="A7680" s="13">
        <f>IF(H7680="","",ROW()-4)</f>
        <v/>
      </c>
      <c r="B7680" s="13">
        <f>IF(H7680="","",ROW()-4)</f>
        <v/>
      </c>
    </row>
    <row r="7681">
      <c r="A7681" s="13">
        <f>IF(H7681="","",ROW()-4)</f>
        <v/>
      </c>
      <c r="B7681" s="13">
        <f>IF(H7681="","",ROW()-4)</f>
        <v/>
      </c>
    </row>
    <row r="7682">
      <c r="A7682" s="13">
        <f>IF(H7682="","",ROW()-4)</f>
        <v/>
      </c>
      <c r="B7682" s="13">
        <f>IF(H7682="","",ROW()-4)</f>
        <v/>
      </c>
    </row>
    <row r="7683">
      <c r="A7683" s="13">
        <f>IF(H7683="","",ROW()-4)</f>
        <v/>
      </c>
      <c r="B7683" s="13">
        <f>IF(H7683="","",ROW()-4)</f>
        <v/>
      </c>
    </row>
    <row r="7684">
      <c r="A7684" s="13">
        <f>IF(H7684="","",ROW()-4)</f>
        <v/>
      </c>
      <c r="B7684" s="13">
        <f>IF(H7684="","",ROW()-4)</f>
        <v/>
      </c>
    </row>
    <row r="7685">
      <c r="A7685" s="13">
        <f>IF(H7685="","",ROW()-4)</f>
        <v/>
      </c>
      <c r="B7685" s="13">
        <f>IF(H7685="","",ROW()-4)</f>
        <v/>
      </c>
    </row>
    <row r="7686">
      <c r="A7686" s="13">
        <f>IF(H7686="","",ROW()-4)</f>
        <v/>
      </c>
      <c r="B7686" s="13">
        <f>IF(H7686="","",ROW()-4)</f>
        <v/>
      </c>
    </row>
    <row r="7687">
      <c r="A7687" s="13">
        <f>IF(H7687="","",ROW()-4)</f>
        <v/>
      </c>
      <c r="B7687" s="13">
        <f>IF(H7687="","",ROW()-4)</f>
        <v/>
      </c>
    </row>
    <row r="7688">
      <c r="A7688" s="13">
        <f>IF(H7688="","",ROW()-4)</f>
        <v/>
      </c>
      <c r="B7688" s="13">
        <f>IF(H7688="","",ROW()-4)</f>
        <v/>
      </c>
    </row>
    <row r="7689">
      <c r="A7689" s="13">
        <f>IF(H7689="","",ROW()-4)</f>
        <v/>
      </c>
      <c r="B7689" s="13">
        <f>IF(H7689="","",ROW()-4)</f>
        <v/>
      </c>
    </row>
    <row r="7690">
      <c r="A7690" s="13">
        <f>IF(H7690="","",ROW()-4)</f>
        <v/>
      </c>
      <c r="B7690" s="13">
        <f>IF(H7690="","",ROW()-4)</f>
        <v/>
      </c>
    </row>
    <row r="7691">
      <c r="A7691" s="13">
        <f>IF(H7691="","",ROW()-4)</f>
        <v/>
      </c>
      <c r="B7691" s="13">
        <f>IF(H7691="","",ROW()-4)</f>
        <v/>
      </c>
    </row>
    <row r="7692">
      <c r="A7692" s="13">
        <f>IF(H7692="","",ROW()-4)</f>
        <v/>
      </c>
      <c r="B7692" s="13">
        <f>IF(H7692="","",ROW()-4)</f>
        <v/>
      </c>
    </row>
    <row r="7693">
      <c r="A7693" s="13">
        <f>IF(H7693="","",ROW()-4)</f>
        <v/>
      </c>
      <c r="B7693" s="13">
        <f>IF(H7693="","",ROW()-4)</f>
        <v/>
      </c>
    </row>
    <row r="7694">
      <c r="A7694" s="13">
        <f>IF(H7694="","",ROW()-4)</f>
        <v/>
      </c>
      <c r="B7694" s="13">
        <f>IF(H7694="","",ROW()-4)</f>
        <v/>
      </c>
    </row>
    <row r="7695">
      <c r="A7695" s="13">
        <f>IF(H7695="","",ROW()-4)</f>
        <v/>
      </c>
      <c r="B7695" s="13">
        <f>IF(H7695="","",ROW()-4)</f>
        <v/>
      </c>
    </row>
    <row r="7696">
      <c r="A7696" s="13">
        <f>IF(H7696="","",ROW()-4)</f>
        <v/>
      </c>
      <c r="B7696" s="13">
        <f>IF(H7696="","",ROW()-4)</f>
        <v/>
      </c>
    </row>
    <row r="7697">
      <c r="A7697" s="13">
        <f>IF(H7697="","",ROW()-4)</f>
        <v/>
      </c>
      <c r="B7697" s="13">
        <f>IF(H7697="","",ROW()-4)</f>
        <v/>
      </c>
    </row>
    <row r="7698">
      <c r="A7698" s="13">
        <f>IF(H7698="","",ROW()-4)</f>
        <v/>
      </c>
      <c r="B7698" s="13">
        <f>IF(H7698="","",ROW()-4)</f>
        <v/>
      </c>
    </row>
    <row r="7699">
      <c r="A7699" s="13">
        <f>IF(H7699="","",ROW()-4)</f>
        <v/>
      </c>
      <c r="B7699" s="13">
        <f>IF(H7699="","",ROW()-4)</f>
        <v/>
      </c>
    </row>
    <row r="7700">
      <c r="A7700" s="13">
        <f>IF(H7700="","",ROW()-4)</f>
        <v/>
      </c>
      <c r="B7700" s="13">
        <f>IF(H7700="","",ROW()-4)</f>
        <v/>
      </c>
    </row>
    <row r="7701">
      <c r="A7701" s="13">
        <f>IF(H7701="","",ROW()-4)</f>
        <v/>
      </c>
      <c r="B7701" s="13">
        <f>IF(H7701="","",ROW()-4)</f>
        <v/>
      </c>
    </row>
    <row r="7702">
      <c r="A7702" s="13">
        <f>IF(H7702="","",ROW()-4)</f>
        <v/>
      </c>
      <c r="B7702" s="13">
        <f>IF(H7702="","",ROW()-4)</f>
        <v/>
      </c>
    </row>
    <row r="7703">
      <c r="A7703" s="13">
        <f>IF(H7703="","",ROW()-4)</f>
        <v/>
      </c>
      <c r="B7703" s="13">
        <f>IF(H7703="","",ROW()-4)</f>
        <v/>
      </c>
    </row>
    <row r="7704">
      <c r="A7704" s="13">
        <f>IF(H7704="","",ROW()-4)</f>
        <v/>
      </c>
      <c r="B7704" s="13">
        <f>IF(H7704="","",ROW()-4)</f>
        <v/>
      </c>
    </row>
    <row r="7705">
      <c r="A7705" s="13">
        <f>IF(H7705="","",ROW()-4)</f>
        <v/>
      </c>
      <c r="B7705" s="13">
        <f>IF(H7705="","",ROW()-4)</f>
        <v/>
      </c>
    </row>
    <row r="7706">
      <c r="A7706" s="13">
        <f>IF(H7706="","",ROW()-4)</f>
        <v/>
      </c>
      <c r="B7706" s="13">
        <f>IF(H7706="","",ROW()-4)</f>
        <v/>
      </c>
    </row>
    <row r="7707">
      <c r="A7707" s="13">
        <f>IF(H7707="","",ROW()-4)</f>
        <v/>
      </c>
      <c r="B7707" s="13">
        <f>IF(H7707="","",ROW()-4)</f>
        <v/>
      </c>
    </row>
    <row r="7708">
      <c r="A7708" s="13">
        <f>IF(H7708="","",ROW()-4)</f>
        <v/>
      </c>
      <c r="B7708" s="13">
        <f>IF(H7708="","",ROW()-4)</f>
        <v/>
      </c>
    </row>
    <row r="7709">
      <c r="A7709" s="13">
        <f>IF(H7709="","",ROW()-4)</f>
        <v/>
      </c>
      <c r="B7709" s="13">
        <f>IF(H7709="","",ROW()-4)</f>
        <v/>
      </c>
    </row>
    <row r="7710">
      <c r="A7710" s="13">
        <f>IF(H7710="","",ROW()-4)</f>
        <v/>
      </c>
      <c r="B7710" s="13">
        <f>IF(H7710="","",ROW()-4)</f>
        <v/>
      </c>
    </row>
    <row r="7711">
      <c r="A7711" s="13">
        <f>IF(H7711="","",ROW()-4)</f>
        <v/>
      </c>
      <c r="B7711" s="13">
        <f>IF(H7711="","",ROW()-4)</f>
        <v/>
      </c>
    </row>
    <row r="7712">
      <c r="A7712" s="13">
        <f>IF(H7712="","",ROW()-4)</f>
        <v/>
      </c>
      <c r="B7712" s="13">
        <f>IF(H7712="","",ROW()-4)</f>
        <v/>
      </c>
    </row>
    <row r="7713">
      <c r="A7713" s="13">
        <f>IF(H7713="","",ROW()-4)</f>
        <v/>
      </c>
      <c r="B7713" s="13">
        <f>IF(H7713="","",ROW()-4)</f>
        <v/>
      </c>
    </row>
    <row r="7714">
      <c r="A7714" s="13">
        <f>IF(H7714="","",ROW()-4)</f>
        <v/>
      </c>
      <c r="B7714" s="13">
        <f>IF(H7714="","",ROW()-4)</f>
        <v/>
      </c>
    </row>
    <row r="7715">
      <c r="A7715" s="13">
        <f>IF(H7715="","",ROW()-4)</f>
        <v/>
      </c>
      <c r="B7715" s="13">
        <f>IF(H7715="","",ROW()-4)</f>
        <v/>
      </c>
    </row>
    <row r="7716">
      <c r="A7716" s="13">
        <f>IF(H7716="","",ROW()-4)</f>
        <v/>
      </c>
      <c r="B7716" s="13">
        <f>IF(H7716="","",ROW()-4)</f>
        <v/>
      </c>
    </row>
    <row r="7717">
      <c r="A7717" s="13">
        <f>IF(H7717="","",ROW()-4)</f>
        <v/>
      </c>
      <c r="B7717" s="13">
        <f>IF(H7717="","",ROW()-4)</f>
        <v/>
      </c>
    </row>
    <row r="7718">
      <c r="A7718" s="13">
        <f>IF(H7718="","",ROW()-4)</f>
        <v/>
      </c>
      <c r="B7718" s="13">
        <f>IF(H7718="","",ROW()-4)</f>
        <v/>
      </c>
    </row>
    <row r="7719">
      <c r="A7719" s="13">
        <f>IF(H7719="","",ROW()-4)</f>
        <v/>
      </c>
      <c r="B7719" s="13">
        <f>IF(H7719="","",ROW()-4)</f>
        <v/>
      </c>
    </row>
    <row r="7720">
      <c r="A7720" s="13">
        <f>IF(H7720="","",ROW()-4)</f>
        <v/>
      </c>
      <c r="B7720" s="13">
        <f>IF(H7720="","",ROW()-4)</f>
        <v/>
      </c>
    </row>
    <row r="7721">
      <c r="A7721" s="13">
        <f>IF(H7721="","",ROW()-4)</f>
        <v/>
      </c>
      <c r="B7721" s="13">
        <f>IF(H7721="","",ROW()-4)</f>
        <v/>
      </c>
    </row>
    <row r="7722">
      <c r="A7722" s="13">
        <f>IF(H7722="","",ROW()-4)</f>
        <v/>
      </c>
      <c r="B7722" s="13">
        <f>IF(H7722="","",ROW()-4)</f>
        <v/>
      </c>
    </row>
    <row r="7723">
      <c r="A7723" s="13">
        <f>IF(H7723="","",ROW()-4)</f>
        <v/>
      </c>
      <c r="B7723" s="13">
        <f>IF(H7723="","",ROW()-4)</f>
        <v/>
      </c>
    </row>
    <row r="7724">
      <c r="A7724" s="13">
        <f>IF(H7724="","",ROW()-4)</f>
        <v/>
      </c>
      <c r="B7724" s="13">
        <f>IF(H7724="","",ROW()-4)</f>
        <v/>
      </c>
    </row>
    <row r="7725">
      <c r="A7725" s="13">
        <f>IF(H7725="","",ROW()-4)</f>
        <v/>
      </c>
      <c r="B7725" s="13">
        <f>IF(H7725="","",ROW()-4)</f>
        <v/>
      </c>
    </row>
    <row r="7726">
      <c r="A7726" s="13">
        <f>IF(H7726="","",ROW()-4)</f>
        <v/>
      </c>
      <c r="B7726" s="13">
        <f>IF(H7726="","",ROW()-4)</f>
        <v/>
      </c>
    </row>
    <row r="7727">
      <c r="A7727" s="13">
        <f>IF(H7727="","",ROW()-4)</f>
        <v/>
      </c>
      <c r="B7727" s="13">
        <f>IF(H7727="","",ROW()-4)</f>
        <v/>
      </c>
    </row>
    <row r="7728">
      <c r="A7728" s="13">
        <f>IF(H7728="","",ROW()-4)</f>
        <v/>
      </c>
      <c r="B7728" s="13">
        <f>IF(H7728="","",ROW()-4)</f>
        <v/>
      </c>
    </row>
    <row r="7729">
      <c r="A7729" s="13">
        <f>IF(H7729="","",ROW()-4)</f>
        <v/>
      </c>
      <c r="B7729" s="13">
        <f>IF(H7729="","",ROW()-4)</f>
        <v/>
      </c>
    </row>
    <row r="7730">
      <c r="A7730" s="13">
        <f>IF(H7730="","",ROW()-4)</f>
        <v/>
      </c>
      <c r="B7730" s="13">
        <f>IF(H7730="","",ROW()-4)</f>
        <v/>
      </c>
    </row>
    <row r="7731">
      <c r="A7731" s="13">
        <f>IF(H7731="","",ROW()-4)</f>
        <v/>
      </c>
      <c r="B7731" s="13">
        <f>IF(H7731="","",ROW()-4)</f>
        <v/>
      </c>
    </row>
    <row r="7732">
      <c r="A7732" s="13">
        <f>IF(H7732="","",ROW()-4)</f>
        <v/>
      </c>
      <c r="B7732" s="13">
        <f>IF(H7732="","",ROW()-4)</f>
        <v/>
      </c>
    </row>
    <row r="7733">
      <c r="A7733" s="13">
        <f>IF(H7733="","",ROW()-4)</f>
        <v/>
      </c>
      <c r="B7733" s="13">
        <f>IF(H7733="","",ROW()-4)</f>
        <v/>
      </c>
    </row>
    <row r="7734">
      <c r="A7734" s="13">
        <f>IF(H7734="","",ROW()-4)</f>
        <v/>
      </c>
      <c r="B7734" s="13">
        <f>IF(H7734="","",ROW()-4)</f>
        <v/>
      </c>
    </row>
    <row r="7735">
      <c r="A7735" s="13">
        <f>IF(H7735="","",ROW()-4)</f>
        <v/>
      </c>
      <c r="B7735" s="13">
        <f>IF(H7735="","",ROW()-4)</f>
        <v/>
      </c>
    </row>
    <row r="7736">
      <c r="A7736" s="13">
        <f>IF(H7736="","",ROW()-4)</f>
        <v/>
      </c>
      <c r="B7736" s="13">
        <f>IF(H7736="","",ROW()-4)</f>
        <v/>
      </c>
    </row>
    <row r="7737">
      <c r="A7737" s="13">
        <f>IF(H7737="","",ROW()-4)</f>
        <v/>
      </c>
      <c r="B7737" s="13">
        <f>IF(H7737="","",ROW()-4)</f>
        <v/>
      </c>
    </row>
    <row r="7738">
      <c r="A7738" s="13">
        <f>IF(H7738="","",ROW()-4)</f>
        <v/>
      </c>
      <c r="B7738" s="13">
        <f>IF(H7738="","",ROW()-4)</f>
        <v/>
      </c>
    </row>
    <row r="7739">
      <c r="A7739" s="13">
        <f>IF(H7739="","",ROW()-4)</f>
        <v/>
      </c>
      <c r="B7739" s="13">
        <f>IF(H7739="","",ROW()-4)</f>
        <v/>
      </c>
    </row>
    <row r="7740">
      <c r="A7740" s="13">
        <f>IF(H7740="","",ROW()-4)</f>
        <v/>
      </c>
      <c r="B7740" s="13">
        <f>IF(H7740="","",ROW()-4)</f>
        <v/>
      </c>
    </row>
    <row r="7741">
      <c r="A7741" s="13">
        <f>IF(H7741="","",ROW()-4)</f>
        <v/>
      </c>
      <c r="B7741" s="13">
        <f>IF(H7741="","",ROW()-4)</f>
        <v/>
      </c>
    </row>
    <row r="7742">
      <c r="A7742" s="13">
        <f>IF(H7742="","",ROW()-4)</f>
        <v/>
      </c>
      <c r="B7742" s="13">
        <f>IF(H7742="","",ROW()-4)</f>
        <v/>
      </c>
    </row>
    <row r="7743">
      <c r="A7743" s="13">
        <f>IF(H7743="","",ROW()-4)</f>
        <v/>
      </c>
      <c r="B7743" s="13">
        <f>IF(H7743="","",ROW()-4)</f>
        <v/>
      </c>
    </row>
    <row r="7744">
      <c r="A7744" s="13">
        <f>IF(H7744="","",ROW()-4)</f>
        <v/>
      </c>
      <c r="B7744" s="13">
        <f>IF(H7744="","",ROW()-4)</f>
        <v/>
      </c>
    </row>
    <row r="7745">
      <c r="A7745" s="13">
        <f>IF(H7745="","",ROW()-4)</f>
        <v/>
      </c>
      <c r="B7745" s="13">
        <f>IF(H7745="","",ROW()-4)</f>
        <v/>
      </c>
    </row>
    <row r="7746">
      <c r="A7746" s="13">
        <f>IF(H7746="","",ROW()-4)</f>
        <v/>
      </c>
      <c r="B7746" s="13">
        <f>IF(H7746="","",ROW()-4)</f>
        <v/>
      </c>
    </row>
    <row r="7747">
      <c r="A7747" s="13">
        <f>IF(H7747="","",ROW()-4)</f>
        <v/>
      </c>
      <c r="B7747" s="13">
        <f>IF(H7747="","",ROW()-4)</f>
        <v/>
      </c>
    </row>
    <row r="7748">
      <c r="A7748" s="13">
        <f>IF(H7748="","",ROW()-4)</f>
        <v/>
      </c>
      <c r="B7748" s="13">
        <f>IF(H7748="","",ROW()-4)</f>
        <v/>
      </c>
    </row>
    <row r="7749">
      <c r="A7749" s="13">
        <f>IF(H7749="","",ROW()-4)</f>
        <v/>
      </c>
      <c r="B7749" s="13">
        <f>IF(H7749="","",ROW()-4)</f>
        <v/>
      </c>
    </row>
    <row r="7750">
      <c r="A7750" s="13">
        <f>IF(H7750="","",ROW()-4)</f>
        <v/>
      </c>
      <c r="B7750" s="13">
        <f>IF(H7750="","",ROW()-4)</f>
        <v/>
      </c>
    </row>
    <row r="7751">
      <c r="A7751" s="13">
        <f>IF(H7751="","",ROW()-4)</f>
        <v/>
      </c>
      <c r="B7751" s="13">
        <f>IF(H7751="","",ROW()-4)</f>
        <v/>
      </c>
    </row>
    <row r="7752">
      <c r="A7752" s="13">
        <f>IF(H7752="","",ROW()-4)</f>
        <v/>
      </c>
      <c r="B7752" s="13">
        <f>IF(H7752="","",ROW()-4)</f>
        <v/>
      </c>
    </row>
    <row r="7753">
      <c r="A7753" s="13">
        <f>IF(H7753="","",ROW()-4)</f>
        <v/>
      </c>
      <c r="B7753" s="13">
        <f>IF(H7753="","",ROW()-4)</f>
        <v/>
      </c>
    </row>
    <row r="7754">
      <c r="A7754" s="13">
        <f>IF(H7754="","",ROW()-4)</f>
        <v/>
      </c>
      <c r="B7754" s="13">
        <f>IF(H7754="","",ROW()-4)</f>
        <v/>
      </c>
    </row>
    <row r="7755">
      <c r="A7755" s="13">
        <f>IF(H7755="","",ROW()-4)</f>
        <v/>
      </c>
      <c r="B7755" s="13">
        <f>IF(H7755="","",ROW()-4)</f>
        <v/>
      </c>
    </row>
    <row r="7756">
      <c r="A7756" s="13">
        <f>IF(H7756="","",ROW()-4)</f>
        <v/>
      </c>
      <c r="B7756" s="13">
        <f>IF(H7756="","",ROW()-4)</f>
        <v/>
      </c>
    </row>
    <row r="7757">
      <c r="A7757" s="13">
        <f>IF(H7757="","",ROW()-4)</f>
        <v/>
      </c>
      <c r="B7757" s="13">
        <f>IF(H7757="","",ROW()-4)</f>
        <v/>
      </c>
    </row>
    <row r="7758">
      <c r="A7758" s="13">
        <f>IF(H7758="","",ROW()-4)</f>
        <v/>
      </c>
      <c r="B7758" s="13">
        <f>IF(H7758="","",ROW()-4)</f>
        <v/>
      </c>
    </row>
    <row r="7759">
      <c r="A7759" s="13">
        <f>IF(H7759="","",ROW()-4)</f>
        <v/>
      </c>
      <c r="B7759" s="13">
        <f>IF(H7759="","",ROW()-4)</f>
        <v/>
      </c>
    </row>
    <row r="7760">
      <c r="A7760" s="13">
        <f>IF(H7760="","",ROW()-4)</f>
        <v/>
      </c>
      <c r="B7760" s="13">
        <f>IF(H7760="","",ROW()-4)</f>
        <v/>
      </c>
    </row>
    <row r="7761">
      <c r="A7761" s="13">
        <f>IF(H7761="","",ROW()-4)</f>
        <v/>
      </c>
      <c r="B7761" s="13">
        <f>IF(H7761="","",ROW()-4)</f>
        <v/>
      </c>
    </row>
    <row r="7762">
      <c r="A7762" s="13">
        <f>IF(H7762="","",ROW()-4)</f>
        <v/>
      </c>
      <c r="B7762" s="13">
        <f>IF(H7762="","",ROW()-4)</f>
        <v/>
      </c>
    </row>
    <row r="7763">
      <c r="A7763" s="13">
        <f>IF(H7763="","",ROW()-4)</f>
        <v/>
      </c>
      <c r="B7763" s="13">
        <f>IF(H7763="","",ROW()-4)</f>
        <v/>
      </c>
    </row>
    <row r="7764">
      <c r="A7764" s="13">
        <f>IF(H7764="","",ROW()-4)</f>
        <v/>
      </c>
      <c r="B7764" s="13">
        <f>IF(H7764="","",ROW()-4)</f>
        <v/>
      </c>
    </row>
    <row r="7765">
      <c r="A7765" s="13">
        <f>IF(H7765="","",ROW()-4)</f>
        <v/>
      </c>
      <c r="B7765" s="13">
        <f>IF(H7765="","",ROW()-4)</f>
        <v/>
      </c>
    </row>
    <row r="7766">
      <c r="A7766" s="13">
        <f>IF(H7766="","",ROW()-4)</f>
        <v/>
      </c>
      <c r="B7766" s="13">
        <f>IF(H7766="","",ROW()-4)</f>
        <v/>
      </c>
    </row>
    <row r="7767">
      <c r="A7767" s="13">
        <f>IF(H7767="","",ROW()-4)</f>
        <v/>
      </c>
      <c r="B7767" s="13">
        <f>IF(H7767="","",ROW()-4)</f>
        <v/>
      </c>
    </row>
    <row r="7768">
      <c r="A7768" s="13">
        <f>IF(H7768="","",ROW()-4)</f>
        <v/>
      </c>
      <c r="B7768" s="13">
        <f>IF(H7768="","",ROW()-4)</f>
        <v/>
      </c>
    </row>
    <row r="7769">
      <c r="A7769" s="13">
        <f>IF(H7769="","",ROW()-4)</f>
        <v/>
      </c>
      <c r="B7769" s="13">
        <f>IF(H7769="","",ROW()-4)</f>
        <v/>
      </c>
    </row>
    <row r="7770">
      <c r="A7770" s="13">
        <f>IF(H7770="","",ROW()-4)</f>
        <v/>
      </c>
      <c r="B7770" s="13">
        <f>IF(H7770="","",ROW()-4)</f>
        <v/>
      </c>
    </row>
    <row r="7771">
      <c r="A7771" s="13">
        <f>IF(H7771="","",ROW()-4)</f>
        <v/>
      </c>
      <c r="B7771" s="13">
        <f>IF(H7771="","",ROW()-4)</f>
        <v/>
      </c>
    </row>
    <row r="7772">
      <c r="A7772" s="13">
        <f>IF(H7772="","",ROW()-4)</f>
        <v/>
      </c>
      <c r="B7772" s="13">
        <f>IF(H7772="","",ROW()-4)</f>
        <v/>
      </c>
    </row>
    <row r="7773">
      <c r="A7773" s="13">
        <f>IF(H7773="","",ROW()-4)</f>
        <v/>
      </c>
      <c r="B7773" s="13">
        <f>IF(H7773="","",ROW()-4)</f>
        <v/>
      </c>
    </row>
    <row r="7774">
      <c r="A7774" s="13">
        <f>IF(H7774="","",ROW()-4)</f>
        <v/>
      </c>
      <c r="B7774" s="13">
        <f>IF(H7774="","",ROW()-4)</f>
        <v/>
      </c>
    </row>
    <row r="7775">
      <c r="A7775" s="13">
        <f>IF(H7775="","",ROW()-4)</f>
        <v/>
      </c>
      <c r="B7775" s="13">
        <f>IF(H7775="","",ROW()-4)</f>
        <v/>
      </c>
    </row>
    <row r="7776">
      <c r="A7776" s="13">
        <f>IF(H7776="","",ROW()-4)</f>
        <v/>
      </c>
      <c r="B7776" s="13">
        <f>IF(H7776="","",ROW()-4)</f>
        <v/>
      </c>
    </row>
    <row r="7777">
      <c r="A7777" s="13">
        <f>IF(H7777="","",ROW()-4)</f>
        <v/>
      </c>
      <c r="B7777" s="13">
        <f>IF(H7777="","",ROW()-4)</f>
        <v/>
      </c>
    </row>
    <row r="7778">
      <c r="A7778" s="13">
        <f>IF(H7778="","",ROW()-4)</f>
        <v/>
      </c>
      <c r="B7778" s="13">
        <f>IF(H7778="","",ROW()-4)</f>
        <v/>
      </c>
    </row>
    <row r="7779">
      <c r="A7779" s="13">
        <f>IF(H7779="","",ROW()-4)</f>
        <v/>
      </c>
      <c r="B7779" s="13">
        <f>IF(H7779="","",ROW()-4)</f>
        <v/>
      </c>
    </row>
    <row r="7780">
      <c r="A7780" s="13">
        <f>IF(H7780="","",ROW()-4)</f>
        <v/>
      </c>
      <c r="B7780" s="13">
        <f>IF(H7780="","",ROW()-4)</f>
        <v/>
      </c>
    </row>
    <row r="7781">
      <c r="A7781" s="13">
        <f>IF(H7781="","",ROW()-4)</f>
        <v/>
      </c>
      <c r="B7781" s="13">
        <f>IF(H7781="","",ROW()-4)</f>
        <v/>
      </c>
    </row>
    <row r="7782">
      <c r="A7782" s="13">
        <f>IF(H7782="","",ROW()-4)</f>
        <v/>
      </c>
      <c r="B7782" s="13">
        <f>IF(H7782="","",ROW()-4)</f>
        <v/>
      </c>
    </row>
    <row r="7783">
      <c r="A7783" s="13">
        <f>IF(H7783="","",ROW()-4)</f>
        <v/>
      </c>
      <c r="B7783" s="13">
        <f>IF(H7783="","",ROW()-4)</f>
        <v/>
      </c>
    </row>
    <row r="7784">
      <c r="A7784" s="13">
        <f>IF(H7784="","",ROW()-4)</f>
        <v/>
      </c>
      <c r="B7784" s="13">
        <f>IF(H7784="","",ROW()-4)</f>
        <v/>
      </c>
    </row>
    <row r="7785">
      <c r="A7785" s="13">
        <f>IF(H7785="","",ROW()-4)</f>
        <v/>
      </c>
      <c r="B7785" s="13">
        <f>IF(H7785="","",ROW()-4)</f>
        <v/>
      </c>
    </row>
    <row r="7786">
      <c r="A7786" s="13">
        <f>IF(H7786="","",ROW()-4)</f>
        <v/>
      </c>
      <c r="B7786" s="13">
        <f>IF(H7786="","",ROW()-4)</f>
        <v/>
      </c>
    </row>
    <row r="7787">
      <c r="A7787" s="13">
        <f>IF(H7787="","",ROW()-4)</f>
        <v/>
      </c>
      <c r="B7787" s="13">
        <f>IF(H7787="","",ROW()-4)</f>
        <v/>
      </c>
    </row>
    <row r="7788">
      <c r="A7788" s="13">
        <f>IF(H7788="","",ROW()-4)</f>
        <v/>
      </c>
      <c r="B7788" s="13">
        <f>IF(H7788="","",ROW()-4)</f>
        <v/>
      </c>
    </row>
    <row r="7789">
      <c r="A7789" s="13">
        <f>IF(H7789="","",ROW()-4)</f>
        <v/>
      </c>
      <c r="B7789" s="13">
        <f>IF(H7789="","",ROW()-4)</f>
        <v/>
      </c>
    </row>
    <row r="7790">
      <c r="A7790" s="13">
        <f>IF(H7790="","",ROW()-4)</f>
        <v/>
      </c>
      <c r="B7790" s="13">
        <f>IF(H7790="","",ROW()-4)</f>
        <v/>
      </c>
    </row>
    <row r="7791">
      <c r="A7791" s="13">
        <f>IF(H7791="","",ROW()-4)</f>
        <v/>
      </c>
      <c r="B7791" s="13">
        <f>IF(H7791="","",ROW()-4)</f>
        <v/>
      </c>
    </row>
    <row r="7792">
      <c r="A7792" s="13">
        <f>IF(H7792="","",ROW()-4)</f>
        <v/>
      </c>
      <c r="B7792" s="13">
        <f>IF(H7792="","",ROW()-4)</f>
        <v/>
      </c>
    </row>
    <row r="7793">
      <c r="A7793" s="13">
        <f>IF(H7793="","",ROW()-4)</f>
        <v/>
      </c>
      <c r="B7793" s="13">
        <f>IF(H7793="","",ROW()-4)</f>
        <v/>
      </c>
    </row>
    <row r="7794">
      <c r="A7794" s="13">
        <f>IF(H7794="","",ROW()-4)</f>
        <v/>
      </c>
      <c r="B7794" s="13">
        <f>IF(H7794="","",ROW()-4)</f>
        <v/>
      </c>
    </row>
    <row r="7795">
      <c r="A7795" s="13">
        <f>IF(H7795="","",ROW()-4)</f>
        <v/>
      </c>
      <c r="B7795" s="13">
        <f>IF(H7795="","",ROW()-4)</f>
        <v/>
      </c>
    </row>
    <row r="7796">
      <c r="A7796" s="13">
        <f>IF(H7796="","",ROW()-4)</f>
        <v/>
      </c>
      <c r="B7796" s="13">
        <f>IF(H7796="","",ROW()-4)</f>
        <v/>
      </c>
    </row>
    <row r="7797">
      <c r="A7797" s="13">
        <f>IF(H7797="","",ROW()-4)</f>
        <v/>
      </c>
      <c r="B7797" s="13">
        <f>IF(H7797="","",ROW()-4)</f>
        <v/>
      </c>
    </row>
    <row r="7798">
      <c r="A7798" s="13">
        <f>IF(H7798="","",ROW()-4)</f>
        <v/>
      </c>
      <c r="B7798" s="13">
        <f>IF(H7798="","",ROW()-4)</f>
        <v/>
      </c>
    </row>
    <row r="7799">
      <c r="A7799" s="13">
        <f>IF(H7799="","",ROW()-4)</f>
        <v/>
      </c>
      <c r="B7799" s="13">
        <f>IF(H7799="","",ROW()-4)</f>
        <v/>
      </c>
    </row>
    <row r="7800">
      <c r="A7800" s="13">
        <f>IF(H7800="","",ROW()-4)</f>
        <v/>
      </c>
      <c r="B7800" s="13">
        <f>IF(H7800="","",ROW()-4)</f>
        <v/>
      </c>
    </row>
    <row r="7801">
      <c r="A7801" s="13">
        <f>IF(H7801="","",ROW()-4)</f>
        <v/>
      </c>
      <c r="B7801" s="13">
        <f>IF(H7801="","",ROW()-4)</f>
        <v/>
      </c>
    </row>
    <row r="7802">
      <c r="A7802" s="13">
        <f>IF(H7802="","",ROW()-4)</f>
        <v/>
      </c>
      <c r="B7802" s="13">
        <f>IF(H7802="","",ROW()-4)</f>
        <v/>
      </c>
    </row>
    <row r="7803">
      <c r="A7803" s="13">
        <f>IF(H7803="","",ROW()-4)</f>
        <v/>
      </c>
      <c r="B7803" s="13">
        <f>IF(H7803="","",ROW()-4)</f>
        <v/>
      </c>
    </row>
    <row r="7804">
      <c r="A7804" s="13">
        <f>IF(H7804="","",ROW()-4)</f>
        <v/>
      </c>
      <c r="B7804" s="13">
        <f>IF(H7804="","",ROW()-4)</f>
        <v/>
      </c>
    </row>
    <row r="7805">
      <c r="A7805" s="13">
        <f>IF(H7805="","",ROW()-4)</f>
        <v/>
      </c>
      <c r="B7805" s="13">
        <f>IF(H7805="","",ROW()-4)</f>
        <v/>
      </c>
    </row>
    <row r="7806">
      <c r="A7806" s="13">
        <f>IF(H7806="","",ROW()-4)</f>
        <v/>
      </c>
      <c r="B7806" s="13">
        <f>IF(H7806="","",ROW()-4)</f>
        <v/>
      </c>
    </row>
    <row r="7807">
      <c r="A7807" s="13">
        <f>IF(H7807="","",ROW()-4)</f>
        <v/>
      </c>
      <c r="B7807" s="13">
        <f>IF(H7807="","",ROW()-4)</f>
        <v/>
      </c>
    </row>
    <row r="7808">
      <c r="A7808" s="13">
        <f>IF(H7808="","",ROW()-4)</f>
        <v/>
      </c>
      <c r="B7808" s="13">
        <f>IF(H7808="","",ROW()-4)</f>
        <v/>
      </c>
    </row>
    <row r="7809">
      <c r="A7809" s="13">
        <f>IF(H7809="","",ROW()-4)</f>
        <v/>
      </c>
      <c r="B7809" s="13">
        <f>IF(H7809="","",ROW()-4)</f>
        <v/>
      </c>
    </row>
    <row r="7810">
      <c r="A7810" s="13">
        <f>IF(H7810="","",ROW()-4)</f>
        <v/>
      </c>
      <c r="B7810" s="13">
        <f>IF(H7810="","",ROW()-4)</f>
        <v/>
      </c>
    </row>
    <row r="7811">
      <c r="A7811" s="13">
        <f>IF(H7811="","",ROW()-4)</f>
        <v/>
      </c>
      <c r="B7811" s="13">
        <f>IF(H7811="","",ROW()-4)</f>
        <v/>
      </c>
    </row>
    <row r="7812">
      <c r="A7812" s="13">
        <f>IF(H7812="","",ROW()-4)</f>
        <v/>
      </c>
      <c r="B7812" s="13">
        <f>IF(H7812="","",ROW()-4)</f>
        <v/>
      </c>
    </row>
    <row r="7813">
      <c r="A7813" s="13">
        <f>IF(H7813="","",ROW()-4)</f>
        <v/>
      </c>
      <c r="B7813" s="13">
        <f>IF(H7813="","",ROW()-4)</f>
        <v/>
      </c>
    </row>
    <row r="7814">
      <c r="A7814" s="13">
        <f>IF(H7814="","",ROW()-4)</f>
        <v/>
      </c>
      <c r="B7814" s="13">
        <f>IF(H7814="","",ROW()-4)</f>
        <v/>
      </c>
    </row>
    <row r="7815">
      <c r="A7815" s="13">
        <f>IF(H7815="","",ROW()-4)</f>
        <v/>
      </c>
      <c r="B7815" s="13">
        <f>IF(H7815="","",ROW()-4)</f>
        <v/>
      </c>
    </row>
    <row r="7816">
      <c r="A7816" s="13">
        <f>IF(H7816="","",ROW()-4)</f>
        <v/>
      </c>
      <c r="B7816" s="13">
        <f>IF(H7816="","",ROW()-4)</f>
        <v/>
      </c>
    </row>
    <row r="7817">
      <c r="A7817" s="13">
        <f>IF(H7817="","",ROW()-4)</f>
        <v/>
      </c>
      <c r="B7817" s="13">
        <f>IF(H7817="","",ROW()-4)</f>
        <v/>
      </c>
    </row>
    <row r="7818">
      <c r="A7818" s="13">
        <f>IF(H7818="","",ROW()-4)</f>
        <v/>
      </c>
      <c r="B7818" s="13">
        <f>IF(H7818="","",ROW()-4)</f>
        <v/>
      </c>
    </row>
    <row r="7819">
      <c r="A7819" s="13">
        <f>IF(H7819="","",ROW()-4)</f>
        <v/>
      </c>
      <c r="B7819" s="13">
        <f>IF(H7819="","",ROW()-4)</f>
        <v/>
      </c>
    </row>
    <row r="7820">
      <c r="A7820" s="13">
        <f>IF(H7820="","",ROW()-4)</f>
        <v/>
      </c>
      <c r="B7820" s="13">
        <f>IF(H7820="","",ROW()-4)</f>
        <v/>
      </c>
    </row>
    <row r="7821">
      <c r="A7821" s="13">
        <f>IF(H7821="","",ROW()-4)</f>
        <v/>
      </c>
      <c r="B7821" s="13">
        <f>IF(H7821="","",ROW()-4)</f>
        <v/>
      </c>
    </row>
    <row r="7822">
      <c r="A7822" s="13">
        <f>IF(H7822="","",ROW()-4)</f>
        <v/>
      </c>
      <c r="B7822" s="13">
        <f>IF(H7822="","",ROW()-4)</f>
        <v/>
      </c>
    </row>
    <row r="7823">
      <c r="A7823" s="13">
        <f>IF(H7823="","",ROW()-4)</f>
        <v/>
      </c>
      <c r="B7823" s="13">
        <f>IF(H7823="","",ROW()-4)</f>
        <v/>
      </c>
    </row>
    <row r="7824">
      <c r="A7824" s="13">
        <f>IF(H7824="","",ROW()-4)</f>
        <v/>
      </c>
      <c r="B7824" s="13">
        <f>IF(H7824="","",ROW()-4)</f>
        <v/>
      </c>
    </row>
    <row r="7825">
      <c r="A7825" s="13">
        <f>IF(H7825="","",ROW()-4)</f>
        <v/>
      </c>
      <c r="B7825" s="13">
        <f>IF(H7825="","",ROW()-4)</f>
        <v/>
      </c>
    </row>
    <row r="7826">
      <c r="A7826" s="13">
        <f>IF(H7826="","",ROW()-4)</f>
        <v/>
      </c>
      <c r="B7826" s="13">
        <f>IF(H7826="","",ROW()-4)</f>
        <v/>
      </c>
    </row>
    <row r="7827">
      <c r="A7827" s="13">
        <f>IF(H7827="","",ROW()-4)</f>
        <v/>
      </c>
      <c r="B7827" s="13">
        <f>IF(H7827="","",ROW()-4)</f>
        <v/>
      </c>
    </row>
    <row r="7828">
      <c r="A7828" s="13">
        <f>IF(H7828="","",ROW()-4)</f>
        <v/>
      </c>
      <c r="B7828" s="13">
        <f>IF(H7828="","",ROW()-4)</f>
        <v/>
      </c>
    </row>
    <row r="7829">
      <c r="A7829" s="13">
        <f>IF(H7829="","",ROW()-4)</f>
        <v/>
      </c>
      <c r="B7829" s="13">
        <f>IF(H7829="","",ROW()-4)</f>
        <v/>
      </c>
    </row>
    <row r="7830">
      <c r="A7830" s="13">
        <f>IF(H7830="","",ROW()-4)</f>
        <v/>
      </c>
      <c r="B7830" s="13">
        <f>IF(H7830="","",ROW()-4)</f>
        <v/>
      </c>
    </row>
    <row r="7831">
      <c r="A7831" s="13">
        <f>IF(H7831="","",ROW()-4)</f>
        <v/>
      </c>
      <c r="B7831" s="13">
        <f>IF(H7831="","",ROW()-4)</f>
        <v/>
      </c>
    </row>
    <row r="7832">
      <c r="A7832" s="13">
        <f>IF(H7832="","",ROW()-4)</f>
        <v/>
      </c>
      <c r="B7832" s="13">
        <f>IF(H7832="","",ROW()-4)</f>
        <v/>
      </c>
    </row>
    <row r="7833">
      <c r="A7833" s="13">
        <f>IF(H7833="","",ROW()-4)</f>
        <v/>
      </c>
      <c r="B7833" s="13">
        <f>IF(H7833="","",ROW()-4)</f>
        <v/>
      </c>
    </row>
    <row r="7834">
      <c r="A7834" s="13">
        <f>IF(H7834="","",ROW()-4)</f>
        <v/>
      </c>
      <c r="B7834" s="13">
        <f>IF(H7834="","",ROW()-4)</f>
        <v/>
      </c>
    </row>
    <row r="7835">
      <c r="A7835" s="13">
        <f>IF(H7835="","",ROW()-4)</f>
        <v/>
      </c>
      <c r="B7835" s="13">
        <f>IF(H7835="","",ROW()-4)</f>
        <v/>
      </c>
    </row>
    <row r="7836">
      <c r="A7836" s="13">
        <f>IF(H7836="","",ROW()-4)</f>
        <v/>
      </c>
      <c r="B7836" s="13">
        <f>IF(H7836="","",ROW()-4)</f>
        <v/>
      </c>
    </row>
    <row r="7837">
      <c r="A7837" s="13">
        <f>IF(H7837="","",ROW()-4)</f>
        <v/>
      </c>
      <c r="B7837" s="13">
        <f>IF(H7837="","",ROW()-4)</f>
        <v/>
      </c>
    </row>
    <row r="7838">
      <c r="A7838" s="13">
        <f>IF(H7838="","",ROW()-4)</f>
        <v/>
      </c>
      <c r="B7838" s="13">
        <f>IF(H7838="","",ROW()-4)</f>
        <v/>
      </c>
    </row>
    <row r="7839">
      <c r="A7839" s="13">
        <f>IF(H7839="","",ROW()-4)</f>
        <v/>
      </c>
      <c r="B7839" s="13">
        <f>IF(H7839="","",ROW()-4)</f>
        <v/>
      </c>
    </row>
    <row r="7840">
      <c r="A7840" s="13">
        <f>IF(H7840="","",ROW()-4)</f>
        <v/>
      </c>
      <c r="B7840" s="13">
        <f>IF(H7840="","",ROW()-4)</f>
        <v/>
      </c>
    </row>
    <row r="7841">
      <c r="A7841" s="13">
        <f>IF(H7841="","",ROW()-4)</f>
        <v/>
      </c>
      <c r="B7841" s="13">
        <f>IF(H7841="","",ROW()-4)</f>
        <v/>
      </c>
    </row>
    <row r="7842">
      <c r="A7842" s="13">
        <f>IF(H7842="","",ROW()-4)</f>
        <v/>
      </c>
      <c r="B7842" s="13">
        <f>IF(H7842="","",ROW()-4)</f>
        <v/>
      </c>
    </row>
    <row r="7843">
      <c r="A7843" s="13">
        <f>IF(H7843="","",ROW()-4)</f>
        <v/>
      </c>
      <c r="B7843" s="13">
        <f>IF(H7843="","",ROW()-4)</f>
        <v/>
      </c>
    </row>
    <row r="7844">
      <c r="A7844" s="13">
        <f>IF(H7844="","",ROW()-4)</f>
        <v/>
      </c>
      <c r="B7844" s="13">
        <f>IF(H7844="","",ROW()-4)</f>
        <v/>
      </c>
    </row>
    <row r="7845">
      <c r="A7845" s="13">
        <f>IF(H7845="","",ROW()-4)</f>
        <v/>
      </c>
      <c r="B7845" s="13">
        <f>IF(H7845="","",ROW()-4)</f>
        <v/>
      </c>
    </row>
    <row r="7846">
      <c r="A7846" s="13">
        <f>IF(H7846="","",ROW()-4)</f>
        <v/>
      </c>
      <c r="B7846" s="13">
        <f>IF(H7846="","",ROW()-4)</f>
        <v/>
      </c>
    </row>
    <row r="7847">
      <c r="A7847" s="13">
        <f>IF(H7847="","",ROW()-4)</f>
        <v/>
      </c>
      <c r="B7847" s="13">
        <f>IF(H7847="","",ROW()-4)</f>
        <v/>
      </c>
    </row>
    <row r="7848">
      <c r="A7848" s="13">
        <f>IF(H7848="","",ROW()-4)</f>
        <v/>
      </c>
      <c r="B7848" s="13">
        <f>IF(H7848="","",ROW()-4)</f>
        <v/>
      </c>
    </row>
    <row r="7849">
      <c r="A7849" s="13">
        <f>IF(H7849="","",ROW()-4)</f>
        <v/>
      </c>
      <c r="B7849" s="13">
        <f>IF(H7849="","",ROW()-4)</f>
        <v/>
      </c>
    </row>
    <row r="7850">
      <c r="A7850" s="13">
        <f>IF(H7850="","",ROW()-4)</f>
        <v/>
      </c>
      <c r="B7850" s="13">
        <f>IF(H7850="","",ROW()-4)</f>
        <v/>
      </c>
    </row>
    <row r="7851">
      <c r="A7851" s="13">
        <f>IF(H7851="","",ROW()-4)</f>
        <v/>
      </c>
      <c r="B7851" s="13">
        <f>IF(H7851="","",ROW()-4)</f>
        <v/>
      </c>
    </row>
    <row r="7852">
      <c r="A7852" s="13">
        <f>IF(H7852="","",ROW()-4)</f>
        <v/>
      </c>
      <c r="B7852" s="13">
        <f>IF(H7852="","",ROW()-4)</f>
        <v/>
      </c>
    </row>
    <row r="7853">
      <c r="A7853" s="13">
        <f>IF(H7853="","",ROW()-4)</f>
        <v/>
      </c>
      <c r="B7853" s="13">
        <f>IF(H7853="","",ROW()-4)</f>
        <v/>
      </c>
    </row>
    <row r="7854">
      <c r="A7854" s="13">
        <f>IF(H7854="","",ROW()-4)</f>
        <v/>
      </c>
      <c r="B7854" s="13">
        <f>IF(H7854="","",ROW()-4)</f>
        <v/>
      </c>
    </row>
    <row r="7855">
      <c r="A7855" s="13">
        <f>IF(H7855="","",ROW()-4)</f>
        <v/>
      </c>
      <c r="B7855" s="13">
        <f>IF(H7855="","",ROW()-4)</f>
        <v/>
      </c>
    </row>
    <row r="7856">
      <c r="A7856" s="13">
        <f>IF(H7856="","",ROW()-4)</f>
        <v/>
      </c>
      <c r="B7856" s="13">
        <f>IF(H7856="","",ROW()-4)</f>
        <v/>
      </c>
    </row>
    <row r="7857">
      <c r="A7857" s="13">
        <f>IF(H7857="","",ROW()-4)</f>
        <v/>
      </c>
      <c r="B7857" s="13">
        <f>IF(H7857="","",ROW()-4)</f>
        <v/>
      </c>
    </row>
    <row r="7858">
      <c r="A7858" s="13">
        <f>IF(H7858="","",ROW()-4)</f>
        <v/>
      </c>
      <c r="B7858" s="13">
        <f>IF(H7858="","",ROW()-4)</f>
        <v/>
      </c>
    </row>
    <row r="7859">
      <c r="A7859" s="13">
        <f>IF(H7859="","",ROW()-4)</f>
        <v/>
      </c>
      <c r="B7859" s="13">
        <f>IF(H7859="","",ROW()-4)</f>
        <v/>
      </c>
    </row>
    <row r="7860">
      <c r="A7860" s="13">
        <f>IF(H7860="","",ROW()-4)</f>
        <v/>
      </c>
      <c r="B7860" s="13">
        <f>IF(H7860="","",ROW()-4)</f>
        <v/>
      </c>
    </row>
    <row r="7861">
      <c r="A7861" s="13">
        <f>IF(H7861="","",ROW()-4)</f>
        <v/>
      </c>
      <c r="B7861" s="13">
        <f>IF(H7861="","",ROW()-4)</f>
        <v/>
      </c>
    </row>
    <row r="7862">
      <c r="A7862" s="13">
        <f>IF(H7862="","",ROW()-4)</f>
        <v/>
      </c>
      <c r="B7862" s="13">
        <f>IF(H7862="","",ROW()-4)</f>
        <v/>
      </c>
    </row>
    <row r="7863">
      <c r="A7863" s="13">
        <f>IF(H7863="","",ROW()-4)</f>
        <v/>
      </c>
      <c r="B7863" s="13">
        <f>IF(H7863="","",ROW()-4)</f>
        <v/>
      </c>
    </row>
    <row r="7864">
      <c r="A7864" s="13">
        <f>IF(H7864="","",ROW()-4)</f>
        <v/>
      </c>
      <c r="B7864" s="13">
        <f>IF(H7864="","",ROW()-4)</f>
        <v/>
      </c>
    </row>
    <row r="7865">
      <c r="A7865" s="13">
        <f>IF(H7865="","",ROW()-4)</f>
        <v/>
      </c>
      <c r="B7865" s="13">
        <f>IF(H7865="","",ROW()-4)</f>
        <v/>
      </c>
    </row>
    <row r="7866">
      <c r="A7866" s="13">
        <f>IF(H7866="","",ROW()-4)</f>
        <v/>
      </c>
      <c r="B7866" s="13">
        <f>IF(H7866="","",ROW()-4)</f>
        <v/>
      </c>
    </row>
    <row r="7867">
      <c r="A7867" s="13">
        <f>IF(H7867="","",ROW()-4)</f>
        <v/>
      </c>
      <c r="B7867" s="13">
        <f>IF(H7867="","",ROW()-4)</f>
        <v/>
      </c>
    </row>
    <row r="7868">
      <c r="A7868" s="13">
        <f>IF(H7868="","",ROW()-4)</f>
        <v/>
      </c>
      <c r="B7868" s="13">
        <f>IF(H7868="","",ROW()-4)</f>
        <v/>
      </c>
    </row>
    <row r="7869">
      <c r="A7869" s="13">
        <f>IF(H7869="","",ROW()-4)</f>
        <v/>
      </c>
      <c r="B7869" s="13">
        <f>IF(H7869="","",ROW()-4)</f>
        <v/>
      </c>
    </row>
    <row r="7870">
      <c r="A7870" s="13">
        <f>IF(H7870="","",ROW()-4)</f>
        <v/>
      </c>
      <c r="B7870" s="13">
        <f>IF(H7870="","",ROW()-4)</f>
        <v/>
      </c>
    </row>
    <row r="7871">
      <c r="A7871" s="13">
        <f>IF(H7871="","",ROW()-4)</f>
        <v/>
      </c>
      <c r="B7871" s="13">
        <f>IF(H7871="","",ROW()-4)</f>
        <v/>
      </c>
    </row>
    <row r="7872">
      <c r="A7872" s="13">
        <f>IF(H7872="","",ROW()-4)</f>
        <v/>
      </c>
      <c r="B7872" s="13">
        <f>IF(H7872="","",ROW()-4)</f>
        <v/>
      </c>
    </row>
    <row r="7873">
      <c r="A7873" s="13">
        <f>IF(H7873="","",ROW()-4)</f>
        <v/>
      </c>
      <c r="B7873" s="13">
        <f>IF(H7873="","",ROW()-4)</f>
        <v/>
      </c>
    </row>
    <row r="7874">
      <c r="A7874" s="13">
        <f>IF(H7874="","",ROW()-4)</f>
        <v/>
      </c>
      <c r="B7874" s="13">
        <f>IF(H7874="","",ROW()-4)</f>
        <v/>
      </c>
    </row>
    <row r="7875">
      <c r="A7875" s="13">
        <f>IF(H7875="","",ROW()-4)</f>
        <v/>
      </c>
      <c r="B7875" s="13">
        <f>IF(H7875="","",ROW()-4)</f>
        <v/>
      </c>
    </row>
    <row r="7876">
      <c r="A7876" s="13">
        <f>IF(H7876="","",ROW()-4)</f>
        <v/>
      </c>
      <c r="B7876" s="13">
        <f>IF(H7876="","",ROW()-4)</f>
        <v/>
      </c>
    </row>
    <row r="7877">
      <c r="A7877" s="13">
        <f>IF(H7877="","",ROW()-4)</f>
        <v/>
      </c>
      <c r="B7877" s="13">
        <f>IF(H7877="","",ROW()-4)</f>
        <v/>
      </c>
    </row>
    <row r="7878">
      <c r="A7878" s="13">
        <f>IF(H7878="","",ROW()-4)</f>
        <v/>
      </c>
      <c r="B7878" s="13">
        <f>IF(H7878="","",ROW()-4)</f>
        <v/>
      </c>
    </row>
    <row r="7879">
      <c r="A7879" s="13">
        <f>IF(H7879="","",ROW()-4)</f>
        <v/>
      </c>
      <c r="B7879" s="13">
        <f>IF(H7879="","",ROW()-4)</f>
        <v/>
      </c>
    </row>
    <row r="7880">
      <c r="A7880" s="13">
        <f>IF(H7880="","",ROW()-4)</f>
        <v/>
      </c>
      <c r="B7880" s="13">
        <f>IF(H7880="","",ROW()-4)</f>
        <v/>
      </c>
    </row>
    <row r="7881">
      <c r="A7881" s="13">
        <f>IF(H7881="","",ROW()-4)</f>
        <v/>
      </c>
      <c r="B7881" s="13">
        <f>IF(H7881="","",ROW()-4)</f>
        <v/>
      </c>
    </row>
    <row r="7882">
      <c r="A7882" s="13">
        <f>IF(H7882="","",ROW()-4)</f>
        <v/>
      </c>
      <c r="B7882" s="13">
        <f>IF(H7882="","",ROW()-4)</f>
        <v/>
      </c>
    </row>
    <row r="7883">
      <c r="A7883" s="13">
        <f>IF(H7883="","",ROW()-4)</f>
        <v/>
      </c>
      <c r="B7883" s="13">
        <f>IF(H7883="","",ROW()-4)</f>
        <v/>
      </c>
    </row>
    <row r="7884">
      <c r="A7884" s="13">
        <f>IF(H7884="","",ROW()-4)</f>
        <v/>
      </c>
      <c r="B7884" s="13">
        <f>IF(H7884="","",ROW()-4)</f>
        <v/>
      </c>
    </row>
    <row r="7885">
      <c r="A7885" s="13">
        <f>IF(H7885="","",ROW()-4)</f>
        <v/>
      </c>
      <c r="B7885" s="13">
        <f>IF(H7885="","",ROW()-4)</f>
        <v/>
      </c>
    </row>
    <row r="7886">
      <c r="A7886" s="13">
        <f>IF(H7886="","",ROW()-4)</f>
        <v/>
      </c>
      <c r="B7886" s="13">
        <f>IF(H7886="","",ROW()-4)</f>
        <v/>
      </c>
    </row>
    <row r="7887">
      <c r="A7887" s="13">
        <f>IF(H7887="","",ROW()-4)</f>
        <v/>
      </c>
      <c r="B7887" s="13">
        <f>IF(H7887="","",ROW()-4)</f>
        <v/>
      </c>
    </row>
    <row r="7888">
      <c r="A7888" s="13">
        <f>IF(H7888="","",ROW()-4)</f>
        <v/>
      </c>
      <c r="B7888" s="13">
        <f>IF(H7888="","",ROW()-4)</f>
        <v/>
      </c>
    </row>
    <row r="7889">
      <c r="A7889" s="13">
        <f>IF(H7889="","",ROW()-4)</f>
        <v/>
      </c>
      <c r="B7889" s="13">
        <f>IF(H7889="","",ROW()-4)</f>
        <v/>
      </c>
    </row>
    <row r="7890">
      <c r="A7890" s="13">
        <f>IF(H7890="","",ROW()-4)</f>
        <v/>
      </c>
      <c r="B7890" s="13">
        <f>IF(H7890="","",ROW()-4)</f>
        <v/>
      </c>
    </row>
    <row r="7891">
      <c r="A7891" s="13">
        <f>IF(H7891="","",ROW()-4)</f>
        <v/>
      </c>
      <c r="B7891" s="13">
        <f>IF(H7891="","",ROW()-4)</f>
        <v/>
      </c>
    </row>
    <row r="7892">
      <c r="A7892" s="13">
        <f>IF(H7892="","",ROW()-4)</f>
        <v/>
      </c>
      <c r="B7892" s="13">
        <f>IF(H7892="","",ROW()-4)</f>
        <v/>
      </c>
    </row>
    <row r="7893">
      <c r="A7893" s="13">
        <f>IF(H7893="","",ROW()-4)</f>
        <v/>
      </c>
      <c r="B7893" s="13">
        <f>IF(H7893="","",ROW()-4)</f>
        <v/>
      </c>
    </row>
    <row r="7894">
      <c r="A7894" s="13">
        <f>IF(H7894="","",ROW()-4)</f>
        <v/>
      </c>
      <c r="B7894" s="13">
        <f>IF(H7894="","",ROW()-4)</f>
        <v/>
      </c>
    </row>
    <row r="7895">
      <c r="A7895" s="13">
        <f>IF(H7895="","",ROW()-4)</f>
        <v/>
      </c>
      <c r="B7895" s="13">
        <f>IF(H7895="","",ROW()-4)</f>
        <v/>
      </c>
    </row>
    <row r="7896">
      <c r="A7896" s="13">
        <f>IF(H7896="","",ROW()-4)</f>
        <v/>
      </c>
      <c r="B7896" s="13">
        <f>IF(H7896="","",ROW()-4)</f>
        <v/>
      </c>
    </row>
    <row r="7897">
      <c r="A7897" s="13">
        <f>IF(H7897="","",ROW()-4)</f>
        <v/>
      </c>
      <c r="B7897" s="13">
        <f>IF(H7897="","",ROW()-4)</f>
        <v/>
      </c>
    </row>
    <row r="7898">
      <c r="A7898" s="13">
        <f>IF(H7898="","",ROW()-4)</f>
        <v/>
      </c>
      <c r="B7898" s="13">
        <f>IF(H7898="","",ROW()-4)</f>
        <v/>
      </c>
    </row>
    <row r="7899">
      <c r="A7899" s="13">
        <f>IF(H7899="","",ROW()-4)</f>
        <v/>
      </c>
      <c r="B7899" s="13">
        <f>IF(H7899="","",ROW()-4)</f>
        <v/>
      </c>
    </row>
    <row r="7900">
      <c r="A7900" s="13">
        <f>IF(H7900="","",ROW()-4)</f>
        <v/>
      </c>
      <c r="B7900" s="13">
        <f>IF(H7900="","",ROW()-4)</f>
        <v/>
      </c>
    </row>
    <row r="7901">
      <c r="A7901" s="13">
        <f>IF(H7901="","",ROW()-4)</f>
        <v/>
      </c>
      <c r="B7901" s="13">
        <f>IF(H7901="","",ROW()-4)</f>
        <v/>
      </c>
    </row>
    <row r="7902">
      <c r="A7902" s="13">
        <f>IF(H7902="","",ROW()-4)</f>
        <v/>
      </c>
      <c r="B7902" s="13">
        <f>IF(H7902="","",ROW()-4)</f>
        <v/>
      </c>
    </row>
    <row r="7903">
      <c r="A7903" s="13">
        <f>IF(H7903="","",ROW()-4)</f>
        <v/>
      </c>
      <c r="B7903" s="13">
        <f>IF(H7903="","",ROW()-4)</f>
        <v/>
      </c>
    </row>
    <row r="7904">
      <c r="A7904" s="13">
        <f>IF(H7904="","",ROW()-4)</f>
        <v/>
      </c>
      <c r="B7904" s="13">
        <f>IF(H7904="","",ROW()-4)</f>
        <v/>
      </c>
    </row>
    <row r="7905">
      <c r="A7905" s="13">
        <f>IF(H7905="","",ROW()-4)</f>
        <v/>
      </c>
      <c r="B7905" s="13">
        <f>IF(H7905="","",ROW()-4)</f>
        <v/>
      </c>
    </row>
    <row r="7906">
      <c r="A7906" s="13">
        <f>IF(H7906="","",ROW()-4)</f>
        <v/>
      </c>
      <c r="B7906" s="13">
        <f>IF(H7906="","",ROW()-4)</f>
        <v/>
      </c>
    </row>
    <row r="7907">
      <c r="A7907" s="13">
        <f>IF(H7907="","",ROW()-4)</f>
        <v/>
      </c>
      <c r="B7907" s="13">
        <f>IF(H7907="","",ROW()-4)</f>
        <v/>
      </c>
    </row>
    <row r="7908">
      <c r="A7908" s="13">
        <f>IF(H7908="","",ROW()-4)</f>
        <v/>
      </c>
      <c r="B7908" s="13">
        <f>IF(H7908="","",ROW()-4)</f>
        <v/>
      </c>
    </row>
    <row r="7909">
      <c r="A7909" s="13">
        <f>IF(H7909="","",ROW()-4)</f>
        <v/>
      </c>
      <c r="B7909" s="13">
        <f>IF(H7909="","",ROW()-4)</f>
        <v/>
      </c>
    </row>
    <row r="7910">
      <c r="A7910" s="13">
        <f>IF(H7910="","",ROW()-4)</f>
        <v/>
      </c>
      <c r="B7910" s="13">
        <f>IF(H7910="","",ROW()-4)</f>
        <v/>
      </c>
    </row>
    <row r="7911">
      <c r="A7911" s="13">
        <f>IF(H7911="","",ROW()-4)</f>
        <v/>
      </c>
      <c r="B7911" s="13">
        <f>IF(H7911="","",ROW()-4)</f>
        <v/>
      </c>
    </row>
    <row r="7912">
      <c r="A7912" s="13">
        <f>IF(H7912="","",ROW()-4)</f>
        <v/>
      </c>
      <c r="B7912" s="13">
        <f>IF(H7912="","",ROW()-4)</f>
        <v/>
      </c>
    </row>
    <row r="7913">
      <c r="A7913" s="13">
        <f>IF(H7913="","",ROW()-4)</f>
        <v/>
      </c>
      <c r="B7913" s="13">
        <f>IF(H7913="","",ROW()-4)</f>
        <v/>
      </c>
    </row>
    <row r="7914">
      <c r="A7914" s="13">
        <f>IF(H7914="","",ROW()-4)</f>
        <v/>
      </c>
      <c r="B7914" s="13">
        <f>IF(H7914="","",ROW()-4)</f>
        <v/>
      </c>
    </row>
    <row r="7915">
      <c r="A7915" s="13">
        <f>IF(H7915="","",ROW()-4)</f>
        <v/>
      </c>
      <c r="B7915" s="13">
        <f>IF(H7915="","",ROW()-4)</f>
        <v/>
      </c>
    </row>
    <row r="7916">
      <c r="A7916" s="13">
        <f>IF(H7916="","",ROW()-4)</f>
        <v/>
      </c>
      <c r="B7916" s="13">
        <f>IF(H7916="","",ROW()-4)</f>
        <v/>
      </c>
    </row>
    <row r="7917">
      <c r="A7917" s="13">
        <f>IF(H7917="","",ROW()-4)</f>
        <v/>
      </c>
      <c r="B7917" s="13">
        <f>IF(H7917="","",ROW()-4)</f>
        <v/>
      </c>
    </row>
    <row r="7918">
      <c r="A7918" s="13">
        <f>IF(H7918="","",ROW()-4)</f>
        <v/>
      </c>
      <c r="B7918" s="13">
        <f>IF(H7918="","",ROW()-4)</f>
        <v/>
      </c>
    </row>
    <row r="7919">
      <c r="A7919" s="13">
        <f>IF(H7919="","",ROW()-4)</f>
        <v/>
      </c>
      <c r="B7919" s="13">
        <f>IF(H7919="","",ROW()-4)</f>
        <v/>
      </c>
    </row>
    <row r="7920">
      <c r="A7920" s="13">
        <f>IF(H7920="","",ROW()-4)</f>
        <v/>
      </c>
      <c r="B7920" s="13">
        <f>IF(H7920="","",ROW()-4)</f>
        <v/>
      </c>
    </row>
    <row r="7921">
      <c r="A7921" s="13">
        <f>IF(H7921="","",ROW()-4)</f>
        <v/>
      </c>
      <c r="B7921" s="13">
        <f>IF(H7921="","",ROW()-4)</f>
        <v/>
      </c>
    </row>
    <row r="7922">
      <c r="A7922" s="13">
        <f>IF(H7922="","",ROW()-4)</f>
        <v/>
      </c>
      <c r="B7922" s="13">
        <f>IF(H7922="","",ROW()-4)</f>
        <v/>
      </c>
    </row>
    <row r="7923">
      <c r="A7923" s="13">
        <f>IF(H7923="","",ROW()-4)</f>
        <v/>
      </c>
      <c r="B7923" s="13">
        <f>IF(H7923="","",ROW()-4)</f>
        <v/>
      </c>
    </row>
    <row r="7924">
      <c r="A7924" s="13">
        <f>IF(H7924="","",ROW()-4)</f>
        <v/>
      </c>
      <c r="B7924" s="13">
        <f>IF(H7924="","",ROW()-4)</f>
        <v/>
      </c>
    </row>
    <row r="7925">
      <c r="A7925" s="13">
        <f>IF(H7925="","",ROW()-4)</f>
        <v/>
      </c>
      <c r="B7925" s="13">
        <f>IF(H7925="","",ROW()-4)</f>
        <v/>
      </c>
    </row>
    <row r="7926">
      <c r="A7926" s="13">
        <f>IF(H7926="","",ROW()-4)</f>
        <v/>
      </c>
      <c r="B7926" s="13">
        <f>IF(H7926="","",ROW()-4)</f>
        <v/>
      </c>
    </row>
    <row r="7927">
      <c r="A7927" s="13">
        <f>IF(H7927="","",ROW()-4)</f>
        <v/>
      </c>
      <c r="B7927" s="13">
        <f>IF(H7927="","",ROW()-4)</f>
        <v/>
      </c>
    </row>
    <row r="7928">
      <c r="A7928" s="13">
        <f>IF(H7928="","",ROW()-4)</f>
        <v/>
      </c>
      <c r="B7928" s="13">
        <f>IF(H7928="","",ROW()-4)</f>
        <v/>
      </c>
    </row>
    <row r="7929">
      <c r="A7929" s="13">
        <f>IF(H7929="","",ROW()-4)</f>
        <v/>
      </c>
      <c r="B7929" s="13">
        <f>IF(H7929="","",ROW()-4)</f>
        <v/>
      </c>
    </row>
    <row r="7930">
      <c r="A7930" s="13">
        <f>IF(H7930="","",ROW()-4)</f>
        <v/>
      </c>
      <c r="B7930" s="13">
        <f>IF(H7930="","",ROW()-4)</f>
        <v/>
      </c>
    </row>
    <row r="7931">
      <c r="A7931" s="13">
        <f>IF(H7931="","",ROW()-4)</f>
        <v/>
      </c>
      <c r="B7931" s="13">
        <f>IF(H7931="","",ROW()-4)</f>
        <v/>
      </c>
    </row>
    <row r="7932">
      <c r="A7932" s="13">
        <f>IF(H7932="","",ROW()-4)</f>
        <v/>
      </c>
      <c r="B7932" s="13">
        <f>IF(H7932="","",ROW()-4)</f>
        <v/>
      </c>
    </row>
    <row r="7933">
      <c r="A7933" s="13">
        <f>IF(H7933="","",ROW()-4)</f>
        <v/>
      </c>
      <c r="B7933" s="13">
        <f>IF(H7933="","",ROW()-4)</f>
        <v/>
      </c>
    </row>
    <row r="7934">
      <c r="A7934" s="13">
        <f>IF(H7934="","",ROW()-4)</f>
        <v/>
      </c>
      <c r="B7934" s="13">
        <f>IF(H7934="","",ROW()-4)</f>
        <v/>
      </c>
    </row>
    <row r="7935">
      <c r="A7935" s="13">
        <f>IF(H7935="","",ROW()-4)</f>
        <v/>
      </c>
      <c r="B7935" s="13">
        <f>IF(H7935="","",ROW()-4)</f>
        <v/>
      </c>
    </row>
    <row r="7936">
      <c r="A7936" s="13">
        <f>IF(H7936="","",ROW()-4)</f>
        <v/>
      </c>
      <c r="B7936" s="13">
        <f>IF(H7936="","",ROW()-4)</f>
        <v/>
      </c>
    </row>
    <row r="7937">
      <c r="A7937" s="13">
        <f>IF(H7937="","",ROW()-4)</f>
        <v/>
      </c>
      <c r="B7937" s="13">
        <f>IF(H7937="","",ROW()-4)</f>
        <v/>
      </c>
    </row>
    <row r="7938">
      <c r="A7938" s="13">
        <f>IF(H7938="","",ROW()-4)</f>
        <v/>
      </c>
      <c r="B7938" s="13">
        <f>IF(H7938="","",ROW()-4)</f>
        <v/>
      </c>
    </row>
    <row r="7939">
      <c r="A7939" s="13">
        <f>IF(H7939="","",ROW()-4)</f>
        <v/>
      </c>
      <c r="B7939" s="13">
        <f>IF(H7939="","",ROW()-4)</f>
        <v/>
      </c>
    </row>
    <row r="7940">
      <c r="A7940" s="13">
        <f>IF(H7940="","",ROW()-4)</f>
        <v/>
      </c>
      <c r="B7940" s="13">
        <f>IF(H7940="","",ROW()-4)</f>
        <v/>
      </c>
    </row>
    <row r="7941">
      <c r="A7941" s="13">
        <f>IF(H7941="","",ROW()-4)</f>
        <v/>
      </c>
      <c r="B7941" s="13">
        <f>IF(H7941="","",ROW()-4)</f>
        <v/>
      </c>
    </row>
    <row r="7942">
      <c r="A7942" s="13">
        <f>IF(H7942="","",ROW()-4)</f>
        <v/>
      </c>
      <c r="B7942" s="13">
        <f>IF(H7942="","",ROW()-4)</f>
        <v/>
      </c>
    </row>
    <row r="7943">
      <c r="A7943" s="13">
        <f>IF(H7943="","",ROW()-4)</f>
        <v/>
      </c>
      <c r="B7943" s="13">
        <f>IF(H7943="","",ROW()-4)</f>
        <v/>
      </c>
    </row>
    <row r="7944">
      <c r="A7944" s="13">
        <f>IF(H7944="","",ROW()-4)</f>
        <v/>
      </c>
      <c r="B7944" s="13">
        <f>IF(H7944="","",ROW()-4)</f>
        <v/>
      </c>
    </row>
    <row r="7945">
      <c r="A7945" s="13">
        <f>IF(H7945="","",ROW()-4)</f>
        <v/>
      </c>
      <c r="B7945" s="13">
        <f>IF(H7945="","",ROW()-4)</f>
        <v/>
      </c>
    </row>
    <row r="7946">
      <c r="A7946" s="13">
        <f>IF(H7946="","",ROW()-4)</f>
        <v/>
      </c>
      <c r="B7946" s="13">
        <f>IF(H7946="","",ROW()-4)</f>
        <v/>
      </c>
    </row>
    <row r="7947">
      <c r="A7947" s="13">
        <f>IF(H7947="","",ROW()-4)</f>
        <v/>
      </c>
      <c r="B7947" s="13">
        <f>IF(H7947="","",ROW()-4)</f>
        <v/>
      </c>
    </row>
    <row r="7948">
      <c r="A7948" s="13">
        <f>IF(H7948="","",ROW()-4)</f>
        <v/>
      </c>
      <c r="B7948" s="13">
        <f>IF(H7948="","",ROW()-4)</f>
        <v/>
      </c>
    </row>
    <row r="7949">
      <c r="A7949" s="13">
        <f>IF(H7949="","",ROW()-4)</f>
        <v/>
      </c>
      <c r="B7949" s="13">
        <f>IF(H7949="","",ROW()-4)</f>
        <v/>
      </c>
    </row>
    <row r="7950">
      <c r="A7950" s="13">
        <f>IF(H7950="","",ROW()-4)</f>
        <v/>
      </c>
      <c r="B7950" s="13">
        <f>IF(H7950="","",ROW()-4)</f>
        <v/>
      </c>
    </row>
    <row r="7951">
      <c r="A7951" s="13">
        <f>IF(H7951="","",ROW()-4)</f>
        <v/>
      </c>
      <c r="B7951" s="13">
        <f>IF(H7951="","",ROW()-4)</f>
        <v/>
      </c>
    </row>
    <row r="7952">
      <c r="A7952" s="13">
        <f>IF(H7952="","",ROW()-4)</f>
        <v/>
      </c>
      <c r="B7952" s="13">
        <f>IF(H7952="","",ROW()-4)</f>
        <v/>
      </c>
    </row>
    <row r="7953">
      <c r="A7953" s="13">
        <f>IF(H7953="","",ROW()-4)</f>
        <v/>
      </c>
      <c r="B7953" s="13">
        <f>IF(H7953="","",ROW()-4)</f>
        <v/>
      </c>
    </row>
    <row r="7954">
      <c r="A7954" s="13">
        <f>IF(H7954="","",ROW()-4)</f>
        <v/>
      </c>
      <c r="B7954" s="13">
        <f>IF(H7954="","",ROW()-4)</f>
        <v/>
      </c>
    </row>
    <row r="7955">
      <c r="A7955" s="13">
        <f>IF(H7955="","",ROW()-4)</f>
        <v/>
      </c>
      <c r="B7955" s="13">
        <f>IF(H7955="","",ROW()-4)</f>
        <v/>
      </c>
    </row>
    <row r="7956">
      <c r="A7956" s="13">
        <f>IF(H7956="","",ROW()-4)</f>
        <v/>
      </c>
      <c r="B7956" s="13">
        <f>IF(H7956="","",ROW()-4)</f>
        <v/>
      </c>
    </row>
    <row r="7957">
      <c r="A7957" s="13">
        <f>IF(H7957="","",ROW()-4)</f>
        <v/>
      </c>
      <c r="B7957" s="13">
        <f>IF(H7957="","",ROW()-4)</f>
        <v/>
      </c>
    </row>
    <row r="7958">
      <c r="A7958" s="13">
        <f>IF(H7958="","",ROW()-4)</f>
        <v/>
      </c>
      <c r="B7958" s="13">
        <f>IF(H7958="","",ROW()-4)</f>
        <v/>
      </c>
    </row>
    <row r="7959">
      <c r="A7959" s="13">
        <f>IF(H7959="","",ROW()-4)</f>
        <v/>
      </c>
      <c r="B7959" s="13">
        <f>IF(H7959="","",ROW()-4)</f>
        <v/>
      </c>
    </row>
    <row r="7960">
      <c r="A7960" s="13">
        <f>IF(H7960="","",ROW()-4)</f>
        <v/>
      </c>
      <c r="B7960" s="13">
        <f>IF(H7960="","",ROW()-4)</f>
        <v/>
      </c>
    </row>
    <row r="7961">
      <c r="A7961" s="13">
        <f>IF(H7961="","",ROW()-4)</f>
        <v/>
      </c>
      <c r="B7961" s="13">
        <f>IF(H7961="","",ROW()-4)</f>
        <v/>
      </c>
    </row>
    <row r="7962">
      <c r="A7962" s="13">
        <f>IF(H7962="","",ROW()-4)</f>
        <v/>
      </c>
      <c r="B7962" s="13">
        <f>IF(H7962="","",ROW()-4)</f>
        <v/>
      </c>
    </row>
    <row r="7963">
      <c r="A7963" s="13">
        <f>IF(H7963="","",ROW()-4)</f>
        <v/>
      </c>
      <c r="B7963" s="13">
        <f>IF(H7963="","",ROW()-4)</f>
        <v/>
      </c>
    </row>
    <row r="7964">
      <c r="A7964" s="13">
        <f>IF(H7964="","",ROW()-4)</f>
        <v/>
      </c>
      <c r="B7964" s="13">
        <f>IF(H7964="","",ROW()-4)</f>
        <v/>
      </c>
    </row>
    <row r="7965">
      <c r="A7965" s="13">
        <f>IF(H7965="","",ROW()-4)</f>
        <v/>
      </c>
      <c r="B7965" s="13">
        <f>IF(H7965="","",ROW()-4)</f>
        <v/>
      </c>
    </row>
    <row r="7966">
      <c r="A7966" s="13">
        <f>IF(H7966="","",ROW()-4)</f>
        <v/>
      </c>
      <c r="B7966" s="13">
        <f>IF(H7966="","",ROW()-4)</f>
        <v/>
      </c>
    </row>
    <row r="7967">
      <c r="A7967" s="13">
        <f>IF(H7967="","",ROW()-4)</f>
        <v/>
      </c>
      <c r="B7967" s="13">
        <f>IF(H7967="","",ROW()-4)</f>
        <v/>
      </c>
    </row>
    <row r="7968">
      <c r="A7968" s="13">
        <f>IF(H7968="","",ROW()-4)</f>
        <v/>
      </c>
      <c r="B7968" s="13">
        <f>IF(H7968="","",ROW()-4)</f>
        <v/>
      </c>
    </row>
    <row r="7969">
      <c r="A7969" s="13">
        <f>IF(H7969="","",ROW()-4)</f>
        <v/>
      </c>
      <c r="B7969" s="13">
        <f>IF(H7969="","",ROW()-4)</f>
        <v/>
      </c>
    </row>
    <row r="7970">
      <c r="A7970" s="13">
        <f>IF(H7970="","",ROW()-4)</f>
        <v/>
      </c>
      <c r="B7970" s="13">
        <f>IF(H7970="","",ROW()-4)</f>
        <v/>
      </c>
    </row>
    <row r="7971">
      <c r="A7971" s="13">
        <f>IF(H7971="","",ROW()-4)</f>
        <v/>
      </c>
      <c r="B7971" s="13">
        <f>IF(H7971="","",ROW()-4)</f>
        <v/>
      </c>
    </row>
    <row r="7972">
      <c r="A7972" s="13">
        <f>IF(H7972="","",ROW()-4)</f>
        <v/>
      </c>
      <c r="B7972" s="13">
        <f>IF(H7972="","",ROW()-4)</f>
        <v/>
      </c>
    </row>
    <row r="7973">
      <c r="A7973" s="13">
        <f>IF(H7973="","",ROW()-4)</f>
        <v/>
      </c>
      <c r="B7973" s="13">
        <f>IF(H7973="","",ROW()-4)</f>
        <v/>
      </c>
    </row>
    <row r="7974">
      <c r="A7974" s="13">
        <f>IF(H7974="","",ROW()-4)</f>
        <v/>
      </c>
      <c r="B7974" s="13">
        <f>IF(H7974="","",ROW()-4)</f>
        <v/>
      </c>
    </row>
    <row r="7975">
      <c r="A7975" s="13">
        <f>IF(H7975="","",ROW()-4)</f>
        <v/>
      </c>
      <c r="B7975" s="13">
        <f>IF(H7975="","",ROW()-4)</f>
        <v/>
      </c>
    </row>
    <row r="7976">
      <c r="A7976" s="13">
        <f>IF(H7976="","",ROW()-4)</f>
        <v/>
      </c>
      <c r="B7976" s="13">
        <f>IF(H7976="","",ROW()-4)</f>
        <v/>
      </c>
    </row>
    <row r="7977">
      <c r="A7977" s="13">
        <f>IF(H7977="","",ROW()-4)</f>
        <v/>
      </c>
      <c r="B7977" s="13">
        <f>IF(H7977="","",ROW()-4)</f>
        <v/>
      </c>
    </row>
    <row r="7978">
      <c r="A7978" s="13">
        <f>IF(H7978="","",ROW()-4)</f>
        <v/>
      </c>
      <c r="B7978" s="13">
        <f>IF(H7978="","",ROW()-4)</f>
        <v/>
      </c>
    </row>
    <row r="7979">
      <c r="A7979" s="13">
        <f>IF(H7979="","",ROW()-4)</f>
        <v/>
      </c>
      <c r="B7979" s="13">
        <f>IF(H7979="","",ROW()-4)</f>
        <v/>
      </c>
    </row>
    <row r="7980">
      <c r="A7980" s="13">
        <f>IF(H7980="","",ROW()-4)</f>
        <v/>
      </c>
      <c r="B7980" s="13">
        <f>IF(H7980="","",ROW()-4)</f>
        <v/>
      </c>
    </row>
    <row r="7981">
      <c r="A7981" s="13">
        <f>IF(H7981="","",ROW()-4)</f>
        <v/>
      </c>
      <c r="B7981" s="13">
        <f>IF(H7981="","",ROW()-4)</f>
        <v/>
      </c>
    </row>
    <row r="7982">
      <c r="A7982" s="13">
        <f>IF(H7982="","",ROW()-4)</f>
        <v/>
      </c>
      <c r="B7982" s="13">
        <f>IF(H7982="","",ROW()-4)</f>
        <v/>
      </c>
    </row>
    <row r="7983">
      <c r="A7983" s="13">
        <f>IF(H7983="","",ROW()-4)</f>
        <v/>
      </c>
      <c r="B7983" s="13">
        <f>IF(H7983="","",ROW()-4)</f>
        <v/>
      </c>
    </row>
    <row r="7984">
      <c r="A7984" s="13">
        <f>IF(H7984="","",ROW()-4)</f>
        <v/>
      </c>
      <c r="B7984" s="13">
        <f>IF(H7984="","",ROW()-4)</f>
        <v/>
      </c>
    </row>
    <row r="7985">
      <c r="A7985" s="13">
        <f>IF(H7985="","",ROW()-4)</f>
        <v/>
      </c>
      <c r="B7985" s="13">
        <f>IF(H7985="","",ROW()-4)</f>
        <v/>
      </c>
    </row>
    <row r="7986">
      <c r="A7986" s="13">
        <f>IF(H7986="","",ROW()-4)</f>
        <v/>
      </c>
      <c r="B7986" s="13">
        <f>IF(H7986="","",ROW()-4)</f>
        <v/>
      </c>
    </row>
    <row r="7987">
      <c r="A7987" s="13">
        <f>IF(H7987="","",ROW()-4)</f>
        <v/>
      </c>
      <c r="B7987" s="13">
        <f>IF(H7987="","",ROW()-4)</f>
        <v/>
      </c>
    </row>
    <row r="7988">
      <c r="A7988" s="13">
        <f>IF(H7988="","",ROW()-4)</f>
        <v/>
      </c>
      <c r="B7988" s="13">
        <f>IF(H7988="","",ROW()-4)</f>
        <v/>
      </c>
    </row>
    <row r="7989">
      <c r="A7989" s="13">
        <f>IF(H7989="","",ROW()-4)</f>
        <v/>
      </c>
      <c r="B7989" s="13">
        <f>IF(H7989="","",ROW()-4)</f>
        <v/>
      </c>
    </row>
    <row r="7990">
      <c r="A7990" s="13">
        <f>IF(H7990="","",ROW()-4)</f>
        <v/>
      </c>
      <c r="B7990" s="13">
        <f>IF(H7990="","",ROW()-4)</f>
        <v/>
      </c>
    </row>
    <row r="7991">
      <c r="A7991" s="13">
        <f>IF(H7991="","",ROW()-4)</f>
        <v/>
      </c>
      <c r="B7991" s="13">
        <f>IF(H7991="","",ROW()-4)</f>
        <v/>
      </c>
    </row>
    <row r="7992">
      <c r="A7992" s="13">
        <f>IF(H7992="","",ROW()-4)</f>
        <v/>
      </c>
      <c r="B7992" s="13">
        <f>IF(H7992="","",ROW()-4)</f>
        <v/>
      </c>
    </row>
    <row r="7993">
      <c r="A7993" s="13">
        <f>IF(H7993="","",ROW()-4)</f>
        <v/>
      </c>
      <c r="B7993" s="13">
        <f>IF(H7993="","",ROW()-4)</f>
        <v/>
      </c>
    </row>
    <row r="7994">
      <c r="A7994" s="13">
        <f>IF(H7994="","",ROW()-4)</f>
        <v/>
      </c>
      <c r="B7994" s="13">
        <f>IF(H7994="","",ROW()-4)</f>
        <v/>
      </c>
    </row>
    <row r="7995">
      <c r="A7995" s="13">
        <f>IF(H7995="","",ROW()-4)</f>
        <v/>
      </c>
      <c r="B7995" s="13">
        <f>IF(H7995="","",ROW()-4)</f>
        <v/>
      </c>
    </row>
    <row r="7996">
      <c r="A7996" s="13">
        <f>IF(H7996="","",ROW()-4)</f>
        <v/>
      </c>
      <c r="B7996" s="13">
        <f>IF(H7996="","",ROW()-4)</f>
        <v/>
      </c>
    </row>
    <row r="7997">
      <c r="A7997" s="13">
        <f>IF(H7997="","",ROW()-4)</f>
        <v/>
      </c>
      <c r="B7997" s="13">
        <f>IF(H7997="","",ROW()-4)</f>
        <v/>
      </c>
    </row>
    <row r="7998">
      <c r="A7998" s="13">
        <f>IF(H7998="","",ROW()-4)</f>
        <v/>
      </c>
      <c r="B7998" s="13">
        <f>IF(H7998="","",ROW()-4)</f>
        <v/>
      </c>
    </row>
    <row r="7999">
      <c r="A7999" s="13">
        <f>IF(H7999="","",ROW()-4)</f>
        <v/>
      </c>
      <c r="B7999" s="13">
        <f>IF(H7999="","",ROW()-4)</f>
        <v/>
      </c>
    </row>
    <row r="8000">
      <c r="A8000" s="13">
        <f>IF(H8000="","",ROW()-4)</f>
        <v/>
      </c>
      <c r="B8000" s="13">
        <f>IF(H8000="","",ROW()-4)</f>
        <v/>
      </c>
    </row>
    <row r="8001">
      <c r="A8001" s="13">
        <f>IF(H8001="","",ROW()-4)</f>
        <v/>
      </c>
      <c r="B8001" s="13">
        <f>IF(H8001="","",ROW()-4)</f>
        <v/>
      </c>
    </row>
    <row r="8002">
      <c r="A8002" s="13">
        <f>IF(H8002="","",ROW()-4)</f>
        <v/>
      </c>
      <c r="B8002" s="13">
        <f>IF(H8002="","",ROW()-4)</f>
        <v/>
      </c>
    </row>
    <row r="8003">
      <c r="A8003" s="13">
        <f>IF(H8003="","",ROW()-4)</f>
        <v/>
      </c>
      <c r="B8003" s="13">
        <f>IF(H8003="","",ROW()-4)</f>
        <v/>
      </c>
    </row>
    <row r="8004">
      <c r="A8004" s="13">
        <f>IF(H8004="","",ROW()-4)</f>
        <v/>
      </c>
      <c r="B8004" s="13">
        <f>IF(H8004="","",ROW()-4)</f>
        <v/>
      </c>
    </row>
    <row r="8005">
      <c r="A8005" s="13">
        <f>IF(H8005="","",ROW()-4)</f>
        <v/>
      </c>
      <c r="B8005" s="13">
        <f>IF(H8005="","",ROW()-4)</f>
        <v/>
      </c>
    </row>
    <row r="8006">
      <c r="A8006" s="13">
        <f>IF(H8006="","",ROW()-4)</f>
        <v/>
      </c>
      <c r="B8006" s="13">
        <f>IF(H8006="","",ROW()-4)</f>
        <v/>
      </c>
    </row>
    <row r="8007">
      <c r="A8007" s="13">
        <f>IF(H8007="","",ROW()-4)</f>
        <v/>
      </c>
      <c r="B8007" s="13">
        <f>IF(H8007="","",ROW()-4)</f>
        <v/>
      </c>
    </row>
    <row r="8008">
      <c r="A8008" s="13">
        <f>IF(H8008="","",ROW()-4)</f>
        <v/>
      </c>
      <c r="B8008" s="13">
        <f>IF(H8008="","",ROW()-4)</f>
        <v/>
      </c>
    </row>
    <row r="8009">
      <c r="A8009" s="13">
        <f>IF(H8009="","",ROW()-4)</f>
        <v/>
      </c>
      <c r="B8009" s="13">
        <f>IF(H8009="","",ROW()-4)</f>
        <v/>
      </c>
    </row>
    <row r="8010">
      <c r="A8010" s="13">
        <f>IF(H8010="","",ROW()-4)</f>
        <v/>
      </c>
      <c r="B8010" s="13">
        <f>IF(H8010="","",ROW()-4)</f>
        <v/>
      </c>
    </row>
    <row r="8011">
      <c r="A8011" s="13">
        <f>IF(H8011="","",ROW()-4)</f>
        <v/>
      </c>
      <c r="B8011" s="13">
        <f>IF(H8011="","",ROW()-4)</f>
        <v/>
      </c>
    </row>
    <row r="8012">
      <c r="A8012" s="13">
        <f>IF(H8012="","",ROW()-4)</f>
        <v/>
      </c>
      <c r="B8012" s="13">
        <f>IF(H8012="","",ROW()-4)</f>
        <v/>
      </c>
    </row>
    <row r="8013">
      <c r="A8013" s="13">
        <f>IF(H8013="","",ROW()-4)</f>
        <v/>
      </c>
      <c r="B8013" s="13">
        <f>IF(H8013="","",ROW()-4)</f>
        <v/>
      </c>
    </row>
    <row r="8014">
      <c r="A8014" s="13">
        <f>IF(H8014="","",ROW()-4)</f>
        <v/>
      </c>
      <c r="B8014" s="13">
        <f>IF(H8014="","",ROW()-4)</f>
        <v/>
      </c>
    </row>
    <row r="8015">
      <c r="A8015" s="13">
        <f>IF(H8015="","",ROW()-4)</f>
        <v/>
      </c>
      <c r="B8015" s="13">
        <f>IF(H8015="","",ROW()-4)</f>
        <v/>
      </c>
    </row>
    <row r="8016">
      <c r="A8016" s="13">
        <f>IF(H8016="","",ROW()-4)</f>
        <v/>
      </c>
      <c r="B8016" s="13">
        <f>IF(H8016="","",ROW()-4)</f>
        <v/>
      </c>
    </row>
    <row r="8017">
      <c r="A8017" s="13">
        <f>IF(H8017="","",ROW()-4)</f>
        <v/>
      </c>
      <c r="B8017" s="13">
        <f>IF(H8017="","",ROW()-4)</f>
        <v/>
      </c>
    </row>
    <row r="8018">
      <c r="A8018" s="13">
        <f>IF(H8018="","",ROW()-4)</f>
        <v/>
      </c>
      <c r="B8018" s="13">
        <f>IF(H8018="","",ROW()-4)</f>
        <v/>
      </c>
    </row>
    <row r="8019">
      <c r="A8019" s="13">
        <f>IF(H8019="","",ROW()-4)</f>
        <v/>
      </c>
      <c r="B8019" s="13">
        <f>IF(H8019="","",ROW()-4)</f>
        <v/>
      </c>
    </row>
    <row r="8020">
      <c r="A8020" s="13">
        <f>IF(H8020="","",ROW()-4)</f>
        <v/>
      </c>
      <c r="B8020" s="13">
        <f>IF(H8020="","",ROW()-4)</f>
        <v/>
      </c>
    </row>
    <row r="8021">
      <c r="A8021" s="13">
        <f>IF(H8021="","",ROW()-4)</f>
        <v/>
      </c>
      <c r="B8021" s="13">
        <f>IF(H8021="","",ROW()-4)</f>
        <v/>
      </c>
    </row>
    <row r="8022">
      <c r="A8022" s="13">
        <f>IF(H8022="","",ROW()-4)</f>
        <v/>
      </c>
      <c r="B8022" s="13">
        <f>IF(H8022="","",ROW()-4)</f>
        <v/>
      </c>
    </row>
    <row r="8023">
      <c r="A8023" s="13">
        <f>IF(H8023="","",ROW()-4)</f>
        <v/>
      </c>
      <c r="B8023" s="13">
        <f>IF(H8023="","",ROW()-4)</f>
        <v/>
      </c>
    </row>
    <row r="8024">
      <c r="A8024" s="13">
        <f>IF(H8024="","",ROW()-4)</f>
        <v/>
      </c>
      <c r="B8024" s="13">
        <f>IF(H8024="","",ROW()-4)</f>
        <v/>
      </c>
    </row>
    <row r="8025">
      <c r="A8025" s="13">
        <f>IF(H8025="","",ROW()-4)</f>
        <v/>
      </c>
      <c r="B8025" s="13">
        <f>IF(H8025="","",ROW()-4)</f>
        <v/>
      </c>
    </row>
    <row r="8026">
      <c r="A8026" s="13">
        <f>IF(H8026="","",ROW()-4)</f>
        <v/>
      </c>
      <c r="B8026" s="13">
        <f>IF(H8026="","",ROW()-4)</f>
        <v/>
      </c>
    </row>
    <row r="8027">
      <c r="A8027" s="13">
        <f>IF(H8027="","",ROW()-4)</f>
        <v/>
      </c>
      <c r="B8027" s="13">
        <f>IF(H8027="","",ROW()-4)</f>
        <v/>
      </c>
    </row>
    <row r="8028">
      <c r="A8028" s="13">
        <f>IF(H8028="","",ROW()-4)</f>
        <v/>
      </c>
      <c r="B8028" s="13">
        <f>IF(H8028="","",ROW()-4)</f>
        <v/>
      </c>
    </row>
    <row r="8029">
      <c r="A8029" s="13">
        <f>IF(H8029="","",ROW()-4)</f>
        <v/>
      </c>
      <c r="B8029" s="13">
        <f>IF(H8029="","",ROW()-4)</f>
        <v/>
      </c>
    </row>
    <row r="8030">
      <c r="A8030" s="13">
        <f>IF(H8030="","",ROW()-4)</f>
        <v/>
      </c>
      <c r="B8030" s="13">
        <f>IF(H8030="","",ROW()-4)</f>
        <v/>
      </c>
    </row>
    <row r="8031">
      <c r="A8031" s="13">
        <f>IF(H8031="","",ROW()-4)</f>
        <v/>
      </c>
      <c r="B8031" s="13">
        <f>IF(H8031="","",ROW()-4)</f>
        <v/>
      </c>
    </row>
    <row r="8032">
      <c r="A8032" s="13">
        <f>IF(H8032="","",ROW()-4)</f>
        <v/>
      </c>
      <c r="B8032" s="13">
        <f>IF(H8032="","",ROW()-4)</f>
        <v/>
      </c>
    </row>
    <row r="8033">
      <c r="A8033" s="13">
        <f>IF(H8033="","",ROW()-4)</f>
        <v/>
      </c>
      <c r="B8033" s="13">
        <f>IF(H8033="","",ROW()-4)</f>
        <v/>
      </c>
    </row>
    <row r="8034">
      <c r="A8034" s="13">
        <f>IF(H8034="","",ROW()-4)</f>
        <v/>
      </c>
      <c r="B8034" s="13">
        <f>IF(H8034="","",ROW()-4)</f>
        <v/>
      </c>
    </row>
    <row r="8035">
      <c r="A8035" s="13">
        <f>IF(H8035="","",ROW()-4)</f>
        <v/>
      </c>
      <c r="B8035" s="13">
        <f>IF(H8035="","",ROW()-4)</f>
        <v/>
      </c>
    </row>
    <row r="8036">
      <c r="A8036" s="13">
        <f>IF(H8036="","",ROW()-4)</f>
        <v/>
      </c>
      <c r="B8036" s="13">
        <f>IF(H8036="","",ROW()-4)</f>
        <v/>
      </c>
    </row>
    <row r="8037">
      <c r="A8037" s="13">
        <f>IF(H8037="","",ROW()-4)</f>
        <v/>
      </c>
      <c r="B8037" s="13">
        <f>IF(H8037="","",ROW()-4)</f>
        <v/>
      </c>
    </row>
    <row r="8038">
      <c r="A8038" s="13">
        <f>IF(H8038="","",ROW()-4)</f>
        <v/>
      </c>
      <c r="B8038" s="13">
        <f>IF(H8038="","",ROW()-4)</f>
        <v/>
      </c>
    </row>
    <row r="8039">
      <c r="A8039" s="13">
        <f>IF(H8039="","",ROW()-4)</f>
        <v/>
      </c>
      <c r="B8039" s="13">
        <f>IF(H8039="","",ROW()-4)</f>
        <v/>
      </c>
    </row>
    <row r="8040">
      <c r="A8040" s="13">
        <f>IF(H8040="","",ROW()-4)</f>
        <v/>
      </c>
      <c r="B8040" s="13">
        <f>IF(H8040="","",ROW()-4)</f>
        <v/>
      </c>
    </row>
    <row r="8041">
      <c r="A8041" s="13">
        <f>IF(H8041="","",ROW()-4)</f>
        <v/>
      </c>
      <c r="B8041" s="13">
        <f>IF(H8041="","",ROW()-4)</f>
        <v/>
      </c>
    </row>
    <row r="8042">
      <c r="A8042" s="13">
        <f>IF(H8042="","",ROW()-4)</f>
        <v/>
      </c>
      <c r="B8042" s="13">
        <f>IF(H8042="","",ROW()-4)</f>
        <v/>
      </c>
    </row>
    <row r="8043">
      <c r="A8043" s="13">
        <f>IF(H8043="","",ROW()-4)</f>
        <v/>
      </c>
      <c r="B8043" s="13">
        <f>IF(H8043="","",ROW()-4)</f>
        <v/>
      </c>
    </row>
    <row r="8044">
      <c r="A8044" s="13">
        <f>IF(H8044="","",ROW()-4)</f>
        <v/>
      </c>
      <c r="B8044" s="13">
        <f>IF(H8044="","",ROW()-4)</f>
        <v/>
      </c>
    </row>
    <row r="8045">
      <c r="A8045" s="13">
        <f>IF(H8045="","",ROW()-4)</f>
        <v/>
      </c>
      <c r="B8045" s="13">
        <f>IF(H8045="","",ROW()-4)</f>
        <v/>
      </c>
    </row>
    <row r="8046">
      <c r="A8046" s="13">
        <f>IF(H8046="","",ROW()-4)</f>
        <v/>
      </c>
      <c r="B8046" s="13">
        <f>IF(H8046="","",ROW()-4)</f>
        <v/>
      </c>
    </row>
    <row r="8047">
      <c r="A8047" s="13">
        <f>IF(H8047="","",ROW()-4)</f>
        <v/>
      </c>
      <c r="B8047" s="13">
        <f>IF(H8047="","",ROW()-4)</f>
        <v/>
      </c>
    </row>
    <row r="8048">
      <c r="A8048" s="13">
        <f>IF(H8048="","",ROW()-4)</f>
        <v/>
      </c>
      <c r="B8048" s="13">
        <f>IF(H8048="","",ROW()-4)</f>
        <v/>
      </c>
    </row>
    <row r="8049">
      <c r="A8049" s="13">
        <f>IF(H8049="","",ROW()-4)</f>
        <v/>
      </c>
      <c r="B8049" s="13">
        <f>IF(H8049="","",ROW()-4)</f>
        <v/>
      </c>
    </row>
    <row r="8050">
      <c r="A8050" s="13">
        <f>IF(H8050="","",ROW()-4)</f>
        <v/>
      </c>
      <c r="B8050" s="13">
        <f>IF(H8050="","",ROW()-4)</f>
        <v/>
      </c>
    </row>
    <row r="8051">
      <c r="A8051" s="13">
        <f>IF(H8051="","",ROW()-4)</f>
        <v/>
      </c>
      <c r="B8051" s="13">
        <f>IF(H8051="","",ROW()-4)</f>
        <v/>
      </c>
    </row>
    <row r="8052">
      <c r="A8052" s="13">
        <f>IF(H8052="","",ROW()-4)</f>
        <v/>
      </c>
      <c r="B8052" s="13">
        <f>IF(H8052="","",ROW()-4)</f>
        <v/>
      </c>
    </row>
    <row r="8053">
      <c r="A8053" s="13">
        <f>IF(H8053="","",ROW()-4)</f>
        <v/>
      </c>
      <c r="B8053" s="13">
        <f>IF(H8053="","",ROW()-4)</f>
        <v/>
      </c>
    </row>
    <row r="8054">
      <c r="A8054" s="13">
        <f>IF(H8054="","",ROW()-4)</f>
        <v/>
      </c>
      <c r="B8054" s="13">
        <f>IF(H8054="","",ROW()-4)</f>
        <v/>
      </c>
    </row>
    <row r="8055">
      <c r="A8055" s="13">
        <f>IF(H8055="","",ROW()-4)</f>
        <v/>
      </c>
      <c r="B8055" s="13">
        <f>IF(H8055="","",ROW()-4)</f>
        <v/>
      </c>
    </row>
    <row r="8056">
      <c r="A8056" s="13">
        <f>IF(H8056="","",ROW()-4)</f>
        <v/>
      </c>
      <c r="B8056" s="13">
        <f>IF(H8056="","",ROW()-4)</f>
        <v/>
      </c>
    </row>
    <row r="8057">
      <c r="A8057" s="13">
        <f>IF(H8057="","",ROW()-4)</f>
        <v/>
      </c>
      <c r="B8057" s="13">
        <f>IF(H8057="","",ROW()-4)</f>
        <v/>
      </c>
    </row>
    <row r="8058">
      <c r="A8058" s="13">
        <f>IF(H8058="","",ROW()-4)</f>
        <v/>
      </c>
      <c r="B8058" s="13">
        <f>IF(H8058="","",ROW()-4)</f>
        <v/>
      </c>
    </row>
    <row r="8059">
      <c r="A8059" s="13">
        <f>IF(H8059="","",ROW()-4)</f>
        <v/>
      </c>
      <c r="B8059" s="13">
        <f>IF(H8059="","",ROW()-4)</f>
        <v/>
      </c>
    </row>
    <row r="8060">
      <c r="A8060" s="13">
        <f>IF(H8060="","",ROW()-4)</f>
        <v/>
      </c>
      <c r="B8060" s="13">
        <f>IF(H8060="","",ROW()-4)</f>
        <v/>
      </c>
    </row>
    <row r="8061">
      <c r="A8061" s="13">
        <f>IF(H8061="","",ROW()-4)</f>
        <v/>
      </c>
      <c r="B8061" s="13">
        <f>IF(H8061="","",ROW()-4)</f>
        <v/>
      </c>
    </row>
    <row r="8062">
      <c r="A8062" s="13">
        <f>IF(H8062="","",ROW()-4)</f>
        <v/>
      </c>
      <c r="B8062" s="13">
        <f>IF(H8062="","",ROW()-4)</f>
        <v/>
      </c>
    </row>
    <row r="8063">
      <c r="A8063" s="13">
        <f>IF(H8063="","",ROW()-4)</f>
        <v/>
      </c>
      <c r="B8063" s="13">
        <f>IF(H8063="","",ROW()-4)</f>
        <v/>
      </c>
    </row>
    <row r="8064">
      <c r="A8064" s="13">
        <f>IF(H8064="","",ROW()-4)</f>
        <v/>
      </c>
      <c r="B8064" s="13">
        <f>IF(H8064="","",ROW()-4)</f>
        <v/>
      </c>
    </row>
    <row r="8065">
      <c r="A8065" s="13">
        <f>IF(H8065="","",ROW()-4)</f>
        <v/>
      </c>
      <c r="B8065" s="13">
        <f>IF(H8065="","",ROW()-4)</f>
        <v/>
      </c>
    </row>
    <row r="8066">
      <c r="A8066" s="13">
        <f>IF(H8066="","",ROW()-4)</f>
        <v/>
      </c>
      <c r="B8066" s="13">
        <f>IF(H8066="","",ROW()-4)</f>
        <v/>
      </c>
    </row>
    <row r="8067">
      <c r="A8067" s="13">
        <f>IF(H8067="","",ROW()-4)</f>
        <v/>
      </c>
      <c r="B8067" s="13">
        <f>IF(H8067="","",ROW()-4)</f>
        <v/>
      </c>
    </row>
    <row r="8068">
      <c r="A8068" s="13">
        <f>IF(H8068="","",ROW()-4)</f>
        <v/>
      </c>
      <c r="B8068" s="13">
        <f>IF(H8068="","",ROW()-4)</f>
        <v/>
      </c>
    </row>
    <row r="8069">
      <c r="A8069" s="13">
        <f>IF(H8069="","",ROW()-4)</f>
        <v/>
      </c>
      <c r="B8069" s="13">
        <f>IF(H8069="","",ROW()-4)</f>
        <v/>
      </c>
    </row>
    <row r="8070">
      <c r="A8070" s="13">
        <f>IF(H8070="","",ROW()-4)</f>
        <v/>
      </c>
      <c r="B8070" s="13">
        <f>IF(H8070="","",ROW()-4)</f>
        <v/>
      </c>
    </row>
    <row r="8071">
      <c r="A8071" s="13">
        <f>IF(H8071="","",ROW()-4)</f>
        <v/>
      </c>
      <c r="B8071" s="13">
        <f>IF(H8071="","",ROW()-4)</f>
        <v/>
      </c>
    </row>
    <row r="8072">
      <c r="A8072" s="13">
        <f>IF(H8072="","",ROW()-4)</f>
        <v/>
      </c>
      <c r="B8072" s="13">
        <f>IF(H8072="","",ROW()-4)</f>
        <v/>
      </c>
    </row>
    <row r="8073">
      <c r="A8073" s="13">
        <f>IF(H8073="","",ROW()-4)</f>
        <v/>
      </c>
      <c r="B8073" s="13">
        <f>IF(H8073="","",ROW()-4)</f>
        <v/>
      </c>
    </row>
    <row r="8074">
      <c r="A8074" s="13">
        <f>IF(H8074="","",ROW()-4)</f>
        <v/>
      </c>
      <c r="B8074" s="13">
        <f>IF(H8074="","",ROW()-4)</f>
        <v/>
      </c>
    </row>
    <row r="8075">
      <c r="A8075" s="13">
        <f>IF(H8075="","",ROW()-4)</f>
        <v/>
      </c>
      <c r="B8075" s="13">
        <f>IF(H8075="","",ROW()-4)</f>
        <v/>
      </c>
    </row>
    <row r="8076">
      <c r="A8076" s="13">
        <f>IF(H8076="","",ROW()-4)</f>
        <v/>
      </c>
      <c r="B8076" s="13">
        <f>IF(H8076="","",ROW()-4)</f>
        <v/>
      </c>
    </row>
    <row r="8077">
      <c r="A8077" s="13">
        <f>IF(H8077="","",ROW()-4)</f>
        <v/>
      </c>
      <c r="B8077" s="13">
        <f>IF(H8077="","",ROW()-4)</f>
        <v/>
      </c>
    </row>
    <row r="8078">
      <c r="A8078" s="13">
        <f>IF(H8078="","",ROW()-4)</f>
        <v/>
      </c>
      <c r="B8078" s="13">
        <f>IF(H8078="","",ROW()-4)</f>
        <v/>
      </c>
    </row>
    <row r="8079">
      <c r="A8079" s="13">
        <f>IF(H8079="","",ROW()-4)</f>
        <v/>
      </c>
      <c r="B8079" s="13">
        <f>IF(H8079="","",ROW()-4)</f>
        <v/>
      </c>
    </row>
    <row r="8080">
      <c r="A8080" s="13">
        <f>IF(H8080="","",ROW()-4)</f>
        <v/>
      </c>
      <c r="B8080" s="13">
        <f>IF(H8080="","",ROW()-4)</f>
        <v/>
      </c>
    </row>
    <row r="8081">
      <c r="A8081" s="13">
        <f>IF(H8081="","",ROW()-4)</f>
        <v/>
      </c>
      <c r="B8081" s="13">
        <f>IF(H8081="","",ROW()-4)</f>
        <v/>
      </c>
    </row>
    <row r="8082">
      <c r="A8082" s="13">
        <f>IF(H8082="","",ROW()-4)</f>
        <v/>
      </c>
      <c r="B8082" s="13">
        <f>IF(H8082="","",ROW()-4)</f>
        <v/>
      </c>
    </row>
    <row r="8083">
      <c r="A8083" s="13">
        <f>IF(H8083="","",ROW()-4)</f>
        <v/>
      </c>
      <c r="B8083" s="13">
        <f>IF(H8083="","",ROW()-4)</f>
        <v/>
      </c>
    </row>
    <row r="8084">
      <c r="A8084" s="13">
        <f>IF(H8084="","",ROW()-4)</f>
        <v/>
      </c>
      <c r="B8084" s="13">
        <f>IF(H8084="","",ROW()-4)</f>
        <v/>
      </c>
    </row>
    <row r="8085">
      <c r="A8085" s="13">
        <f>IF(H8085="","",ROW()-4)</f>
        <v/>
      </c>
      <c r="B8085" s="13">
        <f>IF(H8085="","",ROW()-4)</f>
        <v/>
      </c>
    </row>
    <row r="8086">
      <c r="A8086" s="13">
        <f>IF(H8086="","",ROW()-4)</f>
        <v/>
      </c>
      <c r="B8086" s="13">
        <f>IF(H8086="","",ROW()-4)</f>
        <v/>
      </c>
    </row>
    <row r="8087">
      <c r="A8087" s="13">
        <f>IF(H8087="","",ROW()-4)</f>
        <v/>
      </c>
      <c r="B8087" s="13">
        <f>IF(H8087="","",ROW()-4)</f>
        <v/>
      </c>
    </row>
    <row r="8088">
      <c r="A8088" s="13">
        <f>IF(H8088="","",ROW()-4)</f>
        <v/>
      </c>
      <c r="B8088" s="13">
        <f>IF(H8088="","",ROW()-4)</f>
        <v/>
      </c>
    </row>
    <row r="8089">
      <c r="A8089" s="13">
        <f>IF(H8089="","",ROW()-4)</f>
        <v/>
      </c>
      <c r="B8089" s="13">
        <f>IF(H8089="","",ROW()-4)</f>
        <v/>
      </c>
    </row>
    <row r="8090">
      <c r="A8090" s="13">
        <f>IF(H8090="","",ROW()-4)</f>
        <v/>
      </c>
      <c r="B8090" s="13">
        <f>IF(H8090="","",ROW()-4)</f>
        <v/>
      </c>
    </row>
    <row r="8091">
      <c r="A8091" s="13">
        <f>IF(H8091="","",ROW()-4)</f>
        <v/>
      </c>
      <c r="B8091" s="13">
        <f>IF(H8091="","",ROW()-4)</f>
        <v/>
      </c>
    </row>
    <row r="8092">
      <c r="A8092" s="13">
        <f>IF(H8092="","",ROW()-4)</f>
        <v/>
      </c>
      <c r="B8092" s="13">
        <f>IF(H8092="","",ROW()-4)</f>
        <v/>
      </c>
    </row>
    <row r="8093">
      <c r="A8093" s="13">
        <f>IF(H8093="","",ROW()-4)</f>
        <v/>
      </c>
      <c r="B8093" s="13">
        <f>IF(H8093="","",ROW()-4)</f>
        <v/>
      </c>
    </row>
    <row r="8094">
      <c r="A8094" s="13">
        <f>IF(H8094="","",ROW()-4)</f>
        <v/>
      </c>
      <c r="B8094" s="13">
        <f>IF(H8094="","",ROW()-4)</f>
        <v/>
      </c>
    </row>
    <row r="8095">
      <c r="A8095" s="13">
        <f>IF(H8095="","",ROW()-4)</f>
        <v/>
      </c>
      <c r="B8095" s="13">
        <f>IF(H8095="","",ROW()-4)</f>
        <v/>
      </c>
    </row>
    <row r="8096">
      <c r="A8096" s="13">
        <f>IF(H8096="","",ROW()-4)</f>
        <v/>
      </c>
      <c r="B8096" s="13">
        <f>IF(H8096="","",ROW()-4)</f>
        <v/>
      </c>
    </row>
    <row r="8097">
      <c r="A8097" s="13">
        <f>IF(H8097="","",ROW()-4)</f>
        <v/>
      </c>
      <c r="B8097" s="13">
        <f>IF(H8097="","",ROW()-4)</f>
        <v/>
      </c>
    </row>
    <row r="8098">
      <c r="A8098" s="13">
        <f>IF(H8098="","",ROW()-4)</f>
        <v/>
      </c>
      <c r="B8098" s="13">
        <f>IF(H8098="","",ROW()-4)</f>
        <v/>
      </c>
    </row>
    <row r="8099">
      <c r="A8099" s="13">
        <f>IF(H8099="","",ROW()-4)</f>
        <v/>
      </c>
      <c r="B8099" s="13">
        <f>IF(H8099="","",ROW()-4)</f>
        <v/>
      </c>
    </row>
    <row r="8100">
      <c r="A8100" s="13">
        <f>IF(H8100="","",ROW()-4)</f>
        <v/>
      </c>
      <c r="B8100" s="13">
        <f>IF(H8100="","",ROW()-4)</f>
        <v/>
      </c>
    </row>
    <row r="8101">
      <c r="A8101" s="13">
        <f>IF(H8101="","",ROW()-4)</f>
        <v/>
      </c>
      <c r="B8101" s="13">
        <f>IF(H8101="","",ROW()-4)</f>
        <v/>
      </c>
    </row>
    <row r="8102">
      <c r="A8102" s="13">
        <f>IF(H8102="","",ROW()-4)</f>
        <v/>
      </c>
      <c r="B8102" s="13">
        <f>IF(H8102="","",ROW()-4)</f>
        <v/>
      </c>
    </row>
    <row r="8103">
      <c r="A8103" s="13">
        <f>IF(H8103="","",ROW()-4)</f>
        <v/>
      </c>
      <c r="B8103" s="13">
        <f>IF(H8103="","",ROW()-4)</f>
        <v/>
      </c>
    </row>
    <row r="8104">
      <c r="A8104" s="13">
        <f>IF(H8104="","",ROW()-4)</f>
        <v/>
      </c>
      <c r="B8104" s="13">
        <f>IF(H8104="","",ROW()-4)</f>
        <v/>
      </c>
    </row>
    <row r="8105">
      <c r="A8105" s="13">
        <f>IF(H8105="","",ROW()-4)</f>
        <v/>
      </c>
      <c r="B8105" s="13">
        <f>IF(H8105="","",ROW()-4)</f>
        <v/>
      </c>
    </row>
    <row r="8106">
      <c r="A8106" s="13">
        <f>IF(H8106="","",ROW()-4)</f>
        <v/>
      </c>
      <c r="B8106" s="13">
        <f>IF(H8106="","",ROW()-4)</f>
        <v/>
      </c>
    </row>
    <row r="8107">
      <c r="A8107" s="13">
        <f>IF(H8107="","",ROW()-4)</f>
        <v/>
      </c>
      <c r="B8107" s="13">
        <f>IF(H8107="","",ROW()-4)</f>
        <v/>
      </c>
    </row>
    <row r="8108">
      <c r="A8108" s="13">
        <f>IF(H8108="","",ROW()-4)</f>
        <v/>
      </c>
      <c r="B8108" s="13">
        <f>IF(H8108="","",ROW()-4)</f>
        <v/>
      </c>
    </row>
    <row r="8109">
      <c r="A8109" s="13">
        <f>IF(H8109="","",ROW()-4)</f>
        <v/>
      </c>
      <c r="B8109" s="13">
        <f>IF(H8109="","",ROW()-4)</f>
        <v/>
      </c>
    </row>
    <row r="8110">
      <c r="A8110" s="13">
        <f>IF(H8110="","",ROW()-4)</f>
        <v/>
      </c>
      <c r="B8110" s="13">
        <f>IF(H8110="","",ROW()-4)</f>
        <v/>
      </c>
    </row>
    <row r="8111">
      <c r="A8111" s="13">
        <f>IF(H8111="","",ROW()-4)</f>
        <v/>
      </c>
      <c r="B8111" s="13">
        <f>IF(H8111="","",ROW()-4)</f>
        <v/>
      </c>
    </row>
    <row r="8112">
      <c r="A8112" s="13">
        <f>IF(H8112="","",ROW()-4)</f>
        <v/>
      </c>
      <c r="B8112" s="13">
        <f>IF(H8112="","",ROW()-4)</f>
        <v/>
      </c>
    </row>
    <row r="8113">
      <c r="A8113" s="13">
        <f>IF(H8113="","",ROW()-4)</f>
        <v/>
      </c>
      <c r="B8113" s="13">
        <f>IF(H8113="","",ROW()-4)</f>
        <v/>
      </c>
    </row>
    <row r="8114">
      <c r="A8114" s="13">
        <f>IF(H8114="","",ROW()-4)</f>
        <v/>
      </c>
      <c r="B8114" s="13">
        <f>IF(H8114="","",ROW()-4)</f>
        <v/>
      </c>
    </row>
    <row r="8115">
      <c r="A8115" s="13">
        <f>IF(H8115="","",ROW()-4)</f>
        <v/>
      </c>
      <c r="B8115" s="13">
        <f>IF(H8115="","",ROW()-4)</f>
        <v/>
      </c>
    </row>
    <row r="8116">
      <c r="A8116" s="13">
        <f>IF(H8116="","",ROW()-4)</f>
        <v/>
      </c>
      <c r="B8116" s="13">
        <f>IF(H8116="","",ROW()-4)</f>
        <v/>
      </c>
    </row>
    <row r="8117">
      <c r="A8117" s="13">
        <f>IF(H8117="","",ROW()-4)</f>
        <v/>
      </c>
      <c r="B8117" s="13">
        <f>IF(H8117="","",ROW()-4)</f>
        <v/>
      </c>
    </row>
    <row r="8118">
      <c r="A8118" s="13">
        <f>IF(H8118="","",ROW()-4)</f>
        <v/>
      </c>
      <c r="B8118" s="13">
        <f>IF(H8118="","",ROW()-4)</f>
        <v/>
      </c>
    </row>
    <row r="8119">
      <c r="A8119" s="13">
        <f>IF(H8119="","",ROW()-4)</f>
        <v/>
      </c>
      <c r="B8119" s="13">
        <f>IF(H8119="","",ROW()-4)</f>
        <v/>
      </c>
    </row>
    <row r="8120">
      <c r="A8120" s="13">
        <f>IF(H8120="","",ROW()-4)</f>
        <v/>
      </c>
      <c r="B8120" s="13">
        <f>IF(H8120="","",ROW()-4)</f>
        <v/>
      </c>
    </row>
    <row r="8121">
      <c r="A8121" s="13">
        <f>IF(H8121="","",ROW()-4)</f>
        <v/>
      </c>
      <c r="B8121" s="13">
        <f>IF(H8121="","",ROW()-4)</f>
        <v/>
      </c>
    </row>
    <row r="8122">
      <c r="A8122" s="13">
        <f>IF(H8122="","",ROW()-4)</f>
        <v/>
      </c>
      <c r="B8122" s="13">
        <f>IF(H8122="","",ROW()-4)</f>
        <v/>
      </c>
    </row>
    <row r="8123">
      <c r="A8123" s="13">
        <f>IF(H8123="","",ROW()-4)</f>
        <v/>
      </c>
      <c r="B8123" s="13">
        <f>IF(H8123="","",ROW()-4)</f>
        <v/>
      </c>
    </row>
    <row r="8124">
      <c r="A8124" s="13">
        <f>IF(H8124="","",ROW()-4)</f>
        <v/>
      </c>
      <c r="B8124" s="13">
        <f>IF(H8124="","",ROW()-4)</f>
        <v/>
      </c>
    </row>
    <row r="8125">
      <c r="A8125" s="13">
        <f>IF(H8125="","",ROW()-4)</f>
        <v/>
      </c>
      <c r="B8125" s="13">
        <f>IF(H8125="","",ROW()-4)</f>
        <v/>
      </c>
    </row>
    <row r="8126">
      <c r="A8126" s="13">
        <f>IF(H8126="","",ROW()-4)</f>
        <v/>
      </c>
      <c r="B8126" s="13">
        <f>IF(H8126="","",ROW()-4)</f>
        <v/>
      </c>
    </row>
    <row r="8127">
      <c r="A8127" s="13">
        <f>IF(H8127="","",ROW()-4)</f>
        <v/>
      </c>
      <c r="B8127" s="13">
        <f>IF(H8127="","",ROW()-4)</f>
        <v/>
      </c>
    </row>
    <row r="8128">
      <c r="A8128" s="13">
        <f>IF(H8128="","",ROW()-4)</f>
        <v/>
      </c>
      <c r="B8128" s="13">
        <f>IF(H8128="","",ROW()-4)</f>
        <v/>
      </c>
    </row>
    <row r="8129">
      <c r="A8129" s="13">
        <f>IF(H8129="","",ROW()-4)</f>
        <v/>
      </c>
      <c r="B8129" s="13">
        <f>IF(H8129="","",ROW()-4)</f>
        <v/>
      </c>
    </row>
    <row r="8130">
      <c r="A8130" s="13">
        <f>IF(H8130="","",ROW()-4)</f>
        <v/>
      </c>
      <c r="B8130" s="13">
        <f>IF(H8130="","",ROW()-4)</f>
        <v/>
      </c>
    </row>
    <row r="8131">
      <c r="A8131" s="13">
        <f>IF(H8131="","",ROW()-4)</f>
        <v/>
      </c>
      <c r="B8131" s="13">
        <f>IF(H8131="","",ROW()-4)</f>
        <v/>
      </c>
    </row>
    <row r="8132">
      <c r="A8132" s="13">
        <f>IF(H8132="","",ROW()-4)</f>
        <v/>
      </c>
      <c r="B8132" s="13">
        <f>IF(H8132="","",ROW()-4)</f>
        <v/>
      </c>
    </row>
    <row r="8133">
      <c r="A8133" s="13">
        <f>IF(H8133="","",ROW()-4)</f>
        <v/>
      </c>
      <c r="B8133" s="13">
        <f>IF(H8133="","",ROW()-4)</f>
        <v/>
      </c>
    </row>
    <row r="8134">
      <c r="A8134" s="13">
        <f>IF(H8134="","",ROW()-4)</f>
        <v/>
      </c>
      <c r="B8134" s="13">
        <f>IF(H8134="","",ROW()-4)</f>
        <v/>
      </c>
    </row>
    <row r="8135">
      <c r="A8135" s="13">
        <f>IF(H8135="","",ROW()-4)</f>
        <v/>
      </c>
      <c r="B8135" s="13">
        <f>IF(H8135="","",ROW()-4)</f>
        <v/>
      </c>
    </row>
    <row r="8136">
      <c r="A8136" s="13">
        <f>IF(H8136="","",ROW()-4)</f>
        <v/>
      </c>
      <c r="B8136" s="13">
        <f>IF(H8136="","",ROW()-4)</f>
        <v/>
      </c>
    </row>
    <row r="8137">
      <c r="A8137" s="13">
        <f>IF(H8137="","",ROW()-4)</f>
        <v/>
      </c>
      <c r="B8137" s="13">
        <f>IF(H8137="","",ROW()-4)</f>
        <v/>
      </c>
    </row>
    <row r="8138">
      <c r="A8138" s="13">
        <f>IF(H8138="","",ROW()-4)</f>
        <v/>
      </c>
      <c r="B8138" s="13">
        <f>IF(H8138="","",ROW()-4)</f>
        <v/>
      </c>
    </row>
    <row r="8139">
      <c r="A8139" s="13">
        <f>IF(H8139="","",ROW()-4)</f>
        <v/>
      </c>
      <c r="B8139" s="13">
        <f>IF(H8139="","",ROW()-4)</f>
        <v/>
      </c>
    </row>
    <row r="8140">
      <c r="A8140" s="13">
        <f>IF(H8140="","",ROW()-4)</f>
        <v/>
      </c>
      <c r="B8140" s="13">
        <f>IF(H8140="","",ROW()-4)</f>
        <v/>
      </c>
    </row>
    <row r="8141">
      <c r="A8141" s="13">
        <f>IF(H8141="","",ROW()-4)</f>
        <v/>
      </c>
      <c r="B8141" s="13">
        <f>IF(H8141="","",ROW()-4)</f>
        <v/>
      </c>
    </row>
    <row r="8142">
      <c r="A8142" s="13">
        <f>IF(H8142="","",ROW()-4)</f>
        <v/>
      </c>
      <c r="B8142" s="13">
        <f>IF(H8142="","",ROW()-4)</f>
        <v/>
      </c>
    </row>
    <row r="8143">
      <c r="A8143" s="13">
        <f>IF(H8143="","",ROW()-4)</f>
        <v/>
      </c>
      <c r="B8143" s="13">
        <f>IF(H8143="","",ROW()-4)</f>
        <v/>
      </c>
    </row>
    <row r="8144">
      <c r="A8144" s="13">
        <f>IF(H8144="","",ROW()-4)</f>
        <v/>
      </c>
      <c r="B8144" s="13">
        <f>IF(H8144="","",ROW()-4)</f>
        <v/>
      </c>
    </row>
    <row r="8145">
      <c r="A8145" s="13">
        <f>IF(H8145="","",ROW()-4)</f>
        <v/>
      </c>
      <c r="B8145" s="13">
        <f>IF(H8145="","",ROW()-4)</f>
        <v/>
      </c>
    </row>
    <row r="8146">
      <c r="A8146" s="13">
        <f>IF(H8146="","",ROW()-4)</f>
        <v/>
      </c>
      <c r="B8146" s="13">
        <f>IF(H8146="","",ROW()-4)</f>
        <v/>
      </c>
    </row>
    <row r="8147">
      <c r="A8147" s="13">
        <f>IF(H8147="","",ROW()-4)</f>
        <v/>
      </c>
      <c r="B8147" s="13">
        <f>IF(H8147="","",ROW()-4)</f>
        <v/>
      </c>
    </row>
    <row r="8148">
      <c r="A8148" s="13">
        <f>IF(H8148="","",ROW()-4)</f>
        <v/>
      </c>
      <c r="B8148" s="13">
        <f>IF(H8148="","",ROW()-4)</f>
        <v/>
      </c>
    </row>
    <row r="8149">
      <c r="A8149" s="13">
        <f>IF(H8149="","",ROW()-4)</f>
        <v/>
      </c>
      <c r="B8149" s="13">
        <f>IF(H8149="","",ROW()-4)</f>
        <v/>
      </c>
    </row>
    <row r="8150">
      <c r="A8150" s="13">
        <f>IF(H8150="","",ROW()-4)</f>
        <v/>
      </c>
      <c r="B8150" s="13">
        <f>IF(H8150="","",ROW()-4)</f>
        <v/>
      </c>
    </row>
    <row r="8151">
      <c r="A8151" s="13">
        <f>IF(H8151="","",ROW()-4)</f>
        <v/>
      </c>
      <c r="B8151" s="13">
        <f>IF(H8151="","",ROW()-4)</f>
        <v/>
      </c>
    </row>
    <row r="8152">
      <c r="A8152" s="13">
        <f>IF(H8152="","",ROW()-4)</f>
        <v/>
      </c>
      <c r="B8152" s="13">
        <f>IF(H8152="","",ROW()-4)</f>
        <v/>
      </c>
    </row>
    <row r="8153">
      <c r="A8153" s="13">
        <f>IF(H8153="","",ROW()-4)</f>
        <v/>
      </c>
      <c r="B8153" s="13">
        <f>IF(H8153="","",ROW()-4)</f>
        <v/>
      </c>
    </row>
    <row r="8154">
      <c r="A8154" s="13">
        <f>IF(H8154="","",ROW()-4)</f>
        <v/>
      </c>
      <c r="B8154" s="13">
        <f>IF(H8154="","",ROW()-4)</f>
        <v/>
      </c>
    </row>
    <row r="8155">
      <c r="A8155" s="13">
        <f>IF(H8155="","",ROW()-4)</f>
        <v/>
      </c>
      <c r="B8155" s="13">
        <f>IF(H8155="","",ROW()-4)</f>
        <v/>
      </c>
    </row>
    <row r="8156">
      <c r="A8156" s="13">
        <f>IF(H8156="","",ROW()-4)</f>
        <v/>
      </c>
      <c r="B8156" s="13">
        <f>IF(H8156="","",ROW()-4)</f>
        <v/>
      </c>
    </row>
    <row r="8157">
      <c r="A8157" s="13">
        <f>IF(H8157="","",ROW()-4)</f>
        <v/>
      </c>
      <c r="B8157" s="13">
        <f>IF(H8157="","",ROW()-4)</f>
        <v/>
      </c>
    </row>
    <row r="8158">
      <c r="A8158" s="13">
        <f>IF(H8158="","",ROW()-4)</f>
        <v/>
      </c>
      <c r="B8158" s="13">
        <f>IF(H8158="","",ROW()-4)</f>
        <v/>
      </c>
    </row>
    <row r="8159">
      <c r="A8159" s="13">
        <f>IF(H8159="","",ROW()-4)</f>
        <v/>
      </c>
      <c r="B8159" s="13">
        <f>IF(H8159="","",ROW()-4)</f>
        <v/>
      </c>
    </row>
    <row r="8160">
      <c r="A8160" s="13">
        <f>IF(H8160="","",ROW()-4)</f>
        <v/>
      </c>
      <c r="B8160" s="13">
        <f>IF(H8160="","",ROW()-4)</f>
        <v/>
      </c>
    </row>
    <row r="8161">
      <c r="A8161" s="13">
        <f>IF(H8161="","",ROW()-4)</f>
        <v/>
      </c>
      <c r="B8161" s="13">
        <f>IF(H8161="","",ROW()-4)</f>
        <v/>
      </c>
    </row>
    <row r="8162">
      <c r="A8162" s="13">
        <f>IF(H8162="","",ROW()-4)</f>
        <v/>
      </c>
      <c r="B8162" s="13">
        <f>IF(H8162="","",ROW()-4)</f>
        <v/>
      </c>
    </row>
    <row r="8163">
      <c r="A8163" s="13">
        <f>IF(H8163="","",ROW()-4)</f>
        <v/>
      </c>
      <c r="B8163" s="13">
        <f>IF(H8163="","",ROW()-4)</f>
        <v/>
      </c>
    </row>
    <row r="8164">
      <c r="A8164" s="13">
        <f>IF(H8164="","",ROW()-4)</f>
        <v/>
      </c>
      <c r="B8164" s="13">
        <f>IF(H8164="","",ROW()-4)</f>
        <v/>
      </c>
    </row>
    <row r="8165">
      <c r="A8165" s="13">
        <f>IF(H8165="","",ROW()-4)</f>
        <v/>
      </c>
      <c r="B8165" s="13">
        <f>IF(H8165="","",ROW()-4)</f>
        <v/>
      </c>
    </row>
    <row r="8166">
      <c r="A8166" s="13">
        <f>IF(H8166="","",ROW()-4)</f>
        <v/>
      </c>
      <c r="B8166" s="13">
        <f>IF(H8166="","",ROW()-4)</f>
        <v/>
      </c>
    </row>
    <row r="8167">
      <c r="A8167" s="13">
        <f>IF(H8167="","",ROW()-4)</f>
        <v/>
      </c>
      <c r="B8167" s="13">
        <f>IF(H8167="","",ROW()-4)</f>
        <v/>
      </c>
    </row>
    <row r="8168">
      <c r="A8168" s="13">
        <f>IF(H8168="","",ROW()-4)</f>
        <v/>
      </c>
      <c r="B8168" s="13">
        <f>IF(H8168="","",ROW()-4)</f>
        <v/>
      </c>
    </row>
    <row r="8169">
      <c r="A8169" s="13">
        <f>IF(H8169="","",ROW()-4)</f>
        <v/>
      </c>
      <c r="B8169" s="13">
        <f>IF(H8169="","",ROW()-4)</f>
        <v/>
      </c>
    </row>
    <row r="8170">
      <c r="A8170" s="13">
        <f>IF(H8170="","",ROW()-4)</f>
        <v/>
      </c>
      <c r="B8170" s="13">
        <f>IF(H8170="","",ROW()-4)</f>
        <v/>
      </c>
    </row>
    <row r="8171">
      <c r="A8171" s="13">
        <f>IF(H8171="","",ROW()-4)</f>
        <v/>
      </c>
      <c r="B8171" s="13">
        <f>IF(H8171="","",ROW()-4)</f>
        <v/>
      </c>
    </row>
    <row r="8172">
      <c r="A8172" s="13">
        <f>IF(H8172="","",ROW()-4)</f>
        <v/>
      </c>
      <c r="B8172" s="13">
        <f>IF(H8172="","",ROW()-4)</f>
        <v/>
      </c>
    </row>
    <row r="8173">
      <c r="A8173" s="13">
        <f>IF(H8173="","",ROW()-4)</f>
        <v/>
      </c>
      <c r="B8173" s="13">
        <f>IF(H8173="","",ROW()-4)</f>
        <v/>
      </c>
    </row>
    <row r="8174">
      <c r="A8174" s="13">
        <f>IF(H8174="","",ROW()-4)</f>
        <v/>
      </c>
      <c r="B8174" s="13">
        <f>IF(H8174="","",ROW()-4)</f>
        <v/>
      </c>
    </row>
    <row r="8175">
      <c r="A8175" s="13">
        <f>IF(H8175="","",ROW()-4)</f>
        <v/>
      </c>
      <c r="B8175" s="13">
        <f>IF(H8175="","",ROW()-4)</f>
        <v/>
      </c>
    </row>
    <row r="8176">
      <c r="A8176" s="13">
        <f>IF(H8176="","",ROW()-4)</f>
        <v/>
      </c>
      <c r="B8176" s="13">
        <f>IF(H8176="","",ROW()-4)</f>
        <v/>
      </c>
    </row>
    <row r="8177">
      <c r="A8177" s="13">
        <f>IF(H8177="","",ROW()-4)</f>
        <v/>
      </c>
      <c r="B8177" s="13">
        <f>IF(H8177="","",ROW()-4)</f>
        <v/>
      </c>
    </row>
    <row r="8178">
      <c r="A8178" s="13">
        <f>IF(H8178="","",ROW()-4)</f>
        <v/>
      </c>
      <c r="B8178" s="13">
        <f>IF(H8178="","",ROW()-4)</f>
        <v/>
      </c>
    </row>
    <row r="8179">
      <c r="A8179" s="13">
        <f>IF(H8179="","",ROW()-4)</f>
        <v/>
      </c>
      <c r="B8179" s="13">
        <f>IF(H8179="","",ROW()-4)</f>
        <v/>
      </c>
    </row>
    <row r="8180">
      <c r="A8180" s="13">
        <f>IF(H8180="","",ROW()-4)</f>
        <v/>
      </c>
      <c r="B8180" s="13">
        <f>IF(H8180="","",ROW()-4)</f>
        <v/>
      </c>
    </row>
    <row r="8181">
      <c r="A8181" s="13">
        <f>IF(H8181="","",ROW()-4)</f>
        <v/>
      </c>
      <c r="B8181" s="13">
        <f>IF(H8181="","",ROW()-4)</f>
        <v/>
      </c>
    </row>
    <row r="8182">
      <c r="A8182" s="13">
        <f>IF(H8182="","",ROW()-4)</f>
        <v/>
      </c>
      <c r="B8182" s="13">
        <f>IF(H8182="","",ROW()-4)</f>
        <v/>
      </c>
    </row>
    <row r="8183">
      <c r="A8183" s="13">
        <f>IF(H8183="","",ROW()-4)</f>
        <v/>
      </c>
      <c r="B8183" s="13">
        <f>IF(H8183="","",ROW()-4)</f>
        <v/>
      </c>
    </row>
    <row r="8184">
      <c r="A8184" s="13">
        <f>IF(H8184="","",ROW()-4)</f>
        <v/>
      </c>
      <c r="B8184" s="13">
        <f>IF(H8184="","",ROW()-4)</f>
        <v/>
      </c>
    </row>
    <row r="8185">
      <c r="A8185" s="13">
        <f>IF(H8185="","",ROW()-4)</f>
        <v/>
      </c>
      <c r="B8185" s="13">
        <f>IF(H8185="","",ROW()-4)</f>
        <v/>
      </c>
    </row>
    <row r="8186">
      <c r="A8186" s="13">
        <f>IF(H8186="","",ROW()-4)</f>
        <v/>
      </c>
      <c r="B8186" s="13">
        <f>IF(H8186="","",ROW()-4)</f>
        <v/>
      </c>
    </row>
    <row r="8187">
      <c r="A8187" s="13">
        <f>IF(H8187="","",ROW()-4)</f>
        <v/>
      </c>
      <c r="B8187" s="13">
        <f>IF(H8187="","",ROW()-4)</f>
        <v/>
      </c>
    </row>
    <row r="8188">
      <c r="A8188" s="13">
        <f>IF(H8188="","",ROW()-4)</f>
        <v/>
      </c>
      <c r="B8188" s="13">
        <f>IF(H8188="","",ROW()-4)</f>
        <v/>
      </c>
    </row>
    <row r="8189">
      <c r="A8189" s="13">
        <f>IF(H8189="","",ROW()-4)</f>
        <v/>
      </c>
      <c r="B8189" s="13">
        <f>IF(H8189="","",ROW()-4)</f>
        <v/>
      </c>
    </row>
    <row r="8190">
      <c r="A8190" s="13">
        <f>IF(H8190="","",ROW()-4)</f>
        <v/>
      </c>
      <c r="B8190" s="13">
        <f>IF(H8190="","",ROW()-4)</f>
        <v/>
      </c>
    </row>
    <row r="8191">
      <c r="A8191" s="13">
        <f>IF(H8191="","",ROW()-4)</f>
        <v/>
      </c>
      <c r="B8191" s="13">
        <f>IF(H8191="","",ROW()-4)</f>
        <v/>
      </c>
    </row>
    <row r="8192">
      <c r="A8192" s="13">
        <f>IF(H8192="","",ROW()-4)</f>
        <v/>
      </c>
      <c r="B8192" s="13">
        <f>IF(H8192="","",ROW()-4)</f>
        <v/>
      </c>
    </row>
    <row r="8193">
      <c r="A8193" s="13">
        <f>IF(H8193="","",ROW()-4)</f>
        <v/>
      </c>
      <c r="B8193" s="13">
        <f>IF(H8193="","",ROW()-4)</f>
        <v/>
      </c>
    </row>
    <row r="8194">
      <c r="A8194" s="13">
        <f>IF(H8194="","",ROW()-4)</f>
        <v/>
      </c>
      <c r="B8194" s="13">
        <f>IF(H8194="","",ROW()-4)</f>
        <v/>
      </c>
    </row>
    <row r="8195">
      <c r="A8195" s="13">
        <f>IF(H8195="","",ROW()-4)</f>
        <v/>
      </c>
      <c r="B8195" s="13">
        <f>IF(H8195="","",ROW()-4)</f>
        <v/>
      </c>
    </row>
    <row r="8196">
      <c r="A8196" s="13">
        <f>IF(H8196="","",ROW()-4)</f>
        <v/>
      </c>
      <c r="B8196" s="13">
        <f>IF(H8196="","",ROW()-4)</f>
        <v/>
      </c>
    </row>
    <row r="8197">
      <c r="A8197" s="13">
        <f>IF(H8197="","",ROW()-4)</f>
        <v/>
      </c>
      <c r="B8197" s="13">
        <f>IF(H8197="","",ROW()-4)</f>
        <v/>
      </c>
    </row>
    <row r="8198">
      <c r="A8198" s="13">
        <f>IF(H8198="","",ROW()-4)</f>
        <v/>
      </c>
      <c r="B8198" s="13">
        <f>IF(H8198="","",ROW()-4)</f>
        <v/>
      </c>
    </row>
    <row r="8199">
      <c r="A8199" s="13">
        <f>IF(H8199="","",ROW()-4)</f>
        <v/>
      </c>
      <c r="B8199" s="13">
        <f>IF(H8199="","",ROW()-4)</f>
        <v/>
      </c>
    </row>
    <row r="8200">
      <c r="A8200" s="13">
        <f>IF(H8200="","",ROW()-4)</f>
        <v/>
      </c>
      <c r="B8200" s="13">
        <f>IF(H8200="","",ROW()-4)</f>
        <v/>
      </c>
    </row>
    <row r="8201">
      <c r="A8201" s="13">
        <f>IF(H8201="","",ROW()-4)</f>
        <v/>
      </c>
      <c r="B8201" s="13">
        <f>IF(H8201="","",ROW()-4)</f>
        <v/>
      </c>
    </row>
    <row r="8202">
      <c r="A8202" s="13">
        <f>IF(H8202="","",ROW()-4)</f>
        <v/>
      </c>
      <c r="B8202" s="13">
        <f>IF(H8202="","",ROW()-4)</f>
        <v/>
      </c>
    </row>
    <row r="8203">
      <c r="A8203" s="13">
        <f>IF(H8203="","",ROW()-4)</f>
        <v/>
      </c>
      <c r="B8203" s="13">
        <f>IF(H8203="","",ROW()-4)</f>
        <v/>
      </c>
    </row>
    <row r="8204">
      <c r="A8204" s="13">
        <f>IF(H8204="","",ROW()-4)</f>
        <v/>
      </c>
      <c r="B8204" s="13">
        <f>IF(H8204="","",ROW()-4)</f>
        <v/>
      </c>
    </row>
    <row r="8205">
      <c r="A8205" s="13">
        <f>IF(H8205="","",ROW()-4)</f>
        <v/>
      </c>
      <c r="B8205" s="13">
        <f>IF(H8205="","",ROW()-4)</f>
        <v/>
      </c>
    </row>
    <row r="8206">
      <c r="A8206" s="13">
        <f>IF(H8206="","",ROW()-4)</f>
        <v/>
      </c>
      <c r="B8206" s="13">
        <f>IF(H8206="","",ROW()-4)</f>
        <v/>
      </c>
    </row>
    <row r="8207">
      <c r="A8207" s="13">
        <f>IF(H8207="","",ROW()-4)</f>
        <v/>
      </c>
      <c r="B8207" s="13">
        <f>IF(H8207="","",ROW()-4)</f>
        <v/>
      </c>
    </row>
    <row r="8208">
      <c r="A8208" s="13">
        <f>IF(H8208="","",ROW()-4)</f>
        <v/>
      </c>
      <c r="B8208" s="13">
        <f>IF(H8208="","",ROW()-4)</f>
        <v/>
      </c>
    </row>
    <row r="8209">
      <c r="A8209" s="13">
        <f>IF(H8209="","",ROW()-4)</f>
        <v/>
      </c>
      <c r="B8209" s="13">
        <f>IF(H8209="","",ROW()-4)</f>
        <v/>
      </c>
    </row>
    <row r="8210">
      <c r="A8210" s="13">
        <f>IF(H8210="","",ROW()-4)</f>
        <v/>
      </c>
      <c r="B8210" s="13">
        <f>IF(H8210="","",ROW()-4)</f>
        <v/>
      </c>
    </row>
    <row r="8211">
      <c r="A8211" s="13">
        <f>IF(H8211="","",ROW()-4)</f>
        <v/>
      </c>
      <c r="B8211" s="13">
        <f>IF(H8211="","",ROW()-4)</f>
        <v/>
      </c>
    </row>
    <row r="8212">
      <c r="A8212" s="13">
        <f>IF(H8212="","",ROW()-4)</f>
        <v/>
      </c>
      <c r="B8212" s="13">
        <f>IF(H8212="","",ROW()-4)</f>
        <v/>
      </c>
    </row>
    <row r="8213">
      <c r="A8213" s="13">
        <f>IF(H8213="","",ROW()-4)</f>
        <v/>
      </c>
      <c r="B8213" s="13">
        <f>IF(H8213="","",ROW()-4)</f>
        <v/>
      </c>
    </row>
    <row r="8214">
      <c r="A8214" s="13">
        <f>IF(H8214="","",ROW()-4)</f>
        <v/>
      </c>
      <c r="B8214" s="13">
        <f>IF(H8214="","",ROW()-4)</f>
        <v/>
      </c>
    </row>
    <row r="8215">
      <c r="A8215" s="13">
        <f>IF(H8215="","",ROW()-4)</f>
        <v/>
      </c>
      <c r="B8215" s="13">
        <f>IF(H8215="","",ROW()-4)</f>
        <v/>
      </c>
    </row>
    <row r="8216">
      <c r="A8216" s="13">
        <f>IF(H8216="","",ROW()-4)</f>
        <v/>
      </c>
      <c r="B8216" s="13">
        <f>IF(H8216="","",ROW()-4)</f>
        <v/>
      </c>
    </row>
    <row r="8217">
      <c r="A8217" s="13">
        <f>IF(H8217="","",ROW()-4)</f>
        <v/>
      </c>
      <c r="B8217" s="13">
        <f>IF(H8217="","",ROW()-4)</f>
        <v/>
      </c>
    </row>
    <row r="8218">
      <c r="A8218" s="13">
        <f>IF(H8218="","",ROW()-4)</f>
        <v/>
      </c>
      <c r="B8218" s="13">
        <f>IF(H8218="","",ROW()-4)</f>
        <v/>
      </c>
    </row>
    <row r="8219">
      <c r="A8219" s="13">
        <f>IF(H8219="","",ROW()-4)</f>
        <v/>
      </c>
      <c r="B8219" s="13">
        <f>IF(H8219="","",ROW()-4)</f>
        <v/>
      </c>
    </row>
    <row r="8220">
      <c r="A8220" s="13">
        <f>IF(H8220="","",ROW()-4)</f>
        <v/>
      </c>
      <c r="B8220" s="13">
        <f>IF(H8220="","",ROW()-4)</f>
        <v/>
      </c>
    </row>
    <row r="8221">
      <c r="A8221" s="13">
        <f>IF(H8221="","",ROW()-4)</f>
        <v/>
      </c>
      <c r="B8221" s="13">
        <f>IF(H8221="","",ROW()-4)</f>
        <v/>
      </c>
    </row>
    <row r="8222">
      <c r="A8222" s="13">
        <f>IF(H8222="","",ROW()-4)</f>
        <v/>
      </c>
      <c r="B8222" s="13">
        <f>IF(H8222="","",ROW()-4)</f>
        <v/>
      </c>
    </row>
    <row r="8223">
      <c r="A8223" s="13">
        <f>IF(H8223="","",ROW()-4)</f>
        <v/>
      </c>
      <c r="B8223" s="13">
        <f>IF(H8223="","",ROW()-4)</f>
        <v/>
      </c>
    </row>
    <row r="8224">
      <c r="A8224" s="13">
        <f>IF(H8224="","",ROW()-4)</f>
        <v/>
      </c>
      <c r="B8224" s="13">
        <f>IF(H8224="","",ROW()-4)</f>
        <v/>
      </c>
    </row>
    <row r="8225">
      <c r="A8225" s="13">
        <f>IF(H8225="","",ROW()-4)</f>
        <v/>
      </c>
      <c r="B8225" s="13">
        <f>IF(H8225="","",ROW()-4)</f>
        <v/>
      </c>
    </row>
    <row r="8226">
      <c r="A8226" s="13">
        <f>IF(H8226="","",ROW()-4)</f>
        <v/>
      </c>
      <c r="B8226" s="13">
        <f>IF(H8226="","",ROW()-4)</f>
        <v/>
      </c>
    </row>
    <row r="8227">
      <c r="A8227" s="13">
        <f>IF(H8227="","",ROW()-4)</f>
        <v/>
      </c>
      <c r="B8227" s="13">
        <f>IF(H8227="","",ROW()-4)</f>
        <v/>
      </c>
    </row>
    <row r="8228">
      <c r="A8228" s="13">
        <f>IF(H8228="","",ROW()-4)</f>
        <v/>
      </c>
      <c r="B8228" s="13">
        <f>IF(H8228="","",ROW()-4)</f>
        <v/>
      </c>
    </row>
    <row r="8229">
      <c r="A8229" s="13">
        <f>IF(H8229="","",ROW()-4)</f>
        <v/>
      </c>
      <c r="B8229" s="13">
        <f>IF(H8229="","",ROW()-4)</f>
        <v/>
      </c>
    </row>
    <row r="8230">
      <c r="A8230" s="13">
        <f>IF(H8230="","",ROW()-4)</f>
        <v/>
      </c>
      <c r="B8230" s="13">
        <f>IF(H8230="","",ROW()-4)</f>
        <v/>
      </c>
    </row>
    <row r="8231">
      <c r="A8231" s="13">
        <f>IF(H8231="","",ROW()-4)</f>
        <v/>
      </c>
      <c r="B8231" s="13">
        <f>IF(H8231="","",ROW()-4)</f>
        <v/>
      </c>
    </row>
    <row r="8232">
      <c r="A8232" s="13">
        <f>IF(H8232="","",ROW()-4)</f>
        <v/>
      </c>
      <c r="B8232" s="13">
        <f>IF(H8232="","",ROW()-4)</f>
        <v/>
      </c>
    </row>
    <row r="8233">
      <c r="A8233" s="13">
        <f>IF(H8233="","",ROW()-4)</f>
        <v/>
      </c>
      <c r="B8233" s="13">
        <f>IF(H8233="","",ROW()-4)</f>
        <v/>
      </c>
    </row>
    <row r="8234">
      <c r="A8234" s="13">
        <f>IF(H8234="","",ROW()-4)</f>
        <v/>
      </c>
      <c r="B8234" s="13">
        <f>IF(H8234="","",ROW()-4)</f>
        <v/>
      </c>
    </row>
    <row r="8235">
      <c r="A8235" s="13">
        <f>IF(H8235="","",ROW()-4)</f>
        <v/>
      </c>
      <c r="B8235" s="13">
        <f>IF(H8235="","",ROW()-4)</f>
        <v/>
      </c>
    </row>
    <row r="8236">
      <c r="A8236" s="13">
        <f>IF(H8236="","",ROW()-4)</f>
        <v/>
      </c>
      <c r="B8236" s="13">
        <f>IF(H8236="","",ROW()-4)</f>
        <v/>
      </c>
    </row>
    <row r="8237">
      <c r="A8237" s="13">
        <f>IF(H8237="","",ROW()-4)</f>
        <v/>
      </c>
      <c r="B8237" s="13">
        <f>IF(H8237="","",ROW()-4)</f>
        <v/>
      </c>
    </row>
    <row r="8238">
      <c r="A8238" s="13">
        <f>IF(H8238="","",ROW()-4)</f>
        <v/>
      </c>
      <c r="B8238" s="13">
        <f>IF(H8238="","",ROW()-4)</f>
        <v/>
      </c>
    </row>
    <row r="8239">
      <c r="A8239" s="13">
        <f>IF(H8239="","",ROW()-4)</f>
        <v/>
      </c>
      <c r="B8239" s="13">
        <f>IF(H8239="","",ROW()-4)</f>
        <v/>
      </c>
    </row>
    <row r="8240">
      <c r="A8240" s="13">
        <f>IF(H8240="","",ROW()-4)</f>
        <v/>
      </c>
      <c r="B8240" s="13">
        <f>IF(H8240="","",ROW()-4)</f>
        <v/>
      </c>
    </row>
    <row r="8241">
      <c r="A8241" s="13">
        <f>IF(H8241="","",ROW()-4)</f>
        <v/>
      </c>
      <c r="B8241" s="13">
        <f>IF(H8241="","",ROW()-4)</f>
        <v/>
      </c>
    </row>
    <row r="8242">
      <c r="A8242" s="13">
        <f>IF(H8242="","",ROW()-4)</f>
        <v/>
      </c>
      <c r="B8242" s="13">
        <f>IF(H8242="","",ROW()-4)</f>
        <v/>
      </c>
    </row>
    <row r="8243">
      <c r="A8243" s="13">
        <f>IF(H8243="","",ROW()-4)</f>
        <v/>
      </c>
      <c r="B8243" s="13">
        <f>IF(H8243="","",ROW()-4)</f>
        <v/>
      </c>
    </row>
    <row r="8244">
      <c r="A8244" s="13">
        <f>IF(H8244="","",ROW()-4)</f>
        <v/>
      </c>
      <c r="B8244" s="13">
        <f>IF(H8244="","",ROW()-4)</f>
        <v/>
      </c>
    </row>
    <row r="8245">
      <c r="A8245" s="13">
        <f>IF(H8245="","",ROW()-4)</f>
        <v/>
      </c>
      <c r="B8245" s="13">
        <f>IF(H8245="","",ROW()-4)</f>
        <v/>
      </c>
    </row>
    <row r="8246">
      <c r="A8246" s="13">
        <f>IF(H8246="","",ROW()-4)</f>
        <v/>
      </c>
      <c r="B8246" s="13">
        <f>IF(H8246="","",ROW()-4)</f>
        <v/>
      </c>
    </row>
    <row r="8247">
      <c r="A8247" s="13">
        <f>IF(H8247="","",ROW()-4)</f>
        <v/>
      </c>
      <c r="B8247" s="13">
        <f>IF(H8247="","",ROW()-4)</f>
        <v/>
      </c>
    </row>
    <row r="8248">
      <c r="A8248" s="13">
        <f>IF(H8248="","",ROW()-4)</f>
        <v/>
      </c>
      <c r="B8248" s="13">
        <f>IF(H8248="","",ROW()-4)</f>
        <v/>
      </c>
    </row>
    <row r="8249">
      <c r="A8249" s="13">
        <f>IF(H8249="","",ROW()-4)</f>
        <v/>
      </c>
      <c r="B8249" s="13">
        <f>IF(H8249="","",ROW()-4)</f>
        <v/>
      </c>
    </row>
    <row r="8250">
      <c r="A8250" s="13">
        <f>IF(H8250="","",ROW()-4)</f>
        <v/>
      </c>
      <c r="B8250" s="13">
        <f>IF(H8250="","",ROW()-4)</f>
        <v/>
      </c>
    </row>
    <row r="8251">
      <c r="A8251" s="13">
        <f>IF(H8251="","",ROW()-4)</f>
        <v/>
      </c>
      <c r="B8251" s="13">
        <f>IF(H8251="","",ROW()-4)</f>
        <v/>
      </c>
    </row>
    <row r="8252">
      <c r="A8252" s="13">
        <f>IF(H8252="","",ROW()-4)</f>
        <v/>
      </c>
      <c r="B8252" s="13">
        <f>IF(H8252="","",ROW()-4)</f>
        <v/>
      </c>
    </row>
    <row r="8253">
      <c r="A8253" s="13">
        <f>IF(H8253="","",ROW()-4)</f>
        <v/>
      </c>
      <c r="B8253" s="13">
        <f>IF(H8253="","",ROW()-4)</f>
        <v/>
      </c>
    </row>
    <row r="8254">
      <c r="A8254" s="13">
        <f>IF(H8254="","",ROW()-4)</f>
        <v/>
      </c>
      <c r="B8254" s="13">
        <f>IF(H8254="","",ROW()-4)</f>
        <v/>
      </c>
    </row>
    <row r="8255">
      <c r="A8255" s="13">
        <f>IF(H8255="","",ROW()-4)</f>
        <v/>
      </c>
      <c r="B8255" s="13">
        <f>IF(H8255="","",ROW()-4)</f>
        <v/>
      </c>
    </row>
    <row r="8256">
      <c r="A8256" s="13">
        <f>IF(H8256="","",ROW()-4)</f>
        <v/>
      </c>
      <c r="B8256" s="13">
        <f>IF(H8256="","",ROW()-4)</f>
        <v/>
      </c>
    </row>
    <row r="8257">
      <c r="A8257" s="13">
        <f>IF(H8257="","",ROW()-4)</f>
        <v/>
      </c>
      <c r="B8257" s="13">
        <f>IF(H8257="","",ROW()-4)</f>
        <v/>
      </c>
    </row>
    <row r="8258">
      <c r="A8258" s="13">
        <f>IF(H8258="","",ROW()-4)</f>
        <v/>
      </c>
      <c r="B8258" s="13">
        <f>IF(H8258="","",ROW()-4)</f>
        <v/>
      </c>
    </row>
    <row r="8259">
      <c r="A8259" s="13">
        <f>IF(H8259="","",ROW()-4)</f>
        <v/>
      </c>
      <c r="B8259" s="13">
        <f>IF(H8259="","",ROW()-4)</f>
        <v/>
      </c>
    </row>
    <row r="8260">
      <c r="A8260" s="13">
        <f>IF(H8260="","",ROW()-4)</f>
        <v/>
      </c>
      <c r="B8260" s="13">
        <f>IF(H8260="","",ROW()-4)</f>
        <v/>
      </c>
    </row>
    <row r="8261">
      <c r="A8261" s="13">
        <f>IF(H8261="","",ROW()-4)</f>
        <v/>
      </c>
      <c r="B8261" s="13">
        <f>IF(H8261="","",ROW()-4)</f>
        <v/>
      </c>
    </row>
    <row r="8262">
      <c r="A8262" s="13">
        <f>IF(H8262="","",ROW()-4)</f>
        <v/>
      </c>
      <c r="B8262" s="13">
        <f>IF(H8262="","",ROW()-4)</f>
        <v/>
      </c>
    </row>
    <row r="8263">
      <c r="A8263" s="13">
        <f>IF(H8263="","",ROW()-4)</f>
        <v/>
      </c>
      <c r="B8263" s="13">
        <f>IF(H8263="","",ROW()-4)</f>
        <v/>
      </c>
    </row>
    <row r="8264">
      <c r="A8264" s="13">
        <f>IF(H8264="","",ROW()-4)</f>
        <v/>
      </c>
      <c r="B8264" s="13">
        <f>IF(H8264="","",ROW()-4)</f>
        <v/>
      </c>
    </row>
    <row r="8265">
      <c r="A8265" s="13">
        <f>IF(H8265="","",ROW()-4)</f>
        <v/>
      </c>
      <c r="B8265" s="13">
        <f>IF(H8265="","",ROW()-4)</f>
        <v/>
      </c>
    </row>
    <row r="8266">
      <c r="A8266" s="13">
        <f>IF(H8266="","",ROW()-4)</f>
        <v/>
      </c>
      <c r="B8266" s="13">
        <f>IF(H8266="","",ROW()-4)</f>
        <v/>
      </c>
    </row>
    <row r="8267">
      <c r="A8267" s="13">
        <f>IF(H8267="","",ROW()-4)</f>
        <v/>
      </c>
      <c r="B8267" s="13">
        <f>IF(H8267="","",ROW()-4)</f>
        <v/>
      </c>
    </row>
    <row r="8268">
      <c r="A8268" s="13">
        <f>IF(H8268="","",ROW()-4)</f>
        <v/>
      </c>
      <c r="B8268" s="13">
        <f>IF(H8268="","",ROW()-4)</f>
        <v/>
      </c>
    </row>
    <row r="8269">
      <c r="A8269" s="13">
        <f>IF(H8269="","",ROW()-4)</f>
        <v/>
      </c>
      <c r="B8269" s="13">
        <f>IF(H8269="","",ROW()-4)</f>
        <v/>
      </c>
    </row>
    <row r="8270">
      <c r="A8270" s="13">
        <f>IF(H8270="","",ROW()-4)</f>
        <v/>
      </c>
      <c r="B8270" s="13">
        <f>IF(H8270="","",ROW()-4)</f>
        <v/>
      </c>
    </row>
    <row r="8271">
      <c r="A8271" s="13">
        <f>IF(H8271="","",ROW()-4)</f>
        <v/>
      </c>
      <c r="B8271" s="13">
        <f>IF(H8271="","",ROW()-4)</f>
        <v/>
      </c>
    </row>
    <row r="8272">
      <c r="A8272" s="13">
        <f>IF(H8272="","",ROW()-4)</f>
        <v/>
      </c>
      <c r="B8272" s="13">
        <f>IF(H8272="","",ROW()-4)</f>
        <v/>
      </c>
    </row>
    <row r="8273">
      <c r="A8273" s="13">
        <f>IF(H8273="","",ROW()-4)</f>
        <v/>
      </c>
      <c r="B8273" s="13">
        <f>IF(H8273="","",ROW()-4)</f>
        <v/>
      </c>
    </row>
    <row r="8274">
      <c r="A8274" s="13">
        <f>IF(H8274="","",ROW()-4)</f>
        <v/>
      </c>
      <c r="B8274" s="13">
        <f>IF(H8274="","",ROW()-4)</f>
        <v/>
      </c>
    </row>
    <row r="8275">
      <c r="A8275" s="13">
        <f>IF(H8275="","",ROW()-4)</f>
        <v/>
      </c>
      <c r="B8275" s="13">
        <f>IF(H8275="","",ROW()-4)</f>
        <v/>
      </c>
    </row>
    <row r="8276">
      <c r="A8276" s="13">
        <f>IF(H8276="","",ROW()-4)</f>
        <v/>
      </c>
      <c r="B8276" s="13">
        <f>IF(H8276="","",ROW()-4)</f>
        <v/>
      </c>
    </row>
    <row r="8277">
      <c r="A8277" s="13">
        <f>IF(H8277="","",ROW()-4)</f>
        <v/>
      </c>
      <c r="B8277" s="13">
        <f>IF(H8277="","",ROW()-4)</f>
        <v/>
      </c>
    </row>
    <row r="8278">
      <c r="A8278" s="13">
        <f>IF(H8278="","",ROW()-4)</f>
        <v/>
      </c>
      <c r="B8278" s="13">
        <f>IF(H8278="","",ROW()-4)</f>
        <v/>
      </c>
    </row>
    <row r="8279">
      <c r="A8279" s="13">
        <f>IF(H8279="","",ROW()-4)</f>
        <v/>
      </c>
      <c r="B8279" s="13">
        <f>IF(H8279="","",ROW()-4)</f>
        <v/>
      </c>
    </row>
    <row r="8280">
      <c r="A8280" s="13">
        <f>IF(H8280="","",ROW()-4)</f>
        <v/>
      </c>
      <c r="B8280" s="13">
        <f>IF(H8280="","",ROW()-4)</f>
        <v/>
      </c>
    </row>
    <row r="8281">
      <c r="A8281" s="13">
        <f>IF(H8281="","",ROW()-4)</f>
        <v/>
      </c>
      <c r="B8281" s="13">
        <f>IF(H8281="","",ROW()-4)</f>
        <v/>
      </c>
    </row>
    <row r="8282">
      <c r="A8282" s="13">
        <f>IF(H8282="","",ROW()-4)</f>
        <v/>
      </c>
      <c r="B8282" s="13">
        <f>IF(H8282="","",ROW()-4)</f>
        <v/>
      </c>
    </row>
    <row r="8283">
      <c r="A8283" s="13">
        <f>IF(H8283="","",ROW()-4)</f>
        <v/>
      </c>
      <c r="B8283" s="13">
        <f>IF(H8283="","",ROW()-4)</f>
        <v/>
      </c>
    </row>
    <row r="8284">
      <c r="A8284" s="13">
        <f>IF(H8284="","",ROW()-4)</f>
        <v/>
      </c>
      <c r="B8284" s="13">
        <f>IF(H8284="","",ROW()-4)</f>
        <v/>
      </c>
    </row>
    <row r="8285">
      <c r="A8285" s="13">
        <f>IF(H8285="","",ROW()-4)</f>
        <v/>
      </c>
      <c r="B8285" s="13">
        <f>IF(H8285="","",ROW()-4)</f>
        <v/>
      </c>
    </row>
    <row r="8286">
      <c r="A8286" s="13">
        <f>IF(H8286="","",ROW()-4)</f>
        <v/>
      </c>
      <c r="B8286" s="13">
        <f>IF(H8286="","",ROW()-4)</f>
        <v/>
      </c>
    </row>
    <row r="8287">
      <c r="A8287" s="13">
        <f>IF(H8287="","",ROW()-4)</f>
        <v/>
      </c>
      <c r="B8287" s="13">
        <f>IF(H8287="","",ROW()-4)</f>
        <v/>
      </c>
    </row>
    <row r="8288">
      <c r="A8288" s="13">
        <f>IF(H8288="","",ROW()-4)</f>
        <v/>
      </c>
      <c r="B8288" s="13">
        <f>IF(H8288="","",ROW()-4)</f>
        <v/>
      </c>
    </row>
    <row r="8289">
      <c r="A8289" s="13">
        <f>IF(H8289="","",ROW()-4)</f>
        <v/>
      </c>
      <c r="B8289" s="13">
        <f>IF(H8289="","",ROW()-4)</f>
        <v/>
      </c>
    </row>
    <row r="8290">
      <c r="A8290" s="13">
        <f>IF(H8290="","",ROW()-4)</f>
        <v/>
      </c>
      <c r="B8290" s="13">
        <f>IF(H8290="","",ROW()-4)</f>
        <v/>
      </c>
    </row>
    <row r="8291">
      <c r="A8291" s="13">
        <f>IF(H8291="","",ROW()-4)</f>
        <v/>
      </c>
      <c r="B8291" s="13">
        <f>IF(H8291="","",ROW()-4)</f>
        <v/>
      </c>
    </row>
    <row r="8292">
      <c r="A8292" s="13">
        <f>IF(H8292="","",ROW()-4)</f>
        <v/>
      </c>
      <c r="B8292" s="13">
        <f>IF(H8292="","",ROW()-4)</f>
        <v/>
      </c>
    </row>
    <row r="8293">
      <c r="A8293" s="13">
        <f>IF(H8293="","",ROW()-4)</f>
        <v/>
      </c>
      <c r="B8293" s="13">
        <f>IF(H8293="","",ROW()-4)</f>
        <v/>
      </c>
    </row>
    <row r="8294">
      <c r="A8294" s="13">
        <f>IF(H8294="","",ROW()-4)</f>
        <v/>
      </c>
      <c r="B8294" s="13">
        <f>IF(H8294="","",ROW()-4)</f>
        <v/>
      </c>
    </row>
    <row r="8295">
      <c r="A8295" s="13">
        <f>IF(H8295="","",ROW()-4)</f>
        <v/>
      </c>
      <c r="B8295" s="13">
        <f>IF(H8295="","",ROW()-4)</f>
        <v/>
      </c>
    </row>
    <row r="8296">
      <c r="A8296" s="13">
        <f>IF(H8296="","",ROW()-4)</f>
        <v/>
      </c>
      <c r="B8296" s="13">
        <f>IF(H8296="","",ROW()-4)</f>
        <v/>
      </c>
    </row>
    <row r="8297">
      <c r="A8297" s="13">
        <f>IF(H8297="","",ROW()-4)</f>
        <v/>
      </c>
      <c r="B8297" s="13">
        <f>IF(H8297="","",ROW()-4)</f>
        <v/>
      </c>
    </row>
    <row r="8298">
      <c r="A8298" s="13">
        <f>IF(H8298="","",ROW()-4)</f>
        <v/>
      </c>
      <c r="B8298" s="13">
        <f>IF(H8298="","",ROW()-4)</f>
        <v/>
      </c>
    </row>
    <row r="8299">
      <c r="A8299" s="13">
        <f>IF(H8299="","",ROW()-4)</f>
        <v/>
      </c>
      <c r="B8299" s="13">
        <f>IF(H8299="","",ROW()-4)</f>
        <v/>
      </c>
    </row>
    <row r="8300">
      <c r="A8300" s="13">
        <f>IF(H8300="","",ROW()-4)</f>
        <v/>
      </c>
      <c r="B8300" s="13">
        <f>IF(H8300="","",ROW()-4)</f>
        <v/>
      </c>
    </row>
    <row r="8301">
      <c r="A8301" s="13">
        <f>IF(H8301="","",ROW()-4)</f>
        <v/>
      </c>
      <c r="B8301" s="13">
        <f>IF(H8301="","",ROW()-4)</f>
        <v/>
      </c>
    </row>
    <row r="8302">
      <c r="A8302" s="13">
        <f>IF(H8302="","",ROW()-4)</f>
        <v/>
      </c>
      <c r="B8302" s="13">
        <f>IF(H8302="","",ROW()-4)</f>
        <v/>
      </c>
    </row>
    <row r="8303">
      <c r="A8303" s="13">
        <f>IF(H8303="","",ROW()-4)</f>
        <v/>
      </c>
      <c r="B8303" s="13">
        <f>IF(H8303="","",ROW()-4)</f>
        <v/>
      </c>
    </row>
    <row r="8304">
      <c r="A8304" s="13">
        <f>IF(H8304="","",ROW()-4)</f>
        <v/>
      </c>
      <c r="B8304" s="13">
        <f>IF(H8304="","",ROW()-4)</f>
        <v/>
      </c>
    </row>
    <row r="8305">
      <c r="A8305" s="13">
        <f>IF(H8305="","",ROW()-4)</f>
        <v/>
      </c>
      <c r="B8305" s="13">
        <f>IF(H8305="","",ROW()-4)</f>
        <v/>
      </c>
    </row>
    <row r="8306">
      <c r="A8306" s="13">
        <f>IF(H8306="","",ROW()-4)</f>
        <v/>
      </c>
      <c r="B8306" s="13">
        <f>IF(H8306="","",ROW()-4)</f>
        <v/>
      </c>
    </row>
    <row r="8307">
      <c r="A8307" s="13">
        <f>IF(H8307="","",ROW()-4)</f>
        <v/>
      </c>
      <c r="B8307" s="13">
        <f>IF(H8307="","",ROW()-4)</f>
        <v/>
      </c>
    </row>
    <row r="8308">
      <c r="A8308" s="13">
        <f>IF(H8308="","",ROW()-4)</f>
        <v/>
      </c>
      <c r="B8308" s="13">
        <f>IF(H8308="","",ROW()-4)</f>
        <v/>
      </c>
    </row>
    <row r="8309">
      <c r="A8309" s="13">
        <f>IF(H8309="","",ROW()-4)</f>
        <v/>
      </c>
      <c r="B8309" s="13">
        <f>IF(H8309="","",ROW()-4)</f>
        <v/>
      </c>
    </row>
    <row r="8310">
      <c r="A8310" s="13">
        <f>IF(H8310="","",ROW()-4)</f>
        <v/>
      </c>
      <c r="B8310" s="13">
        <f>IF(H8310="","",ROW()-4)</f>
        <v/>
      </c>
    </row>
    <row r="8311">
      <c r="A8311" s="13">
        <f>IF(H8311="","",ROW()-4)</f>
        <v/>
      </c>
      <c r="B8311" s="13">
        <f>IF(H8311="","",ROW()-4)</f>
        <v/>
      </c>
    </row>
    <row r="8312">
      <c r="A8312" s="13">
        <f>IF(H8312="","",ROW()-4)</f>
        <v/>
      </c>
      <c r="B8312" s="13">
        <f>IF(H8312="","",ROW()-4)</f>
        <v/>
      </c>
    </row>
    <row r="8313">
      <c r="A8313" s="13">
        <f>IF(H8313="","",ROW()-4)</f>
        <v/>
      </c>
      <c r="B8313" s="13">
        <f>IF(H8313="","",ROW()-4)</f>
        <v/>
      </c>
    </row>
    <row r="8314">
      <c r="A8314" s="13">
        <f>IF(H8314="","",ROW()-4)</f>
        <v/>
      </c>
      <c r="B8314" s="13">
        <f>IF(H8314="","",ROW()-4)</f>
        <v/>
      </c>
    </row>
    <row r="8315">
      <c r="A8315" s="13">
        <f>IF(H8315="","",ROW()-4)</f>
        <v/>
      </c>
      <c r="B8315" s="13">
        <f>IF(H8315="","",ROW()-4)</f>
        <v/>
      </c>
    </row>
    <row r="8316">
      <c r="A8316" s="13">
        <f>IF(H8316="","",ROW()-4)</f>
        <v/>
      </c>
      <c r="B8316" s="13">
        <f>IF(H8316="","",ROW()-4)</f>
        <v/>
      </c>
    </row>
    <row r="8317">
      <c r="A8317" s="13">
        <f>IF(H8317="","",ROW()-4)</f>
        <v/>
      </c>
      <c r="B8317" s="13">
        <f>IF(H8317="","",ROW()-4)</f>
        <v/>
      </c>
    </row>
    <row r="8318">
      <c r="A8318" s="13">
        <f>IF(H8318="","",ROW()-4)</f>
        <v/>
      </c>
      <c r="B8318" s="13">
        <f>IF(H8318="","",ROW()-4)</f>
        <v/>
      </c>
    </row>
    <row r="8319">
      <c r="A8319" s="13">
        <f>IF(H8319="","",ROW()-4)</f>
        <v/>
      </c>
      <c r="B8319" s="13">
        <f>IF(H8319="","",ROW()-4)</f>
        <v/>
      </c>
    </row>
    <row r="8320">
      <c r="A8320" s="13">
        <f>IF(H8320="","",ROW()-4)</f>
        <v/>
      </c>
      <c r="B8320" s="13">
        <f>IF(H8320="","",ROW()-4)</f>
        <v/>
      </c>
    </row>
    <row r="8321">
      <c r="A8321" s="13">
        <f>IF(H8321="","",ROW()-4)</f>
        <v/>
      </c>
      <c r="B8321" s="13">
        <f>IF(H8321="","",ROW()-4)</f>
        <v/>
      </c>
    </row>
    <row r="8322">
      <c r="A8322" s="13">
        <f>IF(H8322="","",ROW()-4)</f>
        <v/>
      </c>
      <c r="B8322" s="13">
        <f>IF(H8322="","",ROW()-4)</f>
        <v/>
      </c>
    </row>
    <row r="8323">
      <c r="A8323" s="13">
        <f>IF(H8323="","",ROW()-4)</f>
        <v/>
      </c>
      <c r="B8323" s="13">
        <f>IF(H8323="","",ROW()-4)</f>
        <v/>
      </c>
    </row>
    <row r="8324">
      <c r="A8324" s="13">
        <f>IF(H8324="","",ROW()-4)</f>
        <v/>
      </c>
      <c r="B8324" s="13">
        <f>IF(H8324="","",ROW()-4)</f>
        <v/>
      </c>
    </row>
    <row r="8325">
      <c r="A8325" s="13">
        <f>IF(H8325="","",ROW()-4)</f>
        <v/>
      </c>
      <c r="B8325" s="13">
        <f>IF(H8325="","",ROW()-4)</f>
        <v/>
      </c>
    </row>
    <row r="8326">
      <c r="A8326" s="13">
        <f>IF(H8326="","",ROW()-4)</f>
        <v/>
      </c>
      <c r="B8326" s="13">
        <f>IF(H8326="","",ROW()-4)</f>
        <v/>
      </c>
    </row>
    <row r="8327">
      <c r="A8327" s="13">
        <f>IF(H8327="","",ROW()-4)</f>
        <v/>
      </c>
      <c r="B8327" s="13">
        <f>IF(H8327="","",ROW()-4)</f>
        <v/>
      </c>
    </row>
    <row r="8328">
      <c r="A8328" s="13">
        <f>IF(H8328="","",ROW()-4)</f>
        <v/>
      </c>
      <c r="B8328" s="13">
        <f>IF(H8328="","",ROW()-4)</f>
        <v/>
      </c>
    </row>
    <row r="8329">
      <c r="A8329" s="13">
        <f>IF(H8329="","",ROW()-4)</f>
        <v/>
      </c>
      <c r="B8329" s="13">
        <f>IF(H8329="","",ROW()-4)</f>
        <v/>
      </c>
    </row>
    <row r="8330">
      <c r="A8330" s="13">
        <f>IF(H8330="","",ROW()-4)</f>
        <v/>
      </c>
      <c r="B8330" s="13">
        <f>IF(H8330="","",ROW()-4)</f>
        <v/>
      </c>
    </row>
    <row r="8331">
      <c r="A8331" s="13">
        <f>IF(H8331="","",ROW()-4)</f>
        <v/>
      </c>
      <c r="B8331" s="13">
        <f>IF(H8331="","",ROW()-4)</f>
        <v/>
      </c>
    </row>
    <row r="8332">
      <c r="A8332" s="13">
        <f>IF(H8332="","",ROW()-4)</f>
        <v/>
      </c>
      <c r="B8332" s="13">
        <f>IF(H8332="","",ROW()-4)</f>
        <v/>
      </c>
    </row>
    <row r="8333">
      <c r="A8333" s="13">
        <f>IF(H8333="","",ROW()-4)</f>
        <v/>
      </c>
      <c r="B8333" s="13">
        <f>IF(H8333="","",ROW()-4)</f>
        <v/>
      </c>
    </row>
    <row r="8334">
      <c r="A8334" s="13">
        <f>IF(H8334="","",ROW()-4)</f>
        <v/>
      </c>
      <c r="B8334" s="13">
        <f>IF(H8334="","",ROW()-4)</f>
        <v/>
      </c>
    </row>
    <row r="8335">
      <c r="A8335" s="13">
        <f>IF(H8335="","",ROW()-4)</f>
        <v/>
      </c>
      <c r="B8335" s="13">
        <f>IF(H8335="","",ROW()-4)</f>
        <v/>
      </c>
    </row>
    <row r="8336">
      <c r="A8336" s="13">
        <f>IF(H8336="","",ROW()-4)</f>
        <v/>
      </c>
      <c r="B8336" s="13">
        <f>IF(H8336="","",ROW()-4)</f>
        <v/>
      </c>
    </row>
    <row r="8337">
      <c r="A8337" s="13">
        <f>IF(H8337="","",ROW()-4)</f>
        <v/>
      </c>
      <c r="B8337" s="13">
        <f>IF(H8337="","",ROW()-4)</f>
        <v/>
      </c>
    </row>
    <row r="8338">
      <c r="A8338" s="13">
        <f>IF(H8338="","",ROW()-4)</f>
        <v/>
      </c>
      <c r="B8338" s="13">
        <f>IF(H8338="","",ROW()-4)</f>
        <v/>
      </c>
    </row>
    <row r="8339">
      <c r="A8339" s="13">
        <f>IF(H8339="","",ROW()-4)</f>
        <v/>
      </c>
      <c r="B8339" s="13">
        <f>IF(H8339="","",ROW()-4)</f>
        <v/>
      </c>
    </row>
    <row r="8340">
      <c r="A8340" s="13">
        <f>IF(H8340="","",ROW()-4)</f>
        <v/>
      </c>
      <c r="B8340" s="13">
        <f>IF(H8340="","",ROW()-4)</f>
        <v/>
      </c>
    </row>
    <row r="8341">
      <c r="A8341" s="13">
        <f>IF(H8341="","",ROW()-4)</f>
        <v/>
      </c>
      <c r="B8341" s="13">
        <f>IF(H8341="","",ROW()-4)</f>
        <v/>
      </c>
    </row>
    <row r="8342">
      <c r="A8342" s="13">
        <f>IF(H8342="","",ROW()-4)</f>
        <v/>
      </c>
      <c r="B8342" s="13">
        <f>IF(H8342="","",ROW()-4)</f>
        <v/>
      </c>
    </row>
    <row r="8343">
      <c r="A8343" s="13">
        <f>IF(H8343="","",ROW()-4)</f>
        <v/>
      </c>
      <c r="B8343" s="13">
        <f>IF(H8343="","",ROW()-4)</f>
        <v/>
      </c>
    </row>
    <row r="8344">
      <c r="A8344" s="13">
        <f>IF(H8344="","",ROW()-4)</f>
        <v/>
      </c>
      <c r="B8344" s="13">
        <f>IF(H8344="","",ROW()-4)</f>
        <v/>
      </c>
    </row>
    <row r="8345">
      <c r="A8345" s="13">
        <f>IF(H8345="","",ROW()-4)</f>
        <v/>
      </c>
      <c r="B8345" s="13">
        <f>IF(H8345="","",ROW()-4)</f>
        <v/>
      </c>
    </row>
    <row r="8346">
      <c r="A8346" s="13">
        <f>IF(H8346="","",ROW()-4)</f>
        <v/>
      </c>
      <c r="B8346" s="13">
        <f>IF(H8346="","",ROW()-4)</f>
        <v/>
      </c>
    </row>
    <row r="8347">
      <c r="A8347" s="13">
        <f>IF(H8347="","",ROW()-4)</f>
        <v/>
      </c>
      <c r="B8347" s="13">
        <f>IF(H8347="","",ROW()-4)</f>
        <v/>
      </c>
    </row>
    <row r="8348">
      <c r="A8348" s="13">
        <f>IF(H8348="","",ROW()-4)</f>
        <v/>
      </c>
      <c r="B8348" s="13">
        <f>IF(H8348="","",ROW()-4)</f>
        <v/>
      </c>
    </row>
    <row r="8349">
      <c r="A8349" s="13">
        <f>IF(H8349="","",ROW()-4)</f>
        <v/>
      </c>
      <c r="B8349" s="13">
        <f>IF(H8349="","",ROW()-4)</f>
        <v/>
      </c>
    </row>
    <row r="8350">
      <c r="A8350" s="13">
        <f>IF(H8350="","",ROW()-4)</f>
        <v/>
      </c>
      <c r="B8350" s="13">
        <f>IF(H8350="","",ROW()-4)</f>
        <v/>
      </c>
    </row>
    <row r="8351">
      <c r="A8351" s="13">
        <f>IF(H8351="","",ROW()-4)</f>
        <v/>
      </c>
      <c r="B8351" s="13">
        <f>IF(H8351="","",ROW()-4)</f>
        <v/>
      </c>
    </row>
    <row r="8352">
      <c r="A8352" s="13">
        <f>IF(H8352="","",ROW()-4)</f>
        <v/>
      </c>
      <c r="B8352" s="13">
        <f>IF(H8352="","",ROW()-4)</f>
        <v/>
      </c>
    </row>
    <row r="8353">
      <c r="A8353" s="13">
        <f>IF(H8353="","",ROW()-4)</f>
        <v/>
      </c>
      <c r="B8353" s="13">
        <f>IF(H8353="","",ROW()-4)</f>
        <v/>
      </c>
    </row>
    <row r="8354">
      <c r="A8354" s="13">
        <f>IF(H8354="","",ROW()-4)</f>
        <v/>
      </c>
      <c r="B8354" s="13">
        <f>IF(H8354="","",ROW()-4)</f>
        <v/>
      </c>
    </row>
    <row r="8355">
      <c r="A8355" s="13">
        <f>IF(H8355="","",ROW()-4)</f>
        <v/>
      </c>
      <c r="B8355" s="13">
        <f>IF(H8355="","",ROW()-4)</f>
        <v/>
      </c>
    </row>
    <row r="8356">
      <c r="A8356" s="13">
        <f>IF(H8356="","",ROW()-4)</f>
        <v/>
      </c>
      <c r="B8356" s="13">
        <f>IF(H8356="","",ROW()-4)</f>
        <v/>
      </c>
    </row>
    <row r="8357">
      <c r="A8357" s="13">
        <f>IF(H8357="","",ROW()-4)</f>
        <v/>
      </c>
      <c r="B8357" s="13">
        <f>IF(H8357="","",ROW()-4)</f>
        <v/>
      </c>
    </row>
    <row r="8358">
      <c r="A8358" s="13">
        <f>IF(H8358="","",ROW()-4)</f>
        <v/>
      </c>
      <c r="B8358" s="13">
        <f>IF(H8358="","",ROW()-4)</f>
        <v/>
      </c>
    </row>
    <row r="8359">
      <c r="A8359" s="13">
        <f>IF(H8359="","",ROW()-4)</f>
        <v/>
      </c>
      <c r="B8359" s="13">
        <f>IF(H8359="","",ROW()-4)</f>
        <v/>
      </c>
    </row>
    <row r="8360">
      <c r="A8360" s="13">
        <f>IF(H8360="","",ROW()-4)</f>
        <v/>
      </c>
      <c r="B8360" s="13">
        <f>IF(H8360="","",ROW()-4)</f>
        <v/>
      </c>
    </row>
    <row r="8361">
      <c r="A8361" s="13">
        <f>IF(H8361="","",ROW()-4)</f>
        <v/>
      </c>
      <c r="B8361" s="13">
        <f>IF(H8361="","",ROW()-4)</f>
        <v/>
      </c>
    </row>
    <row r="8362">
      <c r="A8362" s="13">
        <f>IF(H8362="","",ROW()-4)</f>
        <v/>
      </c>
      <c r="B8362" s="13">
        <f>IF(H8362="","",ROW()-4)</f>
        <v/>
      </c>
    </row>
    <row r="8363">
      <c r="A8363" s="13">
        <f>IF(H8363="","",ROW()-4)</f>
        <v/>
      </c>
      <c r="B8363" s="13">
        <f>IF(H8363="","",ROW()-4)</f>
        <v/>
      </c>
    </row>
    <row r="8364">
      <c r="A8364" s="13">
        <f>IF(H8364="","",ROW()-4)</f>
        <v/>
      </c>
      <c r="B8364" s="13">
        <f>IF(H8364="","",ROW()-4)</f>
        <v/>
      </c>
    </row>
    <row r="8365">
      <c r="A8365" s="13">
        <f>IF(H8365="","",ROW()-4)</f>
        <v/>
      </c>
      <c r="B8365" s="13">
        <f>IF(H8365="","",ROW()-4)</f>
        <v/>
      </c>
    </row>
    <row r="8366">
      <c r="A8366" s="13">
        <f>IF(H8366="","",ROW()-4)</f>
        <v/>
      </c>
      <c r="B8366" s="13">
        <f>IF(H8366="","",ROW()-4)</f>
        <v/>
      </c>
    </row>
    <row r="8367">
      <c r="A8367" s="13">
        <f>IF(H8367="","",ROW()-4)</f>
        <v/>
      </c>
      <c r="B8367" s="13">
        <f>IF(H8367="","",ROW()-4)</f>
        <v/>
      </c>
    </row>
    <row r="8368">
      <c r="A8368" s="13">
        <f>IF(H8368="","",ROW()-4)</f>
        <v/>
      </c>
      <c r="B8368" s="13">
        <f>IF(H8368="","",ROW()-4)</f>
        <v/>
      </c>
    </row>
    <row r="8369">
      <c r="A8369" s="13">
        <f>IF(H8369="","",ROW()-4)</f>
        <v/>
      </c>
      <c r="B8369" s="13">
        <f>IF(H8369="","",ROW()-4)</f>
        <v/>
      </c>
    </row>
    <row r="8370">
      <c r="A8370" s="13">
        <f>IF(H8370="","",ROW()-4)</f>
        <v/>
      </c>
      <c r="B8370" s="13">
        <f>IF(H8370="","",ROW()-4)</f>
        <v/>
      </c>
    </row>
    <row r="8371">
      <c r="A8371" s="13">
        <f>IF(H8371="","",ROW()-4)</f>
        <v/>
      </c>
      <c r="B8371" s="13">
        <f>IF(H8371="","",ROW()-4)</f>
        <v/>
      </c>
    </row>
    <row r="8372">
      <c r="A8372" s="13">
        <f>IF(H8372="","",ROW()-4)</f>
        <v/>
      </c>
      <c r="B8372" s="13">
        <f>IF(H8372="","",ROW()-4)</f>
        <v/>
      </c>
    </row>
    <row r="8373">
      <c r="A8373" s="13">
        <f>IF(H8373="","",ROW()-4)</f>
        <v/>
      </c>
      <c r="B8373" s="13">
        <f>IF(H8373="","",ROW()-4)</f>
        <v/>
      </c>
    </row>
    <row r="8374">
      <c r="A8374" s="13">
        <f>IF(H8374="","",ROW()-4)</f>
        <v/>
      </c>
      <c r="B8374" s="13">
        <f>IF(H8374="","",ROW()-4)</f>
        <v/>
      </c>
    </row>
    <row r="8375">
      <c r="A8375" s="13">
        <f>IF(H8375="","",ROW()-4)</f>
        <v/>
      </c>
      <c r="B8375" s="13">
        <f>IF(H8375="","",ROW()-4)</f>
        <v/>
      </c>
    </row>
    <row r="8376">
      <c r="A8376" s="13">
        <f>IF(H8376="","",ROW()-4)</f>
        <v/>
      </c>
      <c r="B8376" s="13">
        <f>IF(H8376="","",ROW()-4)</f>
        <v/>
      </c>
    </row>
    <row r="8377">
      <c r="A8377" s="13">
        <f>IF(H8377="","",ROW()-4)</f>
        <v/>
      </c>
      <c r="B8377" s="13">
        <f>IF(H8377="","",ROW()-4)</f>
        <v/>
      </c>
    </row>
    <row r="8378">
      <c r="A8378" s="13">
        <f>IF(H8378="","",ROW()-4)</f>
        <v/>
      </c>
      <c r="B8378" s="13">
        <f>IF(H8378="","",ROW()-4)</f>
        <v/>
      </c>
    </row>
    <row r="8379">
      <c r="A8379" s="13">
        <f>IF(H8379="","",ROW()-4)</f>
        <v/>
      </c>
      <c r="B8379" s="13">
        <f>IF(H8379="","",ROW()-4)</f>
        <v/>
      </c>
    </row>
    <row r="8380">
      <c r="A8380" s="13">
        <f>IF(H8380="","",ROW()-4)</f>
        <v/>
      </c>
      <c r="B8380" s="13">
        <f>IF(H8380="","",ROW()-4)</f>
        <v/>
      </c>
    </row>
    <row r="8381">
      <c r="A8381" s="13">
        <f>IF(H8381="","",ROW()-4)</f>
        <v/>
      </c>
      <c r="B8381" s="13">
        <f>IF(H8381="","",ROW()-4)</f>
        <v/>
      </c>
    </row>
    <row r="8382">
      <c r="A8382" s="13">
        <f>IF(H8382="","",ROW()-4)</f>
        <v/>
      </c>
      <c r="B8382" s="13">
        <f>IF(H8382="","",ROW()-4)</f>
        <v/>
      </c>
    </row>
    <row r="8383">
      <c r="A8383" s="13">
        <f>IF(H8383="","",ROW()-4)</f>
        <v/>
      </c>
      <c r="B8383" s="13">
        <f>IF(H8383="","",ROW()-4)</f>
        <v/>
      </c>
    </row>
    <row r="8384">
      <c r="A8384" s="13">
        <f>IF(H8384="","",ROW()-4)</f>
        <v/>
      </c>
      <c r="B8384" s="13">
        <f>IF(H8384="","",ROW()-4)</f>
        <v/>
      </c>
    </row>
    <row r="8385">
      <c r="A8385" s="13">
        <f>IF(H8385="","",ROW()-4)</f>
        <v/>
      </c>
      <c r="B8385" s="13">
        <f>IF(H8385="","",ROW()-4)</f>
        <v/>
      </c>
    </row>
    <row r="8386">
      <c r="A8386" s="13">
        <f>IF(H8386="","",ROW()-4)</f>
        <v/>
      </c>
      <c r="B8386" s="13">
        <f>IF(H8386="","",ROW()-4)</f>
        <v/>
      </c>
    </row>
    <row r="8387">
      <c r="A8387" s="13">
        <f>IF(H8387="","",ROW()-4)</f>
        <v/>
      </c>
      <c r="B8387" s="13">
        <f>IF(H8387="","",ROW()-4)</f>
        <v/>
      </c>
    </row>
    <row r="8388">
      <c r="A8388" s="13">
        <f>IF(H8388="","",ROW()-4)</f>
        <v/>
      </c>
      <c r="B8388" s="13">
        <f>IF(H8388="","",ROW()-4)</f>
        <v/>
      </c>
    </row>
    <row r="8389">
      <c r="A8389" s="13">
        <f>IF(H8389="","",ROW()-4)</f>
        <v/>
      </c>
      <c r="B8389" s="13">
        <f>IF(H8389="","",ROW()-4)</f>
        <v/>
      </c>
    </row>
    <row r="8390">
      <c r="A8390" s="13">
        <f>IF(H8390="","",ROW()-4)</f>
        <v/>
      </c>
      <c r="B8390" s="13">
        <f>IF(H8390="","",ROW()-4)</f>
        <v/>
      </c>
    </row>
    <row r="8391">
      <c r="A8391" s="13">
        <f>IF(H8391="","",ROW()-4)</f>
        <v/>
      </c>
      <c r="B8391" s="13">
        <f>IF(H8391="","",ROW()-4)</f>
        <v/>
      </c>
    </row>
    <row r="8392">
      <c r="A8392" s="13">
        <f>IF(H8392="","",ROW()-4)</f>
        <v/>
      </c>
      <c r="B8392" s="13">
        <f>IF(H8392="","",ROW()-4)</f>
        <v/>
      </c>
    </row>
    <row r="8393">
      <c r="A8393" s="13">
        <f>IF(H8393="","",ROW()-4)</f>
        <v/>
      </c>
      <c r="B8393" s="13">
        <f>IF(H8393="","",ROW()-4)</f>
        <v/>
      </c>
    </row>
    <row r="8394">
      <c r="A8394" s="13">
        <f>IF(H8394="","",ROW()-4)</f>
        <v/>
      </c>
      <c r="B8394" s="13">
        <f>IF(H8394="","",ROW()-4)</f>
        <v/>
      </c>
    </row>
    <row r="8395">
      <c r="A8395" s="13">
        <f>IF(H8395="","",ROW()-4)</f>
        <v/>
      </c>
      <c r="B8395" s="13">
        <f>IF(H8395="","",ROW()-4)</f>
        <v/>
      </c>
    </row>
    <row r="8396">
      <c r="A8396" s="13">
        <f>IF(H8396="","",ROW()-4)</f>
        <v/>
      </c>
      <c r="B8396" s="13">
        <f>IF(H8396="","",ROW()-4)</f>
        <v/>
      </c>
    </row>
    <row r="8397">
      <c r="A8397" s="13">
        <f>IF(H8397="","",ROW()-4)</f>
        <v/>
      </c>
      <c r="B8397" s="13">
        <f>IF(H8397="","",ROW()-4)</f>
        <v/>
      </c>
    </row>
    <row r="8398">
      <c r="A8398" s="13">
        <f>IF(H8398="","",ROW()-4)</f>
        <v/>
      </c>
      <c r="B8398" s="13">
        <f>IF(H8398="","",ROW()-4)</f>
        <v/>
      </c>
    </row>
    <row r="8399">
      <c r="A8399" s="13">
        <f>IF(H8399="","",ROW()-4)</f>
        <v/>
      </c>
      <c r="B8399" s="13">
        <f>IF(H8399="","",ROW()-4)</f>
        <v/>
      </c>
    </row>
    <row r="8400">
      <c r="A8400" s="13">
        <f>IF(H8400="","",ROW()-4)</f>
        <v/>
      </c>
      <c r="B8400" s="13">
        <f>IF(H8400="","",ROW()-4)</f>
        <v/>
      </c>
    </row>
    <row r="8401">
      <c r="A8401" s="13">
        <f>IF(H8401="","",ROW()-4)</f>
        <v/>
      </c>
      <c r="B8401" s="13">
        <f>IF(H8401="","",ROW()-4)</f>
        <v/>
      </c>
    </row>
    <row r="8402">
      <c r="A8402" s="13">
        <f>IF(H8402="","",ROW()-4)</f>
        <v/>
      </c>
      <c r="B8402" s="13">
        <f>IF(H8402="","",ROW()-4)</f>
        <v/>
      </c>
    </row>
    <row r="8403">
      <c r="A8403" s="13">
        <f>IF(H8403="","",ROW()-4)</f>
        <v/>
      </c>
      <c r="B8403" s="13">
        <f>IF(H8403="","",ROW()-4)</f>
        <v/>
      </c>
    </row>
    <row r="8404">
      <c r="A8404" s="13">
        <f>IF(H8404="","",ROW()-4)</f>
        <v/>
      </c>
      <c r="B8404" s="13">
        <f>IF(H8404="","",ROW()-4)</f>
        <v/>
      </c>
    </row>
    <row r="8405">
      <c r="A8405" s="13">
        <f>IF(H8405="","",ROW()-4)</f>
        <v/>
      </c>
      <c r="B8405" s="13">
        <f>IF(H8405="","",ROW()-4)</f>
        <v/>
      </c>
    </row>
    <row r="8406">
      <c r="A8406" s="13">
        <f>IF(H8406="","",ROW()-4)</f>
        <v/>
      </c>
      <c r="B8406" s="13">
        <f>IF(H8406="","",ROW()-4)</f>
        <v/>
      </c>
    </row>
    <row r="8407">
      <c r="A8407" s="13">
        <f>IF(H8407="","",ROW()-4)</f>
        <v/>
      </c>
      <c r="B8407" s="13">
        <f>IF(H8407="","",ROW()-4)</f>
        <v/>
      </c>
    </row>
    <row r="8408">
      <c r="A8408" s="13">
        <f>IF(H8408="","",ROW()-4)</f>
        <v/>
      </c>
      <c r="B8408" s="13">
        <f>IF(H8408="","",ROW()-4)</f>
        <v/>
      </c>
    </row>
    <row r="8409">
      <c r="A8409" s="13">
        <f>IF(H8409="","",ROW()-4)</f>
        <v/>
      </c>
      <c r="B8409" s="13">
        <f>IF(H8409="","",ROW()-4)</f>
        <v/>
      </c>
    </row>
    <row r="8410">
      <c r="A8410" s="13">
        <f>IF(H8410="","",ROW()-4)</f>
        <v/>
      </c>
      <c r="B8410" s="13">
        <f>IF(H8410="","",ROW()-4)</f>
        <v/>
      </c>
    </row>
    <row r="8411">
      <c r="A8411" s="13">
        <f>IF(H8411="","",ROW()-4)</f>
        <v/>
      </c>
      <c r="B8411" s="13">
        <f>IF(H8411="","",ROW()-4)</f>
        <v/>
      </c>
    </row>
    <row r="8412">
      <c r="A8412" s="13">
        <f>IF(H8412="","",ROW()-4)</f>
        <v/>
      </c>
      <c r="B8412" s="13">
        <f>IF(H8412="","",ROW()-4)</f>
        <v/>
      </c>
    </row>
    <row r="8413">
      <c r="A8413" s="13">
        <f>IF(H8413="","",ROW()-4)</f>
        <v/>
      </c>
      <c r="B8413" s="13">
        <f>IF(H8413="","",ROW()-4)</f>
        <v/>
      </c>
    </row>
    <row r="8414">
      <c r="A8414" s="13">
        <f>IF(H8414="","",ROW()-4)</f>
        <v/>
      </c>
      <c r="B8414" s="13">
        <f>IF(H8414="","",ROW()-4)</f>
        <v/>
      </c>
    </row>
    <row r="8415">
      <c r="A8415" s="13">
        <f>IF(H8415="","",ROW()-4)</f>
        <v/>
      </c>
      <c r="B8415" s="13">
        <f>IF(H8415="","",ROW()-4)</f>
        <v/>
      </c>
    </row>
    <row r="8416">
      <c r="A8416" s="13">
        <f>IF(H8416="","",ROW()-4)</f>
        <v/>
      </c>
      <c r="B8416" s="13">
        <f>IF(H8416="","",ROW()-4)</f>
        <v/>
      </c>
    </row>
    <row r="8417">
      <c r="A8417" s="13">
        <f>IF(H8417="","",ROW()-4)</f>
        <v/>
      </c>
      <c r="B8417" s="13">
        <f>IF(H8417="","",ROW()-4)</f>
        <v/>
      </c>
    </row>
    <row r="8418">
      <c r="A8418" s="13">
        <f>IF(H8418="","",ROW()-4)</f>
        <v/>
      </c>
      <c r="B8418" s="13">
        <f>IF(H8418="","",ROW()-4)</f>
        <v/>
      </c>
    </row>
    <row r="8419">
      <c r="A8419" s="13">
        <f>IF(H8419="","",ROW()-4)</f>
        <v/>
      </c>
      <c r="B8419" s="13">
        <f>IF(H8419="","",ROW()-4)</f>
        <v/>
      </c>
    </row>
    <row r="8420">
      <c r="A8420" s="13">
        <f>IF(H8420="","",ROW()-4)</f>
        <v/>
      </c>
      <c r="B8420" s="13">
        <f>IF(H8420="","",ROW()-4)</f>
        <v/>
      </c>
    </row>
    <row r="8421">
      <c r="A8421" s="13">
        <f>IF(H8421="","",ROW()-4)</f>
        <v/>
      </c>
      <c r="B8421" s="13">
        <f>IF(H8421="","",ROW()-4)</f>
        <v/>
      </c>
    </row>
    <row r="8422">
      <c r="A8422" s="13">
        <f>IF(H8422="","",ROW()-4)</f>
        <v/>
      </c>
      <c r="B8422" s="13">
        <f>IF(H8422="","",ROW()-4)</f>
        <v/>
      </c>
    </row>
    <row r="8423">
      <c r="A8423" s="13">
        <f>IF(H8423="","",ROW()-4)</f>
        <v/>
      </c>
      <c r="B8423" s="13">
        <f>IF(H8423="","",ROW()-4)</f>
        <v/>
      </c>
    </row>
    <row r="8424">
      <c r="A8424" s="13">
        <f>IF(H8424="","",ROW()-4)</f>
        <v/>
      </c>
      <c r="B8424" s="13">
        <f>IF(H8424="","",ROW()-4)</f>
        <v/>
      </c>
    </row>
    <row r="8425">
      <c r="A8425" s="13">
        <f>IF(H8425="","",ROW()-4)</f>
        <v/>
      </c>
      <c r="B8425" s="13">
        <f>IF(H8425="","",ROW()-4)</f>
        <v/>
      </c>
    </row>
    <row r="8426">
      <c r="A8426" s="13">
        <f>IF(H8426="","",ROW()-4)</f>
        <v/>
      </c>
      <c r="B8426" s="13">
        <f>IF(H8426="","",ROW()-4)</f>
        <v/>
      </c>
    </row>
    <row r="8427">
      <c r="A8427" s="13">
        <f>IF(H8427="","",ROW()-4)</f>
        <v/>
      </c>
      <c r="B8427" s="13">
        <f>IF(H8427="","",ROW()-4)</f>
        <v/>
      </c>
    </row>
    <row r="8428">
      <c r="A8428" s="13">
        <f>IF(H8428="","",ROW()-4)</f>
        <v/>
      </c>
      <c r="B8428" s="13">
        <f>IF(H8428="","",ROW()-4)</f>
        <v/>
      </c>
    </row>
    <row r="8429">
      <c r="A8429" s="13">
        <f>IF(H8429="","",ROW()-4)</f>
        <v/>
      </c>
      <c r="B8429" s="13">
        <f>IF(H8429="","",ROW()-4)</f>
        <v/>
      </c>
    </row>
    <row r="8430">
      <c r="A8430" s="13">
        <f>IF(H8430="","",ROW()-4)</f>
        <v/>
      </c>
      <c r="B8430" s="13">
        <f>IF(H8430="","",ROW()-4)</f>
        <v/>
      </c>
    </row>
    <row r="8431">
      <c r="A8431" s="13">
        <f>IF(H8431="","",ROW()-4)</f>
        <v/>
      </c>
      <c r="B8431" s="13">
        <f>IF(H8431="","",ROW()-4)</f>
        <v/>
      </c>
    </row>
    <row r="8432">
      <c r="A8432" s="13">
        <f>IF(H8432="","",ROW()-4)</f>
        <v/>
      </c>
      <c r="B8432" s="13">
        <f>IF(H8432="","",ROW()-4)</f>
        <v/>
      </c>
    </row>
    <row r="8433">
      <c r="A8433" s="13">
        <f>IF(H8433="","",ROW()-4)</f>
        <v/>
      </c>
      <c r="B8433" s="13">
        <f>IF(H8433="","",ROW()-4)</f>
        <v/>
      </c>
    </row>
    <row r="8434">
      <c r="A8434" s="13">
        <f>IF(H8434="","",ROW()-4)</f>
        <v/>
      </c>
      <c r="B8434" s="13">
        <f>IF(H8434="","",ROW()-4)</f>
        <v/>
      </c>
    </row>
    <row r="8435">
      <c r="A8435" s="13">
        <f>IF(H8435="","",ROW()-4)</f>
        <v/>
      </c>
      <c r="B8435" s="13">
        <f>IF(H8435="","",ROW()-4)</f>
        <v/>
      </c>
    </row>
    <row r="8436">
      <c r="A8436" s="13">
        <f>IF(H8436="","",ROW()-4)</f>
        <v/>
      </c>
      <c r="B8436" s="13">
        <f>IF(H8436="","",ROW()-4)</f>
        <v/>
      </c>
    </row>
    <row r="8437">
      <c r="A8437" s="13">
        <f>IF(H8437="","",ROW()-4)</f>
        <v/>
      </c>
      <c r="B8437" s="13">
        <f>IF(H8437="","",ROW()-4)</f>
        <v/>
      </c>
    </row>
    <row r="8438">
      <c r="A8438" s="13">
        <f>IF(H8438="","",ROW()-4)</f>
        <v/>
      </c>
      <c r="B8438" s="13">
        <f>IF(H8438="","",ROW()-4)</f>
        <v/>
      </c>
    </row>
    <row r="8439">
      <c r="A8439" s="13">
        <f>IF(H8439="","",ROW()-4)</f>
        <v/>
      </c>
      <c r="B8439" s="13">
        <f>IF(H8439="","",ROW()-4)</f>
        <v/>
      </c>
    </row>
    <row r="8440">
      <c r="A8440" s="13">
        <f>IF(H8440="","",ROW()-4)</f>
        <v/>
      </c>
      <c r="B8440" s="13">
        <f>IF(H8440="","",ROW()-4)</f>
        <v/>
      </c>
    </row>
    <row r="8441">
      <c r="A8441" s="13">
        <f>IF(H8441="","",ROW()-4)</f>
        <v/>
      </c>
      <c r="B8441" s="13">
        <f>IF(H8441="","",ROW()-4)</f>
        <v/>
      </c>
    </row>
    <row r="8442">
      <c r="A8442" s="13">
        <f>IF(H8442="","",ROW()-4)</f>
        <v/>
      </c>
      <c r="B8442" s="13">
        <f>IF(H8442="","",ROW()-4)</f>
        <v/>
      </c>
    </row>
    <row r="8443">
      <c r="A8443" s="13">
        <f>IF(H8443="","",ROW()-4)</f>
        <v/>
      </c>
      <c r="B8443" s="13">
        <f>IF(H8443="","",ROW()-4)</f>
        <v/>
      </c>
    </row>
    <row r="8444">
      <c r="A8444" s="13">
        <f>IF(H8444="","",ROW()-4)</f>
        <v/>
      </c>
      <c r="B8444" s="13">
        <f>IF(H8444="","",ROW()-4)</f>
        <v/>
      </c>
    </row>
    <row r="8445">
      <c r="A8445" s="13">
        <f>IF(H8445="","",ROW()-4)</f>
        <v/>
      </c>
      <c r="B8445" s="13">
        <f>IF(H8445="","",ROW()-4)</f>
        <v/>
      </c>
    </row>
    <row r="8446">
      <c r="A8446" s="13">
        <f>IF(H8446="","",ROW()-4)</f>
        <v/>
      </c>
      <c r="B8446" s="13">
        <f>IF(H8446="","",ROW()-4)</f>
        <v/>
      </c>
    </row>
    <row r="8447">
      <c r="A8447" s="13">
        <f>IF(H8447="","",ROW()-4)</f>
        <v/>
      </c>
      <c r="B8447" s="13">
        <f>IF(H8447="","",ROW()-4)</f>
        <v/>
      </c>
    </row>
    <row r="8448">
      <c r="A8448" s="13">
        <f>IF(H8448="","",ROW()-4)</f>
        <v/>
      </c>
      <c r="B8448" s="13">
        <f>IF(H8448="","",ROW()-4)</f>
        <v/>
      </c>
    </row>
    <row r="8449">
      <c r="A8449" s="13">
        <f>IF(H8449="","",ROW()-4)</f>
        <v/>
      </c>
      <c r="B8449" s="13">
        <f>IF(H8449="","",ROW()-4)</f>
        <v/>
      </c>
    </row>
    <row r="8450">
      <c r="A8450" s="13">
        <f>IF(H8450="","",ROW()-4)</f>
        <v/>
      </c>
      <c r="B8450" s="13">
        <f>IF(H8450="","",ROW()-4)</f>
        <v/>
      </c>
    </row>
    <row r="8451">
      <c r="A8451" s="13">
        <f>IF(H8451="","",ROW()-4)</f>
        <v/>
      </c>
      <c r="B8451" s="13">
        <f>IF(H8451="","",ROW()-4)</f>
        <v/>
      </c>
    </row>
    <row r="8452">
      <c r="A8452" s="13">
        <f>IF(H8452="","",ROW()-4)</f>
        <v/>
      </c>
      <c r="B8452" s="13">
        <f>IF(H8452="","",ROW()-4)</f>
        <v/>
      </c>
    </row>
    <row r="8453">
      <c r="A8453" s="13">
        <f>IF(H8453="","",ROW()-4)</f>
        <v/>
      </c>
      <c r="B8453" s="13">
        <f>IF(H8453="","",ROW()-4)</f>
        <v/>
      </c>
    </row>
    <row r="8454">
      <c r="A8454" s="13">
        <f>IF(H8454="","",ROW()-4)</f>
        <v/>
      </c>
      <c r="B8454" s="13">
        <f>IF(H8454="","",ROW()-4)</f>
        <v/>
      </c>
    </row>
    <row r="8455">
      <c r="A8455" s="13">
        <f>IF(H8455="","",ROW()-4)</f>
        <v/>
      </c>
      <c r="B8455" s="13">
        <f>IF(H8455="","",ROW()-4)</f>
        <v/>
      </c>
    </row>
    <row r="8456">
      <c r="A8456" s="13">
        <f>IF(H8456="","",ROW()-4)</f>
        <v/>
      </c>
      <c r="B8456" s="13">
        <f>IF(H8456="","",ROW()-4)</f>
        <v/>
      </c>
    </row>
    <row r="8457">
      <c r="A8457" s="13">
        <f>IF(H8457="","",ROW()-4)</f>
        <v/>
      </c>
      <c r="B8457" s="13">
        <f>IF(H8457="","",ROW()-4)</f>
        <v/>
      </c>
    </row>
    <row r="8458">
      <c r="A8458" s="13">
        <f>IF(H8458="","",ROW()-4)</f>
        <v/>
      </c>
      <c r="B8458" s="13">
        <f>IF(H8458="","",ROW()-4)</f>
        <v/>
      </c>
    </row>
    <row r="8459">
      <c r="A8459" s="13">
        <f>IF(H8459="","",ROW()-4)</f>
        <v/>
      </c>
      <c r="B8459" s="13">
        <f>IF(H8459="","",ROW()-4)</f>
        <v/>
      </c>
    </row>
    <row r="8460">
      <c r="A8460" s="13">
        <f>IF(H8460="","",ROW()-4)</f>
        <v/>
      </c>
      <c r="B8460" s="13">
        <f>IF(H8460="","",ROW()-4)</f>
        <v/>
      </c>
    </row>
    <row r="8461">
      <c r="A8461" s="13">
        <f>IF(H8461="","",ROW()-4)</f>
        <v/>
      </c>
      <c r="B8461" s="13">
        <f>IF(H8461="","",ROW()-4)</f>
        <v/>
      </c>
    </row>
    <row r="8462">
      <c r="A8462" s="13">
        <f>IF(H8462="","",ROW()-4)</f>
        <v/>
      </c>
      <c r="B8462" s="13">
        <f>IF(H8462="","",ROW()-4)</f>
        <v/>
      </c>
    </row>
    <row r="8463">
      <c r="A8463" s="13">
        <f>IF(H8463="","",ROW()-4)</f>
        <v/>
      </c>
      <c r="B8463" s="13">
        <f>IF(H8463="","",ROW()-4)</f>
        <v/>
      </c>
    </row>
    <row r="8464">
      <c r="A8464" s="13">
        <f>IF(H8464="","",ROW()-4)</f>
        <v/>
      </c>
      <c r="B8464" s="13">
        <f>IF(H8464="","",ROW()-4)</f>
        <v/>
      </c>
    </row>
    <row r="8465">
      <c r="A8465" s="13">
        <f>IF(H8465="","",ROW()-4)</f>
        <v/>
      </c>
      <c r="B8465" s="13">
        <f>IF(H8465="","",ROW()-4)</f>
        <v/>
      </c>
    </row>
    <row r="8466">
      <c r="A8466" s="13">
        <f>IF(H8466="","",ROW()-4)</f>
        <v/>
      </c>
      <c r="B8466" s="13">
        <f>IF(H8466="","",ROW()-4)</f>
        <v/>
      </c>
    </row>
    <row r="8467">
      <c r="A8467" s="13">
        <f>IF(H8467="","",ROW()-4)</f>
        <v/>
      </c>
      <c r="B8467" s="13">
        <f>IF(H8467="","",ROW()-4)</f>
        <v/>
      </c>
    </row>
    <row r="8468">
      <c r="A8468" s="13">
        <f>IF(H8468="","",ROW()-4)</f>
        <v/>
      </c>
      <c r="B8468" s="13">
        <f>IF(H8468="","",ROW()-4)</f>
        <v/>
      </c>
    </row>
    <row r="8469">
      <c r="A8469" s="13">
        <f>IF(H8469="","",ROW()-4)</f>
        <v/>
      </c>
      <c r="B8469" s="13">
        <f>IF(H8469="","",ROW()-4)</f>
        <v/>
      </c>
    </row>
    <row r="8470">
      <c r="A8470" s="13">
        <f>IF(H8470="","",ROW()-4)</f>
        <v/>
      </c>
      <c r="B8470" s="13">
        <f>IF(H8470="","",ROW()-4)</f>
        <v/>
      </c>
    </row>
    <row r="8471">
      <c r="A8471" s="13">
        <f>IF(H8471="","",ROW()-4)</f>
        <v/>
      </c>
      <c r="B8471" s="13">
        <f>IF(H8471="","",ROW()-4)</f>
        <v/>
      </c>
    </row>
    <row r="8472">
      <c r="A8472" s="13">
        <f>IF(H8472="","",ROW()-4)</f>
        <v/>
      </c>
      <c r="B8472" s="13">
        <f>IF(H8472="","",ROW()-4)</f>
        <v/>
      </c>
    </row>
    <row r="8473">
      <c r="A8473" s="13">
        <f>IF(H8473="","",ROW()-4)</f>
        <v/>
      </c>
      <c r="B8473" s="13">
        <f>IF(H8473="","",ROW()-4)</f>
        <v/>
      </c>
    </row>
    <row r="8474">
      <c r="A8474" s="13">
        <f>IF(H8474="","",ROW()-4)</f>
        <v/>
      </c>
      <c r="B8474" s="13">
        <f>IF(H8474="","",ROW()-4)</f>
        <v/>
      </c>
    </row>
    <row r="8475">
      <c r="A8475" s="13">
        <f>IF(H8475="","",ROW()-4)</f>
        <v/>
      </c>
      <c r="B8475" s="13">
        <f>IF(H8475="","",ROW()-4)</f>
        <v/>
      </c>
    </row>
    <row r="8476">
      <c r="A8476" s="13">
        <f>IF(H8476="","",ROW()-4)</f>
        <v/>
      </c>
      <c r="B8476" s="13">
        <f>IF(H8476="","",ROW()-4)</f>
        <v/>
      </c>
    </row>
    <row r="8477">
      <c r="A8477" s="13">
        <f>IF(H8477="","",ROW()-4)</f>
        <v/>
      </c>
      <c r="B8477" s="13">
        <f>IF(H8477="","",ROW()-4)</f>
        <v/>
      </c>
    </row>
    <row r="8478">
      <c r="A8478" s="13">
        <f>IF(H8478="","",ROW()-4)</f>
        <v/>
      </c>
      <c r="B8478" s="13">
        <f>IF(H8478="","",ROW()-4)</f>
        <v/>
      </c>
    </row>
    <row r="8479">
      <c r="A8479" s="13">
        <f>IF(H8479="","",ROW()-4)</f>
        <v/>
      </c>
      <c r="B8479" s="13">
        <f>IF(H8479="","",ROW()-4)</f>
        <v/>
      </c>
    </row>
    <row r="8480">
      <c r="A8480" s="13">
        <f>IF(H8480="","",ROW()-4)</f>
        <v/>
      </c>
      <c r="B8480" s="13">
        <f>IF(H8480="","",ROW()-4)</f>
        <v/>
      </c>
    </row>
    <row r="8481">
      <c r="A8481" s="13">
        <f>IF(H8481="","",ROW()-4)</f>
        <v/>
      </c>
      <c r="B8481" s="13">
        <f>IF(H8481="","",ROW()-4)</f>
        <v/>
      </c>
    </row>
    <row r="8482">
      <c r="A8482" s="13">
        <f>IF(H8482="","",ROW()-4)</f>
        <v/>
      </c>
      <c r="B8482" s="13">
        <f>IF(H8482="","",ROW()-4)</f>
        <v/>
      </c>
    </row>
    <row r="8483">
      <c r="A8483" s="13">
        <f>IF(H8483="","",ROW()-4)</f>
        <v/>
      </c>
      <c r="B8483" s="13">
        <f>IF(H8483="","",ROW()-4)</f>
        <v/>
      </c>
    </row>
    <row r="8484">
      <c r="A8484" s="13">
        <f>IF(H8484="","",ROW()-4)</f>
        <v/>
      </c>
      <c r="B8484" s="13">
        <f>IF(H8484="","",ROW()-4)</f>
        <v/>
      </c>
    </row>
    <row r="8485">
      <c r="A8485" s="13">
        <f>IF(H8485="","",ROW()-4)</f>
        <v/>
      </c>
      <c r="B8485" s="13">
        <f>IF(H8485="","",ROW()-4)</f>
        <v/>
      </c>
    </row>
    <row r="8486">
      <c r="A8486" s="13">
        <f>IF(H8486="","",ROW()-4)</f>
        <v/>
      </c>
      <c r="B8486" s="13">
        <f>IF(H8486="","",ROW()-4)</f>
        <v/>
      </c>
    </row>
    <row r="8487">
      <c r="A8487" s="13">
        <f>IF(H8487="","",ROW()-4)</f>
        <v/>
      </c>
      <c r="B8487" s="13">
        <f>IF(H8487="","",ROW()-4)</f>
        <v/>
      </c>
    </row>
    <row r="8488">
      <c r="A8488" s="13">
        <f>IF(H8488="","",ROW()-4)</f>
        <v/>
      </c>
      <c r="B8488" s="13">
        <f>IF(H8488="","",ROW()-4)</f>
        <v/>
      </c>
    </row>
    <row r="8489">
      <c r="A8489" s="13">
        <f>IF(H8489="","",ROW()-4)</f>
        <v/>
      </c>
      <c r="B8489" s="13">
        <f>IF(H8489="","",ROW()-4)</f>
        <v/>
      </c>
    </row>
    <row r="8490">
      <c r="A8490" s="13">
        <f>IF(H8490="","",ROW()-4)</f>
        <v/>
      </c>
      <c r="B8490" s="13">
        <f>IF(H8490="","",ROW()-4)</f>
        <v/>
      </c>
    </row>
    <row r="8491">
      <c r="A8491" s="13">
        <f>IF(H8491="","",ROW()-4)</f>
        <v/>
      </c>
      <c r="B8491" s="13">
        <f>IF(H8491="","",ROW()-4)</f>
        <v/>
      </c>
    </row>
    <row r="8492">
      <c r="A8492" s="13">
        <f>IF(H8492="","",ROW()-4)</f>
        <v/>
      </c>
      <c r="B8492" s="13">
        <f>IF(H8492="","",ROW()-4)</f>
        <v/>
      </c>
    </row>
    <row r="8493">
      <c r="A8493" s="13">
        <f>IF(H8493="","",ROW()-4)</f>
        <v/>
      </c>
      <c r="B8493" s="13">
        <f>IF(H8493="","",ROW()-4)</f>
        <v/>
      </c>
    </row>
    <row r="8494">
      <c r="A8494" s="13">
        <f>IF(H8494="","",ROW()-4)</f>
        <v/>
      </c>
      <c r="B8494" s="13">
        <f>IF(H8494="","",ROW()-4)</f>
        <v/>
      </c>
    </row>
    <row r="8495">
      <c r="A8495" s="13">
        <f>IF(H8495="","",ROW()-4)</f>
        <v/>
      </c>
      <c r="B8495" s="13">
        <f>IF(H8495="","",ROW()-4)</f>
        <v/>
      </c>
    </row>
    <row r="8496">
      <c r="A8496" s="13">
        <f>IF(H8496="","",ROW()-4)</f>
        <v/>
      </c>
      <c r="B8496" s="13">
        <f>IF(H8496="","",ROW()-4)</f>
        <v/>
      </c>
    </row>
    <row r="8497">
      <c r="A8497" s="13">
        <f>IF(H8497="","",ROW()-4)</f>
        <v/>
      </c>
      <c r="B8497" s="13">
        <f>IF(H8497="","",ROW()-4)</f>
        <v/>
      </c>
    </row>
    <row r="8498">
      <c r="A8498" s="13">
        <f>IF(H8498="","",ROW()-4)</f>
        <v/>
      </c>
      <c r="B8498" s="13">
        <f>IF(H8498="","",ROW()-4)</f>
        <v/>
      </c>
    </row>
    <row r="8499">
      <c r="A8499" s="13">
        <f>IF(H8499="","",ROW()-4)</f>
        <v/>
      </c>
      <c r="B8499" s="13">
        <f>IF(H8499="","",ROW()-4)</f>
        <v/>
      </c>
    </row>
    <row r="8500">
      <c r="A8500" s="13">
        <f>IF(H8500="","",ROW()-4)</f>
        <v/>
      </c>
      <c r="B8500" s="13">
        <f>IF(H8500="","",ROW()-4)</f>
        <v/>
      </c>
    </row>
    <row r="8501">
      <c r="A8501" s="13">
        <f>IF(H8501="","",ROW()-4)</f>
        <v/>
      </c>
      <c r="B8501" s="13">
        <f>IF(H8501="","",ROW()-4)</f>
        <v/>
      </c>
    </row>
    <row r="8502">
      <c r="A8502" s="13">
        <f>IF(H8502="","",ROW()-4)</f>
        <v/>
      </c>
      <c r="B8502" s="13">
        <f>IF(H8502="","",ROW()-4)</f>
        <v/>
      </c>
    </row>
    <row r="8503">
      <c r="A8503" s="13">
        <f>IF(H8503="","",ROW()-4)</f>
        <v/>
      </c>
      <c r="B8503" s="13">
        <f>IF(H8503="","",ROW()-4)</f>
        <v/>
      </c>
    </row>
    <row r="8504">
      <c r="A8504" s="13">
        <f>IF(H8504="","",ROW()-4)</f>
        <v/>
      </c>
      <c r="B8504" s="13">
        <f>IF(H8504="","",ROW()-4)</f>
        <v/>
      </c>
    </row>
    <row r="8505">
      <c r="A8505" s="13">
        <f>IF(H8505="","",ROW()-4)</f>
        <v/>
      </c>
      <c r="B8505" s="13">
        <f>IF(H8505="","",ROW()-4)</f>
        <v/>
      </c>
    </row>
    <row r="8506">
      <c r="A8506" s="13">
        <f>IF(H8506="","",ROW()-4)</f>
        <v/>
      </c>
      <c r="B8506" s="13">
        <f>IF(H8506="","",ROW()-4)</f>
        <v/>
      </c>
    </row>
    <row r="8507">
      <c r="A8507" s="13">
        <f>IF(H8507="","",ROW()-4)</f>
        <v/>
      </c>
      <c r="B8507" s="13">
        <f>IF(H8507="","",ROW()-4)</f>
        <v/>
      </c>
    </row>
    <row r="8508">
      <c r="A8508" s="13">
        <f>IF(H8508="","",ROW()-4)</f>
        <v/>
      </c>
      <c r="B8508" s="13">
        <f>IF(H8508="","",ROW()-4)</f>
        <v/>
      </c>
    </row>
    <row r="8509">
      <c r="A8509" s="13">
        <f>IF(H8509="","",ROW()-4)</f>
        <v/>
      </c>
      <c r="B8509" s="13">
        <f>IF(H8509="","",ROW()-4)</f>
        <v/>
      </c>
    </row>
    <row r="8510">
      <c r="A8510" s="13">
        <f>IF(H8510="","",ROW()-4)</f>
        <v/>
      </c>
      <c r="B8510" s="13">
        <f>IF(H8510="","",ROW()-4)</f>
        <v/>
      </c>
    </row>
    <row r="8511">
      <c r="A8511" s="13">
        <f>IF(H8511="","",ROW()-4)</f>
        <v/>
      </c>
      <c r="B8511" s="13">
        <f>IF(H8511="","",ROW()-4)</f>
        <v/>
      </c>
    </row>
    <row r="8512">
      <c r="A8512" s="13">
        <f>IF(H8512="","",ROW()-4)</f>
        <v/>
      </c>
      <c r="B8512" s="13">
        <f>IF(H8512="","",ROW()-4)</f>
        <v/>
      </c>
    </row>
    <row r="8513">
      <c r="A8513" s="13">
        <f>IF(H8513="","",ROW()-4)</f>
        <v/>
      </c>
      <c r="B8513" s="13">
        <f>IF(H8513="","",ROW()-4)</f>
        <v/>
      </c>
    </row>
    <row r="8514">
      <c r="A8514" s="13">
        <f>IF(H8514="","",ROW()-4)</f>
        <v/>
      </c>
      <c r="B8514" s="13">
        <f>IF(H8514="","",ROW()-4)</f>
        <v/>
      </c>
    </row>
    <row r="8515">
      <c r="A8515" s="13">
        <f>IF(H8515="","",ROW()-4)</f>
        <v/>
      </c>
      <c r="B8515" s="13">
        <f>IF(H8515="","",ROW()-4)</f>
        <v/>
      </c>
    </row>
    <row r="8516">
      <c r="A8516" s="13">
        <f>IF(H8516="","",ROW()-4)</f>
        <v/>
      </c>
      <c r="B8516" s="13">
        <f>IF(H8516="","",ROW()-4)</f>
        <v/>
      </c>
    </row>
    <row r="8517">
      <c r="A8517" s="13">
        <f>IF(H8517="","",ROW()-4)</f>
        <v/>
      </c>
      <c r="B8517" s="13">
        <f>IF(H8517="","",ROW()-4)</f>
        <v/>
      </c>
    </row>
    <row r="8518">
      <c r="A8518" s="13">
        <f>IF(H8518="","",ROW()-4)</f>
        <v/>
      </c>
      <c r="B8518" s="13">
        <f>IF(H8518="","",ROW()-4)</f>
        <v/>
      </c>
    </row>
    <row r="8519">
      <c r="A8519" s="13">
        <f>IF(H8519="","",ROW()-4)</f>
        <v/>
      </c>
      <c r="B8519" s="13">
        <f>IF(H8519="","",ROW()-4)</f>
        <v/>
      </c>
    </row>
    <row r="8520">
      <c r="A8520" s="13">
        <f>IF(H8520="","",ROW()-4)</f>
        <v/>
      </c>
      <c r="B8520" s="13">
        <f>IF(H8520="","",ROW()-4)</f>
        <v/>
      </c>
    </row>
    <row r="8521">
      <c r="A8521" s="13">
        <f>IF(H8521="","",ROW()-4)</f>
        <v/>
      </c>
      <c r="B8521" s="13">
        <f>IF(H8521="","",ROW()-4)</f>
        <v/>
      </c>
    </row>
    <row r="8522">
      <c r="A8522" s="13">
        <f>IF(H8522="","",ROW()-4)</f>
        <v/>
      </c>
      <c r="B8522" s="13">
        <f>IF(H8522="","",ROW()-4)</f>
        <v/>
      </c>
    </row>
    <row r="8523">
      <c r="A8523" s="13">
        <f>IF(H8523="","",ROW()-4)</f>
        <v/>
      </c>
      <c r="B8523" s="13">
        <f>IF(H8523="","",ROW()-4)</f>
        <v/>
      </c>
    </row>
    <row r="8524">
      <c r="A8524" s="13">
        <f>IF(H8524="","",ROW()-4)</f>
        <v/>
      </c>
      <c r="B8524" s="13">
        <f>IF(H8524="","",ROW()-4)</f>
        <v/>
      </c>
    </row>
    <row r="8525">
      <c r="A8525" s="13">
        <f>IF(H8525="","",ROW()-4)</f>
        <v/>
      </c>
      <c r="B8525" s="13">
        <f>IF(H8525="","",ROW()-4)</f>
        <v/>
      </c>
    </row>
    <row r="8526">
      <c r="A8526" s="13">
        <f>IF(H8526="","",ROW()-4)</f>
        <v/>
      </c>
      <c r="B8526" s="13">
        <f>IF(H8526="","",ROW()-4)</f>
        <v/>
      </c>
    </row>
    <row r="8527">
      <c r="A8527" s="13">
        <f>IF(H8527="","",ROW()-4)</f>
        <v/>
      </c>
      <c r="B8527" s="13">
        <f>IF(H8527="","",ROW()-4)</f>
        <v/>
      </c>
    </row>
    <row r="8528">
      <c r="A8528" s="13">
        <f>IF(H8528="","",ROW()-4)</f>
        <v/>
      </c>
      <c r="B8528" s="13">
        <f>IF(H8528="","",ROW()-4)</f>
        <v/>
      </c>
    </row>
    <row r="8529">
      <c r="A8529" s="13">
        <f>IF(H8529="","",ROW()-4)</f>
        <v/>
      </c>
      <c r="B8529" s="13">
        <f>IF(H8529="","",ROW()-4)</f>
        <v/>
      </c>
    </row>
    <row r="8530">
      <c r="A8530" s="13">
        <f>IF(H8530="","",ROW()-4)</f>
        <v/>
      </c>
      <c r="B8530" s="13">
        <f>IF(H8530="","",ROW()-4)</f>
        <v/>
      </c>
    </row>
    <row r="8531">
      <c r="A8531" s="13">
        <f>IF(H8531="","",ROW()-4)</f>
        <v/>
      </c>
      <c r="B8531" s="13">
        <f>IF(H8531="","",ROW()-4)</f>
        <v/>
      </c>
    </row>
    <row r="8532">
      <c r="A8532" s="13">
        <f>IF(H8532="","",ROW()-4)</f>
        <v/>
      </c>
      <c r="B8532" s="13">
        <f>IF(H8532="","",ROW()-4)</f>
        <v/>
      </c>
    </row>
    <row r="8533">
      <c r="A8533" s="13">
        <f>IF(H8533="","",ROW()-4)</f>
        <v/>
      </c>
      <c r="B8533" s="13">
        <f>IF(H8533="","",ROW()-4)</f>
        <v/>
      </c>
    </row>
    <row r="8534">
      <c r="A8534" s="13">
        <f>IF(H8534="","",ROW()-4)</f>
        <v/>
      </c>
      <c r="B8534" s="13">
        <f>IF(H8534="","",ROW()-4)</f>
        <v/>
      </c>
    </row>
    <row r="8535">
      <c r="A8535" s="13">
        <f>IF(H8535="","",ROW()-4)</f>
        <v/>
      </c>
      <c r="B8535" s="13">
        <f>IF(H8535="","",ROW()-4)</f>
        <v/>
      </c>
    </row>
    <row r="8536">
      <c r="A8536" s="13">
        <f>IF(H8536="","",ROW()-4)</f>
        <v/>
      </c>
      <c r="B8536" s="13">
        <f>IF(H8536="","",ROW()-4)</f>
        <v/>
      </c>
    </row>
    <row r="8537">
      <c r="A8537" s="13">
        <f>IF(H8537="","",ROW()-4)</f>
        <v/>
      </c>
      <c r="B8537" s="13">
        <f>IF(H8537="","",ROW()-4)</f>
        <v/>
      </c>
    </row>
    <row r="8538">
      <c r="A8538" s="13">
        <f>IF(H8538="","",ROW()-4)</f>
        <v/>
      </c>
      <c r="B8538" s="13">
        <f>IF(H8538="","",ROW()-4)</f>
        <v/>
      </c>
    </row>
    <row r="8539">
      <c r="A8539" s="13">
        <f>IF(H8539="","",ROW()-4)</f>
        <v/>
      </c>
      <c r="B8539" s="13">
        <f>IF(H8539="","",ROW()-4)</f>
        <v/>
      </c>
    </row>
    <row r="8540">
      <c r="A8540" s="13">
        <f>IF(H8540="","",ROW()-4)</f>
        <v/>
      </c>
      <c r="B8540" s="13">
        <f>IF(H8540="","",ROW()-4)</f>
        <v/>
      </c>
    </row>
    <row r="8541">
      <c r="A8541" s="13">
        <f>IF(H8541="","",ROW()-4)</f>
        <v/>
      </c>
      <c r="B8541" s="13">
        <f>IF(H8541="","",ROW()-4)</f>
        <v/>
      </c>
    </row>
    <row r="8542">
      <c r="A8542" s="13">
        <f>IF(H8542="","",ROW()-4)</f>
        <v/>
      </c>
      <c r="B8542" s="13">
        <f>IF(H8542="","",ROW()-4)</f>
        <v/>
      </c>
    </row>
    <row r="8543">
      <c r="A8543" s="13">
        <f>IF(H8543="","",ROW()-4)</f>
        <v/>
      </c>
      <c r="B8543" s="13">
        <f>IF(H8543="","",ROW()-4)</f>
        <v/>
      </c>
    </row>
    <row r="8544">
      <c r="A8544" s="13">
        <f>IF(H8544="","",ROW()-4)</f>
        <v/>
      </c>
      <c r="B8544" s="13">
        <f>IF(H8544="","",ROW()-4)</f>
        <v/>
      </c>
    </row>
    <row r="8545">
      <c r="A8545" s="13">
        <f>IF(H8545="","",ROW()-4)</f>
        <v/>
      </c>
      <c r="B8545" s="13">
        <f>IF(H8545="","",ROW()-4)</f>
        <v/>
      </c>
    </row>
    <row r="8546">
      <c r="A8546" s="13">
        <f>IF(H8546="","",ROW()-4)</f>
        <v/>
      </c>
      <c r="B8546" s="13">
        <f>IF(H8546="","",ROW()-4)</f>
        <v/>
      </c>
    </row>
    <row r="8547">
      <c r="A8547" s="13">
        <f>IF(H8547="","",ROW()-4)</f>
        <v/>
      </c>
      <c r="B8547" s="13">
        <f>IF(H8547="","",ROW()-4)</f>
        <v/>
      </c>
    </row>
    <row r="8548">
      <c r="A8548" s="13">
        <f>IF(H8548="","",ROW()-4)</f>
        <v/>
      </c>
      <c r="B8548" s="13">
        <f>IF(H8548="","",ROW()-4)</f>
        <v/>
      </c>
    </row>
    <row r="8549">
      <c r="A8549" s="13">
        <f>IF(H8549="","",ROW()-4)</f>
        <v/>
      </c>
      <c r="B8549" s="13">
        <f>IF(H8549="","",ROW()-4)</f>
        <v/>
      </c>
    </row>
    <row r="8550">
      <c r="A8550" s="13">
        <f>IF(H8550="","",ROW()-4)</f>
        <v/>
      </c>
      <c r="B8550" s="13">
        <f>IF(H8550="","",ROW()-4)</f>
        <v/>
      </c>
    </row>
    <row r="8551">
      <c r="A8551" s="13">
        <f>IF(H8551="","",ROW()-4)</f>
        <v/>
      </c>
      <c r="B8551" s="13">
        <f>IF(H8551="","",ROW()-4)</f>
        <v/>
      </c>
    </row>
    <row r="8552">
      <c r="A8552" s="13">
        <f>IF(H8552="","",ROW()-4)</f>
        <v/>
      </c>
      <c r="B8552" s="13">
        <f>IF(H8552="","",ROW()-4)</f>
        <v/>
      </c>
    </row>
    <row r="8553">
      <c r="A8553" s="13">
        <f>IF(H8553="","",ROW()-4)</f>
        <v/>
      </c>
      <c r="B8553" s="13">
        <f>IF(H8553="","",ROW()-4)</f>
        <v/>
      </c>
    </row>
    <row r="8554">
      <c r="A8554" s="13">
        <f>IF(H8554="","",ROW()-4)</f>
        <v/>
      </c>
      <c r="B8554" s="13">
        <f>IF(H8554="","",ROW()-4)</f>
        <v/>
      </c>
    </row>
    <row r="8555">
      <c r="A8555" s="13">
        <f>IF(H8555="","",ROW()-4)</f>
        <v/>
      </c>
      <c r="B8555" s="13">
        <f>IF(H8555="","",ROW()-4)</f>
        <v/>
      </c>
    </row>
    <row r="8556">
      <c r="A8556" s="13">
        <f>IF(H8556="","",ROW()-4)</f>
        <v/>
      </c>
      <c r="B8556" s="13">
        <f>IF(H8556="","",ROW()-4)</f>
        <v/>
      </c>
    </row>
    <row r="8557">
      <c r="A8557" s="13">
        <f>IF(H8557="","",ROW()-4)</f>
        <v/>
      </c>
      <c r="B8557" s="13">
        <f>IF(H8557="","",ROW()-4)</f>
        <v/>
      </c>
    </row>
    <row r="8558">
      <c r="A8558" s="13">
        <f>IF(H8558="","",ROW()-4)</f>
        <v/>
      </c>
      <c r="B8558" s="13">
        <f>IF(H8558="","",ROW()-4)</f>
        <v/>
      </c>
    </row>
    <row r="8559">
      <c r="A8559" s="13">
        <f>IF(H8559="","",ROW()-4)</f>
        <v/>
      </c>
      <c r="B8559" s="13">
        <f>IF(H8559="","",ROW()-4)</f>
        <v/>
      </c>
    </row>
    <row r="8560">
      <c r="A8560" s="13">
        <f>IF(H8560="","",ROW()-4)</f>
        <v/>
      </c>
      <c r="B8560" s="13">
        <f>IF(H8560="","",ROW()-4)</f>
        <v/>
      </c>
    </row>
    <row r="8561">
      <c r="A8561" s="13">
        <f>IF(H8561="","",ROW()-4)</f>
        <v/>
      </c>
      <c r="B8561" s="13">
        <f>IF(H8561="","",ROW()-4)</f>
        <v/>
      </c>
    </row>
    <row r="8562">
      <c r="A8562" s="13">
        <f>IF(H8562="","",ROW()-4)</f>
        <v/>
      </c>
      <c r="B8562" s="13">
        <f>IF(H8562="","",ROW()-4)</f>
        <v/>
      </c>
    </row>
    <row r="8563">
      <c r="A8563" s="13">
        <f>IF(H8563="","",ROW()-4)</f>
        <v/>
      </c>
      <c r="B8563" s="13">
        <f>IF(H8563="","",ROW()-4)</f>
        <v/>
      </c>
    </row>
    <row r="8564">
      <c r="A8564" s="13">
        <f>IF(H8564="","",ROW()-4)</f>
        <v/>
      </c>
      <c r="B8564" s="13">
        <f>IF(H8564="","",ROW()-4)</f>
        <v/>
      </c>
    </row>
    <row r="8565">
      <c r="A8565" s="13">
        <f>IF(H8565="","",ROW()-4)</f>
        <v/>
      </c>
      <c r="B8565" s="13">
        <f>IF(H8565="","",ROW()-4)</f>
        <v/>
      </c>
    </row>
    <row r="8566">
      <c r="A8566" s="13">
        <f>IF(H8566="","",ROW()-4)</f>
        <v/>
      </c>
      <c r="B8566" s="13">
        <f>IF(H8566="","",ROW()-4)</f>
        <v/>
      </c>
    </row>
    <row r="8567">
      <c r="A8567" s="13">
        <f>IF(H8567="","",ROW()-4)</f>
        <v/>
      </c>
      <c r="B8567" s="13">
        <f>IF(H8567="","",ROW()-4)</f>
        <v/>
      </c>
    </row>
    <row r="8568">
      <c r="A8568" s="13">
        <f>IF(H8568="","",ROW()-4)</f>
        <v/>
      </c>
      <c r="B8568" s="13">
        <f>IF(H8568="","",ROW()-4)</f>
        <v/>
      </c>
    </row>
    <row r="8569">
      <c r="A8569" s="13">
        <f>IF(H8569="","",ROW()-4)</f>
        <v/>
      </c>
      <c r="B8569" s="13">
        <f>IF(H8569="","",ROW()-4)</f>
        <v/>
      </c>
    </row>
    <row r="8570">
      <c r="A8570" s="13">
        <f>IF(H8570="","",ROW()-4)</f>
        <v/>
      </c>
      <c r="B8570" s="13">
        <f>IF(H8570="","",ROW()-4)</f>
        <v/>
      </c>
    </row>
    <row r="8571">
      <c r="A8571" s="13">
        <f>IF(H8571="","",ROW()-4)</f>
        <v/>
      </c>
      <c r="B8571" s="13">
        <f>IF(H8571="","",ROW()-4)</f>
        <v/>
      </c>
    </row>
    <row r="8572">
      <c r="A8572" s="13">
        <f>IF(H8572="","",ROW()-4)</f>
        <v/>
      </c>
      <c r="B8572" s="13">
        <f>IF(H8572="","",ROW()-4)</f>
        <v/>
      </c>
    </row>
    <row r="8573">
      <c r="A8573" s="13">
        <f>IF(H8573="","",ROW()-4)</f>
        <v/>
      </c>
      <c r="B8573" s="13">
        <f>IF(H8573="","",ROW()-4)</f>
        <v/>
      </c>
    </row>
    <row r="8574">
      <c r="A8574" s="13">
        <f>IF(H8574="","",ROW()-4)</f>
        <v/>
      </c>
      <c r="B8574" s="13">
        <f>IF(H8574="","",ROW()-4)</f>
        <v/>
      </c>
    </row>
    <row r="8575">
      <c r="A8575" s="13">
        <f>IF(H8575="","",ROW()-4)</f>
        <v/>
      </c>
      <c r="B8575" s="13">
        <f>IF(H8575="","",ROW()-4)</f>
        <v/>
      </c>
    </row>
    <row r="8576">
      <c r="A8576" s="13">
        <f>IF(H8576="","",ROW()-4)</f>
        <v/>
      </c>
      <c r="B8576" s="13">
        <f>IF(H8576="","",ROW()-4)</f>
        <v/>
      </c>
    </row>
    <row r="8577">
      <c r="A8577" s="13">
        <f>IF(H8577="","",ROW()-4)</f>
        <v/>
      </c>
      <c r="B8577" s="13">
        <f>IF(H8577="","",ROW()-4)</f>
        <v/>
      </c>
    </row>
    <row r="8578">
      <c r="A8578" s="13">
        <f>IF(H8578="","",ROW()-4)</f>
        <v/>
      </c>
      <c r="B8578" s="13">
        <f>IF(H8578="","",ROW()-4)</f>
        <v/>
      </c>
    </row>
    <row r="8579">
      <c r="A8579" s="13">
        <f>IF(H8579="","",ROW()-4)</f>
        <v/>
      </c>
      <c r="B8579" s="13">
        <f>IF(H8579="","",ROW()-4)</f>
        <v/>
      </c>
    </row>
    <row r="8580">
      <c r="A8580" s="13">
        <f>IF(H8580="","",ROW()-4)</f>
        <v/>
      </c>
      <c r="B8580" s="13">
        <f>IF(H8580="","",ROW()-4)</f>
        <v/>
      </c>
    </row>
    <row r="8581">
      <c r="A8581" s="13">
        <f>IF(H8581="","",ROW()-4)</f>
        <v/>
      </c>
      <c r="B8581" s="13">
        <f>IF(H8581="","",ROW()-4)</f>
        <v/>
      </c>
    </row>
    <row r="8582">
      <c r="A8582" s="13">
        <f>IF(H8582="","",ROW()-4)</f>
        <v/>
      </c>
      <c r="B8582" s="13">
        <f>IF(H8582="","",ROW()-4)</f>
        <v/>
      </c>
    </row>
    <row r="8583">
      <c r="A8583" s="13">
        <f>IF(H8583="","",ROW()-4)</f>
        <v/>
      </c>
      <c r="B8583" s="13">
        <f>IF(H8583="","",ROW()-4)</f>
        <v/>
      </c>
    </row>
    <row r="8584">
      <c r="A8584" s="13">
        <f>IF(H8584="","",ROW()-4)</f>
        <v/>
      </c>
      <c r="B8584" s="13">
        <f>IF(H8584="","",ROW()-4)</f>
        <v/>
      </c>
    </row>
    <row r="8585">
      <c r="A8585" s="13">
        <f>IF(H8585="","",ROW()-4)</f>
        <v/>
      </c>
      <c r="B8585" s="13">
        <f>IF(H8585="","",ROW()-4)</f>
        <v/>
      </c>
    </row>
    <row r="8586">
      <c r="A8586" s="13">
        <f>IF(H8586="","",ROW()-4)</f>
        <v/>
      </c>
      <c r="B8586" s="13">
        <f>IF(H8586="","",ROW()-4)</f>
        <v/>
      </c>
    </row>
    <row r="8587">
      <c r="A8587" s="13">
        <f>IF(H8587="","",ROW()-4)</f>
        <v/>
      </c>
      <c r="B8587" s="13">
        <f>IF(H8587="","",ROW()-4)</f>
        <v/>
      </c>
    </row>
    <row r="8588">
      <c r="A8588" s="13">
        <f>IF(H8588="","",ROW()-4)</f>
        <v/>
      </c>
      <c r="B8588" s="13">
        <f>IF(H8588="","",ROW()-4)</f>
        <v/>
      </c>
    </row>
    <row r="8589">
      <c r="A8589" s="13">
        <f>IF(H8589="","",ROW()-4)</f>
        <v/>
      </c>
      <c r="B8589" s="13">
        <f>IF(H8589="","",ROW()-4)</f>
        <v/>
      </c>
    </row>
    <row r="8590">
      <c r="A8590" s="13">
        <f>IF(H8590="","",ROW()-4)</f>
        <v/>
      </c>
      <c r="B8590" s="13">
        <f>IF(H8590="","",ROW()-4)</f>
        <v/>
      </c>
    </row>
    <row r="8591">
      <c r="A8591" s="13">
        <f>IF(H8591="","",ROW()-4)</f>
        <v/>
      </c>
      <c r="B8591" s="13">
        <f>IF(H8591="","",ROW()-4)</f>
        <v/>
      </c>
    </row>
    <row r="8592">
      <c r="A8592" s="13">
        <f>IF(H8592="","",ROW()-4)</f>
        <v/>
      </c>
      <c r="B8592" s="13">
        <f>IF(H8592="","",ROW()-4)</f>
        <v/>
      </c>
    </row>
    <row r="8593">
      <c r="A8593" s="13">
        <f>IF(H8593="","",ROW()-4)</f>
        <v/>
      </c>
      <c r="B8593" s="13">
        <f>IF(H8593="","",ROW()-4)</f>
        <v/>
      </c>
    </row>
    <row r="8594">
      <c r="A8594" s="13">
        <f>IF(H8594="","",ROW()-4)</f>
        <v/>
      </c>
      <c r="B8594" s="13">
        <f>IF(H8594="","",ROW()-4)</f>
        <v/>
      </c>
    </row>
    <row r="8595">
      <c r="A8595" s="13">
        <f>IF(H8595="","",ROW()-4)</f>
        <v/>
      </c>
      <c r="B8595" s="13">
        <f>IF(H8595="","",ROW()-4)</f>
        <v/>
      </c>
    </row>
    <row r="8596">
      <c r="A8596" s="13">
        <f>IF(H8596="","",ROW()-4)</f>
        <v/>
      </c>
      <c r="B8596" s="13">
        <f>IF(H8596="","",ROW()-4)</f>
        <v/>
      </c>
    </row>
    <row r="8597">
      <c r="A8597" s="13">
        <f>IF(H8597="","",ROW()-4)</f>
        <v/>
      </c>
      <c r="B8597" s="13">
        <f>IF(H8597="","",ROW()-4)</f>
        <v/>
      </c>
    </row>
    <row r="8598">
      <c r="A8598" s="13">
        <f>IF(H8598="","",ROW()-4)</f>
        <v/>
      </c>
      <c r="B8598" s="13">
        <f>IF(H8598="","",ROW()-4)</f>
        <v/>
      </c>
    </row>
    <row r="8599">
      <c r="A8599" s="13">
        <f>IF(H8599="","",ROW()-4)</f>
        <v/>
      </c>
      <c r="B8599" s="13">
        <f>IF(H8599="","",ROW()-4)</f>
        <v/>
      </c>
    </row>
    <row r="8600">
      <c r="A8600" s="13">
        <f>IF(H8600="","",ROW()-4)</f>
        <v/>
      </c>
      <c r="B8600" s="13">
        <f>IF(H8600="","",ROW()-4)</f>
        <v/>
      </c>
    </row>
    <row r="8601">
      <c r="A8601" s="13">
        <f>IF(H8601="","",ROW()-4)</f>
        <v/>
      </c>
      <c r="B8601" s="13">
        <f>IF(H8601="","",ROW()-4)</f>
        <v/>
      </c>
    </row>
    <row r="8602">
      <c r="A8602" s="13">
        <f>IF(H8602="","",ROW()-4)</f>
        <v/>
      </c>
      <c r="B8602" s="13">
        <f>IF(H8602="","",ROW()-4)</f>
        <v/>
      </c>
    </row>
    <row r="8603">
      <c r="A8603" s="13">
        <f>IF(H8603="","",ROW()-4)</f>
        <v/>
      </c>
      <c r="B8603" s="13">
        <f>IF(H8603="","",ROW()-4)</f>
        <v/>
      </c>
    </row>
    <row r="8604">
      <c r="A8604" s="13">
        <f>IF(H8604="","",ROW()-4)</f>
        <v/>
      </c>
      <c r="B8604" s="13">
        <f>IF(H8604="","",ROW()-4)</f>
        <v/>
      </c>
    </row>
    <row r="8605">
      <c r="A8605" s="13">
        <f>IF(H8605="","",ROW()-4)</f>
        <v/>
      </c>
      <c r="B8605" s="13">
        <f>IF(H8605="","",ROW()-4)</f>
        <v/>
      </c>
    </row>
    <row r="8606">
      <c r="A8606" s="13">
        <f>IF(H8606="","",ROW()-4)</f>
        <v/>
      </c>
      <c r="B8606" s="13">
        <f>IF(H8606="","",ROW()-4)</f>
        <v/>
      </c>
    </row>
    <row r="8607">
      <c r="A8607" s="13">
        <f>IF(H8607="","",ROW()-4)</f>
        <v/>
      </c>
      <c r="B8607" s="13">
        <f>IF(H8607="","",ROW()-4)</f>
        <v/>
      </c>
    </row>
    <row r="8608">
      <c r="A8608" s="13">
        <f>IF(H8608="","",ROW()-4)</f>
        <v/>
      </c>
      <c r="B8608" s="13">
        <f>IF(H8608="","",ROW()-4)</f>
        <v/>
      </c>
    </row>
    <row r="8609">
      <c r="A8609" s="13">
        <f>IF(H8609="","",ROW()-4)</f>
        <v/>
      </c>
      <c r="B8609" s="13">
        <f>IF(H8609="","",ROW()-4)</f>
        <v/>
      </c>
    </row>
    <row r="8610">
      <c r="A8610" s="13">
        <f>IF(H8610="","",ROW()-4)</f>
        <v/>
      </c>
      <c r="B8610" s="13">
        <f>IF(H8610="","",ROW()-4)</f>
        <v/>
      </c>
    </row>
    <row r="8611">
      <c r="A8611" s="13">
        <f>IF(H8611="","",ROW()-4)</f>
        <v/>
      </c>
      <c r="B8611" s="13">
        <f>IF(H8611="","",ROW()-4)</f>
        <v/>
      </c>
    </row>
    <row r="8612">
      <c r="A8612" s="13">
        <f>IF(H8612="","",ROW()-4)</f>
        <v/>
      </c>
      <c r="B8612" s="13">
        <f>IF(H8612="","",ROW()-4)</f>
        <v/>
      </c>
    </row>
    <row r="8613">
      <c r="A8613" s="13">
        <f>IF(H8613="","",ROW()-4)</f>
        <v/>
      </c>
      <c r="B8613" s="13">
        <f>IF(H8613="","",ROW()-4)</f>
        <v/>
      </c>
    </row>
    <row r="8614">
      <c r="A8614" s="13">
        <f>IF(H8614="","",ROW()-4)</f>
        <v/>
      </c>
      <c r="B8614" s="13">
        <f>IF(H8614="","",ROW()-4)</f>
        <v/>
      </c>
    </row>
    <row r="8615">
      <c r="A8615" s="13">
        <f>IF(H8615="","",ROW()-4)</f>
        <v/>
      </c>
      <c r="B8615" s="13">
        <f>IF(H8615="","",ROW()-4)</f>
        <v/>
      </c>
    </row>
    <row r="8616">
      <c r="A8616" s="13">
        <f>IF(H8616="","",ROW()-4)</f>
        <v/>
      </c>
      <c r="B8616" s="13">
        <f>IF(H8616="","",ROW()-4)</f>
        <v/>
      </c>
    </row>
    <row r="8617">
      <c r="A8617" s="13">
        <f>IF(H8617="","",ROW()-4)</f>
        <v/>
      </c>
      <c r="B8617" s="13">
        <f>IF(H8617="","",ROW()-4)</f>
        <v/>
      </c>
    </row>
    <row r="8618">
      <c r="A8618" s="13">
        <f>IF(H8618="","",ROW()-4)</f>
        <v/>
      </c>
      <c r="B8618" s="13">
        <f>IF(H8618="","",ROW()-4)</f>
        <v/>
      </c>
    </row>
    <row r="8619">
      <c r="A8619" s="13">
        <f>IF(H8619="","",ROW()-4)</f>
        <v/>
      </c>
      <c r="B8619" s="13">
        <f>IF(H8619="","",ROW()-4)</f>
        <v/>
      </c>
    </row>
    <row r="8620">
      <c r="A8620" s="13">
        <f>IF(H8620="","",ROW()-4)</f>
        <v/>
      </c>
      <c r="B8620" s="13">
        <f>IF(H8620="","",ROW()-4)</f>
        <v/>
      </c>
    </row>
    <row r="8621">
      <c r="A8621" s="13">
        <f>IF(H8621="","",ROW()-4)</f>
        <v/>
      </c>
      <c r="B8621" s="13">
        <f>IF(H8621="","",ROW()-4)</f>
        <v/>
      </c>
    </row>
    <row r="8622">
      <c r="A8622" s="13">
        <f>IF(H8622="","",ROW()-4)</f>
        <v/>
      </c>
      <c r="B8622" s="13">
        <f>IF(H8622="","",ROW()-4)</f>
        <v/>
      </c>
    </row>
    <row r="8623">
      <c r="A8623" s="13">
        <f>IF(H8623="","",ROW()-4)</f>
        <v/>
      </c>
      <c r="B8623" s="13">
        <f>IF(H8623="","",ROW()-4)</f>
        <v/>
      </c>
    </row>
    <row r="8624">
      <c r="A8624" s="13">
        <f>IF(H8624="","",ROW()-4)</f>
        <v/>
      </c>
      <c r="B8624" s="13">
        <f>IF(H8624="","",ROW()-4)</f>
        <v/>
      </c>
    </row>
    <row r="8625">
      <c r="A8625" s="13">
        <f>IF(H8625="","",ROW()-4)</f>
        <v/>
      </c>
      <c r="B8625" s="13">
        <f>IF(H8625="","",ROW()-4)</f>
        <v/>
      </c>
    </row>
    <row r="8626">
      <c r="A8626" s="13">
        <f>IF(H8626="","",ROW()-4)</f>
        <v/>
      </c>
      <c r="B8626" s="13">
        <f>IF(H8626="","",ROW()-4)</f>
        <v/>
      </c>
    </row>
    <row r="8627">
      <c r="A8627" s="13">
        <f>IF(H8627="","",ROW()-4)</f>
        <v/>
      </c>
      <c r="B8627" s="13">
        <f>IF(H8627="","",ROW()-4)</f>
        <v/>
      </c>
    </row>
    <row r="8628">
      <c r="A8628" s="13">
        <f>IF(H8628="","",ROW()-4)</f>
        <v/>
      </c>
      <c r="B8628" s="13">
        <f>IF(H8628="","",ROW()-4)</f>
        <v/>
      </c>
    </row>
    <row r="8629">
      <c r="A8629" s="13">
        <f>IF(H8629="","",ROW()-4)</f>
        <v/>
      </c>
      <c r="B8629" s="13">
        <f>IF(H8629="","",ROW()-4)</f>
        <v/>
      </c>
    </row>
    <row r="8630">
      <c r="A8630" s="13">
        <f>IF(H8630="","",ROW()-4)</f>
        <v/>
      </c>
      <c r="B8630" s="13">
        <f>IF(H8630="","",ROW()-4)</f>
        <v/>
      </c>
    </row>
    <row r="8631">
      <c r="A8631" s="13">
        <f>IF(H8631="","",ROW()-4)</f>
        <v/>
      </c>
      <c r="B8631" s="13">
        <f>IF(H8631="","",ROW()-4)</f>
        <v/>
      </c>
    </row>
    <row r="8632">
      <c r="A8632" s="13">
        <f>IF(H8632="","",ROW()-4)</f>
        <v/>
      </c>
      <c r="B8632" s="13">
        <f>IF(H8632="","",ROW()-4)</f>
        <v/>
      </c>
    </row>
    <row r="8633">
      <c r="A8633" s="13">
        <f>IF(H8633="","",ROW()-4)</f>
        <v/>
      </c>
      <c r="B8633" s="13">
        <f>IF(H8633="","",ROW()-4)</f>
        <v/>
      </c>
    </row>
    <row r="8634">
      <c r="A8634" s="13">
        <f>IF(H8634="","",ROW()-4)</f>
        <v/>
      </c>
      <c r="B8634" s="13">
        <f>IF(H8634="","",ROW()-4)</f>
        <v/>
      </c>
    </row>
    <row r="8635">
      <c r="A8635" s="13">
        <f>IF(H8635="","",ROW()-4)</f>
        <v/>
      </c>
      <c r="B8635" s="13">
        <f>IF(H8635="","",ROW()-4)</f>
        <v/>
      </c>
    </row>
    <row r="8636">
      <c r="A8636" s="13">
        <f>IF(H8636="","",ROW()-4)</f>
        <v/>
      </c>
      <c r="B8636" s="13">
        <f>IF(H8636="","",ROW()-4)</f>
        <v/>
      </c>
    </row>
    <row r="8637">
      <c r="A8637" s="13">
        <f>IF(H8637="","",ROW()-4)</f>
        <v/>
      </c>
      <c r="B8637" s="13">
        <f>IF(H8637="","",ROW()-4)</f>
        <v/>
      </c>
    </row>
    <row r="8638">
      <c r="A8638" s="13">
        <f>IF(H8638="","",ROW()-4)</f>
        <v/>
      </c>
      <c r="B8638" s="13">
        <f>IF(H8638="","",ROW()-4)</f>
        <v/>
      </c>
    </row>
    <row r="8639">
      <c r="A8639" s="13">
        <f>IF(H8639="","",ROW()-4)</f>
        <v/>
      </c>
      <c r="B8639" s="13">
        <f>IF(H8639="","",ROW()-4)</f>
        <v/>
      </c>
    </row>
    <row r="8640">
      <c r="A8640" s="13">
        <f>IF(H8640="","",ROW()-4)</f>
        <v/>
      </c>
      <c r="B8640" s="13">
        <f>IF(H8640="","",ROW()-4)</f>
        <v/>
      </c>
    </row>
    <row r="8641">
      <c r="A8641" s="13">
        <f>IF(H8641="","",ROW()-4)</f>
        <v/>
      </c>
      <c r="B8641" s="13">
        <f>IF(H8641="","",ROW()-4)</f>
        <v/>
      </c>
    </row>
    <row r="8642">
      <c r="A8642" s="13">
        <f>IF(H8642="","",ROW()-4)</f>
        <v/>
      </c>
      <c r="B8642" s="13">
        <f>IF(H8642="","",ROW()-4)</f>
        <v/>
      </c>
    </row>
    <row r="8643">
      <c r="A8643" s="13">
        <f>IF(H8643="","",ROW()-4)</f>
        <v/>
      </c>
      <c r="B8643" s="13">
        <f>IF(H8643="","",ROW()-4)</f>
        <v/>
      </c>
    </row>
    <row r="8644">
      <c r="A8644" s="13">
        <f>IF(H8644="","",ROW()-4)</f>
        <v/>
      </c>
      <c r="B8644" s="13">
        <f>IF(H8644="","",ROW()-4)</f>
        <v/>
      </c>
    </row>
    <row r="8645">
      <c r="A8645" s="13">
        <f>IF(H8645="","",ROW()-4)</f>
        <v/>
      </c>
      <c r="B8645" s="13">
        <f>IF(H8645="","",ROW()-4)</f>
        <v/>
      </c>
    </row>
    <row r="8646">
      <c r="A8646" s="13">
        <f>IF(H8646="","",ROW()-4)</f>
        <v/>
      </c>
      <c r="B8646" s="13">
        <f>IF(H8646="","",ROW()-4)</f>
        <v/>
      </c>
    </row>
    <row r="8647">
      <c r="A8647" s="13">
        <f>IF(H8647="","",ROW()-4)</f>
        <v/>
      </c>
      <c r="B8647" s="13">
        <f>IF(H8647="","",ROW()-4)</f>
        <v/>
      </c>
    </row>
    <row r="8648">
      <c r="A8648" s="13">
        <f>IF(H8648="","",ROW()-4)</f>
        <v/>
      </c>
      <c r="B8648" s="13">
        <f>IF(H8648="","",ROW()-4)</f>
        <v/>
      </c>
    </row>
    <row r="8649">
      <c r="A8649" s="13">
        <f>IF(H8649="","",ROW()-4)</f>
        <v/>
      </c>
      <c r="B8649" s="13">
        <f>IF(H8649="","",ROW()-4)</f>
        <v/>
      </c>
    </row>
    <row r="8650">
      <c r="A8650" s="13">
        <f>IF(H8650="","",ROW()-4)</f>
        <v/>
      </c>
      <c r="B8650" s="13">
        <f>IF(H8650="","",ROW()-4)</f>
        <v/>
      </c>
    </row>
    <row r="8651">
      <c r="A8651" s="13">
        <f>IF(H8651="","",ROW()-4)</f>
        <v/>
      </c>
      <c r="B8651" s="13">
        <f>IF(H8651="","",ROW()-4)</f>
        <v/>
      </c>
    </row>
    <row r="8652">
      <c r="A8652" s="13">
        <f>IF(H8652="","",ROW()-4)</f>
        <v/>
      </c>
      <c r="B8652" s="13">
        <f>IF(H8652="","",ROW()-4)</f>
        <v/>
      </c>
    </row>
    <row r="8653">
      <c r="A8653" s="13">
        <f>IF(H8653="","",ROW()-4)</f>
        <v/>
      </c>
      <c r="B8653" s="13">
        <f>IF(H8653="","",ROW()-4)</f>
        <v/>
      </c>
    </row>
    <row r="8654">
      <c r="A8654" s="13">
        <f>IF(H8654="","",ROW()-4)</f>
        <v/>
      </c>
      <c r="B8654" s="13">
        <f>IF(H8654="","",ROW()-4)</f>
        <v/>
      </c>
    </row>
    <row r="8655">
      <c r="A8655" s="13">
        <f>IF(H8655="","",ROW()-4)</f>
        <v/>
      </c>
      <c r="B8655" s="13">
        <f>IF(H8655="","",ROW()-4)</f>
        <v/>
      </c>
    </row>
    <row r="8656">
      <c r="A8656" s="13">
        <f>IF(H8656="","",ROW()-4)</f>
        <v/>
      </c>
      <c r="B8656" s="13">
        <f>IF(H8656="","",ROW()-4)</f>
        <v/>
      </c>
    </row>
    <row r="8657">
      <c r="A8657" s="13">
        <f>IF(H8657="","",ROW()-4)</f>
        <v/>
      </c>
      <c r="B8657" s="13">
        <f>IF(H8657="","",ROW()-4)</f>
        <v/>
      </c>
    </row>
    <row r="8658">
      <c r="A8658" s="13">
        <f>IF(H8658="","",ROW()-4)</f>
        <v/>
      </c>
      <c r="B8658" s="13">
        <f>IF(H8658="","",ROW()-4)</f>
        <v/>
      </c>
    </row>
    <row r="8659">
      <c r="A8659" s="13">
        <f>IF(H8659="","",ROW()-4)</f>
        <v/>
      </c>
      <c r="B8659" s="13">
        <f>IF(H8659="","",ROW()-4)</f>
        <v/>
      </c>
    </row>
    <row r="8660">
      <c r="A8660" s="13">
        <f>IF(H8660="","",ROW()-4)</f>
        <v/>
      </c>
      <c r="B8660" s="13">
        <f>IF(H8660="","",ROW()-4)</f>
        <v/>
      </c>
    </row>
    <row r="8661">
      <c r="A8661" s="13">
        <f>IF(H8661="","",ROW()-4)</f>
        <v/>
      </c>
      <c r="B8661" s="13">
        <f>IF(H8661="","",ROW()-4)</f>
        <v/>
      </c>
    </row>
    <row r="8662">
      <c r="A8662" s="13">
        <f>IF(H8662="","",ROW()-4)</f>
        <v/>
      </c>
      <c r="B8662" s="13">
        <f>IF(H8662="","",ROW()-4)</f>
        <v/>
      </c>
    </row>
    <row r="8663">
      <c r="A8663" s="13">
        <f>IF(H8663="","",ROW()-4)</f>
        <v/>
      </c>
      <c r="B8663" s="13">
        <f>IF(H8663="","",ROW()-4)</f>
        <v/>
      </c>
    </row>
    <row r="8664">
      <c r="A8664" s="13">
        <f>IF(H8664="","",ROW()-4)</f>
        <v/>
      </c>
      <c r="B8664" s="13">
        <f>IF(H8664="","",ROW()-4)</f>
        <v/>
      </c>
    </row>
    <row r="8665">
      <c r="A8665" s="13">
        <f>IF(H8665="","",ROW()-4)</f>
        <v/>
      </c>
      <c r="B8665" s="13">
        <f>IF(H8665="","",ROW()-4)</f>
        <v/>
      </c>
    </row>
    <row r="8666">
      <c r="A8666" s="13">
        <f>IF(H8666="","",ROW()-4)</f>
        <v/>
      </c>
      <c r="B8666" s="13">
        <f>IF(H8666="","",ROW()-4)</f>
        <v/>
      </c>
    </row>
    <row r="8667">
      <c r="A8667" s="13">
        <f>IF(H8667="","",ROW()-4)</f>
        <v/>
      </c>
      <c r="B8667" s="13">
        <f>IF(H8667="","",ROW()-4)</f>
        <v/>
      </c>
    </row>
    <row r="8668">
      <c r="A8668" s="13">
        <f>IF(H8668="","",ROW()-4)</f>
        <v/>
      </c>
      <c r="B8668" s="13">
        <f>IF(H8668="","",ROW()-4)</f>
        <v/>
      </c>
    </row>
    <row r="8669">
      <c r="A8669" s="13">
        <f>IF(H8669="","",ROW()-4)</f>
        <v/>
      </c>
      <c r="B8669" s="13">
        <f>IF(H8669="","",ROW()-4)</f>
        <v/>
      </c>
    </row>
    <row r="8670">
      <c r="A8670" s="13">
        <f>IF(H8670="","",ROW()-4)</f>
        <v/>
      </c>
      <c r="B8670" s="13">
        <f>IF(H8670="","",ROW()-4)</f>
        <v/>
      </c>
    </row>
    <row r="8671">
      <c r="A8671" s="13">
        <f>IF(H8671="","",ROW()-4)</f>
        <v/>
      </c>
      <c r="B8671" s="13">
        <f>IF(H8671="","",ROW()-4)</f>
        <v/>
      </c>
    </row>
    <row r="8672">
      <c r="A8672" s="13">
        <f>IF(H8672="","",ROW()-4)</f>
        <v/>
      </c>
      <c r="B8672" s="13">
        <f>IF(H8672="","",ROW()-4)</f>
        <v/>
      </c>
    </row>
    <row r="8673">
      <c r="A8673" s="13">
        <f>IF(H8673="","",ROW()-4)</f>
        <v/>
      </c>
      <c r="B8673" s="13">
        <f>IF(H8673="","",ROW()-4)</f>
        <v/>
      </c>
    </row>
    <row r="8674">
      <c r="A8674" s="13">
        <f>IF(H8674="","",ROW()-4)</f>
        <v/>
      </c>
      <c r="B8674" s="13">
        <f>IF(H8674="","",ROW()-4)</f>
        <v/>
      </c>
    </row>
    <row r="8675">
      <c r="A8675" s="13">
        <f>IF(H8675="","",ROW()-4)</f>
        <v/>
      </c>
      <c r="B8675" s="13">
        <f>IF(H8675="","",ROW()-4)</f>
        <v/>
      </c>
    </row>
    <row r="8676">
      <c r="A8676" s="13">
        <f>IF(H8676="","",ROW()-4)</f>
        <v/>
      </c>
      <c r="B8676" s="13">
        <f>IF(H8676="","",ROW()-4)</f>
        <v/>
      </c>
    </row>
    <row r="8677">
      <c r="A8677" s="13">
        <f>IF(H8677="","",ROW()-4)</f>
        <v/>
      </c>
      <c r="B8677" s="13">
        <f>IF(H8677="","",ROW()-4)</f>
        <v/>
      </c>
    </row>
    <row r="8678">
      <c r="A8678" s="13">
        <f>IF(H8678="","",ROW()-4)</f>
        <v/>
      </c>
      <c r="B8678" s="13">
        <f>IF(H8678="","",ROW()-4)</f>
        <v/>
      </c>
    </row>
    <row r="8679">
      <c r="A8679" s="13">
        <f>IF(H8679="","",ROW()-4)</f>
        <v/>
      </c>
      <c r="B8679" s="13">
        <f>IF(H8679="","",ROW()-4)</f>
        <v/>
      </c>
    </row>
    <row r="8680">
      <c r="A8680" s="13">
        <f>IF(H8680="","",ROW()-4)</f>
        <v/>
      </c>
      <c r="B8680" s="13">
        <f>IF(H8680="","",ROW()-4)</f>
        <v/>
      </c>
    </row>
    <row r="8681">
      <c r="A8681" s="13">
        <f>IF(H8681="","",ROW()-4)</f>
        <v/>
      </c>
      <c r="B8681" s="13">
        <f>IF(H8681="","",ROW()-4)</f>
        <v/>
      </c>
    </row>
    <row r="8682">
      <c r="A8682" s="13">
        <f>IF(H8682="","",ROW()-4)</f>
        <v/>
      </c>
      <c r="B8682" s="13">
        <f>IF(H8682="","",ROW()-4)</f>
        <v/>
      </c>
    </row>
    <row r="8683">
      <c r="A8683" s="13">
        <f>IF(H8683="","",ROW()-4)</f>
        <v/>
      </c>
      <c r="B8683" s="13">
        <f>IF(H8683="","",ROW()-4)</f>
        <v/>
      </c>
    </row>
    <row r="8684">
      <c r="A8684" s="13">
        <f>IF(H8684="","",ROW()-4)</f>
        <v/>
      </c>
      <c r="B8684" s="13">
        <f>IF(H8684="","",ROW()-4)</f>
        <v/>
      </c>
    </row>
    <row r="8685">
      <c r="A8685" s="13">
        <f>IF(H8685="","",ROW()-4)</f>
        <v/>
      </c>
      <c r="B8685" s="13">
        <f>IF(H8685="","",ROW()-4)</f>
        <v/>
      </c>
    </row>
    <row r="8686">
      <c r="A8686" s="13">
        <f>IF(H8686="","",ROW()-4)</f>
        <v/>
      </c>
      <c r="B8686" s="13">
        <f>IF(H8686="","",ROW()-4)</f>
        <v/>
      </c>
    </row>
    <row r="8687">
      <c r="A8687" s="13">
        <f>IF(H8687="","",ROW()-4)</f>
        <v/>
      </c>
      <c r="B8687" s="13">
        <f>IF(H8687="","",ROW()-4)</f>
        <v/>
      </c>
    </row>
    <row r="8688">
      <c r="A8688" s="13">
        <f>IF(H8688="","",ROW()-4)</f>
        <v/>
      </c>
      <c r="B8688" s="13">
        <f>IF(H8688="","",ROW()-4)</f>
        <v/>
      </c>
    </row>
    <row r="8689">
      <c r="A8689" s="13">
        <f>IF(H8689="","",ROW()-4)</f>
        <v/>
      </c>
      <c r="B8689" s="13">
        <f>IF(H8689="","",ROW()-4)</f>
        <v/>
      </c>
    </row>
    <row r="8690">
      <c r="A8690" s="13">
        <f>IF(H8690="","",ROW()-4)</f>
        <v/>
      </c>
      <c r="B8690" s="13">
        <f>IF(H8690="","",ROW()-4)</f>
        <v/>
      </c>
    </row>
    <row r="8691">
      <c r="A8691" s="13">
        <f>IF(H8691="","",ROW()-4)</f>
        <v/>
      </c>
      <c r="B8691" s="13">
        <f>IF(H8691="","",ROW()-4)</f>
        <v/>
      </c>
    </row>
    <row r="8692">
      <c r="A8692" s="13">
        <f>IF(H8692="","",ROW()-4)</f>
        <v/>
      </c>
      <c r="B8692" s="13">
        <f>IF(H8692="","",ROW()-4)</f>
        <v/>
      </c>
    </row>
    <row r="8693">
      <c r="A8693" s="13">
        <f>IF(H8693="","",ROW()-4)</f>
        <v/>
      </c>
      <c r="B8693" s="13">
        <f>IF(H8693="","",ROW()-4)</f>
        <v/>
      </c>
    </row>
    <row r="8694">
      <c r="A8694" s="13">
        <f>IF(H8694="","",ROW()-4)</f>
        <v/>
      </c>
      <c r="B8694" s="13">
        <f>IF(H8694="","",ROW()-4)</f>
        <v/>
      </c>
    </row>
    <row r="8695">
      <c r="A8695" s="13">
        <f>IF(H8695="","",ROW()-4)</f>
        <v/>
      </c>
      <c r="B8695" s="13">
        <f>IF(H8695="","",ROW()-4)</f>
        <v/>
      </c>
    </row>
    <row r="8696">
      <c r="A8696" s="13">
        <f>IF(H8696="","",ROW()-4)</f>
        <v/>
      </c>
      <c r="B8696" s="13">
        <f>IF(H8696="","",ROW()-4)</f>
        <v/>
      </c>
    </row>
    <row r="8697">
      <c r="A8697" s="13">
        <f>IF(H8697="","",ROW()-4)</f>
        <v/>
      </c>
      <c r="B8697" s="13">
        <f>IF(H8697="","",ROW()-4)</f>
        <v/>
      </c>
    </row>
    <row r="8698">
      <c r="A8698" s="13">
        <f>IF(H8698="","",ROW()-4)</f>
        <v/>
      </c>
      <c r="B8698" s="13">
        <f>IF(H8698="","",ROW()-4)</f>
        <v/>
      </c>
    </row>
    <row r="8699">
      <c r="A8699" s="13">
        <f>IF(H8699="","",ROW()-4)</f>
        <v/>
      </c>
      <c r="B8699" s="13">
        <f>IF(H8699="","",ROW()-4)</f>
        <v/>
      </c>
    </row>
    <row r="8700">
      <c r="A8700" s="13">
        <f>IF(H8700="","",ROW()-4)</f>
        <v/>
      </c>
      <c r="B8700" s="13">
        <f>IF(H8700="","",ROW()-4)</f>
        <v/>
      </c>
    </row>
    <row r="8701">
      <c r="A8701" s="13">
        <f>IF(H8701="","",ROW()-4)</f>
        <v/>
      </c>
      <c r="B8701" s="13">
        <f>IF(H8701="","",ROW()-4)</f>
        <v/>
      </c>
    </row>
    <row r="8702">
      <c r="A8702" s="13">
        <f>IF(H8702="","",ROW()-4)</f>
        <v/>
      </c>
      <c r="B8702" s="13">
        <f>IF(H8702="","",ROW()-4)</f>
        <v/>
      </c>
    </row>
    <row r="8703">
      <c r="A8703" s="13">
        <f>IF(H8703="","",ROW()-4)</f>
        <v/>
      </c>
      <c r="B8703" s="13">
        <f>IF(H8703="","",ROW()-4)</f>
        <v/>
      </c>
    </row>
    <row r="8704">
      <c r="A8704" s="13">
        <f>IF(H8704="","",ROW()-4)</f>
        <v/>
      </c>
      <c r="B8704" s="13">
        <f>IF(H8704="","",ROW()-4)</f>
        <v/>
      </c>
    </row>
    <row r="8705">
      <c r="A8705" s="13">
        <f>IF(H8705="","",ROW()-4)</f>
        <v/>
      </c>
      <c r="B8705" s="13">
        <f>IF(H8705="","",ROW()-4)</f>
        <v/>
      </c>
    </row>
    <row r="8706">
      <c r="A8706" s="13">
        <f>IF(H8706="","",ROW()-4)</f>
        <v/>
      </c>
      <c r="B8706" s="13">
        <f>IF(H8706="","",ROW()-4)</f>
        <v/>
      </c>
    </row>
    <row r="8707">
      <c r="A8707" s="13">
        <f>IF(H8707="","",ROW()-4)</f>
        <v/>
      </c>
      <c r="B8707" s="13">
        <f>IF(H8707="","",ROW()-4)</f>
        <v/>
      </c>
    </row>
    <row r="8708">
      <c r="A8708" s="13">
        <f>IF(H8708="","",ROW()-4)</f>
        <v/>
      </c>
      <c r="B8708" s="13">
        <f>IF(H8708="","",ROW()-4)</f>
        <v/>
      </c>
    </row>
    <row r="8709">
      <c r="A8709" s="13">
        <f>IF(H8709="","",ROW()-4)</f>
        <v/>
      </c>
      <c r="B8709" s="13">
        <f>IF(H8709="","",ROW()-4)</f>
        <v/>
      </c>
    </row>
    <row r="8710">
      <c r="A8710" s="13">
        <f>IF(H8710="","",ROW()-4)</f>
        <v/>
      </c>
      <c r="B8710" s="13">
        <f>IF(H8710="","",ROW()-4)</f>
        <v/>
      </c>
    </row>
    <row r="8711">
      <c r="A8711" s="13">
        <f>IF(H8711="","",ROW()-4)</f>
        <v/>
      </c>
      <c r="B8711" s="13">
        <f>IF(H8711="","",ROW()-4)</f>
        <v/>
      </c>
    </row>
    <row r="8712">
      <c r="A8712" s="13">
        <f>IF(H8712="","",ROW()-4)</f>
        <v/>
      </c>
      <c r="B8712" s="13">
        <f>IF(H8712="","",ROW()-4)</f>
        <v/>
      </c>
    </row>
    <row r="8713">
      <c r="A8713" s="13">
        <f>IF(H8713="","",ROW()-4)</f>
        <v/>
      </c>
      <c r="B8713" s="13">
        <f>IF(H8713="","",ROW()-4)</f>
        <v/>
      </c>
    </row>
    <row r="8714">
      <c r="A8714" s="13">
        <f>IF(H8714="","",ROW()-4)</f>
        <v/>
      </c>
      <c r="B8714" s="13">
        <f>IF(H8714="","",ROW()-4)</f>
        <v/>
      </c>
    </row>
    <row r="8715">
      <c r="A8715" s="13">
        <f>IF(H8715="","",ROW()-4)</f>
        <v/>
      </c>
      <c r="B8715" s="13">
        <f>IF(H8715="","",ROW()-4)</f>
        <v/>
      </c>
    </row>
    <row r="8716">
      <c r="A8716" s="13">
        <f>IF(H8716="","",ROW()-4)</f>
        <v/>
      </c>
      <c r="B8716" s="13">
        <f>IF(H8716="","",ROW()-4)</f>
        <v/>
      </c>
    </row>
    <row r="8717">
      <c r="A8717" s="13">
        <f>IF(H8717="","",ROW()-4)</f>
        <v/>
      </c>
      <c r="B8717" s="13">
        <f>IF(H8717="","",ROW()-4)</f>
        <v/>
      </c>
    </row>
    <row r="8718">
      <c r="A8718" s="13">
        <f>IF(H8718="","",ROW()-4)</f>
        <v/>
      </c>
      <c r="B8718" s="13">
        <f>IF(H8718="","",ROW()-4)</f>
        <v/>
      </c>
    </row>
    <row r="8719">
      <c r="A8719" s="13">
        <f>IF(H8719="","",ROW()-4)</f>
        <v/>
      </c>
      <c r="B8719" s="13">
        <f>IF(H8719="","",ROW()-4)</f>
        <v/>
      </c>
    </row>
    <row r="8720">
      <c r="A8720" s="13">
        <f>IF(H8720="","",ROW()-4)</f>
        <v/>
      </c>
      <c r="B8720" s="13">
        <f>IF(H8720="","",ROW()-4)</f>
        <v/>
      </c>
    </row>
    <row r="8721">
      <c r="A8721" s="13">
        <f>IF(H8721="","",ROW()-4)</f>
        <v/>
      </c>
      <c r="B8721" s="13">
        <f>IF(H8721="","",ROW()-4)</f>
        <v/>
      </c>
    </row>
    <row r="8722">
      <c r="A8722" s="13">
        <f>IF(H8722="","",ROW()-4)</f>
        <v/>
      </c>
      <c r="B8722" s="13">
        <f>IF(H8722="","",ROW()-4)</f>
        <v/>
      </c>
    </row>
    <row r="8723">
      <c r="A8723" s="13">
        <f>IF(H8723="","",ROW()-4)</f>
        <v/>
      </c>
      <c r="B8723" s="13">
        <f>IF(H8723="","",ROW()-4)</f>
        <v/>
      </c>
    </row>
    <row r="8724">
      <c r="A8724" s="13">
        <f>IF(H8724="","",ROW()-4)</f>
        <v/>
      </c>
      <c r="B8724" s="13">
        <f>IF(H8724="","",ROW()-4)</f>
        <v/>
      </c>
    </row>
    <row r="8725">
      <c r="A8725" s="13">
        <f>IF(H8725="","",ROW()-4)</f>
        <v/>
      </c>
      <c r="B8725" s="13">
        <f>IF(H8725="","",ROW()-4)</f>
        <v/>
      </c>
    </row>
    <row r="8726">
      <c r="A8726" s="13">
        <f>IF(H8726="","",ROW()-4)</f>
        <v/>
      </c>
      <c r="B8726" s="13">
        <f>IF(H8726="","",ROW()-4)</f>
        <v/>
      </c>
    </row>
    <row r="8727">
      <c r="A8727" s="13">
        <f>IF(H8727="","",ROW()-4)</f>
        <v/>
      </c>
      <c r="B8727" s="13">
        <f>IF(H8727="","",ROW()-4)</f>
        <v/>
      </c>
    </row>
    <row r="8728">
      <c r="A8728" s="13">
        <f>IF(H8728="","",ROW()-4)</f>
        <v/>
      </c>
      <c r="B8728" s="13">
        <f>IF(H8728="","",ROW()-4)</f>
        <v/>
      </c>
    </row>
    <row r="8729">
      <c r="A8729" s="13">
        <f>IF(H8729="","",ROW()-4)</f>
        <v/>
      </c>
      <c r="B8729" s="13">
        <f>IF(H8729="","",ROW()-4)</f>
        <v/>
      </c>
    </row>
    <row r="8730">
      <c r="A8730" s="13">
        <f>IF(H8730="","",ROW()-4)</f>
        <v/>
      </c>
      <c r="B8730" s="13">
        <f>IF(H8730="","",ROW()-4)</f>
        <v/>
      </c>
    </row>
    <row r="8731">
      <c r="A8731" s="13">
        <f>IF(H8731="","",ROW()-4)</f>
        <v/>
      </c>
      <c r="B8731" s="13">
        <f>IF(H8731="","",ROW()-4)</f>
        <v/>
      </c>
    </row>
    <row r="8732">
      <c r="A8732" s="13">
        <f>IF(H8732="","",ROW()-4)</f>
        <v/>
      </c>
      <c r="B8732" s="13">
        <f>IF(H8732="","",ROW()-4)</f>
        <v/>
      </c>
    </row>
    <row r="8733">
      <c r="A8733" s="13">
        <f>IF(H8733="","",ROW()-4)</f>
        <v/>
      </c>
      <c r="B8733" s="13">
        <f>IF(H8733="","",ROW()-4)</f>
        <v/>
      </c>
    </row>
    <row r="8734">
      <c r="A8734" s="13">
        <f>IF(H8734="","",ROW()-4)</f>
        <v/>
      </c>
      <c r="B8734" s="13">
        <f>IF(H8734="","",ROW()-4)</f>
        <v/>
      </c>
    </row>
    <row r="8735">
      <c r="A8735" s="13">
        <f>IF(H8735="","",ROW()-4)</f>
        <v/>
      </c>
      <c r="B8735" s="13">
        <f>IF(H8735="","",ROW()-4)</f>
        <v/>
      </c>
    </row>
    <row r="8736">
      <c r="A8736" s="13">
        <f>IF(H8736="","",ROW()-4)</f>
        <v/>
      </c>
      <c r="B8736" s="13">
        <f>IF(H8736="","",ROW()-4)</f>
        <v/>
      </c>
    </row>
    <row r="8737">
      <c r="A8737" s="13">
        <f>IF(H8737="","",ROW()-4)</f>
        <v/>
      </c>
      <c r="B8737" s="13">
        <f>IF(H8737="","",ROW()-4)</f>
        <v/>
      </c>
    </row>
    <row r="8738">
      <c r="A8738" s="13">
        <f>IF(H8738="","",ROW()-4)</f>
        <v/>
      </c>
      <c r="B8738" s="13">
        <f>IF(H8738="","",ROW()-4)</f>
        <v/>
      </c>
    </row>
    <row r="8739">
      <c r="A8739" s="13">
        <f>IF(H8739="","",ROW()-4)</f>
        <v/>
      </c>
      <c r="B8739" s="13">
        <f>IF(H8739="","",ROW()-4)</f>
        <v/>
      </c>
    </row>
    <row r="8740">
      <c r="A8740" s="13">
        <f>IF(H8740="","",ROW()-4)</f>
        <v/>
      </c>
      <c r="B8740" s="13">
        <f>IF(H8740="","",ROW()-4)</f>
        <v/>
      </c>
    </row>
    <row r="8741">
      <c r="A8741" s="13">
        <f>IF(H8741="","",ROW()-4)</f>
        <v/>
      </c>
      <c r="B8741" s="13">
        <f>IF(H8741="","",ROW()-4)</f>
        <v/>
      </c>
    </row>
    <row r="8742">
      <c r="A8742" s="13">
        <f>IF(H8742="","",ROW()-4)</f>
        <v/>
      </c>
      <c r="B8742" s="13">
        <f>IF(H8742="","",ROW()-4)</f>
        <v/>
      </c>
    </row>
    <row r="8743">
      <c r="A8743" s="13">
        <f>IF(H8743="","",ROW()-4)</f>
        <v/>
      </c>
      <c r="B8743" s="13">
        <f>IF(H8743="","",ROW()-4)</f>
        <v/>
      </c>
    </row>
    <row r="8744">
      <c r="A8744" s="13">
        <f>IF(H8744="","",ROW()-4)</f>
        <v/>
      </c>
      <c r="B8744" s="13">
        <f>IF(H8744="","",ROW()-4)</f>
        <v/>
      </c>
    </row>
    <row r="8745">
      <c r="A8745" s="13">
        <f>IF(H8745="","",ROW()-4)</f>
        <v/>
      </c>
      <c r="B8745" s="13">
        <f>IF(H8745="","",ROW()-4)</f>
        <v/>
      </c>
    </row>
    <row r="8746">
      <c r="A8746" s="13">
        <f>IF(H8746="","",ROW()-4)</f>
        <v/>
      </c>
      <c r="B8746" s="13">
        <f>IF(H8746="","",ROW()-4)</f>
        <v/>
      </c>
    </row>
    <row r="8747">
      <c r="A8747" s="13">
        <f>IF(H8747="","",ROW()-4)</f>
        <v/>
      </c>
      <c r="B8747" s="13">
        <f>IF(H8747="","",ROW()-4)</f>
        <v/>
      </c>
    </row>
    <row r="8748">
      <c r="A8748" s="13">
        <f>IF(H8748="","",ROW()-4)</f>
        <v/>
      </c>
      <c r="B8748" s="13">
        <f>IF(H8748="","",ROW()-4)</f>
        <v/>
      </c>
    </row>
    <row r="8749">
      <c r="A8749" s="13">
        <f>IF(H8749="","",ROW()-4)</f>
        <v/>
      </c>
      <c r="B8749" s="13">
        <f>IF(H8749="","",ROW()-4)</f>
        <v/>
      </c>
    </row>
    <row r="8750">
      <c r="A8750" s="13">
        <f>IF(H8750="","",ROW()-4)</f>
        <v/>
      </c>
      <c r="B8750" s="13">
        <f>IF(H8750="","",ROW()-4)</f>
        <v/>
      </c>
    </row>
    <row r="8751">
      <c r="A8751" s="13">
        <f>IF(H8751="","",ROW()-4)</f>
        <v/>
      </c>
      <c r="B8751" s="13">
        <f>IF(H8751="","",ROW()-4)</f>
        <v/>
      </c>
    </row>
    <row r="8752">
      <c r="A8752" s="13">
        <f>IF(H8752="","",ROW()-4)</f>
        <v/>
      </c>
      <c r="B8752" s="13">
        <f>IF(H8752="","",ROW()-4)</f>
        <v/>
      </c>
    </row>
    <row r="8753">
      <c r="A8753" s="13">
        <f>IF(H8753="","",ROW()-4)</f>
        <v/>
      </c>
      <c r="B8753" s="13">
        <f>IF(H8753="","",ROW()-4)</f>
        <v/>
      </c>
    </row>
    <row r="8754">
      <c r="A8754" s="13">
        <f>IF(H8754="","",ROW()-4)</f>
        <v/>
      </c>
      <c r="B8754" s="13">
        <f>IF(H8754="","",ROW()-4)</f>
        <v/>
      </c>
    </row>
    <row r="8755">
      <c r="A8755" s="13">
        <f>IF(H8755="","",ROW()-4)</f>
        <v/>
      </c>
      <c r="B8755" s="13">
        <f>IF(H8755="","",ROW()-4)</f>
        <v/>
      </c>
    </row>
    <row r="8756">
      <c r="A8756" s="13">
        <f>IF(H8756="","",ROW()-4)</f>
        <v/>
      </c>
      <c r="B8756" s="13">
        <f>IF(H8756="","",ROW()-4)</f>
        <v/>
      </c>
    </row>
    <row r="8757">
      <c r="A8757" s="13">
        <f>IF(H8757="","",ROW()-4)</f>
        <v/>
      </c>
      <c r="B8757" s="13">
        <f>IF(H8757="","",ROW()-4)</f>
        <v/>
      </c>
    </row>
    <row r="8758">
      <c r="A8758" s="13">
        <f>IF(H8758="","",ROW()-4)</f>
        <v/>
      </c>
      <c r="B8758" s="13">
        <f>IF(H8758="","",ROW()-4)</f>
        <v/>
      </c>
    </row>
    <row r="8759">
      <c r="A8759" s="13">
        <f>IF(H8759="","",ROW()-4)</f>
        <v/>
      </c>
      <c r="B8759" s="13">
        <f>IF(H8759="","",ROW()-4)</f>
        <v/>
      </c>
    </row>
    <row r="8760">
      <c r="A8760" s="13">
        <f>IF(H8760="","",ROW()-4)</f>
        <v/>
      </c>
      <c r="B8760" s="13">
        <f>IF(H8760="","",ROW()-4)</f>
        <v/>
      </c>
    </row>
    <row r="8761">
      <c r="A8761" s="13">
        <f>IF(H8761="","",ROW()-4)</f>
        <v/>
      </c>
      <c r="B8761" s="13">
        <f>IF(H8761="","",ROW()-4)</f>
        <v/>
      </c>
    </row>
    <row r="8762">
      <c r="A8762" s="13">
        <f>IF(H8762="","",ROW()-4)</f>
        <v/>
      </c>
      <c r="B8762" s="13">
        <f>IF(H8762="","",ROW()-4)</f>
        <v/>
      </c>
    </row>
    <row r="8763">
      <c r="A8763" s="13">
        <f>IF(H8763="","",ROW()-4)</f>
        <v/>
      </c>
      <c r="B8763" s="13">
        <f>IF(H8763="","",ROW()-4)</f>
        <v/>
      </c>
    </row>
    <row r="8764">
      <c r="A8764" s="13">
        <f>IF(H8764="","",ROW()-4)</f>
        <v/>
      </c>
      <c r="B8764" s="13">
        <f>IF(H8764="","",ROW()-4)</f>
        <v/>
      </c>
    </row>
    <row r="8765">
      <c r="A8765" s="13">
        <f>IF(H8765="","",ROW()-4)</f>
        <v/>
      </c>
      <c r="B8765" s="13">
        <f>IF(H8765="","",ROW()-4)</f>
        <v/>
      </c>
    </row>
    <row r="8766">
      <c r="A8766" s="13">
        <f>IF(H8766="","",ROW()-4)</f>
        <v/>
      </c>
      <c r="B8766" s="13">
        <f>IF(H8766="","",ROW()-4)</f>
        <v/>
      </c>
    </row>
    <row r="8767">
      <c r="A8767" s="13">
        <f>IF(H8767="","",ROW()-4)</f>
        <v/>
      </c>
      <c r="B8767" s="13">
        <f>IF(H8767="","",ROW()-4)</f>
        <v/>
      </c>
    </row>
    <row r="8768">
      <c r="A8768" s="13">
        <f>IF(H8768="","",ROW()-4)</f>
        <v/>
      </c>
      <c r="B8768" s="13">
        <f>IF(H8768="","",ROW()-4)</f>
        <v/>
      </c>
    </row>
    <row r="8769">
      <c r="A8769" s="13">
        <f>IF(H8769="","",ROW()-4)</f>
        <v/>
      </c>
      <c r="B8769" s="13">
        <f>IF(H8769="","",ROW()-4)</f>
        <v/>
      </c>
    </row>
    <row r="8770">
      <c r="A8770" s="13">
        <f>IF(H8770="","",ROW()-4)</f>
        <v/>
      </c>
      <c r="B8770" s="13">
        <f>IF(H8770="","",ROW()-4)</f>
        <v/>
      </c>
    </row>
    <row r="8771">
      <c r="A8771" s="13">
        <f>IF(H8771="","",ROW()-4)</f>
        <v/>
      </c>
      <c r="B8771" s="13">
        <f>IF(H8771="","",ROW()-4)</f>
        <v/>
      </c>
    </row>
    <row r="8772">
      <c r="A8772" s="13">
        <f>IF(H8772="","",ROW()-4)</f>
        <v/>
      </c>
      <c r="B8772" s="13">
        <f>IF(H8772="","",ROW()-4)</f>
        <v/>
      </c>
    </row>
    <row r="8773">
      <c r="A8773" s="13">
        <f>IF(H8773="","",ROW()-4)</f>
        <v/>
      </c>
      <c r="B8773" s="13">
        <f>IF(H8773="","",ROW()-4)</f>
        <v/>
      </c>
    </row>
    <row r="8774">
      <c r="A8774" s="13">
        <f>IF(H8774="","",ROW()-4)</f>
        <v/>
      </c>
      <c r="B8774" s="13">
        <f>IF(H8774="","",ROW()-4)</f>
        <v/>
      </c>
    </row>
    <row r="8775">
      <c r="A8775" s="13">
        <f>IF(H8775="","",ROW()-4)</f>
        <v/>
      </c>
      <c r="B8775" s="13">
        <f>IF(H8775="","",ROW()-4)</f>
        <v/>
      </c>
    </row>
    <row r="8776">
      <c r="A8776" s="13">
        <f>IF(H8776="","",ROW()-4)</f>
        <v/>
      </c>
      <c r="B8776" s="13">
        <f>IF(H8776="","",ROW()-4)</f>
        <v/>
      </c>
    </row>
    <row r="8777">
      <c r="A8777" s="13">
        <f>IF(H8777="","",ROW()-4)</f>
        <v/>
      </c>
      <c r="B8777" s="13">
        <f>IF(H8777="","",ROW()-4)</f>
        <v/>
      </c>
    </row>
    <row r="8778">
      <c r="A8778" s="13">
        <f>IF(H8778="","",ROW()-4)</f>
        <v/>
      </c>
      <c r="B8778" s="13">
        <f>IF(H8778="","",ROW()-4)</f>
        <v/>
      </c>
    </row>
    <row r="8779">
      <c r="A8779" s="13">
        <f>IF(H8779="","",ROW()-4)</f>
        <v/>
      </c>
      <c r="B8779" s="13">
        <f>IF(H8779="","",ROW()-4)</f>
        <v/>
      </c>
    </row>
    <row r="8780">
      <c r="A8780" s="13">
        <f>IF(H8780="","",ROW()-4)</f>
        <v/>
      </c>
      <c r="B8780" s="13">
        <f>IF(H8780="","",ROW()-4)</f>
        <v/>
      </c>
    </row>
    <row r="8781">
      <c r="A8781" s="13">
        <f>IF(H8781="","",ROW()-4)</f>
        <v/>
      </c>
      <c r="B8781" s="13">
        <f>IF(H8781="","",ROW()-4)</f>
        <v/>
      </c>
    </row>
    <row r="8782">
      <c r="A8782" s="13">
        <f>IF(H8782="","",ROW()-4)</f>
        <v/>
      </c>
      <c r="B8782" s="13">
        <f>IF(H8782="","",ROW()-4)</f>
        <v/>
      </c>
    </row>
    <row r="8783">
      <c r="A8783" s="13">
        <f>IF(H8783="","",ROW()-4)</f>
        <v/>
      </c>
      <c r="B8783" s="13">
        <f>IF(H8783="","",ROW()-4)</f>
        <v/>
      </c>
    </row>
    <row r="8784">
      <c r="A8784" s="13">
        <f>IF(H8784="","",ROW()-4)</f>
        <v/>
      </c>
      <c r="B8784" s="13">
        <f>IF(H8784="","",ROW()-4)</f>
        <v/>
      </c>
    </row>
    <row r="8785">
      <c r="A8785" s="13">
        <f>IF(H8785="","",ROW()-4)</f>
        <v/>
      </c>
      <c r="B8785" s="13">
        <f>IF(H8785="","",ROW()-4)</f>
        <v/>
      </c>
    </row>
    <row r="8786">
      <c r="A8786" s="13">
        <f>IF(H8786="","",ROW()-4)</f>
        <v/>
      </c>
      <c r="B8786" s="13">
        <f>IF(H8786="","",ROW()-4)</f>
        <v/>
      </c>
    </row>
    <row r="8787">
      <c r="A8787" s="13">
        <f>IF(H8787="","",ROW()-4)</f>
        <v/>
      </c>
      <c r="B8787" s="13">
        <f>IF(H8787="","",ROW()-4)</f>
        <v/>
      </c>
    </row>
    <row r="8788">
      <c r="A8788" s="13">
        <f>IF(H8788="","",ROW()-4)</f>
        <v/>
      </c>
      <c r="B8788" s="13">
        <f>IF(H8788="","",ROW()-4)</f>
        <v/>
      </c>
    </row>
    <row r="8789">
      <c r="A8789" s="13">
        <f>IF(H8789="","",ROW()-4)</f>
        <v/>
      </c>
      <c r="B8789" s="13">
        <f>IF(H8789="","",ROW()-4)</f>
        <v/>
      </c>
    </row>
    <row r="8790">
      <c r="A8790" s="13">
        <f>IF(H8790="","",ROW()-4)</f>
        <v/>
      </c>
      <c r="B8790" s="13">
        <f>IF(H8790="","",ROW()-4)</f>
        <v/>
      </c>
    </row>
    <row r="8791">
      <c r="A8791" s="13">
        <f>IF(H8791="","",ROW()-4)</f>
        <v/>
      </c>
      <c r="B8791" s="13">
        <f>IF(H8791="","",ROW()-4)</f>
        <v/>
      </c>
    </row>
    <row r="8792">
      <c r="A8792" s="13">
        <f>IF(H8792="","",ROW()-4)</f>
        <v/>
      </c>
      <c r="B8792" s="13">
        <f>IF(H8792="","",ROW()-4)</f>
        <v/>
      </c>
    </row>
    <row r="8793">
      <c r="A8793" s="13">
        <f>IF(H8793="","",ROW()-4)</f>
        <v/>
      </c>
      <c r="B8793" s="13">
        <f>IF(H8793="","",ROW()-4)</f>
        <v/>
      </c>
    </row>
    <row r="8794">
      <c r="A8794" s="13">
        <f>IF(H8794="","",ROW()-4)</f>
        <v/>
      </c>
      <c r="B8794" s="13">
        <f>IF(H8794="","",ROW()-4)</f>
        <v/>
      </c>
    </row>
    <row r="8795">
      <c r="A8795" s="13">
        <f>IF(H8795="","",ROW()-4)</f>
        <v/>
      </c>
      <c r="B8795" s="13">
        <f>IF(H8795="","",ROW()-4)</f>
        <v/>
      </c>
    </row>
    <row r="8796">
      <c r="A8796" s="13">
        <f>IF(H8796="","",ROW()-4)</f>
        <v/>
      </c>
      <c r="B8796" s="13">
        <f>IF(H8796="","",ROW()-4)</f>
        <v/>
      </c>
    </row>
    <row r="8797">
      <c r="A8797" s="13">
        <f>IF(H8797="","",ROW()-4)</f>
        <v/>
      </c>
      <c r="B8797" s="13">
        <f>IF(H8797="","",ROW()-4)</f>
        <v/>
      </c>
    </row>
    <row r="8798">
      <c r="A8798" s="13">
        <f>IF(H8798="","",ROW()-4)</f>
        <v/>
      </c>
      <c r="B8798" s="13">
        <f>IF(H8798="","",ROW()-4)</f>
        <v/>
      </c>
    </row>
    <row r="8799">
      <c r="A8799" s="13">
        <f>IF(H8799="","",ROW()-4)</f>
        <v/>
      </c>
      <c r="B8799" s="13">
        <f>IF(H8799="","",ROW()-4)</f>
        <v/>
      </c>
    </row>
    <row r="8800">
      <c r="A8800" s="13">
        <f>IF(H8800="","",ROW()-4)</f>
        <v/>
      </c>
      <c r="B8800" s="13">
        <f>IF(H8800="","",ROW()-4)</f>
        <v/>
      </c>
    </row>
    <row r="8801">
      <c r="A8801" s="13">
        <f>IF(H8801="","",ROW()-4)</f>
        <v/>
      </c>
      <c r="B8801" s="13">
        <f>IF(H8801="","",ROW()-4)</f>
        <v/>
      </c>
    </row>
    <row r="8802">
      <c r="A8802" s="13">
        <f>IF(H8802="","",ROW()-4)</f>
        <v/>
      </c>
      <c r="B8802" s="13">
        <f>IF(H8802="","",ROW()-4)</f>
        <v/>
      </c>
    </row>
    <row r="8803">
      <c r="A8803" s="13">
        <f>IF(H8803="","",ROW()-4)</f>
        <v/>
      </c>
      <c r="B8803" s="13">
        <f>IF(H8803="","",ROW()-4)</f>
        <v/>
      </c>
    </row>
    <row r="8804">
      <c r="A8804" s="13">
        <f>IF(H8804="","",ROW()-4)</f>
        <v/>
      </c>
      <c r="B8804" s="13">
        <f>IF(H8804="","",ROW()-4)</f>
        <v/>
      </c>
    </row>
    <row r="8805">
      <c r="A8805" s="13">
        <f>IF(H8805="","",ROW()-4)</f>
        <v/>
      </c>
      <c r="B8805" s="13">
        <f>IF(H8805="","",ROW()-4)</f>
        <v/>
      </c>
    </row>
    <row r="8806">
      <c r="A8806" s="13">
        <f>IF(H8806="","",ROW()-4)</f>
        <v/>
      </c>
      <c r="B8806" s="13">
        <f>IF(H8806="","",ROW()-4)</f>
        <v/>
      </c>
    </row>
    <row r="8807">
      <c r="A8807" s="13">
        <f>IF(H8807="","",ROW()-4)</f>
        <v/>
      </c>
      <c r="B8807" s="13">
        <f>IF(H8807="","",ROW()-4)</f>
        <v/>
      </c>
    </row>
    <row r="8808">
      <c r="A8808" s="13">
        <f>IF(H8808="","",ROW()-4)</f>
        <v/>
      </c>
      <c r="B8808" s="13">
        <f>IF(H8808="","",ROW()-4)</f>
        <v/>
      </c>
    </row>
    <row r="8809">
      <c r="A8809" s="13">
        <f>IF(H8809="","",ROW()-4)</f>
        <v/>
      </c>
      <c r="B8809" s="13">
        <f>IF(H8809="","",ROW()-4)</f>
        <v/>
      </c>
    </row>
    <row r="8810">
      <c r="A8810" s="13">
        <f>IF(H8810="","",ROW()-4)</f>
        <v/>
      </c>
      <c r="B8810" s="13">
        <f>IF(H8810="","",ROW()-4)</f>
        <v/>
      </c>
    </row>
    <row r="8811">
      <c r="A8811" s="13">
        <f>IF(H8811="","",ROW()-4)</f>
        <v/>
      </c>
      <c r="B8811" s="13">
        <f>IF(H8811="","",ROW()-4)</f>
        <v/>
      </c>
    </row>
    <row r="8812">
      <c r="A8812" s="13">
        <f>IF(H8812="","",ROW()-4)</f>
        <v/>
      </c>
      <c r="B8812" s="13">
        <f>IF(H8812="","",ROW()-4)</f>
        <v/>
      </c>
    </row>
    <row r="8813">
      <c r="A8813" s="13">
        <f>IF(H8813="","",ROW()-4)</f>
        <v/>
      </c>
      <c r="B8813" s="13">
        <f>IF(H8813="","",ROW()-4)</f>
        <v/>
      </c>
    </row>
    <row r="8814">
      <c r="A8814" s="13">
        <f>IF(H8814="","",ROW()-4)</f>
        <v/>
      </c>
      <c r="B8814" s="13">
        <f>IF(H8814="","",ROW()-4)</f>
        <v/>
      </c>
    </row>
    <row r="8815">
      <c r="A8815" s="13">
        <f>IF(H8815="","",ROW()-4)</f>
        <v/>
      </c>
      <c r="B8815" s="13">
        <f>IF(H8815="","",ROW()-4)</f>
        <v/>
      </c>
    </row>
    <row r="8816">
      <c r="A8816" s="13">
        <f>IF(H8816="","",ROW()-4)</f>
        <v/>
      </c>
      <c r="B8816" s="13">
        <f>IF(H8816="","",ROW()-4)</f>
        <v/>
      </c>
    </row>
    <row r="8817">
      <c r="A8817" s="13">
        <f>IF(H8817="","",ROW()-4)</f>
        <v/>
      </c>
      <c r="B8817" s="13">
        <f>IF(H8817="","",ROW()-4)</f>
        <v/>
      </c>
    </row>
    <row r="8818">
      <c r="A8818" s="13">
        <f>IF(H8818="","",ROW()-4)</f>
        <v/>
      </c>
      <c r="B8818" s="13">
        <f>IF(H8818="","",ROW()-4)</f>
        <v/>
      </c>
    </row>
    <row r="8819">
      <c r="A8819" s="13">
        <f>IF(H8819="","",ROW()-4)</f>
        <v/>
      </c>
      <c r="B8819" s="13">
        <f>IF(H8819="","",ROW()-4)</f>
        <v/>
      </c>
    </row>
    <row r="8820">
      <c r="A8820" s="13">
        <f>IF(H8820="","",ROW()-4)</f>
        <v/>
      </c>
      <c r="B8820" s="13">
        <f>IF(H8820="","",ROW()-4)</f>
        <v/>
      </c>
    </row>
    <row r="8821">
      <c r="A8821" s="13">
        <f>IF(H8821="","",ROW()-4)</f>
        <v/>
      </c>
      <c r="B8821" s="13">
        <f>IF(H8821="","",ROW()-4)</f>
        <v/>
      </c>
    </row>
    <row r="8822">
      <c r="A8822" s="13">
        <f>IF(H8822="","",ROW()-4)</f>
        <v/>
      </c>
      <c r="B8822" s="13">
        <f>IF(H8822="","",ROW()-4)</f>
        <v/>
      </c>
    </row>
    <row r="8823">
      <c r="A8823" s="13">
        <f>IF(H8823="","",ROW()-4)</f>
        <v/>
      </c>
      <c r="B8823" s="13">
        <f>IF(H8823="","",ROW()-4)</f>
        <v/>
      </c>
    </row>
    <row r="8824">
      <c r="A8824" s="13">
        <f>IF(H8824="","",ROW()-4)</f>
        <v/>
      </c>
      <c r="B8824" s="13">
        <f>IF(H8824="","",ROW()-4)</f>
        <v/>
      </c>
    </row>
    <row r="8825">
      <c r="A8825" s="13">
        <f>IF(H8825="","",ROW()-4)</f>
        <v/>
      </c>
      <c r="B8825" s="13">
        <f>IF(H8825="","",ROW()-4)</f>
        <v/>
      </c>
    </row>
    <row r="8826">
      <c r="A8826" s="13">
        <f>IF(H8826="","",ROW()-4)</f>
        <v/>
      </c>
      <c r="B8826" s="13">
        <f>IF(H8826="","",ROW()-4)</f>
        <v/>
      </c>
    </row>
    <row r="8827">
      <c r="A8827" s="13">
        <f>IF(H8827="","",ROW()-4)</f>
        <v/>
      </c>
      <c r="B8827" s="13">
        <f>IF(H8827="","",ROW()-4)</f>
        <v/>
      </c>
    </row>
    <row r="8828">
      <c r="A8828" s="13">
        <f>IF(H8828="","",ROW()-4)</f>
        <v/>
      </c>
      <c r="B8828" s="13">
        <f>IF(H8828="","",ROW()-4)</f>
        <v/>
      </c>
    </row>
    <row r="8829">
      <c r="A8829" s="13">
        <f>IF(H8829="","",ROW()-4)</f>
        <v/>
      </c>
      <c r="B8829" s="13">
        <f>IF(H8829="","",ROW()-4)</f>
        <v/>
      </c>
    </row>
    <row r="8830">
      <c r="A8830" s="13">
        <f>IF(H8830="","",ROW()-4)</f>
        <v/>
      </c>
      <c r="B8830" s="13">
        <f>IF(H8830="","",ROW()-4)</f>
        <v/>
      </c>
    </row>
    <row r="8831">
      <c r="A8831" s="13">
        <f>IF(H8831="","",ROW()-4)</f>
        <v/>
      </c>
      <c r="B8831" s="13">
        <f>IF(H8831="","",ROW()-4)</f>
        <v/>
      </c>
    </row>
    <row r="8832">
      <c r="A8832" s="13">
        <f>IF(H8832="","",ROW()-4)</f>
        <v/>
      </c>
      <c r="B8832" s="13">
        <f>IF(H8832="","",ROW()-4)</f>
        <v/>
      </c>
    </row>
    <row r="8833">
      <c r="A8833" s="13">
        <f>IF(H8833="","",ROW()-4)</f>
        <v/>
      </c>
      <c r="B8833" s="13">
        <f>IF(H8833="","",ROW()-4)</f>
        <v/>
      </c>
    </row>
    <row r="8834">
      <c r="A8834" s="13">
        <f>IF(H8834="","",ROW()-4)</f>
        <v/>
      </c>
      <c r="B8834" s="13">
        <f>IF(H8834="","",ROW()-4)</f>
        <v/>
      </c>
    </row>
    <row r="8835">
      <c r="A8835" s="13">
        <f>IF(H8835="","",ROW()-4)</f>
        <v/>
      </c>
      <c r="B8835" s="13">
        <f>IF(H8835="","",ROW()-4)</f>
        <v/>
      </c>
    </row>
    <row r="8836">
      <c r="A8836" s="13">
        <f>IF(H8836="","",ROW()-4)</f>
        <v/>
      </c>
      <c r="B8836" s="13">
        <f>IF(H8836="","",ROW()-4)</f>
        <v/>
      </c>
    </row>
    <row r="8837">
      <c r="A8837" s="13">
        <f>IF(H8837="","",ROW()-4)</f>
        <v/>
      </c>
      <c r="B8837" s="13">
        <f>IF(H8837="","",ROW()-4)</f>
        <v/>
      </c>
    </row>
    <row r="8838">
      <c r="A8838" s="13">
        <f>IF(H8838="","",ROW()-4)</f>
        <v/>
      </c>
      <c r="B8838" s="13">
        <f>IF(H8838="","",ROW()-4)</f>
        <v/>
      </c>
    </row>
    <row r="8839">
      <c r="A8839" s="13">
        <f>IF(H8839="","",ROW()-4)</f>
        <v/>
      </c>
      <c r="B8839" s="13">
        <f>IF(H8839="","",ROW()-4)</f>
        <v/>
      </c>
    </row>
    <row r="8840">
      <c r="A8840" s="13">
        <f>IF(H8840="","",ROW()-4)</f>
        <v/>
      </c>
      <c r="B8840" s="13">
        <f>IF(H8840="","",ROW()-4)</f>
        <v/>
      </c>
    </row>
    <row r="8841">
      <c r="A8841" s="13">
        <f>IF(H8841="","",ROW()-4)</f>
        <v/>
      </c>
      <c r="B8841" s="13">
        <f>IF(H8841="","",ROW()-4)</f>
        <v/>
      </c>
    </row>
    <row r="8842">
      <c r="A8842" s="13">
        <f>IF(H8842="","",ROW()-4)</f>
        <v/>
      </c>
      <c r="B8842" s="13">
        <f>IF(H8842="","",ROW()-4)</f>
        <v/>
      </c>
    </row>
    <row r="8843">
      <c r="A8843" s="13">
        <f>IF(H8843="","",ROW()-4)</f>
        <v/>
      </c>
      <c r="B8843" s="13">
        <f>IF(H8843="","",ROW()-4)</f>
        <v/>
      </c>
    </row>
    <row r="8844">
      <c r="A8844" s="13">
        <f>IF(H8844="","",ROW()-4)</f>
        <v/>
      </c>
      <c r="B8844" s="13">
        <f>IF(H8844="","",ROW()-4)</f>
        <v/>
      </c>
    </row>
    <row r="8845">
      <c r="A8845" s="13">
        <f>IF(H8845="","",ROW()-4)</f>
        <v/>
      </c>
      <c r="B8845" s="13">
        <f>IF(H8845="","",ROW()-4)</f>
        <v/>
      </c>
    </row>
    <row r="8846">
      <c r="A8846" s="13">
        <f>IF(H8846="","",ROW()-4)</f>
        <v/>
      </c>
      <c r="B8846" s="13">
        <f>IF(H8846="","",ROW()-4)</f>
        <v/>
      </c>
    </row>
    <row r="8847">
      <c r="A8847" s="13">
        <f>IF(H8847="","",ROW()-4)</f>
        <v/>
      </c>
      <c r="B8847" s="13">
        <f>IF(H8847="","",ROW()-4)</f>
        <v/>
      </c>
    </row>
    <row r="8848">
      <c r="A8848" s="13">
        <f>IF(H8848="","",ROW()-4)</f>
        <v/>
      </c>
      <c r="B8848" s="13">
        <f>IF(H8848="","",ROW()-4)</f>
        <v/>
      </c>
    </row>
    <row r="8849">
      <c r="A8849" s="13">
        <f>IF(H8849="","",ROW()-4)</f>
        <v/>
      </c>
      <c r="B8849" s="13">
        <f>IF(H8849="","",ROW()-4)</f>
        <v/>
      </c>
    </row>
    <row r="8850">
      <c r="A8850" s="13">
        <f>IF(H8850="","",ROW()-4)</f>
        <v/>
      </c>
      <c r="B8850" s="13">
        <f>IF(H8850="","",ROW()-4)</f>
        <v/>
      </c>
    </row>
    <row r="8851">
      <c r="A8851" s="13">
        <f>IF(H8851="","",ROW()-4)</f>
        <v/>
      </c>
      <c r="B8851" s="13">
        <f>IF(H8851="","",ROW()-4)</f>
        <v/>
      </c>
    </row>
    <row r="8852">
      <c r="A8852" s="13">
        <f>IF(H8852="","",ROW()-4)</f>
        <v/>
      </c>
      <c r="B8852" s="13">
        <f>IF(H8852="","",ROW()-4)</f>
        <v/>
      </c>
    </row>
    <row r="8853">
      <c r="A8853" s="13">
        <f>IF(H8853="","",ROW()-4)</f>
        <v/>
      </c>
      <c r="B8853" s="13">
        <f>IF(H8853="","",ROW()-4)</f>
        <v/>
      </c>
    </row>
    <row r="8854">
      <c r="A8854" s="13">
        <f>IF(H8854="","",ROW()-4)</f>
        <v/>
      </c>
      <c r="B8854" s="13">
        <f>IF(H8854="","",ROW()-4)</f>
        <v/>
      </c>
    </row>
    <row r="8855">
      <c r="A8855" s="13">
        <f>IF(H8855="","",ROW()-4)</f>
        <v/>
      </c>
      <c r="B8855" s="13">
        <f>IF(H8855="","",ROW()-4)</f>
        <v/>
      </c>
    </row>
    <row r="8856">
      <c r="A8856" s="13">
        <f>IF(H8856="","",ROW()-4)</f>
        <v/>
      </c>
      <c r="B8856" s="13">
        <f>IF(H8856="","",ROW()-4)</f>
        <v/>
      </c>
    </row>
    <row r="8857">
      <c r="A8857" s="13">
        <f>IF(H8857="","",ROW()-4)</f>
        <v/>
      </c>
      <c r="B8857" s="13">
        <f>IF(H8857="","",ROW()-4)</f>
        <v/>
      </c>
    </row>
    <row r="8858">
      <c r="A8858" s="13">
        <f>IF(H8858="","",ROW()-4)</f>
        <v/>
      </c>
      <c r="B8858" s="13">
        <f>IF(H8858="","",ROW()-4)</f>
        <v/>
      </c>
    </row>
    <row r="8859">
      <c r="A8859" s="13">
        <f>IF(H8859="","",ROW()-4)</f>
        <v/>
      </c>
      <c r="B8859" s="13">
        <f>IF(H8859="","",ROW()-4)</f>
        <v/>
      </c>
    </row>
    <row r="8860">
      <c r="A8860" s="13">
        <f>IF(H8860="","",ROW()-4)</f>
        <v/>
      </c>
      <c r="B8860" s="13">
        <f>IF(H8860="","",ROW()-4)</f>
        <v/>
      </c>
    </row>
    <row r="8861">
      <c r="A8861" s="13">
        <f>IF(H8861="","",ROW()-4)</f>
        <v/>
      </c>
      <c r="B8861" s="13">
        <f>IF(H8861="","",ROW()-4)</f>
        <v/>
      </c>
    </row>
    <row r="8862">
      <c r="A8862" s="13">
        <f>IF(H8862="","",ROW()-4)</f>
        <v/>
      </c>
      <c r="B8862" s="13">
        <f>IF(H8862="","",ROW()-4)</f>
        <v/>
      </c>
    </row>
    <row r="8863">
      <c r="A8863" s="13">
        <f>IF(H8863="","",ROW()-4)</f>
        <v/>
      </c>
      <c r="B8863" s="13">
        <f>IF(H8863="","",ROW()-4)</f>
        <v/>
      </c>
    </row>
    <row r="8864">
      <c r="A8864" s="13">
        <f>IF(H8864="","",ROW()-4)</f>
        <v/>
      </c>
      <c r="B8864" s="13">
        <f>IF(H8864="","",ROW()-4)</f>
        <v/>
      </c>
    </row>
    <row r="8865">
      <c r="A8865" s="13">
        <f>IF(H8865="","",ROW()-4)</f>
        <v/>
      </c>
      <c r="B8865" s="13">
        <f>IF(H8865="","",ROW()-4)</f>
        <v/>
      </c>
    </row>
    <row r="8866">
      <c r="A8866" s="13">
        <f>IF(H8866="","",ROW()-4)</f>
        <v/>
      </c>
      <c r="B8866" s="13">
        <f>IF(H8866="","",ROW()-4)</f>
        <v/>
      </c>
    </row>
    <row r="8867">
      <c r="A8867" s="13">
        <f>IF(H8867="","",ROW()-4)</f>
        <v/>
      </c>
      <c r="B8867" s="13">
        <f>IF(H8867="","",ROW()-4)</f>
        <v/>
      </c>
    </row>
    <row r="8868">
      <c r="A8868" s="13">
        <f>IF(H8868="","",ROW()-4)</f>
        <v/>
      </c>
      <c r="B8868" s="13">
        <f>IF(H8868="","",ROW()-4)</f>
        <v/>
      </c>
    </row>
    <row r="8869">
      <c r="A8869" s="13">
        <f>IF(H8869="","",ROW()-4)</f>
        <v/>
      </c>
      <c r="B8869" s="13">
        <f>IF(H8869="","",ROW()-4)</f>
        <v/>
      </c>
    </row>
    <row r="8870">
      <c r="A8870" s="13">
        <f>IF(H8870="","",ROW()-4)</f>
        <v/>
      </c>
      <c r="B8870" s="13">
        <f>IF(H8870="","",ROW()-4)</f>
        <v/>
      </c>
    </row>
    <row r="8871">
      <c r="A8871" s="13">
        <f>IF(H8871="","",ROW()-4)</f>
        <v/>
      </c>
      <c r="B8871" s="13">
        <f>IF(H8871="","",ROW()-4)</f>
        <v/>
      </c>
    </row>
    <row r="8872">
      <c r="A8872" s="13">
        <f>IF(H8872="","",ROW()-4)</f>
        <v/>
      </c>
      <c r="B8872" s="13">
        <f>IF(H8872="","",ROW()-4)</f>
        <v/>
      </c>
    </row>
    <row r="8873">
      <c r="A8873" s="13">
        <f>IF(H8873="","",ROW()-4)</f>
        <v/>
      </c>
      <c r="B8873" s="13">
        <f>IF(H8873="","",ROW()-4)</f>
        <v/>
      </c>
    </row>
    <row r="8874">
      <c r="A8874" s="13">
        <f>IF(H8874="","",ROW()-4)</f>
        <v/>
      </c>
      <c r="B8874" s="13">
        <f>IF(H8874="","",ROW()-4)</f>
        <v/>
      </c>
    </row>
    <row r="8875">
      <c r="A8875" s="13">
        <f>IF(H8875="","",ROW()-4)</f>
        <v/>
      </c>
      <c r="B8875" s="13">
        <f>IF(H8875="","",ROW()-4)</f>
        <v/>
      </c>
    </row>
    <row r="8876">
      <c r="A8876" s="13">
        <f>IF(H8876="","",ROW()-4)</f>
        <v/>
      </c>
      <c r="B8876" s="13">
        <f>IF(H8876="","",ROW()-4)</f>
        <v/>
      </c>
    </row>
    <row r="8877">
      <c r="A8877" s="13">
        <f>IF(H8877="","",ROW()-4)</f>
        <v/>
      </c>
      <c r="B8877" s="13">
        <f>IF(H8877="","",ROW()-4)</f>
        <v/>
      </c>
    </row>
    <row r="8878">
      <c r="A8878" s="13">
        <f>IF(H8878="","",ROW()-4)</f>
        <v/>
      </c>
      <c r="B8878" s="13">
        <f>IF(H8878="","",ROW()-4)</f>
        <v/>
      </c>
    </row>
    <row r="8879">
      <c r="A8879" s="13">
        <f>IF(H8879="","",ROW()-4)</f>
        <v/>
      </c>
      <c r="B8879" s="13">
        <f>IF(H8879="","",ROW()-4)</f>
        <v/>
      </c>
    </row>
    <row r="8880">
      <c r="A8880" s="13">
        <f>IF(H8880="","",ROW()-4)</f>
        <v/>
      </c>
      <c r="B8880" s="13">
        <f>IF(H8880="","",ROW()-4)</f>
        <v/>
      </c>
    </row>
    <row r="8881">
      <c r="A8881" s="13">
        <f>IF(H8881="","",ROW()-4)</f>
        <v/>
      </c>
      <c r="B8881" s="13">
        <f>IF(H8881="","",ROW()-4)</f>
        <v/>
      </c>
    </row>
    <row r="8882">
      <c r="A8882" s="13">
        <f>IF(H8882="","",ROW()-4)</f>
        <v/>
      </c>
      <c r="B8882" s="13">
        <f>IF(H8882="","",ROW()-4)</f>
        <v/>
      </c>
    </row>
    <row r="8883">
      <c r="A8883" s="13">
        <f>IF(H8883="","",ROW()-4)</f>
        <v/>
      </c>
      <c r="B8883" s="13">
        <f>IF(H8883="","",ROW()-4)</f>
        <v/>
      </c>
    </row>
    <row r="8884">
      <c r="A8884" s="13">
        <f>IF(H8884="","",ROW()-4)</f>
        <v/>
      </c>
      <c r="B8884" s="13">
        <f>IF(H8884="","",ROW()-4)</f>
        <v/>
      </c>
    </row>
    <row r="8885">
      <c r="A8885" s="13">
        <f>IF(H8885="","",ROW()-4)</f>
        <v/>
      </c>
      <c r="B8885" s="13">
        <f>IF(H8885="","",ROW()-4)</f>
        <v/>
      </c>
    </row>
    <row r="8886">
      <c r="A8886" s="13">
        <f>IF(H8886="","",ROW()-4)</f>
        <v/>
      </c>
      <c r="B8886" s="13">
        <f>IF(H8886="","",ROW()-4)</f>
        <v/>
      </c>
    </row>
    <row r="8887">
      <c r="A8887" s="13">
        <f>IF(H8887="","",ROW()-4)</f>
        <v/>
      </c>
      <c r="B8887" s="13">
        <f>IF(H8887="","",ROW()-4)</f>
        <v/>
      </c>
    </row>
    <row r="8888">
      <c r="A8888" s="13">
        <f>IF(H8888="","",ROW()-4)</f>
        <v/>
      </c>
      <c r="B8888" s="13">
        <f>IF(H8888="","",ROW()-4)</f>
        <v/>
      </c>
    </row>
    <row r="8889">
      <c r="A8889" s="13">
        <f>IF(H8889="","",ROW()-4)</f>
        <v/>
      </c>
      <c r="B8889" s="13">
        <f>IF(H8889="","",ROW()-4)</f>
        <v/>
      </c>
    </row>
    <row r="8890">
      <c r="A8890" s="13">
        <f>IF(H8890="","",ROW()-4)</f>
        <v/>
      </c>
      <c r="B8890" s="13">
        <f>IF(H8890="","",ROW()-4)</f>
        <v/>
      </c>
    </row>
    <row r="8891">
      <c r="A8891" s="13">
        <f>IF(H8891="","",ROW()-4)</f>
        <v/>
      </c>
      <c r="B8891" s="13">
        <f>IF(H8891="","",ROW()-4)</f>
        <v/>
      </c>
    </row>
    <row r="8892">
      <c r="A8892" s="13">
        <f>IF(H8892="","",ROW()-4)</f>
        <v/>
      </c>
      <c r="B8892" s="13">
        <f>IF(H8892="","",ROW()-4)</f>
        <v/>
      </c>
    </row>
    <row r="8893">
      <c r="A8893" s="13">
        <f>IF(H8893="","",ROW()-4)</f>
        <v/>
      </c>
      <c r="B8893" s="13">
        <f>IF(H8893="","",ROW()-4)</f>
        <v/>
      </c>
    </row>
    <row r="8894">
      <c r="A8894" s="13">
        <f>IF(H8894="","",ROW()-4)</f>
        <v/>
      </c>
      <c r="B8894" s="13">
        <f>IF(H8894="","",ROW()-4)</f>
        <v/>
      </c>
    </row>
    <row r="8895">
      <c r="A8895" s="13">
        <f>IF(H8895="","",ROW()-4)</f>
        <v/>
      </c>
      <c r="B8895" s="13">
        <f>IF(H8895="","",ROW()-4)</f>
        <v/>
      </c>
    </row>
    <row r="8896">
      <c r="A8896" s="13">
        <f>IF(H8896="","",ROW()-4)</f>
        <v/>
      </c>
      <c r="B8896" s="13">
        <f>IF(H8896="","",ROW()-4)</f>
        <v/>
      </c>
    </row>
    <row r="8897">
      <c r="A8897" s="13">
        <f>IF(H8897="","",ROW()-4)</f>
        <v/>
      </c>
      <c r="B8897" s="13">
        <f>IF(H8897="","",ROW()-4)</f>
        <v/>
      </c>
    </row>
    <row r="8898">
      <c r="A8898" s="13">
        <f>IF(H8898="","",ROW()-4)</f>
        <v/>
      </c>
      <c r="B8898" s="13">
        <f>IF(H8898="","",ROW()-4)</f>
        <v/>
      </c>
    </row>
    <row r="8899">
      <c r="A8899" s="13">
        <f>IF(H8899="","",ROW()-4)</f>
        <v/>
      </c>
      <c r="B8899" s="13">
        <f>IF(H8899="","",ROW()-4)</f>
        <v/>
      </c>
    </row>
    <row r="8900">
      <c r="A8900" s="13">
        <f>IF(H8900="","",ROW()-4)</f>
        <v/>
      </c>
      <c r="B8900" s="13">
        <f>IF(H8900="","",ROW()-4)</f>
        <v/>
      </c>
    </row>
    <row r="8901">
      <c r="A8901" s="13">
        <f>IF(H8901="","",ROW()-4)</f>
        <v/>
      </c>
      <c r="B8901" s="13">
        <f>IF(H8901="","",ROW()-4)</f>
        <v/>
      </c>
    </row>
    <row r="8902">
      <c r="A8902" s="13">
        <f>IF(H8902="","",ROW()-4)</f>
        <v/>
      </c>
      <c r="B8902" s="13">
        <f>IF(H8902="","",ROW()-4)</f>
        <v/>
      </c>
    </row>
    <row r="8903">
      <c r="A8903" s="13">
        <f>IF(H8903="","",ROW()-4)</f>
        <v/>
      </c>
      <c r="B8903" s="13">
        <f>IF(H8903="","",ROW()-4)</f>
        <v/>
      </c>
    </row>
    <row r="8904">
      <c r="A8904" s="13">
        <f>IF(H8904="","",ROW()-4)</f>
        <v/>
      </c>
      <c r="B8904" s="13">
        <f>IF(H8904="","",ROW()-4)</f>
        <v/>
      </c>
    </row>
    <row r="8905">
      <c r="A8905" s="13">
        <f>IF(H8905="","",ROW()-4)</f>
        <v/>
      </c>
      <c r="B8905" s="13">
        <f>IF(H8905="","",ROW()-4)</f>
        <v/>
      </c>
    </row>
    <row r="8906">
      <c r="A8906" s="13">
        <f>IF(H8906="","",ROW()-4)</f>
        <v/>
      </c>
      <c r="B8906" s="13">
        <f>IF(H8906="","",ROW()-4)</f>
        <v/>
      </c>
    </row>
    <row r="8907">
      <c r="A8907" s="13">
        <f>IF(H8907="","",ROW()-4)</f>
        <v/>
      </c>
      <c r="B8907" s="13">
        <f>IF(H8907="","",ROW()-4)</f>
        <v/>
      </c>
    </row>
    <row r="8908">
      <c r="A8908" s="13">
        <f>IF(H8908="","",ROW()-4)</f>
        <v/>
      </c>
      <c r="B8908" s="13">
        <f>IF(H8908="","",ROW()-4)</f>
        <v/>
      </c>
    </row>
    <row r="8909">
      <c r="A8909" s="13">
        <f>IF(H8909="","",ROW()-4)</f>
        <v/>
      </c>
      <c r="B8909" s="13">
        <f>IF(H8909="","",ROW()-4)</f>
        <v/>
      </c>
    </row>
    <row r="8910">
      <c r="A8910" s="13">
        <f>IF(H8910="","",ROW()-4)</f>
        <v/>
      </c>
      <c r="B8910" s="13">
        <f>IF(H8910="","",ROW()-4)</f>
        <v/>
      </c>
    </row>
    <row r="8911">
      <c r="A8911" s="13">
        <f>IF(H8911="","",ROW()-4)</f>
        <v/>
      </c>
      <c r="B8911" s="13">
        <f>IF(H8911="","",ROW()-4)</f>
        <v/>
      </c>
    </row>
    <row r="8912">
      <c r="A8912" s="13">
        <f>IF(H8912="","",ROW()-4)</f>
        <v/>
      </c>
      <c r="B8912" s="13">
        <f>IF(H8912="","",ROW()-4)</f>
        <v/>
      </c>
    </row>
    <row r="8913">
      <c r="A8913" s="13">
        <f>IF(H8913="","",ROW()-4)</f>
        <v/>
      </c>
      <c r="B8913" s="13">
        <f>IF(H8913="","",ROW()-4)</f>
        <v/>
      </c>
    </row>
    <row r="8914">
      <c r="A8914" s="13">
        <f>IF(H8914="","",ROW()-4)</f>
        <v/>
      </c>
      <c r="B8914" s="13">
        <f>IF(H8914="","",ROW()-4)</f>
        <v/>
      </c>
    </row>
    <row r="8915">
      <c r="A8915" s="13">
        <f>IF(H8915="","",ROW()-4)</f>
        <v/>
      </c>
      <c r="B8915" s="13">
        <f>IF(H8915="","",ROW()-4)</f>
        <v/>
      </c>
    </row>
    <row r="8916">
      <c r="A8916" s="13">
        <f>IF(H8916="","",ROW()-4)</f>
        <v/>
      </c>
      <c r="B8916" s="13">
        <f>IF(H8916="","",ROW()-4)</f>
        <v/>
      </c>
    </row>
    <row r="8917">
      <c r="A8917" s="13">
        <f>IF(H8917="","",ROW()-4)</f>
        <v/>
      </c>
      <c r="B8917" s="13">
        <f>IF(H8917="","",ROW()-4)</f>
        <v/>
      </c>
    </row>
    <row r="8918">
      <c r="A8918" s="13">
        <f>IF(H8918="","",ROW()-4)</f>
        <v/>
      </c>
      <c r="B8918" s="13">
        <f>IF(H8918="","",ROW()-4)</f>
        <v/>
      </c>
    </row>
    <row r="8919">
      <c r="A8919" s="13">
        <f>IF(H8919="","",ROW()-4)</f>
        <v/>
      </c>
      <c r="B8919" s="13">
        <f>IF(H8919="","",ROW()-4)</f>
        <v/>
      </c>
    </row>
    <row r="8920">
      <c r="A8920" s="13">
        <f>IF(H8920="","",ROW()-4)</f>
        <v/>
      </c>
      <c r="B8920" s="13">
        <f>IF(H8920="","",ROW()-4)</f>
        <v/>
      </c>
    </row>
    <row r="8921">
      <c r="A8921" s="13">
        <f>IF(H8921="","",ROW()-4)</f>
        <v/>
      </c>
      <c r="B8921" s="13">
        <f>IF(H8921="","",ROW()-4)</f>
        <v/>
      </c>
    </row>
    <row r="8922">
      <c r="A8922" s="13">
        <f>IF(H8922="","",ROW()-4)</f>
        <v/>
      </c>
      <c r="B8922" s="13">
        <f>IF(H8922="","",ROW()-4)</f>
        <v/>
      </c>
    </row>
    <row r="8923">
      <c r="A8923" s="13">
        <f>IF(H8923="","",ROW()-4)</f>
        <v/>
      </c>
      <c r="B8923" s="13">
        <f>IF(H8923="","",ROW()-4)</f>
        <v/>
      </c>
    </row>
    <row r="8924">
      <c r="A8924" s="13">
        <f>IF(H8924="","",ROW()-4)</f>
        <v/>
      </c>
      <c r="B8924" s="13">
        <f>IF(H8924="","",ROW()-4)</f>
        <v/>
      </c>
    </row>
    <row r="8925">
      <c r="A8925" s="13">
        <f>IF(H8925="","",ROW()-4)</f>
        <v/>
      </c>
      <c r="B8925" s="13">
        <f>IF(H8925="","",ROW()-4)</f>
        <v/>
      </c>
    </row>
    <row r="8926">
      <c r="A8926" s="13">
        <f>IF(H8926="","",ROW()-4)</f>
        <v/>
      </c>
      <c r="B8926" s="13">
        <f>IF(H8926="","",ROW()-4)</f>
        <v/>
      </c>
    </row>
    <row r="8927">
      <c r="A8927" s="13">
        <f>IF(H8927="","",ROW()-4)</f>
        <v/>
      </c>
      <c r="B8927" s="13">
        <f>IF(H8927="","",ROW()-4)</f>
        <v/>
      </c>
    </row>
    <row r="8928">
      <c r="A8928" s="13">
        <f>IF(H8928="","",ROW()-4)</f>
        <v/>
      </c>
      <c r="B8928" s="13">
        <f>IF(H8928="","",ROW()-4)</f>
        <v/>
      </c>
    </row>
    <row r="8929">
      <c r="A8929" s="13">
        <f>IF(H8929="","",ROW()-4)</f>
        <v/>
      </c>
      <c r="B8929" s="13">
        <f>IF(H8929="","",ROW()-4)</f>
        <v/>
      </c>
    </row>
    <row r="8930">
      <c r="A8930" s="13">
        <f>IF(H8930="","",ROW()-4)</f>
        <v/>
      </c>
      <c r="B8930" s="13">
        <f>IF(H8930="","",ROW()-4)</f>
        <v/>
      </c>
    </row>
    <row r="8931">
      <c r="A8931" s="13">
        <f>IF(H8931="","",ROW()-4)</f>
        <v/>
      </c>
      <c r="B8931" s="13">
        <f>IF(H8931="","",ROW()-4)</f>
        <v/>
      </c>
    </row>
    <row r="8932">
      <c r="A8932" s="13">
        <f>IF(H8932="","",ROW()-4)</f>
        <v/>
      </c>
      <c r="B8932" s="13">
        <f>IF(H8932="","",ROW()-4)</f>
        <v/>
      </c>
    </row>
    <row r="8933">
      <c r="A8933" s="13">
        <f>IF(H8933="","",ROW()-4)</f>
        <v/>
      </c>
      <c r="B8933" s="13">
        <f>IF(H8933="","",ROW()-4)</f>
        <v/>
      </c>
    </row>
    <row r="8934">
      <c r="A8934" s="13">
        <f>IF(H8934="","",ROW()-4)</f>
        <v/>
      </c>
      <c r="B8934" s="13">
        <f>IF(H8934="","",ROW()-4)</f>
        <v/>
      </c>
    </row>
    <row r="8935">
      <c r="A8935" s="13">
        <f>IF(H8935="","",ROW()-4)</f>
        <v/>
      </c>
      <c r="B8935" s="13">
        <f>IF(H8935="","",ROW()-4)</f>
        <v/>
      </c>
    </row>
    <row r="8936">
      <c r="A8936" s="13">
        <f>IF(H8936="","",ROW()-4)</f>
        <v/>
      </c>
      <c r="B8936" s="13">
        <f>IF(H8936="","",ROW()-4)</f>
        <v/>
      </c>
    </row>
    <row r="8937">
      <c r="A8937" s="13">
        <f>IF(H8937="","",ROW()-4)</f>
        <v/>
      </c>
      <c r="B8937" s="13">
        <f>IF(H8937="","",ROW()-4)</f>
        <v/>
      </c>
    </row>
    <row r="8938">
      <c r="A8938" s="13">
        <f>IF(H8938="","",ROW()-4)</f>
        <v/>
      </c>
      <c r="B8938" s="13">
        <f>IF(H8938="","",ROW()-4)</f>
        <v/>
      </c>
    </row>
    <row r="8939">
      <c r="A8939" s="13">
        <f>IF(H8939="","",ROW()-4)</f>
        <v/>
      </c>
      <c r="B8939" s="13">
        <f>IF(H8939="","",ROW()-4)</f>
        <v/>
      </c>
    </row>
    <row r="8940">
      <c r="A8940" s="13">
        <f>IF(H8940="","",ROW()-4)</f>
        <v/>
      </c>
      <c r="B8940" s="13">
        <f>IF(H8940="","",ROW()-4)</f>
        <v/>
      </c>
    </row>
    <row r="8941">
      <c r="A8941" s="13">
        <f>IF(H8941="","",ROW()-4)</f>
        <v/>
      </c>
      <c r="B8941" s="13">
        <f>IF(H8941="","",ROW()-4)</f>
        <v/>
      </c>
    </row>
    <row r="8942">
      <c r="A8942" s="13">
        <f>IF(H8942="","",ROW()-4)</f>
        <v/>
      </c>
      <c r="B8942" s="13">
        <f>IF(H8942="","",ROW()-4)</f>
        <v/>
      </c>
    </row>
    <row r="8943">
      <c r="A8943" s="13">
        <f>IF(H8943="","",ROW()-4)</f>
        <v/>
      </c>
      <c r="B8943" s="13">
        <f>IF(H8943="","",ROW()-4)</f>
        <v/>
      </c>
    </row>
    <row r="8944">
      <c r="A8944" s="13">
        <f>IF(H8944="","",ROW()-4)</f>
        <v/>
      </c>
      <c r="B8944" s="13">
        <f>IF(H8944="","",ROW()-4)</f>
        <v/>
      </c>
    </row>
    <row r="8945">
      <c r="A8945" s="13">
        <f>IF(H8945="","",ROW()-4)</f>
        <v/>
      </c>
      <c r="B8945" s="13">
        <f>IF(H8945="","",ROW()-4)</f>
        <v/>
      </c>
    </row>
    <row r="8946">
      <c r="A8946" s="13">
        <f>IF(H8946="","",ROW()-4)</f>
        <v/>
      </c>
      <c r="B8946" s="13">
        <f>IF(H8946="","",ROW()-4)</f>
        <v/>
      </c>
    </row>
    <row r="8947">
      <c r="A8947" s="13">
        <f>IF(H8947="","",ROW()-4)</f>
        <v/>
      </c>
      <c r="B8947" s="13">
        <f>IF(H8947="","",ROW()-4)</f>
        <v/>
      </c>
    </row>
    <row r="8948">
      <c r="A8948" s="13">
        <f>IF(H8948="","",ROW()-4)</f>
        <v/>
      </c>
      <c r="B8948" s="13">
        <f>IF(H8948="","",ROW()-4)</f>
        <v/>
      </c>
    </row>
    <row r="8949">
      <c r="A8949" s="13">
        <f>IF(H8949="","",ROW()-4)</f>
        <v/>
      </c>
      <c r="B8949" s="13">
        <f>IF(H8949="","",ROW()-4)</f>
        <v/>
      </c>
    </row>
    <row r="8950">
      <c r="A8950" s="13">
        <f>IF(H8950="","",ROW()-4)</f>
        <v/>
      </c>
      <c r="B8950" s="13">
        <f>IF(H8950="","",ROW()-4)</f>
        <v/>
      </c>
    </row>
    <row r="8951">
      <c r="A8951" s="13">
        <f>IF(H8951="","",ROW()-4)</f>
        <v/>
      </c>
      <c r="B8951" s="13">
        <f>IF(H8951="","",ROW()-4)</f>
        <v/>
      </c>
    </row>
    <row r="8952">
      <c r="A8952" s="13">
        <f>IF(H8952="","",ROW()-4)</f>
        <v/>
      </c>
      <c r="B8952" s="13">
        <f>IF(H8952="","",ROW()-4)</f>
        <v/>
      </c>
    </row>
    <row r="8953">
      <c r="A8953" s="13">
        <f>IF(H8953="","",ROW()-4)</f>
        <v/>
      </c>
      <c r="B8953" s="13">
        <f>IF(H8953="","",ROW()-4)</f>
        <v/>
      </c>
    </row>
    <row r="8954">
      <c r="A8954" s="13">
        <f>IF(H8954="","",ROW()-4)</f>
        <v/>
      </c>
      <c r="B8954" s="13">
        <f>IF(H8954="","",ROW()-4)</f>
        <v/>
      </c>
    </row>
    <row r="8955">
      <c r="A8955" s="13">
        <f>IF(H8955="","",ROW()-4)</f>
        <v/>
      </c>
      <c r="B8955" s="13">
        <f>IF(H8955="","",ROW()-4)</f>
        <v/>
      </c>
    </row>
    <row r="8956">
      <c r="A8956" s="13">
        <f>IF(H8956="","",ROW()-4)</f>
        <v/>
      </c>
      <c r="B8956" s="13">
        <f>IF(H8956="","",ROW()-4)</f>
        <v/>
      </c>
    </row>
    <row r="8957">
      <c r="A8957" s="13">
        <f>IF(H8957="","",ROW()-4)</f>
        <v/>
      </c>
      <c r="B8957" s="13">
        <f>IF(H8957="","",ROW()-4)</f>
        <v/>
      </c>
    </row>
    <row r="8958">
      <c r="A8958" s="13">
        <f>IF(H8958="","",ROW()-4)</f>
        <v/>
      </c>
      <c r="B8958" s="13">
        <f>IF(H8958="","",ROW()-4)</f>
        <v/>
      </c>
    </row>
    <row r="8959">
      <c r="A8959" s="13">
        <f>IF(H8959="","",ROW()-4)</f>
        <v/>
      </c>
      <c r="B8959" s="13">
        <f>IF(H8959="","",ROW()-4)</f>
        <v/>
      </c>
    </row>
    <row r="8960">
      <c r="A8960" s="13">
        <f>IF(H8960="","",ROW()-4)</f>
        <v/>
      </c>
      <c r="B8960" s="13">
        <f>IF(H8960="","",ROW()-4)</f>
        <v/>
      </c>
    </row>
    <row r="8961">
      <c r="A8961" s="13">
        <f>IF(H8961="","",ROW()-4)</f>
        <v/>
      </c>
      <c r="B8961" s="13">
        <f>IF(H8961="","",ROW()-4)</f>
        <v/>
      </c>
    </row>
    <row r="8962">
      <c r="A8962" s="13">
        <f>IF(H8962="","",ROW()-4)</f>
        <v/>
      </c>
      <c r="B8962" s="13">
        <f>IF(H8962="","",ROW()-4)</f>
        <v/>
      </c>
    </row>
    <row r="8963">
      <c r="A8963" s="13">
        <f>IF(H8963="","",ROW()-4)</f>
        <v/>
      </c>
      <c r="B8963" s="13">
        <f>IF(H8963="","",ROW()-4)</f>
        <v/>
      </c>
    </row>
    <row r="8964">
      <c r="A8964" s="13">
        <f>IF(H8964="","",ROW()-4)</f>
        <v/>
      </c>
      <c r="B8964" s="13">
        <f>IF(H8964="","",ROW()-4)</f>
        <v/>
      </c>
    </row>
    <row r="8965">
      <c r="A8965" s="13">
        <f>IF(H8965="","",ROW()-4)</f>
        <v/>
      </c>
      <c r="B8965" s="13">
        <f>IF(H8965="","",ROW()-4)</f>
        <v/>
      </c>
    </row>
    <row r="8966">
      <c r="A8966" s="13">
        <f>IF(H8966="","",ROW()-4)</f>
        <v/>
      </c>
      <c r="B8966" s="13">
        <f>IF(H8966="","",ROW()-4)</f>
        <v/>
      </c>
    </row>
    <row r="8967">
      <c r="A8967" s="13">
        <f>IF(H8967="","",ROW()-4)</f>
        <v/>
      </c>
      <c r="B8967" s="13">
        <f>IF(H8967="","",ROW()-4)</f>
        <v/>
      </c>
    </row>
    <row r="8968">
      <c r="A8968" s="13">
        <f>IF(H8968="","",ROW()-4)</f>
        <v/>
      </c>
      <c r="B8968" s="13">
        <f>IF(H8968="","",ROW()-4)</f>
        <v/>
      </c>
    </row>
    <row r="8969">
      <c r="A8969" s="13">
        <f>IF(H8969="","",ROW()-4)</f>
        <v/>
      </c>
      <c r="B8969" s="13">
        <f>IF(H8969="","",ROW()-4)</f>
        <v/>
      </c>
    </row>
    <row r="8970">
      <c r="A8970" s="13">
        <f>IF(H8970="","",ROW()-4)</f>
        <v/>
      </c>
      <c r="B8970" s="13">
        <f>IF(H8970="","",ROW()-4)</f>
        <v/>
      </c>
    </row>
    <row r="8971">
      <c r="A8971" s="13">
        <f>IF(H8971="","",ROW()-4)</f>
        <v/>
      </c>
      <c r="B8971" s="13">
        <f>IF(H8971="","",ROW()-4)</f>
        <v/>
      </c>
    </row>
    <row r="8972">
      <c r="A8972" s="13">
        <f>IF(H8972="","",ROW()-4)</f>
        <v/>
      </c>
      <c r="B8972" s="13">
        <f>IF(H8972="","",ROW()-4)</f>
        <v/>
      </c>
    </row>
    <row r="8973">
      <c r="A8973" s="13">
        <f>IF(H8973="","",ROW()-4)</f>
        <v/>
      </c>
      <c r="B8973" s="13">
        <f>IF(H8973="","",ROW()-4)</f>
        <v/>
      </c>
    </row>
    <row r="8974">
      <c r="A8974" s="13">
        <f>IF(H8974="","",ROW()-4)</f>
        <v/>
      </c>
      <c r="B8974" s="13">
        <f>IF(H8974="","",ROW()-4)</f>
        <v/>
      </c>
    </row>
    <row r="8975">
      <c r="A8975" s="13">
        <f>IF(H8975="","",ROW()-4)</f>
        <v/>
      </c>
      <c r="B8975" s="13">
        <f>IF(H8975="","",ROW()-4)</f>
        <v/>
      </c>
    </row>
    <row r="8976">
      <c r="A8976" s="13">
        <f>IF(H8976="","",ROW()-4)</f>
        <v/>
      </c>
      <c r="B8976" s="13">
        <f>IF(H8976="","",ROW()-4)</f>
        <v/>
      </c>
    </row>
    <row r="8977">
      <c r="A8977" s="13">
        <f>IF(H8977="","",ROW()-4)</f>
        <v/>
      </c>
      <c r="B8977" s="13">
        <f>IF(H8977="","",ROW()-4)</f>
        <v/>
      </c>
    </row>
    <row r="8978">
      <c r="A8978" s="13">
        <f>IF(H8978="","",ROW()-4)</f>
        <v/>
      </c>
      <c r="B8978" s="13">
        <f>IF(H8978="","",ROW()-4)</f>
        <v/>
      </c>
    </row>
    <row r="8979">
      <c r="A8979" s="13">
        <f>IF(H8979="","",ROW()-4)</f>
        <v/>
      </c>
      <c r="B8979" s="13">
        <f>IF(H8979="","",ROW()-4)</f>
        <v/>
      </c>
    </row>
    <row r="8980">
      <c r="A8980" s="13">
        <f>IF(H8980="","",ROW()-4)</f>
        <v/>
      </c>
      <c r="B8980" s="13">
        <f>IF(H8980="","",ROW()-4)</f>
        <v/>
      </c>
    </row>
    <row r="8981">
      <c r="A8981" s="13">
        <f>IF(H8981="","",ROW()-4)</f>
        <v/>
      </c>
      <c r="B8981" s="13">
        <f>IF(H8981="","",ROW()-4)</f>
        <v/>
      </c>
    </row>
    <row r="8982">
      <c r="A8982" s="13">
        <f>IF(H8982="","",ROW()-4)</f>
        <v/>
      </c>
      <c r="B8982" s="13">
        <f>IF(H8982="","",ROW()-4)</f>
        <v/>
      </c>
    </row>
    <row r="8983">
      <c r="A8983" s="13">
        <f>IF(H8983="","",ROW()-4)</f>
        <v/>
      </c>
      <c r="B8983" s="13">
        <f>IF(H8983="","",ROW()-4)</f>
        <v/>
      </c>
    </row>
    <row r="8984">
      <c r="A8984" s="13">
        <f>IF(H8984="","",ROW()-4)</f>
        <v/>
      </c>
      <c r="B8984" s="13">
        <f>IF(H8984="","",ROW()-4)</f>
        <v/>
      </c>
    </row>
    <row r="8985">
      <c r="A8985" s="13">
        <f>IF(H8985="","",ROW()-4)</f>
        <v/>
      </c>
      <c r="B8985" s="13">
        <f>IF(H8985="","",ROW()-4)</f>
        <v/>
      </c>
    </row>
    <row r="8986">
      <c r="A8986" s="13">
        <f>IF(H8986="","",ROW()-4)</f>
        <v/>
      </c>
      <c r="B8986" s="13">
        <f>IF(H8986="","",ROW()-4)</f>
        <v/>
      </c>
    </row>
    <row r="8987">
      <c r="A8987" s="13">
        <f>IF(H8987="","",ROW()-4)</f>
        <v/>
      </c>
      <c r="B8987" s="13">
        <f>IF(H8987="","",ROW()-4)</f>
        <v/>
      </c>
    </row>
    <row r="8988">
      <c r="A8988" s="13">
        <f>IF(H8988="","",ROW()-4)</f>
        <v/>
      </c>
      <c r="B8988" s="13">
        <f>IF(H8988="","",ROW()-4)</f>
        <v/>
      </c>
    </row>
    <row r="8989">
      <c r="A8989" s="13">
        <f>IF(H8989="","",ROW()-4)</f>
        <v/>
      </c>
      <c r="B8989" s="13">
        <f>IF(H8989="","",ROW()-4)</f>
        <v/>
      </c>
    </row>
    <row r="8990">
      <c r="A8990" s="13">
        <f>IF(H8990="","",ROW()-4)</f>
        <v/>
      </c>
      <c r="B8990" s="13">
        <f>IF(H8990="","",ROW()-4)</f>
        <v/>
      </c>
    </row>
    <row r="8991">
      <c r="A8991" s="13">
        <f>IF(H8991="","",ROW()-4)</f>
        <v/>
      </c>
      <c r="B8991" s="13">
        <f>IF(H8991="","",ROW()-4)</f>
        <v/>
      </c>
    </row>
    <row r="8992">
      <c r="A8992" s="13">
        <f>IF(H8992="","",ROW()-4)</f>
        <v/>
      </c>
      <c r="B8992" s="13">
        <f>IF(H8992="","",ROW()-4)</f>
        <v/>
      </c>
    </row>
    <row r="8993">
      <c r="A8993" s="13">
        <f>IF(H8993="","",ROW()-4)</f>
        <v/>
      </c>
      <c r="B8993" s="13">
        <f>IF(H8993="","",ROW()-4)</f>
        <v/>
      </c>
    </row>
    <row r="8994">
      <c r="A8994" s="13">
        <f>IF(H8994="","",ROW()-4)</f>
        <v/>
      </c>
      <c r="B8994" s="13">
        <f>IF(H8994="","",ROW()-4)</f>
        <v/>
      </c>
    </row>
    <row r="8995">
      <c r="A8995" s="13">
        <f>IF(H8995="","",ROW()-4)</f>
        <v/>
      </c>
      <c r="B8995" s="13">
        <f>IF(H8995="","",ROW()-4)</f>
        <v/>
      </c>
    </row>
    <row r="8996">
      <c r="A8996" s="13">
        <f>IF(H8996="","",ROW()-4)</f>
        <v/>
      </c>
      <c r="B8996" s="13">
        <f>IF(H8996="","",ROW()-4)</f>
        <v/>
      </c>
    </row>
    <row r="8997">
      <c r="A8997" s="13">
        <f>IF(H8997="","",ROW()-4)</f>
        <v/>
      </c>
      <c r="B8997" s="13">
        <f>IF(H8997="","",ROW()-4)</f>
        <v/>
      </c>
    </row>
    <row r="8998">
      <c r="A8998" s="13">
        <f>IF(H8998="","",ROW()-4)</f>
        <v/>
      </c>
      <c r="B8998" s="13">
        <f>IF(H8998="","",ROW()-4)</f>
        <v/>
      </c>
    </row>
    <row r="8999">
      <c r="A8999" s="13">
        <f>IF(H8999="","",ROW()-4)</f>
        <v/>
      </c>
      <c r="B8999" s="13">
        <f>IF(H8999="","",ROW()-4)</f>
        <v/>
      </c>
    </row>
    <row r="9000">
      <c r="A9000" s="13">
        <f>IF(H9000="","",ROW()-4)</f>
        <v/>
      </c>
      <c r="B9000" s="13">
        <f>IF(H9000="","",ROW()-4)</f>
        <v/>
      </c>
    </row>
    <row r="9001">
      <c r="A9001" s="13">
        <f>IF(H9001="","",ROW()-4)</f>
        <v/>
      </c>
      <c r="B9001" s="13">
        <f>IF(H9001="","",ROW()-4)</f>
        <v/>
      </c>
    </row>
    <row r="9002">
      <c r="A9002" s="13">
        <f>IF(H9002="","",ROW()-4)</f>
        <v/>
      </c>
      <c r="B9002" s="13">
        <f>IF(H9002="","",ROW()-4)</f>
        <v/>
      </c>
    </row>
    <row r="9003">
      <c r="A9003" s="13">
        <f>IF(H9003="","",ROW()-4)</f>
        <v/>
      </c>
      <c r="B9003" s="13">
        <f>IF(H9003="","",ROW()-4)</f>
        <v/>
      </c>
    </row>
    <row r="9004">
      <c r="A9004" s="13">
        <f>IF(H9004="","",ROW()-4)</f>
        <v/>
      </c>
      <c r="B9004" s="13">
        <f>IF(H9004="","",ROW()-4)</f>
        <v/>
      </c>
    </row>
    <row r="9005">
      <c r="A9005" s="13">
        <f>IF(H9005="","",ROW()-4)</f>
        <v/>
      </c>
      <c r="B9005" s="13">
        <f>IF(H9005="","",ROW()-4)</f>
        <v/>
      </c>
    </row>
    <row r="9006">
      <c r="A9006" s="13">
        <f>IF(H9006="","",ROW()-4)</f>
        <v/>
      </c>
      <c r="B9006" s="13">
        <f>IF(H9006="","",ROW()-4)</f>
        <v/>
      </c>
    </row>
    <row r="9007">
      <c r="A9007" s="13">
        <f>IF(H9007="","",ROW()-4)</f>
        <v/>
      </c>
      <c r="B9007" s="13">
        <f>IF(H9007="","",ROW()-4)</f>
        <v/>
      </c>
    </row>
    <row r="9008">
      <c r="A9008" s="13">
        <f>IF(H9008="","",ROW()-4)</f>
        <v/>
      </c>
      <c r="B9008" s="13">
        <f>IF(H9008="","",ROW()-4)</f>
        <v/>
      </c>
    </row>
    <row r="9009">
      <c r="A9009" s="13">
        <f>IF(H9009="","",ROW()-4)</f>
        <v/>
      </c>
      <c r="B9009" s="13">
        <f>IF(H9009="","",ROW()-4)</f>
        <v/>
      </c>
    </row>
    <row r="9010">
      <c r="A9010" s="13">
        <f>IF(H9010="","",ROW()-4)</f>
        <v/>
      </c>
      <c r="B9010" s="13">
        <f>IF(H9010="","",ROW()-4)</f>
        <v/>
      </c>
    </row>
    <row r="9011">
      <c r="A9011" s="13">
        <f>IF(H9011="","",ROW()-4)</f>
        <v/>
      </c>
      <c r="B9011" s="13">
        <f>IF(H9011="","",ROW()-4)</f>
        <v/>
      </c>
    </row>
    <row r="9012">
      <c r="A9012" s="13">
        <f>IF(H9012="","",ROW()-4)</f>
        <v/>
      </c>
      <c r="B9012" s="13">
        <f>IF(H9012="","",ROW()-4)</f>
        <v/>
      </c>
    </row>
    <row r="9013">
      <c r="A9013" s="13">
        <f>IF(H9013="","",ROW()-4)</f>
        <v/>
      </c>
      <c r="B9013" s="13">
        <f>IF(H9013="","",ROW()-4)</f>
        <v/>
      </c>
    </row>
    <row r="9014">
      <c r="A9014" s="13">
        <f>IF(H9014="","",ROW()-4)</f>
        <v/>
      </c>
      <c r="B9014" s="13">
        <f>IF(H9014="","",ROW()-4)</f>
        <v/>
      </c>
    </row>
    <row r="9015">
      <c r="A9015" s="13">
        <f>IF(H9015="","",ROW()-4)</f>
        <v/>
      </c>
      <c r="B9015" s="13">
        <f>IF(H9015="","",ROW()-4)</f>
        <v/>
      </c>
    </row>
    <row r="9016">
      <c r="A9016" s="13">
        <f>IF(H9016="","",ROW()-4)</f>
        <v/>
      </c>
      <c r="B9016" s="13">
        <f>IF(H9016="","",ROW()-4)</f>
        <v/>
      </c>
    </row>
    <row r="9017">
      <c r="A9017" s="13">
        <f>IF(H9017="","",ROW()-4)</f>
        <v/>
      </c>
      <c r="B9017" s="13">
        <f>IF(H9017="","",ROW()-4)</f>
        <v/>
      </c>
    </row>
    <row r="9018">
      <c r="A9018" s="13">
        <f>IF(H9018="","",ROW()-4)</f>
        <v/>
      </c>
      <c r="B9018" s="13">
        <f>IF(H9018="","",ROW()-4)</f>
        <v/>
      </c>
    </row>
    <row r="9019">
      <c r="A9019" s="13">
        <f>IF(H9019="","",ROW()-4)</f>
        <v/>
      </c>
      <c r="B9019" s="13">
        <f>IF(H9019="","",ROW()-4)</f>
        <v/>
      </c>
    </row>
    <row r="9020">
      <c r="A9020" s="13">
        <f>IF(H9020="","",ROW()-4)</f>
        <v/>
      </c>
      <c r="B9020" s="13">
        <f>IF(H9020="","",ROW()-4)</f>
        <v/>
      </c>
    </row>
    <row r="9021">
      <c r="A9021" s="13">
        <f>IF(H9021="","",ROW()-4)</f>
        <v/>
      </c>
      <c r="B9021" s="13">
        <f>IF(H9021="","",ROW()-4)</f>
        <v/>
      </c>
    </row>
    <row r="9022">
      <c r="A9022" s="13">
        <f>IF(H9022="","",ROW()-4)</f>
        <v/>
      </c>
      <c r="B9022" s="13">
        <f>IF(H9022="","",ROW()-4)</f>
        <v/>
      </c>
    </row>
    <row r="9023">
      <c r="A9023" s="13">
        <f>IF(H9023="","",ROW()-4)</f>
        <v/>
      </c>
      <c r="B9023" s="13">
        <f>IF(H9023="","",ROW()-4)</f>
        <v/>
      </c>
    </row>
    <row r="9024">
      <c r="A9024" s="13">
        <f>IF(H9024="","",ROW()-4)</f>
        <v/>
      </c>
      <c r="B9024" s="13">
        <f>IF(H9024="","",ROW()-4)</f>
        <v/>
      </c>
    </row>
    <row r="9025">
      <c r="A9025" s="13">
        <f>IF(H9025="","",ROW()-4)</f>
        <v/>
      </c>
      <c r="B9025" s="13">
        <f>IF(H9025="","",ROW()-4)</f>
        <v/>
      </c>
    </row>
    <row r="9026">
      <c r="A9026" s="13">
        <f>IF(H9026="","",ROW()-4)</f>
        <v/>
      </c>
      <c r="B9026" s="13">
        <f>IF(H9026="","",ROW()-4)</f>
        <v/>
      </c>
    </row>
    <row r="9027">
      <c r="A9027" s="13">
        <f>IF(H9027="","",ROW()-4)</f>
        <v/>
      </c>
      <c r="B9027" s="13">
        <f>IF(H9027="","",ROW()-4)</f>
        <v/>
      </c>
    </row>
    <row r="9028">
      <c r="A9028" s="13">
        <f>IF(H9028="","",ROW()-4)</f>
        <v/>
      </c>
      <c r="B9028" s="13">
        <f>IF(H9028="","",ROW()-4)</f>
        <v/>
      </c>
    </row>
    <row r="9029">
      <c r="A9029" s="13">
        <f>IF(H9029="","",ROW()-4)</f>
        <v/>
      </c>
      <c r="B9029" s="13">
        <f>IF(H9029="","",ROW()-4)</f>
        <v/>
      </c>
    </row>
    <row r="9030">
      <c r="A9030" s="13">
        <f>IF(H9030="","",ROW()-4)</f>
        <v/>
      </c>
      <c r="B9030" s="13">
        <f>IF(H9030="","",ROW()-4)</f>
        <v/>
      </c>
    </row>
    <row r="9031">
      <c r="A9031" s="13">
        <f>IF(H9031="","",ROW()-4)</f>
        <v/>
      </c>
      <c r="B9031" s="13">
        <f>IF(H9031="","",ROW()-4)</f>
        <v/>
      </c>
    </row>
    <row r="9032">
      <c r="A9032" s="13">
        <f>IF(H9032="","",ROW()-4)</f>
        <v/>
      </c>
      <c r="B9032" s="13">
        <f>IF(H9032="","",ROW()-4)</f>
        <v/>
      </c>
    </row>
    <row r="9033">
      <c r="A9033" s="13">
        <f>IF(H9033="","",ROW()-4)</f>
        <v/>
      </c>
      <c r="B9033" s="13">
        <f>IF(H9033="","",ROW()-4)</f>
        <v/>
      </c>
    </row>
    <row r="9034">
      <c r="A9034" s="13">
        <f>IF(H9034="","",ROW()-4)</f>
        <v/>
      </c>
      <c r="B9034" s="13">
        <f>IF(H9034="","",ROW()-4)</f>
        <v/>
      </c>
    </row>
    <row r="9035">
      <c r="A9035" s="13">
        <f>IF(H9035="","",ROW()-4)</f>
        <v/>
      </c>
      <c r="B9035" s="13">
        <f>IF(H9035="","",ROW()-4)</f>
        <v/>
      </c>
    </row>
    <row r="9036">
      <c r="A9036" s="13">
        <f>IF(H9036="","",ROW()-4)</f>
        <v/>
      </c>
      <c r="B9036" s="13">
        <f>IF(H9036="","",ROW()-4)</f>
        <v/>
      </c>
    </row>
    <row r="9037">
      <c r="A9037" s="13">
        <f>IF(H9037="","",ROW()-4)</f>
        <v/>
      </c>
      <c r="B9037" s="13">
        <f>IF(H9037="","",ROW()-4)</f>
        <v/>
      </c>
    </row>
    <row r="9038">
      <c r="A9038" s="13">
        <f>IF(H9038="","",ROW()-4)</f>
        <v/>
      </c>
      <c r="B9038" s="13">
        <f>IF(H9038="","",ROW()-4)</f>
        <v/>
      </c>
    </row>
    <row r="9039">
      <c r="A9039" s="13">
        <f>IF(H9039="","",ROW()-4)</f>
        <v/>
      </c>
      <c r="B9039" s="13">
        <f>IF(H9039="","",ROW()-4)</f>
        <v/>
      </c>
    </row>
    <row r="9040">
      <c r="A9040" s="13">
        <f>IF(H9040="","",ROW()-4)</f>
        <v/>
      </c>
      <c r="B9040" s="13">
        <f>IF(H9040="","",ROW()-4)</f>
        <v/>
      </c>
    </row>
    <row r="9041">
      <c r="A9041" s="13">
        <f>IF(H9041="","",ROW()-4)</f>
        <v/>
      </c>
      <c r="B9041" s="13">
        <f>IF(H9041="","",ROW()-4)</f>
        <v/>
      </c>
    </row>
    <row r="9042">
      <c r="A9042" s="13">
        <f>IF(H9042="","",ROW()-4)</f>
        <v/>
      </c>
      <c r="B9042" s="13">
        <f>IF(H9042="","",ROW()-4)</f>
        <v/>
      </c>
    </row>
    <row r="9043">
      <c r="A9043" s="13">
        <f>IF(H9043="","",ROW()-4)</f>
        <v/>
      </c>
      <c r="B9043" s="13">
        <f>IF(H9043="","",ROW()-4)</f>
        <v/>
      </c>
    </row>
    <row r="9044">
      <c r="A9044" s="13">
        <f>IF(H9044="","",ROW()-4)</f>
        <v/>
      </c>
      <c r="B9044" s="13">
        <f>IF(H9044="","",ROW()-4)</f>
        <v/>
      </c>
    </row>
    <row r="9045">
      <c r="A9045" s="13">
        <f>IF(H9045="","",ROW()-4)</f>
        <v/>
      </c>
      <c r="B9045" s="13">
        <f>IF(H9045="","",ROW()-4)</f>
        <v/>
      </c>
    </row>
    <row r="9046">
      <c r="A9046" s="13">
        <f>IF(H9046="","",ROW()-4)</f>
        <v/>
      </c>
      <c r="B9046" s="13">
        <f>IF(H9046="","",ROW()-4)</f>
        <v/>
      </c>
    </row>
    <row r="9047">
      <c r="A9047" s="13">
        <f>IF(H9047="","",ROW()-4)</f>
        <v/>
      </c>
      <c r="B9047" s="13">
        <f>IF(H9047="","",ROW()-4)</f>
        <v/>
      </c>
    </row>
    <row r="9048">
      <c r="A9048" s="13">
        <f>IF(H9048="","",ROW()-4)</f>
        <v/>
      </c>
      <c r="B9048" s="13">
        <f>IF(H9048="","",ROW()-4)</f>
        <v/>
      </c>
    </row>
    <row r="9049">
      <c r="A9049" s="13">
        <f>IF(H9049="","",ROW()-4)</f>
        <v/>
      </c>
      <c r="B9049" s="13">
        <f>IF(H9049="","",ROW()-4)</f>
        <v/>
      </c>
    </row>
    <row r="9050">
      <c r="A9050" s="13">
        <f>IF(H9050="","",ROW()-4)</f>
        <v/>
      </c>
      <c r="B9050" s="13">
        <f>IF(H9050="","",ROW()-4)</f>
        <v/>
      </c>
    </row>
    <row r="9051">
      <c r="A9051" s="13">
        <f>IF(H9051="","",ROW()-4)</f>
        <v/>
      </c>
      <c r="B9051" s="13">
        <f>IF(H9051="","",ROW()-4)</f>
        <v/>
      </c>
    </row>
    <row r="9052">
      <c r="A9052" s="13">
        <f>IF(H9052="","",ROW()-4)</f>
        <v/>
      </c>
      <c r="B9052" s="13">
        <f>IF(H9052="","",ROW()-4)</f>
        <v/>
      </c>
    </row>
    <row r="9053">
      <c r="A9053" s="13">
        <f>IF(H9053="","",ROW()-4)</f>
        <v/>
      </c>
      <c r="B9053" s="13">
        <f>IF(H9053="","",ROW()-4)</f>
        <v/>
      </c>
    </row>
    <row r="9054">
      <c r="A9054" s="13">
        <f>IF(H9054="","",ROW()-4)</f>
        <v/>
      </c>
      <c r="B9054" s="13">
        <f>IF(H9054="","",ROW()-4)</f>
        <v/>
      </c>
    </row>
    <row r="9055">
      <c r="A9055" s="13">
        <f>IF(H9055="","",ROW()-4)</f>
        <v/>
      </c>
      <c r="B9055" s="13">
        <f>IF(H9055="","",ROW()-4)</f>
        <v/>
      </c>
    </row>
    <row r="9056">
      <c r="A9056" s="13">
        <f>IF(H9056="","",ROW()-4)</f>
        <v/>
      </c>
      <c r="B9056" s="13">
        <f>IF(H9056="","",ROW()-4)</f>
        <v/>
      </c>
    </row>
    <row r="9057">
      <c r="A9057" s="13">
        <f>IF(H9057="","",ROW()-4)</f>
        <v/>
      </c>
      <c r="B9057" s="13">
        <f>IF(H9057="","",ROW()-4)</f>
        <v/>
      </c>
    </row>
    <row r="9058">
      <c r="A9058" s="13">
        <f>IF(H9058="","",ROW()-4)</f>
        <v/>
      </c>
      <c r="B9058" s="13">
        <f>IF(H9058="","",ROW()-4)</f>
        <v/>
      </c>
    </row>
    <row r="9059">
      <c r="A9059" s="13">
        <f>IF(H9059="","",ROW()-4)</f>
        <v/>
      </c>
      <c r="B9059" s="13">
        <f>IF(H9059="","",ROW()-4)</f>
        <v/>
      </c>
    </row>
    <row r="9060">
      <c r="A9060" s="13">
        <f>IF(H9060="","",ROW()-4)</f>
        <v/>
      </c>
      <c r="B9060" s="13">
        <f>IF(H9060="","",ROW()-4)</f>
        <v/>
      </c>
    </row>
    <row r="9061">
      <c r="A9061" s="13">
        <f>IF(H9061="","",ROW()-4)</f>
        <v/>
      </c>
      <c r="B9061" s="13">
        <f>IF(H9061="","",ROW()-4)</f>
        <v/>
      </c>
    </row>
    <row r="9062">
      <c r="A9062" s="13">
        <f>IF(H9062="","",ROW()-4)</f>
        <v/>
      </c>
      <c r="B9062" s="13">
        <f>IF(H9062="","",ROW()-4)</f>
        <v/>
      </c>
    </row>
    <row r="9063">
      <c r="A9063" s="13">
        <f>IF(H9063="","",ROW()-4)</f>
        <v/>
      </c>
      <c r="B9063" s="13">
        <f>IF(H9063="","",ROW()-4)</f>
        <v/>
      </c>
    </row>
    <row r="9064">
      <c r="A9064" s="13">
        <f>IF(H9064="","",ROW()-4)</f>
        <v/>
      </c>
      <c r="B9064" s="13">
        <f>IF(H9064="","",ROW()-4)</f>
        <v/>
      </c>
    </row>
    <row r="9065">
      <c r="A9065" s="13">
        <f>IF(H9065="","",ROW()-4)</f>
        <v/>
      </c>
      <c r="B9065" s="13">
        <f>IF(H9065="","",ROW()-4)</f>
        <v/>
      </c>
    </row>
    <row r="9066">
      <c r="A9066" s="13">
        <f>IF(H9066="","",ROW()-4)</f>
        <v/>
      </c>
      <c r="B9066" s="13">
        <f>IF(H9066="","",ROW()-4)</f>
        <v/>
      </c>
    </row>
    <row r="9067">
      <c r="A9067" s="13">
        <f>IF(H9067="","",ROW()-4)</f>
        <v/>
      </c>
      <c r="B9067" s="13">
        <f>IF(H9067="","",ROW()-4)</f>
        <v/>
      </c>
    </row>
    <row r="9068">
      <c r="A9068" s="13">
        <f>IF(H9068="","",ROW()-4)</f>
        <v/>
      </c>
      <c r="B9068" s="13">
        <f>IF(H9068="","",ROW()-4)</f>
        <v/>
      </c>
    </row>
    <row r="9069">
      <c r="A9069" s="13">
        <f>IF(H9069="","",ROW()-4)</f>
        <v/>
      </c>
      <c r="B9069" s="13">
        <f>IF(H9069="","",ROW()-4)</f>
        <v/>
      </c>
    </row>
    <row r="9070">
      <c r="A9070" s="13">
        <f>IF(H9070="","",ROW()-4)</f>
        <v/>
      </c>
      <c r="B9070" s="13">
        <f>IF(H9070="","",ROW()-4)</f>
        <v/>
      </c>
    </row>
    <row r="9071">
      <c r="A9071" s="13">
        <f>IF(H9071="","",ROW()-4)</f>
        <v/>
      </c>
      <c r="B9071" s="13">
        <f>IF(H9071="","",ROW()-4)</f>
        <v/>
      </c>
    </row>
    <row r="9072">
      <c r="A9072" s="13">
        <f>IF(H9072="","",ROW()-4)</f>
        <v/>
      </c>
      <c r="B9072" s="13">
        <f>IF(H9072="","",ROW()-4)</f>
        <v/>
      </c>
    </row>
    <row r="9073">
      <c r="A9073" s="13">
        <f>IF(H9073="","",ROW()-4)</f>
        <v/>
      </c>
      <c r="B9073" s="13">
        <f>IF(H9073="","",ROW()-4)</f>
        <v/>
      </c>
    </row>
    <row r="9074">
      <c r="A9074" s="13">
        <f>IF(H9074="","",ROW()-4)</f>
        <v/>
      </c>
      <c r="B9074" s="13">
        <f>IF(H9074="","",ROW()-4)</f>
        <v/>
      </c>
    </row>
    <row r="9075">
      <c r="A9075" s="13">
        <f>IF(H9075="","",ROW()-4)</f>
        <v/>
      </c>
      <c r="B9075" s="13">
        <f>IF(H9075="","",ROW()-4)</f>
        <v/>
      </c>
    </row>
    <row r="9076">
      <c r="A9076" s="13">
        <f>IF(H9076="","",ROW()-4)</f>
        <v/>
      </c>
      <c r="B9076" s="13">
        <f>IF(H9076="","",ROW()-4)</f>
        <v/>
      </c>
    </row>
    <row r="9077">
      <c r="A9077" s="13">
        <f>IF(H9077="","",ROW()-4)</f>
        <v/>
      </c>
      <c r="B9077" s="13">
        <f>IF(H9077="","",ROW()-4)</f>
        <v/>
      </c>
    </row>
    <row r="9078">
      <c r="A9078" s="13">
        <f>IF(H9078="","",ROW()-4)</f>
        <v/>
      </c>
      <c r="B9078" s="13">
        <f>IF(H9078="","",ROW()-4)</f>
        <v/>
      </c>
    </row>
    <row r="9079">
      <c r="A9079" s="13">
        <f>IF(H9079="","",ROW()-4)</f>
        <v/>
      </c>
      <c r="B9079" s="13">
        <f>IF(H9079="","",ROW()-4)</f>
        <v/>
      </c>
    </row>
    <row r="9080">
      <c r="A9080" s="13">
        <f>IF(H9080="","",ROW()-4)</f>
        <v/>
      </c>
      <c r="B9080" s="13">
        <f>IF(H9080="","",ROW()-4)</f>
        <v/>
      </c>
    </row>
    <row r="9081">
      <c r="A9081" s="13">
        <f>IF(H9081="","",ROW()-4)</f>
        <v/>
      </c>
      <c r="B9081" s="13">
        <f>IF(H9081="","",ROW()-4)</f>
        <v/>
      </c>
    </row>
    <row r="9082">
      <c r="A9082" s="13">
        <f>IF(H9082="","",ROW()-4)</f>
        <v/>
      </c>
      <c r="B9082" s="13">
        <f>IF(H9082="","",ROW()-4)</f>
        <v/>
      </c>
    </row>
    <row r="9083">
      <c r="A9083" s="13">
        <f>IF(H9083="","",ROW()-4)</f>
        <v/>
      </c>
      <c r="B9083" s="13">
        <f>IF(H9083="","",ROW()-4)</f>
        <v/>
      </c>
    </row>
    <row r="9084">
      <c r="A9084" s="13">
        <f>IF(H9084="","",ROW()-4)</f>
        <v/>
      </c>
      <c r="B9084" s="13">
        <f>IF(H9084="","",ROW()-4)</f>
        <v/>
      </c>
    </row>
    <row r="9085">
      <c r="A9085" s="13">
        <f>IF(H9085="","",ROW()-4)</f>
        <v/>
      </c>
      <c r="B9085" s="13">
        <f>IF(H9085="","",ROW()-4)</f>
        <v/>
      </c>
    </row>
    <row r="9086">
      <c r="A9086" s="13">
        <f>IF(H9086="","",ROW()-4)</f>
        <v/>
      </c>
      <c r="B9086" s="13">
        <f>IF(H9086="","",ROW()-4)</f>
        <v/>
      </c>
    </row>
    <row r="9087">
      <c r="A9087" s="13">
        <f>IF(H9087="","",ROW()-4)</f>
        <v/>
      </c>
      <c r="B9087" s="13">
        <f>IF(H9087="","",ROW()-4)</f>
        <v/>
      </c>
    </row>
    <row r="9088">
      <c r="A9088" s="13">
        <f>IF(H9088="","",ROW()-4)</f>
        <v/>
      </c>
      <c r="B9088" s="13">
        <f>IF(H9088="","",ROW()-4)</f>
        <v/>
      </c>
    </row>
    <row r="9089">
      <c r="A9089" s="13">
        <f>IF(H9089="","",ROW()-4)</f>
        <v/>
      </c>
      <c r="B9089" s="13">
        <f>IF(H9089="","",ROW()-4)</f>
        <v/>
      </c>
    </row>
    <row r="9090">
      <c r="A9090" s="13">
        <f>IF(H9090="","",ROW()-4)</f>
        <v/>
      </c>
      <c r="B9090" s="13">
        <f>IF(H9090="","",ROW()-4)</f>
        <v/>
      </c>
    </row>
    <row r="9091">
      <c r="A9091" s="13">
        <f>IF(H9091="","",ROW()-4)</f>
        <v/>
      </c>
      <c r="B9091" s="13">
        <f>IF(H9091="","",ROW()-4)</f>
        <v/>
      </c>
    </row>
    <row r="9092">
      <c r="A9092" s="13">
        <f>IF(H9092="","",ROW()-4)</f>
        <v/>
      </c>
      <c r="B9092" s="13">
        <f>IF(H9092="","",ROW()-4)</f>
        <v/>
      </c>
    </row>
    <row r="9093">
      <c r="A9093" s="13">
        <f>IF(H9093="","",ROW()-4)</f>
        <v/>
      </c>
      <c r="B9093" s="13">
        <f>IF(H9093="","",ROW()-4)</f>
        <v/>
      </c>
    </row>
    <row r="9094">
      <c r="A9094" s="13">
        <f>IF(H9094="","",ROW()-4)</f>
        <v/>
      </c>
      <c r="B9094" s="13">
        <f>IF(H9094="","",ROW()-4)</f>
        <v/>
      </c>
    </row>
    <row r="9095">
      <c r="A9095" s="13">
        <f>IF(H9095="","",ROW()-4)</f>
        <v/>
      </c>
      <c r="B9095" s="13">
        <f>IF(H9095="","",ROW()-4)</f>
        <v/>
      </c>
    </row>
    <row r="9096">
      <c r="A9096" s="13">
        <f>IF(H9096="","",ROW()-4)</f>
        <v/>
      </c>
      <c r="B9096" s="13">
        <f>IF(H9096="","",ROW()-4)</f>
        <v/>
      </c>
    </row>
    <row r="9097">
      <c r="A9097" s="13">
        <f>IF(H9097="","",ROW()-4)</f>
        <v/>
      </c>
      <c r="B9097" s="13">
        <f>IF(H9097="","",ROW()-4)</f>
        <v/>
      </c>
    </row>
    <row r="9098">
      <c r="A9098" s="13">
        <f>IF(H9098="","",ROW()-4)</f>
        <v/>
      </c>
      <c r="B9098" s="13">
        <f>IF(H9098="","",ROW()-4)</f>
        <v/>
      </c>
    </row>
    <row r="9099">
      <c r="A9099" s="13">
        <f>IF(H9099="","",ROW()-4)</f>
        <v/>
      </c>
      <c r="B9099" s="13">
        <f>IF(H9099="","",ROW()-4)</f>
        <v/>
      </c>
    </row>
    <row r="9100">
      <c r="A9100" s="13">
        <f>IF(H9100="","",ROW()-4)</f>
        <v/>
      </c>
      <c r="B9100" s="13">
        <f>IF(H9100="","",ROW()-4)</f>
        <v/>
      </c>
    </row>
    <row r="9101">
      <c r="A9101" s="13">
        <f>IF(H9101="","",ROW()-4)</f>
        <v/>
      </c>
      <c r="B9101" s="13">
        <f>IF(H9101="","",ROW()-4)</f>
        <v/>
      </c>
    </row>
    <row r="9102">
      <c r="A9102" s="13">
        <f>IF(H9102="","",ROW()-4)</f>
        <v/>
      </c>
      <c r="B9102" s="13">
        <f>IF(H9102="","",ROW()-4)</f>
        <v/>
      </c>
    </row>
    <row r="9103">
      <c r="A9103" s="13">
        <f>IF(H9103="","",ROW()-4)</f>
        <v/>
      </c>
      <c r="B9103" s="13">
        <f>IF(H9103="","",ROW()-4)</f>
        <v/>
      </c>
    </row>
    <row r="9104">
      <c r="A9104" s="13">
        <f>IF(H9104="","",ROW()-4)</f>
        <v/>
      </c>
      <c r="B9104" s="13">
        <f>IF(H9104="","",ROW()-4)</f>
        <v/>
      </c>
    </row>
    <row r="9105">
      <c r="A9105" s="13">
        <f>IF(H9105="","",ROW()-4)</f>
        <v/>
      </c>
      <c r="B9105" s="13">
        <f>IF(H9105="","",ROW()-4)</f>
        <v/>
      </c>
    </row>
    <row r="9106">
      <c r="A9106" s="13">
        <f>IF(H9106="","",ROW()-4)</f>
        <v/>
      </c>
      <c r="B9106" s="13">
        <f>IF(H9106="","",ROW()-4)</f>
        <v/>
      </c>
    </row>
    <row r="9107">
      <c r="A9107" s="13">
        <f>IF(H9107="","",ROW()-4)</f>
        <v/>
      </c>
      <c r="B9107" s="13">
        <f>IF(H9107="","",ROW()-4)</f>
        <v/>
      </c>
    </row>
    <row r="9108">
      <c r="A9108" s="13">
        <f>IF(H9108="","",ROW()-4)</f>
        <v/>
      </c>
      <c r="B9108" s="13">
        <f>IF(H9108="","",ROW()-4)</f>
        <v/>
      </c>
    </row>
    <row r="9109">
      <c r="A9109" s="13">
        <f>IF(H9109="","",ROW()-4)</f>
        <v/>
      </c>
      <c r="B9109" s="13">
        <f>IF(H9109="","",ROW()-4)</f>
        <v/>
      </c>
    </row>
    <row r="9110">
      <c r="A9110" s="13">
        <f>IF(H9110="","",ROW()-4)</f>
        <v/>
      </c>
      <c r="B9110" s="13">
        <f>IF(H9110="","",ROW()-4)</f>
        <v/>
      </c>
    </row>
    <row r="9111">
      <c r="A9111" s="13">
        <f>IF(H9111="","",ROW()-4)</f>
        <v/>
      </c>
      <c r="B9111" s="13">
        <f>IF(H9111="","",ROW()-4)</f>
        <v/>
      </c>
    </row>
    <row r="9112">
      <c r="A9112" s="13">
        <f>IF(H9112="","",ROW()-4)</f>
        <v/>
      </c>
      <c r="B9112" s="13">
        <f>IF(H9112="","",ROW()-4)</f>
        <v/>
      </c>
    </row>
    <row r="9113">
      <c r="A9113" s="13">
        <f>IF(H9113="","",ROW()-4)</f>
        <v/>
      </c>
      <c r="B9113" s="13">
        <f>IF(H9113="","",ROW()-4)</f>
        <v/>
      </c>
    </row>
    <row r="9114">
      <c r="A9114" s="13">
        <f>IF(H9114="","",ROW()-4)</f>
        <v/>
      </c>
      <c r="B9114" s="13">
        <f>IF(H9114="","",ROW()-4)</f>
        <v/>
      </c>
    </row>
    <row r="9115">
      <c r="A9115" s="13">
        <f>IF(H9115="","",ROW()-4)</f>
        <v/>
      </c>
      <c r="B9115" s="13">
        <f>IF(H9115="","",ROW()-4)</f>
        <v/>
      </c>
    </row>
    <row r="9116">
      <c r="A9116" s="13">
        <f>IF(H9116="","",ROW()-4)</f>
        <v/>
      </c>
      <c r="B9116" s="13">
        <f>IF(H9116="","",ROW()-4)</f>
        <v/>
      </c>
    </row>
    <row r="9117">
      <c r="A9117" s="13">
        <f>IF(H9117="","",ROW()-4)</f>
        <v/>
      </c>
      <c r="B9117" s="13">
        <f>IF(H9117="","",ROW()-4)</f>
        <v/>
      </c>
    </row>
    <row r="9118">
      <c r="A9118" s="13">
        <f>IF(H9118="","",ROW()-4)</f>
        <v/>
      </c>
      <c r="B9118" s="13">
        <f>IF(H9118="","",ROW()-4)</f>
        <v/>
      </c>
    </row>
    <row r="9119">
      <c r="A9119" s="13">
        <f>IF(H9119="","",ROW()-4)</f>
        <v/>
      </c>
      <c r="B9119" s="13">
        <f>IF(H9119="","",ROW()-4)</f>
        <v/>
      </c>
    </row>
    <row r="9120">
      <c r="A9120" s="13">
        <f>IF(H9120="","",ROW()-4)</f>
        <v/>
      </c>
      <c r="B9120" s="13">
        <f>IF(H9120="","",ROW()-4)</f>
        <v/>
      </c>
    </row>
    <row r="9121">
      <c r="A9121" s="13">
        <f>IF(H9121="","",ROW()-4)</f>
        <v/>
      </c>
      <c r="B9121" s="13">
        <f>IF(H9121="","",ROW()-4)</f>
        <v/>
      </c>
    </row>
    <row r="9122">
      <c r="A9122" s="13">
        <f>IF(H9122="","",ROW()-4)</f>
        <v/>
      </c>
      <c r="B9122" s="13">
        <f>IF(H9122="","",ROW()-4)</f>
        <v/>
      </c>
    </row>
    <row r="9123">
      <c r="A9123" s="13">
        <f>IF(H9123="","",ROW()-4)</f>
        <v/>
      </c>
      <c r="B9123" s="13">
        <f>IF(H9123="","",ROW()-4)</f>
        <v/>
      </c>
    </row>
    <row r="9124">
      <c r="A9124" s="13">
        <f>IF(H9124="","",ROW()-4)</f>
        <v/>
      </c>
      <c r="B9124" s="13">
        <f>IF(H9124="","",ROW()-4)</f>
        <v/>
      </c>
    </row>
    <row r="9125">
      <c r="A9125" s="13">
        <f>IF(H9125="","",ROW()-4)</f>
        <v/>
      </c>
      <c r="B9125" s="13">
        <f>IF(H9125="","",ROW()-4)</f>
        <v/>
      </c>
    </row>
    <row r="9126">
      <c r="A9126" s="13">
        <f>IF(H9126="","",ROW()-4)</f>
        <v/>
      </c>
      <c r="B9126" s="13">
        <f>IF(H9126="","",ROW()-4)</f>
        <v/>
      </c>
    </row>
    <row r="9127">
      <c r="A9127" s="13">
        <f>IF(H9127="","",ROW()-4)</f>
        <v/>
      </c>
      <c r="B9127" s="13">
        <f>IF(H9127="","",ROW()-4)</f>
        <v/>
      </c>
    </row>
    <row r="9128">
      <c r="A9128" s="13">
        <f>IF(H9128="","",ROW()-4)</f>
        <v/>
      </c>
      <c r="B9128" s="13">
        <f>IF(H9128="","",ROW()-4)</f>
        <v/>
      </c>
    </row>
    <row r="9129">
      <c r="A9129" s="13">
        <f>IF(H9129="","",ROW()-4)</f>
        <v/>
      </c>
      <c r="B9129" s="13">
        <f>IF(H9129="","",ROW()-4)</f>
        <v/>
      </c>
    </row>
    <row r="9130">
      <c r="A9130" s="13">
        <f>IF(H9130="","",ROW()-4)</f>
        <v/>
      </c>
      <c r="B9130" s="13">
        <f>IF(H9130="","",ROW()-4)</f>
        <v/>
      </c>
    </row>
    <row r="9131">
      <c r="A9131" s="13">
        <f>IF(H9131="","",ROW()-4)</f>
        <v/>
      </c>
      <c r="B9131" s="13">
        <f>IF(H9131="","",ROW()-4)</f>
        <v/>
      </c>
    </row>
    <row r="9132">
      <c r="A9132" s="13">
        <f>IF(H9132="","",ROW()-4)</f>
        <v/>
      </c>
      <c r="B9132" s="13">
        <f>IF(H9132="","",ROW()-4)</f>
        <v/>
      </c>
    </row>
    <row r="9133">
      <c r="A9133" s="13">
        <f>IF(H9133="","",ROW()-4)</f>
        <v/>
      </c>
      <c r="B9133" s="13">
        <f>IF(H9133="","",ROW()-4)</f>
        <v/>
      </c>
    </row>
    <row r="9134">
      <c r="A9134" s="13">
        <f>IF(H9134="","",ROW()-4)</f>
        <v/>
      </c>
      <c r="B9134" s="13">
        <f>IF(H9134="","",ROW()-4)</f>
        <v/>
      </c>
    </row>
    <row r="9135">
      <c r="A9135" s="13">
        <f>IF(H9135="","",ROW()-4)</f>
        <v/>
      </c>
      <c r="B9135" s="13">
        <f>IF(H9135="","",ROW()-4)</f>
        <v/>
      </c>
    </row>
    <row r="9136">
      <c r="A9136" s="13">
        <f>IF(H9136="","",ROW()-4)</f>
        <v/>
      </c>
      <c r="B9136" s="13">
        <f>IF(H9136="","",ROW()-4)</f>
        <v/>
      </c>
    </row>
    <row r="9137">
      <c r="A9137" s="13">
        <f>IF(H9137="","",ROW()-4)</f>
        <v/>
      </c>
      <c r="B9137" s="13">
        <f>IF(H9137="","",ROW()-4)</f>
        <v/>
      </c>
    </row>
    <row r="9138">
      <c r="A9138" s="13">
        <f>IF(H9138="","",ROW()-4)</f>
        <v/>
      </c>
      <c r="B9138" s="13">
        <f>IF(H9138="","",ROW()-4)</f>
        <v/>
      </c>
    </row>
    <row r="9139">
      <c r="A9139" s="13">
        <f>IF(H9139="","",ROW()-4)</f>
        <v/>
      </c>
      <c r="B9139" s="13">
        <f>IF(H9139="","",ROW()-4)</f>
        <v/>
      </c>
    </row>
    <row r="9140">
      <c r="A9140" s="13">
        <f>IF(H9140="","",ROW()-4)</f>
        <v/>
      </c>
      <c r="B9140" s="13">
        <f>IF(H9140="","",ROW()-4)</f>
        <v/>
      </c>
    </row>
    <row r="9141">
      <c r="A9141" s="13">
        <f>IF(H9141="","",ROW()-4)</f>
        <v/>
      </c>
      <c r="B9141" s="13">
        <f>IF(H9141="","",ROW()-4)</f>
        <v/>
      </c>
    </row>
    <row r="9142">
      <c r="A9142" s="13">
        <f>IF(H9142="","",ROW()-4)</f>
        <v/>
      </c>
      <c r="B9142" s="13">
        <f>IF(H9142="","",ROW()-4)</f>
        <v/>
      </c>
    </row>
    <row r="9143">
      <c r="A9143" s="13">
        <f>IF(H9143="","",ROW()-4)</f>
        <v/>
      </c>
      <c r="B9143" s="13">
        <f>IF(H9143="","",ROW()-4)</f>
        <v/>
      </c>
    </row>
    <row r="9144">
      <c r="A9144" s="13">
        <f>IF(H9144="","",ROW()-4)</f>
        <v/>
      </c>
      <c r="B9144" s="13">
        <f>IF(H9144="","",ROW()-4)</f>
        <v/>
      </c>
    </row>
    <row r="9145">
      <c r="A9145" s="13">
        <f>IF(H9145="","",ROW()-4)</f>
        <v/>
      </c>
      <c r="B9145" s="13">
        <f>IF(H9145="","",ROW()-4)</f>
        <v/>
      </c>
    </row>
    <row r="9146">
      <c r="A9146" s="13">
        <f>IF(H9146="","",ROW()-4)</f>
        <v/>
      </c>
      <c r="B9146" s="13">
        <f>IF(H9146="","",ROW()-4)</f>
        <v/>
      </c>
    </row>
    <row r="9147">
      <c r="A9147" s="13">
        <f>IF(H9147="","",ROW()-4)</f>
        <v/>
      </c>
      <c r="B9147" s="13">
        <f>IF(H9147="","",ROW()-4)</f>
        <v/>
      </c>
    </row>
    <row r="9148">
      <c r="A9148" s="13">
        <f>IF(H9148="","",ROW()-4)</f>
        <v/>
      </c>
      <c r="B9148" s="13">
        <f>IF(H9148="","",ROW()-4)</f>
        <v/>
      </c>
    </row>
    <row r="9149">
      <c r="A9149" s="13">
        <f>IF(H9149="","",ROW()-4)</f>
        <v/>
      </c>
      <c r="B9149" s="13">
        <f>IF(H9149="","",ROW()-4)</f>
        <v/>
      </c>
    </row>
    <row r="9150">
      <c r="A9150" s="13">
        <f>IF(H9150="","",ROW()-4)</f>
        <v/>
      </c>
      <c r="B9150" s="13">
        <f>IF(H9150="","",ROW()-4)</f>
        <v/>
      </c>
    </row>
    <row r="9151">
      <c r="A9151" s="13">
        <f>IF(H9151="","",ROW()-4)</f>
        <v/>
      </c>
      <c r="B9151" s="13">
        <f>IF(H9151="","",ROW()-4)</f>
        <v/>
      </c>
    </row>
    <row r="9152">
      <c r="A9152" s="13">
        <f>IF(H9152="","",ROW()-4)</f>
        <v/>
      </c>
      <c r="B9152" s="13">
        <f>IF(H9152="","",ROW()-4)</f>
        <v/>
      </c>
    </row>
    <row r="9153">
      <c r="A9153" s="13">
        <f>IF(H9153="","",ROW()-4)</f>
        <v/>
      </c>
      <c r="B9153" s="13">
        <f>IF(H9153="","",ROW()-4)</f>
        <v/>
      </c>
    </row>
    <row r="9154">
      <c r="A9154" s="13">
        <f>IF(H9154="","",ROW()-4)</f>
        <v/>
      </c>
      <c r="B9154" s="13">
        <f>IF(H9154="","",ROW()-4)</f>
        <v/>
      </c>
    </row>
    <row r="9155">
      <c r="A9155" s="13">
        <f>IF(H9155="","",ROW()-4)</f>
        <v/>
      </c>
      <c r="B9155" s="13">
        <f>IF(H9155="","",ROW()-4)</f>
        <v/>
      </c>
    </row>
    <row r="9156">
      <c r="A9156" s="13">
        <f>IF(H9156="","",ROW()-4)</f>
        <v/>
      </c>
      <c r="B9156" s="13">
        <f>IF(H9156="","",ROW()-4)</f>
        <v/>
      </c>
    </row>
    <row r="9157">
      <c r="A9157" s="13">
        <f>IF(H9157="","",ROW()-4)</f>
        <v/>
      </c>
      <c r="B9157" s="13">
        <f>IF(H9157="","",ROW()-4)</f>
        <v/>
      </c>
    </row>
    <row r="9158">
      <c r="A9158" s="13">
        <f>IF(H9158="","",ROW()-4)</f>
        <v/>
      </c>
      <c r="B9158" s="13">
        <f>IF(H9158="","",ROW()-4)</f>
        <v/>
      </c>
    </row>
    <row r="9159">
      <c r="A9159" s="13">
        <f>IF(H9159="","",ROW()-4)</f>
        <v/>
      </c>
      <c r="B9159" s="13">
        <f>IF(H9159="","",ROW()-4)</f>
        <v/>
      </c>
    </row>
    <row r="9160">
      <c r="A9160" s="13">
        <f>IF(H9160="","",ROW()-4)</f>
        <v/>
      </c>
      <c r="B9160" s="13">
        <f>IF(H9160="","",ROW()-4)</f>
        <v/>
      </c>
    </row>
    <row r="9161">
      <c r="A9161" s="13">
        <f>IF(H9161="","",ROW()-4)</f>
        <v/>
      </c>
      <c r="B9161" s="13">
        <f>IF(H9161="","",ROW()-4)</f>
        <v/>
      </c>
    </row>
    <row r="9162">
      <c r="A9162" s="13">
        <f>IF(H9162="","",ROW()-4)</f>
        <v/>
      </c>
      <c r="B9162" s="13">
        <f>IF(H9162="","",ROW()-4)</f>
        <v/>
      </c>
    </row>
    <row r="9163">
      <c r="A9163" s="13">
        <f>IF(H9163="","",ROW()-4)</f>
        <v/>
      </c>
      <c r="B9163" s="13">
        <f>IF(H9163="","",ROW()-4)</f>
        <v/>
      </c>
    </row>
    <row r="9164">
      <c r="A9164" s="13">
        <f>IF(H9164="","",ROW()-4)</f>
        <v/>
      </c>
      <c r="B9164" s="13">
        <f>IF(H9164="","",ROW()-4)</f>
        <v/>
      </c>
    </row>
    <row r="9165">
      <c r="A9165" s="13">
        <f>IF(H9165="","",ROW()-4)</f>
        <v/>
      </c>
      <c r="B9165" s="13">
        <f>IF(H9165="","",ROW()-4)</f>
        <v/>
      </c>
    </row>
    <row r="9166">
      <c r="A9166" s="13">
        <f>IF(H9166="","",ROW()-4)</f>
        <v/>
      </c>
      <c r="B9166" s="13">
        <f>IF(H9166="","",ROW()-4)</f>
        <v/>
      </c>
    </row>
    <row r="9167">
      <c r="A9167" s="13">
        <f>IF(H9167="","",ROW()-4)</f>
        <v/>
      </c>
      <c r="B9167" s="13">
        <f>IF(H9167="","",ROW()-4)</f>
        <v/>
      </c>
    </row>
    <row r="9168">
      <c r="A9168" s="13">
        <f>IF(H9168="","",ROW()-4)</f>
        <v/>
      </c>
      <c r="B9168" s="13">
        <f>IF(H9168="","",ROW()-4)</f>
        <v/>
      </c>
    </row>
    <row r="9169">
      <c r="A9169" s="13">
        <f>IF(H9169="","",ROW()-4)</f>
        <v/>
      </c>
      <c r="B9169" s="13">
        <f>IF(H9169="","",ROW()-4)</f>
        <v/>
      </c>
    </row>
    <row r="9170">
      <c r="A9170" s="13">
        <f>IF(H9170="","",ROW()-4)</f>
        <v/>
      </c>
      <c r="B9170" s="13">
        <f>IF(H9170="","",ROW()-4)</f>
        <v/>
      </c>
    </row>
    <row r="9171">
      <c r="A9171" s="13">
        <f>IF(H9171="","",ROW()-4)</f>
        <v/>
      </c>
      <c r="B9171" s="13">
        <f>IF(H9171="","",ROW()-4)</f>
        <v/>
      </c>
    </row>
    <row r="9172">
      <c r="A9172" s="13">
        <f>IF(H9172="","",ROW()-4)</f>
        <v/>
      </c>
      <c r="B9172" s="13">
        <f>IF(H9172="","",ROW()-4)</f>
        <v/>
      </c>
    </row>
    <row r="9173">
      <c r="A9173" s="13">
        <f>IF(H9173="","",ROW()-4)</f>
        <v/>
      </c>
      <c r="B9173" s="13">
        <f>IF(H9173="","",ROW()-4)</f>
        <v/>
      </c>
    </row>
    <row r="9174">
      <c r="A9174" s="13">
        <f>IF(H9174="","",ROW()-4)</f>
        <v/>
      </c>
      <c r="B9174" s="13">
        <f>IF(H9174="","",ROW()-4)</f>
        <v/>
      </c>
    </row>
    <row r="9175">
      <c r="A9175" s="13">
        <f>IF(H9175="","",ROW()-4)</f>
        <v/>
      </c>
      <c r="B9175" s="13">
        <f>IF(H9175="","",ROW()-4)</f>
        <v/>
      </c>
    </row>
    <row r="9176">
      <c r="A9176" s="13">
        <f>IF(H9176="","",ROW()-4)</f>
        <v/>
      </c>
      <c r="B9176" s="13">
        <f>IF(H9176="","",ROW()-4)</f>
        <v/>
      </c>
    </row>
    <row r="9177">
      <c r="A9177" s="13">
        <f>IF(H9177="","",ROW()-4)</f>
        <v/>
      </c>
      <c r="B9177" s="13">
        <f>IF(H9177="","",ROW()-4)</f>
        <v/>
      </c>
    </row>
    <row r="9178">
      <c r="A9178" s="13">
        <f>IF(H9178="","",ROW()-4)</f>
        <v/>
      </c>
      <c r="B9178" s="13">
        <f>IF(H9178="","",ROW()-4)</f>
        <v/>
      </c>
    </row>
    <row r="9179">
      <c r="A9179" s="13">
        <f>IF(H9179="","",ROW()-4)</f>
        <v/>
      </c>
      <c r="B9179" s="13">
        <f>IF(H9179="","",ROW()-4)</f>
        <v/>
      </c>
    </row>
    <row r="9180">
      <c r="A9180" s="13">
        <f>IF(H9180="","",ROW()-4)</f>
        <v/>
      </c>
      <c r="B9180" s="13">
        <f>IF(H9180="","",ROW()-4)</f>
        <v/>
      </c>
    </row>
    <row r="9181">
      <c r="A9181" s="13">
        <f>IF(H9181="","",ROW()-4)</f>
        <v/>
      </c>
      <c r="B9181" s="13">
        <f>IF(H9181="","",ROW()-4)</f>
        <v/>
      </c>
    </row>
    <row r="9182">
      <c r="A9182" s="13">
        <f>IF(H9182="","",ROW()-4)</f>
        <v/>
      </c>
      <c r="B9182" s="13">
        <f>IF(H9182="","",ROW()-4)</f>
        <v/>
      </c>
    </row>
    <row r="9183">
      <c r="A9183" s="13">
        <f>IF(H9183="","",ROW()-4)</f>
        <v/>
      </c>
      <c r="B9183" s="13">
        <f>IF(H9183="","",ROW()-4)</f>
        <v/>
      </c>
    </row>
    <row r="9184">
      <c r="A9184" s="13">
        <f>IF(H9184="","",ROW()-4)</f>
        <v/>
      </c>
      <c r="B9184" s="13">
        <f>IF(H9184="","",ROW()-4)</f>
        <v/>
      </c>
    </row>
    <row r="9185">
      <c r="A9185" s="13">
        <f>IF(H9185="","",ROW()-4)</f>
        <v/>
      </c>
      <c r="B9185" s="13">
        <f>IF(H9185="","",ROW()-4)</f>
        <v/>
      </c>
    </row>
    <row r="9186">
      <c r="A9186" s="13">
        <f>IF(H9186="","",ROW()-4)</f>
        <v/>
      </c>
      <c r="B9186" s="13">
        <f>IF(H9186="","",ROW()-4)</f>
        <v/>
      </c>
    </row>
    <row r="9187">
      <c r="A9187" s="13">
        <f>IF(H9187="","",ROW()-4)</f>
        <v/>
      </c>
      <c r="B9187" s="13">
        <f>IF(H9187="","",ROW()-4)</f>
        <v/>
      </c>
    </row>
    <row r="9188">
      <c r="A9188" s="13">
        <f>IF(H9188="","",ROW()-4)</f>
        <v/>
      </c>
      <c r="B9188" s="13">
        <f>IF(H9188="","",ROW()-4)</f>
        <v/>
      </c>
    </row>
    <row r="9189">
      <c r="A9189" s="13">
        <f>IF(H9189="","",ROW()-4)</f>
        <v/>
      </c>
      <c r="B9189" s="13">
        <f>IF(H9189="","",ROW()-4)</f>
        <v/>
      </c>
    </row>
    <row r="9190">
      <c r="A9190" s="13">
        <f>IF(H9190="","",ROW()-4)</f>
        <v/>
      </c>
      <c r="B9190" s="13">
        <f>IF(H9190="","",ROW()-4)</f>
        <v/>
      </c>
    </row>
    <row r="9191">
      <c r="A9191" s="13">
        <f>IF(H9191="","",ROW()-4)</f>
        <v/>
      </c>
      <c r="B9191" s="13">
        <f>IF(H9191="","",ROW()-4)</f>
        <v/>
      </c>
    </row>
    <row r="9192">
      <c r="A9192" s="13">
        <f>IF(H9192="","",ROW()-4)</f>
        <v/>
      </c>
      <c r="B9192" s="13">
        <f>IF(H9192="","",ROW()-4)</f>
        <v/>
      </c>
    </row>
    <row r="9193">
      <c r="A9193" s="13">
        <f>IF(H9193="","",ROW()-4)</f>
        <v/>
      </c>
      <c r="B9193" s="13">
        <f>IF(H9193="","",ROW()-4)</f>
        <v/>
      </c>
    </row>
    <row r="9194">
      <c r="A9194" s="13">
        <f>IF(H9194="","",ROW()-4)</f>
        <v/>
      </c>
      <c r="B9194" s="13">
        <f>IF(H9194="","",ROW()-4)</f>
        <v/>
      </c>
    </row>
    <row r="9195">
      <c r="A9195" s="13">
        <f>IF(H9195="","",ROW()-4)</f>
        <v/>
      </c>
      <c r="B9195" s="13">
        <f>IF(H9195="","",ROW()-4)</f>
        <v/>
      </c>
    </row>
    <row r="9196">
      <c r="A9196" s="13">
        <f>IF(H9196="","",ROW()-4)</f>
        <v/>
      </c>
      <c r="B9196" s="13">
        <f>IF(H9196="","",ROW()-4)</f>
        <v/>
      </c>
    </row>
    <row r="9197">
      <c r="A9197" s="13">
        <f>IF(H9197="","",ROW()-4)</f>
        <v/>
      </c>
      <c r="B9197" s="13">
        <f>IF(H9197="","",ROW()-4)</f>
        <v/>
      </c>
    </row>
    <row r="9198">
      <c r="A9198" s="13">
        <f>IF(H9198="","",ROW()-4)</f>
        <v/>
      </c>
      <c r="B9198" s="13">
        <f>IF(H9198="","",ROW()-4)</f>
        <v/>
      </c>
    </row>
    <row r="9199">
      <c r="A9199" s="13">
        <f>IF(H9199="","",ROW()-4)</f>
        <v/>
      </c>
      <c r="B9199" s="13">
        <f>IF(H9199="","",ROW()-4)</f>
        <v/>
      </c>
    </row>
    <row r="9200">
      <c r="A9200" s="13">
        <f>IF(H9200="","",ROW()-4)</f>
        <v/>
      </c>
      <c r="B9200" s="13">
        <f>IF(H9200="","",ROW()-4)</f>
        <v/>
      </c>
    </row>
    <row r="9201">
      <c r="A9201" s="13">
        <f>IF(H9201="","",ROW()-4)</f>
        <v/>
      </c>
      <c r="B9201" s="13">
        <f>IF(H9201="","",ROW()-4)</f>
        <v/>
      </c>
    </row>
    <row r="9202">
      <c r="A9202" s="13">
        <f>IF(H9202="","",ROW()-4)</f>
        <v/>
      </c>
      <c r="B9202" s="13">
        <f>IF(H9202="","",ROW()-4)</f>
        <v/>
      </c>
    </row>
    <row r="9203">
      <c r="A9203" s="13">
        <f>IF(H9203="","",ROW()-4)</f>
        <v/>
      </c>
      <c r="B9203" s="13">
        <f>IF(H9203="","",ROW()-4)</f>
        <v/>
      </c>
    </row>
    <row r="9204">
      <c r="A9204" s="13">
        <f>IF(H9204="","",ROW()-4)</f>
        <v/>
      </c>
      <c r="B9204" s="13">
        <f>IF(H9204="","",ROW()-4)</f>
        <v/>
      </c>
    </row>
    <row r="9205">
      <c r="A9205" s="13">
        <f>IF(H9205="","",ROW()-4)</f>
        <v/>
      </c>
      <c r="B9205" s="13">
        <f>IF(H9205="","",ROW()-4)</f>
        <v/>
      </c>
    </row>
    <row r="9206">
      <c r="A9206" s="13">
        <f>IF(H9206="","",ROW()-4)</f>
        <v/>
      </c>
      <c r="B9206" s="13">
        <f>IF(H9206="","",ROW()-4)</f>
        <v/>
      </c>
    </row>
    <row r="9207">
      <c r="A9207" s="13">
        <f>IF(H9207="","",ROW()-4)</f>
        <v/>
      </c>
      <c r="B9207" s="13">
        <f>IF(H9207="","",ROW()-4)</f>
        <v/>
      </c>
    </row>
    <row r="9208">
      <c r="A9208" s="13">
        <f>IF(H9208="","",ROW()-4)</f>
        <v/>
      </c>
      <c r="B9208" s="13">
        <f>IF(H9208="","",ROW()-4)</f>
        <v/>
      </c>
    </row>
    <row r="9209">
      <c r="A9209" s="13">
        <f>IF(H9209="","",ROW()-4)</f>
        <v/>
      </c>
      <c r="B9209" s="13">
        <f>IF(H9209="","",ROW()-4)</f>
        <v/>
      </c>
    </row>
    <row r="9210">
      <c r="A9210" s="13">
        <f>IF(H9210="","",ROW()-4)</f>
        <v/>
      </c>
      <c r="B9210" s="13">
        <f>IF(H9210="","",ROW()-4)</f>
        <v/>
      </c>
    </row>
    <row r="9211">
      <c r="A9211" s="13">
        <f>IF(H9211="","",ROW()-4)</f>
        <v/>
      </c>
      <c r="B9211" s="13">
        <f>IF(H9211="","",ROW()-4)</f>
        <v/>
      </c>
    </row>
    <row r="9212">
      <c r="A9212" s="13">
        <f>IF(H9212="","",ROW()-4)</f>
        <v/>
      </c>
      <c r="B9212" s="13">
        <f>IF(H9212="","",ROW()-4)</f>
        <v/>
      </c>
    </row>
    <row r="9213">
      <c r="A9213" s="13">
        <f>IF(H9213="","",ROW()-4)</f>
        <v/>
      </c>
      <c r="B9213" s="13">
        <f>IF(H9213="","",ROW()-4)</f>
        <v/>
      </c>
    </row>
    <row r="9214">
      <c r="A9214" s="13">
        <f>IF(H9214="","",ROW()-4)</f>
        <v/>
      </c>
      <c r="B9214" s="13">
        <f>IF(H9214="","",ROW()-4)</f>
        <v/>
      </c>
    </row>
    <row r="9215">
      <c r="A9215" s="13">
        <f>IF(H9215="","",ROW()-4)</f>
        <v/>
      </c>
      <c r="B9215" s="13">
        <f>IF(H9215="","",ROW()-4)</f>
        <v/>
      </c>
    </row>
    <row r="9216">
      <c r="A9216" s="13">
        <f>IF(H9216="","",ROW()-4)</f>
        <v/>
      </c>
      <c r="B9216" s="13">
        <f>IF(H9216="","",ROW()-4)</f>
        <v/>
      </c>
    </row>
    <row r="9217">
      <c r="A9217" s="13">
        <f>IF(H9217="","",ROW()-4)</f>
        <v/>
      </c>
      <c r="B9217" s="13">
        <f>IF(H9217="","",ROW()-4)</f>
        <v/>
      </c>
    </row>
    <row r="9218">
      <c r="A9218" s="13">
        <f>IF(H9218="","",ROW()-4)</f>
        <v/>
      </c>
      <c r="B9218" s="13">
        <f>IF(H9218="","",ROW()-4)</f>
        <v/>
      </c>
    </row>
    <row r="9219">
      <c r="A9219" s="13">
        <f>IF(H9219="","",ROW()-4)</f>
        <v/>
      </c>
      <c r="B9219" s="13">
        <f>IF(H9219="","",ROW()-4)</f>
        <v/>
      </c>
    </row>
    <row r="9220">
      <c r="A9220" s="13">
        <f>IF(H9220="","",ROW()-4)</f>
        <v/>
      </c>
      <c r="B9220" s="13">
        <f>IF(H9220="","",ROW()-4)</f>
        <v/>
      </c>
    </row>
    <row r="9221">
      <c r="A9221" s="13">
        <f>IF(H9221="","",ROW()-4)</f>
        <v/>
      </c>
      <c r="B9221" s="13">
        <f>IF(H9221="","",ROW()-4)</f>
        <v/>
      </c>
    </row>
    <row r="9222">
      <c r="A9222" s="13">
        <f>IF(H9222="","",ROW()-4)</f>
        <v/>
      </c>
      <c r="B9222" s="13">
        <f>IF(H9222="","",ROW()-4)</f>
        <v/>
      </c>
    </row>
    <row r="9223">
      <c r="A9223" s="13">
        <f>IF(H9223="","",ROW()-4)</f>
        <v/>
      </c>
      <c r="B9223" s="13">
        <f>IF(H9223="","",ROW()-4)</f>
        <v/>
      </c>
    </row>
    <row r="9224">
      <c r="A9224" s="13">
        <f>IF(H9224="","",ROW()-4)</f>
        <v/>
      </c>
      <c r="B9224" s="13">
        <f>IF(H9224="","",ROW()-4)</f>
        <v/>
      </c>
    </row>
    <row r="9225">
      <c r="A9225" s="13">
        <f>IF(H9225="","",ROW()-4)</f>
        <v/>
      </c>
      <c r="B9225" s="13">
        <f>IF(H9225="","",ROW()-4)</f>
        <v/>
      </c>
    </row>
    <row r="9226">
      <c r="A9226" s="13">
        <f>IF(H9226="","",ROW()-4)</f>
        <v/>
      </c>
      <c r="B9226" s="13">
        <f>IF(H9226="","",ROW()-4)</f>
        <v/>
      </c>
    </row>
    <row r="9227">
      <c r="A9227" s="13">
        <f>IF(H9227="","",ROW()-4)</f>
        <v/>
      </c>
      <c r="B9227" s="13">
        <f>IF(H9227="","",ROW()-4)</f>
        <v/>
      </c>
    </row>
    <row r="9228">
      <c r="A9228" s="13">
        <f>IF(H9228="","",ROW()-4)</f>
        <v/>
      </c>
      <c r="B9228" s="13">
        <f>IF(H9228="","",ROW()-4)</f>
        <v/>
      </c>
    </row>
    <row r="9229">
      <c r="A9229" s="13">
        <f>IF(H9229="","",ROW()-4)</f>
        <v/>
      </c>
      <c r="B9229" s="13">
        <f>IF(H9229="","",ROW()-4)</f>
        <v/>
      </c>
    </row>
    <row r="9230">
      <c r="A9230" s="13">
        <f>IF(H9230="","",ROW()-4)</f>
        <v/>
      </c>
      <c r="B9230" s="13">
        <f>IF(H9230="","",ROW()-4)</f>
        <v/>
      </c>
    </row>
    <row r="9231">
      <c r="A9231" s="13">
        <f>IF(H9231="","",ROW()-4)</f>
        <v/>
      </c>
      <c r="B9231" s="13">
        <f>IF(H9231="","",ROW()-4)</f>
        <v/>
      </c>
    </row>
    <row r="9232">
      <c r="A9232" s="13">
        <f>IF(H9232="","",ROW()-4)</f>
        <v/>
      </c>
      <c r="B9232" s="13">
        <f>IF(H9232="","",ROW()-4)</f>
        <v/>
      </c>
    </row>
    <row r="9233">
      <c r="A9233" s="13">
        <f>IF(H9233="","",ROW()-4)</f>
        <v/>
      </c>
      <c r="B9233" s="13">
        <f>IF(H9233="","",ROW()-4)</f>
        <v/>
      </c>
    </row>
    <row r="9234">
      <c r="A9234" s="13">
        <f>IF(H9234="","",ROW()-4)</f>
        <v/>
      </c>
      <c r="B9234" s="13">
        <f>IF(H9234="","",ROW()-4)</f>
        <v/>
      </c>
    </row>
    <row r="9235">
      <c r="A9235" s="13">
        <f>IF(H9235="","",ROW()-4)</f>
        <v/>
      </c>
      <c r="B9235" s="13">
        <f>IF(H9235="","",ROW()-4)</f>
        <v/>
      </c>
    </row>
    <row r="9236">
      <c r="A9236" s="13">
        <f>IF(H9236="","",ROW()-4)</f>
        <v/>
      </c>
      <c r="B9236" s="13">
        <f>IF(H9236="","",ROW()-4)</f>
        <v/>
      </c>
    </row>
    <row r="9237">
      <c r="A9237" s="13">
        <f>IF(H9237="","",ROW()-4)</f>
        <v/>
      </c>
      <c r="B9237" s="13">
        <f>IF(H9237="","",ROW()-4)</f>
        <v/>
      </c>
    </row>
    <row r="9238">
      <c r="A9238" s="13">
        <f>IF(H9238="","",ROW()-4)</f>
        <v/>
      </c>
      <c r="B9238" s="13">
        <f>IF(H9238="","",ROW()-4)</f>
        <v/>
      </c>
    </row>
    <row r="9239">
      <c r="A9239" s="13">
        <f>IF(H9239="","",ROW()-4)</f>
        <v/>
      </c>
      <c r="B9239" s="13">
        <f>IF(H9239="","",ROW()-4)</f>
        <v/>
      </c>
    </row>
    <row r="9240">
      <c r="A9240" s="13">
        <f>IF(H9240="","",ROW()-4)</f>
        <v/>
      </c>
      <c r="B9240" s="13">
        <f>IF(H9240="","",ROW()-4)</f>
        <v/>
      </c>
    </row>
    <row r="9241">
      <c r="A9241" s="13">
        <f>IF(H9241="","",ROW()-4)</f>
        <v/>
      </c>
      <c r="B9241" s="13">
        <f>IF(H9241="","",ROW()-4)</f>
        <v/>
      </c>
    </row>
    <row r="9242">
      <c r="A9242" s="13">
        <f>IF(H9242="","",ROW()-4)</f>
        <v/>
      </c>
      <c r="B9242" s="13">
        <f>IF(H9242="","",ROW()-4)</f>
        <v/>
      </c>
    </row>
    <row r="9243">
      <c r="A9243" s="13">
        <f>IF(H9243="","",ROW()-4)</f>
        <v/>
      </c>
      <c r="B9243" s="13">
        <f>IF(H9243="","",ROW()-4)</f>
        <v/>
      </c>
    </row>
    <row r="9244">
      <c r="A9244" s="13">
        <f>IF(H9244="","",ROW()-4)</f>
        <v/>
      </c>
      <c r="B9244" s="13">
        <f>IF(H9244="","",ROW()-4)</f>
        <v/>
      </c>
    </row>
    <row r="9245">
      <c r="A9245" s="13">
        <f>IF(H9245="","",ROW()-4)</f>
        <v/>
      </c>
      <c r="B9245" s="13">
        <f>IF(H9245="","",ROW()-4)</f>
        <v/>
      </c>
    </row>
    <row r="9246">
      <c r="A9246" s="13">
        <f>IF(H9246="","",ROW()-4)</f>
        <v/>
      </c>
      <c r="B9246" s="13">
        <f>IF(H9246="","",ROW()-4)</f>
        <v/>
      </c>
    </row>
    <row r="9247">
      <c r="A9247" s="13">
        <f>IF(H9247="","",ROW()-4)</f>
        <v/>
      </c>
      <c r="B9247" s="13">
        <f>IF(H9247="","",ROW()-4)</f>
        <v/>
      </c>
    </row>
    <row r="9248">
      <c r="A9248" s="13">
        <f>IF(H9248="","",ROW()-4)</f>
        <v/>
      </c>
      <c r="B9248" s="13">
        <f>IF(H9248="","",ROW()-4)</f>
        <v/>
      </c>
    </row>
    <row r="9249">
      <c r="A9249" s="13">
        <f>IF(H9249="","",ROW()-4)</f>
        <v/>
      </c>
      <c r="B9249" s="13">
        <f>IF(H9249="","",ROW()-4)</f>
        <v/>
      </c>
    </row>
    <row r="9250">
      <c r="A9250" s="13">
        <f>IF(H9250="","",ROW()-4)</f>
        <v/>
      </c>
      <c r="B9250" s="13">
        <f>IF(H9250="","",ROW()-4)</f>
        <v/>
      </c>
    </row>
    <row r="9251">
      <c r="A9251" s="13">
        <f>IF(H9251="","",ROW()-4)</f>
        <v/>
      </c>
      <c r="B9251" s="13">
        <f>IF(H9251="","",ROW()-4)</f>
        <v/>
      </c>
    </row>
    <row r="9252">
      <c r="A9252" s="13">
        <f>IF(H9252="","",ROW()-4)</f>
        <v/>
      </c>
      <c r="B9252" s="13">
        <f>IF(H9252="","",ROW()-4)</f>
        <v/>
      </c>
    </row>
    <row r="9253">
      <c r="A9253" s="13">
        <f>IF(H9253="","",ROW()-4)</f>
        <v/>
      </c>
      <c r="B9253" s="13">
        <f>IF(H9253="","",ROW()-4)</f>
        <v/>
      </c>
    </row>
    <row r="9254">
      <c r="A9254" s="13">
        <f>IF(H9254="","",ROW()-4)</f>
        <v/>
      </c>
      <c r="B9254" s="13">
        <f>IF(H9254="","",ROW()-4)</f>
        <v/>
      </c>
    </row>
    <row r="9255">
      <c r="A9255" s="13">
        <f>IF(H9255="","",ROW()-4)</f>
        <v/>
      </c>
      <c r="B9255" s="13">
        <f>IF(H9255="","",ROW()-4)</f>
        <v/>
      </c>
    </row>
    <row r="9256">
      <c r="A9256" s="13">
        <f>IF(H9256="","",ROW()-4)</f>
        <v/>
      </c>
      <c r="B9256" s="13">
        <f>IF(H9256="","",ROW()-4)</f>
        <v/>
      </c>
    </row>
    <row r="9257">
      <c r="A9257" s="13">
        <f>IF(H9257="","",ROW()-4)</f>
        <v/>
      </c>
      <c r="B9257" s="13">
        <f>IF(H9257="","",ROW()-4)</f>
        <v/>
      </c>
    </row>
    <row r="9258">
      <c r="A9258" s="13">
        <f>IF(H9258="","",ROW()-4)</f>
        <v/>
      </c>
      <c r="B9258" s="13">
        <f>IF(H9258="","",ROW()-4)</f>
        <v/>
      </c>
    </row>
    <row r="9259">
      <c r="A9259" s="13">
        <f>IF(H9259="","",ROW()-4)</f>
        <v/>
      </c>
      <c r="B9259" s="13">
        <f>IF(H9259="","",ROW()-4)</f>
        <v/>
      </c>
    </row>
    <row r="9260">
      <c r="A9260" s="13">
        <f>IF(H9260="","",ROW()-4)</f>
        <v/>
      </c>
      <c r="B9260" s="13">
        <f>IF(H9260="","",ROW()-4)</f>
        <v/>
      </c>
    </row>
    <row r="9261">
      <c r="A9261" s="13">
        <f>IF(H9261="","",ROW()-4)</f>
        <v/>
      </c>
      <c r="B9261" s="13">
        <f>IF(H9261="","",ROW()-4)</f>
        <v/>
      </c>
    </row>
    <row r="9262">
      <c r="A9262" s="13">
        <f>IF(H9262="","",ROW()-4)</f>
        <v/>
      </c>
      <c r="B9262" s="13">
        <f>IF(H9262="","",ROW()-4)</f>
        <v/>
      </c>
    </row>
    <row r="9263">
      <c r="A9263" s="13">
        <f>IF(H9263="","",ROW()-4)</f>
        <v/>
      </c>
      <c r="B9263" s="13">
        <f>IF(H9263="","",ROW()-4)</f>
        <v/>
      </c>
    </row>
    <row r="9264">
      <c r="A9264" s="13">
        <f>IF(H9264="","",ROW()-4)</f>
        <v/>
      </c>
      <c r="B9264" s="13">
        <f>IF(H9264="","",ROW()-4)</f>
        <v/>
      </c>
    </row>
    <row r="9265">
      <c r="A9265" s="13">
        <f>IF(H9265="","",ROW()-4)</f>
        <v/>
      </c>
      <c r="B9265" s="13">
        <f>IF(H9265="","",ROW()-4)</f>
        <v/>
      </c>
    </row>
    <row r="9266">
      <c r="A9266" s="13">
        <f>IF(H9266="","",ROW()-4)</f>
        <v/>
      </c>
      <c r="B9266" s="13">
        <f>IF(H9266="","",ROW()-4)</f>
        <v/>
      </c>
    </row>
    <row r="9267">
      <c r="A9267" s="13">
        <f>IF(H9267="","",ROW()-4)</f>
        <v/>
      </c>
      <c r="B9267" s="13">
        <f>IF(H9267="","",ROW()-4)</f>
        <v/>
      </c>
    </row>
    <row r="9268">
      <c r="A9268" s="13">
        <f>IF(H9268="","",ROW()-4)</f>
        <v/>
      </c>
      <c r="B9268" s="13">
        <f>IF(H9268="","",ROW()-4)</f>
        <v/>
      </c>
    </row>
    <row r="9269">
      <c r="A9269" s="13">
        <f>IF(H9269="","",ROW()-4)</f>
        <v/>
      </c>
      <c r="B9269" s="13">
        <f>IF(H9269="","",ROW()-4)</f>
        <v/>
      </c>
    </row>
    <row r="9270">
      <c r="A9270" s="13">
        <f>IF(H9270="","",ROW()-4)</f>
        <v/>
      </c>
      <c r="B9270" s="13">
        <f>IF(H9270="","",ROW()-4)</f>
        <v/>
      </c>
    </row>
    <row r="9271">
      <c r="A9271" s="13">
        <f>IF(H9271="","",ROW()-4)</f>
        <v/>
      </c>
      <c r="B9271" s="13">
        <f>IF(H9271="","",ROW()-4)</f>
        <v/>
      </c>
    </row>
    <row r="9272">
      <c r="A9272" s="13">
        <f>IF(H9272="","",ROW()-4)</f>
        <v/>
      </c>
      <c r="B9272" s="13">
        <f>IF(H9272="","",ROW()-4)</f>
        <v/>
      </c>
    </row>
    <row r="9273">
      <c r="A9273" s="13">
        <f>IF(H9273="","",ROW()-4)</f>
        <v/>
      </c>
      <c r="B9273" s="13">
        <f>IF(H9273="","",ROW()-4)</f>
        <v/>
      </c>
    </row>
    <row r="9274">
      <c r="A9274" s="13">
        <f>IF(H9274="","",ROW()-4)</f>
        <v/>
      </c>
      <c r="B9274" s="13">
        <f>IF(H9274="","",ROW()-4)</f>
        <v/>
      </c>
    </row>
    <row r="9275">
      <c r="A9275" s="13">
        <f>IF(H9275="","",ROW()-4)</f>
        <v/>
      </c>
      <c r="B9275" s="13">
        <f>IF(H9275="","",ROW()-4)</f>
        <v/>
      </c>
    </row>
    <row r="9276">
      <c r="A9276" s="13">
        <f>IF(H9276="","",ROW()-4)</f>
        <v/>
      </c>
      <c r="B9276" s="13">
        <f>IF(H9276="","",ROW()-4)</f>
        <v/>
      </c>
    </row>
    <row r="9277">
      <c r="A9277" s="13">
        <f>IF(H9277="","",ROW()-4)</f>
        <v/>
      </c>
      <c r="B9277" s="13">
        <f>IF(H9277="","",ROW()-4)</f>
        <v/>
      </c>
    </row>
    <row r="9278">
      <c r="A9278" s="13">
        <f>IF(H9278="","",ROW()-4)</f>
        <v/>
      </c>
      <c r="B9278" s="13">
        <f>IF(H9278="","",ROW()-4)</f>
        <v/>
      </c>
    </row>
    <row r="9279">
      <c r="A9279" s="13">
        <f>IF(H9279="","",ROW()-4)</f>
        <v/>
      </c>
      <c r="B9279" s="13">
        <f>IF(H9279="","",ROW()-4)</f>
        <v/>
      </c>
    </row>
    <row r="9280">
      <c r="A9280" s="13">
        <f>IF(H9280="","",ROW()-4)</f>
        <v/>
      </c>
      <c r="B9280" s="13">
        <f>IF(H9280="","",ROW()-4)</f>
        <v/>
      </c>
    </row>
    <row r="9281">
      <c r="A9281" s="13">
        <f>IF(H9281="","",ROW()-4)</f>
        <v/>
      </c>
      <c r="B9281" s="13">
        <f>IF(H9281="","",ROW()-4)</f>
        <v/>
      </c>
    </row>
    <row r="9282">
      <c r="A9282" s="13">
        <f>IF(H9282="","",ROW()-4)</f>
        <v/>
      </c>
      <c r="B9282" s="13">
        <f>IF(H9282="","",ROW()-4)</f>
        <v/>
      </c>
    </row>
    <row r="9283">
      <c r="A9283" s="13">
        <f>IF(H9283="","",ROW()-4)</f>
        <v/>
      </c>
      <c r="B9283" s="13">
        <f>IF(H9283="","",ROW()-4)</f>
        <v/>
      </c>
    </row>
    <row r="9284">
      <c r="A9284" s="13">
        <f>IF(H9284="","",ROW()-4)</f>
        <v/>
      </c>
      <c r="B9284" s="13">
        <f>IF(H9284="","",ROW()-4)</f>
        <v/>
      </c>
    </row>
    <row r="9285">
      <c r="A9285" s="13">
        <f>IF(H9285="","",ROW()-4)</f>
        <v/>
      </c>
      <c r="B9285" s="13">
        <f>IF(H9285="","",ROW()-4)</f>
        <v/>
      </c>
    </row>
    <row r="9286">
      <c r="A9286" s="13">
        <f>IF(H9286="","",ROW()-4)</f>
        <v/>
      </c>
      <c r="B9286" s="13">
        <f>IF(H9286="","",ROW()-4)</f>
        <v/>
      </c>
    </row>
    <row r="9287">
      <c r="A9287" s="13">
        <f>IF(H9287="","",ROW()-4)</f>
        <v/>
      </c>
      <c r="B9287" s="13">
        <f>IF(H9287="","",ROW()-4)</f>
        <v/>
      </c>
    </row>
    <row r="9288">
      <c r="A9288" s="13">
        <f>IF(H9288="","",ROW()-4)</f>
        <v/>
      </c>
      <c r="B9288" s="13">
        <f>IF(H9288="","",ROW()-4)</f>
        <v/>
      </c>
    </row>
    <row r="9289">
      <c r="A9289" s="13">
        <f>IF(H9289="","",ROW()-4)</f>
        <v/>
      </c>
      <c r="B9289" s="13">
        <f>IF(H9289="","",ROW()-4)</f>
        <v/>
      </c>
    </row>
    <row r="9290">
      <c r="A9290" s="13">
        <f>IF(H9290="","",ROW()-4)</f>
        <v/>
      </c>
      <c r="B9290" s="13">
        <f>IF(H9290="","",ROW()-4)</f>
        <v/>
      </c>
    </row>
    <row r="9291">
      <c r="A9291" s="13">
        <f>IF(H9291="","",ROW()-4)</f>
        <v/>
      </c>
      <c r="B9291" s="13">
        <f>IF(H9291="","",ROW()-4)</f>
        <v/>
      </c>
    </row>
    <row r="9292">
      <c r="A9292" s="13">
        <f>IF(H9292="","",ROW()-4)</f>
        <v/>
      </c>
      <c r="B9292" s="13">
        <f>IF(H9292="","",ROW()-4)</f>
        <v/>
      </c>
    </row>
    <row r="9293">
      <c r="A9293" s="13">
        <f>IF(H9293="","",ROW()-4)</f>
        <v/>
      </c>
      <c r="B9293" s="13">
        <f>IF(H9293="","",ROW()-4)</f>
        <v/>
      </c>
    </row>
    <row r="9294">
      <c r="A9294" s="13">
        <f>IF(H9294="","",ROW()-4)</f>
        <v/>
      </c>
      <c r="B9294" s="13">
        <f>IF(H9294="","",ROW()-4)</f>
        <v/>
      </c>
    </row>
    <row r="9295">
      <c r="A9295" s="13">
        <f>IF(H9295="","",ROW()-4)</f>
        <v/>
      </c>
      <c r="B9295" s="13">
        <f>IF(H9295="","",ROW()-4)</f>
        <v/>
      </c>
    </row>
    <row r="9296">
      <c r="A9296" s="13">
        <f>IF(H9296="","",ROW()-4)</f>
        <v/>
      </c>
      <c r="B9296" s="13">
        <f>IF(H9296="","",ROW()-4)</f>
        <v/>
      </c>
    </row>
    <row r="9297">
      <c r="A9297" s="13">
        <f>IF(H9297="","",ROW()-4)</f>
        <v/>
      </c>
      <c r="B9297" s="13">
        <f>IF(H9297="","",ROW()-4)</f>
        <v/>
      </c>
    </row>
    <row r="9298">
      <c r="A9298" s="13">
        <f>IF(H9298="","",ROW()-4)</f>
        <v/>
      </c>
      <c r="B9298" s="13">
        <f>IF(H9298="","",ROW()-4)</f>
        <v/>
      </c>
    </row>
    <row r="9299">
      <c r="A9299" s="13">
        <f>IF(H9299="","",ROW()-4)</f>
        <v/>
      </c>
      <c r="B9299" s="13">
        <f>IF(H9299="","",ROW()-4)</f>
        <v/>
      </c>
    </row>
    <row r="9300">
      <c r="A9300" s="13">
        <f>IF(H9300="","",ROW()-4)</f>
        <v/>
      </c>
      <c r="B9300" s="13">
        <f>IF(H9300="","",ROW()-4)</f>
        <v/>
      </c>
    </row>
    <row r="9301">
      <c r="A9301" s="13">
        <f>IF(H9301="","",ROW()-4)</f>
        <v/>
      </c>
      <c r="B9301" s="13">
        <f>IF(H9301="","",ROW()-4)</f>
        <v/>
      </c>
    </row>
    <row r="9302">
      <c r="A9302" s="13">
        <f>IF(H9302="","",ROW()-4)</f>
        <v/>
      </c>
      <c r="B9302" s="13">
        <f>IF(H9302="","",ROW()-4)</f>
        <v/>
      </c>
    </row>
    <row r="9303">
      <c r="A9303" s="13">
        <f>IF(H9303="","",ROW()-4)</f>
        <v/>
      </c>
      <c r="B9303" s="13">
        <f>IF(H9303="","",ROW()-4)</f>
        <v/>
      </c>
    </row>
    <row r="9304">
      <c r="A9304" s="13">
        <f>IF(H9304="","",ROW()-4)</f>
        <v/>
      </c>
      <c r="B9304" s="13">
        <f>IF(H9304="","",ROW()-4)</f>
        <v/>
      </c>
    </row>
    <row r="9305">
      <c r="A9305" s="13">
        <f>IF(H9305="","",ROW()-4)</f>
        <v/>
      </c>
      <c r="B9305" s="13">
        <f>IF(H9305="","",ROW()-4)</f>
        <v/>
      </c>
    </row>
    <row r="9306">
      <c r="A9306" s="13">
        <f>IF(H9306="","",ROW()-4)</f>
        <v/>
      </c>
      <c r="B9306" s="13">
        <f>IF(H9306="","",ROW()-4)</f>
        <v/>
      </c>
    </row>
    <row r="9307">
      <c r="A9307" s="13">
        <f>IF(H9307="","",ROW()-4)</f>
        <v/>
      </c>
      <c r="B9307" s="13">
        <f>IF(H9307="","",ROW()-4)</f>
        <v/>
      </c>
    </row>
    <row r="9308">
      <c r="A9308" s="13">
        <f>IF(H9308="","",ROW()-4)</f>
        <v/>
      </c>
      <c r="B9308" s="13">
        <f>IF(H9308="","",ROW()-4)</f>
        <v/>
      </c>
    </row>
    <row r="9309">
      <c r="A9309" s="13">
        <f>IF(H9309="","",ROW()-4)</f>
        <v/>
      </c>
      <c r="B9309" s="13">
        <f>IF(H9309="","",ROW()-4)</f>
        <v/>
      </c>
    </row>
    <row r="9310">
      <c r="A9310" s="13">
        <f>IF(H9310="","",ROW()-4)</f>
        <v/>
      </c>
      <c r="B9310" s="13">
        <f>IF(H9310="","",ROW()-4)</f>
        <v/>
      </c>
    </row>
    <row r="9311">
      <c r="A9311" s="13">
        <f>IF(H9311="","",ROW()-4)</f>
        <v/>
      </c>
      <c r="B9311" s="13">
        <f>IF(H9311="","",ROW()-4)</f>
        <v/>
      </c>
    </row>
    <row r="9312">
      <c r="A9312" s="13">
        <f>IF(H9312="","",ROW()-4)</f>
        <v/>
      </c>
      <c r="B9312" s="13">
        <f>IF(H9312="","",ROW()-4)</f>
        <v/>
      </c>
    </row>
    <row r="9313">
      <c r="A9313" s="13">
        <f>IF(H9313="","",ROW()-4)</f>
        <v/>
      </c>
      <c r="B9313" s="13">
        <f>IF(H9313="","",ROW()-4)</f>
        <v/>
      </c>
    </row>
    <row r="9314">
      <c r="A9314" s="13">
        <f>IF(H9314="","",ROW()-4)</f>
        <v/>
      </c>
      <c r="B9314" s="13">
        <f>IF(H9314="","",ROW()-4)</f>
        <v/>
      </c>
    </row>
    <row r="9315">
      <c r="A9315" s="13">
        <f>IF(H9315="","",ROW()-4)</f>
        <v/>
      </c>
      <c r="B9315" s="13">
        <f>IF(H9315="","",ROW()-4)</f>
        <v/>
      </c>
    </row>
    <row r="9316">
      <c r="A9316" s="13">
        <f>IF(H9316="","",ROW()-4)</f>
        <v/>
      </c>
      <c r="B9316" s="13">
        <f>IF(H9316="","",ROW()-4)</f>
        <v/>
      </c>
    </row>
    <row r="9317">
      <c r="A9317" s="13">
        <f>IF(H9317="","",ROW()-4)</f>
        <v/>
      </c>
      <c r="B9317" s="13">
        <f>IF(H9317="","",ROW()-4)</f>
        <v/>
      </c>
    </row>
    <row r="9318">
      <c r="A9318" s="13">
        <f>IF(H9318="","",ROW()-4)</f>
        <v/>
      </c>
      <c r="B9318" s="13">
        <f>IF(H9318="","",ROW()-4)</f>
        <v/>
      </c>
    </row>
    <row r="9319">
      <c r="A9319" s="13">
        <f>IF(H9319="","",ROW()-4)</f>
        <v/>
      </c>
      <c r="B9319" s="13">
        <f>IF(H9319="","",ROW()-4)</f>
        <v/>
      </c>
    </row>
    <row r="9320">
      <c r="A9320" s="13">
        <f>IF(H9320="","",ROW()-4)</f>
        <v/>
      </c>
      <c r="B9320" s="13">
        <f>IF(H9320="","",ROW()-4)</f>
        <v/>
      </c>
    </row>
    <row r="9321">
      <c r="A9321" s="13">
        <f>IF(H9321="","",ROW()-4)</f>
        <v/>
      </c>
      <c r="B9321" s="13">
        <f>IF(H9321="","",ROW()-4)</f>
        <v/>
      </c>
    </row>
    <row r="9322">
      <c r="A9322" s="13">
        <f>IF(H9322="","",ROW()-4)</f>
        <v/>
      </c>
      <c r="B9322" s="13">
        <f>IF(H9322="","",ROW()-4)</f>
        <v/>
      </c>
    </row>
    <row r="9323">
      <c r="A9323" s="13">
        <f>IF(H9323="","",ROW()-4)</f>
        <v/>
      </c>
      <c r="B9323" s="13">
        <f>IF(H9323="","",ROW()-4)</f>
        <v/>
      </c>
    </row>
    <row r="9324">
      <c r="A9324" s="13">
        <f>IF(H9324="","",ROW()-4)</f>
        <v/>
      </c>
      <c r="B9324" s="13">
        <f>IF(H9324="","",ROW()-4)</f>
        <v/>
      </c>
    </row>
    <row r="9325">
      <c r="A9325" s="13">
        <f>IF(H9325="","",ROW()-4)</f>
        <v/>
      </c>
      <c r="B9325" s="13">
        <f>IF(H9325="","",ROW()-4)</f>
        <v/>
      </c>
    </row>
    <row r="9326">
      <c r="A9326" s="13">
        <f>IF(H9326="","",ROW()-4)</f>
        <v/>
      </c>
      <c r="B9326" s="13">
        <f>IF(H9326="","",ROW()-4)</f>
        <v/>
      </c>
    </row>
    <row r="9327">
      <c r="A9327" s="13">
        <f>IF(H9327="","",ROW()-4)</f>
        <v/>
      </c>
      <c r="B9327" s="13">
        <f>IF(H9327="","",ROW()-4)</f>
        <v/>
      </c>
    </row>
    <row r="9328">
      <c r="A9328" s="13">
        <f>IF(H9328="","",ROW()-4)</f>
        <v/>
      </c>
      <c r="B9328" s="13">
        <f>IF(H9328="","",ROW()-4)</f>
        <v/>
      </c>
    </row>
    <row r="9329">
      <c r="A9329" s="13">
        <f>IF(H9329="","",ROW()-4)</f>
        <v/>
      </c>
      <c r="B9329" s="13">
        <f>IF(H9329="","",ROW()-4)</f>
        <v/>
      </c>
    </row>
    <row r="9330">
      <c r="A9330" s="13">
        <f>IF(H9330="","",ROW()-4)</f>
        <v/>
      </c>
      <c r="B9330" s="13">
        <f>IF(H9330="","",ROW()-4)</f>
        <v/>
      </c>
    </row>
    <row r="9331">
      <c r="A9331" s="13">
        <f>IF(H9331="","",ROW()-4)</f>
        <v/>
      </c>
      <c r="B9331" s="13">
        <f>IF(H9331="","",ROW()-4)</f>
        <v/>
      </c>
    </row>
    <row r="9332">
      <c r="A9332" s="13">
        <f>IF(H9332="","",ROW()-4)</f>
        <v/>
      </c>
      <c r="B9332" s="13">
        <f>IF(H9332="","",ROW()-4)</f>
        <v/>
      </c>
    </row>
    <row r="9333">
      <c r="A9333" s="13">
        <f>IF(H9333="","",ROW()-4)</f>
        <v/>
      </c>
      <c r="B9333" s="13">
        <f>IF(H9333="","",ROW()-4)</f>
        <v/>
      </c>
    </row>
    <row r="9334">
      <c r="A9334" s="13">
        <f>IF(H9334="","",ROW()-4)</f>
        <v/>
      </c>
      <c r="B9334" s="13">
        <f>IF(H9334="","",ROW()-4)</f>
        <v/>
      </c>
    </row>
    <row r="9335">
      <c r="A9335" s="13">
        <f>IF(H9335="","",ROW()-4)</f>
        <v/>
      </c>
      <c r="B9335" s="13">
        <f>IF(H9335="","",ROW()-4)</f>
        <v/>
      </c>
    </row>
    <row r="9336">
      <c r="A9336" s="13">
        <f>IF(H9336="","",ROW()-4)</f>
        <v/>
      </c>
      <c r="B9336" s="13">
        <f>IF(H9336="","",ROW()-4)</f>
        <v/>
      </c>
    </row>
    <row r="9337">
      <c r="A9337" s="13">
        <f>IF(H9337="","",ROW()-4)</f>
        <v/>
      </c>
      <c r="B9337" s="13">
        <f>IF(H9337="","",ROW()-4)</f>
        <v/>
      </c>
    </row>
    <row r="9338">
      <c r="A9338" s="13">
        <f>IF(H9338="","",ROW()-4)</f>
        <v/>
      </c>
      <c r="B9338" s="13">
        <f>IF(H9338="","",ROW()-4)</f>
        <v/>
      </c>
    </row>
    <row r="9339">
      <c r="A9339" s="13">
        <f>IF(H9339="","",ROW()-4)</f>
        <v/>
      </c>
      <c r="B9339" s="13">
        <f>IF(H9339="","",ROW()-4)</f>
        <v/>
      </c>
    </row>
    <row r="9340">
      <c r="A9340" s="13">
        <f>IF(H9340="","",ROW()-4)</f>
        <v/>
      </c>
      <c r="B9340" s="13">
        <f>IF(H9340="","",ROW()-4)</f>
        <v/>
      </c>
    </row>
    <row r="9341">
      <c r="A9341" s="13">
        <f>IF(H9341="","",ROW()-4)</f>
        <v/>
      </c>
      <c r="B9341" s="13">
        <f>IF(H9341="","",ROW()-4)</f>
        <v/>
      </c>
    </row>
    <row r="9342">
      <c r="A9342" s="13">
        <f>IF(H9342="","",ROW()-4)</f>
        <v/>
      </c>
      <c r="B9342" s="13">
        <f>IF(H9342="","",ROW()-4)</f>
        <v/>
      </c>
    </row>
    <row r="9343">
      <c r="A9343" s="13">
        <f>IF(H9343="","",ROW()-4)</f>
        <v/>
      </c>
      <c r="B9343" s="13">
        <f>IF(H9343="","",ROW()-4)</f>
        <v/>
      </c>
    </row>
    <row r="9344">
      <c r="A9344" s="13">
        <f>IF(H9344="","",ROW()-4)</f>
        <v/>
      </c>
      <c r="B9344" s="13">
        <f>IF(H9344="","",ROW()-4)</f>
        <v/>
      </c>
    </row>
    <row r="9345">
      <c r="A9345" s="13">
        <f>IF(H9345="","",ROW()-4)</f>
        <v/>
      </c>
      <c r="B9345" s="13">
        <f>IF(H9345="","",ROW()-4)</f>
        <v/>
      </c>
    </row>
    <row r="9346">
      <c r="A9346" s="13">
        <f>IF(H9346="","",ROW()-4)</f>
        <v/>
      </c>
      <c r="B9346" s="13">
        <f>IF(H9346="","",ROW()-4)</f>
        <v/>
      </c>
    </row>
    <row r="9347">
      <c r="A9347" s="13">
        <f>IF(H9347="","",ROW()-4)</f>
        <v/>
      </c>
      <c r="B9347" s="13">
        <f>IF(H9347="","",ROW()-4)</f>
        <v/>
      </c>
    </row>
    <row r="9348">
      <c r="A9348" s="13">
        <f>IF(H9348="","",ROW()-4)</f>
        <v/>
      </c>
      <c r="B9348" s="13">
        <f>IF(H9348="","",ROW()-4)</f>
        <v/>
      </c>
    </row>
    <row r="9349">
      <c r="A9349" s="13">
        <f>IF(H9349="","",ROW()-4)</f>
        <v/>
      </c>
      <c r="B9349" s="13">
        <f>IF(H9349="","",ROW()-4)</f>
        <v/>
      </c>
    </row>
    <row r="9350">
      <c r="A9350" s="13">
        <f>IF(H9350="","",ROW()-4)</f>
        <v/>
      </c>
      <c r="B9350" s="13">
        <f>IF(H9350="","",ROW()-4)</f>
        <v/>
      </c>
    </row>
    <row r="9351">
      <c r="A9351" s="13">
        <f>IF(H9351="","",ROW()-4)</f>
        <v/>
      </c>
      <c r="B9351" s="13">
        <f>IF(H9351="","",ROW()-4)</f>
        <v/>
      </c>
    </row>
    <row r="9352">
      <c r="A9352" s="13">
        <f>IF(H9352="","",ROW()-4)</f>
        <v/>
      </c>
      <c r="B9352" s="13">
        <f>IF(H9352="","",ROW()-4)</f>
        <v/>
      </c>
    </row>
    <row r="9353">
      <c r="A9353" s="13">
        <f>IF(H9353="","",ROW()-4)</f>
        <v/>
      </c>
      <c r="B9353" s="13">
        <f>IF(H9353="","",ROW()-4)</f>
        <v/>
      </c>
    </row>
    <row r="9354">
      <c r="A9354" s="13">
        <f>IF(H9354="","",ROW()-4)</f>
        <v/>
      </c>
      <c r="B9354" s="13">
        <f>IF(H9354="","",ROW()-4)</f>
        <v/>
      </c>
    </row>
    <row r="9355">
      <c r="A9355" s="13">
        <f>IF(H9355="","",ROW()-4)</f>
        <v/>
      </c>
      <c r="B9355" s="13">
        <f>IF(H9355="","",ROW()-4)</f>
        <v/>
      </c>
    </row>
    <row r="9356">
      <c r="A9356" s="13">
        <f>IF(H9356="","",ROW()-4)</f>
        <v/>
      </c>
      <c r="B9356" s="13">
        <f>IF(H9356="","",ROW()-4)</f>
        <v/>
      </c>
    </row>
    <row r="9357">
      <c r="A9357" s="13">
        <f>IF(H9357="","",ROW()-4)</f>
        <v/>
      </c>
      <c r="B9357" s="13">
        <f>IF(H9357="","",ROW()-4)</f>
        <v/>
      </c>
    </row>
    <row r="9358">
      <c r="A9358" s="13">
        <f>IF(H9358="","",ROW()-4)</f>
        <v/>
      </c>
      <c r="B9358" s="13">
        <f>IF(H9358="","",ROW()-4)</f>
        <v/>
      </c>
    </row>
    <row r="9359">
      <c r="A9359" s="13">
        <f>IF(H9359="","",ROW()-4)</f>
        <v/>
      </c>
      <c r="B9359" s="13">
        <f>IF(H9359="","",ROW()-4)</f>
        <v/>
      </c>
    </row>
    <row r="9360">
      <c r="A9360" s="13">
        <f>IF(H9360="","",ROW()-4)</f>
        <v/>
      </c>
      <c r="B9360" s="13">
        <f>IF(H9360="","",ROW()-4)</f>
        <v/>
      </c>
    </row>
    <row r="9361">
      <c r="A9361" s="13">
        <f>IF(H9361="","",ROW()-4)</f>
        <v/>
      </c>
      <c r="B9361" s="13">
        <f>IF(H9361="","",ROW()-4)</f>
        <v/>
      </c>
    </row>
    <row r="9362">
      <c r="A9362" s="13">
        <f>IF(H9362="","",ROW()-4)</f>
        <v/>
      </c>
      <c r="B9362" s="13">
        <f>IF(H9362="","",ROW()-4)</f>
        <v/>
      </c>
    </row>
    <row r="9363">
      <c r="A9363" s="13">
        <f>IF(H9363="","",ROW()-4)</f>
        <v/>
      </c>
      <c r="B9363" s="13">
        <f>IF(H9363="","",ROW()-4)</f>
        <v/>
      </c>
    </row>
    <row r="9364">
      <c r="A9364" s="13">
        <f>IF(H9364="","",ROW()-4)</f>
        <v/>
      </c>
      <c r="B9364" s="13">
        <f>IF(H9364="","",ROW()-4)</f>
        <v/>
      </c>
    </row>
    <row r="9365">
      <c r="A9365" s="13">
        <f>IF(H9365="","",ROW()-4)</f>
        <v/>
      </c>
      <c r="B9365" s="13">
        <f>IF(H9365="","",ROW()-4)</f>
        <v/>
      </c>
    </row>
    <row r="9366">
      <c r="A9366" s="13">
        <f>IF(H9366="","",ROW()-4)</f>
        <v/>
      </c>
      <c r="B9366" s="13">
        <f>IF(H9366="","",ROW()-4)</f>
        <v/>
      </c>
    </row>
    <row r="9367">
      <c r="A9367" s="13">
        <f>IF(H9367="","",ROW()-4)</f>
        <v/>
      </c>
      <c r="B9367" s="13">
        <f>IF(H9367="","",ROW()-4)</f>
        <v/>
      </c>
    </row>
    <row r="9368">
      <c r="A9368" s="13">
        <f>IF(H9368="","",ROW()-4)</f>
        <v/>
      </c>
      <c r="B9368" s="13">
        <f>IF(H9368="","",ROW()-4)</f>
        <v/>
      </c>
    </row>
    <row r="9369">
      <c r="A9369" s="13">
        <f>IF(H9369="","",ROW()-4)</f>
        <v/>
      </c>
      <c r="B9369" s="13">
        <f>IF(H9369="","",ROW()-4)</f>
        <v/>
      </c>
    </row>
    <row r="9370">
      <c r="A9370" s="13">
        <f>IF(H9370="","",ROW()-4)</f>
        <v/>
      </c>
      <c r="B9370" s="13">
        <f>IF(H9370="","",ROW()-4)</f>
        <v/>
      </c>
    </row>
    <row r="9371">
      <c r="A9371" s="13">
        <f>IF(H9371="","",ROW()-4)</f>
        <v/>
      </c>
      <c r="B9371" s="13">
        <f>IF(H9371="","",ROW()-4)</f>
        <v/>
      </c>
    </row>
    <row r="9372">
      <c r="A9372" s="13">
        <f>IF(H9372="","",ROW()-4)</f>
        <v/>
      </c>
      <c r="B9372" s="13">
        <f>IF(H9372="","",ROW()-4)</f>
        <v/>
      </c>
    </row>
    <row r="9373">
      <c r="A9373" s="13">
        <f>IF(H9373="","",ROW()-4)</f>
        <v/>
      </c>
      <c r="B9373" s="13">
        <f>IF(H9373="","",ROW()-4)</f>
        <v/>
      </c>
    </row>
    <row r="9374">
      <c r="A9374" s="13">
        <f>IF(H9374="","",ROW()-4)</f>
        <v/>
      </c>
      <c r="B9374" s="13">
        <f>IF(H9374="","",ROW()-4)</f>
        <v/>
      </c>
    </row>
    <row r="9375">
      <c r="A9375" s="13">
        <f>IF(H9375="","",ROW()-4)</f>
        <v/>
      </c>
      <c r="B9375" s="13">
        <f>IF(H9375="","",ROW()-4)</f>
        <v/>
      </c>
    </row>
    <row r="9376">
      <c r="A9376" s="13">
        <f>IF(H9376="","",ROW()-4)</f>
        <v/>
      </c>
      <c r="B9376" s="13">
        <f>IF(H9376="","",ROW()-4)</f>
        <v/>
      </c>
    </row>
    <row r="9377">
      <c r="A9377" s="13">
        <f>IF(H9377="","",ROW()-4)</f>
        <v/>
      </c>
      <c r="B9377" s="13">
        <f>IF(H9377="","",ROW()-4)</f>
        <v/>
      </c>
    </row>
    <row r="9378">
      <c r="A9378" s="13">
        <f>IF(H9378="","",ROW()-4)</f>
        <v/>
      </c>
      <c r="B9378" s="13">
        <f>IF(H9378="","",ROW()-4)</f>
        <v/>
      </c>
    </row>
    <row r="9379">
      <c r="A9379" s="13">
        <f>IF(H9379="","",ROW()-4)</f>
        <v/>
      </c>
      <c r="B9379" s="13">
        <f>IF(H9379="","",ROW()-4)</f>
        <v/>
      </c>
    </row>
    <row r="9380">
      <c r="A9380" s="13">
        <f>IF(H9380="","",ROW()-4)</f>
        <v/>
      </c>
      <c r="B9380" s="13">
        <f>IF(H9380="","",ROW()-4)</f>
        <v/>
      </c>
    </row>
    <row r="9381">
      <c r="A9381" s="13">
        <f>IF(H9381="","",ROW()-4)</f>
        <v/>
      </c>
      <c r="B9381" s="13">
        <f>IF(H9381="","",ROW()-4)</f>
        <v/>
      </c>
    </row>
    <row r="9382">
      <c r="A9382" s="13">
        <f>IF(H9382="","",ROW()-4)</f>
        <v/>
      </c>
      <c r="B9382" s="13">
        <f>IF(H9382="","",ROW()-4)</f>
        <v/>
      </c>
    </row>
    <row r="9383">
      <c r="A9383" s="13">
        <f>IF(H9383="","",ROW()-4)</f>
        <v/>
      </c>
      <c r="B9383" s="13">
        <f>IF(H9383="","",ROW()-4)</f>
        <v/>
      </c>
    </row>
    <row r="9384">
      <c r="A9384" s="13">
        <f>IF(H9384="","",ROW()-4)</f>
        <v/>
      </c>
      <c r="B9384" s="13">
        <f>IF(H9384="","",ROW()-4)</f>
        <v/>
      </c>
    </row>
    <row r="9385">
      <c r="A9385" s="13">
        <f>IF(H9385="","",ROW()-4)</f>
        <v/>
      </c>
      <c r="B9385" s="13">
        <f>IF(H9385="","",ROW()-4)</f>
        <v/>
      </c>
    </row>
    <row r="9386">
      <c r="A9386" s="13">
        <f>IF(H9386="","",ROW()-4)</f>
        <v/>
      </c>
      <c r="B9386" s="13">
        <f>IF(H9386="","",ROW()-4)</f>
        <v/>
      </c>
    </row>
    <row r="9387">
      <c r="A9387" s="13">
        <f>IF(H9387="","",ROW()-4)</f>
        <v/>
      </c>
      <c r="B9387" s="13">
        <f>IF(H9387="","",ROW()-4)</f>
        <v/>
      </c>
    </row>
    <row r="9388">
      <c r="A9388" s="13">
        <f>IF(H9388="","",ROW()-4)</f>
        <v/>
      </c>
      <c r="B9388" s="13">
        <f>IF(H9388="","",ROW()-4)</f>
        <v/>
      </c>
    </row>
    <row r="9389">
      <c r="A9389" s="13">
        <f>IF(H9389="","",ROW()-4)</f>
        <v/>
      </c>
      <c r="B9389" s="13">
        <f>IF(H9389="","",ROW()-4)</f>
        <v/>
      </c>
    </row>
    <row r="9390">
      <c r="A9390" s="13">
        <f>IF(H9390="","",ROW()-4)</f>
        <v/>
      </c>
      <c r="B9390" s="13">
        <f>IF(H9390="","",ROW()-4)</f>
        <v/>
      </c>
    </row>
    <row r="9391">
      <c r="A9391" s="13">
        <f>IF(H9391="","",ROW()-4)</f>
        <v/>
      </c>
      <c r="B9391" s="13">
        <f>IF(H9391="","",ROW()-4)</f>
        <v/>
      </c>
    </row>
    <row r="9392">
      <c r="A9392" s="13">
        <f>IF(H9392="","",ROW()-4)</f>
        <v/>
      </c>
      <c r="B9392" s="13">
        <f>IF(H9392="","",ROW()-4)</f>
        <v/>
      </c>
    </row>
    <row r="9393">
      <c r="A9393" s="13">
        <f>IF(H9393="","",ROW()-4)</f>
        <v/>
      </c>
      <c r="B9393" s="13">
        <f>IF(H9393="","",ROW()-4)</f>
        <v/>
      </c>
    </row>
    <row r="9394">
      <c r="A9394" s="13">
        <f>IF(H9394="","",ROW()-4)</f>
        <v/>
      </c>
      <c r="B9394" s="13">
        <f>IF(H9394="","",ROW()-4)</f>
        <v/>
      </c>
    </row>
    <row r="9395">
      <c r="A9395" s="13">
        <f>IF(H9395="","",ROW()-4)</f>
        <v/>
      </c>
      <c r="B9395" s="13">
        <f>IF(H9395="","",ROW()-4)</f>
        <v/>
      </c>
    </row>
    <row r="9396">
      <c r="A9396" s="13">
        <f>IF(H9396="","",ROW()-4)</f>
        <v/>
      </c>
      <c r="B9396" s="13">
        <f>IF(H9396="","",ROW()-4)</f>
        <v/>
      </c>
    </row>
    <row r="9397">
      <c r="A9397" s="13">
        <f>IF(H9397="","",ROW()-4)</f>
        <v/>
      </c>
      <c r="B9397" s="13">
        <f>IF(H9397="","",ROW()-4)</f>
        <v/>
      </c>
    </row>
    <row r="9398">
      <c r="A9398" s="13">
        <f>IF(H9398="","",ROW()-4)</f>
        <v/>
      </c>
      <c r="B9398" s="13">
        <f>IF(H9398="","",ROW()-4)</f>
        <v/>
      </c>
    </row>
    <row r="9399">
      <c r="A9399" s="13">
        <f>IF(H9399="","",ROW()-4)</f>
        <v/>
      </c>
      <c r="B9399" s="13">
        <f>IF(H9399="","",ROW()-4)</f>
        <v/>
      </c>
    </row>
    <row r="9400">
      <c r="A9400" s="13">
        <f>IF(H9400="","",ROW()-4)</f>
        <v/>
      </c>
      <c r="B9400" s="13">
        <f>IF(H9400="","",ROW()-4)</f>
        <v/>
      </c>
    </row>
    <row r="9401">
      <c r="A9401" s="13">
        <f>IF(H9401="","",ROW()-4)</f>
        <v/>
      </c>
      <c r="B9401" s="13">
        <f>IF(H9401="","",ROW()-4)</f>
        <v/>
      </c>
    </row>
    <row r="9402">
      <c r="A9402" s="13">
        <f>IF(H9402="","",ROW()-4)</f>
        <v/>
      </c>
      <c r="B9402" s="13">
        <f>IF(H9402="","",ROW()-4)</f>
        <v/>
      </c>
    </row>
    <row r="9403">
      <c r="A9403" s="13">
        <f>IF(H9403="","",ROW()-4)</f>
        <v/>
      </c>
      <c r="B9403" s="13">
        <f>IF(H9403="","",ROW()-4)</f>
        <v/>
      </c>
    </row>
    <row r="9404">
      <c r="A9404" s="13">
        <f>IF(H9404="","",ROW()-4)</f>
        <v/>
      </c>
      <c r="B9404" s="13">
        <f>IF(H9404="","",ROW()-4)</f>
        <v/>
      </c>
    </row>
    <row r="9405">
      <c r="A9405" s="13">
        <f>IF(H9405="","",ROW()-4)</f>
        <v/>
      </c>
      <c r="B9405" s="13">
        <f>IF(H9405="","",ROW()-4)</f>
        <v/>
      </c>
    </row>
    <row r="9406">
      <c r="A9406" s="13">
        <f>IF(H9406="","",ROW()-4)</f>
        <v/>
      </c>
      <c r="B9406" s="13">
        <f>IF(H9406="","",ROW()-4)</f>
        <v/>
      </c>
    </row>
    <row r="9407">
      <c r="A9407" s="13">
        <f>IF(H9407="","",ROW()-4)</f>
        <v/>
      </c>
      <c r="B9407" s="13">
        <f>IF(H9407="","",ROW()-4)</f>
        <v/>
      </c>
    </row>
    <row r="9408">
      <c r="A9408" s="13">
        <f>IF(H9408="","",ROW()-4)</f>
        <v/>
      </c>
      <c r="B9408" s="13">
        <f>IF(H9408="","",ROW()-4)</f>
        <v/>
      </c>
    </row>
    <row r="9409">
      <c r="A9409" s="13">
        <f>IF(H9409="","",ROW()-4)</f>
        <v/>
      </c>
      <c r="B9409" s="13">
        <f>IF(H9409="","",ROW()-4)</f>
        <v/>
      </c>
    </row>
    <row r="9410">
      <c r="A9410" s="13">
        <f>IF(H9410="","",ROW()-4)</f>
        <v/>
      </c>
      <c r="B9410" s="13">
        <f>IF(H9410="","",ROW()-4)</f>
        <v/>
      </c>
    </row>
    <row r="9411">
      <c r="A9411" s="13">
        <f>IF(H9411="","",ROW()-4)</f>
        <v/>
      </c>
      <c r="B9411" s="13">
        <f>IF(H9411="","",ROW()-4)</f>
        <v/>
      </c>
    </row>
    <row r="9412">
      <c r="A9412" s="13">
        <f>IF(H9412="","",ROW()-4)</f>
        <v/>
      </c>
      <c r="B9412" s="13">
        <f>IF(H9412="","",ROW()-4)</f>
        <v/>
      </c>
    </row>
    <row r="9413">
      <c r="A9413" s="13">
        <f>IF(H9413="","",ROW()-4)</f>
        <v/>
      </c>
      <c r="B9413" s="13">
        <f>IF(H9413="","",ROW()-4)</f>
        <v/>
      </c>
    </row>
    <row r="9414">
      <c r="A9414" s="13">
        <f>IF(H9414="","",ROW()-4)</f>
        <v/>
      </c>
      <c r="B9414" s="13">
        <f>IF(H9414="","",ROW()-4)</f>
        <v/>
      </c>
    </row>
    <row r="9415">
      <c r="A9415" s="13">
        <f>IF(H9415="","",ROW()-4)</f>
        <v/>
      </c>
      <c r="B9415" s="13">
        <f>IF(H9415="","",ROW()-4)</f>
        <v/>
      </c>
    </row>
    <row r="9416">
      <c r="A9416" s="13">
        <f>IF(H9416="","",ROW()-4)</f>
        <v/>
      </c>
      <c r="B9416" s="13">
        <f>IF(H9416="","",ROW()-4)</f>
        <v/>
      </c>
    </row>
    <row r="9417">
      <c r="A9417" s="13">
        <f>IF(H9417="","",ROW()-4)</f>
        <v/>
      </c>
      <c r="B9417" s="13">
        <f>IF(H9417="","",ROW()-4)</f>
        <v/>
      </c>
    </row>
    <row r="9418">
      <c r="A9418" s="13">
        <f>IF(H9418="","",ROW()-4)</f>
        <v/>
      </c>
      <c r="B9418" s="13">
        <f>IF(H9418="","",ROW()-4)</f>
        <v/>
      </c>
    </row>
    <row r="9419">
      <c r="A9419" s="13">
        <f>IF(H9419="","",ROW()-4)</f>
        <v/>
      </c>
      <c r="B9419" s="13">
        <f>IF(H9419="","",ROW()-4)</f>
        <v/>
      </c>
    </row>
    <row r="9420">
      <c r="A9420" s="13">
        <f>IF(H9420="","",ROW()-4)</f>
        <v/>
      </c>
      <c r="B9420" s="13">
        <f>IF(H9420="","",ROW()-4)</f>
        <v/>
      </c>
    </row>
    <row r="9421">
      <c r="A9421" s="13">
        <f>IF(H9421="","",ROW()-4)</f>
        <v/>
      </c>
      <c r="B9421" s="13">
        <f>IF(H9421="","",ROW()-4)</f>
        <v/>
      </c>
    </row>
    <row r="9422">
      <c r="A9422" s="13">
        <f>IF(H9422="","",ROW()-4)</f>
        <v/>
      </c>
      <c r="B9422" s="13">
        <f>IF(H9422="","",ROW()-4)</f>
        <v/>
      </c>
    </row>
    <row r="9423">
      <c r="A9423" s="13">
        <f>IF(H9423="","",ROW()-4)</f>
        <v/>
      </c>
      <c r="B9423" s="13">
        <f>IF(H9423="","",ROW()-4)</f>
        <v/>
      </c>
    </row>
    <row r="9424">
      <c r="A9424" s="13">
        <f>IF(H9424="","",ROW()-4)</f>
        <v/>
      </c>
      <c r="B9424" s="13">
        <f>IF(H9424="","",ROW()-4)</f>
        <v/>
      </c>
    </row>
    <row r="9425">
      <c r="A9425" s="13">
        <f>IF(H9425="","",ROW()-4)</f>
        <v/>
      </c>
      <c r="B9425" s="13">
        <f>IF(H9425="","",ROW()-4)</f>
        <v/>
      </c>
    </row>
    <row r="9426">
      <c r="A9426" s="13">
        <f>IF(H9426="","",ROW()-4)</f>
        <v/>
      </c>
      <c r="B9426" s="13">
        <f>IF(H9426="","",ROW()-4)</f>
        <v/>
      </c>
    </row>
    <row r="9427">
      <c r="A9427" s="13">
        <f>IF(H9427="","",ROW()-4)</f>
        <v/>
      </c>
      <c r="B9427" s="13">
        <f>IF(H9427="","",ROW()-4)</f>
        <v/>
      </c>
    </row>
    <row r="9428">
      <c r="A9428" s="13">
        <f>IF(H9428="","",ROW()-4)</f>
        <v/>
      </c>
      <c r="B9428" s="13">
        <f>IF(H9428="","",ROW()-4)</f>
        <v/>
      </c>
    </row>
    <row r="9429">
      <c r="A9429" s="13">
        <f>IF(H9429="","",ROW()-4)</f>
        <v/>
      </c>
      <c r="B9429" s="13">
        <f>IF(H9429="","",ROW()-4)</f>
        <v/>
      </c>
    </row>
    <row r="9430">
      <c r="A9430" s="13">
        <f>IF(H9430="","",ROW()-4)</f>
        <v/>
      </c>
      <c r="B9430" s="13">
        <f>IF(H9430="","",ROW()-4)</f>
        <v/>
      </c>
    </row>
    <row r="9431">
      <c r="A9431" s="13">
        <f>IF(H9431="","",ROW()-4)</f>
        <v/>
      </c>
      <c r="B9431" s="13">
        <f>IF(H9431="","",ROW()-4)</f>
        <v/>
      </c>
    </row>
    <row r="9432">
      <c r="A9432" s="13">
        <f>IF(H9432="","",ROW()-4)</f>
        <v/>
      </c>
      <c r="B9432" s="13">
        <f>IF(H9432="","",ROW()-4)</f>
        <v/>
      </c>
    </row>
    <row r="9433">
      <c r="A9433" s="13">
        <f>IF(H9433="","",ROW()-4)</f>
        <v/>
      </c>
      <c r="B9433" s="13">
        <f>IF(H9433="","",ROW()-4)</f>
        <v/>
      </c>
    </row>
    <row r="9434">
      <c r="A9434" s="13">
        <f>IF(H9434="","",ROW()-4)</f>
        <v/>
      </c>
      <c r="B9434" s="13">
        <f>IF(H9434="","",ROW()-4)</f>
        <v/>
      </c>
    </row>
    <row r="9435">
      <c r="A9435" s="13">
        <f>IF(H9435="","",ROW()-4)</f>
        <v/>
      </c>
      <c r="B9435" s="13">
        <f>IF(H9435="","",ROW()-4)</f>
        <v/>
      </c>
    </row>
    <row r="9436">
      <c r="A9436" s="13">
        <f>IF(H9436="","",ROW()-4)</f>
        <v/>
      </c>
      <c r="B9436" s="13">
        <f>IF(H9436="","",ROW()-4)</f>
        <v/>
      </c>
    </row>
    <row r="9437">
      <c r="A9437" s="13">
        <f>IF(H9437="","",ROW()-4)</f>
        <v/>
      </c>
      <c r="B9437" s="13">
        <f>IF(H9437="","",ROW()-4)</f>
        <v/>
      </c>
    </row>
    <row r="9438">
      <c r="A9438" s="13">
        <f>IF(H9438="","",ROW()-4)</f>
        <v/>
      </c>
      <c r="B9438" s="13">
        <f>IF(H9438="","",ROW()-4)</f>
        <v/>
      </c>
    </row>
    <row r="9439">
      <c r="A9439" s="13">
        <f>IF(H9439="","",ROW()-4)</f>
        <v/>
      </c>
      <c r="B9439" s="13">
        <f>IF(H9439="","",ROW()-4)</f>
        <v/>
      </c>
    </row>
    <row r="9440">
      <c r="A9440" s="13">
        <f>IF(H9440="","",ROW()-4)</f>
        <v/>
      </c>
      <c r="B9440" s="13">
        <f>IF(H9440="","",ROW()-4)</f>
        <v/>
      </c>
    </row>
    <row r="9441">
      <c r="A9441" s="13">
        <f>IF(H9441="","",ROW()-4)</f>
        <v/>
      </c>
      <c r="B9441" s="13">
        <f>IF(H9441="","",ROW()-4)</f>
        <v/>
      </c>
    </row>
    <row r="9442">
      <c r="A9442" s="13">
        <f>IF(H9442="","",ROW()-4)</f>
        <v/>
      </c>
      <c r="B9442" s="13">
        <f>IF(H9442="","",ROW()-4)</f>
        <v/>
      </c>
    </row>
    <row r="9443">
      <c r="A9443" s="13">
        <f>IF(H9443="","",ROW()-4)</f>
        <v/>
      </c>
      <c r="B9443" s="13">
        <f>IF(H9443="","",ROW()-4)</f>
        <v/>
      </c>
    </row>
    <row r="9444">
      <c r="A9444" s="13">
        <f>IF(H9444="","",ROW()-4)</f>
        <v/>
      </c>
      <c r="B9444" s="13">
        <f>IF(H9444="","",ROW()-4)</f>
        <v/>
      </c>
    </row>
    <row r="9445">
      <c r="A9445" s="13">
        <f>IF(H9445="","",ROW()-4)</f>
        <v/>
      </c>
      <c r="B9445" s="13">
        <f>IF(H9445="","",ROW()-4)</f>
        <v/>
      </c>
    </row>
    <row r="9446">
      <c r="A9446" s="13">
        <f>IF(H9446="","",ROW()-4)</f>
        <v/>
      </c>
      <c r="B9446" s="13">
        <f>IF(H9446="","",ROW()-4)</f>
        <v/>
      </c>
    </row>
    <row r="9447">
      <c r="A9447" s="13">
        <f>IF(H9447="","",ROW()-4)</f>
        <v/>
      </c>
      <c r="B9447" s="13">
        <f>IF(H9447="","",ROW()-4)</f>
        <v/>
      </c>
    </row>
    <row r="9448">
      <c r="A9448" s="13">
        <f>IF(H9448="","",ROW()-4)</f>
        <v/>
      </c>
      <c r="B9448" s="13">
        <f>IF(H9448="","",ROW()-4)</f>
        <v/>
      </c>
    </row>
    <row r="9449">
      <c r="A9449" s="13">
        <f>IF(H9449="","",ROW()-4)</f>
        <v/>
      </c>
      <c r="B9449" s="13">
        <f>IF(H9449="","",ROW()-4)</f>
        <v/>
      </c>
    </row>
    <row r="9450">
      <c r="A9450" s="13">
        <f>IF(H9450="","",ROW()-4)</f>
        <v/>
      </c>
      <c r="B9450" s="13">
        <f>IF(H9450="","",ROW()-4)</f>
        <v/>
      </c>
    </row>
    <row r="9451">
      <c r="A9451" s="13">
        <f>IF(H9451="","",ROW()-4)</f>
        <v/>
      </c>
      <c r="B9451" s="13">
        <f>IF(H9451="","",ROW()-4)</f>
        <v/>
      </c>
    </row>
    <row r="9452">
      <c r="A9452" s="13">
        <f>IF(H9452="","",ROW()-4)</f>
        <v/>
      </c>
      <c r="B9452" s="13">
        <f>IF(H9452="","",ROW()-4)</f>
        <v/>
      </c>
    </row>
    <row r="9453">
      <c r="A9453" s="13">
        <f>IF(H9453="","",ROW()-4)</f>
        <v/>
      </c>
      <c r="B9453" s="13">
        <f>IF(H9453="","",ROW()-4)</f>
        <v/>
      </c>
    </row>
    <row r="9454">
      <c r="A9454" s="13">
        <f>IF(H9454="","",ROW()-4)</f>
        <v/>
      </c>
      <c r="B9454" s="13">
        <f>IF(H9454="","",ROW()-4)</f>
        <v/>
      </c>
    </row>
    <row r="9455">
      <c r="A9455" s="13">
        <f>IF(H9455="","",ROW()-4)</f>
        <v/>
      </c>
      <c r="B9455" s="13">
        <f>IF(H9455="","",ROW()-4)</f>
        <v/>
      </c>
    </row>
    <row r="9456">
      <c r="A9456" s="13">
        <f>IF(H9456="","",ROW()-4)</f>
        <v/>
      </c>
      <c r="B9456" s="13">
        <f>IF(H9456="","",ROW()-4)</f>
        <v/>
      </c>
    </row>
    <row r="9457">
      <c r="A9457" s="13">
        <f>IF(H9457="","",ROW()-4)</f>
        <v/>
      </c>
      <c r="B9457" s="13">
        <f>IF(H9457="","",ROW()-4)</f>
        <v/>
      </c>
    </row>
    <row r="9458">
      <c r="A9458" s="13">
        <f>IF(H9458="","",ROW()-4)</f>
        <v/>
      </c>
      <c r="B9458" s="13">
        <f>IF(H9458="","",ROW()-4)</f>
        <v/>
      </c>
    </row>
    <row r="9459">
      <c r="A9459" s="13">
        <f>IF(H9459="","",ROW()-4)</f>
        <v/>
      </c>
      <c r="B9459" s="13">
        <f>IF(H9459="","",ROW()-4)</f>
        <v/>
      </c>
    </row>
    <row r="9460">
      <c r="A9460" s="13">
        <f>IF(H9460="","",ROW()-4)</f>
        <v/>
      </c>
      <c r="B9460" s="13">
        <f>IF(H9460="","",ROW()-4)</f>
        <v/>
      </c>
    </row>
    <row r="9461">
      <c r="A9461" s="13">
        <f>IF(H9461="","",ROW()-4)</f>
        <v/>
      </c>
      <c r="B9461" s="13">
        <f>IF(H9461="","",ROW()-4)</f>
        <v/>
      </c>
    </row>
    <row r="9462">
      <c r="A9462" s="13">
        <f>IF(H9462="","",ROW()-4)</f>
        <v/>
      </c>
      <c r="B9462" s="13">
        <f>IF(H9462="","",ROW()-4)</f>
        <v/>
      </c>
    </row>
    <row r="9463">
      <c r="A9463" s="13">
        <f>IF(H9463="","",ROW()-4)</f>
        <v/>
      </c>
      <c r="B9463" s="13">
        <f>IF(H9463="","",ROW()-4)</f>
        <v/>
      </c>
    </row>
    <row r="9464">
      <c r="A9464" s="13">
        <f>IF(H9464="","",ROW()-4)</f>
        <v/>
      </c>
      <c r="B9464" s="13">
        <f>IF(H9464="","",ROW()-4)</f>
        <v/>
      </c>
    </row>
    <row r="9465">
      <c r="A9465" s="13">
        <f>IF(H9465="","",ROW()-4)</f>
        <v/>
      </c>
      <c r="B9465" s="13">
        <f>IF(H9465="","",ROW()-4)</f>
        <v/>
      </c>
    </row>
    <row r="9466">
      <c r="A9466" s="13">
        <f>IF(H9466="","",ROW()-4)</f>
        <v/>
      </c>
      <c r="B9466" s="13">
        <f>IF(H9466="","",ROW()-4)</f>
        <v/>
      </c>
    </row>
    <row r="9467">
      <c r="A9467" s="13">
        <f>IF(H9467="","",ROW()-4)</f>
        <v/>
      </c>
      <c r="B9467" s="13">
        <f>IF(H9467="","",ROW()-4)</f>
        <v/>
      </c>
    </row>
    <row r="9468">
      <c r="A9468" s="13">
        <f>IF(H9468="","",ROW()-4)</f>
        <v/>
      </c>
      <c r="B9468" s="13">
        <f>IF(H9468="","",ROW()-4)</f>
        <v/>
      </c>
    </row>
    <row r="9469">
      <c r="A9469" s="13">
        <f>IF(H9469="","",ROW()-4)</f>
        <v/>
      </c>
      <c r="B9469" s="13">
        <f>IF(H9469="","",ROW()-4)</f>
        <v/>
      </c>
    </row>
    <row r="9470">
      <c r="A9470" s="13">
        <f>IF(H9470="","",ROW()-4)</f>
        <v/>
      </c>
      <c r="B9470" s="13">
        <f>IF(H9470="","",ROW()-4)</f>
        <v/>
      </c>
    </row>
    <row r="9471">
      <c r="A9471" s="13">
        <f>IF(H9471="","",ROW()-4)</f>
        <v/>
      </c>
      <c r="B9471" s="13">
        <f>IF(H9471="","",ROW()-4)</f>
        <v/>
      </c>
    </row>
    <row r="9472">
      <c r="A9472" s="13">
        <f>IF(H9472="","",ROW()-4)</f>
        <v/>
      </c>
      <c r="B9472" s="13">
        <f>IF(H9472="","",ROW()-4)</f>
        <v/>
      </c>
    </row>
    <row r="9473">
      <c r="A9473" s="13">
        <f>IF(H9473="","",ROW()-4)</f>
        <v/>
      </c>
      <c r="B9473" s="13">
        <f>IF(H9473="","",ROW()-4)</f>
        <v/>
      </c>
    </row>
    <row r="9474">
      <c r="A9474" s="13">
        <f>IF(H9474="","",ROW()-4)</f>
        <v/>
      </c>
      <c r="B9474" s="13">
        <f>IF(H9474="","",ROW()-4)</f>
        <v/>
      </c>
    </row>
    <row r="9475">
      <c r="A9475" s="13">
        <f>IF(H9475="","",ROW()-4)</f>
        <v/>
      </c>
      <c r="B9475" s="13">
        <f>IF(H9475="","",ROW()-4)</f>
        <v/>
      </c>
    </row>
    <row r="9476">
      <c r="A9476" s="13">
        <f>IF(H9476="","",ROW()-4)</f>
        <v/>
      </c>
      <c r="B9476" s="13">
        <f>IF(H9476="","",ROW()-4)</f>
        <v/>
      </c>
    </row>
    <row r="9477">
      <c r="A9477" s="13">
        <f>IF(H9477="","",ROW()-4)</f>
        <v/>
      </c>
      <c r="B9477" s="13">
        <f>IF(H9477="","",ROW()-4)</f>
        <v/>
      </c>
    </row>
    <row r="9478">
      <c r="A9478" s="13">
        <f>IF(H9478="","",ROW()-4)</f>
        <v/>
      </c>
      <c r="B9478" s="13">
        <f>IF(H9478="","",ROW()-4)</f>
        <v/>
      </c>
    </row>
    <row r="9479">
      <c r="A9479" s="13">
        <f>IF(H9479="","",ROW()-4)</f>
        <v/>
      </c>
      <c r="B9479" s="13">
        <f>IF(H9479="","",ROW()-4)</f>
        <v/>
      </c>
    </row>
    <row r="9480">
      <c r="A9480" s="13">
        <f>IF(H9480="","",ROW()-4)</f>
        <v/>
      </c>
      <c r="B9480" s="13">
        <f>IF(H9480="","",ROW()-4)</f>
        <v/>
      </c>
    </row>
    <row r="9481">
      <c r="A9481" s="13">
        <f>IF(H9481="","",ROW()-4)</f>
        <v/>
      </c>
      <c r="B9481" s="13">
        <f>IF(H9481="","",ROW()-4)</f>
        <v/>
      </c>
    </row>
    <row r="9482">
      <c r="A9482" s="13">
        <f>IF(H9482="","",ROW()-4)</f>
        <v/>
      </c>
      <c r="B9482" s="13">
        <f>IF(H9482="","",ROW()-4)</f>
        <v/>
      </c>
    </row>
    <row r="9483">
      <c r="A9483" s="13">
        <f>IF(H9483="","",ROW()-4)</f>
        <v/>
      </c>
      <c r="B9483" s="13">
        <f>IF(H9483="","",ROW()-4)</f>
        <v/>
      </c>
    </row>
    <row r="9484">
      <c r="A9484" s="13">
        <f>IF(H9484="","",ROW()-4)</f>
        <v/>
      </c>
      <c r="B9484" s="13">
        <f>IF(H9484="","",ROW()-4)</f>
        <v/>
      </c>
    </row>
    <row r="9485">
      <c r="A9485" s="13">
        <f>IF(H9485="","",ROW()-4)</f>
        <v/>
      </c>
      <c r="B9485" s="13">
        <f>IF(H9485="","",ROW()-4)</f>
        <v/>
      </c>
    </row>
    <row r="9486">
      <c r="A9486" s="13">
        <f>IF(H9486="","",ROW()-4)</f>
        <v/>
      </c>
      <c r="B9486" s="13">
        <f>IF(H9486="","",ROW()-4)</f>
        <v/>
      </c>
    </row>
    <row r="9487">
      <c r="A9487" s="13">
        <f>IF(H9487="","",ROW()-4)</f>
        <v/>
      </c>
      <c r="B9487" s="13">
        <f>IF(H9487="","",ROW()-4)</f>
        <v/>
      </c>
    </row>
    <row r="9488">
      <c r="A9488" s="13">
        <f>IF(H9488="","",ROW()-4)</f>
        <v/>
      </c>
      <c r="B9488" s="13">
        <f>IF(H9488="","",ROW()-4)</f>
        <v/>
      </c>
    </row>
    <row r="9489">
      <c r="A9489" s="13">
        <f>IF(H9489="","",ROW()-4)</f>
        <v/>
      </c>
      <c r="B9489" s="13">
        <f>IF(H9489="","",ROW()-4)</f>
        <v/>
      </c>
    </row>
    <row r="9490">
      <c r="A9490" s="13">
        <f>IF(H9490="","",ROW()-4)</f>
        <v/>
      </c>
      <c r="B9490" s="13">
        <f>IF(H9490="","",ROW()-4)</f>
        <v/>
      </c>
    </row>
    <row r="9491">
      <c r="A9491" s="13">
        <f>IF(H9491="","",ROW()-4)</f>
        <v/>
      </c>
      <c r="B9491" s="13">
        <f>IF(H9491="","",ROW()-4)</f>
        <v/>
      </c>
    </row>
    <row r="9492">
      <c r="A9492" s="13">
        <f>IF(H9492="","",ROW()-4)</f>
        <v/>
      </c>
      <c r="B9492" s="13">
        <f>IF(H9492="","",ROW()-4)</f>
        <v/>
      </c>
    </row>
    <row r="9493">
      <c r="A9493" s="13">
        <f>IF(H9493="","",ROW()-4)</f>
        <v/>
      </c>
      <c r="B9493" s="13">
        <f>IF(H9493="","",ROW()-4)</f>
        <v/>
      </c>
    </row>
    <row r="9494">
      <c r="A9494" s="13">
        <f>IF(H9494="","",ROW()-4)</f>
        <v/>
      </c>
      <c r="B9494" s="13">
        <f>IF(H9494="","",ROW()-4)</f>
        <v/>
      </c>
    </row>
    <row r="9495">
      <c r="A9495" s="13">
        <f>IF(H9495="","",ROW()-4)</f>
        <v/>
      </c>
      <c r="B9495" s="13">
        <f>IF(H9495="","",ROW()-4)</f>
        <v/>
      </c>
    </row>
    <row r="9496">
      <c r="A9496" s="13">
        <f>IF(H9496="","",ROW()-4)</f>
        <v/>
      </c>
      <c r="B9496" s="13">
        <f>IF(H9496="","",ROW()-4)</f>
        <v/>
      </c>
    </row>
    <row r="9497">
      <c r="A9497" s="13">
        <f>IF(H9497="","",ROW()-4)</f>
        <v/>
      </c>
      <c r="B9497" s="13">
        <f>IF(H9497="","",ROW()-4)</f>
        <v/>
      </c>
    </row>
    <row r="9498">
      <c r="A9498" s="13">
        <f>IF(H9498="","",ROW()-4)</f>
        <v/>
      </c>
      <c r="B9498" s="13">
        <f>IF(H9498="","",ROW()-4)</f>
        <v/>
      </c>
    </row>
    <row r="9499">
      <c r="A9499" s="13">
        <f>IF(H9499="","",ROW()-4)</f>
        <v/>
      </c>
      <c r="B9499" s="13">
        <f>IF(H9499="","",ROW()-4)</f>
        <v/>
      </c>
    </row>
    <row r="9500">
      <c r="A9500" s="13">
        <f>IF(H9500="","",ROW()-4)</f>
        <v/>
      </c>
      <c r="B9500" s="13">
        <f>IF(H9500="","",ROW()-4)</f>
        <v/>
      </c>
    </row>
    <row r="9501">
      <c r="A9501" s="13">
        <f>IF(H9501="","",ROW()-4)</f>
        <v/>
      </c>
      <c r="B9501" s="13">
        <f>IF(H9501="","",ROW()-4)</f>
        <v/>
      </c>
    </row>
    <row r="9502">
      <c r="A9502" s="13">
        <f>IF(H9502="","",ROW()-4)</f>
        <v/>
      </c>
      <c r="B9502" s="13">
        <f>IF(H9502="","",ROW()-4)</f>
        <v/>
      </c>
    </row>
    <row r="9503">
      <c r="A9503" s="13">
        <f>IF(H9503="","",ROW()-4)</f>
        <v/>
      </c>
      <c r="B9503" s="13">
        <f>IF(H9503="","",ROW()-4)</f>
        <v/>
      </c>
    </row>
    <row r="9504">
      <c r="A9504" s="13">
        <f>IF(H9504="","",ROW()-4)</f>
        <v/>
      </c>
      <c r="B9504" s="13">
        <f>IF(H9504="","",ROW()-4)</f>
        <v/>
      </c>
    </row>
    <row r="9505">
      <c r="A9505" s="13">
        <f>IF(H9505="","",ROW()-4)</f>
        <v/>
      </c>
      <c r="B9505" s="13">
        <f>IF(H9505="","",ROW()-4)</f>
        <v/>
      </c>
    </row>
    <row r="9506">
      <c r="A9506" s="13">
        <f>IF(H9506="","",ROW()-4)</f>
        <v/>
      </c>
      <c r="B9506" s="13">
        <f>IF(H9506="","",ROW()-4)</f>
        <v/>
      </c>
    </row>
    <row r="9507">
      <c r="A9507" s="13">
        <f>IF(H9507="","",ROW()-4)</f>
        <v/>
      </c>
      <c r="B9507" s="13">
        <f>IF(H9507="","",ROW()-4)</f>
        <v/>
      </c>
    </row>
    <row r="9508">
      <c r="A9508" s="13">
        <f>IF(H9508="","",ROW()-4)</f>
        <v/>
      </c>
      <c r="B9508" s="13">
        <f>IF(H9508="","",ROW()-4)</f>
        <v/>
      </c>
    </row>
    <row r="9509">
      <c r="A9509" s="13">
        <f>IF(H9509="","",ROW()-4)</f>
        <v/>
      </c>
      <c r="B9509" s="13">
        <f>IF(H9509="","",ROW()-4)</f>
        <v/>
      </c>
    </row>
    <row r="9510">
      <c r="A9510" s="13">
        <f>IF(H9510="","",ROW()-4)</f>
        <v/>
      </c>
      <c r="B9510" s="13">
        <f>IF(H9510="","",ROW()-4)</f>
        <v/>
      </c>
    </row>
    <row r="9511">
      <c r="A9511" s="13">
        <f>IF(H9511="","",ROW()-4)</f>
        <v/>
      </c>
      <c r="B9511" s="13">
        <f>IF(H9511="","",ROW()-4)</f>
        <v/>
      </c>
    </row>
    <row r="9512">
      <c r="A9512" s="13">
        <f>IF(H9512="","",ROW()-4)</f>
        <v/>
      </c>
      <c r="B9512" s="13">
        <f>IF(H9512="","",ROW()-4)</f>
        <v/>
      </c>
    </row>
    <row r="9513">
      <c r="A9513" s="13">
        <f>IF(H9513="","",ROW()-4)</f>
        <v/>
      </c>
      <c r="B9513" s="13">
        <f>IF(H9513="","",ROW()-4)</f>
        <v/>
      </c>
    </row>
    <row r="9514">
      <c r="A9514" s="13">
        <f>IF(H9514="","",ROW()-4)</f>
        <v/>
      </c>
      <c r="B9514" s="13">
        <f>IF(H9514="","",ROW()-4)</f>
        <v/>
      </c>
    </row>
    <row r="9515">
      <c r="A9515" s="13">
        <f>IF(H9515="","",ROW()-4)</f>
        <v/>
      </c>
      <c r="B9515" s="13">
        <f>IF(H9515="","",ROW()-4)</f>
        <v/>
      </c>
    </row>
    <row r="9516">
      <c r="A9516" s="13">
        <f>IF(H9516="","",ROW()-4)</f>
        <v/>
      </c>
      <c r="B9516" s="13">
        <f>IF(H9516="","",ROW()-4)</f>
        <v/>
      </c>
    </row>
    <row r="9517">
      <c r="A9517" s="13">
        <f>IF(H9517="","",ROW()-4)</f>
        <v/>
      </c>
      <c r="B9517" s="13">
        <f>IF(H9517="","",ROW()-4)</f>
        <v/>
      </c>
    </row>
    <row r="9518">
      <c r="A9518" s="13">
        <f>IF(H9518="","",ROW()-4)</f>
        <v/>
      </c>
      <c r="B9518" s="13">
        <f>IF(H9518="","",ROW()-4)</f>
        <v/>
      </c>
    </row>
    <row r="9519">
      <c r="A9519" s="13">
        <f>IF(H9519="","",ROW()-4)</f>
        <v/>
      </c>
      <c r="B9519" s="13">
        <f>IF(H9519="","",ROW()-4)</f>
        <v/>
      </c>
    </row>
    <row r="9520">
      <c r="A9520" s="13">
        <f>IF(H9520="","",ROW()-4)</f>
        <v/>
      </c>
      <c r="B9520" s="13">
        <f>IF(H9520="","",ROW()-4)</f>
        <v/>
      </c>
    </row>
    <row r="9521">
      <c r="A9521" s="13">
        <f>IF(H9521="","",ROW()-4)</f>
        <v/>
      </c>
      <c r="B9521" s="13">
        <f>IF(H9521="","",ROW()-4)</f>
        <v/>
      </c>
    </row>
    <row r="9522">
      <c r="A9522" s="13">
        <f>IF(H9522="","",ROW()-4)</f>
        <v/>
      </c>
      <c r="B9522" s="13">
        <f>IF(H9522="","",ROW()-4)</f>
        <v/>
      </c>
    </row>
    <row r="9523">
      <c r="A9523" s="13">
        <f>IF(H9523="","",ROW()-4)</f>
        <v/>
      </c>
      <c r="B9523" s="13">
        <f>IF(H9523="","",ROW()-4)</f>
        <v/>
      </c>
    </row>
    <row r="9524">
      <c r="A9524" s="13">
        <f>IF(H9524="","",ROW()-4)</f>
        <v/>
      </c>
      <c r="B9524" s="13">
        <f>IF(H9524="","",ROW()-4)</f>
        <v/>
      </c>
    </row>
    <row r="9525">
      <c r="A9525" s="13">
        <f>IF(H9525="","",ROW()-4)</f>
        <v/>
      </c>
      <c r="B9525" s="13">
        <f>IF(H9525="","",ROW()-4)</f>
        <v/>
      </c>
    </row>
    <row r="9526">
      <c r="A9526" s="13">
        <f>IF(H9526="","",ROW()-4)</f>
        <v/>
      </c>
      <c r="B9526" s="13">
        <f>IF(H9526="","",ROW()-4)</f>
        <v/>
      </c>
    </row>
    <row r="9527">
      <c r="A9527" s="13">
        <f>IF(H9527="","",ROW()-4)</f>
        <v/>
      </c>
      <c r="B9527" s="13">
        <f>IF(H9527="","",ROW()-4)</f>
        <v/>
      </c>
    </row>
    <row r="9528">
      <c r="A9528" s="13">
        <f>IF(H9528="","",ROW()-4)</f>
        <v/>
      </c>
      <c r="B9528" s="13">
        <f>IF(H9528="","",ROW()-4)</f>
        <v/>
      </c>
    </row>
    <row r="9529">
      <c r="A9529" s="13">
        <f>IF(H9529="","",ROW()-4)</f>
        <v/>
      </c>
      <c r="B9529" s="13">
        <f>IF(H9529="","",ROW()-4)</f>
        <v/>
      </c>
    </row>
    <row r="9530">
      <c r="A9530" s="13">
        <f>IF(H9530="","",ROW()-4)</f>
        <v/>
      </c>
      <c r="B9530" s="13">
        <f>IF(H9530="","",ROW()-4)</f>
        <v/>
      </c>
    </row>
    <row r="9531">
      <c r="A9531" s="13">
        <f>IF(H9531="","",ROW()-4)</f>
        <v/>
      </c>
      <c r="B9531" s="13">
        <f>IF(H9531="","",ROW()-4)</f>
        <v/>
      </c>
    </row>
    <row r="9532">
      <c r="A9532" s="13">
        <f>IF(H9532="","",ROW()-4)</f>
        <v/>
      </c>
      <c r="B9532" s="13">
        <f>IF(H9532="","",ROW()-4)</f>
        <v/>
      </c>
    </row>
    <row r="9533">
      <c r="A9533" s="13">
        <f>IF(H9533="","",ROW()-4)</f>
        <v/>
      </c>
      <c r="B9533" s="13">
        <f>IF(H9533="","",ROW()-4)</f>
        <v/>
      </c>
    </row>
    <row r="9534">
      <c r="A9534" s="13">
        <f>IF(H9534="","",ROW()-4)</f>
        <v/>
      </c>
      <c r="B9534" s="13">
        <f>IF(H9534="","",ROW()-4)</f>
        <v/>
      </c>
    </row>
    <row r="9535">
      <c r="A9535" s="13">
        <f>IF(H9535="","",ROW()-4)</f>
        <v/>
      </c>
      <c r="B9535" s="13">
        <f>IF(H9535="","",ROW()-4)</f>
        <v/>
      </c>
    </row>
    <row r="9536">
      <c r="A9536" s="13">
        <f>IF(H9536="","",ROW()-4)</f>
        <v/>
      </c>
      <c r="B9536" s="13">
        <f>IF(H9536="","",ROW()-4)</f>
        <v/>
      </c>
    </row>
    <row r="9537">
      <c r="A9537" s="13">
        <f>IF(H9537="","",ROW()-4)</f>
        <v/>
      </c>
      <c r="B9537" s="13">
        <f>IF(H9537="","",ROW()-4)</f>
        <v/>
      </c>
    </row>
    <row r="9538">
      <c r="A9538" s="13">
        <f>IF(H9538="","",ROW()-4)</f>
        <v/>
      </c>
      <c r="B9538" s="13">
        <f>IF(H9538="","",ROW()-4)</f>
        <v/>
      </c>
    </row>
    <row r="9539">
      <c r="A9539" s="13">
        <f>IF(H9539="","",ROW()-4)</f>
        <v/>
      </c>
      <c r="B9539" s="13">
        <f>IF(H9539="","",ROW()-4)</f>
        <v/>
      </c>
    </row>
    <row r="9540">
      <c r="A9540" s="13">
        <f>IF(H9540="","",ROW()-4)</f>
        <v/>
      </c>
      <c r="B9540" s="13">
        <f>IF(H9540="","",ROW()-4)</f>
        <v/>
      </c>
    </row>
    <row r="9541">
      <c r="A9541" s="13">
        <f>IF(H9541="","",ROW()-4)</f>
        <v/>
      </c>
      <c r="B9541" s="13">
        <f>IF(H9541="","",ROW()-4)</f>
        <v/>
      </c>
    </row>
    <row r="9542">
      <c r="A9542" s="13">
        <f>IF(H9542="","",ROW()-4)</f>
        <v/>
      </c>
      <c r="B9542" s="13">
        <f>IF(H9542="","",ROW()-4)</f>
        <v/>
      </c>
    </row>
    <row r="9543">
      <c r="A9543" s="13">
        <f>IF(H9543="","",ROW()-4)</f>
        <v/>
      </c>
      <c r="B9543" s="13">
        <f>IF(H9543="","",ROW()-4)</f>
        <v/>
      </c>
    </row>
    <row r="9544">
      <c r="A9544" s="13">
        <f>IF(H9544="","",ROW()-4)</f>
        <v/>
      </c>
      <c r="B9544" s="13">
        <f>IF(H9544="","",ROW()-4)</f>
        <v/>
      </c>
    </row>
    <row r="9545">
      <c r="A9545" s="13">
        <f>IF(H9545="","",ROW()-4)</f>
        <v/>
      </c>
      <c r="B9545" s="13">
        <f>IF(H9545="","",ROW()-4)</f>
        <v/>
      </c>
    </row>
    <row r="9546">
      <c r="A9546" s="13">
        <f>IF(H9546="","",ROW()-4)</f>
        <v/>
      </c>
      <c r="B9546" s="13">
        <f>IF(H9546="","",ROW()-4)</f>
        <v/>
      </c>
    </row>
    <row r="9547">
      <c r="A9547" s="13">
        <f>IF(H9547="","",ROW()-4)</f>
        <v/>
      </c>
      <c r="B9547" s="13">
        <f>IF(H9547="","",ROW()-4)</f>
        <v/>
      </c>
    </row>
    <row r="9548">
      <c r="A9548" s="13">
        <f>IF(H9548="","",ROW()-4)</f>
        <v/>
      </c>
      <c r="B9548" s="13">
        <f>IF(H9548="","",ROW()-4)</f>
        <v/>
      </c>
    </row>
    <row r="9549">
      <c r="A9549" s="13">
        <f>IF(H9549="","",ROW()-4)</f>
        <v/>
      </c>
      <c r="B9549" s="13">
        <f>IF(H9549="","",ROW()-4)</f>
        <v/>
      </c>
    </row>
    <row r="9550">
      <c r="A9550" s="13">
        <f>IF(H9550="","",ROW()-4)</f>
        <v/>
      </c>
      <c r="B9550" s="13">
        <f>IF(H9550="","",ROW()-4)</f>
        <v/>
      </c>
    </row>
    <row r="9551">
      <c r="A9551" s="13">
        <f>IF(H9551="","",ROW()-4)</f>
        <v/>
      </c>
      <c r="B9551" s="13">
        <f>IF(H9551="","",ROW()-4)</f>
        <v/>
      </c>
    </row>
    <row r="9552">
      <c r="A9552" s="13">
        <f>IF(H9552="","",ROW()-4)</f>
        <v/>
      </c>
      <c r="B9552" s="13">
        <f>IF(H9552="","",ROW()-4)</f>
        <v/>
      </c>
    </row>
    <row r="9553">
      <c r="A9553" s="13">
        <f>IF(H9553="","",ROW()-4)</f>
        <v/>
      </c>
      <c r="B9553" s="13">
        <f>IF(H9553="","",ROW()-4)</f>
        <v/>
      </c>
    </row>
    <row r="9554">
      <c r="A9554" s="13">
        <f>IF(H9554="","",ROW()-4)</f>
        <v/>
      </c>
      <c r="B9554" s="13">
        <f>IF(H9554="","",ROW()-4)</f>
        <v/>
      </c>
    </row>
    <row r="9555">
      <c r="A9555" s="13">
        <f>IF(H9555="","",ROW()-4)</f>
        <v/>
      </c>
      <c r="B9555" s="13">
        <f>IF(H9555="","",ROW()-4)</f>
        <v/>
      </c>
    </row>
    <row r="9556">
      <c r="A9556" s="13">
        <f>IF(H9556="","",ROW()-4)</f>
        <v/>
      </c>
      <c r="B9556" s="13">
        <f>IF(H9556="","",ROW()-4)</f>
        <v/>
      </c>
    </row>
    <row r="9557">
      <c r="A9557" s="13">
        <f>IF(H9557="","",ROW()-4)</f>
        <v/>
      </c>
      <c r="B9557" s="13">
        <f>IF(H9557="","",ROW()-4)</f>
        <v/>
      </c>
    </row>
    <row r="9558">
      <c r="A9558" s="13">
        <f>IF(H9558="","",ROW()-4)</f>
        <v/>
      </c>
      <c r="B9558" s="13">
        <f>IF(H9558="","",ROW()-4)</f>
        <v/>
      </c>
    </row>
    <row r="9559">
      <c r="A9559" s="13">
        <f>IF(H9559="","",ROW()-4)</f>
        <v/>
      </c>
      <c r="B9559" s="13">
        <f>IF(H9559="","",ROW()-4)</f>
        <v/>
      </c>
    </row>
    <row r="9560">
      <c r="A9560" s="13">
        <f>IF(H9560="","",ROW()-4)</f>
        <v/>
      </c>
      <c r="B9560" s="13">
        <f>IF(H9560="","",ROW()-4)</f>
        <v/>
      </c>
    </row>
    <row r="9561">
      <c r="A9561" s="13">
        <f>IF(H9561="","",ROW()-4)</f>
        <v/>
      </c>
      <c r="B9561" s="13">
        <f>IF(H9561="","",ROW()-4)</f>
        <v/>
      </c>
    </row>
    <row r="9562">
      <c r="A9562" s="13">
        <f>IF(H9562="","",ROW()-4)</f>
        <v/>
      </c>
      <c r="B9562" s="13">
        <f>IF(H9562="","",ROW()-4)</f>
        <v/>
      </c>
    </row>
    <row r="9563">
      <c r="A9563" s="13">
        <f>IF(H9563="","",ROW()-4)</f>
        <v/>
      </c>
      <c r="B9563" s="13">
        <f>IF(H9563="","",ROW()-4)</f>
        <v/>
      </c>
    </row>
    <row r="9564">
      <c r="A9564" s="13">
        <f>IF(H9564="","",ROW()-4)</f>
        <v/>
      </c>
      <c r="B9564" s="13">
        <f>IF(H9564="","",ROW()-4)</f>
        <v/>
      </c>
    </row>
    <row r="9565">
      <c r="A9565" s="13">
        <f>IF(H9565="","",ROW()-4)</f>
        <v/>
      </c>
      <c r="B9565" s="13">
        <f>IF(H9565="","",ROW()-4)</f>
        <v/>
      </c>
    </row>
    <row r="9566">
      <c r="A9566" s="13">
        <f>IF(H9566="","",ROW()-4)</f>
        <v/>
      </c>
      <c r="B9566" s="13">
        <f>IF(H9566="","",ROW()-4)</f>
        <v/>
      </c>
    </row>
    <row r="9567">
      <c r="A9567" s="13">
        <f>IF(H9567="","",ROW()-4)</f>
        <v/>
      </c>
      <c r="B9567" s="13">
        <f>IF(H9567="","",ROW()-4)</f>
        <v/>
      </c>
    </row>
    <row r="9568">
      <c r="A9568" s="13">
        <f>IF(H9568="","",ROW()-4)</f>
        <v/>
      </c>
      <c r="B9568" s="13">
        <f>IF(H9568="","",ROW()-4)</f>
        <v/>
      </c>
    </row>
    <row r="9569">
      <c r="A9569" s="13">
        <f>IF(H9569="","",ROW()-4)</f>
        <v/>
      </c>
      <c r="B9569" s="13">
        <f>IF(H9569="","",ROW()-4)</f>
        <v/>
      </c>
    </row>
    <row r="9570">
      <c r="A9570" s="13">
        <f>IF(H9570="","",ROW()-4)</f>
        <v/>
      </c>
      <c r="B9570" s="13">
        <f>IF(H9570="","",ROW()-4)</f>
        <v/>
      </c>
    </row>
    <row r="9571">
      <c r="A9571" s="13">
        <f>IF(H9571="","",ROW()-4)</f>
        <v/>
      </c>
      <c r="B9571" s="13">
        <f>IF(H9571="","",ROW()-4)</f>
        <v/>
      </c>
    </row>
    <row r="9572">
      <c r="A9572" s="13">
        <f>IF(H9572="","",ROW()-4)</f>
        <v/>
      </c>
      <c r="B9572" s="13">
        <f>IF(H9572="","",ROW()-4)</f>
        <v/>
      </c>
    </row>
    <row r="9573">
      <c r="A9573" s="13">
        <f>IF(H9573="","",ROW()-4)</f>
        <v/>
      </c>
      <c r="B9573" s="13">
        <f>IF(H9573="","",ROW()-4)</f>
        <v/>
      </c>
    </row>
    <row r="9574">
      <c r="A9574" s="13">
        <f>IF(H9574="","",ROW()-4)</f>
        <v/>
      </c>
      <c r="B9574" s="13">
        <f>IF(H9574="","",ROW()-4)</f>
        <v/>
      </c>
    </row>
    <row r="9575">
      <c r="A9575" s="13">
        <f>IF(H9575="","",ROW()-4)</f>
        <v/>
      </c>
      <c r="B9575" s="13">
        <f>IF(H9575="","",ROW()-4)</f>
        <v/>
      </c>
    </row>
    <row r="9576">
      <c r="A9576" s="13">
        <f>IF(H9576="","",ROW()-4)</f>
        <v/>
      </c>
      <c r="B9576" s="13">
        <f>IF(H9576="","",ROW()-4)</f>
        <v/>
      </c>
    </row>
    <row r="9577">
      <c r="A9577" s="13">
        <f>IF(H9577="","",ROW()-4)</f>
        <v/>
      </c>
      <c r="B9577" s="13">
        <f>IF(H9577="","",ROW()-4)</f>
        <v/>
      </c>
    </row>
    <row r="9578">
      <c r="A9578" s="13">
        <f>IF(H9578="","",ROW()-4)</f>
        <v/>
      </c>
      <c r="B9578" s="13">
        <f>IF(H9578="","",ROW()-4)</f>
        <v/>
      </c>
    </row>
    <row r="9579">
      <c r="A9579" s="13">
        <f>IF(H9579="","",ROW()-4)</f>
        <v/>
      </c>
      <c r="B9579" s="13">
        <f>IF(H9579="","",ROW()-4)</f>
        <v/>
      </c>
    </row>
    <row r="9580">
      <c r="A9580" s="13">
        <f>IF(H9580="","",ROW()-4)</f>
        <v/>
      </c>
      <c r="B9580" s="13">
        <f>IF(H9580="","",ROW()-4)</f>
        <v/>
      </c>
    </row>
    <row r="9581">
      <c r="A9581" s="13">
        <f>IF(H9581="","",ROW()-4)</f>
        <v/>
      </c>
      <c r="B9581" s="13">
        <f>IF(H9581="","",ROW()-4)</f>
        <v/>
      </c>
    </row>
    <row r="9582">
      <c r="A9582" s="13">
        <f>IF(H9582="","",ROW()-4)</f>
        <v/>
      </c>
      <c r="B9582" s="13">
        <f>IF(H9582="","",ROW()-4)</f>
        <v/>
      </c>
    </row>
    <row r="9583">
      <c r="A9583" s="13">
        <f>IF(H9583="","",ROW()-4)</f>
        <v/>
      </c>
      <c r="B9583" s="13">
        <f>IF(H9583="","",ROW()-4)</f>
        <v/>
      </c>
    </row>
    <row r="9584">
      <c r="A9584" s="13">
        <f>IF(H9584="","",ROW()-4)</f>
        <v/>
      </c>
      <c r="B9584" s="13">
        <f>IF(H9584="","",ROW()-4)</f>
        <v/>
      </c>
    </row>
    <row r="9585">
      <c r="A9585" s="13">
        <f>IF(H9585="","",ROW()-4)</f>
        <v/>
      </c>
      <c r="B9585" s="13">
        <f>IF(H9585="","",ROW()-4)</f>
        <v/>
      </c>
    </row>
    <row r="9586">
      <c r="A9586" s="13">
        <f>IF(H9586="","",ROW()-4)</f>
        <v/>
      </c>
      <c r="B9586" s="13">
        <f>IF(H9586="","",ROW()-4)</f>
        <v/>
      </c>
    </row>
    <row r="9587">
      <c r="A9587" s="13">
        <f>IF(H9587="","",ROW()-4)</f>
        <v/>
      </c>
      <c r="B9587" s="13">
        <f>IF(H9587="","",ROW()-4)</f>
        <v/>
      </c>
    </row>
    <row r="9588">
      <c r="A9588" s="13">
        <f>IF(H9588="","",ROW()-4)</f>
        <v/>
      </c>
      <c r="B9588" s="13">
        <f>IF(H9588="","",ROW()-4)</f>
        <v/>
      </c>
    </row>
    <row r="9589">
      <c r="A9589" s="13">
        <f>IF(H9589="","",ROW()-4)</f>
        <v/>
      </c>
      <c r="B9589" s="13">
        <f>IF(H9589="","",ROW()-4)</f>
        <v/>
      </c>
    </row>
    <row r="9590">
      <c r="A9590" s="13">
        <f>IF(H9590="","",ROW()-4)</f>
        <v/>
      </c>
      <c r="B9590" s="13">
        <f>IF(H9590="","",ROW()-4)</f>
        <v/>
      </c>
    </row>
    <row r="9591">
      <c r="A9591" s="13">
        <f>IF(H9591="","",ROW()-4)</f>
        <v/>
      </c>
      <c r="B9591" s="13">
        <f>IF(H9591="","",ROW()-4)</f>
        <v/>
      </c>
    </row>
    <row r="9592">
      <c r="A9592" s="13">
        <f>IF(H9592="","",ROW()-4)</f>
        <v/>
      </c>
      <c r="B9592" s="13">
        <f>IF(H9592="","",ROW()-4)</f>
        <v/>
      </c>
    </row>
    <row r="9593">
      <c r="A9593" s="13">
        <f>IF(H9593="","",ROW()-4)</f>
        <v/>
      </c>
      <c r="B9593" s="13">
        <f>IF(H9593="","",ROW()-4)</f>
        <v/>
      </c>
    </row>
    <row r="9594">
      <c r="A9594" s="13">
        <f>IF(H9594="","",ROW()-4)</f>
        <v/>
      </c>
      <c r="B9594" s="13">
        <f>IF(H9594="","",ROW()-4)</f>
        <v/>
      </c>
    </row>
    <row r="9595">
      <c r="A9595" s="13">
        <f>IF(H9595="","",ROW()-4)</f>
        <v/>
      </c>
      <c r="B9595" s="13">
        <f>IF(H9595="","",ROW()-4)</f>
        <v/>
      </c>
    </row>
    <row r="9596">
      <c r="A9596" s="13">
        <f>IF(H9596="","",ROW()-4)</f>
        <v/>
      </c>
      <c r="B9596" s="13">
        <f>IF(H9596="","",ROW()-4)</f>
        <v/>
      </c>
    </row>
    <row r="9597">
      <c r="A9597" s="13">
        <f>IF(H9597="","",ROW()-4)</f>
        <v/>
      </c>
      <c r="B9597" s="13">
        <f>IF(H9597="","",ROW()-4)</f>
        <v/>
      </c>
    </row>
    <row r="9598">
      <c r="A9598" s="13">
        <f>IF(H9598="","",ROW()-4)</f>
        <v/>
      </c>
      <c r="B9598" s="13">
        <f>IF(H9598="","",ROW()-4)</f>
        <v/>
      </c>
    </row>
    <row r="9599">
      <c r="A9599" s="13">
        <f>IF(H9599="","",ROW()-4)</f>
        <v/>
      </c>
      <c r="B9599" s="13">
        <f>IF(H9599="","",ROW()-4)</f>
        <v/>
      </c>
    </row>
    <row r="9600">
      <c r="A9600" s="13">
        <f>IF(H9600="","",ROW()-4)</f>
        <v/>
      </c>
      <c r="B9600" s="13">
        <f>IF(H9600="","",ROW()-4)</f>
        <v/>
      </c>
    </row>
    <row r="9601">
      <c r="A9601" s="13">
        <f>IF(H9601="","",ROW()-4)</f>
        <v/>
      </c>
      <c r="B9601" s="13">
        <f>IF(H9601="","",ROW()-4)</f>
        <v/>
      </c>
    </row>
    <row r="9602">
      <c r="A9602" s="13">
        <f>IF(H9602="","",ROW()-4)</f>
        <v/>
      </c>
      <c r="B9602" s="13">
        <f>IF(H9602="","",ROW()-4)</f>
        <v/>
      </c>
    </row>
    <row r="9603">
      <c r="A9603" s="13">
        <f>IF(H9603="","",ROW()-4)</f>
        <v/>
      </c>
      <c r="B9603" s="13">
        <f>IF(H9603="","",ROW()-4)</f>
        <v/>
      </c>
    </row>
    <row r="9604">
      <c r="A9604" s="13">
        <f>IF(H9604="","",ROW()-4)</f>
        <v/>
      </c>
      <c r="B9604" s="13">
        <f>IF(H9604="","",ROW()-4)</f>
        <v/>
      </c>
    </row>
    <row r="9605">
      <c r="A9605" s="13">
        <f>IF(H9605="","",ROW()-4)</f>
        <v/>
      </c>
      <c r="B9605" s="13">
        <f>IF(H9605="","",ROW()-4)</f>
        <v/>
      </c>
    </row>
    <row r="9606">
      <c r="A9606" s="13">
        <f>IF(H9606="","",ROW()-4)</f>
        <v/>
      </c>
      <c r="B9606" s="13">
        <f>IF(H9606="","",ROW()-4)</f>
        <v/>
      </c>
    </row>
    <row r="9607">
      <c r="A9607" s="13">
        <f>IF(H9607="","",ROW()-4)</f>
        <v/>
      </c>
      <c r="B9607" s="13">
        <f>IF(H9607="","",ROW()-4)</f>
        <v/>
      </c>
    </row>
    <row r="9608">
      <c r="A9608" s="13">
        <f>IF(H9608="","",ROW()-4)</f>
        <v/>
      </c>
      <c r="B9608" s="13">
        <f>IF(H9608="","",ROW()-4)</f>
        <v/>
      </c>
    </row>
    <row r="9609">
      <c r="A9609" s="13">
        <f>IF(H9609="","",ROW()-4)</f>
        <v/>
      </c>
      <c r="B9609" s="13">
        <f>IF(H9609="","",ROW()-4)</f>
        <v/>
      </c>
    </row>
    <row r="9610">
      <c r="A9610" s="13">
        <f>IF(H9610="","",ROW()-4)</f>
        <v/>
      </c>
      <c r="B9610" s="13">
        <f>IF(H9610="","",ROW()-4)</f>
        <v/>
      </c>
    </row>
    <row r="9611">
      <c r="A9611" s="13">
        <f>IF(H9611="","",ROW()-4)</f>
        <v/>
      </c>
      <c r="B9611" s="13">
        <f>IF(H9611="","",ROW()-4)</f>
        <v/>
      </c>
    </row>
    <row r="9612">
      <c r="A9612" s="13">
        <f>IF(H9612="","",ROW()-4)</f>
        <v/>
      </c>
      <c r="B9612" s="13">
        <f>IF(H9612="","",ROW()-4)</f>
        <v/>
      </c>
    </row>
    <row r="9613">
      <c r="A9613" s="13">
        <f>IF(H9613="","",ROW()-4)</f>
        <v/>
      </c>
      <c r="B9613" s="13">
        <f>IF(H9613="","",ROW()-4)</f>
        <v/>
      </c>
    </row>
    <row r="9614">
      <c r="A9614" s="13">
        <f>IF(H9614="","",ROW()-4)</f>
        <v/>
      </c>
      <c r="B9614" s="13">
        <f>IF(H9614="","",ROW()-4)</f>
        <v/>
      </c>
    </row>
    <row r="9615">
      <c r="A9615" s="13">
        <f>IF(H9615="","",ROW()-4)</f>
        <v/>
      </c>
      <c r="B9615" s="13">
        <f>IF(H9615="","",ROW()-4)</f>
        <v/>
      </c>
    </row>
    <row r="9616">
      <c r="A9616" s="13">
        <f>IF(H9616="","",ROW()-4)</f>
        <v/>
      </c>
      <c r="B9616" s="13">
        <f>IF(H9616="","",ROW()-4)</f>
        <v/>
      </c>
    </row>
    <row r="9617">
      <c r="A9617" s="13">
        <f>IF(H9617="","",ROW()-4)</f>
        <v/>
      </c>
      <c r="B9617" s="13">
        <f>IF(H9617="","",ROW()-4)</f>
        <v/>
      </c>
    </row>
    <row r="9618">
      <c r="A9618" s="13">
        <f>IF(H9618="","",ROW()-4)</f>
        <v/>
      </c>
      <c r="B9618" s="13">
        <f>IF(H9618="","",ROW()-4)</f>
        <v/>
      </c>
    </row>
    <row r="9619">
      <c r="A9619" s="13">
        <f>IF(H9619="","",ROW()-4)</f>
        <v/>
      </c>
      <c r="B9619" s="13">
        <f>IF(H9619="","",ROW()-4)</f>
        <v/>
      </c>
    </row>
    <row r="9620">
      <c r="A9620" s="13">
        <f>IF(H9620="","",ROW()-4)</f>
        <v/>
      </c>
      <c r="B9620" s="13">
        <f>IF(H9620="","",ROW()-4)</f>
        <v/>
      </c>
    </row>
    <row r="9621">
      <c r="A9621" s="13">
        <f>IF(H9621="","",ROW()-4)</f>
        <v/>
      </c>
      <c r="B9621" s="13">
        <f>IF(H9621="","",ROW()-4)</f>
        <v/>
      </c>
    </row>
    <row r="9622">
      <c r="A9622" s="13">
        <f>IF(H9622="","",ROW()-4)</f>
        <v/>
      </c>
      <c r="B9622" s="13">
        <f>IF(H9622="","",ROW()-4)</f>
        <v/>
      </c>
    </row>
    <row r="9623">
      <c r="A9623" s="13">
        <f>IF(H9623="","",ROW()-4)</f>
        <v/>
      </c>
      <c r="B9623" s="13">
        <f>IF(H9623="","",ROW()-4)</f>
        <v/>
      </c>
    </row>
    <row r="9624">
      <c r="A9624" s="13">
        <f>IF(H9624="","",ROW()-4)</f>
        <v/>
      </c>
      <c r="B9624" s="13">
        <f>IF(H9624="","",ROW()-4)</f>
        <v/>
      </c>
    </row>
    <row r="9625">
      <c r="A9625" s="13">
        <f>IF(H9625="","",ROW()-4)</f>
        <v/>
      </c>
      <c r="B9625" s="13">
        <f>IF(H9625="","",ROW()-4)</f>
        <v/>
      </c>
    </row>
    <row r="9626">
      <c r="A9626" s="13">
        <f>IF(H9626="","",ROW()-4)</f>
        <v/>
      </c>
      <c r="B9626" s="13">
        <f>IF(H9626="","",ROW()-4)</f>
        <v/>
      </c>
    </row>
    <row r="9627">
      <c r="A9627" s="13">
        <f>IF(H9627="","",ROW()-4)</f>
        <v/>
      </c>
      <c r="B9627" s="13">
        <f>IF(H9627="","",ROW()-4)</f>
        <v/>
      </c>
    </row>
    <row r="9628">
      <c r="A9628" s="13">
        <f>IF(H9628="","",ROW()-4)</f>
        <v/>
      </c>
      <c r="B9628" s="13">
        <f>IF(H9628="","",ROW()-4)</f>
        <v/>
      </c>
    </row>
    <row r="9629">
      <c r="A9629" s="13">
        <f>IF(H9629="","",ROW()-4)</f>
        <v/>
      </c>
      <c r="B9629" s="13">
        <f>IF(H9629="","",ROW()-4)</f>
        <v/>
      </c>
    </row>
    <row r="9630">
      <c r="A9630" s="13">
        <f>IF(H9630="","",ROW()-4)</f>
        <v/>
      </c>
      <c r="B9630" s="13">
        <f>IF(H9630="","",ROW()-4)</f>
        <v/>
      </c>
    </row>
    <row r="9631">
      <c r="A9631" s="13">
        <f>IF(H9631="","",ROW()-4)</f>
        <v/>
      </c>
      <c r="B9631" s="13">
        <f>IF(H9631="","",ROW()-4)</f>
        <v/>
      </c>
    </row>
    <row r="9632">
      <c r="A9632" s="13">
        <f>IF(H9632="","",ROW()-4)</f>
        <v/>
      </c>
      <c r="B9632" s="13">
        <f>IF(H9632="","",ROW()-4)</f>
        <v/>
      </c>
    </row>
    <row r="9633">
      <c r="A9633" s="13">
        <f>IF(H9633="","",ROW()-4)</f>
        <v/>
      </c>
      <c r="B9633" s="13">
        <f>IF(H9633="","",ROW()-4)</f>
        <v/>
      </c>
    </row>
    <row r="9634">
      <c r="A9634" s="13">
        <f>IF(H9634="","",ROW()-4)</f>
        <v/>
      </c>
      <c r="B9634" s="13">
        <f>IF(H9634="","",ROW()-4)</f>
        <v/>
      </c>
    </row>
    <row r="9635">
      <c r="A9635" s="13">
        <f>IF(H9635="","",ROW()-4)</f>
        <v/>
      </c>
      <c r="B9635" s="13">
        <f>IF(H9635="","",ROW()-4)</f>
        <v/>
      </c>
    </row>
    <row r="9636">
      <c r="A9636" s="13">
        <f>IF(H9636="","",ROW()-4)</f>
        <v/>
      </c>
      <c r="B9636" s="13">
        <f>IF(H9636="","",ROW()-4)</f>
        <v/>
      </c>
    </row>
    <row r="9637">
      <c r="A9637" s="13">
        <f>IF(H9637="","",ROW()-4)</f>
        <v/>
      </c>
      <c r="B9637" s="13">
        <f>IF(H9637="","",ROW()-4)</f>
        <v/>
      </c>
    </row>
    <row r="9638">
      <c r="A9638" s="13">
        <f>IF(H9638="","",ROW()-4)</f>
        <v/>
      </c>
      <c r="B9638" s="13">
        <f>IF(H9638="","",ROW()-4)</f>
        <v/>
      </c>
    </row>
    <row r="9639">
      <c r="A9639" s="13">
        <f>IF(H9639="","",ROW()-4)</f>
        <v/>
      </c>
      <c r="B9639" s="13">
        <f>IF(H9639="","",ROW()-4)</f>
        <v/>
      </c>
    </row>
    <row r="9640">
      <c r="A9640" s="13">
        <f>IF(H9640="","",ROW()-4)</f>
        <v/>
      </c>
      <c r="B9640" s="13">
        <f>IF(H9640="","",ROW()-4)</f>
        <v/>
      </c>
    </row>
    <row r="9641">
      <c r="A9641" s="13">
        <f>IF(H9641="","",ROW()-4)</f>
        <v/>
      </c>
      <c r="B9641" s="13">
        <f>IF(H9641="","",ROW()-4)</f>
        <v/>
      </c>
    </row>
    <row r="9642">
      <c r="A9642" s="13">
        <f>IF(H9642="","",ROW()-4)</f>
        <v/>
      </c>
      <c r="B9642" s="13">
        <f>IF(H9642="","",ROW()-4)</f>
        <v/>
      </c>
    </row>
    <row r="9643">
      <c r="A9643" s="13">
        <f>IF(H9643="","",ROW()-4)</f>
        <v/>
      </c>
      <c r="B9643" s="13">
        <f>IF(H9643="","",ROW()-4)</f>
        <v/>
      </c>
    </row>
    <row r="9644">
      <c r="A9644" s="13">
        <f>IF(H9644="","",ROW()-4)</f>
        <v/>
      </c>
      <c r="B9644" s="13">
        <f>IF(H9644="","",ROW()-4)</f>
        <v/>
      </c>
    </row>
    <row r="9645">
      <c r="A9645" s="13">
        <f>IF(H9645="","",ROW()-4)</f>
        <v/>
      </c>
      <c r="B9645" s="13">
        <f>IF(H9645="","",ROW()-4)</f>
        <v/>
      </c>
    </row>
    <row r="9646">
      <c r="A9646" s="13">
        <f>IF(H9646="","",ROW()-4)</f>
        <v/>
      </c>
      <c r="B9646" s="13">
        <f>IF(H9646="","",ROW()-4)</f>
        <v/>
      </c>
    </row>
    <row r="9647">
      <c r="A9647" s="13">
        <f>IF(H9647="","",ROW()-4)</f>
        <v/>
      </c>
      <c r="B9647" s="13">
        <f>IF(H9647="","",ROW()-4)</f>
        <v/>
      </c>
    </row>
    <row r="9648">
      <c r="A9648" s="13">
        <f>IF(H9648="","",ROW()-4)</f>
        <v/>
      </c>
      <c r="B9648" s="13">
        <f>IF(H9648="","",ROW()-4)</f>
        <v/>
      </c>
    </row>
    <row r="9649">
      <c r="A9649" s="13">
        <f>IF(H9649="","",ROW()-4)</f>
        <v/>
      </c>
      <c r="B9649" s="13">
        <f>IF(H9649="","",ROW()-4)</f>
        <v/>
      </c>
    </row>
    <row r="9650">
      <c r="A9650" s="13">
        <f>IF(H9650="","",ROW()-4)</f>
        <v/>
      </c>
      <c r="B9650" s="13">
        <f>IF(H9650="","",ROW()-4)</f>
        <v/>
      </c>
    </row>
    <row r="9651">
      <c r="A9651" s="13">
        <f>IF(H9651="","",ROW()-4)</f>
        <v/>
      </c>
      <c r="B9651" s="13">
        <f>IF(H9651="","",ROW()-4)</f>
        <v/>
      </c>
    </row>
    <row r="9652">
      <c r="A9652" s="13">
        <f>IF(H9652="","",ROW()-4)</f>
        <v/>
      </c>
      <c r="B9652" s="13">
        <f>IF(H9652="","",ROW()-4)</f>
        <v/>
      </c>
    </row>
    <row r="9653">
      <c r="A9653" s="13">
        <f>IF(H9653="","",ROW()-4)</f>
        <v/>
      </c>
      <c r="B9653" s="13">
        <f>IF(H9653="","",ROW()-4)</f>
        <v/>
      </c>
    </row>
    <row r="9654">
      <c r="A9654" s="13">
        <f>IF(H9654="","",ROW()-4)</f>
        <v/>
      </c>
      <c r="B9654" s="13">
        <f>IF(H9654="","",ROW()-4)</f>
        <v/>
      </c>
    </row>
    <row r="9655">
      <c r="A9655" s="13">
        <f>IF(H9655="","",ROW()-4)</f>
        <v/>
      </c>
      <c r="B9655" s="13">
        <f>IF(H9655="","",ROW()-4)</f>
        <v/>
      </c>
    </row>
    <row r="9656">
      <c r="A9656" s="13">
        <f>IF(H9656="","",ROW()-4)</f>
        <v/>
      </c>
      <c r="B9656" s="13">
        <f>IF(H9656="","",ROW()-4)</f>
        <v/>
      </c>
    </row>
    <row r="9657">
      <c r="A9657" s="13">
        <f>IF(H9657="","",ROW()-4)</f>
        <v/>
      </c>
      <c r="B9657" s="13">
        <f>IF(H9657="","",ROW()-4)</f>
        <v/>
      </c>
    </row>
    <row r="9658">
      <c r="A9658" s="13">
        <f>IF(H9658="","",ROW()-4)</f>
        <v/>
      </c>
      <c r="B9658" s="13">
        <f>IF(H9658="","",ROW()-4)</f>
        <v/>
      </c>
    </row>
    <row r="9659">
      <c r="A9659" s="13">
        <f>IF(H9659="","",ROW()-4)</f>
        <v/>
      </c>
      <c r="B9659" s="13">
        <f>IF(H9659="","",ROW()-4)</f>
        <v/>
      </c>
    </row>
    <row r="9660">
      <c r="A9660" s="13">
        <f>IF(H9660="","",ROW()-4)</f>
        <v/>
      </c>
      <c r="B9660" s="13">
        <f>IF(H9660="","",ROW()-4)</f>
        <v/>
      </c>
    </row>
    <row r="9661">
      <c r="A9661" s="13">
        <f>IF(H9661="","",ROW()-4)</f>
        <v/>
      </c>
      <c r="B9661" s="13">
        <f>IF(H9661="","",ROW()-4)</f>
        <v/>
      </c>
    </row>
    <row r="9662">
      <c r="A9662" s="13">
        <f>IF(H9662="","",ROW()-4)</f>
        <v/>
      </c>
      <c r="B9662" s="13">
        <f>IF(H9662="","",ROW()-4)</f>
        <v/>
      </c>
    </row>
    <row r="9663">
      <c r="A9663" s="13">
        <f>IF(H9663="","",ROW()-4)</f>
        <v/>
      </c>
      <c r="B9663" s="13">
        <f>IF(H9663="","",ROW()-4)</f>
        <v/>
      </c>
    </row>
    <row r="9664">
      <c r="A9664" s="13">
        <f>IF(H9664="","",ROW()-4)</f>
        <v/>
      </c>
      <c r="B9664" s="13">
        <f>IF(H9664="","",ROW()-4)</f>
        <v/>
      </c>
    </row>
    <row r="9665">
      <c r="A9665" s="13">
        <f>IF(H9665="","",ROW()-4)</f>
        <v/>
      </c>
      <c r="B9665" s="13">
        <f>IF(H9665="","",ROW()-4)</f>
        <v/>
      </c>
    </row>
    <row r="9666">
      <c r="A9666" s="13">
        <f>IF(H9666="","",ROW()-4)</f>
        <v/>
      </c>
      <c r="B9666" s="13">
        <f>IF(H9666="","",ROW()-4)</f>
        <v/>
      </c>
    </row>
    <row r="9667">
      <c r="A9667" s="13">
        <f>IF(H9667="","",ROW()-4)</f>
        <v/>
      </c>
      <c r="B9667" s="13">
        <f>IF(H9667="","",ROW()-4)</f>
        <v/>
      </c>
    </row>
    <row r="9668">
      <c r="A9668" s="13">
        <f>IF(H9668="","",ROW()-4)</f>
        <v/>
      </c>
      <c r="B9668" s="13">
        <f>IF(H9668="","",ROW()-4)</f>
        <v/>
      </c>
    </row>
    <row r="9669">
      <c r="A9669" s="13">
        <f>IF(H9669="","",ROW()-4)</f>
        <v/>
      </c>
      <c r="B9669" s="13">
        <f>IF(H9669="","",ROW()-4)</f>
        <v/>
      </c>
    </row>
    <row r="9670">
      <c r="A9670" s="13">
        <f>IF(H9670="","",ROW()-4)</f>
        <v/>
      </c>
      <c r="B9670" s="13">
        <f>IF(H9670="","",ROW()-4)</f>
        <v/>
      </c>
    </row>
    <row r="9671">
      <c r="A9671" s="13">
        <f>IF(H9671="","",ROW()-4)</f>
        <v/>
      </c>
      <c r="B9671" s="13">
        <f>IF(H9671="","",ROW()-4)</f>
        <v/>
      </c>
    </row>
    <row r="9672">
      <c r="A9672" s="13">
        <f>IF(H9672="","",ROW()-4)</f>
        <v/>
      </c>
      <c r="B9672" s="13">
        <f>IF(H9672="","",ROW()-4)</f>
        <v/>
      </c>
    </row>
    <row r="9673">
      <c r="A9673" s="13">
        <f>IF(H9673="","",ROW()-4)</f>
        <v/>
      </c>
      <c r="B9673" s="13">
        <f>IF(H9673="","",ROW()-4)</f>
        <v/>
      </c>
    </row>
    <row r="9674">
      <c r="A9674" s="13">
        <f>IF(H9674="","",ROW()-4)</f>
        <v/>
      </c>
      <c r="B9674" s="13">
        <f>IF(H9674="","",ROW()-4)</f>
        <v/>
      </c>
    </row>
    <row r="9675">
      <c r="A9675" s="13">
        <f>IF(H9675="","",ROW()-4)</f>
        <v/>
      </c>
      <c r="B9675" s="13">
        <f>IF(H9675="","",ROW()-4)</f>
        <v/>
      </c>
    </row>
    <row r="9676">
      <c r="A9676" s="13">
        <f>IF(H9676="","",ROW()-4)</f>
        <v/>
      </c>
      <c r="B9676" s="13">
        <f>IF(H9676="","",ROW()-4)</f>
        <v/>
      </c>
    </row>
    <row r="9677">
      <c r="A9677" s="13">
        <f>IF(H9677="","",ROW()-4)</f>
        <v/>
      </c>
      <c r="B9677" s="13">
        <f>IF(H9677="","",ROW()-4)</f>
        <v/>
      </c>
    </row>
    <row r="9678">
      <c r="A9678" s="13">
        <f>IF(H9678="","",ROW()-4)</f>
        <v/>
      </c>
      <c r="B9678" s="13">
        <f>IF(H9678="","",ROW()-4)</f>
        <v/>
      </c>
    </row>
    <row r="9679">
      <c r="A9679" s="13">
        <f>IF(H9679="","",ROW()-4)</f>
        <v/>
      </c>
      <c r="B9679" s="13">
        <f>IF(H9679="","",ROW()-4)</f>
        <v/>
      </c>
    </row>
    <row r="9680">
      <c r="A9680" s="13">
        <f>IF(H9680="","",ROW()-4)</f>
        <v/>
      </c>
      <c r="B9680" s="13">
        <f>IF(H9680="","",ROW()-4)</f>
        <v/>
      </c>
    </row>
    <row r="9681">
      <c r="A9681" s="13">
        <f>IF(H9681="","",ROW()-4)</f>
        <v/>
      </c>
      <c r="B9681" s="13">
        <f>IF(H9681="","",ROW()-4)</f>
        <v/>
      </c>
    </row>
    <row r="9682">
      <c r="A9682" s="13">
        <f>IF(H9682="","",ROW()-4)</f>
        <v/>
      </c>
      <c r="B9682" s="13">
        <f>IF(H9682="","",ROW()-4)</f>
        <v/>
      </c>
    </row>
    <row r="9683">
      <c r="A9683" s="13">
        <f>IF(H9683="","",ROW()-4)</f>
        <v/>
      </c>
      <c r="B9683" s="13">
        <f>IF(H9683="","",ROW()-4)</f>
        <v/>
      </c>
    </row>
    <row r="9684">
      <c r="A9684" s="13">
        <f>IF(H9684="","",ROW()-4)</f>
        <v/>
      </c>
      <c r="B9684" s="13">
        <f>IF(H9684="","",ROW()-4)</f>
        <v/>
      </c>
    </row>
    <row r="9685">
      <c r="A9685" s="13">
        <f>IF(H9685="","",ROW()-4)</f>
        <v/>
      </c>
      <c r="B9685" s="13">
        <f>IF(H9685="","",ROW()-4)</f>
        <v/>
      </c>
    </row>
    <row r="9686">
      <c r="A9686" s="13">
        <f>IF(H9686="","",ROW()-4)</f>
        <v/>
      </c>
      <c r="B9686" s="13">
        <f>IF(H9686="","",ROW()-4)</f>
        <v/>
      </c>
    </row>
    <row r="9687">
      <c r="A9687" s="13">
        <f>IF(H9687="","",ROW()-4)</f>
        <v/>
      </c>
      <c r="B9687" s="13">
        <f>IF(H9687="","",ROW()-4)</f>
        <v/>
      </c>
    </row>
    <row r="9688">
      <c r="A9688" s="13">
        <f>IF(H9688="","",ROW()-4)</f>
        <v/>
      </c>
      <c r="B9688" s="13">
        <f>IF(H9688="","",ROW()-4)</f>
        <v/>
      </c>
    </row>
    <row r="9689">
      <c r="A9689" s="13">
        <f>IF(H9689="","",ROW()-4)</f>
        <v/>
      </c>
      <c r="B9689" s="13">
        <f>IF(H9689="","",ROW()-4)</f>
        <v/>
      </c>
    </row>
    <row r="9690">
      <c r="A9690" s="13">
        <f>IF(H9690="","",ROW()-4)</f>
        <v/>
      </c>
      <c r="B9690" s="13">
        <f>IF(H9690="","",ROW()-4)</f>
        <v/>
      </c>
    </row>
    <row r="9691">
      <c r="A9691" s="13">
        <f>IF(H9691="","",ROW()-4)</f>
        <v/>
      </c>
      <c r="B9691" s="13">
        <f>IF(H9691="","",ROW()-4)</f>
        <v/>
      </c>
    </row>
    <row r="9692">
      <c r="A9692" s="13">
        <f>IF(H9692="","",ROW()-4)</f>
        <v/>
      </c>
      <c r="B9692" s="13">
        <f>IF(H9692="","",ROW()-4)</f>
        <v/>
      </c>
    </row>
    <row r="9693">
      <c r="A9693" s="13">
        <f>IF(H9693="","",ROW()-4)</f>
        <v/>
      </c>
      <c r="B9693" s="13">
        <f>IF(H9693="","",ROW()-4)</f>
        <v/>
      </c>
    </row>
    <row r="9694">
      <c r="A9694" s="13">
        <f>IF(H9694="","",ROW()-4)</f>
        <v/>
      </c>
      <c r="B9694" s="13">
        <f>IF(H9694="","",ROW()-4)</f>
        <v/>
      </c>
    </row>
    <row r="9695">
      <c r="A9695" s="13">
        <f>IF(H9695="","",ROW()-4)</f>
        <v/>
      </c>
      <c r="B9695" s="13">
        <f>IF(H9695="","",ROW()-4)</f>
        <v/>
      </c>
    </row>
    <row r="9696">
      <c r="A9696" s="13">
        <f>IF(H9696="","",ROW()-4)</f>
        <v/>
      </c>
      <c r="B9696" s="13">
        <f>IF(H9696="","",ROW()-4)</f>
        <v/>
      </c>
    </row>
    <row r="9697">
      <c r="A9697" s="13">
        <f>IF(H9697="","",ROW()-4)</f>
        <v/>
      </c>
      <c r="B9697" s="13">
        <f>IF(H9697="","",ROW()-4)</f>
        <v/>
      </c>
    </row>
    <row r="9698">
      <c r="A9698" s="13">
        <f>IF(H9698="","",ROW()-4)</f>
        <v/>
      </c>
      <c r="B9698" s="13">
        <f>IF(H9698="","",ROW()-4)</f>
        <v/>
      </c>
    </row>
    <row r="9699">
      <c r="A9699" s="13">
        <f>IF(H9699="","",ROW()-4)</f>
        <v/>
      </c>
      <c r="B9699" s="13">
        <f>IF(H9699="","",ROW()-4)</f>
        <v/>
      </c>
    </row>
    <row r="9700">
      <c r="A9700" s="13">
        <f>IF(H9700="","",ROW()-4)</f>
        <v/>
      </c>
      <c r="B9700" s="13">
        <f>IF(H9700="","",ROW()-4)</f>
        <v/>
      </c>
    </row>
    <row r="9701">
      <c r="A9701" s="13">
        <f>IF(H9701="","",ROW()-4)</f>
        <v/>
      </c>
      <c r="B9701" s="13">
        <f>IF(H9701="","",ROW()-4)</f>
        <v/>
      </c>
    </row>
    <row r="9702">
      <c r="A9702" s="13">
        <f>IF(H9702="","",ROW()-4)</f>
        <v/>
      </c>
      <c r="B9702" s="13">
        <f>IF(H9702="","",ROW()-4)</f>
        <v/>
      </c>
    </row>
    <row r="9703">
      <c r="A9703" s="13">
        <f>IF(H9703="","",ROW()-4)</f>
        <v/>
      </c>
      <c r="B9703" s="13">
        <f>IF(H9703="","",ROW()-4)</f>
        <v/>
      </c>
    </row>
    <row r="9704">
      <c r="A9704" s="13">
        <f>IF(H9704="","",ROW()-4)</f>
        <v/>
      </c>
      <c r="B9704" s="13">
        <f>IF(H9704="","",ROW()-4)</f>
        <v/>
      </c>
    </row>
    <row r="9705">
      <c r="A9705" s="13">
        <f>IF(H9705="","",ROW()-4)</f>
        <v/>
      </c>
      <c r="B9705" s="13">
        <f>IF(H9705="","",ROW()-4)</f>
        <v/>
      </c>
    </row>
    <row r="9706">
      <c r="A9706" s="13">
        <f>IF(H9706="","",ROW()-4)</f>
        <v/>
      </c>
      <c r="B9706" s="13">
        <f>IF(H9706="","",ROW()-4)</f>
        <v/>
      </c>
    </row>
    <row r="9707">
      <c r="A9707" s="13">
        <f>IF(H9707="","",ROW()-4)</f>
        <v/>
      </c>
      <c r="B9707" s="13">
        <f>IF(H9707="","",ROW()-4)</f>
        <v/>
      </c>
    </row>
    <row r="9708">
      <c r="A9708" s="13">
        <f>IF(H9708="","",ROW()-4)</f>
        <v/>
      </c>
      <c r="B9708" s="13">
        <f>IF(H9708="","",ROW()-4)</f>
        <v/>
      </c>
    </row>
    <row r="9709">
      <c r="A9709" s="13">
        <f>IF(H9709="","",ROW()-4)</f>
        <v/>
      </c>
      <c r="B9709" s="13">
        <f>IF(H9709="","",ROW()-4)</f>
        <v/>
      </c>
    </row>
    <row r="9710">
      <c r="A9710" s="13">
        <f>IF(H9710="","",ROW()-4)</f>
        <v/>
      </c>
      <c r="B9710" s="13">
        <f>IF(H9710="","",ROW()-4)</f>
        <v/>
      </c>
    </row>
    <row r="9711">
      <c r="A9711" s="13">
        <f>IF(H9711="","",ROW()-4)</f>
        <v/>
      </c>
      <c r="B9711" s="13">
        <f>IF(H9711="","",ROW()-4)</f>
        <v/>
      </c>
    </row>
    <row r="9712">
      <c r="A9712" s="13">
        <f>IF(H9712="","",ROW()-4)</f>
        <v/>
      </c>
      <c r="B9712" s="13">
        <f>IF(H9712="","",ROW()-4)</f>
        <v/>
      </c>
    </row>
    <row r="9713">
      <c r="A9713" s="13">
        <f>IF(H9713="","",ROW()-4)</f>
        <v/>
      </c>
      <c r="B9713" s="13">
        <f>IF(H9713="","",ROW()-4)</f>
        <v/>
      </c>
    </row>
    <row r="9714">
      <c r="A9714" s="13">
        <f>IF(H9714="","",ROW()-4)</f>
        <v/>
      </c>
      <c r="B9714" s="13">
        <f>IF(H9714="","",ROW()-4)</f>
        <v/>
      </c>
    </row>
    <row r="9715">
      <c r="A9715" s="13">
        <f>IF(H9715="","",ROW()-4)</f>
        <v/>
      </c>
      <c r="B9715" s="13">
        <f>IF(H9715="","",ROW()-4)</f>
        <v/>
      </c>
    </row>
    <row r="9716">
      <c r="A9716" s="13">
        <f>IF(H9716="","",ROW()-4)</f>
        <v/>
      </c>
      <c r="B9716" s="13">
        <f>IF(H9716="","",ROW()-4)</f>
        <v/>
      </c>
    </row>
    <row r="9717">
      <c r="A9717" s="13">
        <f>IF(H9717="","",ROW()-4)</f>
        <v/>
      </c>
      <c r="B9717" s="13">
        <f>IF(H9717="","",ROW()-4)</f>
        <v/>
      </c>
    </row>
    <row r="9718">
      <c r="A9718" s="13">
        <f>IF(H9718="","",ROW()-4)</f>
        <v/>
      </c>
      <c r="B9718" s="13">
        <f>IF(H9718="","",ROW()-4)</f>
        <v/>
      </c>
    </row>
    <row r="9719">
      <c r="A9719" s="13">
        <f>IF(H9719="","",ROW()-4)</f>
        <v/>
      </c>
      <c r="B9719" s="13">
        <f>IF(H9719="","",ROW()-4)</f>
        <v/>
      </c>
    </row>
    <row r="9720">
      <c r="A9720" s="13">
        <f>IF(H9720="","",ROW()-4)</f>
        <v/>
      </c>
      <c r="B9720" s="13">
        <f>IF(H9720="","",ROW()-4)</f>
        <v/>
      </c>
    </row>
    <row r="9721">
      <c r="A9721" s="13">
        <f>IF(H9721="","",ROW()-4)</f>
        <v/>
      </c>
      <c r="B9721" s="13">
        <f>IF(H9721="","",ROW()-4)</f>
        <v/>
      </c>
    </row>
    <row r="9722">
      <c r="A9722" s="13">
        <f>IF(H9722="","",ROW()-4)</f>
        <v/>
      </c>
      <c r="B9722" s="13">
        <f>IF(H9722="","",ROW()-4)</f>
        <v/>
      </c>
    </row>
    <row r="9723">
      <c r="A9723" s="13">
        <f>IF(H9723="","",ROW()-4)</f>
        <v/>
      </c>
      <c r="B9723" s="13">
        <f>IF(H9723="","",ROW()-4)</f>
        <v/>
      </c>
    </row>
    <row r="9724">
      <c r="A9724" s="13">
        <f>IF(H9724="","",ROW()-4)</f>
        <v/>
      </c>
      <c r="B9724" s="13">
        <f>IF(H9724="","",ROW()-4)</f>
        <v/>
      </c>
    </row>
    <row r="9725">
      <c r="A9725" s="13">
        <f>IF(H9725="","",ROW()-4)</f>
        <v/>
      </c>
      <c r="B9725" s="13">
        <f>IF(H9725="","",ROW()-4)</f>
        <v/>
      </c>
    </row>
    <row r="9726">
      <c r="A9726" s="13">
        <f>IF(H9726="","",ROW()-4)</f>
        <v/>
      </c>
      <c r="B9726" s="13">
        <f>IF(H9726="","",ROW()-4)</f>
        <v/>
      </c>
    </row>
    <row r="9727">
      <c r="A9727" s="13">
        <f>IF(H9727="","",ROW()-4)</f>
        <v/>
      </c>
      <c r="B9727" s="13">
        <f>IF(H9727="","",ROW()-4)</f>
        <v/>
      </c>
    </row>
    <row r="9728">
      <c r="A9728" s="13">
        <f>IF(H9728="","",ROW()-4)</f>
        <v/>
      </c>
      <c r="B9728" s="13">
        <f>IF(H9728="","",ROW()-4)</f>
        <v/>
      </c>
    </row>
    <row r="9729">
      <c r="A9729" s="13">
        <f>IF(H9729="","",ROW()-4)</f>
        <v/>
      </c>
      <c r="B9729" s="13">
        <f>IF(H9729="","",ROW()-4)</f>
        <v/>
      </c>
    </row>
    <row r="9730">
      <c r="A9730" s="13">
        <f>IF(H9730="","",ROW()-4)</f>
        <v/>
      </c>
      <c r="B9730" s="13">
        <f>IF(H9730="","",ROW()-4)</f>
        <v/>
      </c>
    </row>
    <row r="9731">
      <c r="A9731" s="13">
        <f>IF(H9731="","",ROW()-4)</f>
        <v/>
      </c>
      <c r="B9731" s="13">
        <f>IF(H9731="","",ROW()-4)</f>
        <v/>
      </c>
    </row>
    <row r="9732">
      <c r="A9732" s="13">
        <f>IF(H9732="","",ROW()-4)</f>
        <v/>
      </c>
      <c r="B9732" s="13">
        <f>IF(H9732="","",ROW()-4)</f>
        <v/>
      </c>
    </row>
    <row r="9733">
      <c r="A9733" s="13">
        <f>IF(H9733="","",ROW()-4)</f>
        <v/>
      </c>
      <c r="B9733" s="13">
        <f>IF(H9733="","",ROW()-4)</f>
        <v/>
      </c>
    </row>
    <row r="9734">
      <c r="A9734" s="13">
        <f>IF(H9734="","",ROW()-4)</f>
        <v/>
      </c>
      <c r="B9734" s="13">
        <f>IF(H9734="","",ROW()-4)</f>
        <v/>
      </c>
    </row>
    <row r="9735">
      <c r="A9735" s="13">
        <f>IF(H9735="","",ROW()-4)</f>
        <v/>
      </c>
      <c r="B9735" s="13">
        <f>IF(H9735="","",ROW()-4)</f>
        <v/>
      </c>
    </row>
    <row r="9736">
      <c r="A9736" s="13">
        <f>IF(H9736="","",ROW()-4)</f>
        <v/>
      </c>
      <c r="B9736" s="13">
        <f>IF(H9736="","",ROW()-4)</f>
        <v/>
      </c>
    </row>
    <row r="9737">
      <c r="A9737" s="13">
        <f>IF(H9737="","",ROW()-4)</f>
        <v/>
      </c>
      <c r="B9737" s="13">
        <f>IF(H9737="","",ROW()-4)</f>
        <v/>
      </c>
    </row>
    <row r="9738">
      <c r="A9738" s="13">
        <f>IF(H9738="","",ROW()-4)</f>
        <v/>
      </c>
      <c r="B9738" s="13">
        <f>IF(H9738="","",ROW()-4)</f>
        <v/>
      </c>
    </row>
    <row r="9739">
      <c r="A9739" s="13">
        <f>IF(H9739="","",ROW()-4)</f>
        <v/>
      </c>
      <c r="B9739" s="13">
        <f>IF(H9739="","",ROW()-4)</f>
        <v/>
      </c>
    </row>
    <row r="9740">
      <c r="A9740" s="13">
        <f>IF(H9740="","",ROW()-4)</f>
        <v/>
      </c>
      <c r="B9740" s="13">
        <f>IF(H9740="","",ROW()-4)</f>
        <v/>
      </c>
    </row>
    <row r="9741">
      <c r="A9741" s="13">
        <f>IF(H9741="","",ROW()-4)</f>
        <v/>
      </c>
      <c r="B9741" s="13">
        <f>IF(H9741="","",ROW()-4)</f>
        <v/>
      </c>
    </row>
    <row r="9742">
      <c r="A9742" s="13">
        <f>IF(H9742="","",ROW()-4)</f>
        <v/>
      </c>
      <c r="B9742" s="13">
        <f>IF(H9742="","",ROW()-4)</f>
        <v/>
      </c>
    </row>
    <row r="9743">
      <c r="A9743" s="13">
        <f>IF(H9743="","",ROW()-4)</f>
        <v/>
      </c>
      <c r="B9743" s="13">
        <f>IF(H9743="","",ROW()-4)</f>
        <v/>
      </c>
    </row>
    <row r="9744">
      <c r="A9744" s="13">
        <f>IF(H9744="","",ROW()-4)</f>
        <v/>
      </c>
      <c r="B9744" s="13">
        <f>IF(H9744="","",ROW()-4)</f>
        <v/>
      </c>
    </row>
    <row r="9745">
      <c r="A9745" s="13">
        <f>IF(H9745="","",ROW()-4)</f>
        <v/>
      </c>
      <c r="B9745" s="13">
        <f>IF(H9745="","",ROW()-4)</f>
        <v/>
      </c>
    </row>
    <row r="9746">
      <c r="A9746" s="13">
        <f>IF(H9746="","",ROW()-4)</f>
        <v/>
      </c>
      <c r="B9746" s="13">
        <f>IF(H9746="","",ROW()-4)</f>
        <v/>
      </c>
    </row>
    <row r="9747">
      <c r="A9747" s="13">
        <f>IF(H9747="","",ROW()-4)</f>
        <v/>
      </c>
      <c r="B9747" s="13">
        <f>IF(H9747="","",ROW()-4)</f>
        <v/>
      </c>
    </row>
    <row r="9748">
      <c r="A9748" s="13">
        <f>IF(H9748="","",ROW()-4)</f>
        <v/>
      </c>
      <c r="B9748" s="13">
        <f>IF(H9748="","",ROW()-4)</f>
        <v/>
      </c>
    </row>
    <row r="9749">
      <c r="A9749" s="13">
        <f>IF(H9749="","",ROW()-4)</f>
        <v/>
      </c>
      <c r="B9749" s="13">
        <f>IF(H9749="","",ROW()-4)</f>
        <v/>
      </c>
    </row>
    <row r="9750">
      <c r="A9750" s="13">
        <f>IF(H9750="","",ROW()-4)</f>
        <v/>
      </c>
      <c r="B9750" s="13">
        <f>IF(H9750="","",ROW()-4)</f>
        <v/>
      </c>
    </row>
    <row r="9751">
      <c r="A9751" s="13">
        <f>IF(H9751="","",ROW()-4)</f>
        <v/>
      </c>
      <c r="B9751" s="13">
        <f>IF(H9751="","",ROW()-4)</f>
        <v/>
      </c>
    </row>
    <row r="9752">
      <c r="A9752" s="13">
        <f>IF(H9752="","",ROW()-4)</f>
        <v/>
      </c>
      <c r="B9752" s="13">
        <f>IF(H9752="","",ROW()-4)</f>
        <v/>
      </c>
    </row>
    <row r="9753">
      <c r="A9753" s="13">
        <f>IF(H9753="","",ROW()-4)</f>
        <v/>
      </c>
      <c r="B9753" s="13">
        <f>IF(H9753="","",ROW()-4)</f>
        <v/>
      </c>
    </row>
    <row r="9754">
      <c r="A9754" s="13">
        <f>IF(H9754="","",ROW()-4)</f>
        <v/>
      </c>
      <c r="B9754" s="13">
        <f>IF(H9754="","",ROW()-4)</f>
        <v/>
      </c>
    </row>
    <row r="9755">
      <c r="A9755" s="13">
        <f>IF(H9755="","",ROW()-4)</f>
        <v/>
      </c>
      <c r="B9755" s="13">
        <f>IF(H9755="","",ROW()-4)</f>
        <v/>
      </c>
    </row>
    <row r="9756">
      <c r="A9756" s="13">
        <f>IF(H9756="","",ROW()-4)</f>
        <v/>
      </c>
      <c r="B9756" s="13">
        <f>IF(H9756="","",ROW()-4)</f>
        <v/>
      </c>
    </row>
    <row r="9757">
      <c r="A9757" s="13">
        <f>IF(H9757="","",ROW()-4)</f>
        <v/>
      </c>
      <c r="B9757" s="13">
        <f>IF(H9757="","",ROW()-4)</f>
        <v/>
      </c>
    </row>
    <row r="9758">
      <c r="A9758" s="13">
        <f>IF(H9758="","",ROW()-4)</f>
        <v/>
      </c>
      <c r="B9758" s="13">
        <f>IF(H9758="","",ROW()-4)</f>
        <v/>
      </c>
    </row>
    <row r="9759">
      <c r="A9759" s="13">
        <f>IF(H9759="","",ROW()-4)</f>
        <v/>
      </c>
      <c r="B9759" s="13">
        <f>IF(H9759="","",ROW()-4)</f>
        <v/>
      </c>
    </row>
    <row r="9760">
      <c r="A9760" s="13">
        <f>IF(H9760="","",ROW()-4)</f>
        <v/>
      </c>
      <c r="B9760" s="13">
        <f>IF(H9760="","",ROW()-4)</f>
        <v/>
      </c>
    </row>
    <row r="9761">
      <c r="A9761" s="13">
        <f>IF(H9761="","",ROW()-4)</f>
        <v/>
      </c>
      <c r="B9761" s="13">
        <f>IF(H9761="","",ROW()-4)</f>
        <v/>
      </c>
    </row>
    <row r="9762">
      <c r="A9762" s="13">
        <f>IF(H9762="","",ROW()-4)</f>
        <v/>
      </c>
      <c r="B9762" s="13">
        <f>IF(H9762="","",ROW()-4)</f>
        <v/>
      </c>
    </row>
    <row r="9763">
      <c r="A9763" s="13">
        <f>IF(H9763="","",ROW()-4)</f>
        <v/>
      </c>
      <c r="B9763" s="13">
        <f>IF(H9763="","",ROW()-4)</f>
        <v/>
      </c>
    </row>
    <row r="9764">
      <c r="A9764" s="13">
        <f>IF(H9764="","",ROW()-4)</f>
        <v/>
      </c>
      <c r="B9764" s="13">
        <f>IF(H9764="","",ROW()-4)</f>
        <v/>
      </c>
    </row>
    <row r="9765">
      <c r="A9765" s="13">
        <f>IF(H9765="","",ROW()-4)</f>
        <v/>
      </c>
      <c r="B9765" s="13">
        <f>IF(H9765="","",ROW()-4)</f>
        <v/>
      </c>
    </row>
    <row r="9766">
      <c r="A9766" s="13">
        <f>IF(H9766="","",ROW()-4)</f>
        <v/>
      </c>
      <c r="B9766" s="13">
        <f>IF(H9766="","",ROW()-4)</f>
        <v/>
      </c>
    </row>
    <row r="9767">
      <c r="A9767" s="13">
        <f>IF(H9767="","",ROW()-4)</f>
        <v/>
      </c>
      <c r="B9767" s="13">
        <f>IF(H9767="","",ROW()-4)</f>
        <v/>
      </c>
    </row>
    <row r="9768">
      <c r="A9768" s="13">
        <f>IF(H9768="","",ROW()-4)</f>
        <v/>
      </c>
      <c r="B9768" s="13">
        <f>IF(H9768="","",ROW()-4)</f>
        <v/>
      </c>
    </row>
    <row r="9769">
      <c r="A9769" s="13">
        <f>IF(H9769="","",ROW()-4)</f>
        <v/>
      </c>
      <c r="B9769" s="13">
        <f>IF(H9769="","",ROW()-4)</f>
        <v/>
      </c>
    </row>
    <row r="9770">
      <c r="A9770" s="13">
        <f>IF(H9770="","",ROW()-4)</f>
        <v/>
      </c>
      <c r="B9770" s="13">
        <f>IF(H9770="","",ROW()-4)</f>
        <v/>
      </c>
    </row>
    <row r="9771">
      <c r="A9771" s="13">
        <f>IF(H9771="","",ROW()-4)</f>
        <v/>
      </c>
      <c r="B9771" s="13">
        <f>IF(H9771="","",ROW()-4)</f>
        <v/>
      </c>
    </row>
    <row r="9772">
      <c r="A9772" s="13">
        <f>IF(H9772="","",ROW()-4)</f>
        <v/>
      </c>
      <c r="B9772" s="13">
        <f>IF(H9772="","",ROW()-4)</f>
        <v/>
      </c>
    </row>
    <row r="9773">
      <c r="A9773" s="13">
        <f>IF(H9773="","",ROW()-4)</f>
        <v/>
      </c>
      <c r="B9773" s="13">
        <f>IF(H9773="","",ROW()-4)</f>
        <v/>
      </c>
    </row>
    <row r="9774">
      <c r="A9774" s="13">
        <f>IF(H9774="","",ROW()-4)</f>
        <v/>
      </c>
      <c r="B9774" s="13">
        <f>IF(H9774="","",ROW()-4)</f>
        <v/>
      </c>
    </row>
    <row r="9775">
      <c r="A9775" s="13">
        <f>IF(H9775="","",ROW()-4)</f>
        <v/>
      </c>
      <c r="B9775" s="13">
        <f>IF(H9775="","",ROW()-4)</f>
        <v/>
      </c>
    </row>
    <row r="9776">
      <c r="A9776" s="13">
        <f>IF(H9776="","",ROW()-4)</f>
        <v/>
      </c>
      <c r="B9776" s="13">
        <f>IF(H9776="","",ROW()-4)</f>
        <v/>
      </c>
    </row>
    <row r="9777">
      <c r="A9777" s="13">
        <f>IF(H9777="","",ROW()-4)</f>
        <v/>
      </c>
      <c r="B9777" s="13">
        <f>IF(H9777="","",ROW()-4)</f>
        <v/>
      </c>
    </row>
    <row r="9778">
      <c r="A9778" s="13">
        <f>IF(H9778="","",ROW()-4)</f>
        <v/>
      </c>
      <c r="B9778" s="13">
        <f>IF(H9778="","",ROW()-4)</f>
        <v/>
      </c>
    </row>
    <row r="9779">
      <c r="A9779" s="13">
        <f>IF(H9779="","",ROW()-4)</f>
        <v/>
      </c>
      <c r="B9779" s="13">
        <f>IF(H9779="","",ROW()-4)</f>
        <v/>
      </c>
    </row>
    <row r="9780">
      <c r="A9780" s="13">
        <f>IF(H9780="","",ROW()-4)</f>
        <v/>
      </c>
      <c r="B9780" s="13">
        <f>IF(H9780="","",ROW()-4)</f>
        <v/>
      </c>
    </row>
    <row r="9781">
      <c r="A9781" s="13">
        <f>IF(H9781="","",ROW()-4)</f>
        <v/>
      </c>
      <c r="B9781" s="13">
        <f>IF(H9781="","",ROW()-4)</f>
        <v/>
      </c>
    </row>
    <row r="9782">
      <c r="A9782" s="13">
        <f>IF(H9782="","",ROW()-4)</f>
        <v/>
      </c>
      <c r="B9782" s="13">
        <f>IF(H9782="","",ROW()-4)</f>
        <v/>
      </c>
    </row>
    <row r="9783">
      <c r="A9783" s="13">
        <f>IF(H9783="","",ROW()-4)</f>
        <v/>
      </c>
      <c r="B9783" s="13">
        <f>IF(H9783="","",ROW()-4)</f>
        <v/>
      </c>
    </row>
    <row r="9784">
      <c r="A9784" s="13">
        <f>IF(H9784="","",ROW()-4)</f>
        <v/>
      </c>
      <c r="B9784" s="13">
        <f>IF(H9784="","",ROW()-4)</f>
        <v/>
      </c>
    </row>
    <row r="9785">
      <c r="A9785" s="13">
        <f>IF(H9785="","",ROW()-4)</f>
        <v/>
      </c>
      <c r="B9785" s="13">
        <f>IF(H9785="","",ROW()-4)</f>
        <v/>
      </c>
    </row>
    <row r="9786">
      <c r="A9786" s="13">
        <f>IF(H9786="","",ROW()-4)</f>
        <v/>
      </c>
      <c r="B9786" s="13">
        <f>IF(H9786="","",ROW()-4)</f>
        <v/>
      </c>
    </row>
    <row r="9787">
      <c r="A9787" s="13">
        <f>IF(H9787="","",ROW()-4)</f>
        <v/>
      </c>
      <c r="B9787" s="13">
        <f>IF(H9787="","",ROW()-4)</f>
        <v/>
      </c>
    </row>
    <row r="9788">
      <c r="A9788" s="13">
        <f>IF(H9788="","",ROW()-4)</f>
        <v/>
      </c>
      <c r="B9788" s="13">
        <f>IF(H9788="","",ROW()-4)</f>
        <v/>
      </c>
    </row>
    <row r="9789">
      <c r="A9789" s="13">
        <f>IF(H9789="","",ROW()-4)</f>
        <v/>
      </c>
      <c r="B9789" s="13">
        <f>IF(H9789="","",ROW()-4)</f>
        <v/>
      </c>
    </row>
    <row r="9790">
      <c r="A9790" s="13">
        <f>IF(H9790="","",ROW()-4)</f>
        <v/>
      </c>
      <c r="B9790" s="13">
        <f>IF(H9790="","",ROW()-4)</f>
        <v/>
      </c>
    </row>
    <row r="9791">
      <c r="A9791" s="13">
        <f>IF(H9791="","",ROW()-4)</f>
        <v/>
      </c>
      <c r="B9791" s="13">
        <f>IF(H9791="","",ROW()-4)</f>
        <v/>
      </c>
    </row>
    <row r="9792">
      <c r="A9792" s="13">
        <f>IF(H9792="","",ROW()-4)</f>
        <v/>
      </c>
      <c r="B9792" s="13">
        <f>IF(H9792="","",ROW()-4)</f>
        <v/>
      </c>
    </row>
    <row r="9793">
      <c r="A9793" s="13">
        <f>IF(H9793="","",ROW()-4)</f>
        <v/>
      </c>
      <c r="B9793" s="13">
        <f>IF(H9793="","",ROW()-4)</f>
        <v/>
      </c>
    </row>
    <row r="9794">
      <c r="A9794" s="13">
        <f>IF(H9794="","",ROW()-4)</f>
        <v/>
      </c>
      <c r="B9794" s="13">
        <f>IF(H9794="","",ROW()-4)</f>
        <v/>
      </c>
    </row>
    <row r="9795">
      <c r="A9795" s="13">
        <f>IF(H9795="","",ROW()-4)</f>
        <v/>
      </c>
      <c r="B9795" s="13">
        <f>IF(H9795="","",ROW()-4)</f>
        <v/>
      </c>
    </row>
    <row r="9796">
      <c r="A9796" s="13">
        <f>IF(H9796="","",ROW()-4)</f>
        <v/>
      </c>
      <c r="B9796" s="13">
        <f>IF(H9796="","",ROW()-4)</f>
        <v/>
      </c>
    </row>
    <row r="9797">
      <c r="A9797" s="13">
        <f>IF(H9797="","",ROW()-4)</f>
        <v/>
      </c>
      <c r="B9797" s="13">
        <f>IF(H9797="","",ROW()-4)</f>
        <v/>
      </c>
    </row>
    <row r="9798">
      <c r="A9798" s="13">
        <f>IF(H9798="","",ROW()-4)</f>
        <v/>
      </c>
      <c r="B9798" s="13">
        <f>IF(H9798="","",ROW()-4)</f>
        <v/>
      </c>
    </row>
    <row r="9799">
      <c r="A9799" s="13">
        <f>IF(H9799="","",ROW()-4)</f>
        <v/>
      </c>
      <c r="B9799" s="13">
        <f>IF(H9799="","",ROW()-4)</f>
        <v/>
      </c>
    </row>
    <row r="9800">
      <c r="A9800" s="13">
        <f>IF(H9800="","",ROW()-4)</f>
        <v/>
      </c>
      <c r="B9800" s="13">
        <f>IF(H9800="","",ROW()-4)</f>
        <v/>
      </c>
    </row>
    <row r="9801">
      <c r="A9801" s="13">
        <f>IF(H9801="","",ROW()-4)</f>
        <v/>
      </c>
      <c r="B9801" s="13">
        <f>IF(H9801="","",ROW()-4)</f>
        <v/>
      </c>
    </row>
    <row r="9802">
      <c r="A9802" s="13">
        <f>IF(H9802="","",ROW()-4)</f>
        <v/>
      </c>
      <c r="B9802" s="13">
        <f>IF(H9802="","",ROW()-4)</f>
        <v/>
      </c>
    </row>
    <row r="9803">
      <c r="A9803" s="13">
        <f>IF(H9803="","",ROW()-4)</f>
        <v/>
      </c>
      <c r="B9803" s="13">
        <f>IF(H9803="","",ROW()-4)</f>
        <v/>
      </c>
    </row>
    <row r="9804">
      <c r="A9804" s="13">
        <f>IF(H9804="","",ROW()-4)</f>
        <v/>
      </c>
      <c r="B9804" s="13">
        <f>IF(H9804="","",ROW()-4)</f>
        <v/>
      </c>
    </row>
    <row r="9805">
      <c r="A9805" s="13">
        <f>IF(H9805="","",ROW()-4)</f>
        <v/>
      </c>
      <c r="B9805" s="13">
        <f>IF(H9805="","",ROW()-4)</f>
        <v/>
      </c>
    </row>
    <row r="9806">
      <c r="A9806" s="13">
        <f>IF(H9806="","",ROW()-4)</f>
        <v/>
      </c>
      <c r="B9806" s="13">
        <f>IF(H9806="","",ROW()-4)</f>
        <v/>
      </c>
    </row>
    <row r="9807">
      <c r="A9807" s="13">
        <f>IF(H9807="","",ROW()-4)</f>
        <v/>
      </c>
      <c r="B9807" s="13">
        <f>IF(H9807="","",ROW()-4)</f>
        <v/>
      </c>
    </row>
    <row r="9808">
      <c r="A9808" s="13">
        <f>IF(H9808="","",ROW()-4)</f>
        <v/>
      </c>
      <c r="B9808" s="13">
        <f>IF(H9808="","",ROW()-4)</f>
        <v/>
      </c>
    </row>
    <row r="9809">
      <c r="A9809" s="13">
        <f>IF(H9809="","",ROW()-4)</f>
        <v/>
      </c>
      <c r="B9809" s="13">
        <f>IF(H9809="","",ROW()-4)</f>
        <v/>
      </c>
    </row>
    <row r="9810">
      <c r="A9810" s="13">
        <f>IF(H9810="","",ROW()-4)</f>
        <v/>
      </c>
      <c r="B9810" s="13">
        <f>IF(H9810="","",ROW()-4)</f>
        <v/>
      </c>
    </row>
    <row r="9811">
      <c r="A9811" s="13">
        <f>IF(H9811="","",ROW()-4)</f>
        <v/>
      </c>
      <c r="B9811" s="13">
        <f>IF(H9811="","",ROW()-4)</f>
        <v/>
      </c>
    </row>
    <row r="9812">
      <c r="A9812" s="13">
        <f>IF(H9812="","",ROW()-4)</f>
        <v/>
      </c>
      <c r="B9812" s="13">
        <f>IF(H9812="","",ROW()-4)</f>
        <v/>
      </c>
    </row>
    <row r="9813">
      <c r="A9813" s="13">
        <f>IF(H9813="","",ROW()-4)</f>
        <v/>
      </c>
      <c r="B9813" s="13">
        <f>IF(H9813="","",ROW()-4)</f>
        <v/>
      </c>
    </row>
    <row r="9814">
      <c r="A9814" s="13">
        <f>IF(H9814="","",ROW()-4)</f>
        <v/>
      </c>
      <c r="B9814" s="13">
        <f>IF(H9814="","",ROW()-4)</f>
        <v/>
      </c>
    </row>
    <row r="9815">
      <c r="A9815" s="13">
        <f>IF(H9815="","",ROW()-4)</f>
        <v/>
      </c>
      <c r="B9815" s="13">
        <f>IF(H9815="","",ROW()-4)</f>
        <v/>
      </c>
    </row>
    <row r="9816">
      <c r="A9816" s="13">
        <f>IF(H9816="","",ROW()-4)</f>
        <v/>
      </c>
      <c r="B9816" s="13">
        <f>IF(H9816="","",ROW()-4)</f>
        <v/>
      </c>
    </row>
    <row r="9817">
      <c r="A9817" s="13">
        <f>IF(H9817="","",ROW()-4)</f>
        <v/>
      </c>
      <c r="B9817" s="13">
        <f>IF(H9817="","",ROW()-4)</f>
        <v/>
      </c>
    </row>
    <row r="9818">
      <c r="A9818" s="13">
        <f>IF(H9818="","",ROW()-4)</f>
        <v/>
      </c>
      <c r="B9818" s="13">
        <f>IF(H9818="","",ROW()-4)</f>
        <v/>
      </c>
    </row>
    <row r="9819">
      <c r="A9819" s="13">
        <f>IF(H9819="","",ROW()-4)</f>
        <v/>
      </c>
      <c r="B9819" s="13">
        <f>IF(H9819="","",ROW()-4)</f>
        <v/>
      </c>
    </row>
    <row r="9820">
      <c r="A9820" s="13">
        <f>IF(H9820="","",ROW()-4)</f>
        <v/>
      </c>
      <c r="B9820" s="13">
        <f>IF(H9820="","",ROW()-4)</f>
        <v/>
      </c>
    </row>
    <row r="9821">
      <c r="A9821" s="13">
        <f>IF(H9821="","",ROW()-4)</f>
        <v/>
      </c>
      <c r="B9821" s="13">
        <f>IF(H9821="","",ROW()-4)</f>
        <v/>
      </c>
    </row>
    <row r="9822">
      <c r="A9822" s="13">
        <f>IF(H9822="","",ROW()-4)</f>
        <v/>
      </c>
      <c r="B9822" s="13">
        <f>IF(H9822="","",ROW()-4)</f>
        <v/>
      </c>
    </row>
    <row r="9823">
      <c r="A9823" s="13">
        <f>IF(H9823="","",ROW()-4)</f>
        <v/>
      </c>
      <c r="B9823" s="13">
        <f>IF(H9823="","",ROW()-4)</f>
        <v/>
      </c>
    </row>
    <row r="9824">
      <c r="A9824" s="13">
        <f>IF(H9824="","",ROW()-4)</f>
        <v/>
      </c>
      <c r="B9824" s="13">
        <f>IF(H9824="","",ROW()-4)</f>
        <v/>
      </c>
    </row>
    <row r="9825">
      <c r="A9825" s="13">
        <f>IF(H9825="","",ROW()-4)</f>
        <v/>
      </c>
      <c r="B9825" s="13">
        <f>IF(H9825="","",ROW()-4)</f>
        <v/>
      </c>
    </row>
    <row r="9826">
      <c r="A9826" s="13">
        <f>IF(H9826="","",ROW()-4)</f>
        <v/>
      </c>
      <c r="B9826" s="13">
        <f>IF(H9826="","",ROW()-4)</f>
        <v/>
      </c>
    </row>
    <row r="9827">
      <c r="A9827" s="13">
        <f>IF(H9827="","",ROW()-4)</f>
        <v/>
      </c>
      <c r="B9827" s="13">
        <f>IF(H9827="","",ROW()-4)</f>
        <v/>
      </c>
    </row>
    <row r="9828">
      <c r="A9828" s="13">
        <f>IF(H9828="","",ROW()-4)</f>
        <v/>
      </c>
      <c r="B9828" s="13">
        <f>IF(H9828="","",ROW()-4)</f>
        <v/>
      </c>
    </row>
    <row r="9829">
      <c r="A9829" s="13">
        <f>IF(H9829="","",ROW()-4)</f>
        <v/>
      </c>
      <c r="B9829" s="13">
        <f>IF(H9829="","",ROW()-4)</f>
        <v/>
      </c>
    </row>
    <row r="9830">
      <c r="A9830" s="13">
        <f>IF(H9830="","",ROW()-4)</f>
        <v/>
      </c>
      <c r="B9830" s="13">
        <f>IF(H9830="","",ROW()-4)</f>
        <v/>
      </c>
    </row>
    <row r="9831">
      <c r="A9831" s="13">
        <f>IF(H9831="","",ROW()-4)</f>
        <v/>
      </c>
      <c r="B9831" s="13">
        <f>IF(H9831="","",ROW()-4)</f>
        <v/>
      </c>
    </row>
    <row r="9832">
      <c r="A9832" s="13">
        <f>IF(H9832="","",ROW()-4)</f>
        <v/>
      </c>
      <c r="B9832" s="13">
        <f>IF(H9832="","",ROW()-4)</f>
        <v/>
      </c>
    </row>
    <row r="9833">
      <c r="A9833" s="13">
        <f>IF(H9833="","",ROW()-4)</f>
        <v/>
      </c>
      <c r="B9833" s="13">
        <f>IF(H9833="","",ROW()-4)</f>
        <v/>
      </c>
    </row>
    <row r="9834">
      <c r="A9834" s="13">
        <f>IF(H9834="","",ROW()-4)</f>
        <v/>
      </c>
      <c r="B9834" s="13">
        <f>IF(H9834="","",ROW()-4)</f>
        <v/>
      </c>
    </row>
    <row r="9835">
      <c r="A9835" s="13">
        <f>IF(H9835="","",ROW()-4)</f>
        <v/>
      </c>
      <c r="B9835" s="13">
        <f>IF(H9835="","",ROW()-4)</f>
        <v/>
      </c>
    </row>
    <row r="9836">
      <c r="A9836" s="13">
        <f>IF(H9836="","",ROW()-4)</f>
        <v/>
      </c>
      <c r="B9836" s="13">
        <f>IF(H9836="","",ROW()-4)</f>
        <v/>
      </c>
    </row>
    <row r="9837">
      <c r="A9837" s="13">
        <f>IF(H9837="","",ROW()-4)</f>
        <v/>
      </c>
      <c r="B9837" s="13">
        <f>IF(H9837="","",ROW()-4)</f>
        <v/>
      </c>
    </row>
    <row r="9838">
      <c r="A9838" s="13">
        <f>IF(H9838="","",ROW()-4)</f>
        <v/>
      </c>
      <c r="B9838" s="13">
        <f>IF(H9838="","",ROW()-4)</f>
        <v/>
      </c>
    </row>
    <row r="9839">
      <c r="A9839" s="13">
        <f>IF(H9839="","",ROW()-4)</f>
        <v/>
      </c>
      <c r="B9839" s="13">
        <f>IF(H9839="","",ROW()-4)</f>
        <v/>
      </c>
    </row>
    <row r="9840">
      <c r="A9840" s="13">
        <f>IF(H9840="","",ROW()-4)</f>
        <v/>
      </c>
      <c r="B9840" s="13">
        <f>IF(H9840="","",ROW()-4)</f>
        <v/>
      </c>
    </row>
    <row r="9841">
      <c r="A9841" s="13">
        <f>IF(H9841="","",ROW()-4)</f>
        <v/>
      </c>
      <c r="B9841" s="13">
        <f>IF(H9841="","",ROW()-4)</f>
        <v/>
      </c>
    </row>
    <row r="9842">
      <c r="A9842" s="13">
        <f>IF(H9842="","",ROW()-4)</f>
        <v/>
      </c>
      <c r="B9842" s="13">
        <f>IF(H9842="","",ROW()-4)</f>
        <v/>
      </c>
    </row>
    <row r="9843">
      <c r="A9843" s="13">
        <f>IF(H9843="","",ROW()-4)</f>
        <v/>
      </c>
      <c r="B9843" s="13">
        <f>IF(H9843="","",ROW()-4)</f>
        <v/>
      </c>
    </row>
    <row r="9844">
      <c r="A9844" s="13">
        <f>IF(H9844="","",ROW()-4)</f>
        <v/>
      </c>
      <c r="B9844" s="13">
        <f>IF(H9844="","",ROW()-4)</f>
        <v/>
      </c>
    </row>
    <row r="9845">
      <c r="A9845" s="13">
        <f>IF(H9845="","",ROW()-4)</f>
        <v/>
      </c>
      <c r="B9845" s="13">
        <f>IF(H9845="","",ROW()-4)</f>
        <v/>
      </c>
    </row>
    <row r="9846">
      <c r="A9846" s="13">
        <f>IF(H9846="","",ROW()-4)</f>
        <v/>
      </c>
      <c r="B9846" s="13">
        <f>IF(H9846="","",ROW()-4)</f>
        <v/>
      </c>
    </row>
    <row r="9847">
      <c r="A9847" s="13">
        <f>IF(H9847="","",ROW()-4)</f>
        <v/>
      </c>
      <c r="B9847" s="13">
        <f>IF(H9847="","",ROW()-4)</f>
        <v/>
      </c>
    </row>
    <row r="9848">
      <c r="A9848" s="13">
        <f>IF(H9848="","",ROW()-4)</f>
        <v/>
      </c>
      <c r="B9848" s="13">
        <f>IF(H9848="","",ROW()-4)</f>
        <v/>
      </c>
    </row>
    <row r="9849">
      <c r="A9849" s="13">
        <f>IF(H9849="","",ROW()-4)</f>
        <v/>
      </c>
      <c r="B9849" s="13">
        <f>IF(H9849="","",ROW()-4)</f>
        <v/>
      </c>
    </row>
    <row r="9850">
      <c r="A9850" s="13">
        <f>IF(H9850="","",ROW()-4)</f>
        <v/>
      </c>
      <c r="B9850" s="13">
        <f>IF(H9850="","",ROW()-4)</f>
        <v/>
      </c>
    </row>
    <row r="9851">
      <c r="A9851" s="13">
        <f>IF(H9851="","",ROW()-4)</f>
        <v/>
      </c>
      <c r="B9851" s="13">
        <f>IF(H9851="","",ROW()-4)</f>
        <v/>
      </c>
    </row>
    <row r="9852">
      <c r="A9852" s="13">
        <f>IF(H9852="","",ROW()-4)</f>
        <v/>
      </c>
      <c r="B9852" s="13">
        <f>IF(H9852="","",ROW()-4)</f>
        <v/>
      </c>
    </row>
    <row r="9853">
      <c r="A9853" s="13">
        <f>IF(H9853="","",ROW()-4)</f>
        <v/>
      </c>
      <c r="B9853" s="13">
        <f>IF(H9853="","",ROW()-4)</f>
        <v/>
      </c>
    </row>
    <row r="9854">
      <c r="A9854" s="13">
        <f>IF(H9854="","",ROW()-4)</f>
        <v/>
      </c>
      <c r="B9854" s="13">
        <f>IF(H9854="","",ROW()-4)</f>
        <v/>
      </c>
    </row>
    <row r="9855">
      <c r="A9855" s="13">
        <f>IF(H9855="","",ROW()-4)</f>
        <v/>
      </c>
      <c r="B9855" s="13">
        <f>IF(H9855="","",ROW()-4)</f>
        <v/>
      </c>
    </row>
    <row r="9856">
      <c r="A9856" s="13">
        <f>IF(H9856="","",ROW()-4)</f>
        <v/>
      </c>
      <c r="B9856" s="13">
        <f>IF(H9856="","",ROW()-4)</f>
        <v/>
      </c>
    </row>
    <row r="9857">
      <c r="A9857" s="13">
        <f>IF(H9857="","",ROW()-4)</f>
        <v/>
      </c>
      <c r="B9857" s="13">
        <f>IF(H9857="","",ROW()-4)</f>
        <v/>
      </c>
    </row>
    <row r="9858">
      <c r="A9858" s="13">
        <f>IF(H9858="","",ROW()-4)</f>
        <v/>
      </c>
      <c r="B9858" s="13">
        <f>IF(H9858="","",ROW()-4)</f>
        <v/>
      </c>
    </row>
    <row r="9859">
      <c r="A9859" s="13">
        <f>IF(H9859="","",ROW()-4)</f>
        <v/>
      </c>
      <c r="B9859" s="13">
        <f>IF(H9859="","",ROW()-4)</f>
        <v/>
      </c>
    </row>
    <row r="9860">
      <c r="A9860" s="13">
        <f>IF(H9860="","",ROW()-4)</f>
        <v/>
      </c>
      <c r="B9860" s="13">
        <f>IF(H9860="","",ROW()-4)</f>
        <v/>
      </c>
    </row>
    <row r="9861">
      <c r="A9861" s="13">
        <f>IF(H9861="","",ROW()-4)</f>
        <v/>
      </c>
      <c r="B9861" s="13">
        <f>IF(H9861="","",ROW()-4)</f>
        <v/>
      </c>
    </row>
    <row r="9862">
      <c r="A9862" s="13">
        <f>IF(H9862="","",ROW()-4)</f>
        <v/>
      </c>
      <c r="B9862" s="13">
        <f>IF(H9862="","",ROW()-4)</f>
        <v/>
      </c>
    </row>
    <row r="9863">
      <c r="A9863" s="13">
        <f>IF(H9863="","",ROW()-4)</f>
        <v/>
      </c>
      <c r="B9863" s="13">
        <f>IF(H9863="","",ROW()-4)</f>
        <v/>
      </c>
    </row>
    <row r="9864">
      <c r="A9864" s="13">
        <f>IF(H9864="","",ROW()-4)</f>
        <v/>
      </c>
      <c r="B9864" s="13">
        <f>IF(H9864="","",ROW()-4)</f>
        <v/>
      </c>
    </row>
    <row r="9865">
      <c r="A9865" s="13">
        <f>IF(H9865="","",ROW()-4)</f>
        <v/>
      </c>
      <c r="B9865" s="13">
        <f>IF(H9865="","",ROW()-4)</f>
        <v/>
      </c>
    </row>
    <row r="9866">
      <c r="A9866" s="13">
        <f>IF(H9866="","",ROW()-4)</f>
        <v/>
      </c>
      <c r="B9866" s="13">
        <f>IF(H9866="","",ROW()-4)</f>
        <v/>
      </c>
    </row>
    <row r="9867">
      <c r="A9867" s="13">
        <f>IF(H9867="","",ROW()-4)</f>
        <v/>
      </c>
      <c r="B9867" s="13">
        <f>IF(H9867="","",ROW()-4)</f>
        <v/>
      </c>
    </row>
    <row r="9868">
      <c r="A9868" s="13">
        <f>IF(H9868="","",ROW()-4)</f>
        <v/>
      </c>
      <c r="B9868" s="13">
        <f>IF(H9868="","",ROW()-4)</f>
        <v/>
      </c>
    </row>
    <row r="9869">
      <c r="A9869" s="13">
        <f>IF(H9869="","",ROW()-4)</f>
        <v/>
      </c>
      <c r="B9869" s="13">
        <f>IF(H9869="","",ROW()-4)</f>
        <v/>
      </c>
    </row>
    <row r="9870">
      <c r="A9870" s="13">
        <f>IF(H9870="","",ROW()-4)</f>
        <v/>
      </c>
      <c r="B9870" s="13">
        <f>IF(H9870="","",ROW()-4)</f>
        <v/>
      </c>
    </row>
    <row r="9871">
      <c r="A9871" s="13">
        <f>IF(H9871="","",ROW()-4)</f>
        <v/>
      </c>
      <c r="B9871" s="13">
        <f>IF(H9871="","",ROW()-4)</f>
        <v/>
      </c>
    </row>
    <row r="9872">
      <c r="A9872" s="13">
        <f>IF(H9872="","",ROW()-4)</f>
        <v/>
      </c>
      <c r="B9872" s="13">
        <f>IF(H9872="","",ROW()-4)</f>
        <v/>
      </c>
    </row>
    <row r="9873">
      <c r="A9873" s="13">
        <f>IF(H9873="","",ROW()-4)</f>
        <v/>
      </c>
      <c r="B9873" s="13">
        <f>IF(H9873="","",ROW()-4)</f>
        <v/>
      </c>
    </row>
    <row r="9874">
      <c r="A9874" s="13">
        <f>IF(H9874="","",ROW()-4)</f>
        <v/>
      </c>
      <c r="B9874" s="13">
        <f>IF(H9874="","",ROW()-4)</f>
        <v/>
      </c>
    </row>
    <row r="9875">
      <c r="A9875" s="13">
        <f>IF(H9875="","",ROW()-4)</f>
        <v/>
      </c>
      <c r="B9875" s="13">
        <f>IF(H9875="","",ROW()-4)</f>
        <v/>
      </c>
    </row>
    <row r="9876">
      <c r="A9876" s="13">
        <f>IF(H9876="","",ROW()-4)</f>
        <v/>
      </c>
      <c r="B9876" s="13">
        <f>IF(H9876="","",ROW()-4)</f>
        <v/>
      </c>
    </row>
    <row r="9877">
      <c r="A9877" s="13">
        <f>IF(H9877="","",ROW()-4)</f>
        <v/>
      </c>
      <c r="B9877" s="13">
        <f>IF(H9877="","",ROW()-4)</f>
        <v/>
      </c>
    </row>
    <row r="9878">
      <c r="A9878" s="13">
        <f>IF(H9878="","",ROW()-4)</f>
        <v/>
      </c>
      <c r="B9878" s="13">
        <f>IF(H9878="","",ROW()-4)</f>
        <v/>
      </c>
    </row>
    <row r="9879">
      <c r="A9879" s="13">
        <f>IF(H9879="","",ROW()-4)</f>
        <v/>
      </c>
      <c r="B9879" s="13">
        <f>IF(H9879="","",ROW()-4)</f>
        <v/>
      </c>
    </row>
    <row r="9880">
      <c r="A9880" s="13">
        <f>IF(H9880="","",ROW()-4)</f>
        <v/>
      </c>
      <c r="B9880" s="13">
        <f>IF(H9880="","",ROW()-4)</f>
        <v/>
      </c>
    </row>
    <row r="9881">
      <c r="A9881" s="13">
        <f>IF(H9881="","",ROW()-4)</f>
        <v/>
      </c>
      <c r="B9881" s="13">
        <f>IF(H9881="","",ROW()-4)</f>
        <v/>
      </c>
    </row>
    <row r="9882">
      <c r="A9882" s="13">
        <f>IF(H9882="","",ROW()-4)</f>
        <v/>
      </c>
      <c r="B9882" s="13">
        <f>IF(H9882="","",ROW()-4)</f>
        <v/>
      </c>
    </row>
    <row r="9883">
      <c r="A9883" s="13">
        <f>IF(H9883="","",ROW()-4)</f>
        <v/>
      </c>
      <c r="B9883" s="13">
        <f>IF(H9883="","",ROW()-4)</f>
        <v/>
      </c>
    </row>
    <row r="9884">
      <c r="A9884" s="13">
        <f>IF(H9884="","",ROW()-4)</f>
        <v/>
      </c>
      <c r="B9884" s="13">
        <f>IF(H9884="","",ROW()-4)</f>
        <v/>
      </c>
    </row>
    <row r="9885">
      <c r="A9885" s="13">
        <f>IF(H9885="","",ROW()-4)</f>
        <v/>
      </c>
      <c r="B9885" s="13">
        <f>IF(H9885="","",ROW()-4)</f>
        <v/>
      </c>
    </row>
    <row r="9886">
      <c r="A9886" s="13">
        <f>IF(H9886="","",ROW()-4)</f>
        <v/>
      </c>
      <c r="B9886" s="13">
        <f>IF(H9886="","",ROW()-4)</f>
        <v/>
      </c>
    </row>
    <row r="9887">
      <c r="A9887" s="13">
        <f>IF(H9887="","",ROW()-4)</f>
        <v/>
      </c>
      <c r="B9887" s="13">
        <f>IF(H9887="","",ROW()-4)</f>
        <v/>
      </c>
    </row>
    <row r="9888">
      <c r="A9888" s="13">
        <f>IF(H9888="","",ROW()-4)</f>
        <v/>
      </c>
      <c r="B9888" s="13">
        <f>IF(H9888="","",ROW()-4)</f>
        <v/>
      </c>
    </row>
    <row r="9889">
      <c r="A9889" s="13">
        <f>IF(H9889="","",ROW()-4)</f>
        <v/>
      </c>
      <c r="B9889" s="13">
        <f>IF(H9889="","",ROW()-4)</f>
        <v/>
      </c>
    </row>
    <row r="9890">
      <c r="A9890" s="13">
        <f>IF(H9890="","",ROW()-4)</f>
        <v/>
      </c>
      <c r="B9890" s="13">
        <f>IF(H9890="","",ROW()-4)</f>
        <v/>
      </c>
    </row>
    <row r="9891">
      <c r="A9891" s="13">
        <f>IF(H9891="","",ROW()-4)</f>
        <v/>
      </c>
      <c r="B9891" s="13">
        <f>IF(H9891="","",ROW()-4)</f>
        <v/>
      </c>
    </row>
    <row r="9892">
      <c r="A9892" s="13">
        <f>IF(H9892="","",ROW()-4)</f>
        <v/>
      </c>
      <c r="B9892" s="13">
        <f>IF(H9892="","",ROW()-4)</f>
        <v/>
      </c>
    </row>
    <row r="9893">
      <c r="A9893" s="13">
        <f>IF(H9893="","",ROW()-4)</f>
        <v/>
      </c>
      <c r="B9893" s="13">
        <f>IF(H9893="","",ROW()-4)</f>
        <v/>
      </c>
    </row>
    <row r="9894">
      <c r="A9894" s="13">
        <f>IF(H9894="","",ROW()-4)</f>
        <v/>
      </c>
      <c r="B9894" s="13">
        <f>IF(H9894="","",ROW()-4)</f>
        <v/>
      </c>
    </row>
    <row r="9895">
      <c r="A9895" s="13">
        <f>IF(H9895="","",ROW()-4)</f>
        <v/>
      </c>
      <c r="B9895" s="13">
        <f>IF(H9895="","",ROW()-4)</f>
        <v/>
      </c>
    </row>
    <row r="9896">
      <c r="A9896" s="13">
        <f>IF(H9896="","",ROW()-4)</f>
        <v/>
      </c>
      <c r="B9896" s="13">
        <f>IF(H9896="","",ROW()-4)</f>
        <v/>
      </c>
    </row>
    <row r="9897">
      <c r="A9897" s="13">
        <f>IF(H9897="","",ROW()-4)</f>
        <v/>
      </c>
      <c r="B9897" s="13">
        <f>IF(H9897="","",ROW()-4)</f>
        <v/>
      </c>
    </row>
    <row r="9898">
      <c r="A9898" s="13">
        <f>IF(H9898="","",ROW()-4)</f>
        <v/>
      </c>
      <c r="B9898" s="13">
        <f>IF(H9898="","",ROW()-4)</f>
        <v/>
      </c>
    </row>
    <row r="9899">
      <c r="A9899" s="13">
        <f>IF(H9899="","",ROW()-4)</f>
        <v/>
      </c>
      <c r="B9899" s="13">
        <f>IF(H9899="","",ROW()-4)</f>
        <v/>
      </c>
    </row>
    <row r="9900">
      <c r="A9900" s="13">
        <f>IF(H9900="","",ROW()-4)</f>
        <v/>
      </c>
      <c r="B9900" s="13">
        <f>IF(H9900="","",ROW()-4)</f>
        <v/>
      </c>
    </row>
    <row r="9901">
      <c r="A9901" s="13">
        <f>IF(H9901="","",ROW()-4)</f>
        <v/>
      </c>
      <c r="B9901" s="13">
        <f>IF(H9901="","",ROW()-4)</f>
        <v/>
      </c>
    </row>
    <row r="9902">
      <c r="A9902" s="13">
        <f>IF(H9902="","",ROW()-4)</f>
        <v/>
      </c>
      <c r="B9902" s="13">
        <f>IF(H9902="","",ROW()-4)</f>
        <v/>
      </c>
    </row>
    <row r="9903">
      <c r="A9903" s="13">
        <f>IF(H9903="","",ROW()-4)</f>
        <v/>
      </c>
      <c r="B9903" s="13">
        <f>IF(H9903="","",ROW()-4)</f>
        <v/>
      </c>
    </row>
    <row r="9904">
      <c r="A9904" s="13">
        <f>IF(H9904="","",ROW()-4)</f>
        <v/>
      </c>
      <c r="B9904" s="13">
        <f>IF(H9904="","",ROW()-4)</f>
        <v/>
      </c>
    </row>
    <row r="9905">
      <c r="A9905" s="13">
        <f>IF(H9905="","",ROW()-4)</f>
        <v/>
      </c>
      <c r="B9905" s="13">
        <f>IF(H9905="","",ROW()-4)</f>
        <v/>
      </c>
    </row>
    <row r="9906">
      <c r="A9906" s="13">
        <f>IF(H9906="","",ROW()-4)</f>
        <v/>
      </c>
      <c r="B9906" s="13">
        <f>IF(H9906="","",ROW()-4)</f>
        <v/>
      </c>
    </row>
    <row r="9907">
      <c r="A9907" s="13">
        <f>IF(H9907="","",ROW()-4)</f>
        <v/>
      </c>
      <c r="B9907" s="13">
        <f>IF(H9907="","",ROW()-4)</f>
        <v/>
      </c>
    </row>
    <row r="9908">
      <c r="A9908" s="13">
        <f>IF(H9908="","",ROW()-4)</f>
        <v/>
      </c>
      <c r="B9908" s="13">
        <f>IF(H9908="","",ROW()-4)</f>
        <v/>
      </c>
    </row>
    <row r="9909">
      <c r="A9909" s="13">
        <f>IF(H9909="","",ROW()-4)</f>
        <v/>
      </c>
      <c r="B9909" s="13">
        <f>IF(H9909="","",ROW()-4)</f>
        <v/>
      </c>
    </row>
    <row r="9910">
      <c r="A9910" s="13">
        <f>IF(H9910="","",ROW()-4)</f>
        <v/>
      </c>
      <c r="B9910" s="13">
        <f>IF(H9910="","",ROW()-4)</f>
        <v/>
      </c>
    </row>
    <row r="9911">
      <c r="A9911" s="13">
        <f>IF(H9911="","",ROW()-4)</f>
        <v/>
      </c>
      <c r="B9911" s="13">
        <f>IF(H9911="","",ROW()-4)</f>
        <v/>
      </c>
    </row>
    <row r="9912">
      <c r="A9912" s="13">
        <f>IF(H9912="","",ROW()-4)</f>
        <v/>
      </c>
      <c r="B9912" s="13">
        <f>IF(H9912="","",ROW()-4)</f>
        <v/>
      </c>
    </row>
    <row r="9913">
      <c r="A9913" s="13">
        <f>IF(H9913="","",ROW()-4)</f>
        <v/>
      </c>
      <c r="B9913" s="13">
        <f>IF(H9913="","",ROW()-4)</f>
        <v/>
      </c>
    </row>
    <row r="9914">
      <c r="A9914" s="13">
        <f>IF(H9914="","",ROW()-4)</f>
        <v/>
      </c>
      <c r="B9914" s="13">
        <f>IF(H9914="","",ROW()-4)</f>
        <v/>
      </c>
    </row>
    <row r="9915">
      <c r="A9915" s="13">
        <f>IF(H9915="","",ROW()-4)</f>
        <v/>
      </c>
      <c r="B9915" s="13">
        <f>IF(H9915="","",ROW()-4)</f>
        <v/>
      </c>
    </row>
    <row r="9916">
      <c r="A9916" s="13">
        <f>IF(H9916="","",ROW()-4)</f>
        <v/>
      </c>
      <c r="B9916" s="13">
        <f>IF(H9916="","",ROW()-4)</f>
        <v/>
      </c>
    </row>
    <row r="9917">
      <c r="A9917" s="13">
        <f>IF(H9917="","",ROW()-4)</f>
        <v/>
      </c>
      <c r="B9917" s="13">
        <f>IF(H9917="","",ROW()-4)</f>
        <v/>
      </c>
    </row>
    <row r="9918">
      <c r="A9918" s="13">
        <f>IF(H9918="","",ROW()-4)</f>
        <v/>
      </c>
      <c r="B9918" s="13">
        <f>IF(H9918="","",ROW()-4)</f>
        <v/>
      </c>
    </row>
    <row r="9919">
      <c r="A9919" s="13">
        <f>IF(H9919="","",ROW()-4)</f>
        <v/>
      </c>
      <c r="B9919" s="13">
        <f>IF(H9919="","",ROW()-4)</f>
        <v/>
      </c>
    </row>
    <row r="9920">
      <c r="A9920" s="13">
        <f>IF(H9920="","",ROW()-4)</f>
        <v/>
      </c>
      <c r="B9920" s="13">
        <f>IF(H9920="","",ROW()-4)</f>
        <v/>
      </c>
    </row>
    <row r="9921">
      <c r="A9921" s="13">
        <f>IF(H9921="","",ROW()-4)</f>
        <v/>
      </c>
      <c r="B9921" s="13">
        <f>IF(H9921="","",ROW()-4)</f>
        <v/>
      </c>
    </row>
    <row r="9922">
      <c r="A9922" s="13">
        <f>IF(H9922="","",ROW()-4)</f>
        <v/>
      </c>
      <c r="B9922" s="13">
        <f>IF(H9922="","",ROW()-4)</f>
        <v/>
      </c>
    </row>
    <row r="9923">
      <c r="A9923" s="13">
        <f>IF(H9923="","",ROW()-4)</f>
        <v/>
      </c>
      <c r="B9923" s="13">
        <f>IF(H9923="","",ROW()-4)</f>
        <v/>
      </c>
    </row>
    <row r="9924">
      <c r="A9924" s="13">
        <f>IF(H9924="","",ROW()-4)</f>
        <v/>
      </c>
      <c r="B9924" s="13">
        <f>IF(H9924="","",ROW()-4)</f>
        <v/>
      </c>
    </row>
    <row r="9925">
      <c r="A9925" s="13">
        <f>IF(H9925="","",ROW()-4)</f>
        <v/>
      </c>
      <c r="B9925" s="13">
        <f>IF(H9925="","",ROW()-4)</f>
        <v/>
      </c>
    </row>
    <row r="9926">
      <c r="A9926" s="13">
        <f>IF(H9926="","",ROW()-4)</f>
        <v/>
      </c>
      <c r="B9926" s="13">
        <f>IF(H9926="","",ROW()-4)</f>
        <v/>
      </c>
    </row>
    <row r="9927">
      <c r="A9927" s="13">
        <f>IF(H9927="","",ROW()-4)</f>
        <v/>
      </c>
      <c r="B9927" s="13">
        <f>IF(H9927="","",ROW()-4)</f>
        <v/>
      </c>
    </row>
    <row r="9928">
      <c r="A9928" s="13">
        <f>IF(H9928="","",ROW()-4)</f>
        <v/>
      </c>
      <c r="B9928" s="13">
        <f>IF(H9928="","",ROW()-4)</f>
        <v/>
      </c>
    </row>
    <row r="9929">
      <c r="A9929" s="13">
        <f>IF(H9929="","",ROW()-4)</f>
        <v/>
      </c>
      <c r="B9929" s="13">
        <f>IF(H9929="","",ROW()-4)</f>
        <v/>
      </c>
    </row>
    <row r="9930">
      <c r="A9930" s="13">
        <f>IF(H9930="","",ROW()-4)</f>
        <v/>
      </c>
      <c r="B9930" s="13">
        <f>IF(H9930="","",ROW()-4)</f>
        <v/>
      </c>
    </row>
    <row r="9931">
      <c r="A9931" s="13">
        <f>IF(H9931="","",ROW()-4)</f>
        <v/>
      </c>
      <c r="B9931" s="13">
        <f>IF(H9931="","",ROW()-4)</f>
        <v/>
      </c>
    </row>
    <row r="9932">
      <c r="A9932" s="13">
        <f>IF(H9932="","",ROW()-4)</f>
        <v/>
      </c>
      <c r="B9932" s="13">
        <f>IF(H9932="","",ROW()-4)</f>
        <v/>
      </c>
    </row>
    <row r="9933">
      <c r="A9933" s="13">
        <f>IF(H9933="","",ROW()-4)</f>
        <v/>
      </c>
      <c r="B9933" s="13">
        <f>IF(H9933="","",ROW()-4)</f>
        <v/>
      </c>
    </row>
    <row r="9934">
      <c r="A9934" s="13">
        <f>IF(H9934="","",ROW()-4)</f>
        <v/>
      </c>
      <c r="B9934" s="13">
        <f>IF(H9934="","",ROW()-4)</f>
        <v/>
      </c>
    </row>
    <row r="9935">
      <c r="A9935" s="13">
        <f>IF(H9935="","",ROW()-4)</f>
        <v/>
      </c>
      <c r="B9935" s="13">
        <f>IF(H9935="","",ROW()-4)</f>
        <v/>
      </c>
    </row>
    <row r="9936">
      <c r="A9936" s="13">
        <f>IF(H9936="","",ROW()-4)</f>
        <v/>
      </c>
      <c r="B9936" s="13">
        <f>IF(H9936="","",ROW()-4)</f>
        <v/>
      </c>
    </row>
    <row r="9937">
      <c r="A9937" s="13">
        <f>IF(H9937="","",ROW()-4)</f>
        <v/>
      </c>
      <c r="B9937" s="13">
        <f>IF(H9937="","",ROW()-4)</f>
        <v/>
      </c>
    </row>
    <row r="9938">
      <c r="A9938" s="13">
        <f>IF(H9938="","",ROW()-4)</f>
        <v/>
      </c>
      <c r="B9938" s="13">
        <f>IF(H9938="","",ROW()-4)</f>
        <v/>
      </c>
    </row>
    <row r="9939">
      <c r="A9939" s="13">
        <f>IF(H9939="","",ROW()-4)</f>
        <v/>
      </c>
      <c r="B9939" s="13">
        <f>IF(H9939="","",ROW()-4)</f>
        <v/>
      </c>
    </row>
    <row r="9940">
      <c r="A9940" s="13">
        <f>IF(H9940="","",ROW()-4)</f>
        <v/>
      </c>
      <c r="B9940" s="13">
        <f>IF(H9940="","",ROW()-4)</f>
        <v/>
      </c>
    </row>
    <row r="9941">
      <c r="A9941" s="13">
        <f>IF(H9941="","",ROW()-4)</f>
        <v/>
      </c>
      <c r="B9941" s="13">
        <f>IF(H9941="","",ROW()-4)</f>
        <v/>
      </c>
    </row>
    <row r="9942">
      <c r="A9942" s="13">
        <f>IF(H9942="","",ROW()-4)</f>
        <v/>
      </c>
      <c r="B9942" s="13">
        <f>IF(H9942="","",ROW()-4)</f>
        <v/>
      </c>
    </row>
    <row r="9943">
      <c r="A9943" s="13">
        <f>IF(H9943="","",ROW()-4)</f>
        <v/>
      </c>
      <c r="B9943" s="13">
        <f>IF(H9943="","",ROW()-4)</f>
        <v/>
      </c>
    </row>
    <row r="9944">
      <c r="A9944" s="13">
        <f>IF(H9944="","",ROW()-4)</f>
        <v/>
      </c>
      <c r="B9944" s="13">
        <f>IF(H9944="","",ROW()-4)</f>
        <v/>
      </c>
    </row>
    <row r="9945">
      <c r="A9945" s="13">
        <f>IF(H9945="","",ROW()-4)</f>
        <v/>
      </c>
      <c r="B9945" s="13">
        <f>IF(H9945="","",ROW()-4)</f>
        <v/>
      </c>
    </row>
    <row r="9946">
      <c r="A9946" s="13">
        <f>IF(H9946="","",ROW()-4)</f>
        <v/>
      </c>
      <c r="B9946" s="13">
        <f>IF(H9946="","",ROW()-4)</f>
        <v/>
      </c>
    </row>
    <row r="9947">
      <c r="A9947" s="13">
        <f>IF(H9947="","",ROW()-4)</f>
        <v/>
      </c>
      <c r="B9947" s="13">
        <f>IF(H9947="","",ROW()-4)</f>
        <v/>
      </c>
    </row>
    <row r="9948">
      <c r="A9948" s="13">
        <f>IF(H9948="","",ROW()-4)</f>
        <v/>
      </c>
      <c r="B9948" s="13">
        <f>IF(H9948="","",ROW()-4)</f>
        <v/>
      </c>
    </row>
    <row r="9949">
      <c r="A9949" s="13">
        <f>IF(H9949="","",ROW()-4)</f>
        <v/>
      </c>
      <c r="B9949" s="13">
        <f>IF(H9949="","",ROW()-4)</f>
        <v/>
      </c>
    </row>
    <row r="9950">
      <c r="A9950" s="13">
        <f>IF(H9950="","",ROW()-4)</f>
        <v/>
      </c>
      <c r="B9950" s="13">
        <f>IF(H9950="","",ROW()-4)</f>
        <v/>
      </c>
    </row>
    <row r="9951">
      <c r="A9951" s="13">
        <f>IF(H9951="","",ROW()-4)</f>
        <v/>
      </c>
      <c r="B9951" s="13">
        <f>IF(H9951="","",ROW()-4)</f>
        <v/>
      </c>
    </row>
    <row r="9952">
      <c r="A9952" s="13">
        <f>IF(H9952="","",ROW()-4)</f>
        <v/>
      </c>
      <c r="B9952" s="13">
        <f>IF(H9952="","",ROW()-4)</f>
        <v/>
      </c>
    </row>
    <row r="9953">
      <c r="A9953" s="13">
        <f>IF(H9953="","",ROW()-4)</f>
        <v/>
      </c>
      <c r="B9953" s="13">
        <f>IF(H9953="","",ROW()-4)</f>
        <v/>
      </c>
    </row>
    <row r="9954">
      <c r="A9954" s="13">
        <f>IF(H9954="","",ROW()-4)</f>
        <v/>
      </c>
      <c r="B9954" s="13">
        <f>IF(H9954="","",ROW()-4)</f>
        <v/>
      </c>
    </row>
    <row r="9955">
      <c r="A9955" s="13">
        <f>IF(H9955="","",ROW()-4)</f>
        <v/>
      </c>
      <c r="B9955" s="13">
        <f>IF(H9955="","",ROW()-4)</f>
        <v/>
      </c>
    </row>
    <row r="9956">
      <c r="A9956" s="13">
        <f>IF(H9956="","",ROW()-4)</f>
        <v/>
      </c>
      <c r="B9956" s="13">
        <f>IF(H9956="","",ROW()-4)</f>
        <v/>
      </c>
    </row>
    <row r="9957">
      <c r="A9957" s="13">
        <f>IF(H9957="","",ROW()-4)</f>
        <v/>
      </c>
      <c r="B9957" s="13">
        <f>IF(H9957="","",ROW()-4)</f>
        <v/>
      </c>
    </row>
    <row r="9958">
      <c r="A9958" s="13">
        <f>IF(H9958="","",ROW()-4)</f>
        <v/>
      </c>
      <c r="B9958" s="13">
        <f>IF(H9958="","",ROW()-4)</f>
        <v/>
      </c>
    </row>
    <row r="9959">
      <c r="A9959" s="13">
        <f>IF(H9959="","",ROW()-4)</f>
        <v/>
      </c>
      <c r="B9959" s="13">
        <f>IF(H9959="","",ROW()-4)</f>
        <v/>
      </c>
    </row>
    <row r="9960">
      <c r="A9960" s="13">
        <f>IF(H9960="","",ROW()-4)</f>
        <v/>
      </c>
      <c r="B9960" s="13">
        <f>IF(H9960="","",ROW()-4)</f>
        <v/>
      </c>
    </row>
    <row r="9961">
      <c r="A9961" s="13">
        <f>IF(H9961="","",ROW()-4)</f>
        <v/>
      </c>
      <c r="B9961" s="13">
        <f>IF(H9961="","",ROW()-4)</f>
        <v/>
      </c>
    </row>
    <row r="9962">
      <c r="A9962" s="13">
        <f>IF(H9962="","",ROW()-4)</f>
        <v/>
      </c>
      <c r="B9962" s="13">
        <f>IF(H9962="","",ROW()-4)</f>
        <v/>
      </c>
    </row>
    <row r="9963">
      <c r="A9963" s="13">
        <f>IF(H9963="","",ROW()-4)</f>
        <v/>
      </c>
      <c r="B9963" s="13">
        <f>IF(H9963="","",ROW()-4)</f>
        <v/>
      </c>
    </row>
    <row r="9964">
      <c r="A9964" s="13">
        <f>IF(H9964="","",ROW()-4)</f>
        <v/>
      </c>
      <c r="B9964" s="13">
        <f>IF(H9964="","",ROW()-4)</f>
        <v/>
      </c>
    </row>
    <row r="9965">
      <c r="A9965" s="13">
        <f>IF(H9965="","",ROW()-4)</f>
        <v/>
      </c>
      <c r="B9965" s="13">
        <f>IF(H9965="","",ROW()-4)</f>
        <v/>
      </c>
    </row>
    <row r="9966">
      <c r="A9966" s="13">
        <f>IF(H9966="","",ROW()-4)</f>
        <v/>
      </c>
      <c r="B9966" s="13">
        <f>IF(H9966="","",ROW()-4)</f>
        <v/>
      </c>
    </row>
    <row r="9967">
      <c r="A9967" s="13">
        <f>IF(H9967="","",ROW()-4)</f>
        <v/>
      </c>
      <c r="B9967" s="13">
        <f>IF(H9967="","",ROW()-4)</f>
        <v/>
      </c>
    </row>
    <row r="9968">
      <c r="A9968" s="13">
        <f>IF(H9968="","",ROW()-4)</f>
        <v/>
      </c>
      <c r="B9968" s="13">
        <f>IF(H9968="","",ROW()-4)</f>
        <v/>
      </c>
    </row>
    <row r="9969">
      <c r="A9969" s="13">
        <f>IF(H9969="","",ROW()-4)</f>
        <v/>
      </c>
      <c r="B9969" s="13">
        <f>IF(H9969="","",ROW()-4)</f>
        <v/>
      </c>
    </row>
    <row r="9970">
      <c r="A9970" s="13">
        <f>IF(H9970="","",ROW()-4)</f>
        <v/>
      </c>
      <c r="B9970" s="13">
        <f>IF(H9970="","",ROW()-4)</f>
        <v/>
      </c>
    </row>
    <row r="9971">
      <c r="A9971" s="13">
        <f>IF(H9971="","",ROW()-4)</f>
        <v/>
      </c>
      <c r="B9971" s="13">
        <f>IF(H9971="","",ROW()-4)</f>
        <v/>
      </c>
    </row>
    <row r="9972">
      <c r="A9972" s="13">
        <f>IF(H9972="","",ROW()-4)</f>
        <v/>
      </c>
      <c r="B9972" s="13">
        <f>IF(H9972="","",ROW()-4)</f>
        <v/>
      </c>
    </row>
    <row r="9973">
      <c r="A9973" s="13">
        <f>IF(H9973="","",ROW()-4)</f>
        <v/>
      </c>
      <c r="B9973" s="13">
        <f>IF(H9973="","",ROW()-4)</f>
        <v/>
      </c>
    </row>
    <row r="9974">
      <c r="A9974" s="13">
        <f>IF(H9974="","",ROW()-4)</f>
        <v/>
      </c>
      <c r="B9974" s="13">
        <f>IF(H9974="","",ROW()-4)</f>
        <v/>
      </c>
    </row>
    <row r="9975">
      <c r="A9975" s="13">
        <f>IF(H9975="","",ROW()-4)</f>
        <v/>
      </c>
      <c r="B9975" s="13">
        <f>IF(H9975="","",ROW()-4)</f>
        <v/>
      </c>
    </row>
    <row r="9976">
      <c r="A9976" s="13">
        <f>IF(H9976="","",ROW()-4)</f>
        <v/>
      </c>
      <c r="B9976" s="13">
        <f>IF(H9976="","",ROW()-4)</f>
        <v/>
      </c>
    </row>
    <row r="9977">
      <c r="A9977" s="13">
        <f>IF(H9977="","",ROW()-4)</f>
        <v/>
      </c>
      <c r="B9977" s="13">
        <f>IF(H9977="","",ROW()-4)</f>
        <v/>
      </c>
    </row>
    <row r="9978">
      <c r="A9978" s="13">
        <f>IF(H9978="","",ROW()-4)</f>
        <v/>
      </c>
      <c r="B9978" s="13">
        <f>IF(H9978="","",ROW()-4)</f>
        <v/>
      </c>
    </row>
    <row r="9979">
      <c r="A9979" s="13">
        <f>IF(H9979="","",ROW()-4)</f>
        <v/>
      </c>
      <c r="B9979" s="13">
        <f>IF(H9979="","",ROW()-4)</f>
        <v/>
      </c>
    </row>
    <row r="9980">
      <c r="A9980" s="13">
        <f>IF(H9980="","",ROW()-4)</f>
        <v/>
      </c>
      <c r="B9980" s="13">
        <f>IF(H9980="","",ROW()-4)</f>
        <v/>
      </c>
    </row>
    <row r="9981">
      <c r="A9981" s="13">
        <f>IF(H9981="","",ROW()-4)</f>
        <v/>
      </c>
      <c r="B9981" s="13">
        <f>IF(H9981="","",ROW()-4)</f>
        <v/>
      </c>
    </row>
    <row r="9982">
      <c r="A9982" s="13">
        <f>IF(H9982="","",ROW()-4)</f>
        <v/>
      </c>
      <c r="B9982" s="13">
        <f>IF(H9982="","",ROW()-4)</f>
        <v/>
      </c>
    </row>
    <row r="9983">
      <c r="A9983" s="13">
        <f>IF(H9983="","",ROW()-4)</f>
        <v/>
      </c>
      <c r="B9983" s="13">
        <f>IF(H9983="","",ROW()-4)</f>
        <v/>
      </c>
    </row>
    <row r="9984">
      <c r="A9984" s="13">
        <f>IF(H9984="","",ROW()-4)</f>
        <v/>
      </c>
      <c r="B9984" s="13">
        <f>IF(H9984="","",ROW()-4)</f>
        <v/>
      </c>
    </row>
    <row r="9985">
      <c r="A9985" s="13">
        <f>IF(H9985="","",ROW()-4)</f>
        <v/>
      </c>
      <c r="B9985" s="13">
        <f>IF(H9985="","",ROW()-4)</f>
        <v/>
      </c>
    </row>
    <row r="9986">
      <c r="A9986" s="13">
        <f>IF(H9986="","",ROW()-4)</f>
        <v/>
      </c>
      <c r="B9986" s="13">
        <f>IF(H9986="","",ROW()-4)</f>
        <v/>
      </c>
    </row>
    <row r="9987">
      <c r="A9987" s="13">
        <f>IF(H9987="","",ROW()-4)</f>
        <v/>
      </c>
      <c r="B9987" s="13">
        <f>IF(H9987="","",ROW()-4)</f>
        <v/>
      </c>
    </row>
    <row r="9988">
      <c r="A9988" s="13">
        <f>IF(H9988="","",ROW()-4)</f>
        <v/>
      </c>
      <c r="B9988" s="13">
        <f>IF(H9988="","",ROW()-4)</f>
        <v/>
      </c>
    </row>
    <row r="9989">
      <c r="A9989" s="13">
        <f>IF(H9989="","",ROW()-4)</f>
        <v/>
      </c>
      <c r="B9989" s="13">
        <f>IF(H9989="","",ROW()-4)</f>
        <v/>
      </c>
    </row>
    <row r="9990">
      <c r="A9990" s="13">
        <f>IF(H9990="","",ROW()-4)</f>
        <v/>
      </c>
      <c r="B9990" s="13">
        <f>IF(H9990="","",ROW()-4)</f>
        <v/>
      </c>
    </row>
    <row r="9991">
      <c r="A9991" s="13">
        <f>IF(H9991="","",ROW()-4)</f>
        <v/>
      </c>
      <c r="B9991" s="13">
        <f>IF(H9991="","",ROW()-4)</f>
        <v/>
      </c>
    </row>
    <row r="9992">
      <c r="A9992" s="13">
        <f>IF(H9992="","",ROW()-4)</f>
        <v/>
      </c>
      <c r="B9992" s="13">
        <f>IF(H9992="","",ROW()-4)</f>
        <v/>
      </c>
    </row>
    <row r="9993">
      <c r="A9993" s="13">
        <f>IF(H9993="","",ROW()-4)</f>
        <v/>
      </c>
      <c r="B9993" s="13">
        <f>IF(H9993="","",ROW()-4)</f>
        <v/>
      </c>
    </row>
    <row r="9994">
      <c r="A9994" s="13">
        <f>IF(H9994="","",ROW()-4)</f>
        <v/>
      </c>
      <c r="B9994" s="13">
        <f>IF(H9994="","",ROW()-4)</f>
        <v/>
      </c>
    </row>
    <row r="9995">
      <c r="A9995" s="13">
        <f>IF(H9995="","",ROW()-4)</f>
        <v/>
      </c>
      <c r="B9995" s="13">
        <f>IF(H9995="","",ROW()-4)</f>
        <v/>
      </c>
    </row>
    <row r="9996">
      <c r="A9996" s="13">
        <f>IF(H9996="","",ROW()-4)</f>
        <v/>
      </c>
      <c r="B9996" s="13">
        <f>IF(H9996="","",ROW()-4)</f>
        <v/>
      </c>
    </row>
    <row r="9997">
      <c r="A9997" s="13">
        <f>IF(H9997="","",ROW()-4)</f>
        <v/>
      </c>
      <c r="B9997" s="13">
        <f>IF(H9997="","",ROW()-4)</f>
        <v/>
      </c>
    </row>
    <row r="9998">
      <c r="A9998" s="13">
        <f>IF(H9998="","",ROW()-4)</f>
        <v/>
      </c>
      <c r="B9998" s="13">
        <f>IF(H9998="","",ROW()-4)</f>
        <v/>
      </c>
    </row>
    <row r="9999">
      <c r="A9999" s="13">
        <f>IF(H9999="","",ROW()-4)</f>
        <v/>
      </c>
      <c r="B9999" s="13">
        <f>IF(H9999="","",ROW()-4)</f>
        <v/>
      </c>
    </row>
    <row r="10000">
      <c r="A10000" s="13">
        <f>IF(H10000="","",ROW()-4)</f>
        <v/>
      </c>
      <c r="B10000" s="13">
        <f>IF(H10000="","",ROW()-4)</f>
        <v/>
      </c>
    </row>
    <row r="10001">
      <c r="A10001" s="13">
        <f>IF(H10001="","",ROW()-4)</f>
        <v/>
      </c>
      <c r="B10001" s="13">
        <f>IF(H10001="","",ROW()-4)</f>
        <v/>
      </c>
    </row>
    <row r="10002">
      <c r="A10002" s="13">
        <f>IF(H10002="","",ROW()-4)</f>
        <v/>
      </c>
      <c r="B10002" s="13">
        <f>IF(H10002="","",ROW()-4)</f>
        <v/>
      </c>
    </row>
    <row r="10003">
      <c r="A10003" s="13">
        <f>IF(H10003="","",ROW()-4)</f>
        <v/>
      </c>
      <c r="B10003" s="13">
        <f>IF(H10003="","",ROW()-4)</f>
        <v/>
      </c>
    </row>
    <row r="10004">
      <c r="A10004" s="13">
        <f>IF(H10004="","",ROW()-4)</f>
        <v/>
      </c>
      <c r="B10004" s="13">
        <f>IF(H10004="","",ROW()-4)</f>
        <v/>
      </c>
    </row>
    <row r="10007">
      <c r="A10007" s="14" t="inlineStr">
        <is>
          <t>STATISTICS (auto-calculated)</t>
        </is>
      </c>
    </row>
    <row r="10008">
      <c r="A10008" s="4" t="inlineStr">
        <is>
          <t>Statistic</t>
        </is>
      </c>
      <c r="H10008" s="4">
        <f>H4</f>
        <v/>
      </c>
      <c r="I10008" s="4">
        <f>I4</f>
        <v/>
      </c>
      <c r="J10008" s="4">
        <f>J4</f>
        <v/>
      </c>
      <c r="K10008" s="4">
        <f>K4</f>
        <v/>
      </c>
      <c r="L10008" s="4">
        <f>L4</f>
        <v/>
      </c>
      <c r="M10008" s="4">
        <f>M4</f>
        <v/>
      </c>
      <c r="N10008" s="4">
        <f>N4</f>
        <v/>
      </c>
      <c r="O10008" s="4">
        <f>O4</f>
        <v/>
      </c>
      <c r="P10008" s="4">
        <f>P4</f>
        <v/>
      </c>
      <c r="Q10008" s="4">
        <f>Q4</f>
        <v/>
      </c>
      <c r="R10008" s="4">
        <f>R4</f>
        <v/>
      </c>
      <c r="S10008" s="4">
        <f>S4</f>
        <v/>
      </c>
      <c r="T10008" s="4">
        <f>T4</f>
        <v/>
      </c>
      <c r="U10008" s="4">
        <f>U4</f>
        <v/>
      </c>
      <c r="V10008" s="4">
        <f>V4</f>
        <v/>
      </c>
      <c r="W10008" s="4">
        <f>W4</f>
        <v/>
      </c>
      <c r="X10008" s="4">
        <f>X4</f>
        <v/>
      </c>
      <c r="Y10008" s="4">
        <f>Y4</f>
        <v/>
      </c>
      <c r="Z10008" s="4">
        <f>Z4</f>
        <v/>
      </c>
      <c r="AA10008" s="4">
        <f>AA4</f>
        <v/>
      </c>
      <c r="AB10008" s="4">
        <f>AB4</f>
        <v/>
      </c>
      <c r="AC10008" s="4">
        <f>AC4</f>
        <v/>
      </c>
      <c r="AD10008" s="4">
        <f>AD4</f>
        <v/>
      </c>
      <c r="AE10008" s="4">
        <f>AE4</f>
        <v/>
      </c>
      <c r="AF10008" s="4">
        <f>AF4</f>
        <v/>
      </c>
      <c r="AG10008" s="4">
        <f>AG4</f>
        <v/>
      </c>
      <c r="AH10008" s="4">
        <f>AH4</f>
        <v/>
      </c>
      <c r="AI10008" s="4">
        <f>AI4</f>
        <v/>
      </c>
      <c r="AJ10008" s="4">
        <f>AJ4</f>
        <v/>
      </c>
      <c r="AK10008" s="4">
        <f>AK4</f>
        <v/>
      </c>
      <c r="AL10008" s="4">
        <f>AL4</f>
        <v/>
      </c>
      <c r="AM10008" s="4">
        <f>AM4</f>
        <v/>
      </c>
      <c r="AN10008" s="4">
        <f>AN4</f>
        <v/>
      </c>
      <c r="AO10008" s="4">
        <f>AO4</f>
        <v/>
      </c>
      <c r="AP10008" s="4">
        <f>AP4</f>
        <v/>
      </c>
      <c r="AQ10008" s="4">
        <f>AQ4</f>
        <v/>
      </c>
      <c r="AR10008" s="4">
        <f>AR4</f>
        <v/>
      </c>
      <c r="AS10008" s="4">
        <f>AS4</f>
        <v/>
      </c>
      <c r="AT10008" s="4">
        <f>AT4</f>
        <v/>
      </c>
      <c r="AU10008" s="4">
        <f>AU4</f>
        <v/>
      </c>
      <c r="AV10008" s="4">
        <f>AV4</f>
        <v/>
      </c>
      <c r="AW10008" s="4">
        <f>AW4</f>
        <v/>
      </c>
      <c r="AX10008" s="4">
        <f>AX4</f>
        <v/>
      </c>
      <c r="AY10008" s="4">
        <f>AY4</f>
        <v/>
      </c>
      <c r="AZ10008" s="4">
        <f>AZ4</f>
        <v/>
      </c>
      <c r="BA10008" s="4">
        <f>BA4</f>
        <v/>
      </c>
      <c r="BB10008" s="4">
        <f>BB4</f>
        <v/>
      </c>
      <c r="BC10008" s="4">
        <f>BC4</f>
        <v/>
      </c>
      <c r="BD10008" s="4">
        <f>BD4</f>
        <v/>
      </c>
      <c r="BE10008" s="4">
        <f>BE4</f>
        <v/>
      </c>
    </row>
    <row r="10009">
      <c r="A10009" s="21" t="inlineStr">
        <is>
          <t>Count (n)</t>
        </is>
      </c>
      <c r="H10009" s="22">
        <f>COUNT('Data Entry'!$H$5:$H$10004)</f>
        <v/>
      </c>
      <c r="I10009" s="22">
        <f>COUNT('Data Entry'!$I$5:$I$10004)</f>
        <v/>
      </c>
      <c r="J10009" s="22">
        <f>COUNT('Data Entry'!$J$5:$J$10004)</f>
        <v/>
      </c>
      <c r="K10009" s="22">
        <f>COUNT('Data Entry'!$K$5:$K$10004)</f>
        <v/>
      </c>
      <c r="L10009" s="22">
        <f>COUNT('Data Entry'!$L$5:$L$10004)</f>
        <v/>
      </c>
      <c r="M10009" s="22">
        <f>COUNT('Data Entry'!$M$5:$M$10004)</f>
        <v/>
      </c>
      <c r="N10009" s="22">
        <f>COUNT('Data Entry'!$N$5:$N$10004)</f>
        <v/>
      </c>
      <c r="O10009" s="22">
        <f>COUNT('Data Entry'!$O$5:$O$10004)</f>
        <v/>
      </c>
      <c r="P10009" s="22">
        <f>COUNT('Data Entry'!$P$5:$P$10004)</f>
        <v/>
      </c>
      <c r="Q10009" s="22">
        <f>COUNT('Data Entry'!$Q$5:$Q$10004)</f>
        <v/>
      </c>
      <c r="R10009" s="22">
        <f>COUNT('Data Entry'!$R$5:$R$10004)</f>
        <v/>
      </c>
      <c r="S10009" s="22">
        <f>COUNT('Data Entry'!$S$5:$S$10004)</f>
        <v/>
      </c>
      <c r="T10009" s="22">
        <f>COUNT('Data Entry'!$T$5:$T$10004)</f>
        <v/>
      </c>
      <c r="U10009" s="22">
        <f>COUNT('Data Entry'!$U$5:$U$10004)</f>
        <v/>
      </c>
      <c r="V10009" s="22">
        <f>COUNT('Data Entry'!$V$5:$V$10004)</f>
        <v/>
      </c>
      <c r="W10009" s="22">
        <f>COUNT('Data Entry'!$W$5:$W$10004)</f>
        <v/>
      </c>
      <c r="X10009" s="22">
        <f>COUNT('Data Entry'!$X$5:$X$10004)</f>
        <v/>
      </c>
      <c r="Y10009" s="22">
        <f>COUNT('Data Entry'!$Y$5:$Y$10004)</f>
        <v/>
      </c>
      <c r="Z10009" s="22">
        <f>COUNT('Data Entry'!$Z$5:$Z$10004)</f>
        <v/>
      </c>
      <c r="AA10009" s="22">
        <f>COUNT('Data Entry'!$AA$5:$AA$10004)</f>
        <v/>
      </c>
      <c r="AB10009" s="22">
        <f>COUNT('Data Entry'!$AB$5:$AB$10004)</f>
        <v/>
      </c>
      <c r="AC10009" s="22">
        <f>COUNT('Data Entry'!$AC$5:$AC$10004)</f>
        <v/>
      </c>
      <c r="AD10009" s="22">
        <f>COUNT('Data Entry'!$AD$5:$AD$10004)</f>
        <v/>
      </c>
      <c r="AE10009" s="22">
        <f>COUNT('Data Entry'!$AE$5:$AE$10004)</f>
        <v/>
      </c>
      <c r="AF10009" s="22">
        <f>COUNT('Data Entry'!$AF$5:$AF$10004)</f>
        <v/>
      </c>
      <c r="AG10009" s="22">
        <f>COUNT('Data Entry'!$AG$5:$AG$10004)</f>
        <v/>
      </c>
      <c r="AH10009" s="22">
        <f>COUNT('Data Entry'!$AH$5:$AH$10004)</f>
        <v/>
      </c>
      <c r="AI10009" s="22">
        <f>COUNT('Data Entry'!$AI$5:$AI$10004)</f>
        <v/>
      </c>
      <c r="AJ10009" s="22">
        <f>COUNT('Data Entry'!$AJ$5:$AJ$10004)</f>
        <v/>
      </c>
      <c r="AK10009" s="22">
        <f>COUNT('Data Entry'!$AK$5:$AK$10004)</f>
        <v/>
      </c>
      <c r="AL10009" s="22">
        <f>COUNT('Data Entry'!$AL$5:$AL$10004)</f>
        <v/>
      </c>
      <c r="AM10009" s="22">
        <f>COUNT('Data Entry'!$AM$5:$AM$10004)</f>
        <v/>
      </c>
      <c r="AN10009" s="22">
        <f>COUNT('Data Entry'!$AN$5:$AN$10004)</f>
        <v/>
      </c>
      <c r="AO10009" s="22">
        <f>COUNT('Data Entry'!$AO$5:$AO$10004)</f>
        <v/>
      </c>
      <c r="AP10009" s="22">
        <f>COUNT('Data Entry'!$AP$5:$AP$10004)</f>
        <v/>
      </c>
      <c r="AQ10009" s="22">
        <f>COUNT('Data Entry'!$AQ$5:$AQ$10004)</f>
        <v/>
      </c>
      <c r="AR10009" s="22">
        <f>COUNT('Data Entry'!$AR$5:$AR$10004)</f>
        <v/>
      </c>
      <c r="AS10009" s="22">
        <f>COUNT('Data Entry'!$AS$5:$AS$10004)</f>
        <v/>
      </c>
      <c r="AT10009" s="22">
        <f>COUNT('Data Entry'!$AT$5:$AT$10004)</f>
        <v/>
      </c>
      <c r="AU10009" s="22">
        <f>COUNT('Data Entry'!$AU$5:$AU$10004)</f>
        <v/>
      </c>
      <c r="AV10009" s="22">
        <f>COUNT('Data Entry'!$AV$5:$AV$10004)</f>
        <v/>
      </c>
      <c r="AW10009" s="22">
        <f>COUNT('Data Entry'!$AW$5:$AW$10004)</f>
        <v/>
      </c>
      <c r="AX10009" s="22">
        <f>COUNT('Data Entry'!$AX$5:$AX$10004)</f>
        <v/>
      </c>
      <c r="AY10009" s="22">
        <f>COUNT('Data Entry'!$AY$5:$AY$10004)</f>
        <v/>
      </c>
      <c r="AZ10009" s="22">
        <f>COUNT('Data Entry'!$AZ$5:$AZ$10004)</f>
        <v/>
      </c>
      <c r="BA10009" s="22">
        <f>COUNT('Data Entry'!$BA$5:$BA$10004)</f>
        <v/>
      </c>
      <c r="BB10009" s="22">
        <f>COUNT('Data Entry'!$BB$5:$BB$10004)</f>
        <v/>
      </c>
      <c r="BC10009" s="22">
        <f>COUNT('Data Entry'!$BC$5:$BC$10004)</f>
        <v/>
      </c>
      <c r="BD10009" s="22">
        <f>COUNT('Data Entry'!$BD$5:$BD$10004)</f>
        <v/>
      </c>
      <c r="BE10009" s="22">
        <f>COUNT('Data Entry'!$BE$5:$BE$10004)</f>
        <v/>
      </c>
    </row>
    <row r="10010">
      <c r="A10010" s="21" t="inlineStr">
        <is>
          <t>Mean (X-bar)</t>
        </is>
      </c>
      <c r="H10010" s="23">
        <f>IF(COUNT('Data Entry'!$H$5:$H$10004)=0,"",AVERAGE('Data Entry'!$H$5:$H$10004))</f>
        <v/>
      </c>
      <c r="I10010" s="23">
        <f>IF(COUNT('Data Entry'!$I$5:$I$10004)=0,"",AVERAGE('Data Entry'!$I$5:$I$10004))</f>
        <v/>
      </c>
      <c r="J10010" s="23">
        <f>IF(COUNT('Data Entry'!$J$5:$J$10004)=0,"",AVERAGE('Data Entry'!$J$5:$J$10004))</f>
        <v/>
      </c>
      <c r="K10010" s="23">
        <f>IF(COUNT('Data Entry'!$K$5:$K$10004)=0,"",AVERAGE('Data Entry'!$K$5:$K$10004))</f>
        <v/>
      </c>
      <c r="L10010" s="23">
        <f>IF(COUNT('Data Entry'!$L$5:$L$10004)=0,"",AVERAGE('Data Entry'!$L$5:$L$10004))</f>
        <v/>
      </c>
      <c r="M10010" s="23">
        <f>IF(COUNT('Data Entry'!$M$5:$M$10004)=0,"",AVERAGE('Data Entry'!$M$5:$M$10004))</f>
        <v/>
      </c>
      <c r="N10010" s="23">
        <f>IF(COUNT('Data Entry'!$N$5:$N$10004)=0,"",AVERAGE('Data Entry'!$N$5:$N$10004))</f>
        <v/>
      </c>
      <c r="O10010" s="23">
        <f>IF(COUNT('Data Entry'!$O$5:$O$10004)=0,"",AVERAGE('Data Entry'!$O$5:$O$10004))</f>
        <v/>
      </c>
      <c r="P10010" s="23">
        <f>IF(COUNT('Data Entry'!$P$5:$P$10004)=0,"",AVERAGE('Data Entry'!$P$5:$P$10004))</f>
        <v/>
      </c>
      <c r="Q10010" s="23">
        <f>IF(COUNT('Data Entry'!$Q$5:$Q$10004)=0,"",AVERAGE('Data Entry'!$Q$5:$Q$10004))</f>
        <v/>
      </c>
      <c r="R10010" s="23">
        <f>IF(COUNT('Data Entry'!$R$5:$R$10004)=0,"",AVERAGE('Data Entry'!$R$5:$R$10004))</f>
        <v/>
      </c>
      <c r="S10010" s="23">
        <f>IF(COUNT('Data Entry'!$S$5:$S$10004)=0,"",AVERAGE('Data Entry'!$S$5:$S$10004))</f>
        <v/>
      </c>
      <c r="T10010" s="23">
        <f>IF(COUNT('Data Entry'!$T$5:$T$10004)=0,"",AVERAGE('Data Entry'!$T$5:$T$10004))</f>
        <v/>
      </c>
      <c r="U10010" s="23">
        <f>IF(COUNT('Data Entry'!$U$5:$U$10004)=0,"",AVERAGE('Data Entry'!$U$5:$U$10004))</f>
        <v/>
      </c>
      <c r="V10010" s="23">
        <f>IF(COUNT('Data Entry'!$V$5:$V$10004)=0,"",AVERAGE('Data Entry'!$V$5:$V$10004))</f>
        <v/>
      </c>
      <c r="W10010" s="23">
        <f>IF(COUNT('Data Entry'!$W$5:$W$10004)=0,"",AVERAGE('Data Entry'!$W$5:$W$10004))</f>
        <v/>
      </c>
      <c r="X10010" s="23">
        <f>IF(COUNT('Data Entry'!$X$5:$X$10004)=0,"",AVERAGE('Data Entry'!$X$5:$X$10004))</f>
        <v/>
      </c>
      <c r="Y10010" s="23">
        <f>IF(COUNT('Data Entry'!$Y$5:$Y$10004)=0,"",AVERAGE('Data Entry'!$Y$5:$Y$10004))</f>
        <v/>
      </c>
      <c r="Z10010" s="23">
        <f>IF(COUNT('Data Entry'!$Z$5:$Z$10004)=0,"",AVERAGE('Data Entry'!$Z$5:$Z$10004))</f>
        <v/>
      </c>
      <c r="AA10010" s="23">
        <f>IF(COUNT('Data Entry'!$AA$5:$AA$10004)=0,"",AVERAGE('Data Entry'!$AA$5:$AA$10004))</f>
        <v/>
      </c>
      <c r="AB10010" s="23">
        <f>IF(COUNT('Data Entry'!$AB$5:$AB$10004)=0,"",AVERAGE('Data Entry'!$AB$5:$AB$10004))</f>
        <v/>
      </c>
      <c r="AC10010" s="23">
        <f>IF(COUNT('Data Entry'!$AC$5:$AC$10004)=0,"",AVERAGE('Data Entry'!$AC$5:$AC$10004))</f>
        <v/>
      </c>
      <c r="AD10010" s="23">
        <f>IF(COUNT('Data Entry'!$AD$5:$AD$10004)=0,"",AVERAGE('Data Entry'!$AD$5:$AD$10004))</f>
        <v/>
      </c>
      <c r="AE10010" s="23">
        <f>IF(COUNT('Data Entry'!$AE$5:$AE$10004)=0,"",AVERAGE('Data Entry'!$AE$5:$AE$10004))</f>
        <v/>
      </c>
      <c r="AF10010" s="23">
        <f>IF(COUNT('Data Entry'!$AF$5:$AF$10004)=0,"",AVERAGE('Data Entry'!$AF$5:$AF$10004))</f>
        <v/>
      </c>
      <c r="AG10010" s="23">
        <f>IF(COUNT('Data Entry'!$AG$5:$AG$10004)=0,"",AVERAGE('Data Entry'!$AG$5:$AG$10004))</f>
        <v/>
      </c>
      <c r="AH10010" s="23">
        <f>IF(COUNT('Data Entry'!$AH$5:$AH$10004)=0,"",AVERAGE('Data Entry'!$AH$5:$AH$10004))</f>
        <v/>
      </c>
      <c r="AI10010" s="23">
        <f>IF(COUNT('Data Entry'!$AI$5:$AI$10004)=0,"",AVERAGE('Data Entry'!$AI$5:$AI$10004))</f>
        <v/>
      </c>
      <c r="AJ10010" s="23">
        <f>IF(COUNT('Data Entry'!$AJ$5:$AJ$10004)=0,"",AVERAGE('Data Entry'!$AJ$5:$AJ$10004))</f>
        <v/>
      </c>
      <c r="AK10010" s="23">
        <f>IF(COUNT('Data Entry'!$AK$5:$AK$10004)=0,"",AVERAGE('Data Entry'!$AK$5:$AK$10004))</f>
        <v/>
      </c>
      <c r="AL10010" s="23">
        <f>IF(COUNT('Data Entry'!$AL$5:$AL$10004)=0,"",AVERAGE('Data Entry'!$AL$5:$AL$10004))</f>
        <v/>
      </c>
      <c r="AM10010" s="23">
        <f>IF(COUNT('Data Entry'!$AM$5:$AM$10004)=0,"",AVERAGE('Data Entry'!$AM$5:$AM$10004))</f>
        <v/>
      </c>
      <c r="AN10010" s="23">
        <f>IF(COUNT('Data Entry'!$AN$5:$AN$10004)=0,"",AVERAGE('Data Entry'!$AN$5:$AN$10004))</f>
        <v/>
      </c>
      <c r="AO10010" s="23">
        <f>IF(COUNT('Data Entry'!$AO$5:$AO$10004)=0,"",AVERAGE('Data Entry'!$AO$5:$AO$10004))</f>
        <v/>
      </c>
      <c r="AP10010" s="23">
        <f>IF(COUNT('Data Entry'!$AP$5:$AP$10004)=0,"",AVERAGE('Data Entry'!$AP$5:$AP$10004))</f>
        <v/>
      </c>
      <c r="AQ10010" s="23">
        <f>IF(COUNT('Data Entry'!$AQ$5:$AQ$10004)=0,"",AVERAGE('Data Entry'!$AQ$5:$AQ$10004))</f>
        <v/>
      </c>
      <c r="AR10010" s="23">
        <f>IF(COUNT('Data Entry'!$AR$5:$AR$10004)=0,"",AVERAGE('Data Entry'!$AR$5:$AR$10004))</f>
        <v/>
      </c>
      <c r="AS10010" s="23">
        <f>IF(COUNT('Data Entry'!$AS$5:$AS$10004)=0,"",AVERAGE('Data Entry'!$AS$5:$AS$10004))</f>
        <v/>
      </c>
      <c r="AT10010" s="23">
        <f>IF(COUNT('Data Entry'!$AT$5:$AT$10004)=0,"",AVERAGE('Data Entry'!$AT$5:$AT$10004))</f>
        <v/>
      </c>
      <c r="AU10010" s="23">
        <f>IF(COUNT('Data Entry'!$AU$5:$AU$10004)=0,"",AVERAGE('Data Entry'!$AU$5:$AU$10004))</f>
        <v/>
      </c>
      <c r="AV10010" s="23">
        <f>IF(COUNT('Data Entry'!$AV$5:$AV$10004)=0,"",AVERAGE('Data Entry'!$AV$5:$AV$10004))</f>
        <v/>
      </c>
      <c r="AW10010" s="23">
        <f>IF(COUNT('Data Entry'!$AW$5:$AW$10004)=0,"",AVERAGE('Data Entry'!$AW$5:$AW$10004))</f>
        <v/>
      </c>
      <c r="AX10010" s="23">
        <f>IF(COUNT('Data Entry'!$AX$5:$AX$10004)=0,"",AVERAGE('Data Entry'!$AX$5:$AX$10004))</f>
        <v/>
      </c>
      <c r="AY10010" s="23">
        <f>IF(COUNT('Data Entry'!$AY$5:$AY$10004)=0,"",AVERAGE('Data Entry'!$AY$5:$AY$10004))</f>
        <v/>
      </c>
      <c r="AZ10010" s="23">
        <f>IF(COUNT('Data Entry'!$AZ$5:$AZ$10004)=0,"",AVERAGE('Data Entry'!$AZ$5:$AZ$10004))</f>
        <v/>
      </c>
      <c r="BA10010" s="23">
        <f>IF(COUNT('Data Entry'!$BA$5:$BA$10004)=0,"",AVERAGE('Data Entry'!$BA$5:$BA$10004))</f>
        <v/>
      </c>
      <c r="BB10010" s="23">
        <f>IF(COUNT('Data Entry'!$BB$5:$BB$10004)=0,"",AVERAGE('Data Entry'!$BB$5:$BB$10004))</f>
        <v/>
      </c>
      <c r="BC10010" s="23">
        <f>IF(COUNT('Data Entry'!$BC$5:$BC$10004)=0,"",AVERAGE('Data Entry'!$BC$5:$BC$10004))</f>
        <v/>
      </c>
      <c r="BD10010" s="23">
        <f>IF(COUNT('Data Entry'!$BD$5:$BD$10004)=0,"",AVERAGE('Data Entry'!$BD$5:$BD$10004))</f>
        <v/>
      </c>
      <c r="BE10010" s="23">
        <f>IF(COUNT('Data Entry'!$BE$5:$BE$10004)=0,"",AVERAGE('Data Entry'!$BE$5:$BE$10004))</f>
        <v/>
      </c>
    </row>
    <row r="10011">
      <c r="A10011" s="21" t="inlineStr">
        <is>
          <t>Min</t>
        </is>
      </c>
      <c r="H10011" s="23">
        <f>IF(COUNT('Data Entry'!$H$5:$H$10004)=0,"",MIN('Data Entry'!$H$5:$H$10004))</f>
        <v/>
      </c>
      <c r="I10011" s="23">
        <f>IF(COUNT('Data Entry'!$I$5:$I$10004)=0,"",MIN('Data Entry'!$I$5:$I$10004))</f>
        <v/>
      </c>
      <c r="J10011" s="23">
        <f>IF(COUNT('Data Entry'!$J$5:$J$10004)=0,"",MIN('Data Entry'!$J$5:$J$10004))</f>
        <v/>
      </c>
      <c r="K10011" s="23">
        <f>IF(COUNT('Data Entry'!$K$5:$K$10004)=0,"",MIN('Data Entry'!$K$5:$K$10004))</f>
        <v/>
      </c>
      <c r="L10011" s="23">
        <f>IF(COUNT('Data Entry'!$L$5:$L$10004)=0,"",MIN('Data Entry'!$L$5:$L$10004))</f>
        <v/>
      </c>
      <c r="M10011" s="23">
        <f>IF(COUNT('Data Entry'!$M$5:$M$10004)=0,"",MIN('Data Entry'!$M$5:$M$10004))</f>
        <v/>
      </c>
      <c r="N10011" s="23">
        <f>IF(COUNT('Data Entry'!$N$5:$N$10004)=0,"",MIN('Data Entry'!$N$5:$N$10004))</f>
        <v/>
      </c>
      <c r="O10011" s="23">
        <f>IF(COUNT('Data Entry'!$O$5:$O$10004)=0,"",MIN('Data Entry'!$O$5:$O$10004))</f>
        <v/>
      </c>
      <c r="P10011" s="23">
        <f>IF(COUNT('Data Entry'!$P$5:$P$10004)=0,"",MIN('Data Entry'!$P$5:$P$10004))</f>
        <v/>
      </c>
      <c r="Q10011" s="23">
        <f>IF(COUNT('Data Entry'!$Q$5:$Q$10004)=0,"",MIN('Data Entry'!$Q$5:$Q$10004))</f>
        <v/>
      </c>
      <c r="R10011" s="23">
        <f>IF(COUNT('Data Entry'!$R$5:$R$10004)=0,"",MIN('Data Entry'!$R$5:$R$10004))</f>
        <v/>
      </c>
      <c r="S10011" s="23">
        <f>IF(COUNT('Data Entry'!$S$5:$S$10004)=0,"",MIN('Data Entry'!$S$5:$S$10004))</f>
        <v/>
      </c>
      <c r="T10011" s="23">
        <f>IF(COUNT('Data Entry'!$T$5:$T$10004)=0,"",MIN('Data Entry'!$T$5:$T$10004))</f>
        <v/>
      </c>
      <c r="U10011" s="23">
        <f>IF(COUNT('Data Entry'!$U$5:$U$10004)=0,"",MIN('Data Entry'!$U$5:$U$10004))</f>
        <v/>
      </c>
      <c r="V10011" s="23">
        <f>IF(COUNT('Data Entry'!$V$5:$V$10004)=0,"",MIN('Data Entry'!$V$5:$V$10004))</f>
        <v/>
      </c>
      <c r="W10011" s="23">
        <f>IF(COUNT('Data Entry'!$W$5:$W$10004)=0,"",MIN('Data Entry'!$W$5:$W$10004))</f>
        <v/>
      </c>
      <c r="X10011" s="23">
        <f>IF(COUNT('Data Entry'!$X$5:$X$10004)=0,"",MIN('Data Entry'!$X$5:$X$10004))</f>
        <v/>
      </c>
      <c r="Y10011" s="23">
        <f>IF(COUNT('Data Entry'!$Y$5:$Y$10004)=0,"",MIN('Data Entry'!$Y$5:$Y$10004))</f>
        <v/>
      </c>
      <c r="Z10011" s="23">
        <f>IF(COUNT('Data Entry'!$Z$5:$Z$10004)=0,"",MIN('Data Entry'!$Z$5:$Z$10004))</f>
        <v/>
      </c>
      <c r="AA10011" s="23">
        <f>IF(COUNT('Data Entry'!$AA$5:$AA$10004)=0,"",MIN('Data Entry'!$AA$5:$AA$10004))</f>
        <v/>
      </c>
      <c r="AB10011" s="23">
        <f>IF(COUNT('Data Entry'!$AB$5:$AB$10004)=0,"",MIN('Data Entry'!$AB$5:$AB$10004))</f>
        <v/>
      </c>
      <c r="AC10011" s="23">
        <f>IF(COUNT('Data Entry'!$AC$5:$AC$10004)=0,"",MIN('Data Entry'!$AC$5:$AC$10004))</f>
        <v/>
      </c>
      <c r="AD10011" s="23">
        <f>IF(COUNT('Data Entry'!$AD$5:$AD$10004)=0,"",MIN('Data Entry'!$AD$5:$AD$10004))</f>
        <v/>
      </c>
      <c r="AE10011" s="23">
        <f>IF(COUNT('Data Entry'!$AE$5:$AE$10004)=0,"",MIN('Data Entry'!$AE$5:$AE$10004))</f>
        <v/>
      </c>
      <c r="AF10011" s="23">
        <f>IF(COUNT('Data Entry'!$AF$5:$AF$10004)=0,"",MIN('Data Entry'!$AF$5:$AF$10004))</f>
        <v/>
      </c>
      <c r="AG10011" s="23">
        <f>IF(COUNT('Data Entry'!$AG$5:$AG$10004)=0,"",MIN('Data Entry'!$AG$5:$AG$10004))</f>
        <v/>
      </c>
      <c r="AH10011" s="23">
        <f>IF(COUNT('Data Entry'!$AH$5:$AH$10004)=0,"",MIN('Data Entry'!$AH$5:$AH$10004))</f>
        <v/>
      </c>
      <c r="AI10011" s="23">
        <f>IF(COUNT('Data Entry'!$AI$5:$AI$10004)=0,"",MIN('Data Entry'!$AI$5:$AI$10004))</f>
        <v/>
      </c>
      <c r="AJ10011" s="23">
        <f>IF(COUNT('Data Entry'!$AJ$5:$AJ$10004)=0,"",MIN('Data Entry'!$AJ$5:$AJ$10004))</f>
        <v/>
      </c>
      <c r="AK10011" s="23">
        <f>IF(COUNT('Data Entry'!$AK$5:$AK$10004)=0,"",MIN('Data Entry'!$AK$5:$AK$10004))</f>
        <v/>
      </c>
      <c r="AL10011" s="23">
        <f>IF(COUNT('Data Entry'!$AL$5:$AL$10004)=0,"",MIN('Data Entry'!$AL$5:$AL$10004))</f>
        <v/>
      </c>
      <c r="AM10011" s="23">
        <f>IF(COUNT('Data Entry'!$AM$5:$AM$10004)=0,"",MIN('Data Entry'!$AM$5:$AM$10004))</f>
        <v/>
      </c>
      <c r="AN10011" s="23">
        <f>IF(COUNT('Data Entry'!$AN$5:$AN$10004)=0,"",MIN('Data Entry'!$AN$5:$AN$10004))</f>
        <v/>
      </c>
      <c r="AO10011" s="23">
        <f>IF(COUNT('Data Entry'!$AO$5:$AO$10004)=0,"",MIN('Data Entry'!$AO$5:$AO$10004))</f>
        <v/>
      </c>
      <c r="AP10011" s="23">
        <f>IF(COUNT('Data Entry'!$AP$5:$AP$10004)=0,"",MIN('Data Entry'!$AP$5:$AP$10004))</f>
        <v/>
      </c>
      <c r="AQ10011" s="23">
        <f>IF(COUNT('Data Entry'!$AQ$5:$AQ$10004)=0,"",MIN('Data Entry'!$AQ$5:$AQ$10004))</f>
        <v/>
      </c>
      <c r="AR10011" s="23">
        <f>IF(COUNT('Data Entry'!$AR$5:$AR$10004)=0,"",MIN('Data Entry'!$AR$5:$AR$10004))</f>
        <v/>
      </c>
      <c r="AS10011" s="23">
        <f>IF(COUNT('Data Entry'!$AS$5:$AS$10004)=0,"",MIN('Data Entry'!$AS$5:$AS$10004))</f>
        <v/>
      </c>
      <c r="AT10011" s="23">
        <f>IF(COUNT('Data Entry'!$AT$5:$AT$10004)=0,"",MIN('Data Entry'!$AT$5:$AT$10004))</f>
        <v/>
      </c>
      <c r="AU10011" s="23">
        <f>IF(COUNT('Data Entry'!$AU$5:$AU$10004)=0,"",MIN('Data Entry'!$AU$5:$AU$10004))</f>
        <v/>
      </c>
      <c r="AV10011" s="23">
        <f>IF(COUNT('Data Entry'!$AV$5:$AV$10004)=0,"",MIN('Data Entry'!$AV$5:$AV$10004))</f>
        <v/>
      </c>
      <c r="AW10011" s="23">
        <f>IF(COUNT('Data Entry'!$AW$5:$AW$10004)=0,"",MIN('Data Entry'!$AW$5:$AW$10004))</f>
        <v/>
      </c>
      <c r="AX10011" s="23">
        <f>IF(COUNT('Data Entry'!$AX$5:$AX$10004)=0,"",MIN('Data Entry'!$AX$5:$AX$10004))</f>
        <v/>
      </c>
      <c r="AY10011" s="23">
        <f>IF(COUNT('Data Entry'!$AY$5:$AY$10004)=0,"",MIN('Data Entry'!$AY$5:$AY$10004))</f>
        <v/>
      </c>
      <c r="AZ10011" s="23">
        <f>IF(COUNT('Data Entry'!$AZ$5:$AZ$10004)=0,"",MIN('Data Entry'!$AZ$5:$AZ$10004))</f>
        <v/>
      </c>
      <c r="BA10011" s="23">
        <f>IF(COUNT('Data Entry'!$BA$5:$BA$10004)=0,"",MIN('Data Entry'!$BA$5:$BA$10004))</f>
        <v/>
      </c>
      <c r="BB10011" s="23">
        <f>IF(COUNT('Data Entry'!$BB$5:$BB$10004)=0,"",MIN('Data Entry'!$BB$5:$BB$10004))</f>
        <v/>
      </c>
      <c r="BC10011" s="23">
        <f>IF(COUNT('Data Entry'!$BC$5:$BC$10004)=0,"",MIN('Data Entry'!$BC$5:$BC$10004))</f>
        <v/>
      </c>
      <c r="BD10011" s="23">
        <f>IF(COUNT('Data Entry'!$BD$5:$BD$10004)=0,"",MIN('Data Entry'!$BD$5:$BD$10004))</f>
        <v/>
      </c>
      <c r="BE10011" s="23">
        <f>IF(COUNT('Data Entry'!$BE$5:$BE$10004)=0,"",MIN('Data Entry'!$BE$5:$BE$10004))</f>
        <v/>
      </c>
    </row>
    <row r="10012">
      <c r="A10012" s="21" t="inlineStr">
        <is>
          <t>Max</t>
        </is>
      </c>
      <c r="H10012" s="23">
        <f>IF(COUNT('Data Entry'!$H$5:$H$10004)=0,"",MAX('Data Entry'!$H$5:$H$10004))</f>
        <v/>
      </c>
      <c r="I10012" s="23">
        <f>IF(COUNT('Data Entry'!$I$5:$I$10004)=0,"",MAX('Data Entry'!$I$5:$I$10004))</f>
        <v/>
      </c>
      <c r="J10012" s="23">
        <f>IF(COUNT('Data Entry'!$J$5:$J$10004)=0,"",MAX('Data Entry'!$J$5:$J$10004))</f>
        <v/>
      </c>
      <c r="K10012" s="23">
        <f>IF(COUNT('Data Entry'!$K$5:$K$10004)=0,"",MAX('Data Entry'!$K$5:$K$10004))</f>
        <v/>
      </c>
      <c r="L10012" s="23">
        <f>IF(COUNT('Data Entry'!$L$5:$L$10004)=0,"",MAX('Data Entry'!$L$5:$L$10004))</f>
        <v/>
      </c>
      <c r="M10012" s="23">
        <f>IF(COUNT('Data Entry'!$M$5:$M$10004)=0,"",MAX('Data Entry'!$M$5:$M$10004))</f>
        <v/>
      </c>
      <c r="N10012" s="23">
        <f>IF(COUNT('Data Entry'!$N$5:$N$10004)=0,"",MAX('Data Entry'!$N$5:$N$10004))</f>
        <v/>
      </c>
      <c r="O10012" s="23">
        <f>IF(COUNT('Data Entry'!$O$5:$O$10004)=0,"",MAX('Data Entry'!$O$5:$O$10004))</f>
        <v/>
      </c>
      <c r="P10012" s="23">
        <f>IF(COUNT('Data Entry'!$P$5:$P$10004)=0,"",MAX('Data Entry'!$P$5:$P$10004))</f>
        <v/>
      </c>
      <c r="Q10012" s="23">
        <f>IF(COUNT('Data Entry'!$Q$5:$Q$10004)=0,"",MAX('Data Entry'!$Q$5:$Q$10004))</f>
        <v/>
      </c>
      <c r="R10012" s="23">
        <f>IF(COUNT('Data Entry'!$R$5:$R$10004)=0,"",MAX('Data Entry'!$R$5:$R$10004))</f>
        <v/>
      </c>
      <c r="S10012" s="23">
        <f>IF(COUNT('Data Entry'!$S$5:$S$10004)=0,"",MAX('Data Entry'!$S$5:$S$10004))</f>
        <v/>
      </c>
      <c r="T10012" s="23">
        <f>IF(COUNT('Data Entry'!$T$5:$T$10004)=0,"",MAX('Data Entry'!$T$5:$T$10004))</f>
        <v/>
      </c>
      <c r="U10012" s="23">
        <f>IF(COUNT('Data Entry'!$U$5:$U$10004)=0,"",MAX('Data Entry'!$U$5:$U$10004))</f>
        <v/>
      </c>
      <c r="V10012" s="23">
        <f>IF(COUNT('Data Entry'!$V$5:$V$10004)=0,"",MAX('Data Entry'!$V$5:$V$10004))</f>
        <v/>
      </c>
      <c r="W10012" s="23">
        <f>IF(COUNT('Data Entry'!$W$5:$W$10004)=0,"",MAX('Data Entry'!$W$5:$W$10004))</f>
        <v/>
      </c>
      <c r="X10012" s="23">
        <f>IF(COUNT('Data Entry'!$X$5:$X$10004)=0,"",MAX('Data Entry'!$X$5:$X$10004))</f>
        <v/>
      </c>
      <c r="Y10012" s="23">
        <f>IF(COUNT('Data Entry'!$Y$5:$Y$10004)=0,"",MAX('Data Entry'!$Y$5:$Y$10004))</f>
        <v/>
      </c>
      <c r="Z10012" s="23">
        <f>IF(COUNT('Data Entry'!$Z$5:$Z$10004)=0,"",MAX('Data Entry'!$Z$5:$Z$10004))</f>
        <v/>
      </c>
      <c r="AA10012" s="23">
        <f>IF(COUNT('Data Entry'!$AA$5:$AA$10004)=0,"",MAX('Data Entry'!$AA$5:$AA$10004))</f>
        <v/>
      </c>
      <c r="AB10012" s="23">
        <f>IF(COUNT('Data Entry'!$AB$5:$AB$10004)=0,"",MAX('Data Entry'!$AB$5:$AB$10004))</f>
        <v/>
      </c>
      <c r="AC10012" s="23">
        <f>IF(COUNT('Data Entry'!$AC$5:$AC$10004)=0,"",MAX('Data Entry'!$AC$5:$AC$10004))</f>
        <v/>
      </c>
      <c r="AD10012" s="23">
        <f>IF(COUNT('Data Entry'!$AD$5:$AD$10004)=0,"",MAX('Data Entry'!$AD$5:$AD$10004))</f>
        <v/>
      </c>
      <c r="AE10012" s="23">
        <f>IF(COUNT('Data Entry'!$AE$5:$AE$10004)=0,"",MAX('Data Entry'!$AE$5:$AE$10004))</f>
        <v/>
      </c>
      <c r="AF10012" s="23">
        <f>IF(COUNT('Data Entry'!$AF$5:$AF$10004)=0,"",MAX('Data Entry'!$AF$5:$AF$10004))</f>
        <v/>
      </c>
      <c r="AG10012" s="23">
        <f>IF(COUNT('Data Entry'!$AG$5:$AG$10004)=0,"",MAX('Data Entry'!$AG$5:$AG$10004))</f>
        <v/>
      </c>
      <c r="AH10012" s="23">
        <f>IF(COUNT('Data Entry'!$AH$5:$AH$10004)=0,"",MAX('Data Entry'!$AH$5:$AH$10004))</f>
        <v/>
      </c>
      <c r="AI10012" s="23">
        <f>IF(COUNT('Data Entry'!$AI$5:$AI$10004)=0,"",MAX('Data Entry'!$AI$5:$AI$10004))</f>
        <v/>
      </c>
      <c r="AJ10012" s="23">
        <f>IF(COUNT('Data Entry'!$AJ$5:$AJ$10004)=0,"",MAX('Data Entry'!$AJ$5:$AJ$10004))</f>
        <v/>
      </c>
      <c r="AK10012" s="23">
        <f>IF(COUNT('Data Entry'!$AK$5:$AK$10004)=0,"",MAX('Data Entry'!$AK$5:$AK$10004))</f>
        <v/>
      </c>
      <c r="AL10012" s="23">
        <f>IF(COUNT('Data Entry'!$AL$5:$AL$10004)=0,"",MAX('Data Entry'!$AL$5:$AL$10004))</f>
        <v/>
      </c>
      <c r="AM10012" s="23">
        <f>IF(COUNT('Data Entry'!$AM$5:$AM$10004)=0,"",MAX('Data Entry'!$AM$5:$AM$10004))</f>
        <v/>
      </c>
      <c r="AN10012" s="23">
        <f>IF(COUNT('Data Entry'!$AN$5:$AN$10004)=0,"",MAX('Data Entry'!$AN$5:$AN$10004))</f>
        <v/>
      </c>
      <c r="AO10012" s="23">
        <f>IF(COUNT('Data Entry'!$AO$5:$AO$10004)=0,"",MAX('Data Entry'!$AO$5:$AO$10004))</f>
        <v/>
      </c>
      <c r="AP10012" s="23">
        <f>IF(COUNT('Data Entry'!$AP$5:$AP$10004)=0,"",MAX('Data Entry'!$AP$5:$AP$10004))</f>
        <v/>
      </c>
      <c r="AQ10012" s="23">
        <f>IF(COUNT('Data Entry'!$AQ$5:$AQ$10004)=0,"",MAX('Data Entry'!$AQ$5:$AQ$10004))</f>
        <v/>
      </c>
      <c r="AR10012" s="23">
        <f>IF(COUNT('Data Entry'!$AR$5:$AR$10004)=0,"",MAX('Data Entry'!$AR$5:$AR$10004))</f>
        <v/>
      </c>
      <c r="AS10012" s="23">
        <f>IF(COUNT('Data Entry'!$AS$5:$AS$10004)=0,"",MAX('Data Entry'!$AS$5:$AS$10004))</f>
        <v/>
      </c>
      <c r="AT10012" s="23">
        <f>IF(COUNT('Data Entry'!$AT$5:$AT$10004)=0,"",MAX('Data Entry'!$AT$5:$AT$10004))</f>
        <v/>
      </c>
      <c r="AU10012" s="23">
        <f>IF(COUNT('Data Entry'!$AU$5:$AU$10004)=0,"",MAX('Data Entry'!$AU$5:$AU$10004))</f>
        <v/>
      </c>
      <c r="AV10012" s="23">
        <f>IF(COUNT('Data Entry'!$AV$5:$AV$10004)=0,"",MAX('Data Entry'!$AV$5:$AV$10004))</f>
        <v/>
      </c>
      <c r="AW10012" s="23">
        <f>IF(COUNT('Data Entry'!$AW$5:$AW$10004)=0,"",MAX('Data Entry'!$AW$5:$AW$10004))</f>
        <v/>
      </c>
      <c r="AX10012" s="23">
        <f>IF(COUNT('Data Entry'!$AX$5:$AX$10004)=0,"",MAX('Data Entry'!$AX$5:$AX$10004))</f>
        <v/>
      </c>
      <c r="AY10012" s="23">
        <f>IF(COUNT('Data Entry'!$AY$5:$AY$10004)=0,"",MAX('Data Entry'!$AY$5:$AY$10004))</f>
        <v/>
      </c>
      <c r="AZ10012" s="23">
        <f>IF(COUNT('Data Entry'!$AZ$5:$AZ$10004)=0,"",MAX('Data Entry'!$AZ$5:$AZ$10004))</f>
        <v/>
      </c>
      <c r="BA10012" s="23">
        <f>IF(COUNT('Data Entry'!$BA$5:$BA$10004)=0,"",MAX('Data Entry'!$BA$5:$BA$10004))</f>
        <v/>
      </c>
      <c r="BB10012" s="23">
        <f>IF(COUNT('Data Entry'!$BB$5:$BB$10004)=0,"",MAX('Data Entry'!$BB$5:$BB$10004))</f>
        <v/>
      </c>
      <c r="BC10012" s="23">
        <f>IF(COUNT('Data Entry'!$BC$5:$BC$10004)=0,"",MAX('Data Entry'!$BC$5:$BC$10004))</f>
        <v/>
      </c>
      <c r="BD10012" s="23">
        <f>IF(COUNT('Data Entry'!$BD$5:$BD$10004)=0,"",MAX('Data Entry'!$BD$5:$BD$10004))</f>
        <v/>
      </c>
      <c r="BE10012" s="23">
        <f>IF(COUNT('Data Entry'!$BE$5:$BE$10004)=0,"",MAX('Data Entry'!$BE$5:$BE$10004))</f>
        <v/>
      </c>
    </row>
    <row r="10013">
      <c r="A10013" s="21" t="inlineStr">
        <is>
          <t>Range (Max-Min)</t>
        </is>
      </c>
      <c r="H10013" s="23">
        <f>IF(COUNT('Data Entry'!$H$5:$H$10004)=0,"",MAX('Data Entry'!$H$5:$H$10004)-MIN('Data Entry'!$H$5:$H$10004))</f>
        <v/>
      </c>
      <c r="I10013" s="23">
        <f>IF(COUNT('Data Entry'!$I$5:$I$10004)=0,"",MAX('Data Entry'!$I$5:$I$10004)-MIN('Data Entry'!$I$5:$I$10004))</f>
        <v/>
      </c>
      <c r="J10013" s="23">
        <f>IF(COUNT('Data Entry'!$J$5:$J$10004)=0,"",MAX('Data Entry'!$J$5:$J$10004)-MIN('Data Entry'!$J$5:$J$10004))</f>
        <v/>
      </c>
      <c r="K10013" s="23">
        <f>IF(COUNT('Data Entry'!$K$5:$K$10004)=0,"",MAX('Data Entry'!$K$5:$K$10004)-MIN('Data Entry'!$K$5:$K$10004))</f>
        <v/>
      </c>
      <c r="L10013" s="23">
        <f>IF(COUNT('Data Entry'!$L$5:$L$10004)=0,"",MAX('Data Entry'!$L$5:$L$10004)-MIN('Data Entry'!$L$5:$L$10004))</f>
        <v/>
      </c>
      <c r="M10013" s="23">
        <f>IF(COUNT('Data Entry'!$M$5:$M$10004)=0,"",MAX('Data Entry'!$M$5:$M$10004)-MIN('Data Entry'!$M$5:$M$10004))</f>
        <v/>
      </c>
      <c r="N10013" s="23">
        <f>IF(COUNT('Data Entry'!$N$5:$N$10004)=0,"",MAX('Data Entry'!$N$5:$N$10004)-MIN('Data Entry'!$N$5:$N$10004))</f>
        <v/>
      </c>
      <c r="O10013" s="23">
        <f>IF(COUNT('Data Entry'!$O$5:$O$10004)=0,"",MAX('Data Entry'!$O$5:$O$10004)-MIN('Data Entry'!$O$5:$O$10004))</f>
        <v/>
      </c>
      <c r="P10013" s="23">
        <f>IF(COUNT('Data Entry'!$P$5:$P$10004)=0,"",MAX('Data Entry'!$P$5:$P$10004)-MIN('Data Entry'!$P$5:$P$10004))</f>
        <v/>
      </c>
      <c r="Q10013" s="23">
        <f>IF(COUNT('Data Entry'!$Q$5:$Q$10004)=0,"",MAX('Data Entry'!$Q$5:$Q$10004)-MIN('Data Entry'!$Q$5:$Q$10004))</f>
        <v/>
      </c>
      <c r="R10013" s="23">
        <f>IF(COUNT('Data Entry'!$R$5:$R$10004)=0,"",MAX('Data Entry'!$R$5:$R$10004)-MIN('Data Entry'!$R$5:$R$10004))</f>
        <v/>
      </c>
      <c r="S10013" s="23">
        <f>IF(COUNT('Data Entry'!$S$5:$S$10004)=0,"",MAX('Data Entry'!$S$5:$S$10004)-MIN('Data Entry'!$S$5:$S$10004))</f>
        <v/>
      </c>
      <c r="T10013" s="23">
        <f>IF(COUNT('Data Entry'!$T$5:$T$10004)=0,"",MAX('Data Entry'!$T$5:$T$10004)-MIN('Data Entry'!$T$5:$T$10004))</f>
        <v/>
      </c>
      <c r="U10013" s="23">
        <f>IF(COUNT('Data Entry'!$U$5:$U$10004)=0,"",MAX('Data Entry'!$U$5:$U$10004)-MIN('Data Entry'!$U$5:$U$10004))</f>
        <v/>
      </c>
      <c r="V10013" s="23">
        <f>IF(COUNT('Data Entry'!$V$5:$V$10004)=0,"",MAX('Data Entry'!$V$5:$V$10004)-MIN('Data Entry'!$V$5:$V$10004))</f>
        <v/>
      </c>
      <c r="W10013" s="23">
        <f>IF(COUNT('Data Entry'!$W$5:$W$10004)=0,"",MAX('Data Entry'!$W$5:$W$10004)-MIN('Data Entry'!$W$5:$W$10004))</f>
        <v/>
      </c>
      <c r="X10013" s="23">
        <f>IF(COUNT('Data Entry'!$X$5:$X$10004)=0,"",MAX('Data Entry'!$X$5:$X$10004)-MIN('Data Entry'!$X$5:$X$10004))</f>
        <v/>
      </c>
      <c r="Y10013" s="23">
        <f>IF(COUNT('Data Entry'!$Y$5:$Y$10004)=0,"",MAX('Data Entry'!$Y$5:$Y$10004)-MIN('Data Entry'!$Y$5:$Y$10004))</f>
        <v/>
      </c>
      <c r="Z10013" s="23">
        <f>IF(COUNT('Data Entry'!$Z$5:$Z$10004)=0,"",MAX('Data Entry'!$Z$5:$Z$10004)-MIN('Data Entry'!$Z$5:$Z$10004))</f>
        <v/>
      </c>
      <c r="AA10013" s="23">
        <f>IF(COUNT('Data Entry'!$AA$5:$AA$10004)=0,"",MAX('Data Entry'!$AA$5:$AA$10004)-MIN('Data Entry'!$AA$5:$AA$10004))</f>
        <v/>
      </c>
      <c r="AB10013" s="23">
        <f>IF(COUNT('Data Entry'!$AB$5:$AB$10004)=0,"",MAX('Data Entry'!$AB$5:$AB$10004)-MIN('Data Entry'!$AB$5:$AB$10004))</f>
        <v/>
      </c>
      <c r="AC10013" s="23">
        <f>IF(COUNT('Data Entry'!$AC$5:$AC$10004)=0,"",MAX('Data Entry'!$AC$5:$AC$10004)-MIN('Data Entry'!$AC$5:$AC$10004))</f>
        <v/>
      </c>
      <c r="AD10013" s="23">
        <f>IF(COUNT('Data Entry'!$AD$5:$AD$10004)=0,"",MAX('Data Entry'!$AD$5:$AD$10004)-MIN('Data Entry'!$AD$5:$AD$10004))</f>
        <v/>
      </c>
      <c r="AE10013" s="23">
        <f>IF(COUNT('Data Entry'!$AE$5:$AE$10004)=0,"",MAX('Data Entry'!$AE$5:$AE$10004)-MIN('Data Entry'!$AE$5:$AE$10004))</f>
        <v/>
      </c>
      <c r="AF10013" s="23">
        <f>IF(COUNT('Data Entry'!$AF$5:$AF$10004)=0,"",MAX('Data Entry'!$AF$5:$AF$10004)-MIN('Data Entry'!$AF$5:$AF$10004))</f>
        <v/>
      </c>
      <c r="AG10013" s="23">
        <f>IF(COUNT('Data Entry'!$AG$5:$AG$10004)=0,"",MAX('Data Entry'!$AG$5:$AG$10004)-MIN('Data Entry'!$AG$5:$AG$10004))</f>
        <v/>
      </c>
      <c r="AH10013" s="23">
        <f>IF(COUNT('Data Entry'!$AH$5:$AH$10004)=0,"",MAX('Data Entry'!$AH$5:$AH$10004)-MIN('Data Entry'!$AH$5:$AH$10004))</f>
        <v/>
      </c>
      <c r="AI10013" s="23">
        <f>IF(COUNT('Data Entry'!$AI$5:$AI$10004)=0,"",MAX('Data Entry'!$AI$5:$AI$10004)-MIN('Data Entry'!$AI$5:$AI$10004))</f>
        <v/>
      </c>
      <c r="AJ10013" s="23">
        <f>IF(COUNT('Data Entry'!$AJ$5:$AJ$10004)=0,"",MAX('Data Entry'!$AJ$5:$AJ$10004)-MIN('Data Entry'!$AJ$5:$AJ$10004))</f>
        <v/>
      </c>
      <c r="AK10013" s="23">
        <f>IF(COUNT('Data Entry'!$AK$5:$AK$10004)=0,"",MAX('Data Entry'!$AK$5:$AK$10004)-MIN('Data Entry'!$AK$5:$AK$10004))</f>
        <v/>
      </c>
      <c r="AL10013" s="23">
        <f>IF(COUNT('Data Entry'!$AL$5:$AL$10004)=0,"",MAX('Data Entry'!$AL$5:$AL$10004)-MIN('Data Entry'!$AL$5:$AL$10004))</f>
        <v/>
      </c>
      <c r="AM10013" s="23">
        <f>IF(COUNT('Data Entry'!$AM$5:$AM$10004)=0,"",MAX('Data Entry'!$AM$5:$AM$10004)-MIN('Data Entry'!$AM$5:$AM$10004))</f>
        <v/>
      </c>
      <c r="AN10013" s="23">
        <f>IF(COUNT('Data Entry'!$AN$5:$AN$10004)=0,"",MAX('Data Entry'!$AN$5:$AN$10004)-MIN('Data Entry'!$AN$5:$AN$10004))</f>
        <v/>
      </c>
      <c r="AO10013" s="23">
        <f>IF(COUNT('Data Entry'!$AO$5:$AO$10004)=0,"",MAX('Data Entry'!$AO$5:$AO$10004)-MIN('Data Entry'!$AO$5:$AO$10004))</f>
        <v/>
      </c>
      <c r="AP10013" s="23">
        <f>IF(COUNT('Data Entry'!$AP$5:$AP$10004)=0,"",MAX('Data Entry'!$AP$5:$AP$10004)-MIN('Data Entry'!$AP$5:$AP$10004))</f>
        <v/>
      </c>
      <c r="AQ10013" s="23">
        <f>IF(COUNT('Data Entry'!$AQ$5:$AQ$10004)=0,"",MAX('Data Entry'!$AQ$5:$AQ$10004)-MIN('Data Entry'!$AQ$5:$AQ$10004))</f>
        <v/>
      </c>
      <c r="AR10013" s="23">
        <f>IF(COUNT('Data Entry'!$AR$5:$AR$10004)=0,"",MAX('Data Entry'!$AR$5:$AR$10004)-MIN('Data Entry'!$AR$5:$AR$10004))</f>
        <v/>
      </c>
      <c r="AS10013" s="23">
        <f>IF(COUNT('Data Entry'!$AS$5:$AS$10004)=0,"",MAX('Data Entry'!$AS$5:$AS$10004)-MIN('Data Entry'!$AS$5:$AS$10004))</f>
        <v/>
      </c>
      <c r="AT10013" s="23">
        <f>IF(COUNT('Data Entry'!$AT$5:$AT$10004)=0,"",MAX('Data Entry'!$AT$5:$AT$10004)-MIN('Data Entry'!$AT$5:$AT$10004))</f>
        <v/>
      </c>
      <c r="AU10013" s="23">
        <f>IF(COUNT('Data Entry'!$AU$5:$AU$10004)=0,"",MAX('Data Entry'!$AU$5:$AU$10004)-MIN('Data Entry'!$AU$5:$AU$10004))</f>
        <v/>
      </c>
      <c r="AV10013" s="23">
        <f>IF(COUNT('Data Entry'!$AV$5:$AV$10004)=0,"",MAX('Data Entry'!$AV$5:$AV$10004)-MIN('Data Entry'!$AV$5:$AV$10004))</f>
        <v/>
      </c>
      <c r="AW10013" s="23">
        <f>IF(COUNT('Data Entry'!$AW$5:$AW$10004)=0,"",MAX('Data Entry'!$AW$5:$AW$10004)-MIN('Data Entry'!$AW$5:$AW$10004))</f>
        <v/>
      </c>
      <c r="AX10013" s="23">
        <f>IF(COUNT('Data Entry'!$AX$5:$AX$10004)=0,"",MAX('Data Entry'!$AX$5:$AX$10004)-MIN('Data Entry'!$AX$5:$AX$10004))</f>
        <v/>
      </c>
      <c r="AY10013" s="23">
        <f>IF(COUNT('Data Entry'!$AY$5:$AY$10004)=0,"",MAX('Data Entry'!$AY$5:$AY$10004)-MIN('Data Entry'!$AY$5:$AY$10004))</f>
        <v/>
      </c>
      <c r="AZ10013" s="23">
        <f>IF(COUNT('Data Entry'!$AZ$5:$AZ$10004)=0,"",MAX('Data Entry'!$AZ$5:$AZ$10004)-MIN('Data Entry'!$AZ$5:$AZ$10004))</f>
        <v/>
      </c>
      <c r="BA10013" s="23">
        <f>IF(COUNT('Data Entry'!$BA$5:$BA$10004)=0,"",MAX('Data Entry'!$BA$5:$BA$10004)-MIN('Data Entry'!$BA$5:$BA$10004))</f>
        <v/>
      </c>
      <c r="BB10013" s="23">
        <f>IF(COUNT('Data Entry'!$BB$5:$BB$10004)=0,"",MAX('Data Entry'!$BB$5:$BB$10004)-MIN('Data Entry'!$BB$5:$BB$10004))</f>
        <v/>
      </c>
      <c r="BC10013" s="23">
        <f>IF(COUNT('Data Entry'!$BC$5:$BC$10004)=0,"",MAX('Data Entry'!$BC$5:$BC$10004)-MIN('Data Entry'!$BC$5:$BC$10004))</f>
        <v/>
      </c>
      <c r="BD10013" s="23">
        <f>IF(COUNT('Data Entry'!$BD$5:$BD$10004)=0,"",MAX('Data Entry'!$BD$5:$BD$10004)-MIN('Data Entry'!$BD$5:$BD$10004))</f>
        <v/>
      </c>
      <c r="BE10013" s="23">
        <f>IF(COUNT('Data Entry'!$BE$5:$BE$10004)=0,"",MAX('Data Entry'!$BE$5:$BE$10004)-MIN('Data Entry'!$BE$5:$BE$10004))</f>
        <v/>
      </c>
    </row>
    <row r="10014">
      <c r="A10014" s="21" t="inlineStr">
        <is>
          <t>Std Dev (overall)</t>
        </is>
      </c>
      <c r="H10014" s="23">
        <f>IF(COUNT('Data Entry'!$H$5:$H$10004)&lt;2,"",STDEV('Data Entry'!$H$5:$H$10004))</f>
        <v/>
      </c>
      <c r="I10014" s="23">
        <f>IF(COUNT('Data Entry'!$I$5:$I$10004)&lt;2,"",STDEV('Data Entry'!$I$5:$I$10004))</f>
        <v/>
      </c>
      <c r="J10014" s="23">
        <f>IF(COUNT('Data Entry'!$J$5:$J$10004)&lt;2,"",STDEV('Data Entry'!$J$5:$J$10004))</f>
        <v/>
      </c>
      <c r="K10014" s="23">
        <f>IF(COUNT('Data Entry'!$K$5:$K$10004)&lt;2,"",STDEV('Data Entry'!$K$5:$K$10004))</f>
        <v/>
      </c>
      <c r="L10014" s="23">
        <f>IF(COUNT('Data Entry'!$L$5:$L$10004)&lt;2,"",STDEV('Data Entry'!$L$5:$L$10004))</f>
        <v/>
      </c>
      <c r="M10014" s="23">
        <f>IF(COUNT('Data Entry'!$M$5:$M$10004)&lt;2,"",STDEV('Data Entry'!$M$5:$M$10004))</f>
        <v/>
      </c>
      <c r="N10014" s="23">
        <f>IF(COUNT('Data Entry'!$N$5:$N$10004)&lt;2,"",STDEV('Data Entry'!$N$5:$N$10004))</f>
        <v/>
      </c>
      <c r="O10014" s="23">
        <f>IF(COUNT('Data Entry'!$O$5:$O$10004)&lt;2,"",STDEV('Data Entry'!$O$5:$O$10004))</f>
        <v/>
      </c>
      <c r="P10014" s="23">
        <f>IF(COUNT('Data Entry'!$P$5:$P$10004)&lt;2,"",STDEV('Data Entry'!$P$5:$P$10004))</f>
        <v/>
      </c>
      <c r="Q10014" s="23">
        <f>IF(COUNT('Data Entry'!$Q$5:$Q$10004)&lt;2,"",STDEV('Data Entry'!$Q$5:$Q$10004))</f>
        <v/>
      </c>
      <c r="R10014" s="23">
        <f>IF(COUNT('Data Entry'!$R$5:$R$10004)&lt;2,"",STDEV('Data Entry'!$R$5:$R$10004))</f>
        <v/>
      </c>
      <c r="S10014" s="23">
        <f>IF(COUNT('Data Entry'!$S$5:$S$10004)&lt;2,"",STDEV('Data Entry'!$S$5:$S$10004))</f>
        <v/>
      </c>
      <c r="T10014" s="23">
        <f>IF(COUNT('Data Entry'!$T$5:$T$10004)&lt;2,"",STDEV('Data Entry'!$T$5:$T$10004))</f>
        <v/>
      </c>
      <c r="U10014" s="23">
        <f>IF(COUNT('Data Entry'!$U$5:$U$10004)&lt;2,"",STDEV('Data Entry'!$U$5:$U$10004))</f>
        <v/>
      </c>
      <c r="V10014" s="23">
        <f>IF(COUNT('Data Entry'!$V$5:$V$10004)&lt;2,"",STDEV('Data Entry'!$V$5:$V$10004))</f>
        <v/>
      </c>
      <c r="W10014" s="23">
        <f>IF(COUNT('Data Entry'!$W$5:$W$10004)&lt;2,"",STDEV('Data Entry'!$W$5:$W$10004))</f>
        <v/>
      </c>
      <c r="X10014" s="23">
        <f>IF(COUNT('Data Entry'!$X$5:$X$10004)&lt;2,"",STDEV('Data Entry'!$X$5:$X$10004))</f>
        <v/>
      </c>
      <c r="Y10014" s="23">
        <f>IF(COUNT('Data Entry'!$Y$5:$Y$10004)&lt;2,"",STDEV('Data Entry'!$Y$5:$Y$10004))</f>
        <v/>
      </c>
      <c r="Z10014" s="23">
        <f>IF(COUNT('Data Entry'!$Z$5:$Z$10004)&lt;2,"",STDEV('Data Entry'!$Z$5:$Z$10004))</f>
        <v/>
      </c>
      <c r="AA10014" s="23">
        <f>IF(COUNT('Data Entry'!$AA$5:$AA$10004)&lt;2,"",STDEV('Data Entry'!$AA$5:$AA$10004))</f>
        <v/>
      </c>
      <c r="AB10014" s="23">
        <f>IF(COUNT('Data Entry'!$AB$5:$AB$10004)&lt;2,"",STDEV('Data Entry'!$AB$5:$AB$10004))</f>
        <v/>
      </c>
      <c r="AC10014" s="23">
        <f>IF(COUNT('Data Entry'!$AC$5:$AC$10004)&lt;2,"",STDEV('Data Entry'!$AC$5:$AC$10004))</f>
        <v/>
      </c>
      <c r="AD10014" s="23">
        <f>IF(COUNT('Data Entry'!$AD$5:$AD$10004)&lt;2,"",STDEV('Data Entry'!$AD$5:$AD$10004))</f>
        <v/>
      </c>
      <c r="AE10014" s="23">
        <f>IF(COUNT('Data Entry'!$AE$5:$AE$10004)&lt;2,"",STDEV('Data Entry'!$AE$5:$AE$10004))</f>
        <v/>
      </c>
      <c r="AF10014" s="23">
        <f>IF(COUNT('Data Entry'!$AF$5:$AF$10004)&lt;2,"",STDEV('Data Entry'!$AF$5:$AF$10004))</f>
        <v/>
      </c>
      <c r="AG10014" s="23">
        <f>IF(COUNT('Data Entry'!$AG$5:$AG$10004)&lt;2,"",STDEV('Data Entry'!$AG$5:$AG$10004))</f>
        <v/>
      </c>
      <c r="AH10014" s="23">
        <f>IF(COUNT('Data Entry'!$AH$5:$AH$10004)&lt;2,"",STDEV('Data Entry'!$AH$5:$AH$10004))</f>
        <v/>
      </c>
      <c r="AI10014" s="23">
        <f>IF(COUNT('Data Entry'!$AI$5:$AI$10004)&lt;2,"",STDEV('Data Entry'!$AI$5:$AI$10004))</f>
        <v/>
      </c>
      <c r="AJ10014" s="23">
        <f>IF(COUNT('Data Entry'!$AJ$5:$AJ$10004)&lt;2,"",STDEV('Data Entry'!$AJ$5:$AJ$10004))</f>
        <v/>
      </c>
      <c r="AK10014" s="23">
        <f>IF(COUNT('Data Entry'!$AK$5:$AK$10004)&lt;2,"",STDEV('Data Entry'!$AK$5:$AK$10004))</f>
        <v/>
      </c>
      <c r="AL10014" s="23">
        <f>IF(COUNT('Data Entry'!$AL$5:$AL$10004)&lt;2,"",STDEV('Data Entry'!$AL$5:$AL$10004))</f>
        <v/>
      </c>
      <c r="AM10014" s="23">
        <f>IF(COUNT('Data Entry'!$AM$5:$AM$10004)&lt;2,"",STDEV('Data Entry'!$AM$5:$AM$10004))</f>
        <v/>
      </c>
      <c r="AN10014" s="23">
        <f>IF(COUNT('Data Entry'!$AN$5:$AN$10004)&lt;2,"",STDEV('Data Entry'!$AN$5:$AN$10004))</f>
        <v/>
      </c>
      <c r="AO10014" s="23">
        <f>IF(COUNT('Data Entry'!$AO$5:$AO$10004)&lt;2,"",STDEV('Data Entry'!$AO$5:$AO$10004))</f>
        <v/>
      </c>
      <c r="AP10014" s="23">
        <f>IF(COUNT('Data Entry'!$AP$5:$AP$10004)&lt;2,"",STDEV('Data Entry'!$AP$5:$AP$10004))</f>
        <v/>
      </c>
      <c r="AQ10014" s="23">
        <f>IF(COUNT('Data Entry'!$AQ$5:$AQ$10004)&lt;2,"",STDEV('Data Entry'!$AQ$5:$AQ$10004))</f>
        <v/>
      </c>
      <c r="AR10014" s="23">
        <f>IF(COUNT('Data Entry'!$AR$5:$AR$10004)&lt;2,"",STDEV('Data Entry'!$AR$5:$AR$10004))</f>
        <v/>
      </c>
      <c r="AS10014" s="23">
        <f>IF(COUNT('Data Entry'!$AS$5:$AS$10004)&lt;2,"",STDEV('Data Entry'!$AS$5:$AS$10004))</f>
        <v/>
      </c>
      <c r="AT10014" s="23">
        <f>IF(COUNT('Data Entry'!$AT$5:$AT$10004)&lt;2,"",STDEV('Data Entry'!$AT$5:$AT$10004))</f>
        <v/>
      </c>
      <c r="AU10014" s="23">
        <f>IF(COUNT('Data Entry'!$AU$5:$AU$10004)&lt;2,"",STDEV('Data Entry'!$AU$5:$AU$10004))</f>
        <v/>
      </c>
      <c r="AV10014" s="23">
        <f>IF(COUNT('Data Entry'!$AV$5:$AV$10004)&lt;2,"",STDEV('Data Entry'!$AV$5:$AV$10004))</f>
        <v/>
      </c>
      <c r="AW10014" s="23">
        <f>IF(COUNT('Data Entry'!$AW$5:$AW$10004)&lt;2,"",STDEV('Data Entry'!$AW$5:$AW$10004))</f>
        <v/>
      </c>
      <c r="AX10014" s="23">
        <f>IF(COUNT('Data Entry'!$AX$5:$AX$10004)&lt;2,"",STDEV('Data Entry'!$AX$5:$AX$10004))</f>
        <v/>
      </c>
      <c r="AY10014" s="23">
        <f>IF(COUNT('Data Entry'!$AY$5:$AY$10004)&lt;2,"",STDEV('Data Entry'!$AY$5:$AY$10004))</f>
        <v/>
      </c>
      <c r="AZ10014" s="23">
        <f>IF(COUNT('Data Entry'!$AZ$5:$AZ$10004)&lt;2,"",STDEV('Data Entry'!$AZ$5:$AZ$10004))</f>
        <v/>
      </c>
      <c r="BA10014" s="23">
        <f>IF(COUNT('Data Entry'!$BA$5:$BA$10004)&lt;2,"",STDEV('Data Entry'!$BA$5:$BA$10004))</f>
        <v/>
      </c>
      <c r="BB10014" s="23">
        <f>IF(COUNT('Data Entry'!$BB$5:$BB$10004)&lt;2,"",STDEV('Data Entry'!$BB$5:$BB$10004))</f>
        <v/>
      </c>
      <c r="BC10014" s="23">
        <f>IF(COUNT('Data Entry'!$BC$5:$BC$10004)&lt;2,"",STDEV('Data Entry'!$BC$5:$BC$10004))</f>
        <v/>
      </c>
      <c r="BD10014" s="23">
        <f>IF(COUNT('Data Entry'!$BD$5:$BD$10004)&lt;2,"",STDEV('Data Entry'!$BD$5:$BD$10004))</f>
        <v/>
      </c>
      <c r="BE10014" s="23">
        <f>IF(COUNT('Data Entry'!$BE$5:$BE$10004)&lt;2,"",STDEV('Data Entry'!$BE$5:$BE$10004))</f>
        <v/>
      </c>
    </row>
    <row r="10015">
      <c r="A10015" s="21" t="inlineStr">
        <is>
          <t>mR-bar</t>
        </is>
      </c>
      <c r="H10015" s="23">
        <f>IF(COUNT('Data Entry'!$H$5:$H$10004)&lt;2,"",SUMPRODUCT(('Data Entry'!$H$6:$H$10004&lt;&gt;"")*('Data Entry'!$H$5:$H$10003&lt;&gt;"")*ABS('Data Entry'!$H$6:$H$10004-'Data Entry'!$H$5:$H$10003))/MAX(1,SUMPRODUCT(('Data Entry'!$H$6:$H$10004&lt;&gt;"")*('Data Entry'!$H$5:$H$10003&lt;&gt;"")*1)))</f>
        <v/>
      </c>
      <c r="I10015" s="23">
        <f>IF(COUNT('Data Entry'!$I$5:$I$10004)&lt;2,"",SUMPRODUCT(('Data Entry'!$I$6:$I$10004&lt;&gt;"")*('Data Entry'!$I$5:$I$10003&lt;&gt;"")*ABS('Data Entry'!$I$6:$I$10004-'Data Entry'!$I$5:$I$10003))/MAX(1,SUMPRODUCT(('Data Entry'!$I$6:$I$10004&lt;&gt;"")*('Data Entry'!$I$5:$I$10003&lt;&gt;"")*1)))</f>
        <v/>
      </c>
      <c r="J10015" s="23">
        <f>IF(COUNT('Data Entry'!$J$5:$J$10004)&lt;2,"",SUMPRODUCT(('Data Entry'!$J$6:$J$10004&lt;&gt;"")*('Data Entry'!$J$5:$J$10003&lt;&gt;"")*ABS('Data Entry'!$J$6:$J$10004-'Data Entry'!$J$5:$J$10003))/MAX(1,SUMPRODUCT(('Data Entry'!$J$6:$J$10004&lt;&gt;"")*('Data Entry'!$J$5:$J$10003&lt;&gt;"")*1)))</f>
        <v/>
      </c>
      <c r="K10015" s="23">
        <f>IF(COUNT('Data Entry'!$K$5:$K$10004)&lt;2,"",SUMPRODUCT(('Data Entry'!$K$6:$K$10004&lt;&gt;"")*('Data Entry'!$K$5:$K$10003&lt;&gt;"")*ABS('Data Entry'!$K$6:$K$10004-'Data Entry'!$K$5:$K$10003))/MAX(1,SUMPRODUCT(('Data Entry'!$K$6:$K$10004&lt;&gt;"")*('Data Entry'!$K$5:$K$10003&lt;&gt;"")*1)))</f>
        <v/>
      </c>
      <c r="L10015" s="23">
        <f>IF(COUNT('Data Entry'!$L$5:$L$10004)&lt;2,"",SUMPRODUCT(('Data Entry'!$L$6:$L$10004&lt;&gt;"")*('Data Entry'!$L$5:$L$10003&lt;&gt;"")*ABS('Data Entry'!$L$6:$L$10004-'Data Entry'!$L$5:$L$10003))/MAX(1,SUMPRODUCT(('Data Entry'!$L$6:$L$10004&lt;&gt;"")*('Data Entry'!$L$5:$L$10003&lt;&gt;"")*1)))</f>
        <v/>
      </c>
      <c r="M10015" s="23">
        <f>IF(COUNT('Data Entry'!$M$5:$M$10004)&lt;2,"",SUMPRODUCT(('Data Entry'!$M$6:$M$10004&lt;&gt;"")*('Data Entry'!$M$5:$M$10003&lt;&gt;"")*ABS('Data Entry'!$M$6:$M$10004-'Data Entry'!$M$5:$M$10003))/MAX(1,SUMPRODUCT(('Data Entry'!$M$6:$M$10004&lt;&gt;"")*('Data Entry'!$M$5:$M$10003&lt;&gt;"")*1)))</f>
        <v/>
      </c>
      <c r="N10015" s="23">
        <f>IF(COUNT('Data Entry'!$N$5:$N$10004)&lt;2,"",SUMPRODUCT(('Data Entry'!$N$6:$N$10004&lt;&gt;"")*('Data Entry'!$N$5:$N$10003&lt;&gt;"")*ABS('Data Entry'!$N$6:$N$10004-'Data Entry'!$N$5:$N$10003))/MAX(1,SUMPRODUCT(('Data Entry'!$N$6:$N$10004&lt;&gt;"")*('Data Entry'!$N$5:$N$10003&lt;&gt;"")*1)))</f>
        <v/>
      </c>
      <c r="O10015" s="23">
        <f>IF(COUNT('Data Entry'!$O$5:$O$10004)&lt;2,"",SUMPRODUCT(('Data Entry'!$O$6:$O$10004&lt;&gt;"")*('Data Entry'!$O$5:$O$10003&lt;&gt;"")*ABS('Data Entry'!$O$6:$O$10004-'Data Entry'!$O$5:$O$10003))/MAX(1,SUMPRODUCT(('Data Entry'!$O$6:$O$10004&lt;&gt;"")*('Data Entry'!$O$5:$O$10003&lt;&gt;"")*1)))</f>
        <v/>
      </c>
      <c r="P10015" s="23">
        <f>IF(COUNT('Data Entry'!$P$5:$P$10004)&lt;2,"",SUMPRODUCT(('Data Entry'!$P$6:$P$10004&lt;&gt;"")*('Data Entry'!$P$5:$P$10003&lt;&gt;"")*ABS('Data Entry'!$P$6:$P$10004-'Data Entry'!$P$5:$P$10003))/MAX(1,SUMPRODUCT(('Data Entry'!$P$6:$P$10004&lt;&gt;"")*('Data Entry'!$P$5:$P$10003&lt;&gt;"")*1)))</f>
        <v/>
      </c>
      <c r="Q10015" s="23">
        <f>IF(COUNT('Data Entry'!$Q$5:$Q$10004)&lt;2,"",SUMPRODUCT(('Data Entry'!$Q$6:$Q$10004&lt;&gt;"")*('Data Entry'!$Q$5:$Q$10003&lt;&gt;"")*ABS('Data Entry'!$Q$6:$Q$10004-'Data Entry'!$Q$5:$Q$10003))/MAX(1,SUMPRODUCT(('Data Entry'!$Q$6:$Q$10004&lt;&gt;"")*('Data Entry'!$Q$5:$Q$10003&lt;&gt;"")*1)))</f>
        <v/>
      </c>
      <c r="R10015" s="23">
        <f>IF(COUNT('Data Entry'!$R$5:$R$10004)&lt;2,"",SUMPRODUCT(('Data Entry'!$R$6:$R$10004&lt;&gt;"")*('Data Entry'!$R$5:$R$10003&lt;&gt;"")*ABS('Data Entry'!$R$6:$R$10004-'Data Entry'!$R$5:$R$10003))/MAX(1,SUMPRODUCT(('Data Entry'!$R$6:$R$10004&lt;&gt;"")*('Data Entry'!$R$5:$R$10003&lt;&gt;"")*1)))</f>
        <v/>
      </c>
      <c r="S10015" s="23">
        <f>IF(COUNT('Data Entry'!$S$5:$S$10004)&lt;2,"",SUMPRODUCT(('Data Entry'!$S$6:$S$10004&lt;&gt;"")*('Data Entry'!$S$5:$S$10003&lt;&gt;"")*ABS('Data Entry'!$S$6:$S$10004-'Data Entry'!$S$5:$S$10003))/MAX(1,SUMPRODUCT(('Data Entry'!$S$6:$S$10004&lt;&gt;"")*('Data Entry'!$S$5:$S$10003&lt;&gt;"")*1)))</f>
        <v/>
      </c>
      <c r="T10015" s="23">
        <f>IF(COUNT('Data Entry'!$T$5:$T$10004)&lt;2,"",SUMPRODUCT(('Data Entry'!$T$6:$T$10004&lt;&gt;"")*('Data Entry'!$T$5:$T$10003&lt;&gt;"")*ABS('Data Entry'!$T$6:$T$10004-'Data Entry'!$T$5:$T$10003))/MAX(1,SUMPRODUCT(('Data Entry'!$T$6:$T$10004&lt;&gt;"")*('Data Entry'!$T$5:$T$10003&lt;&gt;"")*1)))</f>
        <v/>
      </c>
      <c r="U10015" s="23">
        <f>IF(COUNT('Data Entry'!$U$5:$U$10004)&lt;2,"",SUMPRODUCT(('Data Entry'!$U$6:$U$10004&lt;&gt;"")*('Data Entry'!$U$5:$U$10003&lt;&gt;"")*ABS('Data Entry'!$U$6:$U$10004-'Data Entry'!$U$5:$U$10003))/MAX(1,SUMPRODUCT(('Data Entry'!$U$6:$U$10004&lt;&gt;"")*('Data Entry'!$U$5:$U$10003&lt;&gt;"")*1)))</f>
        <v/>
      </c>
      <c r="V10015" s="23">
        <f>IF(COUNT('Data Entry'!$V$5:$V$10004)&lt;2,"",SUMPRODUCT(('Data Entry'!$V$6:$V$10004&lt;&gt;"")*('Data Entry'!$V$5:$V$10003&lt;&gt;"")*ABS('Data Entry'!$V$6:$V$10004-'Data Entry'!$V$5:$V$10003))/MAX(1,SUMPRODUCT(('Data Entry'!$V$6:$V$10004&lt;&gt;"")*('Data Entry'!$V$5:$V$10003&lt;&gt;"")*1)))</f>
        <v/>
      </c>
      <c r="W10015" s="23">
        <f>IF(COUNT('Data Entry'!$W$5:$W$10004)&lt;2,"",SUMPRODUCT(('Data Entry'!$W$6:$W$10004&lt;&gt;"")*('Data Entry'!$W$5:$W$10003&lt;&gt;"")*ABS('Data Entry'!$W$6:$W$10004-'Data Entry'!$W$5:$W$10003))/MAX(1,SUMPRODUCT(('Data Entry'!$W$6:$W$10004&lt;&gt;"")*('Data Entry'!$W$5:$W$10003&lt;&gt;"")*1)))</f>
        <v/>
      </c>
      <c r="X10015" s="23">
        <f>IF(COUNT('Data Entry'!$X$5:$X$10004)&lt;2,"",SUMPRODUCT(('Data Entry'!$X$6:$X$10004&lt;&gt;"")*('Data Entry'!$X$5:$X$10003&lt;&gt;"")*ABS('Data Entry'!$X$6:$X$10004-'Data Entry'!$X$5:$X$10003))/MAX(1,SUMPRODUCT(('Data Entry'!$X$6:$X$10004&lt;&gt;"")*('Data Entry'!$X$5:$X$10003&lt;&gt;"")*1)))</f>
        <v/>
      </c>
      <c r="Y10015" s="23">
        <f>IF(COUNT('Data Entry'!$Y$5:$Y$10004)&lt;2,"",SUMPRODUCT(('Data Entry'!$Y$6:$Y$10004&lt;&gt;"")*('Data Entry'!$Y$5:$Y$10003&lt;&gt;"")*ABS('Data Entry'!$Y$6:$Y$10004-'Data Entry'!$Y$5:$Y$10003))/MAX(1,SUMPRODUCT(('Data Entry'!$Y$6:$Y$10004&lt;&gt;"")*('Data Entry'!$Y$5:$Y$10003&lt;&gt;"")*1)))</f>
        <v/>
      </c>
      <c r="Z10015" s="23">
        <f>IF(COUNT('Data Entry'!$Z$5:$Z$10004)&lt;2,"",SUMPRODUCT(('Data Entry'!$Z$6:$Z$10004&lt;&gt;"")*('Data Entry'!$Z$5:$Z$10003&lt;&gt;"")*ABS('Data Entry'!$Z$6:$Z$10004-'Data Entry'!$Z$5:$Z$10003))/MAX(1,SUMPRODUCT(('Data Entry'!$Z$6:$Z$10004&lt;&gt;"")*('Data Entry'!$Z$5:$Z$10003&lt;&gt;"")*1)))</f>
        <v/>
      </c>
      <c r="AA10015" s="23">
        <f>IF(COUNT('Data Entry'!$AA$5:$AA$10004)&lt;2,"",SUMPRODUCT(('Data Entry'!$AA$6:$AA$10004&lt;&gt;"")*('Data Entry'!$AA$5:$AA$10003&lt;&gt;"")*ABS('Data Entry'!$AA$6:$AA$10004-'Data Entry'!$AA$5:$AA$10003))/MAX(1,SUMPRODUCT(('Data Entry'!$AA$6:$AA$10004&lt;&gt;"")*('Data Entry'!$AA$5:$AA$10003&lt;&gt;"")*1)))</f>
        <v/>
      </c>
      <c r="AB10015" s="23">
        <f>IF(COUNT('Data Entry'!$AB$5:$AB$10004)&lt;2,"",SUMPRODUCT(('Data Entry'!$AB$6:$AB$10004&lt;&gt;"")*('Data Entry'!$AB$5:$AB$10003&lt;&gt;"")*ABS('Data Entry'!$AB$6:$AB$10004-'Data Entry'!$AB$5:$AB$10003))/MAX(1,SUMPRODUCT(('Data Entry'!$AB$6:$AB$10004&lt;&gt;"")*('Data Entry'!$AB$5:$AB$10003&lt;&gt;"")*1)))</f>
        <v/>
      </c>
      <c r="AC10015" s="23">
        <f>IF(COUNT('Data Entry'!$AC$5:$AC$10004)&lt;2,"",SUMPRODUCT(('Data Entry'!$AC$6:$AC$10004&lt;&gt;"")*('Data Entry'!$AC$5:$AC$10003&lt;&gt;"")*ABS('Data Entry'!$AC$6:$AC$10004-'Data Entry'!$AC$5:$AC$10003))/MAX(1,SUMPRODUCT(('Data Entry'!$AC$6:$AC$10004&lt;&gt;"")*('Data Entry'!$AC$5:$AC$10003&lt;&gt;"")*1)))</f>
        <v/>
      </c>
      <c r="AD10015" s="23">
        <f>IF(COUNT('Data Entry'!$AD$5:$AD$10004)&lt;2,"",SUMPRODUCT(('Data Entry'!$AD$6:$AD$10004&lt;&gt;"")*('Data Entry'!$AD$5:$AD$10003&lt;&gt;"")*ABS('Data Entry'!$AD$6:$AD$10004-'Data Entry'!$AD$5:$AD$10003))/MAX(1,SUMPRODUCT(('Data Entry'!$AD$6:$AD$10004&lt;&gt;"")*('Data Entry'!$AD$5:$AD$10003&lt;&gt;"")*1)))</f>
        <v/>
      </c>
      <c r="AE10015" s="23">
        <f>IF(COUNT('Data Entry'!$AE$5:$AE$10004)&lt;2,"",SUMPRODUCT(('Data Entry'!$AE$6:$AE$10004&lt;&gt;"")*('Data Entry'!$AE$5:$AE$10003&lt;&gt;"")*ABS('Data Entry'!$AE$6:$AE$10004-'Data Entry'!$AE$5:$AE$10003))/MAX(1,SUMPRODUCT(('Data Entry'!$AE$6:$AE$10004&lt;&gt;"")*('Data Entry'!$AE$5:$AE$10003&lt;&gt;"")*1)))</f>
        <v/>
      </c>
      <c r="AF10015" s="23">
        <f>IF(COUNT('Data Entry'!$AF$5:$AF$10004)&lt;2,"",SUMPRODUCT(('Data Entry'!$AF$6:$AF$10004&lt;&gt;"")*('Data Entry'!$AF$5:$AF$10003&lt;&gt;"")*ABS('Data Entry'!$AF$6:$AF$10004-'Data Entry'!$AF$5:$AF$10003))/MAX(1,SUMPRODUCT(('Data Entry'!$AF$6:$AF$10004&lt;&gt;"")*('Data Entry'!$AF$5:$AF$10003&lt;&gt;"")*1)))</f>
        <v/>
      </c>
      <c r="AG10015" s="23">
        <f>IF(COUNT('Data Entry'!$AG$5:$AG$10004)&lt;2,"",SUMPRODUCT(('Data Entry'!$AG$6:$AG$10004&lt;&gt;"")*('Data Entry'!$AG$5:$AG$10003&lt;&gt;"")*ABS('Data Entry'!$AG$6:$AG$10004-'Data Entry'!$AG$5:$AG$10003))/MAX(1,SUMPRODUCT(('Data Entry'!$AG$6:$AG$10004&lt;&gt;"")*('Data Entry'!$AG$5:$AG$10003&lt;&gt;"")*1)))</f>
        <v/>
      </c>
      <c r="AH10015" s="23">
        <f>IF(COUNT('Data Entry'!$AH$5:$AH$10004)&lt;2,"",SUMPRODUCT(('Data Entry'!$AH$6:$AH$10004&lt;&gt;"")*('Data Entry'!$AH$5:$AH$10003&lt;&gt;"")*ABS('Data Entry'!$AH$6:$AH$10004-'Data Entry'!$AH$5:$AH$10003))/MAX(1,SUMPRODUCT(('Data Entry'!$AH$6:$AH$10004&lt;&gt;"")*('Data Entry'!$AH$5:$AH$10003&lt;&gt;"")*1)))</f>
        <v/>
      </c>
      <c r="AI10015" s="23">
        <f>IF(COUNT('Data Entry'!$AI$5:$AI$10004)&lt;2,"",SUMPRODUCT(('Data Entry'!$AI$6:$AI$10004&lt;&gt;"")*('Data Entry'!$AI$5:$AI$10003&lt;&gt;"")*ABS('Data Entry'!$AI$6:$AI$10004-'Data Entry'!$AI$5:$AI$10003))/MAX(1,SUMPRODUCT(('Data Entry'!$AI$6:$AI$10004&lt;&gt;"")*('Data Entry'!$AI$5:$AI$10003&lt;&gt;"")*1)))</f>
        <v/>
      </c>
      <c r="AJ10015" s="23">
        <f>IF(COUNT('Data Entry'!$AJ$5:$AJ$10004)&lt;2,"",SUMPRODUCT(('Data Entry'!$AJ$6:$AJ$10004&lt;&gt;"")*('Data Entry'!$AJ$5:$AJ$10003&lt;&gt;"")*ABS('Data Entry'!$AJ$6:$AJ$10004-'Data Entry'!$AJ$5:$AJ$10003))/MAX(1,SUMPRODUCT(('Data Entry'!$AJ$6:$AJ$10004&lt;&gt;"")*('Data Entry'!$AJ$5:$AJ$10003&lt;&gt;"")*1)))</f>
        <v/>
      </c>
      <c r="AK10015" s="23">
        <f>IF(COUNT('Data Entry'!$AK$5:$AK$10004)&lt;2,"",SUMPRODUCT(('Data Entry'!$AK$6:$AK$10004&lt;&gt;"")*('Data Entry'!$AK$5:$AK$10003&lt;&gt;"")*ABS('Data Entry'!$AK$6:$AK$10004-'Data Entry'!$AK$5:$AK$10003))/MAX(1,SUMPRODUCT(('Data Entry'!$AK$6:$AK$10004&lt;&gt;"")*('Data Entry'!$AK$5:$AK$10003&lt;&gt;"")*1)))</f>
        <v/>
      </c>
      <c r="AL10015" s="23">
        <f>IF(COUNT('Data Entry'!$AL$5:$AL$10004)&lt;2,"",SUMPRODUCT(('Data Entry'!$AL$6:$AL$10004&lt;&gt;"")*('Data Entry'!$AL$5:$AL$10003&lt;&gt;"")*ABS('Data Entry'!$AL$6:$AL$10004-'Data Entry'!$AL$5:$AL$10003))/MAX(1,SUMPRODUCT(('Data Entry'!$AL$6:$AL$10004&lt;&gt;"")*('Data Entry'!$AL$5:$AL$10003&lt;&gt;"")*1)))</f>
        <v/>
      </c>
      <c r="AM10015" s="23">
        <f>IF(COUNT('Data Entry'!$AM$5:$AM$10004)&lt;2,"",SUMPRODUCT(('Data Entry'!$AM$6:$AM$10004&lt;&gt;"")*('Data Entry'!$AM$5:$AM$10003&lt;&gt;"")*ABS('Data Entry'!$AM$6:$AM$10004-'Data Entry'!$AM$5:$AM$10003))/MAX(1,SUMPRODUCT(('Data Entry'!$AM$6:$AM$10004&lt;&gt;"")*('Data Entry'!$AM$5:$AM$10003&lt;&gt;"")*1)))</f>
        <v/>
      </c>
      <c r="AN10015" s="23">
        <f>IF(COUNT('Data Entry'!$AN$5:$AN$10004)&lt;2,"",SUMPRODUCT(('Data Entry'!$AN$6:$AN$10004&lt;&gt;"")*('Data Entry'!$AN$5:$AN$10003&lt;&gt;"")*ABS('Data Entry'!$AN$6:$AN$10004-'Data Entry'!$AN$5:$AN$10003))/MAX(1,SUMPRODUCT(('Data Entry'!$AN$6:$AN$10004&lt;&gt;"")*('Data Entry'!$AN$5:$AN$10003&lt;&gt;"")*1)))</f>
        <v/>
      </c>
      <c r="AO10015" s="23">
        <f>IF(COUNT('Data Entry'!$AO$5:$AO$10004)&lt;2,"",SUMPRODUCT(('Data Entry'!$AO$6:$AO$10004&lt;&gt;"")*('Data Entry'!$AO$5:$AO$10003&lt;&gt;"")*ABS('Data Entry'!$AO$6:$AO$10004-'Data Entry'!$AO$5:$AO$10003))/MAX(1,SUMPRODUCT(('Data Entry'!$AO$6:$AO$10004&lt;&gt;"")*('Data Entry'!$AO$5:$AO$10003&lt;&gt;"")*1)))</f>
        <v/>
      </c>
      <c r="AP10015" s="23">
        <f>IF(COUNT('Data Entry'!$AP$5:$AP$10004)&lt;2,"",SUMPRODUCT(('Data Entry'!$AP$6:$AP$10004&lt;&gt;"")*('Data Entry'!$AP$5:$AP$10003&lt;&gt;"")*ABS('Data Entry'!$AP$6:$AP$10004-'Data Entry'!$AP$5:$AP$10003))/MAX(1,SUMPRODUCT(('Data Entry'!$AP$6:$AP$10004&lt;&gt;"")*('Data Entry'!$AP$5:$AP$10003&lt;&gt;"")*1)))</f>
        <v/>
      </c>
      <c r="AQ10015" s="23">
        <f>IF(COUNT('Data Entry'!$AQ$5:$AQ$10004)&lt;2,"",SUMPRODUCT(('Data Entry'!$AQ$6:$AQ$10004&lt;&gt;"")*('Data Entry'!$AQ$5:$AQ$10003&lt;&gt;"")*ABS('Data Entry'!$AQ$6:$AQ$10004-'Data Entry'!$AQ$5:$AQ$10003))/MAX(1,SUMPRODUCT(('Data Entry'!$AQ$6:$AQ$10004&lt;&gt;"")*('Data Entry'!$AQ$5:$AQ$10003&lt;&gt;"")*1)))</f>
        <v/>
      </c>
      <c r="AR10015" s="23">
        <f>IF(COUNT('Data Entry'!$AR$5:$AR$10004)&lt;2,"",SUMPRODUCT(('Data Entry'!$AR$6:$AR$10004&lt;&gt;"")*('Data Entry'!$AR$5:$AR$10003&lt;&gt;"")*ABS('Data Entry'!$AR$6:$AR$10004-'Data Entry'!$AR$5:$AR$10003))/MAX(1,SUMPRODUCT(('Data Entry'!$AR$6:$AR$10004&lt;&gt;"")*('Data Entry'!$AR$5:$AR$10003&lt;&gt;"")*1)))</f>
        <v/>
      </c>
      <c r="AS10015" s="23">
        <f>IF(COUNT('Data Entry'!$AS$5:$AS$10004)&lt;2,"",SUMPRODUCT(('Data Entry'!$AS$6:$AS$10004&lt;&gt;"")*('Data Entry'!$AS$5:$AS$10003&lt;&gt;"")*ABS('Data Entry'!$AS$6:$AS$10004-'Data Entry'!$AS$5:$AS$10003))/MAX(1,SUMPRODUCT(('Data Entry'!$AS$6:$AS$10004&lt;&gt;"")*('Data Entry'!$AS$5:$AS$10003&lt;&gt;"")*1)))</f>
        <v/>
      </c>
      <c r="AT10015" s="23">
        <f>IF(COUNT('Data Entry'!$AT$5:$AT$10004)&lt;2,"",SUMPRODUCT(('Data Entry'!$AT$6:$AT$10004&lt;&gt;"")*('Data Entry'!$AT$5:$AT$10003&lt;&gt;"")*ABS('Data Entry'!$AT$6:$AT$10004-'Data Entry'!$AT$5:$AT$10003))/MAX(1,SUMPRODUCT(('Data Entry'!$AT$6:$AT$10004&lt;&gt;"")*('Data Entry'!$AT$5:$AT$10003&lt;&gt;"")*1)))</f>
        <v/>
      </c>
      <c r="AU10015" s="23">
        <f>IF(COUNT('Data Entry'!$AU$5:$AU$10004)&lt;2,"",SUMPRODUCT(('Data Entry'!$AU$6:$AU$10004&lt;&gt;"")*('Data Entry'!$AU$5:$AU$10003&lt;&gt;"")*ABS('Data Entry'!$AU$6:$AU$10004-'Data Entry'!$AU$5:$AU$10003))/MAX(1,SUMPRODUCT(('Data Entry'!$AU$6:$AU$10004&lt;&gt;"")*('Data Entry'!$AU$5:$AU$10003&lt;&gt;"")*1)))</f>
        <v/>
      </c>
      <c r="AV10015" s="23">
        <f>IF(COUNT('Data Entry'!$AV$5:$AV$10004)&lt;2,"",SUMPRODUCT(('Data Entry'!$AV$6:$AV$10004&lt;&gt;"")*('Data Entry'!$AV$5:$AV$10003&lt;&gt;"")*ABS('Data Entry'!$AV$6:$AV$10004-'Data Entry'!$AV$5:$AV$10003))/MAX(1,SUMPRODUCT(('Data Entry'!$AV$6:$AV$10004&lt;&gt;"")*('Data Entry'!$AV$5:$AV$10003&lt;&gt;"")*1)))</f>
        <v/>
      </c>
      <c r="AW10015" s="23">
        <f>IF(COUNT('Data Entry'!$AW$5:$AW$10004)&lt;2,"",SUMPRODUCT(('Data Entry'!$AW$6:$AW$10004&lt;&gt;"")*('Data Entry'!$AW$5:$AW$10003&lt;&gt;"")*ABS('Data Entry'!$AW$6:$AW$10004-'Data Entry'!$AW$5:$AW$10003))/MAX(1,SUMPRODUCT(('Data Entry'!$AW$6:$AW$10004&lt;&gt;"")*('Data Entry'!$AW$5:$AW$10003&lt;&gt;"")*1)))</f>
        <v/>
      </c>
      <c r="AX10015" s="23">
        <f>IF(COUNT('Data Entry'!$AX$5:$AX$10004)&lt;2,"",SUMPRODUCT(('Data Entry'!$AX$6:$AX$10004&lt;&gt;"")*('Data Entry'!$AX$5:$AX$10003&lt;&gt;"")*ABS('Data Entry'!$AX$6:$AX$10004-'Data Entry'!$AX$5:$AX$10003))/MAX(1,SUMPRODUCT(('Data Entry'!$AX$6:$AX$10004&lt;&gt;"")*('Data Entry'!$AX$5:$AX$10003&lt;&gt;"")*1)))</f>
        <v/>
      </c>
      <c r="AY10015" s="23">
        <f>IF(COUNT('Data Entry'!$AY$5:$AY$10004)&lt;2,"",SUMPRODUCT(('Data Entry'!$AY$6:$AY$10004&lt;&gt;"")*('Data Entry'!$AY$5:$AY$10003&lt;&gt;"")*ABS('Data Entry'!$AY$6:$AY$10004-'Data Entry'!$AY$5:$AY$10003))/MAX(1,SUMPRODUCT(('Data Entry'!$AY$6:$AY$10004&lt;&gt;"")*('Data Entry'!$AY$5:$AY$10003&lt;&gt;"")*1)))</f>
        <v/>
      </c>
      <c r="AZ10015" s="23">
        <f>IF(COUNT('Data Entry'!$AZ$5:$AZ$10004)&lt;2,"",SUMPRODUCT(('Data Entry'!$AZ$6:$AZ$10004&lt;&gt;"")*('Data Entry'!$AZ$5:$AZ$10003&lt;&gt;"")*ABS('Data Entry'!$AZ$6:$AZ$10004-'Data Entry'!$AZ$5:$AZ$10003))/MAX(1,SUMPRODUCT(('Data Entry'!$AZ$6:$AZ$10004&lt;&gt;"")*('Data Entry'!$AZ$5:$AZ$10003&lt;&gt;"")*1)))</f>
        <v/>
      </c>
      <c r="BA10015" s="23">
        <f>IF(COUNT('Data Entry'!$BA$5:$BA$10004)&lt;2,"",SUMPRODUCT(('Data Entry'!$BA$6:$BA$10004&lt;&gt;"")*('Data Entry'!$BA$5:$BA$10003&lt;&gt;"")*ABS('Data Entry'!$BA$6:$BA$10004-'Data Entry'!$BA$5:$BA$10003))/MAX(1,SUMPRODUCT(('Data Entry'!$BA$6:$BA$10004&lt;&gt;"")*('Data Entry'!$BA$5:$BA$10003&lt;&gt;"")*1)))</f>
        <v/>
      </c>
      <c r="BB10015" s="23">
        <f>IF(COUNT('Data Entry'!$BB$5:$BB$10004)&lt;2,"",SUMPRODUCT(('Data Entry'!$BB$6:$BB$10004&lt;&gt;"")*('Data Entry'!$BB$5:$BB$10003&lt;&gt;"")*ABS('Data Entry'!$BB$6:$BB$10004-'Data Entry'!$BB$5:$BB$10003))/MAX(1,SUMPRODUCT(('Data Entry'!$BB$6:$BB$10004&lt;&gt;"")*('Data Entry'!$BB$5:$BB$10003&lt;&gt;"")*1)))</f>
        <v/>
      </c>
      <c r="BC10015" s="23">
        <f>IF(COUNT('Data Entry'!$BC$5:$BC$10004)&lt;2,"",SUMPRODUCT(('Data Entry'!$BC$6:$BC$10004&lt;&gt;"")*('Data Entry'!$BC$5:$BC$10003&lt;&gt;"")*ABS('Data Entry'!$BC$6:$BC$10004-'Data Entry'!$BC$5:$BC$10003))/MAX(1,SUMPRODUCT(('Data Entry'!$BC$6:$BC$10004&lt;&gt;"")*('Data Entry'!$BC$5:$BC$10003&lt;&gt;"")*1)))</f>
        <v/>
      </c>
      <c r="BD10015" s="23">
        <f>IF(COUNT('Data Entry'!$BD$5:$BD$10004)&lt;2,"",SUMPRODUCT(('Data Entry'!$BD$6:$BD$10004&lt;&gt;"")*('Data Entry'!$BD$5:$BD$10003&lt;&gt;"")*ABS('Data Entry'!$BD$6:$BD$10004-'Data Entry'!$BD$5:$BD$10003))/MAX(1,SUMPRODUCT(('Data Entry'!$BD$6:$BD$10004&lt;&gt;"")*('Data Entry'!$BD$5:$BD$10003&lt;&gt;"")*1)))</f>
        <v/>
      </c>
      <c r="BE10015" s="23">
        <f>IF(COUNT('Data Entry'!$BE$5:$BE$10004)&lt;2,"",SUMPRODUCT(('Data Entry'!$BE$6:$BE$10004&lt;&gt;"")*('Data Entry'!$BE$5:$BE$10003&lt;&gt;"")*ABS('Data Entry'!$BE$6:$BE$10004-'Data Entry'!$BE$5:$BE$10003))/MAX(1,SUMPRODUCT(('Data Entry'!$BE$6:$BE$10004&lt;&gt;"")*('Data Entry'!$BE$5:$BE$10003&lt;&gt;"")*1)))</f>
        <v/>
      </c>
    </row>
    <row r="10016">
      <c r="A10016" s="21" t="inlineStr">
        <is>
          <t>Sigma (within)</t>
        </is>
      </c>
      <c r="H10016" s="23">
        <f>IF(H10015="","",H10015/1.128)</f>
        <v/>
      </c>
      <c r="I10016" s="23">
        <f>IF(I10015="","",I10015/1.128)</f>
        <v/>
      </c>
      <c r="J10016" s="23">
        <f>IF(J10015="","",J10015/1.128)</f>
        <v/>
      </c>
      <c r="K10016" s="23">
        <f>IF(K10015="","",K10015/1.128)</f>
        <v/>
      </c>
      <c r="L10016" s="23">
        <f>IF(L10015="","",L10015/1.128)</f>
        <v/>
      </c>
      <c r="M10016" s="23">
        <f>IF(M10015="","",M10015/1.128)</f>
        <v/>
      </c>
      <c r="N10016" s="23">
        <f>IF(N10015="","",N10015/1.128)</f>
        <v/>
      </c>
      <c r="O10016" s="23">
        <f>IF(O10015="","",O10015/1.128)</f>
        <v/>
      </c>
      <c r="P10016" s="23">
        <f>IF(P10015="","",P10015/1.128)</f>
        <v/>
      </c>
      <c r="Q10016" s="23">
        <f>IF(Q10015="","",Q10015/1.128)</f>
        <v/>
      </c>
      <c r="R10016" s="23">
        <f>IF(R10015="","",R10015/1.128)</f>
        <v/>
      </c>
      <c r="S10016" s="23">
        <f>IF(S10015="","",S10015/1.128)</f>
        <v/>
      </c>
      <c r="T10016" s="23">
        <f>IF(T10015="","",T10015/1.128)</f>
        <v/>
      </c>
      <c r="U10016" s="23">
        <f>IF(U10015="","",U10015/1.128)</f>
        <v/>
      </c>
      <c r="V10016" s="23">
        <f>IF(V10015="","",V10015/1.128)</f>
        <v/>
      </c>
      <c r="W10016" s="23">
        <f>IF(W10015="","",W10015/1.128)</f>
        <v/>
      </c>
      <c r="X10016" s="23">
        <f>IF(X10015="","",X10015/1.128)</f>
        <v/>
      </c>
      <c r="Y10016" s="23">
        <f>IF(Y10015="","",Y10015/1.128)</f>
        <v/>
      </c>
      <c r="Z10016" s="23">
        <f>IF(Z10015="","",Z10015/1.128)</f>
        <v/>
      </c>
      <c r="AA10016" s="23">
        <f>IF(AA10015="","",AA10015/1.128)</f>
        <v/>
      </c>
      <c r="AB10016" s="23">
        <f>IF(AB10015="","",AB10015/1.128)</f>
        <v/>
      </c>
      <c r="AC10016" s="23">
        <f>IF(AC10015="","",AC10015/1.128)</f>
        <v/>
      </c>
      <c r="AD10016" s="23">
        <f>IF(AD10015="","",AD10015/1.128)</f>
        <v/>
      </c>
      <c r="AE10016" s="23">
        <f>IF(AE10015="","",AE10015/1.128)</f>
        <v/>
      </c>
      <c r="AF10016" s="23">
        <f>IF(AF10015="","",AF10015/1.128)</f>
        <v/>
      </c>
      <c r="AG10016" s="23">
        <f>IF(AG10015="","",AG10015/1.128)</f>
        <v/>
      </c>
      <c r="AH10016" s="23">
        <f>IF(AH10015="","",AH10015/1.128)</f>
        <v/>
      </c>
      <c r="AI10016" s="23">
        <f>IF(AI10015="","",AI10015/1.128)</f>
        <v/>
      </c>
      <c r="AJ10016" s="23">
        <f>IF(AJ10015="","",AJ10015/1.128)</f>
        <v/>
      </c>
      <c r="AK10016" s="23">
        <f>IF(AK10015="","",AK10015/1.128)</f>
        <v/>
      </c>
      <c r="AL10016" s="23">
        <f>IF(AL10015="","",AL10015/1.128)</f>
        <v/>
      </c>
      <c r="AM10016" s="23">
        <f>IF(AM10015="","",AM10015/1.128)</f>
        <v/>
      </c>
      <c r="AN10016" s="23">
        <f>IF(AN10015="","",AN10015/1.128)</f>
        <v/>
      </c>
      <c r="AO10016" s="23">
        <f>IF(AO10015="","",AO10015/1.128)</f>
        <v/>
      </c>
      <c r="AP10016" s="23">
        <f>IF(AP10015="","",AP10015/1.128)</f>
        <v/>
      </c>
      <c r="AQ10016" s="23">
        <f>IF(AQ10015="","",AQ10015/1.128)</f>
        <v/>
      </c>
      <c r="AR10016" s="23">
        <f>IF(AR10015="","",AR10015/1.128)</f>
        <v/>
      </c>
      <c r="AS10016" s="23">
        <f>IF(AS10015="","",AS10015/1.128)</f>
        <v/>
      </c>
      <c r="AT10016" s="23">
        <f>IF(AT10015="","",AT10015/1.128)</f>
        <v/>
      </c>
      <c r="AU10016" s="23">
        <f>IF(AU10015="","",AU10015/1.128)</f>
        <v/>
      </c>
      <c r="AV10016" s="23">
        <f>IF(AV10015="","",AV10015/1.128)</f>
        <v/>
      </c>
      <c r="AW10016" s="23">
        <f>IF(AW10015="","",AW10015/1.128)</f>
        <v/>
      </c>
      <c r="AX10016" s="23">
        <f>IF(AX10015="","",AX10015/1.128)</f>
        <v/>
      </c>
      <c r="AY10016" s="23">
        <f>IF(AY10015="","",AY10015/1.128)</f>
        <v/>
      </c>
      <c r="AZ10016" s="23">
        <f>IF(AZ10015="","",AZ10015/1.128)</f>
        <v/>
      </c>
      <c r="BA10016" s="23">
        <f>IF(BA10015="","",BA10015/1.128)</f>
        <v/>
      </c>
      <c r="BB10016" s="23">
        <f>IF(BB10015="","",BB10015/1.128)</f>
        <v/>
      </c>
      <c r="BC10016" s="23">
        <f>IF(BC10015="","",BC10015/1.128)</f>
        <v/>
      </c>
      <c r="BD10016" s="23">
        <f>IF(BD10015="","",BD10015/1.128)</f>
        <v/>
      </c>
      <c r="BE10016" s="23">
        <f>IF(BE10015="","",BE10015/1.128)</f>
        <v/>
      </c>
    </row>
    <row r="10017">
      <c r="A10017" s="21" t="inlineStr">
        <is>
          <t>UCL (X)</t>
        </is>
      </c>
      <c r="H10017" s="23">
        <f>IF(H10015="","",H10010+2.66*H10015)</f>
        <v/>
      </c>
      <c r="I10017" s="23">
        <f>IF(I10015="","",I10010+2.66*I10015)</f>
        <v/>
      </c>
      <c r="J10017" s="23">
        <f>IF(J10015="","",J10010+2.66*J10015)</f>
        <v/>
      </c>
      <c r="K10017" s="23">
        <f>IF(K10015="","",K10010+2.66*K10015)</f>
        <v/>
      </c>
      <c r="L10017" s="23">
        <f>IF(L10015="","",L10010+2.66*L10015)</f>
        <v/>
      </c>
      <c r="M10017" s="23">
        <f>IF(M10015="","",M10010+2.66*M10015)</f>
        <v/>
      </c>
      <c r="N10017" s="23">
        <f>IF(N10015="","",N10010+2.66*N10015)</f>
        <v/>
      </c>
      <c r="O10017" s="23">
        <f>IF(O10015="","",O10010+2.66*O10015)</f>
        <v/>
      </c>
      <c r="P10017" s="23">
        <f>IF(P10015="","",P10010+2.66*P10015)</f>
        <v/>
      </c>
      <c r="Q10017" s="23">
        <f>IF(Q10015="","",Q10010+2.66*Q10015)</f>
        <v/>
      </c>
      <c r="R10017" s="23">
        <f>IF(R10015="","",R10010+2.66*R10015)</f>
        <v/>
      </c>
      <c r="S10017" s="23">
        <f>IF(S10015="","",S10010+2.66*S10015)</f>
        <v/>
      </c>
      <c r="T10017" s="23">
        <f>IF(T10015="","",T10010+2.66*T10015)</f>
        <v/>
      </c>
      <c r="U10017" s="23">
        <f>IF(U10015="","",U10010+2.66*U10015)</f>
        <v/>
      </c>
      <c r="V10017" s="23">
        <f>IF(V10015="","",V10010+2.66*V10015)</f>
        <v/>
      </c>
      <c r="W10017" s="23">
        <f>IF(W10015="","",W10010+2.66*W10015)</f>
        <v/>
      </c>
      <c r="X10017" s="23">
        <f>IF(X10015="","",X10010+2.66*X10015)</f>
        <v/>
      </c>
      <c r="Y10017" s="23">
        <f>IF(Y10015="","",Y10010+2.66*Y10015)</f>
        <v/>
      </c>
      <c r="Z10017" s="23">
        <f>IF(Z10015="","",Z10010+2.66*Z10015)</f>
        <v/>
      </c>
      <c r="AA10017" s="23">
        <f>IF(AA10015="","",AA10010+2.66*AA10015)</f>
        <v/>
      </c>
      <c r="AB10017" s="23">
        <f>IF(AB10015="","",AB10010+2.66*AB10015)</f>
        <v/>
      </c>
      <c r="AC10017" s="23">
        <f>IF(AC10015="","",AC10010+2.66*AC10015)</f>
        <v/>
      </c>
      <c r="AD10017" s="23">
        <f>IF(AD10015="","",AD10010+2.66*AD10015)</f>
        <v/>
      </c>
      <c r="AE10017" s="23">
        <f>IF(AE10015="","",AE10010+2.66*AE10015)</f>
        <v/>
      </c>
      <c r="AF10017" s="23">
        <f>IF(AF10015="","",AF10010+2.66*AF10015)</f>
        <v/>
      </c>
      <c r="AG10017" s="23">
        <f>IF(AG10015="","",AG10010+2.66*AG10015)</f>
        <v/>
      </c>
      <c r="AH10017" s="23">
        <f>IF(AH10015="","",AH10010+2.66*AH10015)</f>
        <v/>
      </c>
      <c r="AI10017" s="23">
        <f>IF(AI10015="","",AI10010+2.66*AI10015)</f>
        <v/>
      </c>
      <c r="AJ10017" s="23">
        <f>IF(AJ10015="","",AJ10010+2.66*AJ10015)</f>
        <v/>
      </c>
      <c r="AK10017" s="23">
        <f>IF(AK10015="","",AK10010+2.66*AK10015)</f>
        <v/>
      </c>
      <c r="AL10017" s="23">
        <f>IF(AL10015="","",AL10010+2.66*AL10015)</f>
        <v/>
      </c>
      <c r="AM10017" s="23">
        <f>IF(AM10015="","",AM10010+2.66*AM10015)</f>
        <v/>
      </c>
      <c r="AN10017" s="23">
        <f>IF(AN10015="","",AN10010+2.66*AN10015)</f>
        <v/>
      </c>
      <c r="AO10017" s="23">
        <f>IF(AO10015="","",AO10010+2.66*AO10015)</f>
        <v/>
      </c>
      <c r="AP10017" s="23">
        <f>IF(AP10015="","",AP10010+2.66*AP10015)</f>
        <v/>
      </c>
      <c r="AQ10017" s="23">
        <f>IF(AQ10015="","",AQ10010+2.66*AQ10015)</f>
        <v/>
      </c>
      <c r="AR10017" s="23">
        <f>IF(AR10015="","",AR10010+2.66*AR10015)</f>
        <v/>
      </c>
      <c r="AS10017" s="23">
        <f>IF(AS10015="","",AS10010+2.66*AS10015)</f>
        <v/>
      </c>
      <c r="AT10017" s="23">
        <f>IF(AT10015="","",AT10010+2.66*AT10015)</f>
        <v/>
      </c>
      <c r="AU10017" s="23">
        <f>IF(AU10015="","",AU10010+2.66*AU10015)</f>
        <v/>
      </c>
      <c r="AV10017" s="23">
        <f>IF(AV10015="","",AV10010+2.66*AV10015)</f>
        <v/>
      </c>
      <c r="AW10017" s="23">
        <f>IF(AW10015="","",AW10010+2.66*AW10015)</f>
        <v/>
      </c>
      <c r="AX10017" s="23">
        <f>IF(AX10015="","",AX10010+2.66*AX10015)</f>
        <v/>
      </c>
      <c r="AY10017" s="23">
        <f>IF(AY10015="","",AY10010+2.66*AY10015)</f>
        <v/>
      </c>
      <c r="AZ10017" s="23">
        <f>IF(AZ10015="","",AZ10010+2.66*AZ10015)</f>
        <v/>
      </c>
      <c r="BA10017" s="23">
        <f>IF(BA10015="","",BA10010+2.66*BA10015)</f>
        <v/>
      </c>
      <c r="BB10017" s="23">
        <f>IF(BB10015="","",BB10010+2.66*BB10015)</f>
        <v/>
      </c>
      <c r="BC10017" s="23">
        <f>IF(BC10015="","",BC10010+2.66*BC10015)</f>
        <v/>
      </c>
      <c r="BD10017" s="23">
        <f>IF(BD10015="","",BD10010+2.66*BD10015)</f>
        <v/>
      </c>
      <c r="BE10017" s="23">
        <f>IF(BE10015="","",BE10010+2.66*BE10015)</f>
        <v/>
      </c>
    </row>
    <row r="10018">
      <c r="A10018" s="21" t="inlineStr">
        <is>
          <t>CL (X)</t>
        </is>
      </c>
      <c r="H10018" s="23">
        <f>IF(H10010="","",H10010)</f>
        <v/>
      </c>
      <c r="I10018" s="23">
        <f>IF(I10010="","",I10010)</f>
        <v/>
      </c>
      <c r="J10018" s="23">
        <f>IF(J10010="","",J10010)</f>
        <v/>
      </c>
      <c r="K10018" s="23">
        <f>IF(K10010="","",K10010)</f>
        <v/>
      </c>
      <c r="L10018" s="23">
        <f>IF(L10010="","",L10010)</f>
        <v/>
      </c>
      <c r="M10018" s="23">
        <f>IF(M10010="","",M10010)</f>
        <v/>
      </c>
      <c r="N10018" s="23">
        <f>IF(N10010="","",N10010)</f>
        <v/>
      </c>
      <c r="O10018" s="23">
        <f>IF(O10010="","",O10010)</f>
        <v/>
      </c>
      <c r="P10018" s="23">
        <f>IF(P10010="","",P10010)</f>
        <v/>
      </c>
      <c r="Q10018" s="23">
        <f>IF(Q10010="","",Q10010)</f>
        <v/>
      </c>
      <c r="R10018" s="23">
        <f>IF(R10010="","",R10010)</f>
        <v/>
      </c>
      <c r="S10018" s="23">
        <f>IF(S10010="","",S10010)</f>
        <v/>
      </c>
      <c r="T10018" s="23">
        <f>IF(T10010="","",T10010)</f>
        <v/>
      </c>
      <c r="U10018" s="23">
        <f>IF(U10010="","",U10010)</f>
        <v/>
      </c>
      <c r="V10018" s="23">
        <f>IF(V10010="","",V10010)</f>
        <v/>
      </c>
      <c r="W10018" s="23">
        <f>IF(W10010="","",W10010)</f>
        <v/>
      </c>
      <c r="X10018" s="23">
        <f>IF(X10010="","",X10010)</f>
        <v/>
      </c>
      <c r="Y10018" s="23">
        <f>IF(Y10010="","",Y10010)</f>
        <v/>
      </c>
      <c r="Z10018" s="23">
        <f>IF(Z10010="","",Z10010)</f>
        <v/>
      </c>
      <c r="AA10018" s="23">
        <f>IF(AA10010="","",AA10010)</f>
        <v/>
      </c>
      <c r="AB10018" s="23">
        <f>IF(AB10010="","",AB10010)</f>
        <v/>
      </c>
      <c r="AC10018" s="23">
        <f>IF(AC10010="","",AC10010)</f>
        <v/>
      </c>
      <c r="AD10018" s="23">
        <f>IF(AD10010="","",AD10010)</f>
        <v/>
      </c>
      <c r="AE10018" s="23">
        <f>IF(AE10010="","",AE10010)</f>
        <v/>
      </c>
      <c r="AF10018" s="23">
        <f>IF(AF10010="","",AF10010)</f>
        <v/>
      </c>
      <c r="AG10018" s="23">
        <f>IF(AG10010="","",AG10010)</f>
        <v/>
      </c>
      <c r="AH10018" s="23">
        <f>IF(AH10010="","",AH10010)</f>
        <v/>
      </c>
      <c r="AI10018" s="23">
        <f>IF(AI10010="","",AI10010)</f>
        <v/>
      </c>
      <c r="AJ10018" s="23">
        <f>IF(AJ10010="","",AJ10010)</f>
        <v/>
      </c>
      <c r="AK10018" s="23">
        <f>IF(AK10010="","",AK10010)</f>
        <v/>
      </c>
      <c r="AL10018" s="23">
        <f>IF(AL10010="","",AL10010)</f>
        <v/>
      </c>
      <c r="AM10018" s="23">
        <f>IF(AM10010="","",AM10010)</f>
        <v/>
      </c>
      <c r="AN10018" s="23">
        <f>IF(AN10010="","",AN10010)</f>
        <v/>
      </c>
      <c r="AO10018" s="23">
        <f>IF(AO10010="","",AO10010)</f>
        <v/>
      </c>
      <c r="AP10018" s="23">
        <f>IF(AP10010="","",AP10010)</f>
        <v/>
      </c>
      <c r="AQ10018" s="23">
        <f>IF(AQ10010="","",AQ10010)</f>
        <v/>
      </c>
      <c r="AR10018" s="23">
        <f>IF(AR10010="","",AR10010)</f>
        <v/>
      </c>
      <c r="AS10018" s="23">
        <f>IF(AS10010="","",AS10010)</f>
        <v/>
      </c>
      <c r="AT10018" s="23">
        <f>IF(AT10010="","",AT10010)</f>
        <v/>
      </c>
      <c r="AU10018" s="23">
        <f>IF(AU10010="","",AU10010)</f>
        <v/>
      </c>
      <c r="AV10018" s="23">
        <f>IF(AV10010="","",AV10010)</f>
        <v/>
      </c>
      <c r="AW10018" s="23">
        <f>IF(AW10010="","",AW10010)</f>
        <v/>
      </c>
      <c r="AX10018" s="23">
        <f>IF(AX10010="","",AX10010)</f>
        <v/>
      </c>
      <c r="AY10018" s="23">
        <f>IF(AY10010="","",AY10010)</f>
        <v/>
      </c>
      <c r="AZ10018" s="23">
        <f>IF(AZ10010="","",AZ10010)</f>
        <v/>
      </c>
      <c r="BA10018" s="23">
        <f>IF(BA10010="","",BA10010)</f>
        <v/>
      </c>
      <c r="BB10018" s="23">
        <f>IF(BB10010="","",BB10010)</f>
        <v/>
      </c>
      <c r="BC10018" s="23">
        <f>IF(BC10010="","",BC10010)</f>
        <v/>
      </c>
      <c r="BD10018" s="23">
        <f>IF(BD10010="","",BD10010)</f>
        <v/>
      </c>
      <c r="BE10018" s="23">
        <f>IF(BE10010="","",BE10010)</f>
        <v/>
      </c>
    </row>
    <row r="10019">
      <c r="A10019" s="21" t="inlineStr">
        <is>
          <t>LCL (X)</t>
        </is>
      </c>
      <c r="H10019" s="23">
        <f>IF(H10015="","",H10010-2.66*H10015)</f>
        <v/>
      </c>
      <c r="I10019" s="23">
        <f>IF(I10015="","",I10010-2.66*I10015)</f>
        <v/>
      </c>
      <c r="J10019" s="23">
        <f>IF(J10015="","",J10010-2.66*J10015)</f>
        <v/>
      </c>
      <c r="K10019" s="23">
        <f>IF(K10015="","",K10010-2.66*K10015)</f>
        <v/>
      </c>
      <c r="L10019" s="23">
        <f>IF(L10015="","",L10010-2.66*L10015)</f>
        <v/>
      </c>
      <c r="M10019" s="23">
        <f>IF(M10015="","",M10010-2.66*M10015)</f>
        <v/>
      </c>
      <c r="N10019" s="23">
        <f>IF(N10015="","",N10010-2.66*N10015)</f>
        <v/>
      </c>
      <c r="O10019" s="23">
        <f>IF(O10015="","",O10010-2.66*O10015)</f>
        <v/>
      </c>
      <c r="P10019" s="23">
        <f>IF(P10015="","",P10010-2.66*P10015)</f>
        <v/>
      </c>
      <c r="Q10019" s="23">
        <f>IF(Q10015="","",Q10010-2.66*Q10015)</f>
        <v/>
      </c>
      <c r="R10019" s="23">
        <f>IF(R10015="","",R10010-2.66*R10015)</f>
        <v/>
      </c>
      <c r="S10019" s="23">
        <f>IF(S10015="","",S10010-2.66*S10015)</f>
        <v/>
      </c>
      <c r="T10019" s="23">
        <f>IF(T10015="","",T10010-2.66*T10015)</f>
        <v/>
      </c>
      <c r="U10019" s="23">
        <f>IF(U10015="","",U10010-2.66*U10015)</f>
        <v/>
      </c>
      <c r="V10019" s="23">
        <f>IF(V10015="","",V10010-2.66*V10015)</f>
        <v/>
      </c>
      <c r="W10019" s="23">
        <f>IF(W10015="","",W10010-2.66*W10015)</f>
        <v/>
      </c>
      <c r="X10019" s="23">
        <f>IF(X10015="","",X10010-2.66*X10015)</f>
        <v/>
      </c>
      <c r="Y10019" s="23">
        <f>IF(Y10015="","",Y10010-2.66*Y10015)</f>
        <v/>
      </c>
      <c r="Z10019" s="23">
        <f>IF(Z10015="","",Z10010-2.66*Z10015)</f>
        <v/>
      </c>
      <c r="AA10019" s="23">
        <f>IF(AA10015="","",AA10010-2.66*AA10015)</f>
        <v/>
      </c>
      <c r="AB10019" s="23">
        <f>IF(AB10015="","",AB10010-2.66*AB10015)</f>
        <v/>
      </c>
      <c r="AC10019" s="23">
        <f>IF(AC10015="","",AC10010-2.66*AC10015)</f>
        <v/>
      </c>
      <c r="AD10019" s="23">
        <f>IF(AD10015="","",AD10010-2.66*AD10015)</f>
        <v/>
      </c>
      <c r="AE10019" s="23">
        <f>IF(AE10015="","",AE10010-2.66*AE10015)</f>
        <v/>
      </c>
      <c r="AF10019" s="23">
        <f>IF(AF10015="","",AF10010-2.66*AF10015)</f>
        <v/>
      </c>
      <c r="AG10019" s="23">
        <f>IF(AG10015="","",AG10010-2.66*AG10015)</f>
        <v/>
      </c>
      <c r="AH10019" s="23">
        <f>IF(AH10015="","",AH10010-2.66*AH10015)</f>
        <v/>
      </c>
      <c r="AI10019" s="23">
        <f>IF(AI10015="","",AI10010-2.66*AI10015)</f>
        <v/>
      </c>
      <c r="AJ10019" s="23">
        <f>IF(AJ10015="","",AJ10010-2.66*AJ10015)</f>
        <v/>
      </c>
      <c r="AK10019" s="23">
        <f>IF(AK10015="","",AK10010-2.66*AK10015)</f>
        <v/>
      </c>
      <c r="AL10019" s="23">
        <f>IF(AL10015="","",AL10010-2.66*AL10015)</f>
        <v/>
      </c>
      <c r="AM10019" s="23">
        <f>IF(AM10015="","",AM10010-2.66*AM10015)</f>
        <v/>
      </c>
      <c r="AN10019" s="23">
        <f>IF(AN10015="","",AN10010-2.66*AN10015)</f>
        <v/>
      </c>
      <c r="AO10019" s="23">
        <f>IF(AO10015="","",AO10010-2.66*AO10015)</f>
        <v/>
      </c>
      <c r="AP10019" s="23">
        <f>IF(AP10015="","",AP10010-2.66*AP10015)</f>
        <v/>
      </c>
      <c r="AQ10019" s="23">
        <f>IF(AQ10015="","",AQ10010-2.66*AQ10015)</f>
        <v/>
      </c>
      <c r="AR10019" s="23">
        <f>IF(AR10015="","",AR10010-2.66*AR10015)</f>
        <v/>
      </c>
      <c r="AS10019" s="23">
        <f>IF(AS10015="","",AS10010-2.66*AS10015)</f>
        <v/>
      </c>
      <c r="AT10019" s="23">
        <f>IF(AT10015="","",AT10010-2.66*AT10015)</f>
        <v/>
      </c>
      <c r="AU10019" s="23">
        <f>IF(AU10015="","",AU10010-2.66*AU10015)</f>
        <v/>
      </c>
      <c r="AV10019" s="23">
        <f>IF(AV10015="","",AV10010-2.66*AV10015)</f>
        <v/>
      </c>
      <c r="AW10019" s="23">
        <f>IF(AW10015="","",AW10010-2.66*AW10015)</f>
        <v/>
      </c>
      <c r="AX10019" s="23">
        <f>IF(AX10015="","",AX10010-2.66*AX10015)</f>
        <v/>
      </c>
      <c r="AY10019" s="23">
        <f>IF(AY10015="","",AY10010-2.66*AY10015)</f>
        <v/>
      </c>
      <c r="AZ10019" s="23">
        <f>IF(AZ10015="","",AZ10010-2.66*AZ10015)</f>
        <v/>
      </c>
      <c r="BA10019" s="23">
        <f>IF(BA10015="","",BA10010-2.66*BA10015)</f>
        <v/>
      </c>
      <c r="BB10019" s="23">
        <f>IF(BB10015="","",BB10010-2.66*BB10015)</f>
        <v/>
      </c>
      <c r="BC10019" s="23">
        <f>IF(BC10015="","",BC10010-2.66*BC10015)</f>
        <v/>
      </c>
      <c r="BD10019" s="23">
        <f>IF(BD10015="","",BD10010-2.66*BD10015)</f>
        <v/>
      </c>
      <c r="BE10019" s="23">
        <f>IF(BE10015="","",BE10010-2.66*BE10015)</f>
        <v/>
      </c>
    </row>
    <row r="10020">
      <c r="A10020" s="21" t="inlineStr">
        <is>
          <t>UCL (mR)</t>
        </is>
      </c>
      <c r="H10020" s="23">
        <f>IF(H10015="","",3.267*H10015)</f>
        <v/>
      </c>
      <c r="I10020" s="23">
        <f>IF(I10015="","",3.267*I10015)</f>
        <v/>
      </c>
      <c r="J10020" s="23">
        <f>IF(J10015="","",3.267*J10015)</f>
        <v/>
      </c>
      <c r="K10020" s="23">
        <f>IF(K10015="","",3.267*K10015)</f>
        <v/>
      </c>
      <c r="L10020" s="23">
        <f>IF(L10015="","",3.267*L10015)</f>
        <v/>
      </c>
      <c r="M10020" s="23">
        <f>IF(M10015="","",3.267*M10015)</f>
        <v/>
      </c>
      <c r="N10020" s="23">
        <f>IF(N10015="","",3.267*N10015)</f>
        <v/>
      </c>
      <c r="O10020" s="23">
        <f>IF(O10015="","",3.267*O10015)</f>
        <v/>
      </c>
      <c r="P10020" s="23">
        <f>IF(P10015="","",3.267*P10015)</f>
        <v/>
      </c>
      <c r="Q10020" s="23">
        <f>IF(Q10015="","",3.267*Q10015)</f>
        <v/>
      </c>
      <c r="R10020" s="23">
        <f>IF(R10015="","",3.267*R10015)</f>
        <v/>
      </c>
      <c r="S10020" s="23">
        <f>IF(S10015="","",3.267*S10015)</f>
        <v/>
      </c>
      <c r="T10020" s="23">
        <f>IF(T10015="","",3.267*T10015)</f>
        <v/>
      </c>
      <c r="U10020" s="23">
        <f>IF(U10015="","",3.267*U10015)</f>
        <v/>
      </c>
      <c r="V10020" s="23">
        <f>IF(V10015="","",3.267*V10015)</f>
        <v/>
      </c>
      <c r="W10020" s="23">
        <f>IF(W10015="","",3.267*W10015)</f>
        <v/>
      </c>
      <c r="X10020" s="23">
        <f>IF(X10015="","",3.267*X10015)</f>
        <v/>
      </c>
      <c r="Y10020" s="23">
        <f>IF(Y10015="","",3.267*Y10015)</f>
        <v/>
      </c>
      <c r="Z10020" s="23">
        <f>IF(Z10015="","",3.267*Z10015)</f>
        <v/>
      </c>
      <c r="AA10020" s="23">
        <f>IF(AA10015="","",3.267*AA10015)</f>
        <v/>
      </c>
      <c r="AB10020" s="23">
        <f>IF(AB10015="","",3.267*AB10015)</f>
        <v/>
      </c>
      <c r="AC10020" s="23">
        <f>IF(AC10015="","",3.267*AC10015)</f>
        <v/>
      </c>
      <c r="AD10020" s="23">
        <f>IF(AD10015="","",3.267*AD10015)</f>
        <v/>
      </c>
      <c r="AE10020" s="23">
        <f>IF(AE10015="","",3.267*AE10015)</f>
        <v/>
      </c>
      <c r="AF10020" s="23">
        <f>IF(AF10015="","",3.267*AF10015)</f>
        <v/>
      </c>
      <c r="AG10020" s="23">
        <f>IF(AG10015="","",3.267*AG10015)</f>
        <v/>
      </c>
      <c r="AH10020" s="23">
        <f>IF(AH10015="","",3.267*AH10015)</f>
        <v/>
      </c>
      <c r="AI10020" s="23">
        <f>IF(AI10015="","",3.267*AI10015)</f>
        <v/>
      </c>
      <c r="AJ10020" s="23">
        <f>IF(AJ10015="","",3.267*AJ10015)</f>
        <v/>
      </c>
      <c r="AK10020" s="23">
        <f>IF(AK10015="","",3.267*AK10015)</f>
        <v/>
      </c>
      <c r="AL10020" s="23">
        <f>IF(AL10015="","",3.267*AL10015)</f>
        <v/>
      </c>
      <c r="AM10020" s="23">
        <f>IF(AM10015="","",3.267*AM10015)</f>
        <v/>
      </c>
      <c r="AN10020" s="23">
        <f>IF(AN10015="","",3.267*AN10015)</f>
        <v/>
      </c>
      <c r="AO10020" s="23">
        <f>IF(AO10015="","",3.267*AO10015)</f>
        <v/>
      </c>
      <c r="AP10020" s="23">
        <f>IF(AP10015="","",3.267*AP10015)</f>
        <v/>
      </c>
      <c r="AQ10020" s="23">
        <f>IF(AQ10015="","",3.267*AQ10015)</f>
        <v/>
      </c>
      <c r="AR10020" s="23">
        <f>IF(AR10015="","",3.267*AR10015)</f>
        <v/>
      </c>
      <c r="AS10020" s="23">
        <f>IF(AS10015="","",3.267*AS10015)</f>
        <v/>
      </c>
      <c r="AT10020" s="23">
        <f>IF(AT10015="","",3.267*AT10015)</f>
        <v/>
      </c>
      <c r="AU10020" s="23">
        <f>IF(AU10015="","",3.267*AU10015)</f>
        <v/>
      </c>
      <c r="AV10020" s="23">
        <f>IF(AV10015="","",3.267*AV10015)</f>
        <v/>
      </c>
      <c r="AW10020" s="23">
        <f>IF(AW10015="","",3.267*AW10015)</f>
        <v/>
      </c>
      <c r="AX10020" s="23">
        <f>IF(AX10015="","",3.267*AX10015)</f>
        <v/>
      </c>
      <c r="AY10020" s="23">
        <f>IF(AY10015="","",3.267*AY10015)</f>
        <v/>
      </c>
      <c r="AZ10020" s="23">
        <f>IF(AZ10015="","",3.267*AZ10015)</f>
        <v/>
      </c>
      <c r="BA10020" s="23">
        <f>IF(BA10015="","",3.267*BA10015)</f>
        <v/>
      </c>
      <c r="BB10020" s="23">
        <f>IF(BB10015="","",3.267*BB10015)</f>
        <v/>
      </c>
      <c r="BC10020" s="23">
        <f>IF(BC10015="","",3.267*BC10015)</f>
        <v/>
      </c>
      <c r="BD10020" s="23">
        <f>IF(BD10015="","",3.267*BD10015)</f>
        <v/>
      </c>
      <c r="BE10020" s="23">
        <f>IF(BE10015="","",3.267*BE10015)</f>
        <v/>
      </c>
    </row>
    <row r="10021">
      <c r="A10021" s="21" t="inlineStr">
        <is>
          <t>Median</t>
        </is>
      </c>
      <c r="H10021" s="23">
        <f>IF(COUNT('Data Entry'!$H$5:$H$10004)=0,"",MEDIAN('Data Entry'!$H$5:$H$10004))</f>
        <v/>
      </c>
      <c r="I10021" s="23">
        <f>IF(COUNT('Data Entry'!$I$5:$I$10004)=0,"",MEDIAN('Data Entry'!$I$5:$I$10004))</f>
        <v/>
      </c>
      <c r="J10021" s="23">
        <f>IF(COUNT('Data Entry'!$J$5:$J$10004)=0,"",MEDIAN('Data Entry'!$J$5:$J$10004))</f>
        <v/>
      </c>
      <c r="K10021" s="23">
        <f>IF(COUNT('Data Entry'!$K$5:$K$10004)=0,"",MEDIAN('Data Entry'!$K$5:$K$10004))</f>
        <v/>
      </c>
      <c r="L10021" s="23">
        <f>IF(COUNT('Data Entry'!$L$5:$L$10004)=0,"",MEDIAN('Data Entry'!$L$5:$L$10004))</f>
        <v/>
      </c>
      <c r="M10021" s="23">
        <f>IF(COUNT('Data Entry'!$M$5:$M$10004)=0,"",MEDIAN('Data Entry'!$M$5:$M$10004))</f>
        <v/>
      </c>
      <c r="N10021" s="23">
        <f>IF(COUNT('Data Entry'!$N$5:$N$10004)=0,"",MEDIAN('Data Entry'!$N$5:$N$10004))</f>
        <v/>
      </c>
      <c r="O10021" s="23">
        <f>IF(COUNT('Data Entry'!$O$5:$O$10004)=0,"",MEDIAN('Data Entry'!$O$5:$O$10004))</f>
        <v/>
      </c>
      <c r="P10021" s="23">
        <f>IF(COUNT('Data Entry'!$P$5:$P$10004)=0,"",MEDIAN('Data Entry'!$P$5:$P$10004))</f>
        <v/>
      </c>
      <c r="Q10021" s="23">
        <f>IF(COUNT('Data Entry'!$Q$5:$Q$10004)=0,"",MEDIAN('Data Entry'!$Q$5:$Q$10004))</f>
        <v/>
      </c>
      <c r="R10021" s="23">
        <f>IF(COUNT('Data Entry'!$R$5:$R$10004)=0,"",MEDIAN('Data Entry'!$R$5:$R$10004))</f>
        <v/>
      </c>
      <c r="S10021" s="23">
        <f>IF(COUNT('Data Entry'!$S$5:$S$10004)=0,"",MEDIAN('Data Entry'!$S$5:$S$10004))</f>
        <v/>
      </c>
      <c r="T10021" s="23">
        <f>IF(COUNT('Data Entry'!$T$5:$T$10004)=0,"",MEDIAN('Data Entry'!$T$5:$T$10004))</f>
        <v/>
      </c>
      <c r="U10021" s="23">
        <f>IF(COUNT('Data Entry'!$U$5:$U$10004)=0,"",MEDIAN('Data Entry'!$U$5:$U$10004))</f>
        <v/>
      </c>
      <c r="V10021" s="23">
        <f>IF(COUNT('Data Entry'!$V$5:$V$10004)=0,"",MEDIAN('Data Entry'!$V$5:$V$10004))</f>
        <v/>
      </c>
      <c r="W10021" s="23">
        <f>IF(COUNT('Data Entry'!$W$5:$W$10004)=0,"",MEDIAN('Data Entry'!$W$5:$W$10004))</f>
        <v/>
      </c>
      <c r="X10021" s="23">
        <f>IF(COUNT('Data Entry'!$X$5:$X$10004)=0,"",MEDIAN('Data Entry'!$X$5:$X$10004))</f>
        <v/>
      </c>
      <c r="Y10021" s="23">
        <f>IF(COUNT('Data Entry'!$Y$5:$Y$10004)=0,"",MEDIAN('Data Entry'!$Y$5:$Y$10004))</f>
        <v/>
      </c>
      <c r="Z10021" s="23">
        <f>IF(COUNT('Data Entry'!$Z$5:$Z$10004)=0,"",MEDIAN('Data Entry'!$Z$5:$Z$10004))</f>
        <v/>
      </c>
      <c r="AA10021" s="23">
        <f>IF(COUNT('Data Entry'!$AA$5:$AA$10004)=0,"",MEDIAN('Data Entry'!$AA$5:$AA$10004))</f>
        <v/>
      </c>
      <c r="AB10021" s="23">
        <f>IF(COUNT('Data Entry'!$AB$5:$AB$10004)=0,"",MEDIAN('Data Entry'!$AB$5:$AB$10004))</f>
        <v/>
      </c>
      <c r="AC10021" s="23">
        <f>IF(COUNT('Data Entry'!$AC$5:$AC$10004)=0,"",MEDIAN('Data Entry'!$AC$5:$AC$10004))</f>
        <v/>
      </c>
      <c r="AD10021" s="23">
        <f>IF(COUNT('Data Entry'!$AD$5:$AD$10004)=0,"",MEDIAN('Data Entry'!$AD$5:$AD$10004))</f>
        <v/>
      </c>
      <c r="AE10021" s="23">
        <f>IF(COUNT('Data Entry'!$AE$5:$AE$10004)=0,"",MEDIAN('Data Entry'!$AE$5:$AE$10004))</f>
        <v/>
      </c>
      <c r="AF10021" s="23">
        <f>IF(COUNT('Data Entry'!$AF$5:$AF$10004)=0,"",MEDIAN('Data Entry'!$AF$5:$AF$10004))</f>
        <v/>
      </c>
      <c r="AG10021" s="23">
        <f>IF(COUNT('Data Entry'!$AG$5:$AG$10004)=0,"",MEDIAN('Data Entry'!$AG$5:$AG$10004))</f>
        <v/>
      </c>
      <c r="AH10021" s="23">
        <f>IF(COUNT('Data Entry'!$AH$5:$AH$10004)=0,"",MEDIAN('Data Entry'!$AH$5:$AH$10004))</f>
        <v/>
      </c>
      <c r="AI10021" s="23">
        <f>IF(COUNT('Data Entry'!$AI$5:$AI$10004)=0,"",MEDIAN('Data Entry'!$AI$5:$AI$10004))</f>
        <v/>
      </c>
      <c r="AJ10021" s="23">
        <f>IF(COUNT('Data Entry'!$AJ$5:$AJ$10004)=0,"",MEDIAN('Data Entry'!$AJ$5:$AJ$10004))</f>
        <v/>
      </c>
      <c r="AK10021" s="23">
        <f>IF(COUNT('Data Entry'!$AK$5:$AK$10004)=0,"",MEDIAN('Data Entry'!$AK$5:$AK$10004))</f>
        <v/>
      </c>
      <c r="AL10021" s="23">
        <f>IF(COUNT('Data Entry'!$AL$5:$AL$10004)=0,"",MEDIAN('Data Entry'!$AL$5:$AL$10004))</f>
        <v/>
      </c>
      <c r="AM10021" s="23">
        <f>IF(COUNT('Data Entry'!$AM$5:$AM$10004)=0,"",MEDIAN('Data Entry'!$AM$5:$AM$10004))</f>
        <v/>
      </c>
      <c r="AN10021" s="23">
        <f>IF(COUNT('Data Entry'!$AN$5:$AN$10004)=0,"",MEDIAN('Data Entry'!$AN$5:$AN$10004))</f>
        <v/>
      </c>
      <c r="AO10021" s="23">
        <f>IF(COUNT('Data Entry'!$AO$5:$AO$10004)=0,"",MEDIAN('Data Entry'!$AO$5:$AO$10004))</f>
        <v/>
      </c>
      <c r="AP10021" s="23">
        <f>IF(COUNT('Data Entry'!$AP$5:$AP$10004)=0,"",MEDIAN('Data Entry'!$AP$5:$AP$10004))</f>
        <v/>
      </c>
      <c r="AQ10021" s="23">
        <f>IF(COUNT('Data Entry'!$AQ$5:$AQ$10004)=0,"",MEDIAN('Data Entry'!$AQ$5:$AQ$10004))</f>
        <v/>
      </c>
      <c r="AR10021" s="23">
        <f>IF(COUNT('Data Entry'!$AR$5:$AR$10004)=0,"",MEDIAN('Data Entry'!$AR$5:$AR$10004))</f>
        <v/>
      </c>
      <c r="AS10021" s="23">
        <f>IF(COUNT('Data Entry'!$AS$5:$AS$10004)=0,"",MEDIAN('Data Entry'!$AS$5:$AS$10004))</f>
        <v/>
      </c>
      <c r="AT10021" s="23">
        <f>IF(COUNT('Data Entry'!$AT$5:$AT$10004)=0,"",MEDIAN('Data Entry'!$AT$5:$AT$10004))</f>
        <v/>
      </c>
      <c r="AU10021" s="23">
        <f>IF(COUNT('Data Entry'!$AU$5:$AU$10004)=0,"",MEDIAN('Data Entry'!$AU$5:$AU$10004))</f>
        <v/>
      </c>
      <c r="AV10021" s="23">
        <f>IF(COUNT('Data Entry'!$AV$5:$AV$10004)=0,"",MEDIAN('Data Entry'!$AV$5:$AV$10004))</f>
        <v/>
      </c>
      <c r="AW10021" s="23">
        <f>IF(COUNT('Data Entry'!$AW$5:$AW$10004)=0,"",MEDIAN('Data Entry'!$AW$5:$AW$10004))</f>
        <v/>
      </c>
      <c r="AX10021" s="23">
        <f>IF(COUNT('Data Entry'!$AX$5:$AX$10004)=0,"",MEDIAN('Data Entry'!$AX$5:$AX$10004))</f>
        <v/>
      </c>
      <c r="AY10021" s="23">
        <f>IF(COUNT('Data Entry'!$AY$5:$AY$10004)=0,"",MEDIAN('Data Entry'!$AY$5:$AY$10004))</f>
        <v/>
      </c>
      <c r="AZ10021" s="23">
        <f>IF(COUNT('Data Entry'!$AZ$5:$AZ$10004)=0,"",MEDIAN('Data Entry'!$AZ$5:$AZ$10004))</f>
        <v/>
      </c>
      <c r="BA10021" s="23">
        <f>IF(COUNT('Data Entry'!$BA$5:$BA$10004)=0,"",MEDIAN('Data Entry'!$BA$5:$BA$10004))</f>
        <v/>
      </c>
      <c r="BB10021" s="23">
        <f>IF(COUNT('Data Entry'!$BB$5:$BB$10004)=0,"",MEDIAN('Data Entry'!$BB$5:$BB$10004))</f>
        <v/>
      </c>
      <c r="BC10021" s="23">
        <f>IF(COUNT('Data Entry'!$BC$5:$BC$10004)=0,"",MEDIAN('Data Entry'!$BC$5:$BC$10004))</f>
        <v/>
      </c>
      <c r="BD10021" s="23">
        <f>IF(COUNT('Data Entry'!$BD$5:$BD$10004)=0,"",MEDIAN('Data Entry'!$BD$5:$BD$10004))</f>
        <v/>
      </c>
      <c r="BE10021" s="23">
        <f>IF(COUNT('Data Entry'!$BE$5:$BE$10004)=0,"",MEDIAN('Data Entry'!$BE$5:$BE$10004))</f>
        <v/>
      </c>
    </row>
    <row r="10022">
      <c r="A10022" s="21" t="inlineStr">
        <is>
          <t>Last data row</t>
        </is>
      </c>
      <c r="H10022" s="22">
        <f>IFERROR(MATCH(9.99999999999999E+307,'Data Entry'!$H$5:$H$10004)+4,4)</f>
        <v/>
      </c>
      <c r="I10022" s="22">
        <f>IFERROR(MATCH(9.99999999999999E+307,'Data Entry'!$I$5:$I$10004)+4,4)</f>
        <v/>
      </c>
      <c r="J10022" s="22">
        <f>IFERROR(MATCH(9.99999999999999E+307,'Data Entry'!$J$5:$J$10004)+4,4)</f>
        <v/>
      </c>
      <c r="K10022" s="22">
        <f>IFERROR(MATCH(9.99999999999999E+307,'Data Entry'!$K$5:$K$10004)+4,4)</f>
        <v/>
      </c>
      <c r="L10022" s="22">
        <f>IFERROR(MATCH(9.99999999999999E+307,'Data Entry'!$L$5:$L$10004)+4,4)</f>
        <v/>
      </c>
      <c r="M10022" s="22">
        <f>IFERROR(MATCH(9.99999999999999E+307,'Data Entry'!$M$5:$M$10004)+4,4)</f>
        <v/>
      </c>
      <c r="N10022" s="22">
        <f>IFERROR(MATCH(9.99999999999999E+307,'Data Entry'!$N$5:$N$10004)+4,4)</f>
        <v/>
      </c>
      <c r="O10022" s="22">
        <f>IFERROR(MATCH(9.99999999999999E+307,'Data Entry'!$O$5:$O$10004)+4,4)</f>
        <v/>
      </c>
      <c r="P10022" s="22">
        <f>IFERROR(MATCH(9.99999999999999E+307,'Data Entry'!$P$5:$P$10004)+4,4)</f>
        <v/>
      </c>
      <c r="Q10022" s="22">
        <f>IFERROR(MATCH(9.99999999999999E+307,'Data Entry'!$Q$5:$Q$10004)+4,4)</f>
        <v/>
      </c>
      <c r="R10022" s="22">
        <f>IFERROR(MATCH(9.99999999999999E+307,'Data Entry'!$R$5:$R$10004)+4,4)</f>
        <v/>
      </c>
      <c r="S10022" s="22">
        <f>IFERROR(MATCH(9.99999999999999E+307,'Data Entry'!$S$5:$S$10004)+4,4)</f>
        <v/>
      </c>
      <c r="T10022" s="22">
        <f>IFERROR(MATCH(9.99999999999999E+307,'Data Entry'!$T$5:$T$10004)+4,4)</f>
        <v/>
      </c>
      <c r="U10022" s="22">
        <f>IFERROR(MATCH(9.99999999999999E+307,'Data Entry'!$U$5:$U$10004)+4,4)</f>
        <v/>
      </c>
      <c r="V10022" s="22">
        <f>IFERROR(MATCH(9.99999999999999E+307,'Data Entry'!$V$5:$V$10004)+4,4)</f>
        <v/>
      </c>
      <c r="W10022" s="22">
        <f>IFERROR(MATCH(9.99999999999999E+307,'Data Entry'!$W$5:$W$10004)+4,4)</f>
        <v/>
      </c>
      <c r="X10022" s="22">
        <f>IFERROR(MATCH(9.99999999999999E+307,'Data Entry'!$X$5:$X$10004)+4,4)</f>
        <v/>
      </c>
      <c r="Y10022" s="22">
        <f>IFERROR(MATCH(9.99999999999999E+307,'Data Entry'!$Y$5:$Y$10004)+4,4)</f>
        <v/>
      </c>
      <c r="Z10022" s="22">
        <f>IFERROR(MATCH(9.99999999999999E+307,'Data Entry'!$Z$5:$Z$10004)+4,4)</f>
        <v/>
      </c>
      <c r="AA10022" s="22">
        <f>IFERROR(MATCH(9.99999999999999E+307,'Data Entry'!$AA$5:$AA$10004)+4,4)</f>
        <v/>
      </c>
      <c r="AB10022" s="22">
        <f>IFERROR(MATCH(9.99999999999999E+307,'Data Entry'!$AB$5:$AB$10004)+4,4)</f>
        <v/>
      </c>
      <c r="AC10022" s="22">
        <f>IFERROR(MATCH(9.99999999999999E+307,'Data Entry'!$AC$5:$AC$10004)+4,4)</f>
        <v/>
      </c>
      <c r="AD10022" s="22">
        <f>IFERROR(MATCH(9.99999999999999E+307,'Data Entry'!$AD$5:$AD$10004)+4,4)</f>
        <v/>
      </c>
      <c r="AE10022" s="22">
        <f>IFERROR(MATCH(9.99999999999999E+307,'Data Entry'!$AE$5:$AE$10004)+4,4)</f>
        <v/>
      </c>
      <c r="AF10022" s="22">
        <f>IFERROR(MATCH(9.99999999999999E+307,'Data Entry'!$AF$5:$AF$10004)+4,4)</f>
        <v/>
      </c>
      <c r="AG10022" s="22">
        <f>IFERROR(MATCH(9.99999999999999E+307,'Data Entry'!$AG$5:$AG$10004)+4,4)</f>
        <v/>
      </c>
      <c r="AH10022" s="22">
        <f>IFERROR(MATCH(9.99999999999999E+307,'Data Entry'!$AH$5:$AH$10004)+4,4)</f>
        <v/>
      </c>
      <c r="AI10022" s="22">
        <f>IFERROR(MATCH(9.99999999999999E+307,'Data Entry'!$AI$5:$AI$10004)+4,4)</f>
        <v/>
      </c>
      <c r="AJ10022" s="22">
        <f>IFERROR(MATCH(9.99999999999999E+307,'Data Entry'!$AJ$5:$AJ$10004)+4,4)</f>
        <v/>
      </c>
      <c r="AK10022" s="22">
        <f>IFERROR(MATCH(9.99999999999999E+307,'Data Entry'!$AK$5:$AK$10004)+4,4)</f>
        <v/>
      </c>
      <c r="AL10022" s="22">
        <f>IFERROR(MATCH(9.99999999999999E+307,'Data Entry'!$AL$5:$AL$10004)+4,4)</f>
        <v/>
      </c>
      <c r="AM10022" s="22">
        <f>IFERROR(MATCH(9.99999999999999E+307,'Data Entry'!$AM$5:$AM$10004)+4,4)</f>
        <v/>
      </c>
      <c r="AN10022" s="22">
        <f>IFERROR(MATCH(9.99999999999999E+307,'Data Entry'!$AN$5:$AN$10004)+4,4)</f>
        <v/>
      </c>
      <c r="AO10022" s="22">
        <f>IFERROR(MATCH(9.99999999999999E+307,'Data Entry'!$AO$5:$AO$10004)+4,4)</f>
        <v/>
      </c>
      <c r="AP10022" s="22">
        <f>IFERROR(MATCH(9.99999999999999E+307,'Data Entry'!$AP$5:$AP$10004)+4,4)</f>
        <v/>
      </c>
      <c r="AQ10022" s="22">
        <f>IFERROR(MATCH(9.99999999999999E+307,'Data Entry'!$AQ$5:$AQ$10004)+4,4)</f>
        <v/>
      </c>
      <c r="AR10022" s="22">
        <f>IFERROR(MATCH(9.99999999999999E+307,'Data Entry'!$AR$5:$AR$10004)+4,4)</f>
        <v/>
      </c>
      <c r="AS10022" s="22">
        <f>IFERROR(MATCH(9.99999999999999E+307,'Data Entry'!$AS$5:$AS$10004)+4,4)</f>
        <v/>
      </c>
      <c r="AT10022" s="22">
        <f>IFERROR(MATCH(9.99999999999999E+307,'Data Entry'!$AT$5:$AT$10004)+4,4)</f>
        <v/>
      </c>
      <c r="AU10022" s="22">
        <f>IFERROR(MATCH(9.99999999999999E+307,'Data Entry'!$AU$5:$AU$10004)+4,4)</f>
        <v/>
      </c>
      <c r="AV10022" s="22">
        <f>IFERROR(MATCH(9.99999999999999E+307,'Data Entry'!$AV$5:$AV$10004)+4,4)</f>
        <v/>
      </c>
      <c r="AW10022" s="22">
        <f>IFERROR(MATCH(9.99999999999999E+307,'Data Entry'!$AW$5:$AW$10004)+4,4)</f>
        <v/>
      </c>
      <c r="AX10022" s="22">
        <f>IFERROR(MATCH(9.99999999999999E+307,'Data Entry'!$AX$5:$AX$10004)+4,4)</f>
        <v/>
      </c>
      <c r="AY10022" s="22">
        <f>IFERROR(MATCH(9.99999999999999E+307,'Data Entry'!$AY$5:$AY$10004)+4,4)</f>
        <v/>
      </c>
      <c r="AZ10022" s="22">
        <f>IFERROR(MATCH(9.99999999999999E+307,'Data Entry'!$AZ$5:$AZ$10004)+4,4)</f>
        <v/>
      </c>
      <c r="BA10022" s="22">
        <f>IFERROR(MATCH(9.99999999999999E+307,'Data Entry'!$BA$5:$BA$10004)+4,4)</f>
        <v/>
      </c>
      <c r="BB10022" s="22">
        <f>IFERROR(MATCH(9.99999999999999E+307,'Data Entry'!$BB$5:$BB$10004)+4,4)</f>
        <v/>
      </c>
      <c r="BC10022" s="22">
        <f>IFERROR(MATCH(9.99999999999999E+307,'Data Entry'!$BC$5:$BC$10004)+4,4)</f>
        <v/>
      </c>
      <c r="BD10022" s="22">
        <f>IFERROR(MATCH(9.99999999999999E+307,'Data Entry'!$BD$5:$BD$10004)+4,4)</f>
        <v/>
      </c>
      <c r="BE10022" s="22">
        <f>IFERROR(MATCH(9.99999999999999E+307,'Data Entry'!$BE$5:$BE$10004)+4,4)</f>
        <v/>
      </c>
    </row>
  </sheetData>
  <autoFilter ref="A4:BE10004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5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2" customWidth="1" min="14" max="14"/>
  </cols>
  <sheetData>
    <row r="1">
      <c r="A1" s="24" t="inlineStr">
        <is>
          <t>SPC DATA COLLECTION SHEET</t>
        </is>
      </c>
      <c r="L1" s="13">
        <f>"Doc: "&amp;Settings!B9&amp;"  Rev "&amp;Settings!B10</f>
        <v/>
      </c>
    </row>
    <row r="2">
      <c r="A2" s="3">
        <f>Settings!B8</f>
        <v/>
      </c>
    </row>
    <row r="4">
      <c r="A4" s="25" t="inlineStr">
        <is>
          <t>Part No.:</t>
        </is>
      </c>
      <c r="C4" s="26" t="n"/>
      <c r="D4" s="26" t="n"/>
      <c r="E4" s="26" t="n"/>
      <c r="F4" s="26" t="n"/>
      <c r="H4" s="25" t="inlineStr">
        <is>
          <t>Operation:</t>
        </is>
      </c>
      <c r="J4" s="26" t="n"/>
      <c r="K4" s="26" t="n"/>
      <c r="L4" s="26" t="n"/>
      <c r="M4" s="26" t="n"/>
      <c r="N4" s="26" t="n"/>
    </row>
    <row r="5">
      <c r="A5" s="25" t="inlineStr">
        <is>
          <t>Machine / Cell:</t>
        </is>
      </c>
      <c r="C5" s="26" t="n"/>
      <c r="D5" s="26" t="n"/>
      <c r="E5" s="26" t="n"/>
      <c r="F5" s="26" t="n"/>
      <c r="H5" s="25" t="inlineStr">
        <is>
          <t>Gauge ID:</t>
        </is>
      </c>
      <c r="J5" s="26" t="n"/>
      <c r="K5" s="26" t="n"/>
      <c r="L5" s="26" t="n"/>
      <c r="M5" s="26" t="n"/>
      <c r="N5" s="26" t="n"/>
    </row>
    <row r="6">
      <c r="A6" s="25" t="inlineStr">
        <is>
          <t>Operator:</t>
        </is>
      </c>
      <c r="C6" s="26" t="n"/>
      <c r="D6" s="26" t="n"/>
      <c r="E6" s="26" t="n"/>
      <c r="F6" s="26" t="n"/>
      <c r="H6" s="25" t="inlineStr">
        <is>
          <t>Shift:</t>
        </is>
      </c>
      <c r="J6" s="26" t="n"/>
      <c r="K6" s="26" t="n"/>
      <c r="L6" s="26" t="n"/>
      <c r="M6" s="26" t="n"/>
      <c r="N6" s="26" t="n"/>
    </row>
    <row r="7">
      <c r="A7" s="25" t="inlineStr">
        <is>
          <t>Date:</t>
        </is>
      </c>
      <c r="C7" s="26" t="n"/>
      <c r="D7" s="26" t="n"/>
      <c r="E7" s="26" t="n"/>
      <c r="F7" s="26" t="n"/>
      <c r="H7" s="25" t="inlineStr">
        <is>
          <t>Sample frequency:</t>
        </is>
      </c>
      <c r="J7" s="26" t="n"/>
      <c r="K7" s="26" t="n"/>
      <c r="L7" s="26" t="n"/>
      <c r="M7" s="26" t="n"/>
      <c r="N7" s="26" t="n"/>
    </row>
    <row r="9">
      <c r="A9" s="4" t="inlineStr">
        <is>
          <t>CHARACTERISTICS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9" t="n"/>
    </row>
    <row r="10">
      <c r="A10" s="21" t="inlineStr">
        <is>
          <t>Characteristic</t>
        </is>
      </c>
      <c r="B10" s="28" t="n"/>
      <c r="C10" s="28" t="n"/>
      <c r="D10" s="29">
        <f>IF(Settings!B17="","-",Settings!B17)</f>
        <v/>
      </c>
      <c r="E10" s="29">
        <f>IF(Settings!B18="","-",Settings!B18)</f>
        <v/>
      </c>
      <c r="F10" s="29">
        <f>IF(Settings!B19="","-",Settings!B19)</f>
        <v/>
      </c>
      <c r="G10" s="29">
        <f>IF(Settings!B20="","-",Settings!B20)</f>
        <v/>
      </c>
      <c r="H10" s="29">
        <f>IF(Settings!B21="","-",Settings!B21)</f>
        <v/>
      </c>
      <c r="I10" s="29">
        <f>IF(Settings!B22="","-",Settings!B22)</f>
        <v/>
      </c>
      <c r="J10" s="29">
        <f>IF(Settings!B23="","-",Settings!B23)</f>
        <v/>
      </c>
      <c r="K10" s="29">
        <f>IF(Settings!B24="","-",Settings!B24)</f>
        <v/>
      </c>
      <c r="L10" s="29">
        <f>IF(Settings!B25="","-",Settings!B25)</f>
        <v/>
      </c>
      <c r="M10" s="29">
        <f>IF(Settings!B26="","-",Settings!B26)</f>
        <v/>
      </c>
      <c r="N10" s="30" t="n"/>
    </row>
    <row r="11">
      <c r="A11" s="21" t="inlineStr">
        <is>
          <t>Nominal</t>
        </is>
      </c>
      <c r="B11" s="28" t="n"/>
      <c r="C11" s="28" t="n"/>
      <c r="D11" s="31">
        <f>IF(Settings!C17="","-",Settings!C17)</f>
        <v/>
      </c>
      <c r="E11" s="31">
        <f>IF(Settings!C18="","-",Settings!C18)</f>
        <v/>
      </c>
      <c r="F11" s="31">
        <f>IF(Settings!C19="","-",Settings!C19)</f>
        <v/>
      </c>
      <c r="G11" s="31">
        <f>IF(Settings!C20="","-",Settings!C20)</f>
        <v/>
      </c>
      <c r="H11" s="31">
        <f>IF(Settings!C21="","-",Settings!C21)</f>
        <v/>
      </c>
      <c r="I11" s="31">
        <f>IF(Settings!C22="","-",Settings!C22)</f>
        <v/>
      </c>
      <c r="J11" s="31">
        <f>IF(Settings!C23="","-",Settings!C23)</f>
        <v/>
      </c>
      <c r="K11" s="31">
        <f>IF(Settings!C24="","-",Settings!C24)</f>
        <v/>
      </c>
      <c r="L11" s="31">
        <f>IF(Settings!C25="","-",Settings!C25)</f>
        <v/>
      </c>
      <c r="M11" s="31">
        <f>IF(Settings!C26="","-",Settings!C26)</f>
        <v/>
      </c>
      <c r="N11" s="30" t="n"/>
    </row>
    <row r="12">
      <c r="A12" s="21" t="inlineStr">
        <is>
          <t>LSL</t>
        </is>
      </c>
      <c r="B12" s="28" t="n"/>
      <c r="C12" s="28" t="n"/>
      <c r="D12" s="31">
        <f>IF(Settings!D17="","-",Settings!D17)</f>
        <v/>
      </c>
      <c r="E12" s="31">
        <f>IF(Settings!D18="","-",Settings!D18)</f>
        <v/>
      </c>
      <c r="F12" s="31">
        <f>IF(Settings!D19="","-",Settings!D19)</f>
        <v/>
      </c>
      <c r="G12" s="31">
        <f>IF(Settings!D20="","-",Settings!D20)</f>
        <v/>
      </c>
      <c r="H12" s="31">
        <f>IF(Settings!D21="","-",Settings!D21)</f>
        <v/>
      </c>
      <c r="I12" s="31">
        <f>IF(Settings!D22="","-",Settings!D22)</f>
        <v/>
      </c>
      <c r="J12" s="31">
        <f>IF(Settings!D23="","-",Settings!D23)</f>
        <v/>
      </c>
      <c r="K12" s="31">
        <f>IF(Settings!D24="","-",Settings!D24)</f>
        <v/>
      </c>
      <c r="L12" s="31">
        <f>IF(Settings!D25="","-",Settings!D25)</f>
        <v/>
      </c>
      <c r="M12" s="31">
        <f>IF(Settings!D26="","-",Settings!D26)</f>
        <v/>
      </c>
      <c r="N12" s="30" t="n"/>
    </row>
    <row r="13">
      <c r="A13" s="21" t="inlineStr">
        <is>
          <t>USL</t>
        </is>
      </c>
      <c r="B13" s="28" t="n"/>
      <c r="C13" s="28" t="n"/>
      <c r="D13" s="31">
        <f>IF(Settings!E17="","-",Settings!E17)</f>
        <v/>
      </c>
      <c r="E13" s="31">
        <f>IF(Settings!E18="","-",Settings!E18)</f>
        <v/>
      </c>
      <c r="F13" s="31">
        <f>IF(Settings!E19="","-",Settings!E19)</f>
        <v/>
      </c>
      <c r="G13" s="31">
        <f>IF(Settings!E20="","-",Settings!E20)</f>
        <v/>
      </c>
      <c r="H13" s="31">
        <f>IF(Settings!E21="","-",Settings!E21)</f>
        <v/>
      </c>
      <c r="I13" s="31">
        <f>IF(Settings!E22="","-",Settings!E22)</f>
        <v/>
      </c>
      <c r="J13" s="31">
        <f>IF(Settings!E23="","-",Settings!E23)</f>
        <v/>
      </c>
      <c r="K13" s="31">
        <f>IF(Settings!E24="","-",Settings!E24)</f>
        <v/>
      </c>
      <c r="L13" s="31">
        <f>IF(Settings!E25="","-",Settings!E25)</f>
        <v/>
      </c>
      <c r="M13" s="31">
        <f>IF(Settings!E26="","-",Settings!E26)</f>
        <v/>
      </c>
      <c r="N13" s="30" t="n"/>
    </row>
    <row r="14">
      <c r="A14" s="21" t="inlineStr">
        <is>
          <t>Unit</t>
        </is>
      </c>
      <c r="B14" s="28" t="n"/>
      <c r="C14" s="28" t="n"/>
      <c r="D14" s="29">
        <f>IF(Settings!F17="","-",Settings!F17)</f>
        <v/>
      </c>
      <c r="E14" s="29">
        <f>IF(Settings!F18="","-",Settings!F18)</f>
        <v/>
      </c>
      <c r="F14" s="29">
        <f>IF(Settings!F19="","-",Settings!F19)</f>
        <v/>
      </c>
      <c r="G14" s="29">
        <f>IF(Settings!F20="","-",Settings!F20)</f>
        <v/>
      </c>
      <c r="H14" s="29">
        <f>IF(Settings!F21="","-",Settings!F21)</f>
        <v/>
      </c>
      <c r="I14" s="29">
        <f>IF(Settings!F22="","-",Settings!F22)</f>
        <v/>
      </c>
      <c r="J14" s="29">
        <f>IF(Settings!F23="","-",Settings!F23)</f>
        <v/>
      </c>
      <c r="K14" s="29">
        <f>IF(Settings!F24="","-",Settings!F24)</f>
        <v/>
      </c>
      <c r="L14" s="29">
        <f>IF(Settings!F25="","-",Settings!F25)</f>
        <v/>
      </c>
      <c r="M14" s="29">
        <f>IF(Settings!F26="","-",Settings!F26)</f>
        <v/>
      </c>
      <c r="N14" s="30" t="n"/>
    </row>
    <row r="16" ht="24" customHeight="1">
      <c r="A16" s="18" t="inlineStr">
        <is>
          <t>Sample #</t>
        </is>
      </c>
      <c r="B16" s="18" t="inlineStr">
        <is>
          <t>Time</t>
        </is>
      </c>
      <c r="C16" s="18" t="inlineStr">
        <is>
          <t>Serial / Batch</t>
        </is>
      </c>
      <c r="D16" s="18" t="inlineStr">
        <is>
          <t>Char 1</t>
        </is>
      </c>
      <c r="E16" s="18" t="inlineStr">
        <is>
          <t>Char 2</t>
        </is>
      </c>
      <c r="F16" s="18" t="inlineStr">
        <is>
          <t>Char 3</t>
        </is>
      </c>
      <c r="G16" s="18" t="inlineStr">
        <is>
          <t>Char 4</t>
        </is>
      </c>
      <c r="H16" s="18" t="inlineStr">
        <is>
          <t>Char 5</t>
        </is>
      </c>
      <c r="I16" s="18" t="inlineStr">
        <is>
          <t>Char 6</t>
        </is>
      </c>
      <c r="J16" s="18" t="inlineStr">
        <is>
          <t>Char 7</t>
        </is>
      </c>
      <c r="K16" s="18" t="inlineStr">
        <is>
          <t>Char 8</t>
        </is>
      </c>
      <c r="L16" s="18" t="inlineStr">
        <is>
          <t>Char 9</t>
        </is>
      </c>
      <c r="M16" s="18" t="inlineStr">
        <is>
          <t>Char 10</t>
        </is>
      </c>
      <c r="N16" s="18" t="inlineStr">
        <is>
          <t>Notes</t>
        </is>
      </c>
    </row>
    <row r="17" ht="20" customHeight="1">
      <c r="A17" s="16" t="n">
        <v>1</v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</row>
    <row r="18" ht="20" customHeight="1">
      <c r="A18" s="16" t="n">
        <v>2</v>
      </c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</row>
    <row r="19" ht="20" customHeight="1">
      <c r="A19" s="16" t="n">
        <v>3</v>
      </c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</row>
    <row r="20" ht="20" customHeight="1">
      <c r="A20" s="16" t="n">
        <v>4</v>
      </c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</row>
    <row r="21" ht="20" customHeight="1">
      <c r="A21" s="16" t="n">
        <v>5</v>
      </c>
      <c r="B21" s="32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</row>
    <row r="22" ht="20" customHeight="1">
      <c r="A22" s="16" t="n">
        <v>6</v>
      </c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</row>
    <row r="23" ht="20" customHeight="1">
      <c r="A23" s="16" t="n">
        <v>7</v>
      </c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</row>
    <row r="24" ht="20" customHeight="1">
      <c r="A24" s="16" t="n">
        <v>8</v>
      </c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</row>
    <row r="25" ht="20" customHeight="1">
      <c r="A25" s="16" t="n">
        <v>9</v>
      </c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</row>
    <row r="26" ht="20" customHeight="1">
      <c r="A26" s="16" t="n">
        <v>10</v>
      </c>
      <c r="B26" s="32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</row>
    <row r="27" ht="20" customHeight="1">
      <c r="A27" s="16" t="n">
        <v>11</v>
      </c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</row>
    <row r="28" ht="20" customHeight="1">
      <c r="A28" s="16" t="n">
        <v>12</v>
      </c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</row>
    <row r="29" ht="20" customHeight="1">
      <c r="A29" s="16" t="n">
        <v>13</v>
      </c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</row>
    <row r="30" ht="20" customHeight="1">
      <c r="A30" s="16" t="n">
        <v>14</v>
      </c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</row>
    <row r="31" ht="20" customHeight="1">
      <c r="A31" s="16" t="n">
        <v>15</v>
      </c>
      <c r="B31" s="32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</row>
    <row r="32" ht="20" customHeight="1">
      <c r="A32" s="16" t="n">
        <v>16</v>
      </c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</row>
    <row r="33" ht="20" customHeight="1">
      <c r="A33" s="16" t="n">
        <v>17</v>
      </c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</row>
    <row r="34" ht="20" customHeight="1">
      <c r="A34" s="16" t="n">
        <v>18</v>
      </c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</row>
    <row r="35" ht="20" customHeight="1">
      <c r="A35" s="16" t="n">
        <v>19</v>
      </c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</row>
    <row r="36" ht="20" customHeight="1">
      <c r="A36" s="16" t="n">
        <v>20</v>
      </c>
      <c r="B36" s="32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</row>
    <row r="37" ht="20" customHeight="1">
      <c r="A37" s="16" t="n">
        <v>21</v>
      </c>
      <c r="B37" s="30" t="n"/>
      <c r="C37" s="30" t="n"/>
      <c r="D37" s="30" t="n"/>
      <c r="E37" s="30" t="n"/>
      <c r="F37" s="30" t="n"/>
      <c r="G37" s="30" t="n"/>
      <c r="H37" s="30" t="n"/>
      <c r="I37" s="30" t="n"/>
      <c r="J37" s="30" t="n"/>
      <c r="K37" s="30" t="n"/>
      <c r="L37" s="30" t="n"/>
      <c r="M37" s="30" t="n"/>
      <c r="N37" s="30" t="n"/>
    </row>
    <row r="38" ht="20" customHeight="1">
      <c r="A38" s="16" t="n">
        <v>22</v>
      </c>
      <c r="B38" s="30" t="n"/>
      <c r="C38" s="30" t="n"/>
      <c r="D38" s="30" t="n"/>
      <c r="E38" s="30" t="n"/>
      <c r="F38" s="30" t="n"/>
      <c r="G38" s="30" t="n"/>
      <c r="H38" s="30" t="n"/>
      <c r="I38" s="30" t="n"/>
      <c r="J38" s="30" t="n"/>
      <c r="K38" s="30" t="n"/>
      <c r="L38" s="30" t="n"/>
      <c r="M38" s="30" t="n"/>
      <c r="N38" s="30" t="n"/>
    </row>
    <row r="39" ht="20" customHeight="1">
      <c r="A39" s="16" t="n">
        <v>23</v>
      </c>
      <c r="B39" s="30" t="n"/>
      <c r="C39" s="30" t="n"/>
      <c r="D39" s="30" t="n"/>
      <c r="E39" s="30" t="n"/>
      <c r="F39" s="30" t="n"/>
      <c r="G39" s="30" t="n"/>
      <c r="H39" s="30" t="n"/>
      <c r="I39" s="30" t="n"/>
      <c r="J39" s="30" t="n"/>
      <c r="K39" s="30" t="n"/>
      <c r="L39" s="30" t="n"/>
      <c r="M39" s="30" t="n"/>
      <c r="N39" s="30" t="n"/>
    </row>
    <row r="40" ht="20" customHeight="1">
      <c r="A40" s="16" t="n">
        <v>24</v>
      </c>
      <c r="B40" s="30" t="n"/>
      <c r="C40" s="30" t="n"/>
      <c r="D40" s="30" t="n"/>
      <c r="E40" s="30" t="n"/>
      <c r="F40" s="30" t="n"/>
      <c r="G40" s="30" t="n"/>
      <c r="H40" s="30" t="n"/>
      <c r="I40" s="30" t="n"/>
      <c r="J40" s="30" t="n"/>
      <c r="K40" s="30" t="n"/>
      <c r="L40" s="30" t="n"/>
      <c r="M40" s="30" t="n"/>
      <c r="N40" s="30" t="n"/>
    </row>
    <row r="41" ht="20" customHeight="1">
      <c r="A41" s="16" t="n">
        <v>25</v>
      </c>
      <c r="B41" s="32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</row>
    <row r="43">
      <c r="A43" s="25" t="inlineStr">
        <is>
          <t>Notes / out-of-spec actions:</t>
        </is>
      </c>
    </row>
    <row r="44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</row>
    <row r="45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26" t="n"/>
      <c r="M45" s="26" t="n"/>
      <c r="N45" s="26" t="n"/>
    </row>
    <row r="46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26" t="n"/>
      <c r="M46" s="26" t="n"/>
      <c r="N46" s="26" t="n"/>
    </row>
    <row r="48">
      <c r="A48" s="25" t="inlineStr">
        <is>
          <t>Recorded by:</t>
        </is>
      </c>
      <c r="B48" s="26" t="n"/>
      <c r="C48" s="26" t="n"/>
      <c r="D48" s="25" t="inlineStr">
        <is>
          <t>Signature:</t>
        </is>
      </c>
      <c r="E48" s="26" t="n"/>
      <c r="F48" s="26" t="n"/>
      <c r="G48" s="25" t="inlineStr">
        <is>
          <t>Checked by:</t>
        </is>
      </c>
      <c r="H48" s="26" t="n"/>
      <c r="I48" s="26" t="n"/>
      <c r="J48" s="25" t="inlineStr">
        <is>
          <t>Date:</t>
        </is>
      </c>
      <c r="K48" s="26" t="n"/>
      <c r="L48" s="26" t="n"/>
    </row>
    <row r="50">
      <c r="A50" s="13" t="inlineStr">
        <is>
          <t>Transfer readings into the Data Entry sheet (Char 1 -&gt; column H, Char 2 -&gt; column I, ...). Keep this sheet with the job pack.</t>
        </is>
      </c>
    </row>
  </sheetData>
  <mergeCells count="13">
    <mergeCell ref="A4:B4"/>
    <mergeCell ref="A9:N9"/>
    <mergeCell ref="L1:N1"/>
    <mergeCell ref="A10:C10"/>
    <mergeCell ref="A13:C13"/>
    <mergeCell ref="A11:C11"/>
    <mergeCell ref="A7:B7"/>
    <mergeCell ref="A14:C14"/>
    <mergeCell ref="A2:N2"/>
    <mergeCell ref="A5:B5"/>
    <mergeCell ref="A12:C12"/>
    <mergeCell ref="A1:K1"/>
    <mergeCell ref="A6:B6"/>
  </mergeCells>
  <printOptions horizontalCentered="1"/>
  <pageMargins left="0.4" right="0.4" top="0.5" bottom="0.5" header="0.5" footer="0.5"/>
  <pageSetup orientation="landscape" paperSize="9" fitToHeight="1" fitToWidth="1"/>
  <headerFooter>
    <oddHeader/>
    <oddFooter>&amp;L&amp;F - &amp;A&amp;RPage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K39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" customWidth="1" min="3" max="3"/>
    <col hidden="1" outlineLevel="1" width="13" customWidth="1" min="80" max="220"/>
  </cols>
  <sheetData>
    <row r="1" ht="24" customHeight="1">
      <c r="A1" s="1" t="inlineStr">
        <is>
          <t>CONTROL CHARTS - INDIVIDUALS (X), MOVING RANGE (mR) &amp; HISTOGRAM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CB1" s="13" t="inlineStr">
        <is>
          <t>LastRow</t>
        </is>
      </c>
      <c r="CC1" s="33">
        <f>'Data Entry'!H10022</f>
        <v/>
      </c>
      <c r="CD1" s="13" t="inlineStr">
        <is>
          <t>Start</t>
        </is>
      </c>
      <c r="CE1" s="33">
        <f>MAX(5,CC1-Settings!$F$5+1)</f>
        <v/>
      </c>
      <c r="CF1" s="13" t="inlineStr">
        <is>
          <t>Lo</t>
        </is>
      </c>
      <c r="CG1" s="33">
        <f>IF(OR(Capability!$E$5="",Capability!$F$5="",((IF(Capability!$Q$5="",Capability!$F$5,MAX(Capability!$F$5,Capability!$Q$5)))-(IF(Capability!$P$5="",Capability!$E$5,MIN(Capability!$E$5,Capability!$P$5))))&lt;=0),"",(IF(Capability!$P$5="",Capability!$E$5,MIN(Capability!$E$5,Capability!$P$5)))-((IF(Capability!$Q$5="",Capability!$F$5,MAX(Capability!$F$5,Capability!$Q$5)))-(IF(Capability!$P$5="",Capability!$E$5,MIN(Capability!$E$5,Capability!$P$5))))*0.05)</f>
        <v/>
      </c>
      <c r="CH1" s="13" t="inlineStr">
        <is>
          <t>Width</t>
        </is>
      </c>
      <c r="CI1" s="33">
        <f>IF(OR(CG1="",CM1="",CM1&lt;=CG1),"",(CM1-CG1)/Settings!$F$6)</f>
        <v/>
      </c>
      <c r="CJ1" s="13" t="inlineStr">
        <is>
          <t>MaxCnt</t>
        </is>
      </c>
      <c r="CK1" s="33">
        <f>MAX(CL4:CL18)</f>
        <v/>
      </c>
      <c r="CL1" s="13" t="inlineStr">
        <is>
          <t>Hi</t>
        </is>
      </c>
      <c r="CM1" s="33">
        <f>IF(OR(Capability!$E$5="",Capability!$F$5="",((IF(Capability!$Q$5="",Capability!$F$5,MAX(Capability!$F$5,Capability!$Q$5)))-(IF(Capability!$P$5="",Capability!$E$5,MIN(Capability!$E$5,Capability!$P$5))))&lt;=0),"",(IF(Capability!$Q$5="",Capability!$F$5,MAX(Capability!$F$5,Capability!$Q$5)))+((IF(Capability!$Q$5="",Capability!$F$5,MAX(Capability!$F$5,Capability!$Q$5)))-(IF(Capability!$P$5="",Capability!$E$5,MIN(Capability!$E$5,Capability!$P$5))))*0.05)</f>
        <v/>
      </c>
      <c r="CP1" s="13" t="inlineStr">
        <is>
          <t>LastRow</t>
        </is>
      </c>
      <c r="CQ1" s="33">
        <f>'Data Entry'!I10022</f>
        <v/>
      </c>
      <c r="CR1" s="13" t="inlineStr">
        <is>
          <t>Start</t>
        </is>
      </c>
      <c r="CS1" s="33">
        <f>MAX(5,CQ1-Settings!$F$5+1)</f>
        <v/>
      </c>
      <c r="CT1" s="13" t="inlineStr">
        <is>
          <t>Lo</t>
        </is>
      </c>
      <c r="CU1" s="33">
        <f>IF(OR(Capability!$E$6="",Capability!$F$6="",((IF(Capability!$Q$6="",Capability!$F$6,MAX(Capability!$F$6,Capability!$Q$6)))-(IF(Capability!$P$6="",Capability!$E$6,MIN(Capability!$E$6,Capability!$P$6))))&lt;=0),"",(IF(Capability!$P$6="",Capability!$E$6,MIN(Capability!$E$6,Capability!$P$6)))-((IF(Capability!$Q$6="",Capability!$F$6,MAX(Capability!$F$6,Capability!$Q$6)))-(IF(Capability!$P$6="",Capability!$E$6,MIN(Capability!$E$6,Capability!$P$6))))*0.05)</f>
        <v/>
      </c>
      <c r="CV1" s="13" t="inlineStr">
        <is>
          <t>Width</t>
        </is>
      </c>
      <c r="CW1" s="33">
        <f>IF(OR(CU1="",DA1="",DA1&lt;=CU1),"",(DA1-CU1)/Settings!$F$6)</f>
        <v/>
      </c>
      <c r="CX1" s="13" t="inlineStr">
        <is>
          <t>MaxCnt</t>
        </is>
      </c>
      <c r="CY1" s="33">
        <f>MAX(CZ4:CZ18)</f>
        <v/>
      </c>
      <c r="CZ1" s="13" t="inlineStr">
        <is>
          <t>Hi</t>
        </is>
      </c>
      <c r="DA1" s="33">
        <f>IF(OR(Capability!$E$6="",Capability!$F$6="",((IF(Capability!$Q$6="",Capability!$F$6,MAX(Capability!$F$6,Capability!$Q$6)))-(IF(Capability!$P$6="",Capability!$E$6,MIN(Capability!$E$6,Capability!$P$6))))&lt;=0),"",(IF(Capability!$Q$6="",Capability!$F$6,MAX(Capability!$F$6,Capability!$Q$6)))+((IF(Capability!$Q$6="",Capability!$F$6,MAX(Capability!$F$6,Capability!$Q$6)))-(IF(Capability!$P$6="",Capability!$E$6,MIN(Capability!$E$6,Capability!$P$6))))*0.05)</f>
        <v/>
      </c>
      <c r="DD1" s="13" t="inlineStr">
        <is>
          <t>LastRow</t>
        </is>
      </c>
      <c r="DE1" s="33">
        <f>'Data Entry'!J10022</f>
        <v/>
      </c>
      <c r="DF1" s="13" t="inlineStr">
        <is>
          <t>Start</t>
        </is>
      </c>
      <c r="DG1" s="33">
        <f>MAX(5,DE1-Settings!$F$5+1)</f>
        <v/>
      </c>
      <c r="DH1" s="13" t="inlineStr">
        <is>
          <t>Lo</t>
        </is>
      </c>
      <c r="DI1" s="33">
        <f>IF(OR(Capability!$E$7="",Capability!$F$7="",((IF(Capability!$Q$7="",Capability!$F$7,MAX(Capability!$F$7,Capability!$Q$7)))-(IF(Capability!$P$7="",Capability!$E$7,MIN(Capability!$E$7,Capability!$P$7))))&lt;=0),"",(IF(Capability!$P$7="",Capability!$E$7,MIN(Capability!$E$7,Capability!$P$7)))-((IF(Capability!$Q$7="",Capability!$F$7,MAX(Capability!$F$7,Capability!$Q$7)))-(IF(Capability!$P$7="",Capability!$E$7,MIN(Capability!$E$7,Capability!$P$7))))*0.05)</f>
        <v/>
      </c>
      <c r="DJ1" s="13" t="inlineStr">
        <is>
          <t>Width</t>
        </is>
      </c>
      <c r="DK1" s="33">
        <f>IF(OR(DI1="",DO1="",DO1&lt;=DI1),"",(DO1-DI1)/Settings!$F$6)</f>
        <v/>
      </c>
      <c r="DL1" s="13" t="inlineStr">
        <is>
          <t>MaxCnt</t>
        </is>
      </c>
      <c r="DM1" s="33">
        <f>MAX(DN4:DN18)</f>
        <v/>
      </c>
      <c r="DN1" s="13" t="inlineStr">
        <is>
          <t>Hi</t>
        </is>
      </c>
      <c r="DO1" s="33">
        <f>IF(OR(Capability!$E$7="",Capability!$F$7="",((IF(Capability!$Q$7="",Capability!$F$7,MAX(Capability!$F$7,Capability!$Q$7)))-(IF(Capability!$P$7="",Capability!$E$7,MIN(Capability!$E$7,Capability!$P$7))))&lt;=0),"",(IF(Capability!$Q$7="",Capability!$F$7,MAX(Capability!$F$7,Capability!$Q$7)))+((IF(Capability!$Q$7="",Capability!$F$7,MAX(Capability!$F$7,Capability!$Q$7)))-(IF(Capability!$P$7="",Capability!$E$7,MIN(Capability!$E$7,Capability!$P$7))))*0.05)</f>
        <v/>
      </c>
      <c r="DR1" s="13" t="inlineStr">
        <is>
          <t>LastRow</t>
        </is>
      </c>
      <c r="DS1" s="33">
        <f>'Data Entry'!K10022</f>
        <v/>
      </c>
      <c r="DT1" s="13" t="inlineStr">
        <is>
          <t>Start</t>
        </is>
      </c>
      <c r="DU1" s="33">
        <f>MAX(5,DS1-Settings!$F$5+1)</f>
        <v/>
      </c>
      <c r="DV1" s="13" t="inlineStr">
        <is>
          <t>Lo</t>
        </is>
      </c>
      <c r="DW1" s="33">
        <f>IF(OR(Capability!$E$8="",Capability!$F$8="",((IF(Capability!$Q$8="",Capability!$F$8,MAX(Capability!$F$8,Capability!$Q$8)))-(IF(Capability!$P$8="",Capability!$E$8,MIN(Capability!$E$8,Capability!$P$8))))&lt;=0),"",(IF(Capability!$P$8="",Capability!$E$8,MIN(Capability!$E$8,Capability!$P$8)))-((IF(Capability!$Q$8="",Capability!$F$8,MAX(Capability!$F$8,Capability!$Q$8)))-(IF(Capability!$P$8="",Capability!$E$8,MIN(Capability!$E$8,Capability!$P$8))))*0.05)</f>
        <v/>
      </c>
      <c r="DX1" s="13" t="inlineStr">
        <is>
          <t>Width</t>
        </is>
      </c>
      <c r="DY1" s="33">
        <f>IF(OR(DW1="",EC1="",EC1&lt;=DW1),"",(EC1-DW1)/Settings!$F$6)</f>
        <v/>
      </c>
      <c r="DZ1" s="13" t="inlineStr">
        <is>
          <t>MaxCnt</t>
        </is>
      </c>
      <c r="EA1" s="33">
        <f>MAX(EB4:EB18)</f>
        <v/>
      </c>
      <c r="EB1" s="13" t="inlineStr">
        <is>
          <t>Hi</t>
        </is>
      </c>
      <c r="EC1" s="33">
        <f>IF(OR(Capability!$E$8="",Capability!$F$8="",((IF(Capability!$Q$8="",Capability!$F$8,MAX(Capability!$F$8,Capability!$Q$8)))-(IF(Capability!$P$8="",Capability!$E$8,MIN(Capability!$E$8,Capability!$P$8))))&lt;=0),"",(IF(Capability!$Q$8="",Capability!$F$8,MAX(Capability!$F$8,Capability!$Q$8)))+((IF(Capability!$Q$8="",Capability!$F$8,MAX(Capability!$F$8,Capability!$Q$8)))-(IF(Capability!$P$8="",Capability!$E$8,MIN(Capability!$E$8,Capability!$P$8))))*0.05)</f>
        <v/>
      </c>
      <c r="EF1" s="13" t="inlineStr">
        <is>
          <t>LastRow</t>
        </is>
      </c>
      <c r="EG1" s="33">
        <f>'Data Entry'!L10022</f>
        <v/>
      </c>
      <c r="EH1" s="13" t="inlineStr">
        <is>
          <t>Start</t>
        </is>
      </c>
      <c r="EI1" s="33">
        <f>MAX(5,EG1-Settings!$F$5+1)</f>
        <v/>
      </c>
      <c r="EJ1" s="13" t="inlineStr">
        <is>
          <t>Lo</t>
        </is>
      </c>
      <c r="EK1" s="33">
        <f>IF(OR(Capability!$E$9="",Capability!$F$9="",((IF(Capability!$Q$9="",Capability!$F$9,MAX(Capability!$F$9,Capability!$Q$9)))-(IF(Capability!$P$9="",Capability!$E$9,MIN(Capability!$E$9,Capability!$P$9))))&lt;=0),"",(IF(Capability!$P$9="",Capability!$E$9,MIN(Capability!$E$9,Capability!$P$9)))-((IF(Capability!$Q$9="",Capability!$F$9,MAX(Capability!$F$9,Capability!$Q$9)))-(IF(Capability!$P$9="",Capability!$E$9,MIN(Capability!$E$9,Capability!$P$9))))*0.05)</f>
        <v/>
      </c>
      <c r="EL1" s="13" t="inlineStr">
        <is>
          <t>Width</t>
        </is>
      </c>
      <c r="EM1" s="33">
        <f>IF(OR(EK1="",EQ1="",EQ1&lt;=EK1),"",(EQ1-EK1)/Settings!$F$6)</f>
        <v/>
      </c>
      <c r="EN1" s="13" t="inlineStr">
        <is>
          <t>MaxCnt</t>
        </is>
      </c>
      <c r="EO1" s="33">
        <f>MAX(EP4:EP18)</f>
        <v/>
      </c>
      <c r="EP1" s="13" t="inlineStr">
        <is>
          <t>Hi</t>
        </is>
      </c>
      <c r="EQ1" s="33">
        <f>IF(OR(Capability!$E$9="",Capability!$F$9="",((IF(Capability!$Q$9="",Capability!$F$9,MAX(Capability!$F$9,Capability!$Q$9)))-(IF(Capability!$P$9="",Capability!$E$9,MIN(Capability!$E$9,Capability!$P$9))))&lt;=0),"",(IF(Capability!$Q$9="",Capability!$F$9,MAX(Capability!$F$9,Capability!$Q$9)))+((IF(Capability!$Q$9="",Capability!$F$9,MAX(Capability!$F$9,Capability!$Q$9)))-(IF(Capability!$P$9="",Capability!$E$9,MIN(Capability!$E$9,Capability!$P$9))))*0.05)</f>
        <v/>
      </c>
      <c r="ET1" s="13" t="inlineStr">
        <is>
          <t>LastRow</t>
        </is>
      </c>
      <c r="EU1" s="33">
        <f>'Data Entry'!M10022</f>
        <v/>
      </c>
      <c r="EV1" s="13" t="inlineStr">
        <is>
          <t>Start</t>
        </is>
      </c>
      <c r="EW1" s="33">
        <f>MAX(5,EU1-Settings!$F$5+1)</f>
        <v/>
      </c>
      <c r="EX1" s="13" t="inlineStr">
        <is>
          <t>Lo</t>
        </is>
      </c>
      <c r="EY1" s="33">
        <f>IF(OR(Capability!$E$10="",Capability!$F$10="",((IF(Capability!$Q$10="",Capability!$F$10,MAX(Capability!$F$10,Capability!$Q$10)))-(IF(Capability!$P$10="",Capability!$E$10,MIN(Capability!$E$10,Capability!$P$10))))&lt;=0),"",(IF(Capability!$P$10="",Capability!$E$10,MIN(Capability!$E$10,Capability!$P$10)))-((IF(Capability!$Q$10="",Capability!$F$10,MAX(Capability!$F$10,Capability!$Q$10)))-(IF(Capability!$P$10="",Capability!$E$10,MIN(Capability!$E$10,Capability!$P$10))))*0.05)</f>
        <v/>
      </c>
      <c r="EZ1" s="13" t="inlineStr">
        <is>
          <t>Width</t>
        </is>
      </c>
      <c r="FA1" s="33">
        <f>IF(OR(EY1="",FE1="",FE1&lt;=EY1),"",(FE1-EY1)/Settings!$F$6)</f>
        <v/>
      </c>
      <c r="FB1" s="13" t="inlineStr">
        <is>
          <t>MaxCnt</t>
        </is>
      </c>
      <c r="FC1" s="33">
        <f>MAX(FD4:FD18)</f>
        <v/>
      </c>
      <c r="FD1" s="13" t="inlineStr">
        <is>
          <t>Hi</t>
        </is>
      </c>
      <c r="FE1" s="33">
        <f>IF(OR(Capability!$E$10="",Capability!$F$10="",((IF(Capability!$Q$10="",Capability!$F$10,MAX(Capability!$F$10,Capability!$Q$10)))-(IF(Capability!$P$10="",Capability!$E$10,MIN(Capability!$E$10,Capability!$P$10))))&lt;=0),"",(IF(Capability!$Q$10="",Capability!$F$10,MAX(Capability!$F$10,Capability!$Q$10)))+((IF(Capability!$Q$10="",Capability!$F$10,MAX(Capability!$F$10,Capability!$Q$10)))-(IF(Capability!$P$10="",Capability!$E$10,MIN(Capability!$E$10,Capability!$P$10))))*0.05)</f>
        <v/>
      </c>
      <c r="FH1" s="13" t="inlineStr">
        <is>
          <t>LastRow</t>
        </is>
      </c>
      <c r="FI1" s="33">
        <f>'Data Entry'!N10022</f>
        <v/>
      </c>
      <c r="FJ1" s="13" t="inlineStr">
        <is>
          <t>Start</t>
        </is>
      </c>
      <c r="FK1" s="33">
        <f>MAX(5,FI1-Settings!$F$5+1)</f>
        <v/>
      </c>
      <c r="FL1" s="13" t="inlineStr">
        <is>
          <t>Lo</t>
        </is>
      </c>
      <c r="FM1" s="33">
        <f>IF(OR(Capability!$E$11="",Capability!$F$11="",((IF(Capability!$Q$11="",Capability!$F$11,MAX(Capability!$F$11,Capability!$Q$11)))-(IF(Capability!$P$11="",Capability!$E$11,MIN(Capability!$E$11,Capability!$P$11))))&lt;=0),"",(IF(Capability!$P$11="",Capability!$E$11,MIN(Capability!$E$11,Capability!$P$11)))-((IF(Capability!$Q$11="",Capability!$F$11,MAX(Capability!$F$11,Capability!$Q$11)))-(IF(Capability!$P$11="",Capability!$E$11,MIN(Capability!$E$11,Capability!$P$11))))*0.05)</f>
        <v/>
      </c>
      <c r="FN1" s="13" t="inlineStr">
        <is>
          <t>Width</t>
        </is>
      </c>
      <c r="FO1" s="33">
        <f>IF(OR(FM1="",FS1="",FS1&lt;=FM1),"",(FS1-FM1)/Settings!$F$6)</f>
        <v/>
      </c>
      <c r="FP1" s="13" t="inlineStr">
        <is>
          <t>MaxCnt</t>
        </is>
      </c>
      <c r="FQ1" s="33">
        <f>MAX(FR4:FR18)</f>
        <v/>
      </c>
      <c r="FR1" s="13" t="inlineStr">
        <is>
          <t>Hi</t>
        </is>
      </c>
      <c r="FS1" s="33">
        <f>IF(OR(Capability!$E$11="",Capability!$F$11="",((IF(Capability!$Q$11="",Capability!$F$11,MAX(Capability!$F$11,Capability!$Q$11)))-(IF(Capability!$P$11="",Capability!$E$11,MIN(Capability!$E$11,Capability!$P$11))))&lt;=0),"",(IF(Capability!$Q$11="",Capability!$F$11,MAX(Capability!$F$11,Capability!$Q$11)))+((IF(Capability!$Q$11="",Capability!$F$11,MAX(Capability!$F$11,Capability!$Q$11)))-(IF(Capability!$P$11="",Capability!$E$11,MIN(Capability!$E$11,Capability!$P$11))))*0.05)</f>
        <v/>
      </c>
      <c r="FV1" s="13" t="inlineStr">
        <is>
          <t>LastRow</t>
        </is>
      </c>
      <c r="FW1" s="33">
        <f>'Data Entry'!O10022</f>
        <v/>
      </c>
      <c r="FX1" s="13" t="inlineStr">
        <is>
          <t>Start</t>
        </is>
      </c>
      <c r="FY1" s="33">
        <f>MAX(5,FW1-Settings!$F$5+1)</f>
        <v/>
      </c>
      <c r="FZ1" s="13" t="inlineStr">
        <is>
          <t>Lo</t>
        </is>
      </c>
      <c r="GA1" s="33">
        <f>IF(OR(Capability!$E$12="",Capability!$F$12="",((IF(Capability!$Q$12="",Capability!$F$12,MAX(Capability!$F$12,Capability!$Q$12)))-(IF(Capability!$P$12="",Capability!$E$12,MIN(Capability!$E$12,Capability!$P$12))))&lt;=0),"",(IF(Capability!$P$12="",Capability!$E$12,MIN(Capability!$E$12,Capability!$P$12)))-((IF(Capability!$Q$12="",Capability!$F$12,MAX(Capability!$F$12,Capability!$Q$12)))-(IF(Capability!$P$12="",Capability!$E$12,MIN(Capability!$E$12,Capability!$P$12))))*0.05)</f>
        <v/>
      </c>
      <c r="GB1" s="13" t="inlineStr">
        <is>
          <t>Width</t>
        </is>
      </c>
      <c r="GC1" s="33">
        <f>IF(OR(GA1="",GG1="",GG1&lt;=GA1),"",(GG1-GA1)/Settings!$F$6)</f>
        <v/>
      </c>
      <c r="GD1" s="13" t="inlineStr">
        <is>
          <t>MaxCnt</t>
        </is>
      </c>
      <c r="GE1" s="33">
        <f>MAX(GF4:GF18)</f>
        <v/>
      </c>
      <c r="GF1" s="13" t="inlineStr">
        <is>
          <t>Hi</t>
        </is>
      </c>
      <c r="GG1" s="33">
        <f>IF(OR(Capability!$E$12="",Capability!$F$12="",((IF(Capability!$Q$12="",Capability!$F$12,MAX(Capability!$F$12,Capability!$Q$12)))-(IF(Capability!$P$12="",Capability!$E$12,MIN(Capability!$E$12,Capability!$P$12))))&lt;=0),"",(IF(Capability!$Q$12="",Capability!$F$12,MAX(Capability!$F$12,Capability!$Q$12)))+((IF(Capability!$Q$12="",Capability!$F$12,MAX(Capability!$F$12,Capability!$Q$12)))-(IF(Capability!$P$12="",Capability!$E$12,MIN(Capability!$E$12,Capability!$P$12))))*0.05)</f>
        <v/>
      </c>
      <c r="GJ1" s="13" t="inlineStr">
        <is>
          <t>LastRow</t>
        </is>
      </c>
      <c r="GK1" s="33">
        <f>'Data Entry'!P10022</f>
        <v/>
      </c>
      <c r="GL1" s="13" t="inlineStr">
        <is>
          <t>Start</t>
        </is>
      </c>
      <c r="GM1" s="33">
        <f>MAX(5,GK1-Settings!$F$5+1)</f>
        <v/>
      </c>
      <c r="GN1" s="13" t="inlineStr">
        <is>
          <t>Lo</t>
        </is>
      </c>
      <c r="GO1" s="33">
        <f>IF(OR(Capability!$E$13="",Capability!$F$13="",((IF(Capability!$Q$13="",Capability!$F$13,MAX(Capability!$F$13,Capability!$Q$13)))-(IF(Capability!$P$13="",Capability!$E$13,MIN(Capability!$E$13,Capability!$P$13))))&lt;=0),"",(IF(Capability!$P$13="",Capability!$E$13,MIN(Capability!$E$13,Capability!$P$13)))-((IF(Capability!$Q$13="",Capability!$F$13,MAX(Capability!$F$13,Capability!$Q$13)))-(IF(Capability!$P$13="",Capability!$E$13,MIN(Capability!$E$13,Capability!$P$13))))*0.05)</f>
        <v/>
      </c>
      <c r="GP1" s="13" t="inlineStr">
        <is>
          <t>Width</t>
        </is>
      </c>
      <c r="GQ1" s="33">
        <f>IF(OR(GO1="",GU1="",GU1&lt;=GO1),"",(GU1-GO1)/Settings!$F$6)</f>
        <v/>
      </c>
      <c r="GR1" s="13" t="inlineStr">
        <is>
          <t>MaxCnt</t>
        </is>
      </c>
      <c r="GS1" s="33">
        <f>MAX(GT4:GT18)</f>
        <v/>
      </c>
      <c r="GT1" s="13" t="inlineStr">
        <is>
          <t>Hi</t>
        </is>
      </c>
      <c r="GU1" s="33">
        <f>IF(OR(Capability!$E$13="",Capability!$F$13="",((IF(Capability!$Q$13="",Capability!$F$13,MAX(Capability!$F$13,Capability!$Q$13)))-(IF(Capability!$P$13="",Capability!$E$13,MIN(Capability!$E$13,Capability!$P$13))))&lt;=0),"",(IF(Capability!$Q$13="",Capability!$F$13,MAX(Capability!$F$13,Capability!$Q$13)))+((IF(Capability!$Q$13="",Capability!$F$13,MAX(Capability!$F$13,Capability!$Q$13)))-(IF(Capability!$P$13="",Capability!$E$13,MIN(Capability!$E$13,Capability!$P$13))))*0.05)</f>
        <v/>
      </c>
      <c r="GX1" s="13" t="inlineStr">
        <is>
          <t>LastRow</t>
        </is>
      </c>
      <c r="GY1" s="33">
        <f>'Data Entry'!Q10022</f>
        <v/>
      </c>
      <c r="GZ1" s="13" t="inlineStr">
        <is>
          <t>Start</t>
        </is>
      </c>
      <c r="HA1" s="33">
        <f>MAX(5,GY1-Settings!$F$5+1)</f>
        <v/>
      </c>
      <c r="HB1" s="13" t="inlineStr">
        <is>
          <t>Lo</t>
        </is>
      </c>
      <c r="HC1" s="33">
        <f>IF(OR(Capability!$E$14="",Capability!$F$14="",((IF(Capability!$Q$14="",Capability!$F$14,MAX(Capability!$F$14,Capability!$Q$14)))-(IF(Capability!$P$14="",Capability!$E$14,MIN(Capability!$E$14,Capability!$P$14))))&lt;=0),"",(IF(Capability!$P$14="",Capability!$E$14,MIN(Capability!$E$14,Capability!$P$14)))-((IF(Capability!$Q$14="",Capability!$F$14,MAX(Capability!$F$14,Capability!$Q$14)))-(IF(Capability!$P$14="",Capability!$E$14,MIN(Capability!$E$14,Capability!$P$14))))*0.05)</f>
        <v/>
      </c>
      <c r="HD1" s="13" t="inlineStr">
        <is>
          <t>Width</t>
        </is>
      </c>
      <c r="HE1" s="33">
        <f>IF(OR(HC1="",HI1="",HI1&lt;=HC1),"",(HI1-HC1)/Settings!$F$6)</f>
        <v/>
      </c>
      <c r="HF1" s="13" t="inlineStr">
        <is>
          <t>MaxCnt</t>
        </is>
      </c>
      <c r="HG1" s="33">
        <f>MAX(HH4:HH18)</f>
        <v/>
      </c>
      <c r="HH1" s="13" t="inlineStr">
        <is>
          <t>Hi</t>
        </is>
      </c>
      <c r="HI1" s="33">
        <f>IF(OR(Capability!$E$14="",Capability!$F$14="",((IF(Capability!$Q$14="",Capability!$F$14,MAX(Capability!$F$14,Capability!$Q$14)))-(IF(Capability!$P$14="",Capability!$E$14,MIN(Capability!$E$14,Capability!$P$14))))&lt;=0),"",(IF(Capability!$Q$14="",Capability!$F$14,MAX(Capability!$F$14,Capability!$Q$14)))+((IF(Capability!$Q$14="",Capability!$F$14,MAX(Capability!$F$14,Capability!$Q$14)))-(IF(Capability!$P$14="",Capability!$E$14,MIN(Capability!$E$14,Capability!$P$14))))*0.05)</f>
        <v/>
      </c>
    </row>
    <row r="2">
      <c r="A2" s="3" t="inlineStr">
        <is>
          <t>Live statistics sit to the left of each graph. X charts show UCL/CL/LCL plus USL/LSL. Charts follow the most recent points (Settings &gt; Chart Window).</t>
        </is>
      </c>
    </row>
    <row r="3">
      <c r="CB3" s="13" t="inlineStr">
        <is>
          <t>idx</t>
        </is>
      </c>
      <c r="CC3" s="13" t="inlineStr">
        <is>
          <t>X</t>
        </is>
      </c>
      <c r="CD3" s="13" t="inlineStr">
        <is>
          <t>CL</t>
        </is>
      </c>
      <c r="CE3" s="13" t="inlineStr">
        <is>
          <t>UCL</t>
        </is>
      </c>
      <c r="CF3" s="13" t="inlineStr">
        <is>
          <t>LCL</t>
        </is>
      </c>
      <c r="CG3" s="13" t="inlineStr">
        <is>
          <t>mR</t>
        </is>
      </c>
      <c r="CH3" s="13" t="inlineStr">
        <is>
          <t>mR_UCL</t>
        </is>
      </c>
      <c r="CI3" s="13" t="inlineStr">
        <is>
          <t>USL</t>
        </is>
      </c>
      <c r="CJ3" s="13" t="inlineStr">
        <is>
          <t>LSL</t>
        </is>
      </c>
      <c r="CK3" s="13" t="inlineStr">
        <is>
          <t>Bin</t>
        </is>
      </c>
      <c r="CL3" s="13" t="inlineStr">
        <is>
          <t>Count</t>
        </is>
      </c>
      <c r="CM3" s="13" t="inlineStr">
        <is>
          <t>LSLmark</t>
        </is>
      </c>
      <c r="CN3" s="13" t="inlineStr">
        <is>
          <t>USLmark</t>
        </is>
      </c>
      <c r="CO3" s="13" t="inlineStr"/>
      <c r="CP3" s="13" t="inlineStr">
        <is>
          <t>idx</t>
        </is>
      </c>
      <c r="CQ3" s="13" t="inlineStr">
        <is>
          <t>X</t>
        </is>
      </c>
      <c r="CR3" s="13" t="inlineStr">
        <is>
          <t>CL</t>
        </is>
      </c>
      <c r="CS3" s="13" t="inlineStr">
        <is>
          <t>UCL</t>
        </is>
      </c>
      <c r="CT3" s="13" t="inlineStr">
        <is>
          <t>LCL</t>
        </is>
      </c>
      <c r="CU3" s="13" t="inlineStr">
        <is>
          <t>mR</t>
        </is>
      </c>
      <c r="CV3" s="13" t="inlineStr">
        <is>
          <t>mR_UCL</t>
        </is>
      </c>
      <c r="CW3" s="13" t="inlineStr">
        <is>
          <t>USL</t>
        </is>
      </c>
      <c r="CX3" s="13" t="inlineStr">
        <is>
          <t>LSL</t>
        </is>
      </c>
      <c r="CY3" s="13" t="inlineStr">
        <is>
          <t>Bin</t>
        </is>
      </c>
      <c r="CZ3" s="13" t="inlineStr">
        <is>
          <t>Count</t>
        </is>
      </c>
      <c r="DA3" s="13" t="inlineStr">
        <is>
          <t>LSLmark</t>
        </is>
      </c>
      <c r="DB3" s="13" t="inlineStr">
        <is>
          <t>USLmark</t>
        </is>
      </c>
      <c r="DC3" s="13" t="inlineStr"/>
      <c r="DD3" s="13" t="inlineStr">
        <is>
          <t>idx</t>
        </is>
      </c>
      <c r="DE3" s="13" t="inlineStr">
        <is>
          <t>X</t>
        </is>
      </c>
      <c r="DF3" s="13" t="inlineStr">
        <is>
          <t>CL</t>
        </is>
      </c>
      <c r="DG3" s="13" t="inlineStr">
        <is>
          <t>UCL</t>
        </is>
      </c>
      <c r="DH3" s="13" t="inlineStr">
        <is>
          <t>LCL</t>
        </is>
      </c>
      <c r="DI3" s="13" t="inlineStr">
        <is>
          <t>mR</t>
        </is>
      </c>
      <c r="DJ3" s="13" t="inlineStr">
        <is>
          <t>mR_UCL</t>
        </is>
      </c>
      <c r="DK3" s="13" t="inlineStr">
        <is>
          <t>USL</t>
        </is>
      </c>
      <c r="DL3" s="13" t="inlineStr">
        <is>
          <t>LSL</t>
        </is>
      </c>
      <c r="DM3" s="13" t="inlineStr">
        <is>
          <t>Bin</t>
        </is>
      </c>
      <c r="DN3" s="13" t="inlineStr">
        <is>
          <t>Count</t>
        </is>
      </c>
      <c r="DO3" s="13" t="inlineStr">
        <is>
          <t>LSLmark</t>
        </is>
      </c>
      <c r="DP3" s="13" t="inlineStr">
        <is>
          <t>USLmark</t>
        </is>
      </c>
      <c r="DQ3" s="13" t="inlineStr"/>
      <c r="DR3" s="13" t="inlineStr">
        <is>
          <t>idx</t>
        </is>
      </c>
      <c r="DS3" s="13" t="inlineStr">
        <is>
          <t>X</t>
        </is>
      </c>
      <c r="DT3" s="13" t="inlineStr">
        <is>
          <t>CL</t>
        </is>
      </c>
      <c r="DU3" s="13" t="inlineStr">
        <is>
          <t>UCL</t>
        </is>
      </c>
      <c r="DV3" s="13" t="inlineStr">
        <is>
          <t>LCL</t>
        </is>
      </c>
      <c r="DW3" s="13" t="inlineStr">
        <is>
          <t>mR</t>
        </is>
      </c>
      <c r="DX3" s="13" t="inlineStr">
        <is>
          <t>mR_UCL</t>
        </is>
      </c>
      <c r="DY3" s="13" t="inlineStr">
        <is>
          <t>USL</t>
        </is>
      </c>
      <c r="DZ3" s="13" t="inlineStr">
        <is>
          <t>LSL</t>
        </is>
      </c>
      <c r="EA3" s="13" t="inlineStr">
        <is>
          <t>Bin</t>
        </is>
      </c>
      <c r="EB3" s="13" t="inlineStr">
        <is>
          <t>Count</t>
        </is>
      </c>
      <c r="EC3" s="13" t="inlineStr">
        <is>
          <t>LSLmark</t>
        </is>
      </c>
      <c r="ED3" s="13" t="inlineStr">
        <is>
          <t>USLmark</t>
        </is>
      </c>
      <c r="EE3" s="13" t="inlineStr"/>
      <c r="EF3" s="13" t="inlineStr">
        <is>
          <t>idx</t>
        </is>
      </c>
      <c r="EG3" s="13" t="inlineStr">
        <is>
          <t>X</t>
        </is>
      </c>
      <c r="EH3" s="13" t="inlineStr">
        <is>
          <t>CL</t>
        </is>
      </c>
      <c r="EI3" s="13" t="inlineStr">
        <is>
          <t>UCL</t>
        </is>
      </c>
      <c r="EJ3" s="13" t="inlineStr">
        <is>
          <t>LCL</t>
        </is>
      </c>
      <c r="EK3" s="13" t="inlineStr">
        <is>
          <t>mR</t>
        </is>
      </c>
      <c r="EL3" s="13" t="inlineStr">
        <is>
          <t>mR_UCL</t>
        </is>
      </c>
      <c r="EM3" s="13" t="inlineStr">
        <is>
          <t>USL</t>
        </is>
      </c>
      <c r="EN3" s="13" t="inlineStr">
        <is>
          <t>LSL</t>
        </is>
      </c>
      <c r="EO3" s="13" t="inlineStr">
        <is>
          <t>Bin</t>
        </is>
      </c>
      <c r="EP3" s="13" t="inlineStr">
        <is>
          <t>Count</t>
        </is>
      </c>
      <c r="EQ3" s="13" t="inlineStr">
        <is>
          <t>LSLmark</t>
        </is>
      </c>
      <c r="ER3" s="13" t="inlineStr">
        <is>
          <t>USLmark</t>
        </is>
      </c>
      <c r="ES3" s="13" t="inlineStr"/>
      <c r="ET3" s="13" t="inlineStr">
        <is>
          <t>idx</t>
        </is>
      </c>
      <c r="EU3" s="13" t="inlineStr">
        <is>
          <t>X</t>
        </is>
      </c>
      <c r="EV3" s="13" t="inlineStr">
        <is>
          <t>CL</t>
        </is>
      </c>
      <c r="EW3" s="13" t="inlineStr">
        <is>
          <t>UCL</t>
        </is>
      </c>
      <c r="EX3" s="13" t="inlineStr">
        <is>
          <t>LCL</t>
        </is>
      </c>
      <c r="EY3" s="13" t="inlineStr">
        <is>
          <t>mR</t>
        </is>
      </c>
      <c r="EZ3" s="13" t="inlineStr">
        <is>
          <t>mR_UCL</t>
        </is>
      </c>
      <c r="FA3" s="13" t="inlineStr">
        <is>
          <t>USL</t>
        </is>
      </c>
      <c r="FB3" s="13" t="inlineStr">
        <is>
          <t>LSL</t>
        </is>
      </c>
      <c r="FC3" s="13" t="inlineStr">
        <is>
          <t>Bin</t>
        </is>
      </c>
      <c r="FD3" s="13" t="inlineStr">
        <is>
          <t>Count</t>
        </is>
      </c>
      <c r="FE3" s="13" t="inlineStr">
        <is>
          <t>LSLmark</t>
        </is>
      </c>
      <c r="FF3" s="13" t="inlineStr">
        <is>
          <t>USLmark</t>
        </is>
      </c>
      <c r="FG3" s="13" t="inlineStr"/>
      <c r="FH3" s="13" t="inlineStr">
        <is>
          <t>idx</t>
        </is>
      </c>
      <c r="FI3" s="13" t="inlineStr">
        <is>
          <t>X</t>
        </is>
      </c>
      <c r="FJ3" s="13" t="inlineStr">
        <is>
          <t>CL</t>
        </is>
      </c>
      <c r="FK3" s="13" t="inlineStr">
        <is>
          <t>UCL</t>
        </is>
      </c>
      <c r="FL3" s="13" t="inlineStr">
        <is>
          <t>LCL</t>
        </is>
      </c>
      <c r="FM3" s="13" t="inlineStr">
        <is>
          <t>mR</t>
        </is>
      </c>
      <c r="FN3" s="13" t="inlineStr">
        <is>
          <t>mR_UCL</t>
        </is>
      </c>
      <c r="FO3" s="13" t="inlineStr">
        <is>
          <t>USL</t>
        </is>
      </c>
      <c r="FP3" s="13" t="inlineStr">
        <is>
          <t>LSL</t>
        </is>
      </c>
      <c r="FQ3" s="13" t="inlineStr">
        <is>
          <t>Bin</t>
        </is>
      </c>
      <c r="FR3" s="13" t="inlineStr">
        <is>
          <t>Count</t>
        </is>
      </c>
      <c r="FS3" s="13" t="inlineStr">
        <is>
          <t>LSLmark</t>
        </is>
      </c>
      <c r="FT3" s="13" t="inlineStr">
        <is>
          <t>USLmark</t>
        </is>
      </c>
      <c r="FU3" s="13" t="inlineStr"/>
      <c r="FV3" s="13" t="inlineStr">
        <is>
          <t>idx</t>
        </is>
      </c>
      <c r="FW3" s="13" t="inlineStr">
        <is>
          <t>X</t>
        </is>
      </c>
      <c r="FX3" s="13" t="inlineStr">
        <is>
          <t>CL</t>
        </is>
      </c>
      <c r="FY3" s="13" t="inlineStr">
        <is>
          <t>UCL</t>
        </is>
      </c>
      <c r="FZ3" s="13" t="inlineStr">
        <is>
          <t>LCL</t>
        </is>
      </c>
      <c r="GA3" s="13" t="inlineStr">
        <is>
          <t>mR</t>
        </is>
      </c>
      <c r="GB3" s="13" t="inlineStr">
        <is>
          <t>mR_UCL</t>
        </is>
      </c>
      <c r="GC3" s="13" t="inlineStr">
        <is>
          <t>USL</t>
        </is>
      </c>
      <c r="GD3" s="13" t="inlineStr">
        <is>
          <t>LSL</t>
        </is>
      </c>
      <c r="GE3" s="13" t="inlineStr">
        <is>
          <t>Bin</t>
        </is>
      </c>
      <c r="GF3" s="13" t="inlineStr">
        <is>
          <t>Count</t>
        </is>
      </c>
      <c r="GG3" s="13" t="inlineStr">
        <is>
          <t>LSLmark</t>
        </is>
      </c>
      <c r="GH3" s="13" t="inlineStr">
        <is>
          <t>USLmark</t>
        </is>
      </c>
      <c r="GI3" s="13" t="inlineStr"/>
      <c r="GJ3" s="13" t="inlineStr">
        <is>
          <t>idx</t>
        </is>
      </c>
      <c r="GK3" s="13" t="inlineStr">
        <is>
          <t>X</t>
        </is>
      </c>
      <c r="GL3" s="13" t="inlineStr">
        <is>
          <t>CL</t>
        </is>
      </c>
      <c r="GM3" s="13" t="inlineStr">
        <is>
          <t>UCL</t>
        </is>
      </c>
      <c r="GN3" s="13" t="inlineStr">
        <is>
          <t>LCL</t>
        </is>
      </c>
      <c r="GO3" s="13" t="inlineStr">
        <is>
          <t>mR</t>
        </is>
      </c>
      <c r="GP3" s="13" t="inlineStr">
        <is>
          <t>mR_UCL</t>
        </is>
      </c>
      <c r="GQ3" s="13" t="inlineStr">
        <is>
          <t>USL</t>
        </is>
      </c>
      <c r="GR3" s="13" t="inlineStr">
        <is>
          <t>LSL</t>
        </is>
      </c>
      <c r="GS3" s="13" t="inlineStr">
        <is>
          <t>Bin</t>
        </is>
      </c>
      <c r="GT3" s="13" t="inlineStr">
        <is>
          <t>Count</t>
        </is>
      </c>
      <c r="GU3" s="13" t="inlineStr">
        <is>
          <t>LSLmark</t>
        </is>
      </c>
      <c r="GV3" s="13" t="inlineStr">
        <is>
          <t>USLmark</t>
        </is>
      </c>
      <c r="GW3" s="13" t="inlineStr"/>
      <c r="GX3" s="13" t="inlineStr">
        <is>
          <t>idx</t>
        </is>
      </c>
      <c r="GY3" s="13" t="inlineStr">
        <is>
          <t>X</t>
        </is>
      </c>
      <c r="GZ3" s="13" t="inlineStr">
        <is>
          <t>CL</t>
        </is>
      </c>
      <c r="HA3" s="13" t="inlineStr">
        <is>
          <t>UCL</t>
        </is>
      </c>
      <c r="HB3" s="13" t="inlineStr">
        <is>
          <t>LCL</t>
        </is>
      </c>
      <c r="HC3" s="13" t="inlineStr">
        <is>
          <t>mR</t>
        </is>
      </c>
      <c r="HD3" s="13" t="inlineStr">
        <is>
          <t>mR_UCL</t>
        </is>
      </c>
      <c r="HE3" s="13" t="inlineStr">
        <is>
          <t>USL</t>
        </is>
      </c>
      <c r="HF3" s="13" t="inlineStr">
        <is>
          <t>LSL</t>
        </is>
      </c>
      <c r="HG3" s="13" t="inlineStr">
        <is>
          <t>Bin</t>
        </is>
      </c>
      <c r="HH3" s="13" t="inlineStr">
        <is>
          <t>Count</t>
        </is>
      </c>
      <c r="HI3" s="13" t="inlineStr">
        <is>
          <t>LSLmark</t>
        </is>
      </c>
      <c r="HJ3" s="13" t="inlineStr">
        <is>
          <t>USLmark</t>
        </is>
      </c>
      <c r="HK3" s="13" t="inlineStr"/>
    </row>
    <row r="4">
      <c r="A4" s="34">
        <f>"FEATURE 1: "&amp;IF(Settings!B17="","(unnamed)",Settings!B17)</f>
        <v/>
      </c>
      <c r="B4" s="9" t="n"/>
      <c r="CB4">
        <f>IF((CE$1+0)&gt;CC$1,NA(),(CE$1+0)-4)</f>
        <v/>
      </c>
      <c r="CC4">
        <f>IF((CE$1+0)&gt;CC$1,NA(),INDEX('Data Entry'!$H$5:$H$10004,(CE$1+0)-4))</f>
        <v/>
      </c>
      <c r="CD4">
        <f>IF(ISNA(CB4),NA(),Capability!$K$5)</f>
        <v/>
      </c>
      <c r="CE4">
        <f>IF(ISNA(CB4),NA(),Capability!$J$5)</f>
        <v/>
      </c>
      <c r="CF4">
        <f>IF(ISNA(CB4),NA(),Capability!$L$5)</f>
        <v/>
      </c>
      <c r="CG4">
        <f>NA()</f>
        <v/>
      </c>
      <c r="CH4">
        <f>IF(ISNA(CB4),NA(),Capability!$N$5)</f>
        <v/>
      </c>
      <c r="CI4">
        <f>IF(ISNA(CB4),NA(),IF(OR(Capability!$Q$5="",Settings!$F$7&lt;&gt;"Y"),NA(),Capability!$Q$5))</f>
        <v/>
      </c>
      <c r="CJ4">
        <f>IF(ISNA(CB4),NA(),IF(OR(Capability!$P$5="",Settings!$F$7&lt;&gt;"Y"),NA(),Capability!$P$5))</f>
        <v/>
      </c>
      <c r="CK4">
        <f>IF(CI$1="","",ROUND(CG$1+CI$1*0.5,4))</f>
        <v/>
      </c>
      <c r="CL4">
        <f>IF(CI$1="","",COUNTIFS('Data Entry'!$H$5:$H$10004,"&gt;="&amp;(CG$1+CI$1*0),'Data Entry'!$H$5:$H$10004,"&lt;"&amp;(CG$1+CI$1*1)))</f>
        <v/>
      </c>
      <c r="CM4">
        <f>IF(OR(Capability!$P$5="",CI$1=""),NA(),IF(AND(Capability!$P$5&gt;=(CG$1+CI$1*0),Capability!$P$5&lt;(CG$1+CI$1*1)),CK$1*1.15,NA()))</f>
        <v/>
      </c>
      <c r="CN4">
        <f>IF(OR(Capability!$Q$5="",CI$1=""),NA(),IF(AND(Capability!$Q$5&gt;=(CG$1+CI$1*0),Capability!$Q$5&lt;(CG$1+CI$1*1)),CK$1*1.15,NA()))</f>
        <v/>
      </c>
      <c r="CP4">
        <f>IF((CS$1+0)&gt;CQ$1,NA(),(CS$1+0)-4)</f>
        <v/>
      </c>
      <c r="CQ4">
        <f>IF((CS$1+0)&gt;CQ$1,NA(),INDEX('Data Entry'!$I$5:$I$10004,(CS$1+0)-4))</f>
        <v/>
      </c>
      <c r="CR4">
        <f>IF(ISNA(CP4),NA(),Capability!$K$6)</f>
        <v/>
      </c>
      <c r="CS4">
        <f>IF(ISNA(CP4),NA(),Capability!$J$6)</f>
        <v/>
      </c>
      <c r="CT4">
        <f>IF(ISNA(CP4),NA(),Capability!$L$6)</f>
        <v/>
      </c>
      <c r="CU4">
        <f>NA()</f>
        <v/>
      </c>
      <c r="CV4">
        <f>IF(ISNA(CP4),NA(),Capability!$N$6)</f>
        <v/>
      </c>
      <c r="CW4">
        <f>IF(ISNA(CP4),NA(),IF(OR(Capability!$Q$6="",Settings!$F$7&lt;&gt;"Y"),NA(),Capability!$Q$6))</f>
        <v/>
      </c>
      <c r="CX4">
        <f>IF(ISNA(CP4),NA(),IF(OR(Capability!$P$6="",Settings!$F$7&lt;&gt;"Y"),NA(),Capability!$P$6))</f>
        <v/>
      </c>
      <c r="CY4">
        <f>IF(CW$1="","",ROUND(CU$1+CW$1*0.5,4))</f>
        <v/>
      </c>
      <c r="CZ4">
        <f>IF(CW$1="","",COUNTIFS('Data Entry'!$I$5:$I$10004,"&gt;="&amp;(CU$1+CW$1*0),'Data Entry'!$I$5:$I$10004,"&lt;"&amp;(CU$1+CW$1*1)))</f>
        <v/>
      </c>
      <c r="DA4">
        <f>IF(OR(Capability!$P$6="",CW$1=""),NA(),IF(AND(Capability!$P$6&gt;=(CU$1+CW$1*0),Capability!$P$6&lt;(CU$1+CW$1*1)),CY$1*1.15,NA()))</f>
        <v/>
      </c>
      <c r="DB4">
        <f>IF(OR(Capability!$Q$6="",CW$1=""),NA(),IF(AND(Capability!$Q$6&gt;=(CU$1+CW$1*0),Capability!$Q$6&lt;(CU$1+CW$1*1)),CY$1*1.15,NA()))</f>
        <v/>
      </c>
      <c r="DD4">
        <f>IF((DG$1+0)&gt;DE$1,NA(),(DG$1+0)-4)</f>
        <v/>
      </c>
      <c r="DE4">
        <f>IF((DG$1+0)&gt;DE$1,NA(),INDEX('Data Entry'!$J$5:$J$10004,(DG$1+0)-4))</f>
        <v/>
      </c>
      <c r="DF4">
        <f>IF(ISNA(DD4),NA(),Capability!$K$7)</f>
        <v/>
      </c>
      <c r="DG4">
        <f>IF(ISNA(DD4),NA(),Capability!$J$7)</f>
        <v/>
      </c>
      <c r="DH4">
        <f>IF(ISNA(DD4),NA(),Capability!$L$7)</f>
        <v/>
      </c>
      <c r="DI4">
        <f>NA()</f>
        <v/>
      </c>
      <c r="DJ4">
        <f>IF(ISNA(DD4),NA(),Capability!$N$7)</f>
        <v/>
      </c>
      <c r="DK4">
        <f>IF(ISNA(DD4),NA(),IF(OR(Capability!$Q$7="",Settings!$F$7&lt;&gt;"Y"),NA(),Capability!$Q$7))</f>
        <v/>
      </c>
      <c r="DL4">
        <f>IF(ISNA(DD4),NA(),IF(OR(Capability!$P$7="",Settings!$F$7&lt;&gt;"Y"),NA(),Capability!$P$7))</f>
        <v/>
      </c>
      <c r="DM4">
        <f>IF(DK$1="","",ROUND(DI$1+DK$1*0.5,4))</f>
        <v/>
      </c>
      <c r="DN4">
        <f>IF(DK$1="","",COUNTIFS('Data Entry'!$J$5:$J$10004,"&gt;="&amp;(DI$1+DK$1*0),'Data Entry'!$J$5:$J$10004,"&lt;"&amp;(DI$1+DK$1*1)))</f>
        <v/>
      </c>
      <c r="DO4">
        <f>IF(OR(Capability!$P$7="",DK$1=""),NA(),IF(AND(Capability!$P$7&gt;=(DI$1+DK$1*0),Capability!$P$7&lt;(DI$1+DK$1*1)),DM$1*1.15,NA()))</f>
        <v/>
      </c>
      <c r="DP4">
        <f>IF(OR(Capability!$Q$7="",DK$1=""),NA(),IF(AND(Capability!$Q$7&gt;=(DI$1+DK$1*0),Capability!$Q$7&lt;(DI$1+DK$1*1)),DM$1*1.15,NA()))</f>
        <v/>
      </c>
      <c r="DR4">
        <f>IF((DU$1+0)&gt;DS$1,NA(),(DU$1+0)-4)</f>
        <v/>
      </c>
      <c r="DS4">
        <f>IF((DU$1+0)&gt;DS$1,NA(),INDEX('Data Entry'!$K$5:$K$10004,(DU$1+0)-4))</f>
        <v/>
      </c>
      <c r="DT4">
        <f>IF(ISNA(DR4),NA(),Capability!$K$8)</f>
        <v/>
      </c>
      <c r="DU4">
        <f>IF(ISNA(DR4),NA(),Capability!$J$8)</f>
        <v/>
      </c>
      <c r="DV4">
        <f>IF(ISNA(DR4),NA(),Capability!$L$8)</f>
        <v/>
      </c>
      <c r="DW4">
        <f>NA()</f>
        <v/>
      </c>
      <c r="DX4">
        <f>IF(ISNA(DR4),NA(),Capability!$N$8)</f>
        <v/>
      </c>
      <c r="DY4">
        <f>IF(ISNA(DR4),NA(),IF(OR(Capability!$Q$8="",Settings!$F$7&lt;&gt;"Y"),NA(),Capability!$Q$8))</f>
        <v/>
      </c>
      <c r="DZ4">
        <f>IF(ISNA(DR4),NA(),IF(OR(Capability!$P$8="",Settings!$F$7&lt;&gt;"Y"),NA(),Capability!$P$8))</f>
        <v/>
      </c>
      <c r="EA4">
        <f>IF(DY$1="","",ROUND(DW$1+DY$1*0.5,4))</f>
        <v/>
      </c>
      <c r="EB4">
        <f>IF(DY$1="","",COUNTIFS('Data Entry'!$K$5:$K$10004,"&gt;="&amp;(DW$1+DY$1*0),'Data Entry'!$K$5:$K$10004,"&lt;"&amp;(DW$1+DY$1*1)))</f>
        <v/>
      </c>
      <c r="EC4">
        <f>IF(OR(Capability!$P$8="",DY$1=""),NA(),IF(AND(Capability!$P$8&gt;=(DW$1+DY$1*0),Capability!$P$8&lt;(DW$1+DY$1*1)),EA$1*1.15,NA()))</f>
        <v/>
      </c>
      <c r="ED4">
        <f>IF(OR(Capability!$Q$8="",DY$1=""),NA(),IF(AND(Capability!$Q$8&gt;=(DW$1+DY$1*0),Capability!$Q$8&lt;(DW$1+DY$1*1)),EA$1*1.15,NA()))</f>
        <v/>
      </c>
      <c r="EF4">
        <f>IF((EI$1+0)&gt;EG$1,NA(),(EI$1+0)-4)</f>
        <v/>
      </c>
      <c r="EG4">
        <f>IF((EI$1+0)&gt;EG$1,NA(),INDEX('Data Entry'!$L$5:$L$10004,(EI$1+0)-4))</f>
        <v/>
      </c>
      <c r="EH4">
        <f>IF(ISNA(EF4),NA(),Capability!$K$9)</f>
        <v/>
      </c>
      <c r="EI4">
        <f>IF(ISNA(EF4),NA(),Capability!$J$9)</f>
        <v/>
      </c>
      <c r="EJ4">
        <f>IF(ISNA(EF4),NA(),Capability!$L$9)</f>
        <v/>
      </c>
      <c r="EK4">
        <f>NA()</f>
        <v/>
      </c>
      <c r="EL4">
        <f>IF(ISNA(EF4),NA(),Capability!$N$9)</f>
        <v/>
      </c>
      <c r="EM4">
        <f>IF(ISNA(EF4),NA(),IF(OR(Capability!$Q$9="",Settings!$F$7&lt;&gt;"Y"),NA(),Capability!$Q$9))</f>
        <v/>
      </c>
      <c r="EN4">
        <f>IF(ISNA(EF4),NA(),IF(OR(Capability!$P$9="",Settings!$F$7&lt;&gt;"Y"),NA(),Capability!$P$9))</f>
        <v/>
      </c>
      <c r="EO4">
        <f>IF(EM$1="","",ROUND(EK$1+EM$1*0.5,4))</f>
        <v/>
      </c>
      <c r="EP4">
        <f>IF(EM$1="","",COUNTIFS('Data Entry'!$L$5:$L$10004,"&gt;="&amp;(EK$1+EM$1*0),'Data Entry'!$L$5:$L$10004,"&lt;"&amp;(EK$1+EM$1*1)))</f>
        <v/>
      </c>
      <c r="EQ4">
        <f>IF(OR(Capability!$P$9="",EM$1=""),NA(),IF(AND(Capability!$P$9&gt;=(EK$1+EM$1*0),Capability!$P$9&lt;(EK$1+EM$1*1)),EO$1*1.15,NA()))</f>
        <v/>
      </c>
      <c r="ER4">
        <f>IF(OR(Capability!$Q$9="",EM$1=""),NA(),IF(AND(Capability!$Q$9&gt;=(EK$1+EM$1*0),Capability!$Q$9&lt;(EK$1+EM$1*1)),EO$1*1.15,NA()))</f>
        <v/>
      </c>
      <c r="ET4">
        <f>IF((EW$1+0)&gt;EU$1,NA(),(EW$1+0)-4)</f>
        <v/>
      </c>
      <c r="EU4">
        <f>IF((EW$1+0)&gt;EU$1,NA(),INDEX('Data Entry'!$M$5:$M$10004,(EW$1+0)-4))</f>
        <v/>
      </c>
      <c r="EV4">
        <f>IF(ISNA(ET4),NA(),Capability!$K$10)</f>
        <v/>
      </c>
      <c r="EW4">
        <f>IF(ISNA(ET4),NA(),Capability!$J$10)</f>
        <v/>
      </c>
      <c r="EX4">
        <f>IF(ISNA(ET4),NA(),Capability!$L$10)</f>
        <v/>
      </c>
      <c r="EY4">
        <f>NA()</f>
        <v/>
      </c>
      <c r="EZ4">
        <f>IF(ISNA(ET4),NA(),Capability!$N$10)</f>
        <v/>
      </c>
      <c r="FA4">
        <f>IF(ISNA(ET4),NA(),IF(OR(Capability!$Q$10="",Settings!$F$7&lt;&gt;"Y"),NA(),Capability!$Q$10))</f>
        <v/>
      </c>
      <c r="FB4">
        <f>IF(ISNA(ET4),NA(),IF(OR(Capability!$P$10="",Settings!$F$7&lt;&gt;"Y"),NA(),Capability!$P$10))</f>
        <v/>
      </c>
      <c r="FC4">
        <f>IF(FA$1="","",ROUND(EY$1+FA$1*0.5,4))</f>
        <v/>
      </c>
      <c r="FD4">
        <f>IF(FA$1="","",COUNTIFS('Data Entry'!$M$5:$M$10004,"&gt;="&amp;(EY$1+FA$1*0),'Data Entry'!$M$5:$M$10004,"&lt;"&amp;(EY$1+FA$1*1)))</f>
        <v/>
      </c>
      <c r="FE4">
        <f>IF(OR(Capability!$P$10="",FA$1=""),NA(),IF(AND(Capability!$P$10&gt;=(EY$1+FA$1*0),Capability!$P$10&lt;(EY$1+FA$1*1)),FC$1*1.15,NA()))</f>
        <v/>
      </c>
      <c r="FF4">
        <f>IF(OR(Capability!$Q$10="",FA$1=""),NA(),IF(AND(Capability!$Q$10&gt;=(EY$1+FA$1*0),Capability!$Q$10&lt;(EY$1+FA$1*1)),FC$1*1.15,NA()))</f>
        <v/>
      </c>
      <c r="FH4">
        <f>IF((FK$1+0)&gt;FI$1,NA(),(FK$1+0)-4)</f>
        <v/>
      </c>
      <c r="FI4">
        <f>IF((FK$1+0)&gt;FI$1,NA(),INDEX('Data Entry'!$N$5:$N$10004,(FK$1+0)-4))</f>
        <v/>
      </c>
      <c r="FJ4">
        <f>IF(ISNA(FH4),NA(),Capability!$K$11)</f>
        <v/>
      </c>
      <c r="FK4">
        <f>IF(ISNA(FH4),NA(),Capability!$J$11)</f>
        <v/>
      </c>
      <c r="FL4">
        <f>IF(ISNA(FH4),NA(),Capability!$L$11)</f>
        <v/>
      </c>
      <c r="FM4">
        <f>NA()</f>
        <v/>
      </c>
      <c r="FN4">
        <f>IF(ISNA(FH4),NA(),Capability!$N$11)</f>
        <v/>
      </c>
      <c r="FO4">
        <f>IF(ISNA(FH4),NA(),IF(OR(Capability!$Q$11="",Settings!$F$7&lt;&gt;"Y"),NA(),Capability!$Q$11))</f>
        <v/>
      </c>
      <c r="FP4">
        <f>IF(ISNA(FH4),NA(),IF(OR(Capability!$P$11="",Settings!$F$7&lt;&gt;"Y"),NA(),Capability!$P$11))</f>
        <v/>
      </c>
      <c r="FQ4">
        <f>IF(FO$1="","",ROUND(FM$1+FO$1*0.5,4))</f>
        <v/>
      </c>
      <c r="FR4">
        <f>IF(FO$1="","",COUNTIFS('Data Entry'!$N$5:$N$10004,"&gt;="&amp;(FM$1+FO$1*0),'Data Entry'!$N$5:$N$10004,"&lt;"&amp;(FM$1+FO$1*1)))</f>
        <v/>
      </c>
      <c r="FS4">
        <f>IF(OR(Capability!$P$11="",FO$1=""),NA(),IF(AND(Capability!$P$11&gt;=(FM$1+FO$1*0),Capability!$P$11&lt;(FM$1+FO$1*1)),FQ$1*1.15,NA()))</f>
        <v/>
      </c>
      <c r="FT4">
        <f>IF(OR(Capability!$Q$11="",FO$1=""),NA(),IF(AND(Capability!$Q$11&gt;=(FM$1+FO$1*0),Capability!$Q$11&lt;(FM$1+FO$1*1)),FQ$1*1.15,NA()))</f>
        <v/>
      </c>
      <c r="FV4">
        <f>IF((FY$1+0)&gt;FW$1,NA(),(FY$1+0)-4)</f>
        <v/>
      </c>
      <c r="FW4">
        <f>IF((FY$1+0)&gt;FW$1,NA(),INDEX('Data Entry'!$O$5:$O$10004,(FY$1+0)-4))</f>
        <v/>
      </c>
      <c r="FX4">
        <f>IF(ISNA(FV4),NA(),Capability!$K$12)</f>
        <v/>
      </c>
      <c r="FY4">
        <f>IF(ISNA(FV4),NA(),Capability!$J$12)</f>
        <v/>
      </c>
      <c r="FZ4">
        <f>IF(ISNA(FV4),NA(),Capability!$L$12)</f>
        <v/>
      </c>
      <c r="GA4">
        <f>NA()</f>
        <v/>
      </c>
      <c r="GB4">
        <f>IF(ISNA(FV4),NA(),Capability!$N$12)</f>
        <v/>
      </c>
      <c r="GC4">
        <f>IF(ISNA(FV4),NA(),IF(OR(Capability!$Q$12="",Settings!$F$7&lt;&gt;"Y"),NA(),Capability!$Q$12))</f>
        <v/>
      </c>
      <c r="GD4">
        <f>IF(ISNA(FV4),NA(),IF(OR(Capability!$P$12="",Settings!$F$7&lt;&gt;"Y"),NA(),Capability!$P$12))</f>
        <v/>
      </c>
      <c r="GE4">
        <f>IF(GC$1="","",ROUND(GA$1+GC$1*0.5,4))</f>
        <v/>
      </c>
      <c r="GF4">
        <f>IF(GC$1="","",COUNTIFS('Data Entry'!$O$5:$O$10004,"&gt;="&amp;(GA$1+GC$1*0),'Data Entry'!$O$5:$O$10004,"&lt;"&amp;(GA$1+GC$1*1)))</f>
        <v/>
      </c>
      <c r="GG4">
        <f>IF(OR(Capability!$P$12="",GC$1=""),NA(),IF(AND(Capability!$P$12&gt;=(GA$1+GC$1*0),Capability!$P$12&lt;(GA$1+GC$1*1)),GE$1*1.15,NA()))</f>
        <v/>
      </c>
      <c r="GH4">
        <f>IF(OR(Capability!$Q$12="",GC$1=""),NA(),IF(AND(Capability!$Q$12&gt;=(GA$1+GC$1*0),Capability!$Q$12&lt;(GA$1+GC$1*1)),GE$1*1.15,NA()))</f>
        <v/>
      </c>
      <c r="GJ4">
        <f>IF((GM$1+0)&gt;GK$1,NA(),(GM$1+0)-4)</f>
        <v/>
      </c>
      <c r="GK4">
        <f>IF((GM$1+0)&gt;GK$1,NA(),INDEX('Data Entry'!$P$5:$P$10004,(GM$1+0)-4))</f>
        <v/>
      </c>
      <c r="GL4">
        <f>IF(ISNA(GJ4),NA(),Capability!$K$13)</f>
        <v/>
      </c>
      <c r="GM4">
        <f>IF(ISNA(GJ4),NA(),Capability!$J$13)</f>
        <v/>
      </c>
      <c r="GN4">
        <f>IF(ISNA(GJ4),NA(),Capability!$L$13)</f>
        <v/>
      </c>
      <c r="GO4">
        <f>NA()</f>
        <v/>
      </c>
      <c r="GP4">
        <f>IF(ISNA(GJ4),NA(),Capability!$N$13)</f>
        <v/>
      </c>
      <c r="GQ4">
        <f>IF(ISNA(GJ4),NA(),IF(OR(Capability!$Q$13="",Settings!$F$7&lt;&gt;"Y"),NA(),Capability!$Q$13))</f>
        <v/>
      </c>
      <c r="GR4">
        <f>IF(ISNA(GJ4),NA(),IF(OR(Capability!$P$13="",Settings!$F$7&lt;&gt;"Y"),NA(),Capability!$P$13))</f>
        <v/>
      </c>
      <c r="GS4">
        <f>IF(GQ$1="","",ROUND(GO$1+GQ$1*0.5,4))</f>
        <v/>
      </c>
      <c r="GT4">
        <f>IF(GQ$1="","",COUNTIFS('Data Entry'!$P$5:$P$10004,"&gt;="&amp;(GO$1+GQ$1*0),'Data Entry'!$P$5:$P$10004,"&lt;"&amp;(GO$1+GQ$1*1)))</f>
        <v/>
      </c>
      <c r="GU4">
        <f>IF(OR(Capability!$P$13="",GQ$1=""),NA(),IF(AND(Capability!$P$13&gt;=(GO$1+GQ$1*0),Capability!$P$13&lt;(GO$1+GQ$1*1)),GS$1*1.15,NA()))</f>
        <v/>
      </c>
      <c r="GV4">
        <f>IF(OR(Capability!$Q$13="",GQ$1=""),NA(),IF(AND(Capability!$Q$13&gt;=(GO$1+GQ$1*0),Capability!$Q$13&lt;(GO$1+GQ$1*1)),GS$1*1.15,NA()))</f>
        <v/>
      </c>
      <c r="GX4">
        <f>IF((HA$1+0)&gt;GY$1,NA(),(HA$1+0)-4)</f>
        <v/>
      </c>
      <c r="GY4">
        <f>IF((HA$1+0)&gt;GY$1,NA(),INDEX('Data Entry'!$Q$5:$Q$10004,(HA$1+0)-4))</f>
        <v/>
      </c>
      <c r="GZ4">
        <f>IF(ISNA(GX4),NA(),Capability!$K$14)</f>
        <v/>
      </c>
      <c r="HA4">
        <f>IF(ISNA(GX4),NA(),Capability!$J$14)</f>
        <v/>
      </c>
      <c r="HB4">
        <f>IF(ISNA(GX4),NA(),Capability!$L$14)</f>
        <v/>
      </c>
      <c r="HC4">
        <f>NA()</f>
        <v/>
      </c>
      <c r="HD4">
        <f>IF(ISNA(GX4),NA(),Capability!$N$14)</f>
        <v/>
      </c>
      <c r="HE4">
        <f>IF(ISNA(GX4),NA(),IF(OR(Capability!$Q$14="",Settings!$F$7&lt;&gt;"Y"),NA(),Capability!$Q$14))</f>
        <v/>
      </c>
      <c r="HF4">
        <f>IF(ISNA(GX4),NA(),IF(OR(Capability!$P$14="",Settings!$F$7&lt;&gt;"Y"),NA(),Capability!$P$14))</f>
        <v/>
      </c>
      <c r="HG4">
        <f>IF(HE$1="","",ROUND(HC$1+HE$1*0.5,4))</f>
        <v/>
      </c>
      <c r="HH4">
        <f>IF(HE$1="","",COUNTIFS('Data Entry'!$Q$5:$Q$10004,"&gt;="&amp;(HC$1+HE$1*0),'Data Entry'!$Q$5:$Q$10004,"&lt;"&amp;(HC$1+HE$1*1)))</f>
        <v/>
      </c>
      <c r="HI4">
        <f>IF(OR(Capability!$P$14="",HE$1=""),NA(),IF(AND(Capability!$P$14&gt;=(HC$1+HE$1*0),Capability!$P$14&lt;(HC$1+HE$1*1)),HG$1*1.15,NA()))</f>
        <v/>
      </c>
      <c r="HJ4">
        <f>IF(OR(Capability!$Q$14="",HE$1=""),NA(),IF(AND(Capability!$Q$14&gt;=(HC$1+HE$1*0),Capability!$Q$14&lt;(HC$1+HE$1*1)),HG$1*1.15,NA()))</f>
        <v/>
      </c>
    </row>
    <row r="5">
      <c r="A5" s="35" t="inlineStr">
        <is>
          <t>Feature</t>
        </is>
      </c>
      <c r="B5" s="36">
        <f>Capability!A5</f>
        <v/>
      </c>
      <c r="CB5">
        <f>IF((CE$1+1)&gt;CC$1,NA(),(CE$1+1)-4)</f>
        <v/>
      </c>
      <c r="CC5">
        <f>IF((CE$1+1)&gt;CC$1,NA(),INDEX('Data Entry'!$H$5:$H$10004,(CE$1+1)-4))</f>
        <v/>
      </c>
      <c r="CD5">
        <f>IF(ISNA(CB5),NA(),Capability!$K$5)</f>
        <v/>
      </c>
      <c r="CE5">
        <f>IF(ISNA(CB5),NA(),Capability!$J$5)</f>
        <v/>
      </c>
      <c r="CF5">
        <f>IF(ISNA(CB5),NA(),Capability!$L$5)</f>
        <v/>
      </c>
      <c r="CG5">
        <f>IF(OR(ISNA(CC5),ISNA(CC4)),NA(),ABS(CC5-CC4))</f>
        <v/>
      </c>
      <c r="CH5">
        <f>IF(ISNA(CB5),NA(),Capability!$N$5)</f>
        <v/>
      </c>
      <c r="CI5">
        <f>IF(ISNA(CB5),NA(),IF(OR(Capability!$Q$5="",Settings!$F$7&lt;&gt;"Y"),NA(),Capability!$Q$5))</f>
        <v/>
      </c>
      <c r="CJ5">
        <f>IF(ISNA(CB5),NA(),IF(OR(Capability!$P$5="",Settings!$F$7&lt;&gt;"Y"),NA(),Capability!$P$5))</f>
        <v/>
      </c>
      <c r="CK5">
        <f>IF(CI$1="","",ROUND(CG$1+CI$1*1.5,4))</f>
        <v/>
      </c>
      <c r="CL5">
        <f>IF(CI$1="","",COUNTIFS('Data Entry'!$H$5:$H$10004,"&gt;="&amp;(CG$1+CI$1*1),'Data Entry'!$H$5:$H$10004,"&lt;"&amp;(CG$1+CI$1*2)))</f>
        <v/>
      </c>
      <c r="CM5">
        <f>IF(OR(Capability!$P$5="",CI$1=""),NA(),IF(AND(Capability!$P$5&gt;=(CG$1+CI$1*1),Capability!$P$5&lt;(CG$1+CI$1*2)),CK$1*1.15,NA()))</f>
        <v/>
      </c>
      <c r="CN5">
        <f>IF(OR(Capability!$Q$5="",CI$1=""),NA(),IF(AND(Capability!$Q$5&gt;=(CG$1+CI$1*1),Capability!$Q$5&lt;(CG$1+CI$1*2)),CK$1*1.15,NA()))</f>
        <v/>
      </c>
      <c r="CP5">
        <f>IF((CS$1+1)&gt;CQ$1,NA(),(CS$1+1)-4)</f>
        <v/>
      </c>
      <c r="CQ5">
        <f>IF((CS$1+1)&gt;CQ$1,NA(),INDEX('Data Entry'!$I$5:$I$10004,(CS$1+1)-4))</f>
        <v/>
      </c>
      <c r="CR5">
        <f>IF(ISNA(CP5),NA(),Capability!$K$6)</f>
        <v/>
      </c>
      <c r="CS5">
        <f>IF(ISNA(CP5),NA(),Capability!$J$6)</f>
        <v/>
      </c>
      <c r="CT5">
        <f>IF(ISNA(CP5),NA(),Capability!$L$6)</f>
        <v/>
      </c>
      <c r="CU5">
        <f>IF(OR(ISNA(CQ5),ISNA(CQ4)),NA(),ABS(CQ5-CQ4))</f>
        <v/>
      </c>
      <c r="CV5">
        <f>IF(ISNA(CP5),NA(),Capability!$N$6)</f>
        <v/>
      </c>
      <c r="CW5">
        <f>IF(ISNA(CP5),NA(),IF(OR(Capability!$Q$6="",Settings!$F$7&lt;&gt;"Y"),NA(),Capability!$Q$6))</f>
        <v/>
      </c>
      <c r="CX5">
        <f>IF(ISNA(CP5),NA(),IF(OR(Capability!$P$6="",Settings!$F$7&lt;&gt;"Y"),NA(),Capability!$P$6))</f>
        <v/>
      </c>
      <c r="CY5">
        <f>IF(CW$1="","",ROUND(CU$1+CW$1*1.5,4))</f>
        <v/>
      </c>
      <c r="CZ5">
        <f>IF(CW$1="","",COUNTIFS('Data Entry'!$I$5:$I$10004,"&gt;="&amp;(CU$1+CW$1*1),'Data Entry'!$I$5:$I$10004,"&lt;"&amp;(CU$1+CW$1*2)))</f>
        <v/>
      </c>
      <c r="DA5">
        <f>IF(OR(Capability!$P$6="",CW$1=""),NA(),IF(AND(Capability!$P$6&gt;=(CU$1+CW$1*1),Capability!$P$6&lt;(CU$1+CW$1*2)),CY$1*1.15,NA()))</f>
        <v/>
      </c>
      <c r="DB5">
        <f>IF(OR(Capability!$Q$6="",CW$1=""),NA(),IF(AND(Capability!$Q$6&gt;=(CU$1+CW$1*1),Capability!$Q$6&lt;(CU$1+CW$1*2)),CY$1*1.15,NA()))</f>
        <v/>
      </c>
      <c r="DD5">
        <f>IF((DG$1+1)&gt;DE$1,NA(),(DG$1+1)-4)</f>
        <v/>
      </c>
      <c r="DE5">
        <f>IF((DG$1+1)&gt;DE$1,NA(),INDEX('Data Entry'!$J$5:$J$10004,(DG$1+1)-4))</f>
        <v/>
      </c>
      <c r="DF5">
        <f>IF(ISNA(DD5),NA(),Capability!$K$7)</f>
        <v/>
      </c>
      <c r="DG5">
        <f>IF(ISNA(DD5),NA(),Capability!$J$7)</f>
        <v/>
      </c>
      <c r="DH5">
        <f>IF(ISNA(DD5),NA(),Capability!$L$7)</f>
        <v/>
      </c>
      <c r="DI5">
        <f>IF(OR(ISNA(DE5),ISNA(DE4)),NA(),ABS(DE5-DE4))</f>
        <v/>
      </c>
      <c r="DJ5">
        <f>IF(ISNA(DD5),NA(),Capability!$N$7)</f>
        <v/>
      </c>
      <c r="DK5">
        <f>IF(ISNA(DD5),NA(),IF(OR(Capability!$Q$7="",Settings!$F$7&lt;&gt;"Y"),NA(),Capability!$Q$7))</f>
        <v/>
      </c>
      <c r="DL5">
        <f>IF(ISNA(DD5),NA(),IF(OR(Capability!$P$7="",Settings!$F$7&lt;&gt;"Y"),NA(),Capability!$P$7))</f>
        <v/>
      </c>
      <c r="DM5">
        <f>IF(DK$1="","",ROUND(DI$1+DK$1*1.5,4))</f>
        <v/>
      </c>
      <c r="DN5">
        <f>IF(DK$1="","",COUNTIFS('Data Entry'!$J$5:$J$10004,"&gt;="&amp;(DI$1+DK$1*1),'Data Entry'!$J$5:$J$10004,"&lt;"&amp;(DI$1+DK$1*2)))</f>
        <v/>
      </c>
      <c r="DO5">
        <f>IF(OR(Capability!$P$7="",DK$1=""),NA(),IF(AND(Capability!$P$7&gt;=(DI$1+DK$1*1),Capability!$P$7&lt;(DI$1+DK$1*2)),DM$1*1.15,NA()))</f>
        <v/>
      </c>
      <c r="DP5">
        <f>IF(OR(Capability!$Q$7="",DK$1=""),NA(),IF(AND(Capability!$Q$7&gt;=(DI$1+DK$1*1),Capability!$Q$7&lt;(DI$1+DK$1*2)),DM$1*1.15,NA()))</f>
        <v/>
      </c>
      <c r="DR5">
        <f>IF((DU$1+1)&gt;DS$1,NA(),(DU$1+1)-4)</f>
        <v/>
      </c>
      <c r="DS5">
        <f>IF((DU$1+1)&gt;DS$1,NA(),INDEX('Data Entry'!$K$5:$K$10004,(DU$1+1)-4))</f>
        <v/>
      </c>
      <c r="DT5">
        <f>IF(ISNA(DR5),NA(),Capability!$K$8)</f>
        <v/>
      </c>
      <c r="DU5">
        <f>IF(ISNA(DR5),NA(),Capability!$J$8)</f>
        <v/>
      </c>
      <c r="DV5">
        <f>IF(ISNA(DR5),NA(),Capability!$L$8)</f>
        <v/>
      </c>
      <c r="DW5">
        <f>IF(OR(ISNA(DS5),ISNA(DS4)),NA(),ABS(DS5-DS4))</f>
        <v/>
      </c>
      <c r="DX5">
        <f>IF(ISNA(DR5),NA(),Capability!$N$8)</f>
        <v/>
      </c>
      <c r="DY5">
        <f>IF(ISNA(DR5),NA(),IF(OR(Capability!$Q$8="",Settings!$F$7&lt;&gt;"Y"),NA(),Capability!$Q$8))</f>
        <v/>
      </c>
      <c r="DZ5">
        <f>IF(ISNA(DR5),NA(),IF(OR(Capability!$P$8="",Settings!$F$7&lt;&gt;"Y"),NA(),Capability!$P$8))</f>
        <v/>
      </c>
      <c r="EA5">
        <f>IF(DY$1="","",ROUND(DW$1+DY$1*1.5,4))</f>
        <v/>
      </c>
      <c r="EB5">
        <f>IF(DY$1="","",COUNTIFS('Data Entry'!$K$5:$K$10004,"&gt;="&amp;(DW$1+DY$1*1),'Data Entry'!$K$5:$K$10004,"&lt;"&amp;(DW$1+DY$1*2)))</f>
        <v/>
      </c>
      <c r="EC5">
        <f>IF(OR(Capability!$P$8="",DY$1=""),NA(),IF(AND(Capability!$P$8&gt;=(DW$1+DY$1*1),Capability!$P$8&lt;(DW$1+DY$1*2)),EA$1*1.15,NA()))</f>
        <v/>
      </c>
      <c r="ED5">
        <f>IF(OR(Capability!$Q$8="",DY$1=""),NA(),IF(AND(Capability!$Q$8&gt;=(DW$1+DY$1*1),Capability!$Q$8&lt;(DW$1+DY$1*2)),EA$1*1.15,NA()))</f>
        <v/>
      </c>
      <c r="EF5">
        <f>IF((EI$1+1)&gt;EG$1,NA(),(EI$1+1)-4)</f>
        <v/>
      </c>
      <c r="EG5">
        <f>IF((EI$1+1)&gt;EG$1,NA(),INDEX('Data Entry'!$L$5:$L$10004,(EI$1+1)-4))</f>
        <v/>
      </c>
      <c r="EH5">
        <f>IF(ISNA(EF5),NA(),Capability!$K$9)</f>
        <v/>
      </c>
      <c r="EI5">
        <f>IF(ISNA(EF5),NA(),Capability!$J$9)</f>
        <v/>
      </c>
      <c r="EJ5">
        <f>IF(ISNA(EF5),NA(),Capability!$L$9)</f>
        <v/>
      </c>
      <c r="EK5">
        <f>IF(OR(ISNA(EG5),ISNA(EG4)),NA(),ABS(EG5-EG4))</f>
        <v/>
      </c>
      <c r="EL5">
        <f>IF(ISNA(EF5),NA(),Capability!$N$9)</f>
        <v/>
      </c>
      <c r="EM5">
        <f>IF(ISNA(EF5),NA(),IF(OR(Capability!$Q$9="",Settings!$F$7&lt;&gt;"Y"),NA(),Capability!$Q$9))</f>
        <v/>
      </c>
      <c r="EN5">
        <f>IF(ISNA(EF5),NA(),IF(OR(Capability!$P$9="",Settings!$F$7&lt;&gt;"Y"),NA(),Capability!$P$9))</f>
        <v/>
      </c>
      <c r="EO5">
        <f>IF(EM$1="","",ROUND(EK$1+EM$1*1.5,4))</f>
        <v/>
      </c>
      <c r="EP5">
        <f>IF(EM$1="","",COUNTIFS('Data Entry'!$L$5:$L$10004,"&gt;="&amp;(EK$1+EM$1*1),'Data Entry'!$L$5:$L$10004,"&lt;"&amp;(EK$1+EM$1*2)))</f>
        <v/>
      </c>
      <c r="EQ5">
        <f>IF(OR(Capability!$P$9="",EM$1=""),NA(),IF(AND(Capability!$P$9&gt;=(EK$1+EM$1*1),Capability!$P$9&lt;(EK$1+EM$1*2)),EO$1*1.15,NA()))</f>
        <v/>
      </c>
      <c r="ER5">
        <f>IF(OR(Capability!$Q$9="",EM$1=""),NA(),IF(AND(Capability!$Q$9&gt;=(EK$1+EM$1*1),Capability!$Q$9&lt;(EK$1+EM$1*2)),EO$1*1.15,NA()))</f>
        <v/>
      </c>
      <c r="ET5">
        <f>IF((EW$1+1)&gt;EU$1,NA(),(EW$1+1)-4)</f>
        <v/>
      </c>
      <c r="EU5">
        <f>IF((EW$1+1)&gt;EU$1,NA(),INDEX('Data Entry'!$M$5:$M$10004,(EW$1+1)-4))</f>
        <v/>
      </c>
      <c r="EV5">
        <f>IF(ISNA(ET5),NA(),Capability!$K$10)</f>
        <v/>
      </c>
      <c r="EW5">
        <f>IF(ISNA(ET5),NA(),Capability!$J$10)</f>
        <v/>
      </c>
      <c r="EX5">
        <f>IF(ISNA(ET5),NA(),Capability!$L$10)</f>
        <v/>
      </c>
      <c r="EY5">
        <f>IF(OR(ISNA(EU5),ISNA(EU4)),NA(),ABS(EU5-EU4))</f>
        <v/>
      </c>
      <c r="EZ5">
        <f>IF(ISNA(ET5),NA(),Capability!$N$10)</f>
        <v/>
      </c>
      <c r="FA5">
        <f>IF(ISNA(ET5),NA(),IF(OR(Capability!$Q$10="",Settings!$F$7&lt;&gt;"Y"),NA(),Capability!$Q$10))</f>
        <v/>
      </c>
      <c r="FB5">
        <f>IF(ISNA(ET5),NA(),IF(OR(Capability!$P$10="",Settings!$F$7&lt;&gt;"Y"),NA(),Capability!$P$10))</f>
        <v/>
      </c>
      <c r="FC5">
        <f>IF(FA$1="","",ROUND(EY$1+FA$1*1.5,4))</f>
        <v/>
      </c>
      <c r="FD5">
        <f>IF(FA$1="","",COUNTIFS('Data Entry'!$M$5:$M$10004,"&gt;="&amp;(EY$1+FA$1*1),'Data Entry'!$M$5:$M$10004,"&lt;"&amp;(EY$1+FA$1*2)))</f>
        <v/>
      </c>
      <c r="FE5">
        <f>IF(OR(Capability!$P$10="",FA$1=""),NA(),IF(AND(Capability!$P$10&gt;=(EY$1+FA$1*1),Capability!$P$10&lt;(EY$1+FA$1*2)),FC$1*1.15,NA()))</f>
        <v/>
      </c>
      <c r="FF5">
        <f>IF(OR(Capability!$Q$10="",FA$1=""),NA(),IF(AND(Capability!$Q$10&gt;=(EY$1+FA$1*1),Capability!$Q$10&lt;(EY$1+FA$1*2)),FC$1*1.15,NA()))</f>
        <v/>
      </c>
      <c r="FH5">
        <f>IF((FK$1+1)&gt;FI$1,NA(),(FK$1+1)-4)</f>
        <v/>
      </c>
      <c r="FI5">
        <f>IF((FK$1+1)&gt;FI$1,NA(),INDEX('Data Entry'!$N$5:$N$10004,(FK$1+1)-4))</f>
        <v/>
      </c>
      <c r="FJ5">
        <f>IF(ISNA(FH5),NA(),Capability!$K$11)</f>
        <v/>
      </c>
      <c r="FK5">
        <f>IF(ISNA(FH5),NA(),Capability!$J$11)</f>
        <v/>
      </c>
      <c r="FL5">
        <f>IF(ISNA(FH5),NA(),Capability!$L$11)</f>
        <v/>
      </c>
      <c r="FM5">
        <f>IF(OR(ISNA(FI5),ISNA(FI4)),NA(),ABS(FI5-FI4))</f>
        <v/>
      </c>
      <c r="FN5">
        <f>IF(ISNA(FH5),NA(),Capability!$N$11)</f>
        <v/>
      </c>
      <c r="FO5">
        <f>IF(ISNA(FH5),NA(),IF(OR(Capability!$Q$11="",Settings!$F$7&lt;&gt;"Y"),NA(),Capability!$Q$11))</f>
        <v/>
      </c>
      <c r="FP5">
        <f>IF(ISNA(FH5),NA(),IF(OR(Capability!$P$11="",Settings!$F$7&lt;&gt;"Y"),NA(),Capability!$P$11))</f>
        <v/>
      </c>
      <c r="FQ5">
        <f>IF(FO$1="","",ROUND(FM$1+FO$1*1.5,4))</f>
        <v/>
      </c>
      <c r="FR5">
        <f>IF(FO$1="","",COUNTIFS('Data Entry'!$N$5:$N$10004,"&gt;="&amp;(FM$1+FO$1*1),'Data Entry'!$N$5:$N$10004,"&lt;"&amp;(FM$1+FO$1*2)))</f>
        <v/>
      </c>
      <c r="FS5">
        <f>IF(OR(Capability!$P$11="",FO$1=""),NA(),IF(AND(Capability!$P$11&gt;=(FM$1+FO$1*1),Capability!$P$11&lt;(FM$1+FO$1*2)),FQ$1*1.15,NA()))</f>
        <v/>
      </c>
      <c r="FT5">
        <f>IF(OR(Capability!$Q$11="",FO$1=""),NA(),IF(AND(Capability!$Q$11&gt;=(FM$1+FO$1*1),Capability!$Q$11&lt;(FM$1+FO$1*2)),FQ$1*1.15,NA()))</f>
        <v/>
      </c>
      <c r="FV5">
        <f>IF((FY$1+1)&gt;FW$1,NA(),(FY$1+1)-4)</f>
        <v/>
      </c>
      <c r="FW5">
        <f>IF((FY$1+1)&gt;FW$1,NA(),INDEX('Data Entry'!$O$5:$O$10004,(FY$1+1)-4))</f>
        <v/>
      </c>
      <c r="FX5">
        <f>IF(ISNA(FV5),NA(),Capability!$K$12)</f>
        <v/>
      </c>
      <c r="FY5">
        <f>IF(ISNA(FV5),NA(),Capability!$J$12)</f>
        <v/>
      </c>
      <c r="FZ5">
        <f>IF(ISNA(FV5),NA(),Capability!$L$12)</f>
        <v/>
      </c>
      <c r="GA5">
        <f>IF(OR(ISNA(FW5),ISNA(FW4)),NA(),ABS(FW5-FW4))</f>
        <v/>
      </c>
      <c r="GB5">
        <f>IF(ISNA(FV5),NA(),Capability!$N$12)</f>
        <v/>
      </c>
      <c r="GC5">
        <f>IF(ISNA(FV5),NA(),IF(OR(Capability!$Q$12="",Settings!$F$7&lt;&gt;"Y"),NA(),Capability!$Q$12))</f>
        <v/>
      </c>
      <c r="GD5">
        <f>IF(ISNA(FV5),NA(),IF(OR(Capability!$P$12="",Settings!$F$7&lt;&gt;"Y"),NA(),Capability!$P$12))</f>
        <v/>
      </c>
      <c r="GE5">
        <f>IF(GC$1="","",ROUND(GA$1+GC$1*1.5,4))</f>
        <v/>
      </c>
      <c r="GF5">
        <f>IF(GC$1="","",COUNTIFS('Data Entry'!$O$5:$O$10004,"&gt;="&amp;(GA$1+GC$1*1),'Data Entry'!$O$5:$O$10004,"&lt;"&amp;(GA$1+GC$1*2)))</f>
        <v/>
      </c>
      <c r="GG5">
        <f>IF(OR(Capability!$P$12="",GC$1=""),NA(),IF(AND(Capability!$P$12&gt;=(GA$1+GC$1*1),Capability!$P$12&lt;(GA$1+GC$1*2)),GE$1*1.15,NA()))</f>
        <v/>
      </c>
      <c r="GH5">
        <f>IF(OR(Capability!$Q$12="",GC$1=""),NA(),IF(AND(Capability!$Q$12&gt;=(GA$1+GC$1*1),Capability!$Q$12&lt;(GA$1+GC$1*2)),GE$1*1.15,NA()))</f>
        <v/>
      </c>
      <c r="GJ5">
        <f>IF((GM$1+1)&gt;GK$1,NA(),(GM$1+1)-4)</f>
        <v/>
      </c>
      <c r="GK5">
        <f>IF((GM$1+1)&gt;GK$1,NA(),INDEX('Data Entry'!$P$5:$P$10004,(GM$1+1)-4))</f>
        <v/>
      </c>
      <c r="GL5">
        <f>IF(ISNA(GJ5),NA(),Capability!$K$13)</f>
        <v/>
      </c>
      <c r="GM5">
        <f>IF(ISNA(GJ5),NA(),Capability!$J$13)</f>
        <v/>
      </c>
      <c r="GN5">
        <f>IF(ISNA(GJ5),NA(),Capability!$L$13)</f>
        <v/>
      </c>
      <c r="GO5">
        <f>IF(OR(ISNA(GK5),ISNA(GK4)),NA(),ABS(GK5-GK4))</f>
        <v/>
      </c>
      <c r="GP5">
        <f>IF(ISNA(GJ5),NA(),Capability!$N$13)</f>
        <v/>
      </c>
      <c r="GQ5">
        <f>IF(ISNA(GJ5),NA(),IF(OR(Capability!$Q$13="",Settings!$F$7&lt;&gt;"Y"),NA(),Capability!$Q$13))</f>
        <v/>
      </c>
      <c r="GR5">
        <f>IF(ISNA(GJ5),NA(),IF(OR(Capability!$P$13="",Settings!$F$7&lt;&gt;"Y"),NA(),Capability!$P$13))</f>
        <v/>
      </c>
      <c r="GS5">
        <f>IF(GQ$1="","",ROUND(GO$1+GQ$1*1.5,4))</f>
        <v/>
      </c>
      <c r="GT5">
        <f>IF(GQ$1="","",COUNTIFS('Data Entry'!$P$5:$P$10004,"&gt;="&amp;(GO$1+GQ$1*1),'Data Entry'!$P$5:$P$10004,"&lt;"&amp;(GO$1+GQ$1*2)))</f>
        <v/>
      </c>
      <c r="GU5">
        <f>IF(OR(Capability!$P$13="",GQ$1=""),NA(),IF(AND(Capability!$P$13&gt;=(GO$1+GQ$1*1),Capability!$P$13&lt;(GO$1+GQ$1*2)),GS$1*1.15,NA()))</f>
        <v/>
      </c>
      <c r="GV5">
        <f>IF(OR(Capability!$Q$13="",GQ$1=""),NA(),IF(AND(Capability!$Q$13&gt;=(GO$1+GQ$1*1),Capability!$Q$13&lt;(GO$1+GQ$1*2)),GS$1*1.15,NA()))</f>
        <v/>
      </c>
      <c r="GX5">
        <f>IF((HA$1+1)&gt;GY$1,NA(),(HA$1+1)-4)</f>
        <v/>
      </c>
      <c r="GY5">
        <f>IF((HA$1+1)&gt;GY$1,NA(),INDEX('Data Entry'!$Q$5:$Q$10004,(HA$1+1)-4))</f>
        <v/>
      </c>
      <c r="GZ5">
        <f>IF(ISNA(GX5),NA(),Capability!$K$14)</f>
        <v/>
      </c>
      <c r="HA5">
        <f>IF(ISNA(GX5),NA(),Capability!$J$14)</f>
        <v/>
      </c>
      <c r="HB5">
        <f>IF(ISNA(GX5),NA(),Capability!$L$14)</f>
        <v/>
      </c>
      <c r="HC5">
        <f>IF(OR(ISNA(GY5),ISNA(GY4)),NA(),ABS(GY5-GY4))</f>
        <v/>
      </c>
      <c r="HD5">
        <f>IF(ISNA(GX5),NA(),Capability!$N$14)</f>
        <v/>
      </c>
      <c r="HE5">
        <f>IF(ISNA(GX5),NA(),IF(OR(Capability!$Q$14="",Settings!$F$7&lt;&gt;"Y"),NA(),Capability!$Q$14))</f>
        <v/>
      </c>
      <c r="HF5">
        <f>IF(ISNA(GX5),NA(),IF(OR(Capability!$P$14="",Settings!$F$7&lt;&gt;"Y"),NA(),Capability!$P$14))</f>
        <v/>
      </c>
      <c r="HG5">
        <f>IF(HE$1="","",ROUND(HC$1+HE$1*1.5,4))</f>
        <v/>
      </c>
      <c r="HH5">
        <f>IF(HE$1="","",COUNTIFS('Data Entry'!$Q$5:$Q$10004,"&gt;="&amp;(HC$1+HE$1*1),'Data Entry'!$Q$5:$Q$10004,"&lt;"&amp;(HC$1+HE$1*2)))</f>
        <v/>
      </c>
      <c r="HI5">
        <f>IF(OR(Capability!$P$14="",HE$1=""),NA(),IF(AND(Capability!$P$14&gt;=(HC$1+HE$1*1),Capability!$P$14&lt;(HC$1+HE$1*2)),HG$1*1.15,NA()))</f>
        <v/>
      </c>
      <c r="HJ5">
        <f>IF(OR(Capability!$Q$14="",HE$1=""),NA(),IF(AND(Capability!$Q$14&gt;=(HC$1+HE$1*1),Capability!$Q$14&lt;(HC$1+HE$1*2)),HG$1*1.15,NA()))</f>
        <v/>
      </c>
    </row>
    <row r="6">
      <c r="A6" s="35" t="inlineStr">
        <is>
          <t>Unit</t>
        </is>
      </c>
      <c r="B6" s="36">
        <f>Settings!F17</f>
        <v/>
      </c>
      <c r="CB6">
        <f>IF((CE$1+2)&gt;CC$1,NA(),(CE$1+2)-4)</f>
        <v/>
      </c>
      <c r="CC6">
        <f>IF((CE$1+2)&gt;CC$1,NA(),INDEX('Data Entry'!$H$5:$H$10004,(CE$1+2)-4))</f>
        <v/>
      </c>
      <c r="CD6">
        <f>IF(ISNA(CB6),NA(),Capability!$K$5)</f>
        <v/>
      </c>
      <c r="CE6">
        <f>IF(ISNA(CB6),NA(),Capability!$J$5)</f>
        <v/>
      </c>
      <c r="CF6">
        <f>IF(ISNA(CB6),NA(),Capability!$L$5)</f>
        <v/>
      </c>
      <c r="CG6">
        <f>IF(OR(ISNA(CC6),ISNA(CC5)),NA(),ABS(CC6-CC5))</f>
        <v/>
      </c>
      <c r="CH6">
        <f>IF(ISNA(CB6),NA(),Capability!$N$5)</f>
        <v/>
      </c>
      <c r="CI6">
        <f>IF(ISNA(CB6),NA(),IF(OR(Capability!$Q$5="",Settings!$F$7&lt;&gt;"Y"),NA(),Capability!$Q$5))</f>
        <v/>
      </c>
      <c r="CJ6">
        <f>IF(ISNA(CB6),NA(),IF(OR(Capability!$P$5="",Settings!$F$7&lt;&gt;"Y"),NA(),Capability!$P$5))</f>
        <v/>
      </c>
      <c r="CK6">
        <f>IF(CI$1="","",ROUND(CG$1+CI$1*2.5,4))</f>
        <v/>
      </c>
      <c r="CL6">
        <f>IF(CI$1="","",COUNTIFS('Data Entry'!$H$5:$H$10004,"&gt;="&amp;(CG$1+CI$1*2),'Data Entry'!$H$5:$H$10004,"&lt;"&amp;(CG$1+CI$1*3)))</f>
        <v/>
      </c>
      <c r="CM6">
        <f>IF(OR(Capability!$P$5="",CI$1=""),NA(),IF(AND(Capability!$P$5&gt;=(CG$1+CI$1*2),Capability!$P$5&lt;(CG$1+CI$1*3)),CK$1*1.15,NA()))</f>
        <v/>
      </c>
      <c r="CN6">
        <f>IF(OR(Capability!$Q$5="",CI$1=""),NA(),IF(AND(Capability!$Q$5&gt;=(CG$1+CI$1*2),Capability!$Q$5&lt;(CG$1+CI$1*3)),CK$1*1.15,NA()))</f>
        <v/>
      </c>
      <c r="CP6">
        <f>IF((CS$1+2)&gt;CQ$1,NA(),(CS$1+2)-4)</f>
        <v/>
      </c>
      <c r="CQ6">
        <f>IF((CS$1+2)&gt;CQ$1,NA(),INDEX('Data Entry'!$I$5:$I$10004,(CS$1+2)-4))</f>
        <v/>
      </c>
      <c r="CR6">
        <f>IF(ISNA(CP6),NA(),Capability!$K$6)</f>
        <v/>
      </c>
      <c r="CS6">
        <f>IF(ISNA(CP6),NA(),Capability!$J$6)</f>
        <v/>
      </c>
      <c r="CT6">
        <f>IF(ISNA(CP6),NA(),Capability!$L$6)</f>
        <v/>
      </c>
      <c r="CU6">
        <f>IF(OR(ISNA(CQ6),ISNA(CQ5)),NA(),ABS(CQ6-CQ5))</f>
        <v/>
      </c>
      <c r="CV6">
        <f>IF(ISNA(CP6),NA(),Capability!$N$6)</f>
        <v/>
      </c>
      <c r="CW6">
        <f>IF(ISNA(CP6),NA(),IF(OR(Capability!$Q$6="",Settings!$F$7&lt;&gt;"Y"),NA(),Capability!$Q$6))</f>
        <v/>
      </c>
      <c r="CX6">
        <f>IF(ISNA(CP6),NA(),IF(OR(Capability!$P$6="",Settings!$F$7&lt;&gt;"Y"),NA(),Capability!$P$6))</f>
        <v/>
      </c>
      <c r="CY6">
        <f>IF(CW$1="","",ROUND(CU$1+CW$1*2.5,4))</f>
        <v/>
      </c>
      <c r="CZ6">
        <f>IF(CW$1="","",COUNTIFS('Data Entry'!$I$5:$I$10004,"&gt;="&amp;(CU$1+CW$1*2),'Data Entry'!$I$5:$I$10004,"&lt;"&amp;(CU$1+CW$1*3)))</f>
        <v/>
      </c>
      <c r="DA6">
        <f>IF(OR(Capability!$P$6="",CW$1=""),NA(),IF(AND(Capability!$P$6&gt;=(CU$1+CW$1*2),Capability!$P$6&lt;(CU$1+CW$1*3)),CY$1*1.15,NA()))</f>
        <v/>
      </c>
      <c r="DB6">
        <f>IF(OR(Capability!$Q$6="",CW$1=""),NA(),IF(AND(Capability!$Q$6&gt;=(CU$1+CW$1*2),Capability!$Q$6&lt;(CU$1+CW$1*3)),CY$1*1.15,NA()))</f>
        <v/>
      </c>
      <c r="DD6">
        <f>IF((DG$1+2)&gt;DE$1,NA(),(DG$1+2)-4)</f>
        <v/>
      </c>
      <c r="DE6">
        <f>IF((DG$1+2)&gt;DE$1,NA(),INDEX('Data Entry'!$J$5:$J$10004,(DG$1+2)-4))</f>
        <v/>
      </c>
      <c r="DF6">
        <f>IF(ISNA(DD6),NA(),Capability!$K$7)</f>
        <v/>
      </c>
      <c r="DG6">
        <f>IF(ISNA(DD6),NA(),Capability!$J$7)</f>
        <v/>
      </c>
      <c r="DH6">
        <f>IF(ISNA(DD6),NA(),Capability!$L$7)</f>
        <v/>
      </c>
      <c r="DI6">
        <f>IF(OR(ISNA(DE6),ISNA(DE5)),NA(),ABS(DE6-DE5))</f>
        <v/>
      </c>
      <c r="DJ6">
        <f>IF(ISNA(DD6),NA(),Capability!$N$7)</f>
        <v/>
      </c>
      <c r="DK6">
        <f>IF(ISNA(DD6),NA(),IF(OR(Capability!$Q$7="",Settings!$F$7&lt;&gt;"Y"),NA(),Capability!$Q$7))</f>
        <v/>
      </c>
      <c r="DL6">
        <f>IF(ISNA(DD6),NA(),IF(OR(Capability!$P$7="",Settings!$F$7&lt;&gt;"Y"),NA(),Capability!$P$7))</f>
        <v/>
      </c>
      <c r="DM6">
        <f>IF(DK$1="","",ROUND(DI$1+DK$1*2.5,4))</f>
        <v/>
      </c>
      <c r="DN6">
        <f>IF(DK$1="","",COUNTIFS('Data Entry'!$J$5:$J$10004,"&gt;="&amp;(DI$1+DK$1*2),'Data Entry'!$J$5:$J$10004,"&lt;"&amp;(DI$1+DK$1*3)))</f>
        <v/>
      </c>
      <c r="DO6">
        <f>IF(OR(Capability!$P$7="",DK$1=""),NA(),IF(AND(Capability!$P$7&gt;=(DI$1+DK$1*2),Capability!$P$7&lt;(DI$1+DK$1*3)),DM$1*1.15,NA()))</f>
        <v/>
      </c>
      <c r="DP6">
        <f>IF(OR(Capability!$Q$7="",DK$1=""),NA(),IF(AND(Capability!$Q$7&gt;=(DI$1+DK$1*2),Capability!$Q$7&lt;(DI$1+DK$1*3)),DM$1*1.15,NA()))</f>
        <v/>
      </c>
      <c r="DR6">
        <f>IF((DU$1+2)&gt;DS$1,NA(),(DU$1+2)-4)</f>
        <v/>
      </c>
      <c r="DS6">
        <f>IF((DU$1+2)&gt;DS$1,NA(),INDEX('Data Entry'!$K$5:$K$10004,(DU$1+2)-4))</f>
        <v/>
      </c>
      <c r="DT6">
        <f>IF(ISNA(DR6),NA(),Capability!$K$8)</f>
        <v/>
      </c>
      <c r="DU6">
        <f>IF(ISNA(DR6),NA(),Capability!$J$8)</f>
        <v/>
      </c>
      <c r="DV6">
        <f>IF(ISNA(DR6),NA(),Capability!$L$8)</f>
        <v/>
      </c>
      <c r="DW6">
        <f>IF(OR(ISNA(DS6),ISNA(DS5)),NA(),ABS(DS6-DS5))</f>
        <v/>
      </c>
      <c r="DX6">
        <f>IF(ISNA(DR6),NA(),Capability!$N$8)</f>
        <v/>
      </c>
      <c r="DY6">
        <f>IF(ISNA(DR6),NA(),IF(OR(Capability!$Q$8="",Settings!$F$7&lt;&gt;"Y"),NA(),Capability!$Q$8))</f>
        <v/>
      </c>
      <c r="DZ6">
        <f>IF(ISNA(DR6),NA(),IF(OR(Capability!$P$8="",Settings!$F$7&lt;&gt;"Y"),NA(),Capability!$P$8))</f>
        <v/>
      </c>
      <c r="EA6">
        <f>IF(DY$1="","",ROUND(DW$1+DY$1*2.5,4))</f>
        <v/>
      </c>
      <c r="EB6">
        <f>IF(DY$1="","",COUNTIFS('Data Entry'!$K$5:$K$10004,"&gt;="&amp;(DW$1+DY$1*2),'Data Entry'!$K$5:$K$10004,"&lt;"&amp;(DW$1+DY$1*3)))</f>
        <v/>
      </c>
      <c r="EC6">
        <f>IF(OR(Capability!$P$8="",DY$1=""),NA(),IF(AND(Capability!$P$8&gt;=(DW$1+DY$1*2),Capability!$P$8&lt;(DW$1+DY$1*3)),EA$1*1.15,NA()))</f>
        <v/>
      </c>
      <c r="ED6">
        <f>IF(OR(Capability!$Q$8="",DY$1=""),NA(),IF(AND(Capability!$Q$8&gt;=(DW$1+DY$1*2),Capability!$Q$8&lt;(DW$1+DY$1*3)),EA$1*1.15,NA()))</f>
        <v/>
      </c>
      <c r="EF6">
        <f>IF((EI$1+2)&gt;EG$1,NA(),(EI$1+2)-4)</f>
        <v/>
      </c>
      <c r="EG6">
        <f>IF((EI$1+2)&gt;EG$1,NA(),INDEX('Data Entry'!$L$5:$L$10004,(EI$1+2)-4))</f>
        <v/>
      </c>
      <c r="EH6">
        <f>IF(ISNA(EF6),NA(),Capability!$K$9)</f>
        <v/>
      </c>
      <c r="EI6">
        <f>IF(ISNA(EF6),NA(),Capability!$J$9)</f>
        <v/>
      </c>
      <c r="EJ6">
        <f>IF(ISNA(EF6),NA(),Capability!$L$9)</f>
        <v/>
      </c>
      <c r="EK6">
        <f>IF(OR(ISNA(EG6),ISNA(EG5)),NA(),ABS(EG6-EG5))</f>
        <v/>
      </c>
      <c r="EL6">
        <f>IF(ISNA(EF6),NA(),Capability!$N$9)</f>
        <v/>
      </c>
      <c r="EM6">
        <f>IF(ISNA(EF6),NA(),IF(OR(Capability!$Q$9="",Settings!$F$7&lt;&gt;"Y"),NA(),Capability!$Q$9))</f>
        <v/>
      </c>
      <c r="EN6">
        <f>IF(ISNA(EF6),NA(),IF(OR(Capability!$P$9="",Settings!$F$7&lt;&gt;"Y"),NA(),Capability!$P$9))</f>
        <v/>
      </c>
      <c r="EO6">
        <f>IF(EM$1="","",ROUND(EK$1+EM$1*2.5,4))</f>
        <v/>
      </c>
      <c r="EP6">
        <f>IF(EM$1="","",COUNTIFS('Data Entry'!$L$5:$L$10004,"&gt;="&amp;(EK$1+EM$1*2),'Data Entry'!$L$5:$L$10004,"&lt;"&amp;(EK$1+EM$1*3)))</f>
        <v/>
      </c>
      <c r="EQ6">
        <f>IF(OR(Capability!$P$9="",EM$1=""),NA(),IF(AND(Capability!$P$9&gt;=(EK$1+EM$1*2),Capability!$P$9&lt;(EK$1+EM$1*3)),EO$1*1.15,NA()))</f>
        <v/>
      </c>
      <c r="ER6">
        <f>IF(OR(Capability!$Q$9="",EM$1=""),NA(),IF(AND(Capability!$Q$9&gt;=(EK$1+EM$1*2),Capability!$Q$9&lt;(EK$1+EM$1*3)),EO$1*1.15,NA()))</f>
        <v/>
      </c>
      <c r="ET6">
        <f>IF((EW$1+2)&gt;EU$1,NA(),(EW$1+2)-4)</f>
        <v/>
      </c>
      <c r="EU6">
        <f>IF((EW$1+2)&gt;EU$1,NA(),INDEX('Data Entry'!$M$5:$M$10004,(EW$1+2)-4))</f>
        <v/>
      </c>
      <c r="EV6">
        <f>IF(ISNA(ET6),NA(),Capability!$K$10)</f>
        <v/>
      </c>
      <c r="EW6">
        <f>IF(ISNA(ET6),NA(),Capability!$J$10)</f>
        <v/>
      </c>
      <c r="EX6">
        <f>IF(ISNA(ET6),NA(),Capability!$L$10)</f>
        <v/>
      </c>
      <c r="EY6">
        <f>IF(OR(ISNA(EU6),ISNA(EU5)),NA(),ABS(EU6-EU5))</f>
        <v/>
      </c>
      <c r="EZ6">
        <f>IF(ISNA(ET6),NA(),Capability!$N$10)</f>
        <v/>
      </c>
      <c r="FA6">
        <f>IF(ISNA(ET6),NA(),IF(OR(Capability!$Q$10="",Settings!$F$7&lt;&gt;"Y"),NA(),Capability!$Q$10))</f>
        <v/>
      </c>
      <c r="FB6">
        <f>IF(ISNA(ET6),NA(),IF(OR(Capability!$P$10="",Settings!$F$7&lt;&gt;"Y"),NA(),Capability!$P$10))</f>
        <v/>
      </c>
      <c r="FC6">
        <f>IF(FA$1="","",ROUND(EY$1+FA$1*2.5,4))</f>
        <v/>
      </c>
      <c r="FD6">
        <f>IF(FA$1="","",COUNTIFS('Data Entry'!$M$5:$M$10004,"&gt;="&amp;(EY$1+FA$1*2),'Data Entry'!$M$5:$M$10004,"&lt;"&amp;(EY$1+FA$1*3)))</f>
        <v/>
      </c>
      <c r="FE6">
        <f>IF(OR(Capability!$P$10="",FA$1=""),NA(),IF(AND(Capability!$P$10&gt;=(EY$1+FA$1*2),Capability!$P$10&lt;(EY$1+FA$1*3)),FC$1*1.15,NA()))</f>
        <v/>
      </c>
      <c r="FF6">
        <f>IF(OR(Capability!$Q$10="",FA$1=""),NA(),IF(AND(Capability!$Q$10&gt;=(EY$1+FA$1*2),Capability!$Q$10&lt;(EY$1+FA$1*3)),FC$1*1.15,NA()))</f>
        <v/>
      </c>
      <c r="FH6">
        <f>IF((FK$1+2)&gt;FI$1,NA(),(FK$1+2)-4)</f>
        <v/>
      </c>
      <c r="FI6">
        <f>IF((FK$1+2)&gt;FI$1,NA(),INDEX('Data Entry'!$N$5:$N$10004,(FK$1+2)-4))</f>
        <v/>
      </c>
      <c r="FJ6">
        <f>IF(ISNA(FH6),NA(),Capability!$K$11)</f>
        <v/>
      </c>
      <c r="FK6">
        <f>IF(ISNA(FH6),NA(),Capability!$J$11)</f>
        <v/>
      </c>
      <c r="FL6">
        <f>IF(ISNA(FH6),NA(),Capability!$L$11)</f>
        <v/>
      </c>
      <c r="FM6">
        <f>IF(OR(ISNA(FI6),ISNA(FI5)),NA(),ABS(FI6-FI5))</f>
        <v/>
      </c>
      <c r="FN6">
        <f>IF(ISNA(FH6),NA(),Capability!$N$11)</f>
        <v/>
      </c>
      <c r="FO6">
        <f>IF(ISNA(FH6),NA(),IF(OR(Capability!$Q$11="",Settings!$F$7&lt;&gt;"Y"),NA(),Capability!$Q$11))</f>
        <v/>
      </c>
      <c r="FP6">
        <f>IF(ISNA(FH6),NA(),IF(OR(Capability!$P$11="",Settings!$F$7&lt;&gt;"Y"),NA(),Capability!$P$11))</f>
        <v/>
      </c>
      <c r="FQ6">
        <f>IF(FO$1="","",ROUND(FM$1+FO$1*2.5,4))</f>
        <v/>
      </c>
      <c r="FR6">
        <f>IF(FO$1="","",COUNTIFS('Data Entry'!$N$5:$N$10004,"&gt;="&amp;(FM$1+FO$1*2),'Data Entry'!$N$5:$N$10004,"&lt;"&amp;(FM$1+FO$1*3)))</f>
        <v/>
      </c>
      <c r="FS6">
        <f>IF(OR(Capability!$P$11="",FO$1=""),NA(),IF(AND(Capability!$P$11&gt;=(FM$1+FO$1*2),Capability!$P$11&lt;(FM$1+FO$1*3)),FQ$1*1.15,NA()))</f>
        <v/>
      </c>
      <c r="FT6">
        <f>IF(OR(Capability!$Q$11="",FO$1=""),NA(),IF(AND(Capability!$Q$11&gt;=(FM$1+FO$1*2),Capability!$Q$11&lt;(FM$1+FO$1*3)),FQ$1*1.15,NA()))</f>
        <v/>
      </c>
      <c r="FV6">
        <f>IF((FY$1+2)&gt;FW$1,NA(),(FY$1+2)-4)</f>
        <v/>
      </c>
      <c r="FW6">
        <f>IF((FY$1+2)&gt;FW$1,NA(),INDEX('Data Entry'!$O$5:$O$10004,(FY$1+2)-4))</f>
        <v/>
      </c>
      <c r="FX6">
        <f>IF(ISNA(FV6),NA(),Capability!$K$12)</f>
        <v/>
      </c>
      <c r="FY6">
        <f>IF(ISNA(FV6),NA(),Capability!$J$12)</f>
        <v/>
      </c>
      <c r="FZ6">
        <f>IF(ISNA(FV6),NA(),Capability!$L$12)</f>
        <v/>
      </c>
      <c r="GA6">
        <f>IF(OR(ISNA(FW6),ISNA(FW5)),NA(),ABS(FW6-FW5))</f>
        <v/>
      </c>
      <c r="GB6">
        <f>IF(ISNA(FV6),NA(),Capability!$N$12)</f>
        <v/>
      </c>
      <c r="GC6">
        <f>IF(ISNA(FV6),NA(),IF(OR(Capability!$Q$12="",Settings!$F$7&lt;&gt;"Y"),NA(),Capability!$Q$12))</f>
        <v/>
      </c>
      <c r="GD6">
        <f>IF(ISNA(FV6),NA(),IF(OR(Capability!$P$12="",Settings!$F$7&lt;&gt;"Y"),NA(),Capability!$P$12))</f>
        <v/>
      </c>
      <c r="GE6">
        <f>IF(GC$1="","",ROUND(GA$1+GC$1*2.5,4))</f>
        <v/>
      </c>
      <c r="GF6">
        <f>IF(GC$1="","",COUNTIFS('Data Entry'!$O$5:$O$10004,"&gt;="&amp;(GA$1+GC$1*2),'Data Entry'!$O$5:$O$10004,"&lt;"&amp;(GA$1+GC$1*3)))</f>
        <v/>
      </c>
      <c r="GG6">
        <f>IF(OR(Capability!$P$12="",GC$1=""),NA(),IF(AND(Capability!$P$12&gt;=(GA$1+GC$1*2),Capability!$P$12&lt;(GA$1+GC$1*3)),GE$1*1.15,NA()))</f>
        <v/>
      </c>
      <c r="GH6">
        <f>IF(OR(Capability!$Q$12="",GC$1=""),NA(),IF(AND(Capability!$Q$12&gt;=(GA$1+GC$1*2),Capability!$Q$12&lt;(GA$1+GC$1*3)),GE$1*1.15,NA()))</f>
        <v/>
      </c>
      <c r="GJ6">
        <f>IF((GM$1+2)&gt;GK$1,NA(),(GM$1+2)-4)</f>
        <v/>
      </c>
      <c r="GK6">
        <f>IF((GM$1+2)&gt;GK$1,NA(),INDEX('Data Entry'!$P$5:$P$10004,(GM$1+2)-4))</f>
        <v/>
      </c>
      <c r="GL6">
        <f>IF(ISNA(GJ6),NA(),Capability!$K$13)</f>
        <v/>
      </c>
      <c r="GM6">
        <f>IF(ISNA(GJ6),NA(),Capability!$J$13)</f>
        <v/>
      </c>
      <c r="GN6">
        <f>IF(ISNA(GJ6),NA(),Capability!$L$13)</f>
        <v/>
      </c>
      <c r="GO6">
        <f>IF(OR(ISNA(GK6),ISNA(GK5)),NA(),ABS(GK6-GK5))</f>
        <v/>
      </c>
      <c r="GP6">
        <f>IF(ISNA(GJ6),NA(),Capability!$N$13)</f>
        <v/>
      </c>
      <c r="GQ6">
        <f>IF(ISNA(GJ6),NA(),IF(OR(Capability!$Q$13="",Settings!$F$7&lt;&gt;"Y"),NA(),Capability!$Q$13))</f>
        <v/>
      </c>
      <c r="GR6">
        <f>IF(ISNA(GJ6),NA(),IF(OR(Capability!$P$13="",Settings!$F$7&lt;&gt;"Y"),NA(),Capability!$P$13))</f>
        <v/>
      </c>
      <c r="GS6">
        <f>IF(GQ$1="","",ROUND(GO$1+GQ$1*2.5,4))</f>
        <v/>
      </c>
      <c r="GT6">
        <f>IF(GQ$1="","",COUNTIFS('Data Entry'!$P$5:$P$10004,"&gt;="&amp;(GO$1+GQ$1*2),'Data Entry'!$P$5:$P$10004,"&lt;"&amp;(GO$1+GQ$1*3)))</f>
        <v/>
      </c>
      <c r="GU6">
        <f>IF(OR(Capability!$P$13="",GQ$1=""),NA(),IF(AND(Capability!$P$13&gt;=(GO$1+GQ$1*2),Capability!$P$13&lt;(GO$1+GQ$1*3)),GS$1*1.15,NA()))</f>
        <v/>
      </c>
      <c r="GV6">
        <f>IF(OR(Capability!$Q$13="",GQ$1=""),NA(),IF(AND(Capability!$Q$13&gt;=(GO$1+GQ$1*2),Capability!$Q$13&lt;(GO$1+GQ$1*3)),GS$1*1.15,NA()))</f>
        <v/>
      </c>
      <c r="GX6">
        <f>IF((HA$1+2)&gt;GY$1,NA(),(HA$1+2)-4)</f>
        <v/>
      </c>
      <c r="GY6">
        <f>IF((HA$1+2)&gt;GY$1,NA(),INDEX('Data Entry'!$Q$5:$Q$10004,(HA$1+2)-4))</f>
        <v/>
      </c>
      <c r="GZ6">
        <f>IF(ISNA(GX6),NA(),Capability!$K$14)</f>
        <v/>
      </c>
      <c r="HA6">
        <f>IF(ISNA(GX6),NA(),Capability!$J$14)</f>
        <v/>
      </c>
      <c r="HB6">
        <f>IF(ISNA(GX6),NA(),Capability!$L$14)</f>
        <v/>
      </c>
      <c r="HC6">
        <f>IF(OR(ISNA(GY6),ISNA(GY5)),NA(),ABS(GY6-GY5))</f>
        <v/>
      </c>
      <c r="HD6">
        <f>IF(ISNA(GX6),NA(),Capability!$N$14)</f>
        <v/>
      </c>
      <c r="HE6">
        <f>IF(ISNA(GX6),NA(),IF(OR(Capability!$Q$14="",Settings!$F$7&lt;&gt;"Y"),NA(),Capability!$Q$14))</f>
        <v/>
      </c>
      <c r="HF6">
        <f>IF(ISNA(GX6),NA(),IF(OR(Capability!$P$14="",Settings!$F$7&lt;&gt;"Y"),NA(),Capability!$P$14))</f>
        <v/>
      </c>
      <c r="HG6">
        <f>IF(HE$1="","",ROUND(HC$1+HE$1*2.5,4))</f>
        <v/>
      </c>
      <c r="HH6">
        <f>IF(HE$1="","",COUNTIFS('Data Entry'!$Q$5:$Q$10004,"&gt;="&amp;(HC$1+HE$1*2),'Data Entry'!$Q$5:$Q$10004,"&lt;"&amp;(HC$1+HE$1*3)))</f>
        <v/>
      </c>
      <c r="HI6">
        <f>IF(OR(Capability!$P$14="",HE$1=""),NA(),IF(AND(Capability!$P$14&gt;=(HC$1+HE$1*2),Capability!$P$14&lt;(HC$1+HE$1*3)),HG$1*1.15,NA()))</f>
        <v/>
      </c>
      <c r="HJ6">
        <f>IF(OR(Capability!$Q$14="",HE$1=""),NA(),IF(AND(Capability!$Q$14&gt;=(HC$1+HE$1*2),Capability!$Q$14&lt;(HC$1+HE$1*3)),HG$1*1.15,NA()))</f>
        <v/>
      </c>
    </row>
    <row r="7">
      <c r="A7" s="35" t="inlineStr">
        <is>
          <t>Samples (n)</t>
        </is>
      </c>
      <c r="B7" s="22">
        <f>Capability!B5</f>
        <v/>
      </c>
      <c r="CB7">
        <f>IF((CE$1+3)&gt;CC$1,NA(),(CE$1+3)-4)</f>
        <v/>
      </c>
      <c r="CC7">
        <f>IF((CE$1+3)&gt;CC$1,NA(),INDEX('Data Entry'!$H$5:$H$10004,(CE$1+3)-4))</f>
        <v/>
      </c>
      <c r="CD7">
        <f>IF(ISNA(CB7),NA(),Capability!$K$5)</f>
        <v/>
      </c>
      <c r="CE7">
        <f>IF(ISNA(CB7),NA(),Capability!$J$5)</f>
        <v/>
      </c>
      <c r="CF7">
        <f>IF(ISNA(CB7),NA(),Capability!$L$5)</f>
        <v/>
      </c>
      <c r="CG7">
        <f>IF(OR(ISNA(CC7),ISNA(CC6)),NA(),ABS(CC7-CC6))</f>
        <v/>
      </c>
      <c r="CH7">
        <f>IF(ISNA(CB7),NA(),Capability!$N$5)</f>
        <v/>
      </c>
      <c r="CI7">
        <f>IF(ISNA(CB7),NA(),IF(OR(Capability!$Q$5="",Settings!$F$7&lt;&gt;"Y"),NA(),Capability!$Q$5))</f>
        <v/>
      </c>
      <c r="CJ7">
        <f>IF(ISNA(CB7),NA(),IF(OR(Capability!$P$5="",Settings!$F$7&lt;&gt;"Y"),NA(),Capability!$P$5))</f>
        <v/>
      </c>
      <c r="CK7">
        <f>IF(CI$1="","",ROUND(CG$1+CI$1*3.5,4))</f>
        <v/>
      </c>
      <c r="CL7">
        <f>IF(CI$1="","",COUNTIFS('Data Entry'!$H$5:$H$10004,"&gt;="&amp;(CG$1+CI$1*3),'Data Entry'!$H$5:$H$10004,"&lt;"&amp;(CG$1+CI$1*4)))</f>
        <v/>
      </c>
      <c r="CM7">
        <f>IF(OR(Capability!$P$5="",CI$1=""),NA(),IF(AND(Capability!$P$5&gt;=(CG$1+CI$1*3),Capability!$P$5&lt;(CG$1+CI$1*4)),CK$1*1.15,NA()))</f>
        <v/>
      </c>
      <c r="CN7">
        <f>IF(OR(Capability!$Q$5="",CI$1=""),NA(),IF(AND(Capability!$Q$5&gt;=(CG$1+CI$1*3),Capability!$Q$5&lt;(CG$1+CI$1*4)),CK$1*1.15,NA()))</f>
        <v/>
      </c>
      <c r="CP7">
        <f>IF((CS$1+3)&gt;CQ$1,NA(),(CS$1+3)-4)</f>
        <v/>
      </c>
      <c r="CQ7">
        <f>IF((CS$1+3)&gt;CQ$1,NA(),INDEX('Data Entry'!$I$5:$I$10004,(CS$1+3)-4))</f>
        <v/>
      </c>
      <c r="CR7">
        <f>IF(ISNA(CP7),NA(),Capability!$K$6)</f>
        <v/>
      </c>
      <c r="CS7">
        <f>IF(ISNA(CP7),NA(),Capability!$J$6)</f>
        <v/>
      </c>
      <c r="CT7">
        <f>IF(ISNA(CP7),NA(),Capability!$L$6)</f>
        <v/>
      </c>
      <c r="CU7">
        <f>IF(OR(ISNA(CQ7),ISNA(CQ6)),NA(),ABS(CQ7-CQ6))</f>
        <v/>
      </c>
      <c r="CV7">
        <f>IF(ISNA(CP7),NA(),Capability!$N$6)</f>
        <v/>
      </c>
      <c r="CW7">
        <f>IF(ISNA(CP7),NA(),IF(OR(Capability!$Q$6="",Settings!$F$7&lt;&gt;"Y"),NA(),Capability!$Q$6))</f>
        <v/>
      </c>
      <c r="CX7">
        <f>IF(ISNA(CP7),NA(),IF(OR(Capability!$P$6="",Settings!$F$7&lt;&gt;"Y"),NA(),Capability!$P$6))</f>
        <v/>
      </c>
      <c r="CY7">
        <f>IF(CW$1="","",ROUND(CU$1+CW$1*3.5,4))</f>
        <v/>
      </c>
      <c r="CZ7">
        <f>IF(CW$1="","",COUNTIFS('Data Entry'!$I$5:$I$10004,"&gt;="&amp;(CU$1+CW$1*3),'Data Entry'!$I$5:$I$10004,"&lt;"&amp;(CU$1+CW$1*4)))</f>
        <v/>
      </c>
      <c r="DA7">
        <f>IF(OR(Capability!$P$6="",CW$1=""),NA(),IF(AND(Capability!$P$6&gt;=(CU$1+CW$1*3),Capability!$P$6&lt;(CU$1+CW$1*4)),CY$1*1.15,NA()))</f>
        <v/>
      </c>
      <c r="DB7">
        <f>IF(OR(Capability!$Q$6="",CW$1=""),NA(),IF(AND(Capability!$Q$6&gt;=(CU$1+CW$1*3),Capability!$Q$6&lt;(CU$1+CW$1*4)),CY$1*1.15,NA()))</f>
        <v/>
      </c>
      <c r="DD7">
        <f>IF((DG$1+3)&gt;DE$1,NA(),(DG$1+3)-4)</f>
        <v/>
      </c>
      <c r="DE7">
        <f>IF((DG$1+3)&gt;DE$1,NA(),INDEX('Data Entry'!$J$5:$J$10004,(DG$1+3)-4))</f>
        <v/>
      </c>
      <c r="DF7">
        <f>IF(ISNA(DD7),NA(),Capability!$K$7)</f>
        <v/>
      </c>
      <c r="DG7">
        <f>IF(ISNA(DD7),NA(),Capability!$J$7)</f>
        <v/>
      </c>
      <c r="DH7">
        <f>IF(ISNA(DD7),NA(),Capability!$L$7)</f>
        <v/>
      </c>
      <c r="DI7">
        <f>IF(OR(ISNA(DE7),ISNA(DE6)),NA(),ABS(DE7-DE6))</f>
        <v/>
      </c>
      <c r="DJ7">
        <f>IF(ISNA(DD7),NA(),Capability!$N$7)</f>
        <v/>
      </c>
      <c r="DK7">
        <f>IF(ISNA(DD7),NA(),IF(OR(Capability!$Q$7="",Settings!$F$7&lt;&gt;"Y"),NA(),Capability!$Q$7))</f>
        <v/>
      </c>
      <c r="DL7">
        <f>IF(ISNA(DD7),NA(),IF(OR(Capability!$P$7="",Settings!$F$7&lt;&gt;"Y"),NA(),Capability!$P$7))</f>
        <v/>
      </c>
      <c r="DM7">
        <f>IF(DK$1="","",ROUND(DI$1+DK$1*3.5,4))</f>
        <v/>
      </c>
      <c r="DN7">
        <f>IF(DK$1="","",COUNTIFS('Data Entry'!$J$5:$J$10004,"&gt;="&amp;(DI$1+DK$1*3),'Data Entry'!$J$5:$J$10004,"&lt;"&amp;(DI$1+DK$1*4)))</f>
        <v/>
      </c>
      <c r="DO7">
        <f>IF(OR(Capability!$P$7="",DK$1=""),NA(),IF(AND(Capability!$P$7&gt;=(DI$1+DK$1*3),Capability!$P$7&lt;(DI$1+DK$1*4)),DM$1*1.15,NA()))</f>
        <v/>
      </c>
      <c r="DP7">
        <f>IF(OR(Capability!$Q$7="",DK$1=""),NA(),IF(AND(Capability!$Q$7&gt;=(DI$1+DK$1*3),Capability!$Q$7&lt;(DI$1+DK$1*4)),DM$1*1.15,NA()))</f>
        <v/>
      </c>
      <c r="DR7">
        <f>IF((DU$1+3)&gt;DS$1,NA(),(DU$1+3)-4)</f>
        <v/>
      </c>
      <c r="DS7">
        <f>IF((DU$1+3)&gt;DS$1,NA(),INDEX('Data Entry'!$K$5:$K$10004,(DU$1+3)-4))</f>
        <v/>
      </c>
      <c r="DT7">
        <f>IF(ISNA(DR7),NA(),Capability!$K$8)</f>
        <v/>
      </c>
      <c r="DU7">
        <f>IF(ISNA(DR7),NA(),Capability!$J$8)</f>
        <v/>
      </c>
      <c r="DV7">
        <f>IF(ISNA(DR7),NA(),Capability!$L$8)</f>
        <v/>
      </c>
      <c r="DW7">
        <f>IF(OR(ISNA(DS7),ISNA(DS6)),NA(),ABS(DS7-DS6))</f>
        <v/>
      </c>
      <c r="DX7">
        <f>IF(ISNA(DR7),NA(),Capability!$N$8)</f>
        <v/>
      </c>
      <c r="DY7">
        <f>IF(ISNA(DR7),NA(),IF(OR(Capability!$Q$8="",Settings!$F$7&lt;&gt;"Y"),NA(),Capability!$Q$8))</f>
        <v/>
      </c>
      <c r="DZ7">
        <f>IF(ISNA(DR7),NA(),IF(OR(Capability!$P$8="",Settings!$F$7&lt;&gt;"Y"),NA(),Capability!$P$8))</f>
        <v/>
      </c>
      <c r="EA7">
        <f>IF(DY$1="","",ROUND(DW$1+DY$1*3.5,4))</f>
        <v/>
      </c>
      <c r="EB7">
        <f>IF(DY$1="","",COUNTIFS('Data Entry'!$K$5:$K$10004,"&gt;="&amp;(DW$1+DY$1*3),'Data Entry'!$K$5:$K$10004,"&lt;"&amp;(DW$1+DY$1*4)))</f>
        <v/>
      </c>
      <c r="EC7">
        <f>IF(OR(Capability!$P$8="",DY$1=""),NA(),IF(AND(Capability!$P$8&gt;=(DW$1+DY$1*3),Capability!$P$8&lt;(DW$1+DY$1*4)),EA$1*1.15,NA()))</f>
        <v/>
      </c>
      <c r="ED7">
        <f>IF(OR(Capability!$Q$8="",DY$1=""),NA(),IF(AND(Capability!$Q$8&gt;=(DW$1+DY$1*3),Capability!$Q$8&lt;(DW$1+DY$1*4)),EA$1*1.15,NA()))</f>
        <v/>
      </c>
      <c r="EF7">
        <f>IF((EI$1+3)&gt;EG$1,NA(),(EI$1+3)-4)</f>
        <v/>
      </c>
      <c r="EG7">
        <f>IF((EI$1+3)&gt;EG$1,NA(),INDEX('Data Entry'!$L$5:$L$10004,(EI$1+3)-4))</f>
        <v/>
      </c>
      <c r="EH7">
        <f>IF(ISNA(EF7),NA(),Capability!$K$9)</f>
        <v/>
      </c>
      <c r="EI7">
        <f>IF(ISNA(EF7),NA(),Capability!$J$9)</f>
        <v/>
      </c>
      <c r="EJ7">
        <f>IF(ISNA(EF7),NA(),Capability!$L$9)</f>
        <v/>
      </c>
      <c r="EK7">
        <f>IF(OR(ISNA(EG7),ISNA(EG6)),NA(),ABS(EG7-EG6))</f>
        <v/>
      </c>
      <c r="EL7">
        <f>IF(ISNA(EF7),NA(),Capability!$N$9)</f>
        <v/>
      </c>
      <c r="EM7">
        <f>IF(ISNA(EF7),NA(),IF(OR(Capability!$Q$9="",Settings!$F$7&lt;&gt;"Y"),NA(),Capability!$Q$9))</f>
        <v/>
      </c>
      <c r="EN7">
        <f>IF(ISNA(EF7),NA(),IF(OR(Capability!$P$9="",Settings!$F$7&lt;&gt;"Y"),NA(),Capability!$P$9))</f>
        <v/>
      </c>
      <c r="EO7">
        <f>IF(EM$1="","",ROUND(EK$1+EM$1*3.5,4))</f>
        <v/>
      </c>
      <c r="EP7">
        <f>IF(EM$1="","",COUNTIFS('Data Entry'!$L$5:$L$10004,"&gt;="&amp;(EK$1+EM$1*3),'Data Entry'!$L$5:$L$10004,"&lt;"&amp;(EK$1+EM$1*4)))</f>
        <v/>
      </c>
      <c r="EQ7">
        <f>IF(OR(Capability!$P$9="",EM$1=""),NA(),IF(AND(Capability!$P$9&gt;=(EK$1+EM$1*3),Capability!$P$9&lt;(EK$1+EM$1*4)),EO$1*1.15,NA()))</f>
        <v/>
      </c>
      <c r="ER7">
        <f>IF(OR(Capability!$Q$9="",EM$1=""),NA(),IF(AND(Capability!$Q$9&gt;=(EK$1+EM$1*3),Capability!$Q$9&lt;(EK$1+EM$1*4)),EO$1*1.15,NA()))</f>
        <v/>
      </c>
      <c r="ET7">
        <f>IF((EW$1+3)&gt;EU$1,NA(),(EW$1+3)-4)</f>
        <v/>
      </c>
      <c r="EU7">
        <f>IF((EW$1+3)&gt;EU$1,NA(),INDEX('Data Entry'!$M$5:$M$10004,(EW$1+3)-4))</f>
        <v/>
      </c>
      <c r="EV7">
        <f>IF(ISNA(ET7),NA(),Capability!$K$10)</f>
        <v/>
      </c>
      <c r="EW7">
        <f>IF(ISNA(ET7),NA(),Capability!$J$10)</f>
        <v/>
      </c>
      <c r="EX7">
        <f>IF(ISNA(ET7),NA(),Capability!$L$10)</f>
        <v/>
      </c>
      <c r="EY7">
        <f>IF(OR(ISNA(EU7),ISNA(EU6)),NA(),ABS(EU7-EU6))</f>
        <v/>
      </c>
      <c r="EZ7">
        <f>IF(ISNA(ET7),NA(),Capability!$N$10)</f>
        <v/>
      </c>
      <c r="FA7">
        <f>IF(ISNA(ET7),NA(),IF(OR(Capability!$Q$10="",Settings!$F$7&lt;&gt;"Y"),NA(),Capability!$Q$10))</f>
        <v/>
      </c>
      <c r="FB7">
        <f>IF(ISNA(ET7),NA(),IF(OR(Capability!$P$10="",Settings!$F$7&lt;&gt;"Y"),NA(),Capability!$P$10))</f>
        <v/>
      </c>
      <c r="FC7">
        <f>IF(FA$1="","",ROUND(EY$1+FA$1*3.5,4))</f>
        <v/>
      </c>
      <c r="FD7">
        <f>IF(FA$1="","",COUNTIFS('Data Entry'!$M$5:$M$10004,"&gt;="&amp;(EY$1+FA$1*3),'Data Entry'!$M$5:$M$10004,"&lt;"&amp;(EY$1+FA$1*4)))</f>
        <v/>
      </c>
      <c r="FE7">
        <f>IF(OR(Capability!$P$10="",FA$1=""),NA(),IF(AND(Capability!$P$10&gt;=(EY$1+FA$1*3),Capability!$P$10&lt;(EY$1+FA$1*4)),FC$1*1.15,NA()))</f>
        <v/>
      </c>
      <c r="FF7">
        <f>IF(OR(Capability!$Q$10="",FA$1=""),NA(),IF(AND(Capability!$Q$10&gt;=(EY$1+FA$1*3),Capability!$Q$10&lt;(EY$1+FA$1*4)),FC$1*1.15,NA()))</f>
        <v/>
      </c>
      <c r="FH7">
        <f>IF((FK$1+3)&gt;FI$1,NA(),(FK$1+3)-4)</f>
        <v/>
      </c>
      <c r="FI7">
        <f>IF((FK$1+3)&gt;FI$1,NA(),INDEX('Data Entry'!$N$5:$N$10004,(FK$1+3)-4))</f>
        <v/>
      </c>
      <c r="FJ7">
        <f>IF(ISNA(FH7),NA(),Capability!$K$11)</f>
        <v/>
      </c>
      <c r="FK7">
        <f>IF(ISNA(FH7),NA(),Capability!$J$11)</f>
        <v/>
      </c>
      <c r="FL7">
        <f>IF(ISNA(FH7),NA(),Capability!$L$11)</f>
        <v/>
      </c>
      <c r="FM7">
        <f>IF(OR(ISNA(FI7),ISNA(FI6)),NA(),ABS(FI7-FI6))</f>
        <v/>
      </c>
      <c r="FN7">
        <f>IF(ISNA(FH7),NA(),Capability!$N$11)</f>
        <v/>
      </c>
      <c r="FO7">
        <f>IF(ISNA(FH7),NA(),IF(OR(Capability!$Q$11="",Settings!$F$7&lt;&gt;"Y"),NA(),Capability!$Q$11))</f>
        <v/>
      </c>
      <c r="FP7">
        <f>IF(ISNA(FH7),NA(),IF(OR(Capability!$P$11="",Settings!$F$7&lt;&gt;"Y"),NA(),Capability!$P$11))</f>
        <v/>
      </c>
      <c r="FQ7">
        <f>IF(FO$1="","",ROUND(FM$1+FO$1*3.5,4))</f>
        <v/>
      </c>
      <c r="FR7">
        <f>IF(FO$1="","",COUNTIFS('Data Entry'!$N$5:$N$10004,"&gt;="&amp;(FM$1+FO$1*3),'Data Entry'!$N$5:$N$10004,"&lt;"&amp;(FM$1+FO$1*4)))</f>
        <v/>
      </c>
      <c r="FS7">
        <f>IF(OR(Capability!$P$11="",FO$1=""),NA(),IF(AND(Capability!$P$11&gt;=(FM$1+FO$1*3),Capability!$P$11&lt;(FM$1+FO$1*4)),FQ$1*1.15,NA()))</f>
        <v/>
      </c>
      <c r="FT7">
        <f>IF(OR(Capability!$Q$11="",FO$1=""),NA(),IF(AND(Capability!$Q$11&gt;=(FM$1+FO$1*3),Capability!$Q$11&lt;(FM$1+FO$1*4)),FQ$1*1.15,NA()))</f>
        <v/>
      </c>
      <c r="FV7">
        <f>IF((FY$1+3)&gt;FW$1,NA(),(FY$1+3)-4)</f>
        <v/>
      </c>
      <c r="FW7">
        <f>IF((FY$1+3)&gt;FW$1,NA(),INDEX('Data Entry'!$O$5:$O$10004,(FY$1+3)-4))</f>
        <v/>
      </c>
      <c r="FX7">
        <f>IF(ISNA(FV7),NA(),Capability!$K$12)</f>
        <v/>
      </c>
      <c r="FY7">
        <f>IF(ISNA(FV7),NA(),Capability!$J$12)</f>
        <v/>
      </c>
      <c r="FZ7">
        <f>IF(ISNA(FV7),NA(),Capability!$L$12)</f>
        <v/>
      </c>
      <c r="GA7">
        <f>IF(OR(ISNA(FW7),ISNA(FW6)),NA(),ABS(FW7-FW6))</f>
        <v/>
      </c>
      <c r="GB7">
        <f>IF(ISNA(FV7),NA(),Capability!$N$12)</f>
        <v/>
      </c>
      <c r="GC7">
        <f>IF(ISNA(FV7),NA(),IF(OR(Capability!$Q$12="",Settings!$F$7&lt;&gt;"Y"),NA(),Capability!$Q$12))</f>
        <v/>
      </c>
      <c r="GD7">
        <f>IF(ISNA(FV7),NA(),IF(OR(Capability!$P$12="",Settings!$F$7&lt;&gt;"Y"),NA(),Capability!$P$12))</f>
        <v/>
      </c>
      <c r="GE7">
        <f>IF(GC$1="","",ROUND(GA$1+GC$1*3.5,4))</f>
        <v/>
      </c>
      <c r="GF7">
        <f>IF(GC$1="","",COUNTIFS('Data Entry'!$O$5:$O$10004,"&gt;="&amp;(GA$1+GC$1*3),'Data Entry'!$O$5:$O$10004,"&lt;"&amp;(GA$1+GC$1*4)))</f>
        <v/>
      </c>
      <c r="GG7">
        <f>IF(OR(Capability!$P$12="",GC$1=""),NA(),IF(AND(Capability!$P$12&gt;=(GA$1+GC$1*3),Capability!$P$12&lt;(GA$1+GC$1*4)),GE$1*1.15,NA()))</f>
        <v/>
      </c>
      <c r="GH7">
        <f>IF(OR(Capability!$Q$12="",GC$1=""),NA(),IF(AND(Capability!$Q$12&gt;=(GA$1+GC$1*3),Capability!$Q$12&lt;(GA$1+GC$1*4)),GE$1*1.15,NA()))</f>
        <v/>
      </c>
      <c r="GJ7">
        <f>IF((GM$1+3)&gt;GK$1,NA(),(GM$1+3)-4)</f>
        <v/>
      </c>
      <c r="GK7">
        <f>IF((GM$1+3)&gt;GK$1,NA(),INDEX('Data Entry'!$P$5:$P$10004,(GM$1+3)-4))</f>
        <v/>
      </c>
      <c r="GL7">
        <f>IF(ISNA(GJ7),NA(),Capability!$K$13)</f>
        <v/>
      </c>
      <c r="GM7">
        <f>IF(ISNA(GJ7),NA(),Capability!$J$13)</f>
        <v/>
      </c>
      <c r="GN7">
        <f>IF(ISNA(GJ7),NA(),Capability!$L$13)</f>
        <v/>
      </c>
      <c r="GO7">
        <f>IF(OR(ISNA(GK7),ISNA(GK6)),NA(),ABS(GK7-GK6))</f>
        <v/>
      </c>
      <c r="GP7">
        <f>IF(ISNA(GJ7),NA(),Capability!$N$13)</f>
        <v/>
      </c>
      <c r="GQ7">
        <f>IF(ISNA(GJ7),NA(),IF(OR(Capability!$Q$13="",Settings!$F$7&lt;&gt;"Y"),NA(),Capability!$Q$13))</f>
        <v/>
      </c>
      <c r="GR7">
        <f>IF(ISNA(GJ7),NA(),IF(OR(Capability!$P$13="",Settings!$F$7&lt;&gt;"Y"),NA(),Capability!$P$13))</f>
        <v/>
      </c>
      <c r="GS7">
        <f>IF(GQ$1="","",ROUND(GO$1+GQ$1*3.5,4))</f>
        <v/>
      </c>
      <c r="GT7">
        <f>IF(GQ$1="","",COUNTIFS('Data Entry'!$P$5:$P$10004,"&gt;="&amp;(GO$1+GQ$1*3),'Data Entry'!$P$5:$P$10004,"&lt;"&amp;(GO$1+GQ$1*4)))</f>
        <v/>
      </c>
      <c r="GU7">
        <f>IF(OR(Capability!$P$13="",GQ$1=""),NA(),IF(AND(Capability!$P$13&gt;=(GO$1+GQ$1*3),Capability!$P$13&lt;(GO$1+GQ$1*4)),GS$1*1.15,NA()))</f>
        <v/>
      </c>
      <c r="GV7">
        <f>IF(OR(Capability!$Q$13="",GQ$1=""),NA(),IF(AND(Capability!$Q$13&gt;=(GO$1+GQ$1*3),Capability!$Q$13&lt;(GO$1+GQ$1*4)),GS$1*1.15,NA()))</f>
        <v/>
      </c>
      <c r="GX7">
        <f>IF((HA$1+3)&gt;GY$1,NA(),(HA$1+3)-4)</f>
        <v/>
      </c>
      <c r="GY7">
        <f>IF((HA$1+3)&gt;GY$1,NA(),INDEX('Data Entry'!$Q$5:$Q$10004,(HA$1+3)-4))</f>
        <v/>
      </c>
      <c r="GZ7">
        <f>IF(ISNA(GX7),NA(),Capability!$K$14)</f>
        <v/>
      </c>
      <c r="HA7">
        <f>IF(ISNA(GX7),NA(),Capability!$J$14)</f>
        <v/>
      </c>
      <c r="HB7">
        <f>IF(ISNA(GX7),NA(),Capability!$L$14)</f>
        <v/>
      </c>
      <c r="HC7">
        <f>IF(OR(ISNA(GY7),ISNA(GY6)),NA(),ABS(GY7-GY6))</f>
        <v/>
      </c>
      <c r="HD7">
        <f>IF(ISNA(GX7),NA(),Capability!$N$14)</f>
        <v/>
      </c>
      <c r="HE7">
        <f>IF(ISNA(GX7),NA(),IF(OR(Capability!$Q$14="",Settings!$F$7&lt;&gt;"Y"),NA(),Capability!$Q$14))</f>
        <v/>
      </c>
      <c r="HF7">
        <f>IF(ISNA(GX7),NA(),IF(OR(Capability!$P$14="",Settings!$F$7&lt;&gt;"Y"),NA(),Capability!$P$14))</f>
        <v/>
      </c>
      <c r="HG7">
        <f>IF(HE$1="","",ROUND(HC$1+HE$1*3.5,4))</f>
        <v/>
      </c>
      <c r="HH7">
        <f>IF(HE$1="","",COUNTIFS('Data Entry'!$Q$5:$Q$10004,"&gt;="&amp;(HC$1+HE$1*3),'Data Entry'!$Q$5:$Q$10004,"&lt;"&amp;(HC$1+HE$1*4)))</f>
        <v/>
      </c>
      <c r="HI7">
        <f>IF(OR(Capability!$P$14="",HE$1=""),NA(),IF(AND(Capability!$P$14&gt;=(HC$1+HE$1*3),Capability!$P$14&lt;(HC$1+HE$1*4)),HG$1*1.15,NA()))</f>
        <v/>
      </c>
      <c r="HJ7">
        <f>IF(OR(Capability!$Q$14="",HE$1=""),NA(),IF(AND(Capability!$Q$14&gt;=(HC$1+HE$1*3),Capability!$Q$14&lt;(HC$1+HE$1*4)),HG$1*1.15,NA()))</f>
        <v/>
      </c>
    </row>
    <row r="8">
      <c r="A8" s="37" t="inlineStr">
        <is>
          <t>DATA RANGE</t>
        </is>
      </c>
      <c r="B8" s="28" t="n"/>
      <c r="CB8">
        <f>IF((CE$1+4)&gt;CC$1,NA(),(CE$1+4)-4)</f>
        <v/>
      </c>
      <c r="CC8">
        <f>IF((CE$1+4)&gt;CC$1,NA(),INDEX('Data Entry'!$H$5:$H$10004,(CE$1+4)-4))</f>
        <v/>
      </c>
      <c r="CD8">
        <f>IF(ISNA(CB8),NA(),Capability!$K$5)</f>
        <v/>
      </c>
      <c r="CE8">
        <f>IF(ISNA(CB8),NA(),Capability!$J$5)</f>
        <v/>
      </c>
      <c r="CF8">
        <f>IF(ISNA(CB8),NA(),Capability!$L$5)</f>
        <v/>
      </c>
      <c r="CG8">
        <f>IF(OR(ISNA(CC8),ISNA(CC7)),NA(),ABS(CC8-CC7))</f>
        <v/>
      </c>
      <c r="CH8">
        <f>IF(ISNA(CB8),NA(),Capability!$N$5)</f>
        <v/>
      </c>
      <c r="CI8">
        <f>IF(ISNA(CB8),NA(),IF(OR(Capability!$Q$5="",Settings!$F$7&lt;&gt;"Y"),NA(),Capability!$Q$5))</f>
        <v/>
      </c>
      <c r="CJ8">
        <f>IF(ISNA(CB8),NA(),IF(OR(Capability!$P$5="",Settings!$F$7&lt;&gt;"Y"),NA(),Capability!$P$5))</f>
        <v/>
      </c>
      <c r="CK8">
        <f>IF(CI$1="","",ROUND(CG$1+CI$1*4.5,4))</f>
        <v/>
      </c>
      <c r="CL8">
        <f>IF(CI$1="","",COUNTIFS('Data Entry'!$H$5:$H$10004,"&gt;="&amp;(CG$1+CI$1*4),'Data Entry'!$H$5:$H$10004,"&lt;"&amp;(CG$1+CI$1*5)))</f>
        <v/>
      </c>
      <c r="CM8">
        <f>IF(OR(Capability!$P$5="",CI$1=""),NA(),IF(AND(Capability!$P$5&gt;=(CG$1+CI$1*4),Capability!$P$5&lt;(CG$1+CI$1*5)),CK$1*1.15,NA()))</f>
        <v/>
      </c>
      <c r="CN8">
        <f>IF(OR(Capability!$Q$5="",CI$1=""),NA(),IF(AND(Capability!$Q$5&gt;=(CG$1+CI$1*4),Capability!$Q$5&lt;(CG$1+CI$1*5)),CK$1*1.15,NA()))</f>
        <v/>
      </c>
      <c r="CP8">
        <f>IF((CS$1+4)&gt;CQ$1,NA(),(CS$1+4)-4)</f>
        <v/>
      </c>
      <c r="CQ8">
        <f>IF((CS$1+4)&gt;CQ$1,NA(),INDEX('Data Entry'!$I$5:$I$10004,(CS$1+4)-4))</f>
        <v/>
      </c>
      <c r="CR8">
        <f>IF(ISNA(CP8),NA(),Capability!$K$6)</f>
        <v/>
      </c>
      <c r="CS8">
        <f>IF(ISNA(CP8),NA(),Capability!$J$6)</f>
        <v/>
      </c>
      <c r="CT8">
        <f>IF(ISNA(CP8),NA(),Capability!$L$6)</f>
        <v/>
      </c>
      <c r="CU8">
        <f>IF(OR(ISNA(CQ8),ISNA(CQ7)),NA(),ABS(CQ8-CQ7))</f>
        <v/>
      </c>
      <c r="CV8">
        <f>IF(ISNA(CP8),NA(),Capability!$N$6)</f>
        <v/>
      </c>
      <c r="CW8">
        <f>IF(ISNA(CP8),NA(),IF(OR(Capability!$Q$6="",Settings!$F$7&lt;&gt;"Y"),NA(),Capability!$Q$6))</f>
        <v/>
      </c>
      <c r="CX8">
        <f>IF(ISNA(CP8),NA(),IF(OR(Capability!$P$6="",Settings!$F$7&lt;&gt;"Y"),NA(),Capability!$P$6))</f>
        <v/>
      </c>
      <c r="CY8">
        <f>IF(CW$1="","",ROUND(CU$1+CW$1*4.5,4))</f>
        <v/>
      </c>
      <c r="CZ8">
        <f>IF(CW$1="","",COUNTIFS('Data Entry'!$I$5:$I$10004,"&gt;="&amp;(CU$1+CW$1*4),'Data Entry'!$I$5:$I$10004,"&lt;"&amp;(CU$1+CW$1*5)))</f>
        <v/>
      </c>
      <c r="DA8">
        <f>IF(OR(Capability!$P$6="",CW$1=""),NA(),IF(AND(Capability!$P$6&gt;=(CU$1+CW$1*4),Capability!$P$6&lt;(CU$1+CW$1*5)),CY$1*1.15,NA()))</f>
        <v/>
      </c>
      <c r="DB8">
        <f>IF(OR(Capability!$Q$6="",CW$1=""),NA(),IF(AND(Capability!$Q$6&gt;=(CU$1+CW$1*4),Capability!$Q$6&lt;(CU$1+CW$1*5)),CY$1*1.15,NA()))</f>
        <v/>
      </c>
      <c r="DD8">
        <f>IF((DG$1+4)&gt;DE$1,NA(),(DG$1+4)-4)</f>
        <v/>
      </c>
      <c r="DE8">
        <f>IF((DG$1+4)&gt;DE$1,NA(),INDEX('Data Entry'!$J$5:$J$10004,(DG$1+4)-4))</f>
        <v/>
      </c>
      <c r="DF8">
        <f>IF(ISNA(DD8),NA(),Capability!$K$7)</f>
        <v/>
      </c>
      <c r="DG8">
        <f>IF(ISNA(DD8),NA(),Capability!$J$7)</f>
        <v/>
      </c>
      <c r="DH8">
        <f>IF(ISNA(DD8),NA(),Capability!$L$7)</f>
        <v/>
      </c>
      <c r="DI8">
        <f>IF(OR(ISNA(DE8),ISNA(DE7)),NA(),ABS(DE8-DE7))</f>
        <v/>
      </c>
      <c r="DJ8">
        <f>IF(ISNA(DD8),NA(),Capability!$N$7)</f>
        <v/>
      </c>
      <c r="DK8">
        <f>IF(ISNA(DD8),NA(),IF(OR(Capability!$Q$7="",Settings!$F$7&lt;&gt;"Y"),NA(),Capability!$Q$7))</f>
        <v/>
      </c>
      <c r="DL8">
        <f>IF(ISNA(DD8),NA(),IF(OR(Capability!$P$7="",Settings!$F$7&lt;&gt;"Y"),NA(),Capability!$P$7))</f>
        <v/>
      </c>
      <c r="DM8">
        <f>IF(DK$1="","",ROUND(DI$1+DK$1*4.5,4))</f>
        <v/>
      </c>
      <c r="DN8">
        <f>IF(DK$1="","",COUNTIFS('Data Entry'!$J$5:$J$10004,"&gt;="&amp;(DI$1+DK$1*4),'Data Entry'!$J$5:$J$10004,"&lt;"&amp;(DI$1+DK$1*5)))</f>
        <v/>
      </c>
      <c r="DO8">
        <f>IF(OR(Capability!$P$7="",DK$1=""),NA(),IF(AND(Capability!$P$7&gt;=(DI$1+DK$1*4),Capability!$P$7&lt;(DI$1+DK$1*5)),DM$1*1.15,NA()))</f>
        <v/>
      </c>
      <c r="DP8">
        <f>IF(OR(Capability!$Q$7="",DK$1=""),NA(),IF(AND(Capability!$Q$7&gt;=(DI$1+DK$1*4),Capability!$Q$7&lt;(DI$1+DK$1*5)),DM$1*1.15,NA()))</f>
        <v/>
      </c>
      <c r="DR8">
        <f>IF((DU$1+4)&gt;DS$1,NA(),(DU$1+4)-4)</f>
        <v/>
      </c>
      <c r="DS8">
        <f>IF((DU$1+4)&gt;DS$1,NA(),INDEX('Data Entry'!$K$5:$K$10004,(DU$1+4)-4))</f>
        <v/>
      </c>
      <c r="DT8">
        <f>IF(ISNA(DR8),NA(),Capability!$K$8)</f>
        <v/>
      </c>
      <c r="DU8">
        <f>IF(ISNA(DR8),NA(),Capability!$J$8)</f>
        <v/>
      </c>
      <c r="DV8">
        <f>IF(ISNA(DR8),NA(),Capability!$L$8)</f>
        <v/>
      </c>
      <c r="DW8">
        <f>IF(OR(ISNA(DS8),ISNA(DS7)),NA(),ABS(DS8-DS7))</f>
        <v/>
      </c>
      <c r="DX8">
        <f>IF(ISNA(DR8),NA(),Capability!$N$8)</f>
        <v/>
      </c>
      <c r="DY8">
        <f>IF(ISNA(DR8),NA(),IF(OR(Capability!$Q$8="",Settings!$F$7&lt;&gt;"Y"),NA(),Capability!$Q$8))</f>
        <v/>
      </c>
      <c r="DZ8">
        <f>IF(ISNA(DR8),NA(),IF(OR(Capability!$P$8="",Settings!$F$7&lt;&gt;"Y"),NA(),Capability!$P$8))</f>
        <v/>
      </c>
      <c r="EA8">
        <f>IF(DY$1="","",ROUND(DW$1+DY$1*4.5,4))</f>
        <v/>
      </c>
      <c r="EB8">
        <f>IF(DY$1="","",COUNTIFS('Data Entry'!$K$5:$K$10004,"&gt;="&amp;(DW$1+DY$1*4),'Data Entry'!$K$5:$K$10004,"&lt;"&amp;(DW$1+DY$1*5)))</f>
        <v/>
      </c>
      <c r="EC8">
        <f>IF(OR(Capability!$P$8="",DY$1=""),NA(),IF(AND(Capability!$P$8&gt;=(DW$1+DY$1*4),Capability!$P$8&lt;(DW$1+DY$1*5)),EA$1*1.15,NA()))</f>
        <v/>
      </c>
      <c r="ED8">
        <f>IF(OR(Capability!$Q$8="",DY$1=""),NA(),IF(AND(Capability!$Q$8&gt;=(DW$1+DY$1*4),Capability!$Q$8&lt;(DW$1+DY$1*5)),EA$1*1.15,NA()))</f>
        <v/>
      </c>
      <c r="EF8">
        <f>IF((EI$1+4)&gt;EG$1,NA(),(EI$1+4)-4)</f>
        <v/>
      </c>
      <c r="EG8">
        <f>IF((EI$1+4)&gt;EG$1,NA(),INDEX('Data Entry'!$L$5:$L$10004,(EI$1+4)-4))</f>
        <v/>
      </c>
      <c r="EH8">
        <f>IF(ISNA(EF8),NA(),Capability!$K$9)</f>
        <v/>
      </c>
      <c r="EI8">
        <f>IF(ISNA(EF8),NA(),Capability!$J$9)</f>
        <v/>
      </c>
      <c r="EJ8">
        <f>IF(ISNA(EF8),NA(),Capability!$L$9)</f>
        <v/>
      </c>
      <c r="EK8">
        <f>IF(OR(ISNA(EG8),ISNA(EG7)),NA(),ABS(EG8-EG7))</f>
        <v/>
      </c>
      <c r="EL8">
        <f>IF(ISNA(EF8),NA(),Capability!$N$9)</f>
        <v/>
      </c>
      <c r="EM8">
        <f>IF(ISNA(EF8),NA(),IF(OR(Capability!$Q$9="",Settings!$F$7&lt;&gt;"Y"),NA(),Capability!$Q$9))</f>
        <v/>
      </c>
      <c r="EN8">
        <f>IF(ISNA(EF8),NA(),IF(OR(Capability!$P$9="",Settings!$F$7&lt;&gt;"Y"),NA(),Capability!$P$9))</f>
        <v/>
      </c>
      <c r="EO8">
        <f>IF(EM$1="","",ROUND(EK$1+EM$1*4.5,4))</f>
        <v/>
      </c>
      <c r="EP8">
        <f>IF(EM$1="","",COUNTIFS('Data Entry'!$L$5:$L$10004,"&gt;="&amp;(EK$1+EM$1*4),'Data Entry'!$L$5:$L$10004,"&lt;"&amp;(EK$1+EM$1*5)))</f>
        <v/>
      </c>
      <c r="EQ8">
        <f>IF(OR(Capability!$P$9="",EM$1=""),NA(),IF(AND(Capability!$P$9&gt;=(EK$1+EM$1*4),Capability!$P$9&lt;(EK$1+EM$1*5)),EO$1*1.15,NA()))</f>
        <v/>
      </c>
      <c r="ER8">
        <f>IF(OR(Capability!$Q$9="",EM$1=""),NA(),IF(AND(Capability!$Q$9&gt;=(EK$1+EM$1*4),Capability!$Q$9&lt;(EK$1+EM$1*5)),EO$1*1.15,NA()))</f>
        <v/>
      </c>
      <c r="ET8">
        <f>IF((EW$1+4)&gt;EU$1,NA(),(EW$1+4)-4)</f>
        <v/>
      </c>
      <c r="EU8">
        <f>IF((EW$1+4)&gt;EU$1,NA(),INDEX('Data Entry'!$M$5:$M$10004,(EW$1+4)-4))</f>
        <v/>
      </c>
      <c r="EV8">
        <f>IF(ISNA(ET8),NA(),Capability!$K$10)</f>
        <v/>
      </c>
      <c r="EW8">
        <f>IF(ISNA(ET8),NA(),Capability!$J$10)</f>
        <v/>
      </c>
      <c r="EX8">
        <f>IF(ISNA(ET8),NA(),Capability!$L$10)</f>
        <v/>
      </c>
      <c r="EY8">
        <f>IF(OR(ISNA(EU8),ISNA(EU7)),NA(),ABS(EU8-EU7))</f>
        <v/>
      </c>
      <c r="EZ8">
        <f>IF(ISNA(ET8),NA(),Capability!$N$10)</f>
        <v/>
      </c>
      <c r="FA8">
        <f>IF(ISNA(ET8),NA(),IF(OR(Capability!$Q$10="",Settings!$F$7&lt;&gt;"Y"),NA(),Capability!$Q$10))</f>
        <v/>
      </c>
      <c r="FB8">
        <f>IF(ISNA(ET8),NA(),IF(OR(Capability!$P$10="",Settings!$F$7&lt;&gt;"Y"),NA(),Capability!$P$10))</f>
        <v/>
      </c>
      <c r="FC8">
        <f>IF(FA$1="","",ROUND(EY$1+FA$1*4.5,4))</f>
        <v/>
      </c>
      <c r="FD8">
        <f>IF(FA$1="","",COUNTIFS('Data Entry'!$M$5:$M$10004,"&gt;="&amp;(EY$1+FA$1*4),'Data Entry'!$M$5:$M$10004,"&lt;"&amp;(EY$1+FA$1*5)))</f>
        <v/>
      </c>
      <c r="FE8">
        <f>IF(OR(Capability!$P$10="",FA$1=""),NA(),IF(AND(Capability!$P$10&gt;=(EY$1+FA$1*4),Capability!$P$10&lt;(EY$1+FA$1*5)),FC$1*1.15,NA()))</f>
        <v/>
      </c>
      <c r="FF8">
        <f>IF(OR(Capability!$Q$10="",FA$1=""),NA(),IF(AND(Capability!$Q$10&gt;=(EY$1+FA$1*4),Capability!$Q$10&lt;(EY$1+FA$1*5)),FC$1*1.15,NA()))</f>
        <v/>
      </c>
      <c r="FH8">
        <f>IF((FK$1+4)&gt;FI$1,NA(),(FK$1+4)-4)</f>
        <v/>
      </c>
      <c r="FI8">
        <f>IF((FK$1+4)&gt;FI$1,NA(),INDEX('Data Entry'!$N$5:$N$10004,(FK$1+4)-4))</f>
        <v/>
      </c>
      <c r="FJ8">
        <f>IF(ISNA(FH8),NA(),Capability!$K$11)</f>
        <v/>
      </c>
      <c r="FK8">
        <f>IF(ISNA(FH8),NA(),Capability!$J$11)</f>
        <v/>
      </c>
      <c r="FL8">
        <f>IF(ISNA(FH8),NA(),Capability!$L$11)</f>
        <v/>
      </c>
      <c r="FM8">
        <f>IF(OR(ISNA(FI8),ISNA(FI7)),NA(),ABS(FI8-FI7))</f>
        <v/>
      </c>
      <c r="FN8">
        <f>IF(ISNA(FH8),NA(),Capability!$N$11)</f>
        <v/>
      </c>
      <c r="FO8">
        <f>IF(ISNA(FH8),NA(),IF(OR(Capability!$Q$11="",Settings!$F$7&lt;&gt;"Y"),NA(),Capability!$Q$11))</f>
        <v/>
      </c>
      <c r="FP8">
        <f>IF(ISNA(FH8),NA(),IF(OR(Capability!$P$11="",Settings!$F$7&lt;&gt;"Y"),NA(),Capability!$P$11))</f>
        <v/>
      </c>
      <c r="FQ8">
        <f>IF(FO$1="","",ROUND(FM$1+FO$1*4.5,4))</f>
        <v/>
      </c>
      <c r="FR8">
        <f>IF(FO$1="","",COUNTIFS('Data Entry'!$N$5:$N$10004,"&gt;="&amp;(FM$1+FO$1*4),'Data Entry'!$N$5:$N$10004,"&lt;"&amp;(FM$1+FO$1*5)))</f>
        <v/>
      </c>
      <c r="FS8">
        <f>IF(OR(Capability!$P$11="",FO$1=""),NA(),IF(AND(Capability!$P$11&gt;=(FM$1+FO$1*4),Capability!$P$11&lt;(FM$1+FO$1*5)),FQ$1*1.15,NA()))</f>
        <v/>
      </c>
      <c r="FT8">
        <f>IF(OR(Capability!$Q$11="",FO$1=""),NA(),IF(AND(Capability!$Q$11&gt;=(FM$1+FO$1*4),Capability!$Q$11&lt;(FM$1+FO$1*5)),FQ$1*1.15,NA()))</f>
        <v/>
      </c>
      <c r="FV8">
        <f>IF((FY$1+4)&gt;FW$1,NA(),(FY$1+4)-4)</f>
        <v/>
      </c>
      <c r="FW8">
        <f>IF((FY$1+4)&gt;FW$1,NA(),INDEX('Data Entry'!$O$5:$O$10004,(FY$1+4)-4))</f>
        <v/>
      </c>
      <c r="FX8">
        <f>IF(ISNA(FV8),NA(),Capability!$K$12)</f>
        <v/>
      </c>
      <c r="FY8">
        <f>IF(ISNA(FV8),NA(),Capability!$J$12)</f>
        <v/>
      </c>
      <c r="FZ8">
        <f>IF(ISNA(FV8),NA(),Capability!$L$12)</f>
        <v/>
      </c>
      <c r="GA8">
        <f>IF(OR(ISNA(FW8),ISNA(FW7)),NA(),ABS(FW8-FW7))</f>
        <v/>
      </c>
      <c r="GB8">
        <f>IF(ISNA(FV8),NA(),Capability!$N$12)</f>
        <v/>
      </c>
      <c r="GC8">
        <f>IF(ISNA(FV8),NA(),IF(OR(Capability!$Q$12="",Settings!$F$7&lt;&gt;"Y"),NA(),Capability!$Q$12))</f>
        <v/>
      </c>
      <c r="GD8">
        <f>IF(ISNA(FV8),NA(),IF(OR(Capability!$P$12="",Settings!$F$7&lt;&gt;"Y"),NA(),Capability!$P$12))</f>
        <v/>
      </c>
      <c r="GE8">
        <f>IF(GC$1="","",ROUND(GA$1+GC$1*4.5,4))</f>
        <v/>
      </c>
      <c r="GF8">
        <f>IF(GC$1="","",COUNTIFS('Data Entry'!$O$5:$O$10004,"&gt;="&amp;(GA$1+GC$1*4),'Data Entry'!$O$5:$O$10004,"&lt;"&amp;(GA$1+GC$1*5)))</f>
        <v/>
      </c>
      <c r="GG8">
        <f>IF(OR(Capability!$P$12="",GC$1=""),NA(),IF(AND(Capability!$P$12&gt;=(GA$1+GC$1*4),Capability!$P$12&lt;(GA$1+GC$1*5)),GE$1*1.15,NA()))</f>
        <v/>
      </c>
      <c r="GH8">
        <f>IF(OR(Capability!$Q$12="",GC$1=""),NA(),IF(AND(Capability!$Q$12&gt;=(GA$1+GC$1*4),Capability!$Q$12&lt;(GA$1+GC$1*5)),GE$1*1.15,NA()))</f>
        <v/>
      </c>
      <c r="GJ8">
        <f>IF((GM$1+4)&gt;GK$1,NA(),(GM$1+4)-4)</f>
        <v/>
      </c>
      <c r="GK8">
        <f>IF((GM$1+4)&gt;GK$1,NA(),INDEX('Data Entry'!$P$5:$P$10004,(GM$1+4)-4))</f>
        <v/>
      </c>
      <c r="GL8">
        <f>IF(ISNA(GJ8),NA(),Capability!$K$13)</f>
        <v/>
      </c>
      <c r="GM8">
        <f>IF(ISNA(GJ8),NA(),Capability!$J$13)</f>
        <v/>
      </c>
      <c r="GN8">
        <f>IF(ISNA(GJ8),NA(),Capability!$L$13)</f>
        <v/>
      </c>
      <c r="GO8">
        <f>IF(OR(ISNA(GK8),ISNA(GK7)),NA(),ABS(GK8-GK7))</f>
        <v/>
      </c>
      <c r="GP8">
        <f>IF(ISNA(GJ8),NA(),Capability!$N$13)</f>
        <v/>
      </c>
      <c r="GQ8">
        <f>IF(ISNA(GJ8),NA(),IF(OR(Capability!$Q$13="",Settings!$F$7&lt;&gt;"Y"),NA(),Capability!$Q$13))</f>
        <v/>
      </c>
      <c r="GR8">
        <f>IF(ISNA(GJ8),NA(),IF(OR(Capability!$P$13="",Settings!$F$7&lt;&gt;"Y"),NA(),Capability!$P$13))</f>
        <v/>
      </c>
      <c r="GS8">
        <f>IF(GQ$1="","",ROUND(GO$1+GQ$1*4.5,4))</f>
        <v/>
      </c>
      <c r="GT8">
        <f>IF(GQ$1="","",COUNTIFS('Data Entry'!$P$5:$P$10004,"&gt;="&amp;(GO$1+GQ$1*4),'Data Entry'!$P$5:$P$10004,"&lt;"&amp;(GO$1+GQ$1*5)))</f>
        <v/>
      </c>
      <c r="GU8">
        <f>IF(OR(Capability!$P$13="",GQ$1=""),NA(),IF(AND(Capability!$P$13&gt;=(GO$1+GQ$1*4),Capability!$P$13&lt;(GO$1+GQ$1*5)),GS$1*1.15,NA()))</f>
        <v/>
      </c>
      <c r="GV8">
        <f>IF(OR(Capability!$Q$13="",GQ$1=""),NA(),IF(AND(Capability!$Q$13&gt;=(GO$1+GQ$1*4),Capability!$Q$13&lt;(GO$1+GQ$1*5)),GS$1*1.15,NA()))</f>
        <v/>
      </c>
      <c r="GX8">
        <f>IF((HA$1+4)&gt;GY$1,NA(),(HA$1+4)-4)</f>
        <v/>
      </c>
      <c r="GY8">
        <f>IF((HA$1+4)&gt;GY$1,NA(),INDEX('Data Entry'!$Q$5:$Q$10004,(HA$1+4)-4))</f>
        <v/>
      </c>
      <c r="GZ8">
        <f>IF(ISNA(GX8),NA(),Capability!$K$14)</f>
        <v/>
      </c>
      <c r="HA8">
        <f>IF(ISNA(GX8),NA(),Capability!$J$14)</f>
        <v/>
      </c>
      <c r="HB8">
        <f>IF(ISNA(GX8),NA(),Capability!$L$14)</f>
        <v/>
      </c>
      <c r="HC8">
        <f>IF(OR(ISNA(GY8),ISNA(GY7)),NA(),ABS(GY8-GY7))</f>
        <v/>
      </c>
      <c r="HD8">
        <f>IF(ISNA(GX8),NA(),Capability!$N$14)</f>
        <v/>
      </c>
      <c r="HE8">
        <f>IF(ISNA(GX8),NA(),IF(OR(Capability!$Q$14="",Settings!$F$7&lt;&gt;"Y"),NA(),Capability!$Q$14))</f>
        <v/>
      </c>
      <c r="HF8">
        <f>IF(ISNA(GX8),NA(),IF(OR(Capability!$P$14="",Settings!$F$7&lt;&gt;"Y"),NA(),Capability!$P$14))</f>
        <v/>
      </c>
      <c r="HG8">
        <f>IF(HE$1="","",ROUND(HC$1+HE$1*4.5,4))</f>
        <v/>
      </c>
      <c r="HH8">
        <f>IF(HE$1="","",COUNTIFS('Data Entry'!$Q$5:$Q$10004,"&gt;="&amp;(HC$1+HE$1*4),'Data Entry'!$Q$5:$Q$10004,"&lt;"&amp;(HC$1+HE$1*5)))</f>
        <v/>
      </c>
      <c r="HI8">
        <f>IF(OR(Capability!$P$14="",HE$1=""),NA(),IF(AND(Capability!$P$14&gt;=(HC$1+HE$1*4),Capability!$P$14&lt;(HC$1+HE$1*5)),HG$1*1.15,NA()))</f>
        <v/>
      </c>
      <c r="HJ8">
        <f>IF(OR(Capability!$Q$14="",HE$1=""),NA(),IF(AND(Capability!$Q$14&gt;=(HC$1+HE$1*4),Capability!$Q$14&lt;(HC$1+HE$1*5)),HG$1*1.15,NA()))</f>
        <v/>
      </c>
    </row>
    <row r="9">
      <c r="A9" s="35" t="inlineStr">
        <is>
          <t>Min</t>
        </is>
      </c>
      <c r="B9" s="23">
        <f>Capability!E5</f>
        <v/>
      </c>
      <c r="CB9">
        <f>IF((CE$1+5)&gt;CC$1,NA(),(CE$1+5)-4)</f>
        <v/>
      </c>
      <c r="CC9">
        <f>IF((CE$1+5)&gt;CC$1,NA(),INDEX('Data Entry'!$H$5:$H$10004,(CE$1+5)-4))</f>
        <v/>
      </c>
      <c r="CD9">
        <f>IF(ISNA(CB9),NA(),Capability!$K$5)</f>
        <v/>
      </c>
      <c r="CE9">
        <f>IF(ISNA(CB9),NA(),Capability!$J$5)</f>
        <v/>
      </c>
      <c r="CF9">
        <f>IF(ISNA(CB9),NA(),Capability!$L$5)</f>
        <v/>
      </c>
      <c r="CG9">
        <f>IF(OR(ISNA(CC9),ISNA(CC8)),NA(),ABS(CC9-CC8))</f>
        <v/>
      </c>
      <c r="CH9">
        <f>IF(ISNA(CB9),NA(),Capability!$N$5)</f>
        <v/>
      </c>
      <c r="CI9">
        <f>IF(ISNA(CB9),NA(),IF(OR(Capability!$Q$5="",Settings!$F$7&lt;&gt;"Y"),NA(),Capability!$Q$5))</f>
        <v/>
      </c>
      <c r="CJ9">
        <f>IF(ISNA(CB9),NA(),IF(OR(Capability!$P$5="",Settings!$F$7&lt;&gt;"Y"),NA(),Capability!$P$5))</f>
        <v/>
      </c>
      <c r="CK9">
        <f>IF(CI$1="","",ROUND(CG$1+CI$1*5.5,4))</f>
        <v/>
      </c>
      <c r="CL9">
        <f>IF(CI$1="","",COUNTIFS('Data Entry'!$H$5:$H$10004,"&gt;="&amp;(CG$1+CI$1*5),'Data Entry'!$H$5:$H$10004,"&lt;"&amp;(CG$1+CI$1*6)))</f>
        <v/>
      </c>
      <c r="CM9">
        <f>IF(OR(Capability!$P$5="",CI$1=""),NA(),IF(AND(Capability!$P$5&gt;=(CG$1+CI$1*5),Capability!$P$5&lt;(CG$1+CI$1*6)),CK$1*1.15,NA()))</f>
        <v/>
      </c>
      <c r="CN9">
        <f>IF(OR(Capability!$Q$5="",CI$1=""),NA(),IF(AND(Capability!$Q$5&gt;=(CG$1+CI$1*5),Capability!$Q$5&lt;(CG$1+CI$1*6)),CK$1*1.15,NA()))</f>
        <v/>
      </c>
      <c r="CP9">
        <f>IF((CS$1+5)&gt;CQ$1,NA(),(CS$1+5)-4)</f>
        <v/>
      </c>
      <c r="CQ9">
        <f>IF((CS$1+5)&gt;CQ$1,NA(),INDEX('Data Entry'!$I$5:$I$10004,(CS$1+5)-4))</f>
        <v/>
      </c>
      <c r="CR9">
        <f>IF(ISNA(CP9),NA(),Capability!$K$6)</f>
        <v/>
      </c>
      <c r="CS9">
        <f>IF(ISNA(CP9),NA(),Capability!$J$6)</f>
        <v/>
      </c>
      <c r="CT9">
        <f>IF(ISNA(CP9),NA(),Capability!$L$6)</f>
        <v/>
      </c>
      <c r="CU9">
        <f>IF(OR(ISNA(CQ9),ISNA(CQ8)),NA(),ABS(CQ9-CQ8))</f>
        <v/>
      </c>
      <c r="CV9">
        <f>IF(ISNA(CP9),NA(),Capability!$N$6)</f>
        <v/>
      </c>
      <c r="CW9">
        <f>IF(ISNA(CP9),NA(),IF(OR(Capability!$Q$6="",Settings!$F$7&lt;&gt;"Y"),NA(),Capability!$Q$6))</f>
        <v/>
      </c>
      <c r="CX9">
        <f>IF(ISNA(CP9),NA(),IF(OR(Capability!$P$6="",Settings!$F$7&lt;&gt;"Y"),NA(),Capability!$P$6))</f>
        <v/>
      </c>
      <c r="CY9">
        <f>IF(CW$1="","",ROUND(CU$1+CW$1*5.5,4))</f>
        <v/>
      </c>
      <c r="CZ9">
        <f>IF(CW$1="","",COUNTIFS('Data Entry'!$I$5:$I$10004,"&gt;="&amp;(CU$1+CW$1*5),'Data Entry'!$I$5:$I$10004,"&lt;"&amp;(CU$1+CW$1*6)))</f>
        <v/>
      </c>
      <c r="DA9">
        <f>IF(OR(Capability!$P$6="",CW$1=""),NA(),IF(AND(Capability!$P$6&gt;=(CU$1+CW$1*5),Capability!$P$6&lt;(CU$1+CW$1*6)),CY$1*1.15,NA()))</f>
        <v/>
      </c>
      <c r="DB9">
        <f>IF(OR(Capability!$Q$6="",CW$1=""),NA(),IF(AND(Capability!$Q$6&gt;=(CU$1+CW$1*5),Capability!$Q$6&lt;(CU$1+CW$1*6)),CY$1*1.15,NA()))</f>
        <v/>
      </c>
      <c r="DD9">
        <f>IF((DG$1+5)&gt;DE$1,NA(),(DG$1+5)-4)</f>
        <v/>
      </c>
      <c r="DE9">
        <f>IF((DG$1+5)&gt;DE$1,NA(),INDEX('Data Entry'!$J$5:$J$10004,(DG$1+5)-4))</f>
        <v/>
      </c>
      <c r="DF9">
        <f>IF(ISNA(DD9),NA(),Capability!$K$7)</f>
        <v/>
      </c>
      <c r="DG9">
        <f>IF(ISNA(DD9),NA(),Capability!$J$7)</f>
        <v/>
      </c>
      <c r="DH9">
        <f>IF(ISNA(DD9),NA(),Capability!$L$7)</f>
        <v/>
      </c>
      <c r="DI9">
        <f>IF(OR(ISNA(DE9),ISNA(DE8)),NA(),ABS(DE9-DE8))</f>
        <v/>
      </c>
      <c r="DJ9">
        <f>IF(ISNA(DD9),NA(),Capability!$N$7)</f>
        <v/>
      </c>
      <c r="DK9">
        <f>IF(ISNA(DD9),NA(),IF(OR(Capability!$Q$7="",Settings!$F$7&lt;&gt;"Y"),NA(),Capability!$Q$7))</f>
        <v/>
      </c>
      <c r="DL9">
        <f>IF(ISNA(DD9),NA(),IF(OR(Capability!$P$7="",Settings!$F$7&lt;&gt;"Y"),NA(),Capability!$P$7))</f>
        <v/>
      </c>
      <c r="DM9">
        <f>IF(DK$1="","",ROUND(DI$1+DK$1*5.5,4))</f>
        <v/>
      </c>
      <c r="DN9">
        <f>IF(DK$1="","",COUNTIFS('Data Entry'!$J$5:$J$10004,"&gt;="&amp;(DI$1+DK$1*5),'Data Entry'!$J$5:$J$10004,"&lt;"&amp;(DI$1+DK$1*6)))</f>
        <v/>
      </c>
      <c r="DO9">
        <f>IF(OR(Capability!$P$7="",DK$1=""),NA(),IF(AND(Capability!$P$7&gt;=(DI$1+DK$1*5),Capability!$P$7&lt;(DI$1+DK$1*6)),DM$1*1.15,NA()))</f>
        <v/>
      </c>
      <c r="DP9">
        <f>IF(OR(Capability!$Q$7="",DK$1=""),NA(),IF(AND(Capability!$Q$7&gt;=(DI$1+DK$1*5),Capability!$Q$7&lt;(DI$1+DK$1*6)),DM$1*1.15,NA()))</f>
        <v/>
      </c>
      <c r="DR9">
        <f>IF((DU$1+5)&gt;DS$1,NA(),(DU$1+5)-4)</f>
        <v/>
      </c>
      <c r="DS9">
        <f>IF((DU$1+5)&gt;DS$1,NA(),INDEX('Data Entry'!$K$5:$K$10004,(DU$1+5)-4))</f>
        <v/>
      </c>
      <c r="DT9">
        <f>IF(ISNA(DR9),NA(),Capability!$K$8)</f>
        <v/>
      </c>
      <c r="DU9">
        <f>IF(ISNA(DR9),NA(),Capability!$J$8)</f>
        <v/>
      </c>
      <c r="DV9">
        <f>IF(ISNA(DR9),NA(),Capability!$L$8)</f>
        <v/>
      </c>
      <c r="DW9">
        <f>IF(OR(ISNA(DS9),ISNA(DS8)),NA(),ABS(DS9-DS8))</f>
        <v/>
      </c>
      <c r="DX9">
        <f>IF(ISNA(DR9),NA(),Capability!$N$8)</f>
        <v/>
      </c>
      <c r="DY9">
        <f>IF(ISNA(DR9),NA(),IF(OR(Capability!$Q$8="",Settings!$F$7&lt;&gt;"Y"),NA(),Capability!$Q$8))</f>
        <v/>
      </c>
      <c r="DZ9">
        <f>IF(ISNA(DR9),NA(),IF(OR(Capability!$P$8="",Settings!$F$7&lt;&gt;"Y"),NA(),Capability!$P$8))</f>
        <v/>
      </c>
      <c r="EA9">
        <f>IF(DY$1="","",ROUND(DW$1+DY$1*5.5,4))</f>
        <v/>
      </c>
      <c r="EB9">
        <f>IF(DY$1="","",COUNTIFS('Data Entry'!$K$5:$K$10004,"&gt;="&amp;(DW$1+DY$1*5),'Data Entry'!$K$5:$K$10004,"&lt;"&amp;(DW$1+DY$1*6)))</f>
        <v/>
      </c>
      <c r="EC9">
        <f>IF(OR(Capability!$P$8="",DY$1=""),NA(),IF(AND(Capability!$P$8&gt;=(DW$1+DY$1*5),Capability!$P$8&lt;(DW$1+DY$1*6)),EA$1*1.15,NA()))</f>
        <v/>
      </c>
      <c r="ED9">
        <f>IF(OR(Capability!$Q$8="",DY$1=""),NA(),IF(AND(Capability!$Q$8&gt;=(DW$1+DY$1*5),Capability!$Q$8&lt;(DW$1+DY$1*6)),EA$1*1.15,NA()))</f>
        <v/>
      </c>
      <c r="EF9">
        <f>IF((EI$1+5)&gt;EG$1,NA(),(EI$1+5)-4)</f>
        <v/>
      </c>
      <c r="EG9">
        <f>IF((EI$1+5)&gt;EG$1,NA(),INDEX('Data Entry'!$L$5:$L$10004,(EI$1+5)-4))</f>
        <v/>
      </c>
      <c r="EH9">
        <f>IF(ISNA(EF9),NA(),Capability!$K$9)</f>
        <v/>
      </c>
      <c r="EI9">
        <f>IF(ISNA(EF9),NA(),Capability!$J$9)</f>
        <v/>
      </c>
      <c r="EJ9">
        <f>IF(ISNA(EF9),NA(),Capability!$L$9)</f>
        <v/>
      </c>
      <c r="EK9">
        <f>IF(OR(ISNA(EG9),ISNA(EG8)),NA(),ABS(EG9-EG8))</f>
        <v/>
      </c>
      <c r="EL9">
        <f>IF(ISNA(EF9),NA(),Capability!$N$9)</f>
        <v/>
      </c>
      <c r="EM9">
        <f>IF(ISNA(EF9),NA(),IF(OR(Capability!$Q$9="",Settings!$F$7&lt;&gt;"Y"),NA(),Capability!$Q$9))</f>
        <v/>
      </c>
      <c r="EN9">
        <f>IF(ISNA(EF9),NA(),IF(OR(Capability!$P$9="",Settings!$F$7&lt;&gt;"Y"),NA(),Capability!$P$9))</f>
        <v/>
      </c>
      <c r="EO9">
        <f>IF(EM$1="","",ROUND(EK$1+EM$1*5.5,4))</f>
        <v/>
      </c>
      <c r="EP9">
        <f>IF(EM$1="","",COUNTIFS('Data Entry'!$L$5:$L$10004,"&gt;="&amp;(EK$1+EM$1*5),'Data Entry'!$L$5:$L$10004,"&lt;"&amp;(EK$1+EM$1*6)))</f>
        <v/>
      </c>
      <c r="EQ9">
        <f>IF(OR(Capability!$P$9="",EM$1=""),NA(),IF(AND(Capability!$P$9&gt;=(EK$1+EM$1*5),Capability!$P$9&lt;(EK$1+EM$1*6)),EO$1*1.15,NA()))</f>
        <v/>
      </c>
      <c r="ER9">
        <f>IF(OR(Capability!$Q$9="",EM$1=""),NA(),IF(AND(Capability!$Q$9&gt;=(EK$1+EM$1*5),Capability!$Q$9&lt;(EK$1+EM$1*6)),EO$1*1.15,NA()))</f>
        <v/>
      </c>
      <c r="ET9">
        <f>IF((EW$1+5)&gt;EU$1,NA(),(EW$1+5)-4)</f>
        <v/>
      </c>
      <c r="EU9">
        <f>IF((EW$1+5)&gt;EU$1,NA(),INDEX('Data Entry'!$M$5:$M$10004,(EW$1+5)-4))</f>
        <v/>
      </c>
      <c r="EV9">
        <f>IF(ISNA(ET9),NA(),Capability!$K$10)</f>
        <v/>
      </c>
      <c r="EW9">
        <f>IF(ISNA(ET9),NA(),Capability!$J$10)</f>
        <v/>
      </c>
      <c r="EX9">
        <f>IF(ISNA(ET9),NA(),Capability!$L$10)</f>
        <v/>
      </c>
      <c r="EY9">
        <f>IF(OR(ISNA(EU9),ISNA(EU8)),NA(),ABS(EU9-EU8))</f>
        <v/>
      </c>
      <c r="EZ9">
        <f>IF(ISNA(ET9),NA(),Capability!$N$10)</f>
        <v/>
      </c>
      <c r="FA9">
        <f>IF(ISNA(ET9),NA(),IF(OR(Capability!$Q$10="",Settings!$F$7&lt;&gt;"Y"),NA(),Capability!$Q$10))</f>
        <v/>
      </c>
      <c r="FB9">
        <f>IF(ISNA(ET9),NA(),IF(OR(Capability!$P$10="",Settings!$F$7&lt;&gt;"Y"),NA(),Capability!$P$10))</f>
        <v/>
      </c>
      <c r="FC9">
        <f>IF(FA$1="","",ROUND(EY$1+FA$1*5.5,4))</f>
        <v/>
      </c>
      <c r="FD9">
        <f>IF(FA$1="","",COUNTIFS('Data Entry'!$M$5:$M$10004,"&gt;="&amp;(EY$1+FA$1*5),'Data Entry'!$M$5:$M$10004,"&lt;"&amp;(EY$1+FA$1*6)))</f>
        <v/>
      </c>
      <c r="FE9">
        <f>IF(OR(Capability!$P$10="",FA$1=""),NA(),IF(AND(Capability!$P$10&gt;=(EY$1+FA$1*5),Capability!$P$10&lt;(EY$1+FA$1*6)),FC$1*1.15,NA()))</f>
        <v/>
      </c>
      <c r="FF9">
        <f>IF(OR(Capability!$Q$10="",FA$1=""),NA(),IF(AND(Capability!$Q$10&gt;=(EY$1+FA$1*5),Capability!$Q$10&lt;(EY$1+FA$1*6)),FC$1*1.15,NA()))</f>
        <v/>
      </c>
      <c r="FH9">
        <f>IF((FK$1+5)&gt;FI$1,NA(),(FK$1+5)-4)</f>
        <v/>
      </c>
      <c r="FI9">
        <f>IF((FK$1+5)&gt;FI$1,NA(),INDEX('Data Entry'!$N$5:$N$10004,(FK$1+5)-4))</f>
        <v/>
      </c>
      <c r="FJ9">
        <f>IF(ISNA(FH9),NA(),Capability!$K$11)</f>
        <v/>
      </c>
      <c r="FK9">
        <f>IF(ISNA(FH9),NA(),Capability!$J$11)</f>
        <v/>
      </c>
      <c r="FL9">
        <f>IF(ISNA(FH9),NA(),Capability!$L$11)</f>
        <v/>
      </c>
      <c r="FM9">
        <f>IF(OR(ISNA(FI9),ISNA(FI8)),NA(),ABS(FI9-FI8))</f>
        <v/>
      </c>
      <c r="FN9">
        <f>IF(ISNA(FH9),NA(),Capability!$N$11)</f>
        <v/>
      </c>
      <c r="FO9">
        <f>IF(ISNA(FH9),NA(),IF(OR(Capability!$Q$11="",Settings!$F$7&lt;&gt;"Y"),NA(),Capability!$Q$11))</f>
        <v/>
      </c>
      <c r="FP9">
        <f>IF(ISNA(FH9),NA(),IF(OR(Capability!$P$11="",Settings!$F$7&lt;&gt;"Y"),NA(),Capability!$P$11))</f>
        <v/>
      </c>
      <c r="FQ9">
        <f>IF(FO$1="","",ROUND(FM$1+FO$1*5.5,4))</f>
        <v/>
      </c>
      <c r="FR9">
        <f>IF(FO$1="","",COUNTIFS('Data Entry'!$N$5:$N$10004,"&gt;="&amp;(FM$1+FO$1*5),'Data Entry'!$N$5:$N$10004,"&lt;"&amp;(FM$1+FO$1*6)))</f>
        <v/>
      </c>
      <c r="FS9">
        <f>IF(OR(Capability!$P$11="",FO$1=""),NA(),IF(AND(Capability!$P$11&gt;=(FM$1+FO$1*5),Capability!$P$11&lt;(FM$1+FO$1*6)),FQ$1*1.15,NA()))</f>
        <v/>
      </c>
      <c r="FT9">
        <f>IF(OR(Capability!$Q$11="",FO$1=""),NA(),IF(AND(Capability!$Q$11&gt;=(FM$1+FO$1*5),Capability!$Q$11&lt;(FM$1+FO$1*6)),FQ$1*1.15,NA()))</f>
        <v/>
      </c>
      <c r="FV9">
        <f>IF((FY$1+5)&gt;FW$1,NA(),(FY$1+5)-4)</f>
        <v/>
      </c>
      <c r="FW9">
        <f>IF((FY$1+5)&gt;FW$1,NA(),INDEX('Data Entry'!$O$5:$O$10004,(FY$1+5)-4))</f>
        <v/>
      </c>
      <c r="FX9">
        <f>IF(ISNA(FV9),NA(),Capability!$K$12)</f>
        <v/>
      </c>
      <c r="FY9">
        <f>IF(ISNA(FV9),NA(),Capability!$J$12)</f>
        <v/>
      </c>
      <c r="FZ9">
        <f>IF(ISNA(FV9),NA(),Capability!$L$12)</f>
        <v/>
      </c>
      <c r="GA9">
        <f>IF(OR(ISNA(FW9),ISNA(FW8)),NA(),ABS(FW9-FW8))</f>
        <v/>
      </c>
      <c r="GB9">
        <f>IF(ISNA(FV9),NA(),Capability!$N$12)</f>
        <v/>
      </c>
      <c r="GC9">
        <f>IF(ISNA(FV9),NA(),IF(OR(Capability!$Q$12="",Settings!$F$7&lt;&gt;"Y"),NA(),Capability!$Q$12))</f>
        <v/>
      </c>
      <c r="GD9">
        <f>IF(ISNA(FV9),NA(),IF(OR(Capability!$P$12="",Settings!$F$7&lt;&gt;"Y"),NA(),Capability!$P$12))</f>
        <v/>
      </c>
      <c r="GE9">
        <f>IF(GC$1="","",ROUND(GA$1+GC$1*5.5,4))</f>
        <v/>
      </c>
      <c r="GF9">
        <f>IF(GC$1="","",COUNTIFS('Data Entry'!$O$5:$O$10004,"&gt;="&amp;(GA$1+GC$1*5),'Data Entry'!$O$5:$O$10004,"&lt;"&amp;(GA$1+GC$1*6)))</f>
        <v/>
      </c>
      <c r="GG9">
        <f>IF(OR(Capability!$P$12="",GC$1=""),NA(),IF(AND(Capability!$P$12&gt;=(GA$1+GC$1*5),Capability!$P$12&lt;(GA$1+GC$1*6)),GE$1*1.15,NA()))</f>
        <v/>
      </c>
      <c r="GH9">
        <f>IF(OR(Capability!$Q$12="",GC$1=""),NA(),IF(AND(Capability!$Q$12&gt;=(GA$1+GC$1*5),Capability!$Q$12&lt;(GA$1+GC$1*6)),GE$1*1.15,NA()))</f>
        <v/>
      </c>
      <c r="GJ9">
        <f>IF((GM$1+5)&gt;GK$1,NA(),(GM$1+5)-4)</f>
        <v/>
      </c>
      <c r="GK9">
        <f>IF((GM$1+5)&gt;GK$1,NA(),INDEX('Data Entry'!$P$5:$P$10004,(GM$1+5)-4))</f>
        <v/>
      </c>
      <c r="GL9">
        <f>IF(ISNA(GJ9),NA(),Capability!$K$13)</f>
        <v/>
      </c>
      <c r="GM9">
        <f>IF(ISNA(GJ9),NA(),Capability!$J$13)</f>
        <v/>
      </c>
      <c r="GN9">
        <f>IF(ISNA(GJ9),NA(),Capability!$L$13)</f>
        <v/>
      </c>
      <c r="GO9">
        <f>IF(OR(ISNA(GK9),ISNA(GK8)),NA(),ABS(GK9-GK8))</f>
        <v/>
      </c>
      <c r="GP9">
        <f>IF(ISNA(GJ9),NA(),Capability!$N$13)</f>
        <v/>
      </c>
      <c r="GQ9">
        <f>IF(ISNA(GJ9),NA(),IF(OR(Capability!$Q$13="",Settings!$F$7&lt;&gt;"Y"),NA(),Capability!$Q$13))</f>
        <v/>
      </c>
      <c r="GR9">
        <f>IF(ISNA(GJ9),NA(),IF(OR(Capability!$P$13="",Settings!$F$7&lt;&gt;"Y"),NA(),Capability!$P$13))</f>
        <v/>
      </c>
      <c r="GS9">
        <f>IF(GQ$1="","",ROUND(GO$1+GQ$1*5.5,4))</f>
        <v/>
      </c>
      <c r="GT9">
        <f>IF(GQ$1="","",COUNTIFS('Data Entry'!$P$5:$P$10004,"&gt;="&amp;(GO$1+GQ$1*5),'Data Entry'!$P$5:$P$10004,"&lt;"&amp;(GO$1+GQ$1*6)))</f>
        <v/>
      </c>
      <c r="GU9">
        <f>IF(OR(Capability!$P$13="",GQ$1=""),NA(),IF(AND(Capability!$P$13&gt;=(GO$1+GQ$1*5),Capability!$P$13&lt;(GO$1+GQ$1*6)),GS$1*1.15,NA()))</f>
        <v/>
      </c>
      <c r="GV9">
        <f>IF(OR(Capability!$Q$13="",GQ$1=""),NA(),IF(AND(Capability!$Q$13&gt;=(GO$1+GQ$1*5),Capability!$Q$13&lt;(GO$1+GQ$1*6)),GS$1*1.15,NA()))</f>
        <v/>
      </c>
      <c r="GX9">
        <f>IF((HA$1+5)&gt;GY$1,NA(),(HA$1+5)-4)</f>
        <v/>
      </c>
      <c r="GY9">
        <f>IF((HA$1+5)&gt;GY$1,NA(),INDEX('Data Entry'!$Q$5:$Q$10004,(HA$1+5)-4))</f>
        <v/>
      </c>
      <c r="GZ9">
        <f>IF(ISNA(GX9),NA(),Capability!$K$14)</f>
        <v/>
      </c>
      <c r="HA9">
        <f>IF(ISNA(GX9),NA(),Capability!$J$14)</f>
        <v/>
      </c>
      <c r="HB9">
        <f>IF(ISNA(GX9),NA(),Capability!$L$14)</f>
        <v/>
      </c>
      <c r="HC9">
        <f>IF(OR(ISNA(GY9),ISNA(GY8)),NA(),ABS(GY9-GY8))</f>
        <v/>
      </c>
      <c r="HD9">
        <f>IF(ISNA(GX9),NA(),Capability!$N$14)</f>
        <v/>
      </c>
      <c r="HE9">
        <f>IF(ISNA(GX9),NA(),IF(OR(Capability!$Q$14="",Settings!$F$7&lt;&gt;"Y"),NA(),Capability!$Q$14))</f>
        <v/>
      </c>
      <c r="HF9">
        <f>IF(ISNA(GX9),NA(),IF(OR(Capability!$P$14="",Settings!$F$7&lt;&gt;"Y"),NA(),Capability!$P$14))</f>
        <v/>
      </c>
      <c r="HG9">
        <f>IF(HE$1="","",ROUND(HC$1+HE$1*5.5,4))</f>
        <v/>
      </c>
      <c r="HH9">
        <f>IF(HE$1="","",COUNTIFS('Data Entry'!$Q$5:$Q$10004,"&gt;="&amp;(HC$1+HE$1*5),'Data Entry'!$Q$5:$Q$10004,"&lt;"&amp;(HC$1+HE$1*6)))</f>
        <v/>
      </c>
      <c r="HI9">
        <f>IF(OR(Capability!$P$14="",HE$1=""),NA(),IF(AND(Capability!$P$14&gt;=(HC$1+HE$1*5),Capability!$P$14&lt;(HC$1+HE$1*6)),HG$1*1.15,NA()))</f>
        <v/>
      </c>
      <c r="HJ9">
        <f>IF(OR(Capability!$Q$14="",HE$1=""),NA(),IF(AND(Capability!$Q$14&gt;=(HC$1+HE$1*5),Capability!$Q$14&lt;(HC$1+HE$1*6)),HG$1*1.15,NA()))</f>
        <v/>
      </c>
    </row>
    <row r="10">
      <c r="A10" s="35" t="inlineStr">
        <is>
          <t>Max</t>
        </is>
      </c>
      <c r="B10" s="23">
        <f>Capability!F5</f>
        <v/>
      </c>
      <c r="CB10">
        <f>IF((CE$1+6)&gt;CC$1,NA(),(CE$1+6)-4)</f>
        <v/>
      </c>
      <c r="CC10">
        <f>IF((CE$1+6)&gt;CC$1,NA(),INDEX('Data Entry'!$H$5:$H$10004,(CE$1+6)-4))</f>
        <v/>
      </c>
      <c r="CD10">
        <f>IF(ISNA(CB10),NA(),Capability!$K$5)</f>
        <v/>
      </c>
      <c r="CE10">
        <f>IF(ISNA(CB10),NA(),Capability!$J$5)</f>
        <v/>
      </c>
      <c r="CF10">
        <f>IF(ISNA(CB10),NA(),Capability!$L$5)</f>
        <v/>
      </c>
      <c r="CG10">
        <f>IF(OR(ISNA(CC10),ISNA(CC9)),NA(),ABS(CC10-CC9))</f>
        <v/>
      </c>
      <c r="CH10">
        <f>IF(ISNA(CB10),NA(),Capability!$N$5)</f>
        <v/>
      </c>
      <c r="CI10">
        <f>IF(ISNA(CB10),NA(),IF(OR(Capability!$Q$5="",Settings!$F$7&lt;&gt;"Y"),NA(),Capability!$Q$5))</f>
        <v/>
      </c>
      <c r="CJ10">
        <f>IF(ISNA(CB10),NA(),IF(OR(Capability!$P$5="",Settings!$F$7&lt;&gt;"Y"),NA(),Capability!$P$5))</f>
        <v/>
      </c>
      <c r="CK10">
        <f>IF(CI$1="","",ROUND(CG$1+CI$1*6.5,4))</f>
        <v/>
      </c>
      <c r="CL10">
        <f>IF(CI$1="","",COUNTIFS('Data Entry'!$H$5:$H$10004,"&gt;="&amp;(CG$1+CI$1*6),'Data Entry'!$H$5:$H$10004,"&lt;"&amp;(CG$1+CI$1*7)))</f>
        <v/>
      </c>
      <c r="CM10">
        <f>IF(OR(Capability!$P$5="",CI$1=""),NA(),IF(AND(Capability!$P$5&gt;=(CG$1+CI$1*6),Capability!$P$5&lt;(CG$1+CI$1*7)),CK$1*1.15,NA()))</f>
        <v/>
      </c>
      <c r="CN10">
        <f>IF(OR(Capability!$Q$5="",CI$1=""),NA(),IF(AND(Capability!$Q$5&gt;=(CG$1+CI$1*6),Capability!$Q$5&lt;(CG$1+CI$1*7)),CK$1*1.15,NA()))</f>
        <v/>
      </c>
      <c r="CP10">
        <f>IF((CS$1+6)&gt;CQ$1,NA(),(CS$1+6)-4)</f>
        <v/>
      </c>
      <c r="CQ10">
        <f>IF((CS$1+6)&gt;CQ$1,NA(),INDEX('Data Entry'!$I$5:$I$10004,(CS$1+6)-4))</f>
        <v/>
      </c>
      <c r="CR10">
        <f>IF(ISNA(CP10),NA(),Capability!$K$6)</f>
        <v/>
      </c>
      <c r="CS10">
        <f>IF(ISNA(CP10),NA(),Capability!$J$6)</f>
        <v/>
      </c>
      <c r="CT10">
        <f>IF(ISNA(CP10),NA(),Capability!$L$6)</f>
        <v/>
      </c>
      <c r="CU10">
        <f>IF(OR(ISNA(CQ10),ISNA(CQ9)),NA(),ABS(CQ10-CQ9))</f>
        <v/>
      </c>
      <c r="CV10">
        <f>IF(ISNA(CP10),NA(),Capability!$N$6)</f>
        <v/>
      </c>
      <c r="CW10">
        <f>IF(ISNA(CP10),NA(),IF(OR(Capability!$Q$6="",Settings!$F$7&lt;&gt;"Y"),NA(),Capability!$Q$6))</f>
        <v/>
      </c>
      <c r="CX10">
        <f>IF(ISNA(CP10),NA(),IF(OR(Capability!$P$6="",Settings!$F$7&lt;&gt;"Y"),NA(),Capability!$P$6))</f>
        <v/>
      </c>
      <c r="CY10">
        <f>IF(CW$1="","",ROUND(CU$1+CW$1*6.5,4))</f>
        <v/>
      </c>
      <c r="CZ10">
        <f>IF(CW$1="","",COUNTIFS('Data Entry'!$I$5:$I$10004,"&gt;="&amp;(CU$1+CW$1*6),'Data Entry'!$I$5:$I$10004,"&lt;"&amp;(CU$1+CW$1*7)))</f>
        <v/>
      </c>
      <c r="DA10">
        <f>IF(OR(Capability!$P$6="",CW$1=""),NA(),IF(AND(Capability!$P$6&gt;=(CU$1+CW$1*6),Capability!$P$6&lt;(CU$1+CW$1*7)),CY$1*1.15,NA()))</f>
        <v/>
      </c>
      <c r="DB10">
        <f>IF(OR(Capability!$Q$6="",CW$1=""),NA(),IF(AND(Capability!$Q$6&gt;=(CU$1+CW$1*6),Capability!$Q$6&lt;(CU$1+CW$1*7)),CY$1*1.15,NA()))</f>
        <v/>
      </c>
      <c r="DD10">
        <f>IF((DG$1+6)&gt;DE$1,NA(),(DG$1+6)-4)</f>
        <v/>
      </c>
      <c r="DE10">
        <f>IF((DG$1+6)&gt;DE$1,NA(),INDEX('Data Entry'!$J$5:$J$10004,(DG$1+6)-4))</f>
        <v/>
      </c>
      <c r="DF10">
        <f>IF(ISNA(DD10),NA(),Capability!$K$7)</f>
        <v/>
      </c>
      <c r="DG10">
        <f>IF(ISNA(DD10),NA(),Capability!$J$7)</f>
        <v/>
      </c>
      <c r="DH10">
        <f>IF(ISNA(DD10),NA(),Capability!$L$7)</f>
        <v/>
      </c>
      <c r="DI10">
        <f>IF(OR(ISNA(DE10),ISNA(DE9)),NA(),ABS(DE10-DE9))</f>
        <v/>
      </c>
      <c r="DJ10">
        <f>IF(ISNA(DD10),NA(),Capability!$N$7)</f>
        <v/>
      </c>
      <c r="DK10">
        <f>IF(ISNA(DD10),NA(),IF(OR(Capability!$Q$7="",Settings!$F$7&lt;&gt;"Y"),NA(),Capability!$Q$7))</f>
        <v/>
      </c>
      <c r="DL10">
        <f>IF(ISNA(DD10),NA(),IF(OR(Capability!$P$7="",Settings!$F$7&lt;&gt;"Y"),NA(),Capability!$P$7))</f>
        <v/>
      </c>
      <c r="DM10">
        <f>IF(DK$1="","",ROUND(DI$1+DK$1*6.5,4))</f>
        <v/>
      </c>
      <c r="DN10">
        <f>IF(DK$1="","",COUNTIFS('Data Entry'!$J$5:$J$10004,"&gt;="&amp;(DI$1+DK$1*6),'Data Entry'!$J$5:$J$10004,"&lt;"&amp;(DI$1+DK$1*7)))</f>
        <v/>
      </c>
      <c r="DO10">
        <f>IF(OR(Capability!$P$7="",DK$1=""),NA(),IF(AND(Capability!$P$7&gt;=(DI$1+DK$1*6),Capability!$P$7&lt;(DI$1+DK$1*7)),DM$1*1.15,NA()))</f>
        <v/>
      </c>
      <c r="DP10">
        <f>IF(OR(Capability!$Q$7="",DK$1=""),NA(),IF(AND(Capability!$Q$7&gt;=(DI$1+DK$1*6),Capability!$Q$7&lt;(DI$1+DK$1*7)),DM$1*1.15,NA()))</f>
        <v/>
      </c>
      <c r="DR10">
        <f>IF((DU$1+6)&gt;DS$1,NA(),(DU$1+6)-4)</f>
        <v/>
      </c>
      <c r="DS10">
        <f>IF((DU$1+6)&gt;DS$1,NA(),INDEX('Data Entry'!$K$5:$K$10004,(DU$1+6)-4))</f>
        <v/>
      </c>
      <c r="DT10">
        <f>IF(ISNA(DR10),NA(),Capability!$K$8)</f>
        <v/>
      </c>
      <c r="DU10">
        <f>IF(ISNA(DR10),NA(),Capability!$J$8)</f>
        <v/>
      </c>
      <c r="DV10">
        <f>IF(ISNA(DR10),NA(),Capability!$L$8)</f>
        <v/>
      </c>
      <c r="DW10">
        <f>IF(OR(ISNA(DS10),ISNA(DS9)),NA(),ABS(DS10-DS9))</f>
        <v/>
      </c>
      <c r="DX10">
        <f>IF(ISNA(DR10),NA(),Capability!$N$8)</f>
        <v/>
      </c>
      <c r="DY10">
        <f>IF(ISNA(DR10),NA(),IF(OR(Capability!$Q$8="",Settings!$F$7&lt;&gt;"Y"),NA(),Capability!$Q$8))</f>
        <v/>
      </c>
      <c r="DZ10">
        <f>IF(ISNA(DR10),NA(),IF(OR(Capability!$P$8="",Settings!$F$7&lt;&gt;"Y"),NA(),Capability!$P$8))</f>
        <v/>
      </c>
      <c r="EA10">
        <f>IF(DY$1="","",ROUND(DW$1+DY$1*6.5,4))</f>
        <v/>
      </c>
      <c r="EB10">
        <f>IF(DY$1="","",COUNTIFS('Data Entry'!$K$5:$K$10004,"&gt;="&amp;(DW$1+DY$1*6),'Data Entry'!$K$5:$K$10004,"&lt;"&amp;(DW$1+DY$1*7)))</f>
        <v/>
      </c>
      <c r="EC10">
        <f>IF(OR(Capability!$P$8="",DY$1=""),NA(),IF(AND(Capability!$P$8&gt;=(DW$1+DY$1*6),Capability!$P$8&lt;(DW$1+DY$1*7)),EA$1*1.15,NA()))</f>
        <v/>
      </c>
      <c r="ED10">
        <f>IF(OR(Capability!$Q$8="",DY$1=""),NA(),IF(AND(Capability!$Q$8&gt;=(DW$1+DY$1*6),Capability!$Q$8&lt;(DW$1+DY$1*7)),EA$1*1.15,NA()))</f>
        <v/>
      </c>
      <c r="EF10">
        <f>IF((EI$1+6)&gt;EG$1,NA(),(EI$1+6)-4)</f>
        <v/>
      </c>
      <c r="EG10">
        <f>IF((EI$1+6)&gt;EG$1,NA(),INDEX('Data Entry'!$L$5:$L$10004,(EI$1+6)-4))</f>
        <v/>
      </c>
      <c r="EH10">
        <f>IF(ISNA(EF10),NA(),Capability!$K$9)</f>
        <v/>
      </c>
      <c r="EI10">
        <f>IF(ISNA(EF10),NA(),Capability!$J$9)</f>
        <v/>
      </c>
      <c r="EJ10">
        <f>IF(ISNA(EF10),NA(),Capability!$L$9)</f>
        <v/>
      </c>
      <c r="EK10">
        <f>IF(OR(ISNA(EG10),ISNA(EG9)),NA(),ABS(EG10-EG9))</f>
        <v/>
      </c>
      <c r="EL10">
        <f>IF(ISNA(EF10),NA(),Capability!$N$9)</f>
        <v/>
      </c>
      <c r="EM10">
        <f>IF(ISNA(EF10),NA(),IF(OR(Capability!$Q$9="",Settings!$F$7&lt;&gt;"Y"),NA(),Capability!$Q$9))</f>
        <v/>
      </c>
      <c r="EN10">
        <f>IF(ISNA(EF10),NA(),IF(OR(Capability!$P$9="",Settings!$F$7&lt;&gt;"Y"),NA(),Capability!$P$9))</f>
        <v/>
      </c>
      <c r="EO10">
        <f>IF(EM$1="","",ROUND(EK$1+EM$1*6.5,4))</f>
        <v/>
      </c>
      <c r="EP10">
        <f>IF(EM$1="","",COUNTIFS('Data Entry'!$L$5:$L$10004,"&gt;="&amp;(EK$1+EM$1*6),'Data Entry'!$L$5:$L$10004,"&lt;"&amp;(EK$1+EM$1*7)))</f>
        <v/>
      </c>
      <c r="EQ10">
        <f>IF(OR(Capability!$P$9="",EM$1=""),NA(),IF(AND(Capability!$P$9&gt;=(EK$1+EM$1*6),Capability!$P$9&lt;(EK$1+EM$1*7)),EO$1*1.15,NA()))</f>
        <v/>
      </c>
      <c r="ER10">
        <f>IF(OR(Capability!$Q$9="",EM$1=""),NA(),IF(AND(Capability!$Q$9&gt;=(EK$1+EM$1*6),Capability!$Q$9&lt;(EK$1+EM$1*7)),EO$1*1.15,NA()))</f>
        <v/>
      </c>
      <c r="ET10">
        <f>IF((EW$1+6)&gt;EU$1,NA(),(EW$1+6)-4)</f>
        <v/>
      </c>
      <c r="EU10">
        <f>IF((EW$1+6)&gt;EU$1,NA(),INDEX('Data Entry'!$M$5:$M$10004,(EW$1+6)-4))</f>
        <v/>
      </c>
      <c r="EV10">
        <f>IF(ISNA(ET10),NA(),Capability!$K$10)</f>
        <v/>
      </c>
      <c r="EW10">
        <f>IF(ISNA(ET10),NA(),Capability!$J$10)</f>
        <v/>
      </c>
      <c r="EX10">
        <f>IF(ISNA(ET10),NA(),Capability!$L$10)</f>
        <v/>
      </c>
      <c r="EY10">
        <f>IF(OR(ISNA(EU10),ISNA(EU9)),NA(),ABS(EU10-EU9))</f>
        <v/>
      </c>
      <c r="EZ10">
        <f>IF(ISNA(ET10),NA(),Capability!$N$10)</f>
        <v/>
      </c>
      <c r="FA10">
        <f>IF(ISNA(ET10),NA(),IF(OR(Capability!$Q$10="",Settings!$F$7&lt;&gt;"Y"),NA(),Capability!$Q$10))</f>
        <v/>
      </c>
      <c r="FB10">
        <f>IF(ISNA(ET10),NA(),IF(OR(Capability!$P$10="",Settings!$F$7&lt;&gt;"Y"),NA(),Capability!$P$10))</f>
        <v/>
      </c>
      <c r="FC10">
        <f>IF(FA$1="","",ROUND(EY$1+FA$1*6.5,4))</f>
        <v/>
      </c>
      <c r="FD10">
        <f>IF(FA$1="","",COUNTIFS('Data Entry'!$M$5:$M$10004,"&gt;="&amp;(EY$1+FA$1*6),'Data Entry'!$M$5:$M$10004,"&lt;"&amp;(EY$1+FA$1*7)))</f>
        <v/>
      </c>
      <c r="FE10">
        <f>IF(OR(Capability!$P$10="",FA$1=""),NA(),IF(AND(Capability!$P$10&gt;=(EY$1+FA$1*6),Capability!$P$10&lt;(EY$1+FA$1*7)),FC$1*1.15,NA()))</f>
        <v/>
      </c>
      <c r="FF10">
        <f>IF(OR(Capability!$Q$10="",FA$1=""),NA(),IF(AND(Capability!$Q$10&gt;=(EY$1+FA$1*6),Capability!$Q$10&lt;(EY$1+FA$1*7)),FC$1*1.15,NA()))</f>
        <v/>
      </c>
      <c r="FH10">
        <f>IF((FK$1+6)&gt;FI$1,NA(),(FK$1+6)-4)</f>
        <v/>
      </c>
      <c r="FI10">
        <f>IF((FK$1+6)&gt;FI$1,NA(),INDEX('Data Entry'!$N$5:$N$10004,(FK$1+6)-4))</f>
        <v/>
      </c>
      <c r="FJ10">
        <f>IF(ISNA(FH10),NA(),Capability!$K$11)</f>
        <v/>
      </c>
      <c r="FK10">
        <f>IF(ISNA(FH10),NA(),Capability!$J$11)</f>
        <v/>
      </c>
      <c r="FL10">
        <f>IF(ISNA(FH10),NA(),Capability!$L$11)</f>
        <v/>
      </c>
      <c r="FM10">
        <f>IF(OR(ISNA(FI10),ISNA(FI9)),NA(),ABS(FI10-FI9))</f>
        <v/>
      </c>
      <c r="FN10">
        <f>IF(ISNA(FH10),NA(),Capability!$N$11)</f>
        <v/>
      </c>
      <c r="FO10">
        <f>IF(ISNA(FH10),NA(),IF(OR(Capability!$Q$11="",Settings!$F$7&lt;&gt;"Y"),NA(),Capability!$Q$11))</f>
        <v/>
      </c>
      <c r="FP10">
        <f>IF(ISNA(FH10),NA(),IF(OR(Capability!$P$11="",Settings!$F$7&lt;&gt;"Y"),NA(),Capability!$P$11))</f>
        <v/>
      </c>
      <c r="FQ10">
        <f>IF(FO$1="","",ROUND(FM$1+FO$1*6.5,4))</f>
        <v/>
      </c>
      <c r="FR10">
        <f>IF(FO$1="","",COUNTIFS('Data Entry'!$N$5:$N$10004,"&gt;="&amp;(FM$1+FO$1*6),'Data Entry'!$N$5:$N$10004,"&lt;"&amp;(FM$1+FO$1*7)))</f>
        <v/>
      </c>
      <c r="FS10">
        <f>IF(OR(Capability!$P$11="",FO$1=""),NA(),IF(AND(Capability!$P$11&gt;=(FM$1+FO$1*6),Capability!$P$11&lt;(FM$1+FO$1*7)),FQ$1*1.15,NA()))</f>
        <v/>
      </c>
      <c r="FT10">
        <f>IF(OR(Capability!$Q$11="",FO$1=""),NA(),IF(AND(Capability!$Q$11&gt;=(FM$1+FO$1*6),Capability!$Q$11&lt;(FM$1+FO$1*7)),FQ$1*1.15,NA()))</f>
        <v/>
      </c>
      <c r="FV10">
        <f>IF((FY$1+6)&gt;FW$1,NA(),(FY$1+6)-4)</f>
        <v/>
      </c>
      <c r="FW10">
        <f>IF((FY$1+6)&gt;FW$1,NA(),INDEX('Data Entry'!$O$5:$O$10004,(FY$1+6)-4))</f>
        <v/>
      </c>
      <c r="FX10">
        <f>IF(ISNA(FV10),NA(),Capability!$K$12)</f>
        <v/>
      </c>
      <c r="FY10">
        <f>IF(ISNA(FV10),NA(),Capability!$J$12)</f>
        <v/>
      </c>
      <c r="FZ10">
        <f>IF(ISNA(FV10),NA(),Capability!$L$12)</f>
        <v/>
      </c>
      <c r="GA10">
        <f>IF(OR(ISNA(FW10),ISNA(FW9)),NA(),ABS(FW10-FW9))</f>
        <v/>
      </c>
      <c r="GB10">
        <f>IF(ISNA(FV10),NA(),Capability!$N$12)</f>
        <v/>
      </c>
      <c r="GC10">
        <f>IF(ISNA(FV10),NA(),IF(OR(Capability!$Q$12="",Settings!$F$7&lt;&gt;"Y"),NA(),Capability!$Q$12))</f>
        <v/>
      </c>
      <c r="GD10">
        <f>IF(ISNA(FV10),NA(),IF(OR(Capability!$P$12="",Settings!$F$7&lt;&gt;"Y"),NA(),Capability!$P$12))</f>
        <v/>
      </c>
      <c r="GE10">
        <f>IF(GC$1="","",ROUND(GA$1+GC$1*6.5,4))</f>
        <v/>
      </c>
      <c r="GF10">
        <f>IF(GC$1="","",COUNTIFS('Data Entry'!$O$5:$O$10004,"&gt;="&amp;(GA$1+GC$1*6),'Data Entry'!$O$5:$O$10004,"&lt;"&amp;(GA$1+GC$1*7)))</f>
        <v/>
      </c>
      <c r="GG10">
        <f>IF(OR(Capability!$P$12="",GC$1=""),NA(),IF(AND(Capability!$P$12&gt;=(GA$1+GC$1*6),Capability!$P$12&lt;(GA$1+GC$1*7)),GE$1*1.15,NA()))</f>
        <v/>
      </c>
      <c r="GH10">
        <f>IF(OR(Capability!$Q$12="",GC$1=""),NA(),IF(AND(Capability!$Q$12&gt;=(GA$1+GC$1*6),Capability!$Q$12&lt;(GA$1+GC$1*7)),GE$1*1.15,NA()))</f>
        <v/>
      </c>
      <c r="GJ10">
        <f>IF((GM$1+6)&gt;GK$1,NA(),(GM$1+6)-4)</f>
        <v/>
      </c>
      <c r="GK10">
        <f>IF((GM$1+6)&gt;GK$1,NA(),INDEX('Data Entry'!$P$5:$P$10004,(GM$1+6)-4))</f>
        <v/>
      </c>
      <c r="GL10">
        <f>IF(ISNA(GJ10),NA(),Capability!$K$13)</f>
        <v/>
      </c>
      <c r="GM10">
        <f>IF(ISNA(GJ10),NA(),Capability!$J$13)</f>
        <v/>
      </c>
      <c r="GN10">
        <f>IF(ISNA(GJ10),NA(),Capability!$L$13)</f>
        <v/>
      </c>
      <c r="GO10">
        <f>IF(OR(ISNA(GK10),ISNA(GK9)),NA(),ABS(GK10-GK9))</f>
        <v/>
      </c>
      <c r="GP10">
        <f>IF(ISNA(GJ10),NA(),Capability!$N$13)</f>
        <v/>
      </c>
      <c r="GQ10">
        <f>IF(ISNA(GJ10),NA(),IF(OR(Capability!$Q$13="",Settings!$F$7&lt;&gt;"Y"),NA(),Capability!$Q$13))</f>
        <v/>
      </c>
      <c r="GR10">
        <f>IF(ISNA(GJ10),NA(),IF(OR(Capability!$P$13="",Settings!$F$7&lt;&gt;"Y"),NA(),Capability!$P$13))</f>
        <v/>
      </c>
      <c r="GS10">
        <f>IF(GQ$1="","",ROUND(GO$1+GQ$1*6.5,4))</f>
        <v/>
      </c>
      <c r="GT10">
        <f>IF(GQ$1="","",COUNTIFS('Data Entry'!$P$5:$P$10004,"&gt;="&amp;(GO$1+GQ$1*6),'Data Entry'!$P$5:$P$10004,"&lt;"&amp;(GO$1+GQ$1*7)))</f>
        <v/>
      </c>
      <c r="GU10">
        <f>IF(OR(Capability!$P$13="",GQ$1=""),NA(),IF(AND(Capability!$P$13&gt;=(GO$1+GQ$1*6),Capability!$P$13&lt;(GO$1+GQ$1*7)),GS$1*1.15,NA()))</f>
        <v/>
      </c>
      <c r="GV10">
        <f>IF(OR(Capability!$Q$13="",GQ$1=""),NA(),IF(AND(Capability!$Q$13&gt;=(GO$1+GQ$1*6),Capability!$Q$13&lt;(GO$1+GQ$1*7)),GS$1*1.15,NA()))</f>
        <v/>
      </c>
      <c r="GX10">
        <f>IF((HA$1+6)&gt;GY$1,NA(),(HA$1+6)-4)</f>
        <v/>
      </c>
      <c r="GY10">
        <f>IF((HA$1+6)&gt;GY$1,NA(),INDEX('Data Entry'!$Q$5:$Q$10004,(HA$1+6)-4))</f>
        <v/>
      </c>
      <c r="GZ10">
        <f>IF(ISNA(GX10),NA(),Capability!$K$14)</f>
        <v/>
      </c>
      <c r="HA10">
        <f>IF(ISNA(GX10),NA(),Capability!$J$14)</f>
        <v/>
      </c>
      <c r="HB10">
        <f>IF(ISNA(GX10),NA(),Capability!$L$14)</f>
        <v/>
      </c>
      <c r="HC10">
        <f>IF(OR(ISNA(GY10),ISNA(GY9)),NA(),ABS(GY10-GY9))</f>
        <v/>
      </c>
      <c r="HD10">
        <f>IF(ISNA(GX10),NA(),Capability!$N$14)</f>
        <v/>
      </c>
      <c r="HE10">
        <f>IF(ISNA(GX10),NA(),IF(OR(Capability!$Q$14="",Settings!$F$7&lt;&gt;"Y"),NA(),Capability!$Q$14))</f>
        <v/>
      </c>
      <c r="HF10">
        <f>IF(ISNA(GX10),NA(),IF(OR(Capability!$P$14="",Settings!$F$7&lt;&gt;"Y"),NA(),Capability!$P$14))</f>
        <v/>
      </c>
      <c r="HG10">
        <f>IF(HE$1="","",ROUND(HC$1+HE$1*6.5,4))</f>
        <v/>
      </c>
      <c r="HH10">
        <f>IF(HE$1="","",COUNTIFS('Data Entry'!$Q$5:$Q$10004,"&gt;="&amp;(HC$1+HE$1*6),'Data Entry'!$Q$5:$Q$10004,"&lt;"&amp;(HC$1+HE$1*7)))</f>
        <v/>
      </c>
      <c r="HI10">
        <f>IF(OR(Capability!$P$14="",HE$1=""),NA(),IF(AND(Capability!$P$14&gt;=(HC$1+HE$1*6),Capability!$P$14&lt;(HC$1+HE$1*7)),HG$1*1.15,NA()))</f>
        <v/>
      </c>
      <c r="HJ10">
        <f>IF(OR(Capability!$Q$14="",HE$1=""),NA(),IF(AND(Capability!$Q$14&gt;=(HC$1+HE$1*6),Capability!$Q$14&lt;(HC$1+HE$1*7)),HG$1*1.15,NA()))</f>
        <v/>
      </c>
    </row>
    <row r="11">
      <c r="A11" s="35" t="inlineStr">
        <is>
          <t>Range</t>
        </is>
      </c>
      <c r="B11" s="23">
        <f>Capability!G5</f>
        <v/>
      </c>
      <c r="CB11">
        <f>IF((CE$1+7)&gt;CC$1,NA(),(CE$1+7)-4)</f>
        <v/>
      </c>
      <c r="CC11">
        <f>IF((CE$1+7)&gt;CC$1,NA(),INDEX('Data Entry'!$H$5:$H$10004,(CE$1+7)-4))</f>
        <v/>
      </c>
      <c r="CD11">
        <f>IF(ISNA(CB11),NA(),Capability!$K$5)</f>
        <v/>
      </c>
      <c r="CE11">
        <f>IF(ISNA(CB11),NA(),Capability!$J$5)</f>
        <v/>
      </c>
      <c r="CF11">
        <f>IF(ISNA(CB11),NA(),Capability!$L$5)</f>
        <v/>
      </c>
      <c r="CG11">
        <f>IF(OR(ISNA(CC11),ISNA(CC10)),NA(),ABS(CC11-CC10))</f>
        <v/>
      </c>
      <c r="CH11">
        <f>IF(ISNA(CB11),NA(),Capability!$N$5)</f>
        <v/>
      </c>
      <c r="CI11">
        <f>IF(ISNA(CB11),NA(),IF(OR(Capability!$Q$5="",Settings!$F$7&lt;&gt;"Y"),NA(),Capability!$Q$5))</f>
        <v/>
      </c>
      <c r="CJ11">
        <f>IF(ISNA(CB11),NA(),IF(OR(Capability!$P$5="",Settings!$F$7&lt;&gt;"Y"),NA(),Capability!$P$5))</f>
        <v/>
      </c>
      <c r="CK11">
        <f>IF(CI$1="","",ROUND(CG$1+CI$1*7.5,4))</f>
        <v/>
      </c>
      <c r="CL11">
        <f>IF(CI$1="","",COUNTIFS('Data Entry'!$H$5:$H$10004,"&gt;="&amp;(CG$1+CI$1*7),'Data Entry'!$H$5:$H$10004,"&lt;"&amp;(CG$1+CI$1*8)))</f>
        <v/>
      </c>
      <c r="CM11">
        <f>IF(OR(Capability!$P$5="",CI$1=""),NA(),IF(AND(Capability!$P$5&gt;=(CG$1+CI$1*7),Capability!$P$5&lt;(CG$1+CI$1*8)),CK$1*1.15,NA()))</f>
        <v/>
      </c>
      <c r="CN11">
        <f>IF(OR(Capability!$Q$5="",CI$1=""),NA(),IF(AND(Capability!$Q$5&gt;=(CG$1+CI$1*7),Capability!$Q$5&lt;(CG$1+CI$1*8)),CK$1*1.15,NA()))</f>
        <v/>
      </c>
      <c r="CP11">
        <f>IF((CS$1+7)&gt;CQ$1,NA(),(CS$1+7)-4)</f>
        <v/>
      </c>
      <c r="CQ11">
        <f>IF((CS$1+7)&gt;CQ$1,NA(),INDEX('Data Entry'!$I$5:$I$10004,(CS$1+7)-4))</f>
        <v/>
      </c>
      <c r="CR11">
        <f>IF(ISNA(CP11),NA(),Capability!$K$6)</f>
        <v/>
      </c>
      <c r="CS11">
        <f>IF(ISNA(CP11),NA(),Capability!$J$6)</f>
        <v/>
      </c>
      <c r="CT11">
        <f>IF(ISNA(CP11),NA(),Capability!$L$6)</f>
        <v/>
      </c>
      <c r="CU11">
        <f>IF(OR(ISNA(CQ11),ISNA(CQ10)),NA(),ABS(CQ11-CQ10))</f>
        <v/>
      </c>
      <c r="CV11">
        <f>IF(ISNA(CP11),NA(),Capability!$N$6)</f>
        <v/>
      </c>
      <c r="CW11">
        <f>IF(ISNA(CP11),NA(),IF(OR(Capability!$Q$6="",Settings!$F$7&lt;&gt;"Y"),NA(),Capability!$Q$6))</f>
        <v/>
      </c>
      <c r="CX11">
        <f>IF(ISNA(CP11),NA(),IF(OR(Capability!$P$6="",Settings!$F$7&lt;&gt;"Y"),NA(),Capability!$P$6))</f>
        <v/>
      </c>
      <c r="CY11">
        <f>IF(CW$1="","",ROUND(CU$1+CW$1*7.5,4))</f>
        <v/>
      </c>
      <c r="CZ11">
        <f>IF(CW$1="","",COUNTIFS('Data Entry'!$I$5:$I$10004,"&gt;="&amp;(CU$1+CW$1*7),'Data Entry'!$I$5:$I$10004,"&lt;"&amp;(CU$1+CW$1*8)))</f>
        <v/>
      </c>
      <c r="DA11">
        <f>IF(OR(Capability!$P$6="",CW$1=""),NA(),IF(AND(Capability!$P$6&gt;=(CU$1+CW$1*7),Capability!$P$6&lt;(CU$1+CW$1*8)),CY$1*1.15,NA()))</f>
        <v/>
      </c>
      <c r="DB11">
        <f>IF(OR(Capability!$Q$6="",CW$1=""),NA(),IF(AND(Capability!$Q$6&gt;=(CU$1+CW$1*7),Capability!$Q$6&lt;(CU$1+CW$1*8)),CY$1*1.15,NA()))</f>
        <v/>
      </c>
      <c r="DD11">
        <f>IF((DG$1+7)&gt;DE$1,NA(),(DG$1+7)-4)</f>
        <v/>
      </c>
      <c r="DE11">
        <f>IF((DG$1+7)&gt;DE$1,NA(),INDEX('Data Entry'!$J$5:$J$10004,(DG$1+7)-4))</f>
        <v/>
      </c>
      <c r="DF11">
        <f>IF(ISNA(DD11),NA(),Capability!$K$7)</f>
        <v/>
      </c>
      <c r="DG11">
        <f>IF(ISNA(DD11),NA(),Capability!$J$7)</f>
        <v/>
      </c>
      <c r="DH11">
        <f>IF(ISNA(DD11),NA(),Capability!$L$7)</f>
        <v/>
      </c>
      <c r="DI11">
        <f>IF(OR(ISNA(DE11),ISNA(DE10)),NA(),ABS(DE11-DE10))</f>
        <v/>
      </c>
      <c r="DJ11">
        <f>IF(ISNA(DD11),NA(),Capability!$N$7)</f>
        <v/>
      </c>
      <c r="DK11">
        <f>IF(ISNA(DD11),NA(),IF(OR(Capability!$Q$7="",Settings!$F$7&lt;&gt;"Y"),NA(),Capability!$Q$7))</f>
        <v/>
      </c>
      <c r="DL11">
        <f>IF(ISNA(DD11),NA(),IF(OR(Capability!$P$7="",Settings!$F$7&lt;&gt;"Y"),NA(),Capability!$P$7))</f>
        <v/>
      </c>
      <c r="DM11">
        <f>IF(DK$1="","",ROUND(DI$1+DK$1*7.5,4))</f>
        <v/>
      </c>
      <c r="DN11">
        <f>IF(DK$1="","",COUNTIFS('Data Entry'!$J$5:$J$10004,"&gt;="&amp;(DI$1+DK$1*7),'Data Entry'!$J$5:$J$10004,"&lt;"&amp;(DI$1+DK$1*8)))</f>
        <v/>
      </c>
      <c r="DO11">
        <f>IF(OR(Capability!$P$7="",DK$1=""),NA(),IF(AND(Capability!$P$7&gt;=(DI$1+DK$1*7),Capability!$P$7&lt;(DI$1+DK$1*8)),DM$1*1.15,NA()))</f>
        <v/>
      </c>
      <c r="DP11">
        <f>IF(OR(Capability!$Q$7="",DK$1=""),NA(),IF(AND(Capability!$Q$7&gt;=(DI$1+DK$1*7),Capability!$Q$7&lt;(DI$1+DK$1*8)),DM$1*1.15,NA()))</f>
        <v/>
      </c>
      <c r="DR11">
        <f>IF((DU$1+7)&gt;DS$1,NA(),(DU$1+7)-4)</f>
        <v/>
      </c>
      <c r="DS11">
        <f>IF((DU$1+7)&gt;DS$1,NA(),INDEX('Data Entry'!$K$5:$K$10004,(DU$1+7)-4))</f>
        <v/>
      </c>
      <c r="DT11">
        <f>IF(ISNA(DR11),NA(),Capability!$K$8)</f>
        <v/>
      </c>
      <c r="DU11">
        <f>IF(ISNA(DR11),NA(),Capability!$J$8)</f>
        <v/>
      </c>
      <c r="DV11">
        <f>IF(ISNA(DR11),NA(),Capability!$L$8)</f>
        <v/>
      </c>
      <c r="DW11">
        <f>IF(OR(ISNA(DS11),ISNA(DS10)),NA(),ABS(DS11-DS10))</f>
        <v/>
      </c>
      <c r="DX11">
        <f>IF(ISNA(DR11),NA(),Capability!$N$8)</f>
        <v/>
      </c>
      <c r="DY11">
        <f>IF(ISNA(DR11),NA(),IF(OR(Capability!$Q$8="",Settings!$F$7&lt;&gt;"Y"),NA(),Capability!$Q$8))</f>
        <v/>
      </c>
      <c r="DZ11">
        <f>IF(ISNA(DR11),NA(),IF(OR(Capability!$P$8="",Settings!$F$7&lt;&gt;"Y"),NA(),Capability!$P$8))</f>
        <v/>
      </c>
      <c r="EA11">
        <f>IF(DY$1="","",ROUND(DW$1+DY$1*7.5,4))</f>
        <v/>
      </c>
      <c r="EB11">
        <f>IF(DY$1="","",COUNTIFS('Data Entry'!$K$5:$K$10004,"&gt;="&amp;(DW$1+DY$1*7),'Data Entry'!$K$5:$K$10004,"&lt;"&amp;(DW$1+DY$1*8)))</f>
        <v/>
      </c>
      <c r="EC11">
        <f>IF(OR(Capability!$P$8="",DY$1=""),NA(),IF(AND(Capability!$P$8&gt;=(DW$1+DY$1*7),Capability!$P$8&lt;(DW$1+DY$1*8)),EA$1*1.15,NA()))</f>
        <v/>
      </c>
      <c r="ED11">
        <f>IF(OR(Capability!$Q$8="",DY$1=""),NA(),IF(AND(Capability!$Q$8&gt;=(DW$1+DY$1*7),Capability!$Q$8&lt;(DW$1+DY$1*8)),EA$1*1.15,NA()))</f>
        <v/>
      </c>
      <c r="EF11">
        <f>IF((EI$1+7)&gt;EG$1,NA(),(EI$1+7)-4)</f>
        <v/>
      </c>
      <c r="EG11">
        <f>IF((EI$1+7)&gt;EG$1,NA(),INDEX('Data Entry'!$L$5:$L$10004,(EI$1+7)-4))</f>
        <v/>
      </c>
      <c r="EH11">
        <f>IF(ISNA(EF11),NA(),Capability!$K$9)</f>
        <v/>
      </c>
      <c r="EI11">
        <f>IF(ISNA(EF11),NA(),Capability!$J$9)</f>
        <v/>
      </c>
      <c r="EJ11">
        <f>IF(ISNA(EF11),NA(),Capability!$L$9)</f>
        <v/>
      </c>
      <c r="EK11">
        <f>IF(OR(ISNA(EG11),ISNA(EG10)),NA(),ABS(EG11-EG10))</f>
        <v/>
      </c>
      <c r="EL11">
        <f>IF(ISNA(EF11),NA(),Capability!$N$9)</f>
        <v/>
      </c>
      <c r="EM11">
        <f>IF(ISNA(EF11),NA(),IF(OR(Capability!$Q$9="",Settings!$F$7&lt;&gt;"Y"),NA(),Capability!$Q$9))</f>
        <v/>
      </c>
      <c r="EN11">
        <f>IF(ISNA(EF11),NA(),IF(OR(Capability!$P$9="",Settings!$F$7&lt;&gt;"Y"),NA(),Capability!$P$9))</f>
        <v/>
      </c>
      <c r="EO11">
        <f>IF(EM$1="","",ROUND(EK$1+EM$1*7.5,4))</f>
        <v/>
      </c>
      <c r="EP11">
        <f>IF(EM$1="","",COUNTIFS('Data Entry'!$L$5:$L$10004,"&gt;="&amp;(EK$1+EM$1*7),'Data Entry'!$L$5:$L$10004,"&lt;"&amp;(EK$1+EM$1*8)))</f>
        <v/>
      </c>
      <c r="EQ11">
        <f>IF(OR(Capability!$P$9="",EM$1=""),NA(),IF(AND(Capability!$P$9&gt;=(EK$1+EM$1*7),Capability!$P$9&lt;(EK$1+EM$1*8)),EO$1*1.15,NA()))</f>
        <v/>
      </c>
      <c r="ER11">
        <f>IF(OR(Capability!$Q$9="",EM$1=""),NA(),IF(AND(Capability!$Q$9&gt;=(EK$1+EM$1*7),Capability!$Q$9&lt;(EK$1+EM$1*8)),EO$1*1.15,NA()))</f>
        <v/>
      </c>
      <c r="ET11">
        <f>IF((EW$1+7)&gt;EU$1,NA(),(EW$1+7)-4)</f>
        <v/>
      </c>
      <c r="EU11">
        <f>IF((EW$1+7)&gt;EU$1,NA(),INDEX('Data Entry'!$M$5:$M$10004,(EW$1+7)-4))</f>
        <v/>
      </c>
      <c r="EV11">
        <f>IF(ISNA(ET11),NA(),Capability!$K$10)</f>
        <v/>
      </c>
      <c r="EW11">
        <f>IF(ISNA(ET11),NA(),Capability!$J$10)</f>
        <v/>
      </c>
      <c r="EX11">
        <f>IF(ISNA(ET11),NA(),Capability!$L$10)</f>
        <v/>
      </c>
      <c r="EY11">
        <f>IF(OR(ISNA(EU11),ISNA(EU10)),NA(),ABS(EU11-EU10))</f>
        <v/>
      </c>
      <c r="EZ11">
        <f>IF(ISNA(ET11),NA(),Capability!$N$10)</f>
        <v/>
      </c>
      <c r="FA11">
        <f>IF(ISNA(ET11),NA(),IF(OR(Capability!$Q$10="",Settings!$F$7&lt;&gt;"Y"),NA(),Capability!$Q$10))</f>
        <v/>
      </c>
      <c r="FB11">
        <f>IF(ISNA(ET11),NA(),IF(OR(Capability!$P$10="",Settings!$F$7&lt;&gt;"Y"),NA(),Capability!$P$10))</f>
        <v/>
      </c>
      <c r="FC11">
        <f>IF(FA$1="","",ROUND(EY$1+FA$1*7.5,4))</f>
        <v/>
      </c>
      <c r="FD11">
        <f>IF(FA$1="","",COUNTIFS('Data Entry'!$M$5:$M$10004,"&gt;="&amp;(EY$1+FA$1*7),'Data Entry'!$M$5:$M$10004,"&lt;"&amp;(EY$1+FA$1*8)))</f>
        <v/>
      </c>
      <c r="FE11">
        <f>IF(OR(Capability!$P$10="",FA$1=""),NA(),IF(AND(Capability!$P$10&gt;=(EY$1+FA$1*7),Capability!$P$10&lt;(EY$1+FA$1*8)),FC$1*1.15,NA()))</f>
        <v/>
      </c>
      <c r="FF11">
        <f>IF(OR(Capability!$Q$10="",FA$1=""),NA(),IF(AND(Capability!$Q$10&gt;=(EY$1+FA$1*7),Capability!$Q$10&lt;(EY$1+FA$1*8)),FC$1*1.15,NA()))</f>
        <v/>
      </c>
      <c r="FH11">
        <f>IF((FK$1+7)&gt;FI$1,NA(),(FK$1+7)-4)</f>
        <v/>
      </c>
      <c r="FI11">
        <f>IF((FK$1+7)&gt;FI$1,NA(),INDEX('Data Entry'!$N$5:$N$10004,(FK$1+7)-4))</f>
        <v/>
      </c>
      <c r="FJ11">
        <f>IF(ISNA(FH11),NA(),Capability!$K$11)</f>
        <v/>
      </c>
      <c r="FK11">
        <f>IF(ISNA(FH11),NA(),Capability!$J$11)</f>
        <v/>
      </c>
      <c r="FL11">
        <f>IF(ISNA(FH11),NA(),Capability!$L$11)</f>
        <v/>
      </c>
      <c r="FM11">
        <f>IF(OR(ISNA(FI11),ISNA(FI10)),NA(),ABS(FI11-FI10))</f>
        <v/>
      </c>
      <c r="FN11">
        <f>IF(ISNA(FH11),NA(),Capability!$N$11)</f>
        <v/>
      </c>
      <c r="FO11">
        <f>IF(ISNA(FH11),NA(),IF(OR(Capability!$Q$11="",Settings!$F$7&lt;&gt;"Y"),NA(),Capability!$Q$11))</f>
        <v/>
      </c>
      <c r="FP11">
        <f>IF(ISNA(FH11),NA(),IF(OR(Capability!$P$11="",Settings!$F$7&lt;&gt;"Y"),NA(),Capability!$P$11))</f>
        <v/>
      </c>
      <c r="FQ11">
        <f>IF(FO$1="","",ROUND(FM$1+FO$1*7.5,4))</f>
        <v/>
      </c>
      <c r="FR11">
        <f>IF(FO$1="","",COUNTIFS('Data Entry'!$N$5:$N$10004,"&gt;="&amp;(FM$1+FO$1*7),'Data Entry'!$N$5:$N$10004,"&lt;"&amp;(FM$1+FO$1*8)))</f>
        <v/>
      </c>
      <c r="FS11">
        <f>IF(OR(Capability!$P$11="",FO$1=""),NA(),IF(AND(Capability!$P$11&gt;=(FM$1+FO$1*7),Capability!$P$11&lt;(FM$1+FO$1*8)),FQ$1*1.15,NA()))</f>
        <v/>
      </c>
      <c r="FT11">
        <f>IF(OR(Capability!$Q$11="",FO$1=""),NA(),IF(AND(Capability!$Q$11&gt;=(FM$1+FO$1*7),Capability!$Q$11&lt;(FM$1+FO$1*8)),FQ$1*1.15,NA()))</f>
        <v/>
      </c>
      <c r="FV11">
        <f>IF((FY$1+7)&gt;FW$1,NA(),(FY$1+7)-4)</f>
        <v/>
      </c>
      <c r="FW11">
        <f>IF((FY$1+7)&gt;FW$1,NA(),INDEX('Data Entry'!$O$5:$O$10004,(FY$1+7)-4))</f>
        <v/>
      </c>
      <c r="FX11">
        <f>IF(ISNA(FV11),NA(),Capability!$K$12)</f>
        <v/>
      </c>
      <c r="FY11">
        <f>IF(ISNA(FV11),NA(),Capability!$J$12)</f>
        <v/>
      </c>
      <c r="FZ11">
        <f>IF(ISNA(FV11),NA(),Capability!$L$12)</f>
        <v/>
      </c>
      <c r="GA11">
        <f>IF(OR(ISNA(FW11),ISNA(FW10)),NA(),ABS(FW11-FW10))</f>
        <v/>
      </c>
      <c r="GB11">
        <f>IF(ISNA(FV11),NA(),Capability!$N$12)</f>
        <v/>
      </c>
      <c r="GC11">
        <f>IF(ISNA(FV11),NA(),IF(OR(Capability!$Q$12="",Settings!$F$7&lt;&gt;"Y"),NA(),Capability!$Q$12))</f>
        <v/>
      </c>
      <c r="GD11">
        <f>IF(ISNA(FV11),NA(),IF(OR(Capability!$P$12="",Settings!$F$7&lt;&gt;"Y"),NA(),Capability!$P$12))</f>
        <v/>
      </c>
      <c r="GE11">
        <f>IF(GC$1="","",ROUND(GA$1+GC$1*7.5,4))</f>
        <v/>
      </c>
      <c r="GF11">
        <f>IF(GC$1="","",COUNTIFS('Data Entry'!$O$5:$O$10004,"&gt;="&amp;(GA$1+GC$1*7),'Data Entry'!$O$5:$O$10004,"&lt;"&amp;(GA$1+GC$1*8)))</f>
        <v/>
      </c>
      <c r="GG11">
        <f>IF(OR(Capability!$P$12="",GC$1=""),NA(),IF(AND(Capability!$P$12&gt;=(GA$1+GC$1*7),Capability!$P$12&lt;(GA$1+GC$1*8)),GE$1*1.15,NA()))</f>
        <v/>
      </c>
      <c r="GH11">
        <f>IF(OR(Capability!$Q$12="",GC$1=""),NA(),IF(AND(Capability!$Q$12&gt;=(GA$1+GC$1*7),Capability!$Q$12&lt;(GA$1+GC$1*8)),GE$1*1.15,NA()))</f>
        <v/>
      </c>
      <c r="GJ11">
        <f>IF((GM$1+7)&gt;GK$1,NA(),(GM$1+7)-4)</f>
        <v/>
      </c>
      <c r="GK11">
        <f>IF((GM$1+7)&gt;GK$1,NA(),INDEX('Data Entry'!$P$5:$P$10004,(GM$1+7)-4))</f>
        <v/>
      </c>
      <c r="GL11">
        <f>IF(ISNA(GJ11),NA(),Capability!$K$13)</f>
        <v/>
      </c>
      <c r="GM11">
        <f>IF(ISNA(GJ11),NA(),Capability!$J$13)</f>
        <v/>
      </c>
      <c r="GN11">
        <f>IF(ISNA(GJ11),NA(),Capability!$L$13)</f>
        <v/>
      </c>
      <c r="GO11">
        <f>IF(OR(ISNA(GK11),ISNA(GK10)),NA(),ABS(GK11-GK10))</f>
        <v/>
      </c>
      <c r="GP11">
        <f>IF(ISNA(GJ11),NA(),Capability!$N$13)</f>
        <v/>
      </c>
      <c r="GQ11">
        <f>IF(ISNA(GJ11),NA(),IF(OR(Capability!$Q$13="",Settings!$F$7&lt;&gt;"Y"),NA(),Capability!$Q$13))</f>
        <v/>
      </c>
      <c r="GR11">
        <f>IF(ISNA(GJ11),NA(),IF(OR(Capability!$P$13="",Settings!$F$7&lt;&gt;"Y"),NA(),Capability!$P$13))</f>
        <v/>
      </c>
      <c r="GS11">
        <f>IF(GQ$1="","",ROUND(GO$1+GQ$1*7.5,4))</f>
        <v/>
      </c>
      <c r="GT11">
        <f>IF(GQ$1="","",COUNTIFS('Data Entry'!$P$5:$P$10004,"&gt;="&amp;(GO$1+GQ$1*7),'Data Entry'!$P$5:$P$10004,"&lt;"&amp;(GO$1+GQ$1*8)))</f>
        <v/>
      </c>
      <c r="GU11">
        <f>IF(OR(Capability!$P$13="",GQ$1=""),NA(),IF(AND(Capability!$P$13&gt;=(GO$1+GQ$1*7),Capability!$P$13&lt;(GO$1+GQ$1*8)),GS$1*1.15,NA()))</f>
        <v/>
      </c>
      <c r="GV11">
        <f>IF(OR(Capability!$Q$13="",GQ$1=""),NA(),IF(AND(Capability!$Q$13&gt;=(GO$1+GQ$1*7),Capability!$Q$13&lt;(GO$1+GQ$1*8)),GS$1*1.15,NA()))</f>
        <v/>
      </c>
      <c r="GX11">
        <f>IF((HA$1+7)&gt;GY$1,NA(),(HA$1+7)-4)</f>
        <v/>
      </c>
      <c r="GY11">
        <f>IF((HA$1+7)&gt;GY$1,NA(),INDEX('Data Entry'!$Q$5:$Q$10004,(HA$1+7)-4))</f>
        <v/>
      </c>
      <c r="GZ11">
        <f>IF(ISNA(GX11),NA(),Capability!$K$14)</f>
        <v/>
      </c>
      <c r="HA11">
        <f>IF(ISNA(GX11),NA(),Capability!$J$14)</f>
        <v/>
      </c>
      <c r="HB11">
        <f>IF(ISNA(GX11),NA(),Capability!$L$14)</f>
        <v/>
      </c>
      <c r="HC11">
        <f>IF(OR(ISNA(GY11),ISNA(GY10)),NA(),ABS(GY11-GY10))</f>
        <v/>
      </c>
      <c r="HD11">
        <f>IF(ISNA(GX11),NA(),Capability!$N$14)</f>
        <v/>
      </c>
      <c r="HE11">
        <f>IF(ISNA(GX11),NA(),IF(OR(Capability!$Q$14="",Settings!$F$7&lt;&gt;"Y"),NA(),Capability!$Q$14))</f>
        <v/>
      </c>
      <c r="HF11">
        <f>IF(ISNA(GX11),NA(),IF(OR(Capability!$P$14="",Settings!$F$7&lt;&gt;"Y"),NA(),Capability!$P$14))</f>
        <v/>
      </c>
      <c r="HG11">
        <f>IF(HE$1="","",ROUND(HC$1+HE$1*7.5,4))</f>
        <v/>
      </c>
      <c r="HH11">
        <f>IF(HE$1="","",COUNTIFS('Data Entry'!$Q$5:$Q$10004,"&gt;="&amp;(HC$1+HE$1*7),'Data Entry'!$Q$5:$Q$10004,"&lt;"&amp;(HC$1+HE$1*8)))</f>
        <v/>
      </c>
      <c r="HI11">
        <f>IF(OR(Capability!$P$14="",HE$1=""),NA(),IF(AND(Capability!$P$14&gt;=(HC$1+HE$1*7),Capability!$P$14&lt;(HC$1+HE$1*8)),HG$1*1.15,NA()))</f>
        <v/>
      </c>
      <c r="HJ11">
        <f>IF(OR(Capability!$Q$14="",HE$1=""),NA(),IF(AND(Capability!$Q$14&gt;=(HC$1+HE$1*7),Capability!$Q$14&lt;(HC$1+HE$1*8)),HG$1*1.15,NA()))</f>
        <v/>
      </c>
    </row>
    <row r="12">
      <c r="A12" s="35" t="inlineStr">
        <is>
          <t>Mean</t>
        </is>
      </c>
      <c r="B12" s="23">
        <f>Capability!C5</f>
        <v/>
      </c>
      <c r="CB12">
        <f>IF((CE$1+8)&gt;CC$1,NA(),(CE$1+8)-4)</f>
        <v/>
      </c>
      <c r="CC12">
        <f>IF((CE$1+8)&gt;CC$1,NA(),INDEX('Data Entry'!$H$5:$H$10004,(CE$1+8)-4))</f>
        <v/>
      </c>
      <c r="CD12">
        <f>IF(ISNA(CB12),NA(),Capability!$K$5)</f>
        <v/>
      </c>
      <c r="CE12">
        <f>IF(ISNA(CB12),NA(),Capability!$J$5)</f>
        <v/>
      </c>
      <c r="CF12">
        <f>IF(ISNA(CB12),NA(),Capability!$L$5)</f>
        <v/>
      </c>
      <c r="CG12">
        <f>IF(OR(ISNA(CC12),ISNA(CC11)),NA(),ABS(CC12-CC11))</f>
        <v/>
      </c>
      <c r="CH12">
        <f>IF(ISNA(CB12),NA(),Capability!$N$5)</f>
        <v/>
      </c>
      <c r="CI12">
        <f>IF(ISNA(CB12),NA(),IF(OR(Capability!$Q$5="",Settings!$F$7&lt;&gt;"Y"),NA(),Capability!$Q$5))</f>
        <v/>
      </c>
      <c r="CJ12">
        <f>IF(ISNA(CB12),NA(),IF(OR(Capability!$P$5="",Settings!$F$7&lt;&gt;"Y"),NA(),Capability!$P$5))</f>
        <v/>
      </c>
      <c r="CK12">
        <f>IF(CI$1="","",ROUND(CG$1+CI$1*8.5,4))</f>
        <v/>
      </c>
      <c r="CL12">
        <f>IF(CI$1="","",COUNTIFS('Data Entry'!$H$5:$H$10004,"&gt;="&amp;(CG$1+CI$1*8),'Data Entry'!$H$5:$H$10004,"&lt;"&amp;(CG$1+CI$1*9)))</f>
        <v/>
      </c>
      <c r="CM12">
        <f>IF(OR(Capability!$P$5="",CI$1=""),NA(),IF(AND(Capability!$P$5&gt;=(CG$1+CI$1*8),Capability!$P$5&lt;(CG$1+CI$1*9)),CK$1*1.15,NA()))</f>
        <v/>
      </c>
      <c r="CN12">
        <f>IF(OR(Capability!$Q$5="",CI$1=""),NA(),IF(AND(Capability!$Q$5&gt;=(CG$1+CI$1*8),Capability!$Q$5&lt;(CG$1+CI$1*9)),CK$1*1.15,NA()))</f>
        <v/>
      </c>
      <c r="CP12">
        <f>IF((CS$1+8)&gt;CQ$1,NA(),(CS$1+8)-4)</f>
        <v/>
      </c>
      <c r="CQ12">
        <f>IF((CS$1+8)&gt;CQ$1,NA(),INDEX('Data Entry'!$I$5:$I$10004,(CS$1+8)-4))</f>
        <v/>
      </c>
      <c r="CR12">
        <f>IF(ISNA(CP12),NA(),Capability!$K$6)</f>
        <v/>
      </c>
      <c r="CS12">
        <f>IF(ISNA(CP12),NA(),Capability!$J$6)</f>
        <v/>
      </c>
      <c r="CT12">
        <f>IF(ISNA(CP12),NA(),Capability!$L$6)</f>
        <v/>
      </c>
      <c r="CU12">
        <f>IF(OR(ISNA(CQ12),ISNA(CQ11)),NA(),ABS(CQ12-CQ11))</f>
        <v/>
      </c>
      <c r="CV12">
        <f>IF(ISNA(CP12),NA(),Capability!$N$6)</f>
        <v/>
      </c>
      <c r="CW12">
        <f>IF(ISNA(CP12),NA(),IF(OR(Capability!$Q$6="",Settings!$F$7&lt;&gt;"Y"),NA(),Capability!$Q$6))</f>
        <v/>
      </c>
      <c r="CX12">
        <f>IF(ISNA(CP12),NA(),IF(OR(Capability!$P$6="",Settings!$F$7&lt;&gt;"Y"),NA(),Capability!$P$6))</f>
        <v/>
      </c>
      <c r="CY12">
        <f>IF(CW$1="","",ROUND(CU$1+CW$1*8.5,4))</f>
        <v/>
      </c>
      <c r="CZ12">
        <f>IF(CW$1="","",COUNTIFS('Data Entry'!$I$5:$I$10004,"&gt;="&amp;(CU$1+CW$1*8),'Data Entry'!$I$5:$I$10004,"&lt;"&amp;(CU$1+CW$1*9)))</f>
        <v/>
      </c>
      <c r="DA12">
        <f>IF(OR(Capability!$P$6="",CW$1=""),NA(),IF(AND(Capability!$P$6&gt;=(CU$1+CW$1*8),Capability!$P$6&lt;(CU$1+CW$1*9)),CY$1*1.15,NA()))</f>
        <v/>
      </c>
      <c r="DB12">
        <f>IF(OR(Capability!$Q$6="",CW$1=""),NA(),IF(AND(Capability!$Q$6&gt;=(CU$1+CW$1*8),Capability!$Q$6&lt;(CU$1+CW$1*9)),CY$1*1.15,NA()))</f>
        <v/>
      </c>
      <c r="DD12">
        <f>IF((DG$1+8)&gt;DE$1,NA(),(DG$1+8)-4)</f>
        <v/>
      </c>
      <c r="DE12">
        <f>IF((DG$1+8)&gt;DE$1,NA(),INDEX('Data Entry'!$J$5:$J$10004,(DG$1+8)-4))</f>
        <v/>
      </c>
      <c r="DF12">
        <f>IF(ISNA(DD12),NA(),Capability!$K$7)</f>
        <v/>
      </c>
      <c r="DG12">
        <f>IF(ISNA(DD12),NA(),Capability!$J$7)</f>
        <v/>
      </c>
      <c r="DH12">
        <f>IF(ISNA(DD12),NA(),Capability!$L$7)</f>
        <v/>
      </c>
      <c r="DI12">
        <f>IF(OR(ISNA(DE12),ISNA(DE11)),NA(),ABS(DE12-DE11))</f>
        <v/>
      </c>
      <c r="DJ12">
        <f>IF(ISNA(DD12),NA(),Capability!$N$7)</f>
        <v/>
      </c>
      <c r="DK12">
        <f>IF(ISNA(DD12),NA(),IF(OR(Capability!$Q$7="",Settings!$F$7&lt;&gt;"Y"),NA(),Capability!$Q$7))</f>
        <v/>
      </c>
      <c r="DL12">
        <f>IF(ISNA(DD12),NA(),IF(OR(Capability!$P$7="",Settings!$F$7&lt;&gt;"Y"),NA(),Capability!$P$7))</f>
        <v/>
      </c>
      <c r="DM12">
        <f>IF(DK$1="","",ROUND(DI$1+DK$1*8.5,4))</f>
        <v/>
      </c>
      <c r="DN12">
        <f>IF(DK$1="","",COUNTIFS('Data Entry'!$J$5:$J$10004,"&gt;="&amp;(DI$1+DK$1*8),'Data Entry'!$J$5:$J$10004,"&lt;"&amp;(DI$1+DK$1*9)))</f>
        <v/>
      </c>
      <c r="DO12">
        <f>IF(OR(Capability!$P$7="",DK$1=""),NA(),IF(AND(Capability!$P$7&gt;=(DI$1+DK$1*8),Capability!$P$7&lt;(DI$1+DK$1*9)),DM$1*1.15,NA()))</f>
        <v/>
      </c>
      <c r="DP12">
        <f>IF(OR(Capability!$Q$7="",DK$1=""),NA(),IF(AND(Capability!$Q$7&gt;=(DI$1+DK$1*8),Capability!$Q$7&lt;(DI$1+DK$1*9)),DM$1*1.15,NA()))</f>
        <v/>
      </c>
      <c r="DR12">
        <f>IF((DU$1+8)&gt;DS$1,NA(),(DU$1+8)-4)</f>
        <v/>
      </c>
      <c r="DS12">
        <f>IF((DU$1+8)&gt;DS$1,NA(),INDEX('Data Entry'!$K$5:$K$10004,(DU$1+8)-4))</f>
        <v/>
      </c>
      <c r="DT12">
        <f>IF(ISNA(DR12),NA(),Capability!$K$8)</f>
        <v/>
      </c>
      <c r="DU12">
        <f>IF(ISNA(DR12),NA(),Capability!$J$8)</f>
        <v/>
      </c>
      <c r="DV12">
        <f>IF(ISNA(DR12),NA(),Capability!$L$8)</f>
        <v/>
      </c>
      <c r="DW12">
        <f>IF(OR(ISNA(DS12),ISNA(DS11)),NA(),ABS(DS12-DS11))</f>
        <v/>
      </c>
      <c r="DX12">
        <f>IF(ISNA(DR12),NA(),Capability!$N$8)</f>
        <v/>
      </c>
      <c r="DY12">
        <f>IF(ISNA(DR12),NA(),IF(OR(Capability!$Q$8="",Settings!$F$7&lt;&gt;"Y"),NA(),Capability!$Q$8))</f>
        <v/>
      </c>
      <c r="DZ12">
        <f>IF(ISNA(DR12),NA(),IF(OR(Capability!$P$8="",Settings!$F$7&lt;&gt;"Y"),NA(),Capability!$P$8))</f>
        <v/>
      </c>
      <c r="EA12">
        <f>IF(DY$1="","",ROUND(DW$1+DY$1*8.5,4))</f>
        <v/>
      </c>
      <c r="EB12">
        <f>IF(DY$1="","",COUNTIFS('Data Entry'!$K$5:$K$10004,"&gt;="&amp;(DW$1+DY$1*8),'Data Entry'!$K$5:$K$10004,"&lt;"&amp;(DW$1+DY$1*9)))</f>
        <v/>
      </c>
      <c r="EC12">
        <f>IF(OR(Capability!$P$8="",DY$1=""),NA(),IF(AND(Capability!$P$8&gt;=(DW$1+DY$1*8),Capability!$P$8&lt;(DW$1+DY$1*9)),EA$1*1.15,NA()))</f>
        <v/>
      </c>
      <c r="ED12">
        <f>IF(OR(Capability!$Q$8="",DY$1=""),NA(),IF(AND(Capability!$Q$8&gt;=(DW$1+DY$1*8),Capability!$Q$8&lt;(DW$1+DY$1*9)),EA$1*1.15,NA()))</f>
        <v/>
      </c>
      <c r="EF12">
        <f>IF((EI$1+8)&gt;EG$1,NA(),(EI$1+8)-4)</f>
        <v/>
      </c>
      <c r="EG12">
        <f>IF((EI$1+8)&gt;EG$1,NA(),INDEX('Data Entry'!$L$5:$L$10004,(EI$1+8)-4))</f>
        <v/>
      </c>
      <c r="EH12">
        <f>IF(ISNA(EF12),NA(),Capability!$K$9)</f>
        <v/>
      </c>
      <c r="EI12">
        <f>IF(ISNA(EF12),NA(),Capability!$J$9)</f>
        <v/>
      </c>
      <c r="EJ12">
        <f>IF(ISNA(EF12),NA(),Capability!$L$9)</f>
        <v/>
      </c>
      <c r="EK12">
        <f>IF(OR(ISNA(EG12),ISNA(EG11)),NA(),ABS(EG12-EG11))</f>
        <v/>
      </c>
      <c r="EL12">
        <f>IF(ISNA(EF12),NA(),Capability!$N$9)</f>
        <v/>
      </c>
      <c r="EM12">
        <f>IF(ISNA(EF12),NA(),IF(OR(Capability!$Q$9="",Settings!$F$7&lt;&gt;"Y"),NA(),Capability!$Q$9))</f>
        <v/>
      </c>
      <c r="EN12">
        <f>IF(ISNA(EF12),NA(),IF(OR(Capability!$P$9="",Settings!$F$7&lt;&gt;"Y"),NA(),Capability!$P$9))</f>
        <v/>
      </c>
      <c r="EO12">
        <f>IF(EM$1="","",ROUND(EK$1+EM$1*8.5,4))</f>
        <v/>
      </c>
      <c r="EP12">
        <f>IF(EM$1="","",COUNTIFS('Data Entry'!$L$5:$L$10004,"&gt;="&amp;(EK$1+EM$1*8),'Data Entry'!$L$5:$L$10004,"&lt;"&amp;(EK$1+EM$1*9)))</f>
        <v/>
      </c>
      <c r="EQ12">
        <f>IF(OR(Capability!$P$9="",EM$1=""),NA(),IF(AND(Capability!$P$9&gt;=(EK$1+EM$1*8),Capability!$P$9&lt;(EK$1+EM$1*9)),EO$1*1.15,NA()))</f>
        <v/>
      </c>
      <c r="ER12">
        <f>IF(OR(Capability!$Q$9="",EM$1=""),NA(),IF(AND(Capability!$Q$9&gt;=(EK$1+EM$1*8),Capability!$Q$9&lt;(EK$1+EM$1*9)),EO$1*1.15,NA()))</f>
        <v/>
      </c>
      <c r="ET12">
        <f>IF((EW$1+8)&gt;EU$1,NA(),(EW$1+8)-4)</f>
        <v/>
      </c>
      <c r="EU12">
        <f>IF((EW$1+8)&gt;EU$1,NA(),INDEX('Data Entry'!$M$5:$M$10004,(EW$1+8)-4))</f>
        <v/>
      </c>
      <c r="EV12">
        <f>IF(ISNA(ET12),NA(),Capability!$K$10)</f>
        <v/>
      </c>
      <c r="EW12">
        <f>IF(ISNA(ET12),NA(),Capability!$J$10)</f>
        <v/>
      </c>
      <c r="EX12">
        <f>IF(ISNA(ET12),NA(),Capability!$L$10)</f>
        <v/>
      </c>
      <c r="EY12">
        <f>IF(OR(ISNA(EU12),ISNA(EU11)),NA(),ABS(EU12-EU11))</f>
        <v/>
      </c>
      <c r="EZ12">
        <f>IF(ISNA(ET12),NA(),Capability!$N$10)</f>
        <v/>
      </c>
      <c r="FA12">
        <f>IF(ISNA(ET12),NA(),IF(OR(Capability!$Q$10="",Settings!$F$7&lt;&gt;"Y"),NA(),Capability!$Q$10))</f>
        <v/>
      </c>
      <c r="FB12">
        <f>IF(ISNA(ET12),NA(),IF(OR(Capability!$P$10="",Settings!$F$7&lt;&gt;"Y"),NA(),Capability!$P$10))</f>
        <v/>
      </c>
      <c r="FC12">
        <f>IF(FA$1="","",ROUND(EY$1+FA$1*8.5,4))</f>
        <v/>
      </c>
      <c r="FD12">
        <f>IF(FA$1="","",COUNTIFS('Data Entry'!$M$5:$M$10004,"&gt;="&amp;(EY$1+FA$1*8),'Data Entry'!$M$5:$M$10004,"&lt;"&amp;(EY$1+FA$1*9)))</f>
        <v/>
      </c>
      <c r="FE12">
        <f>IF(OR(Capability!$P$10="",FA$1=""),NA(),IF(AND(Capability!$P$10&gt;=(EY$1+FA$1*8),Capability!$P$10&lt;(EY$1+FA$1*9)),FC$1*1.15,NA()))</f>
        <v/>
      </c>
      <c r="FF12">
        <f>IF(OR(Capability!$Q$10="",FA$1=""),NA(),IF(AND(Capability!$Q$10&gt;=(EY$1+FA$1*8),Capability!$Q$10&lt;(EY$1+FA$1*9)),FC$1*1.15,NA()))</f>
        <v/>
      </c>
      <c r="FH12">
        <f>IF((FK$1+8)&gt;FI$1,NA(),(FK$1+8)-4)</f>
        <v/>
      </c>
      <c r="FI12">
        <f>IF((FK$1+8)&gt;FI$1,NA(),INDEX('Data Entry'!$N$5:$N$10004,(FK$1+8)-4))</f>
        <v/>
      </c>
      <c r="FJ12">
        <f>IF(ISNA(FH12),NA(),Capability!$K$11)</f>
        <v/>
      </c>
      <c r="FK12">
        <f>IF(ISNA(FH12),NA(),Capability!$J$11)</f>
        <v/>
      </c>
      <c r="FL12">
        <f>IF(ISNA(FH12),NA(),Capability!$L$11)</f>
        <v/>
      </c>
      <c r="FM12">
        <f>IF(OR(ISNA(FI12),ISNA(FI11)),NA(),ABS(FI12-FI11))</f>
        <v/>
      </c>
      <c r="FN12">
        <f>IF(ISNA(FH12),NA(),Capability!$N$11)</f>
        <v/>
      </c>
      <c r="FO12">
        <f>IF(ISNA(FH12),NA(),IF(OR(Capability!$Q$11="",Settings!$F$7&lt;&gt;"Y"),NA(),Capability!$Q$11))</f>
        <v/>
      </c>
      <c r="FP12">
        <f>IF(ISNA(FH12),NA(),IF(OR(Capability!$P$11="",Settings!$F$7&lt;&gt;"Y"),NA(),Capability!$P$11))</f>
        <v/>
      </c>
      <c r="FQ12">
        <f>IF(FO$1="","",ROUND(FM$1+FO$1*8.5,4))</f>
        <v/>
      </c>
      <c r="FR12">
        <f>IF(FO$1="","",COUNTIFS('Data Entry'!$N$5:$N$10004,"&gt;="&amp;(FM$1+FO$1*8),'Data Entry'!$N$5:$N$10004,"&lt;"&amp;(FM$1+FO$1*9)))</f>
        <v/>
      </c>
      <c r="FS12">
        <f>IF(OR(Capability!$P$11="",FO$1=""),NA(),IF(AND(Capability!$P$11&gt;=(FM$1+FO$1*8),Capability!$P$11&lt;(FM$1+FO$1*9)),FQ$1*1.15,NA()))</f>
        <v/>
      </c>
      <c r="FT12">
        <f>IF(OR(Capability!$Q$11="",FO$1=""),NA(),IF(AND(Capability!$Q$11&gt;=(FM$1+FO$1*8),Capability!$Q$11&lt;(FM$1+FO$1*9)),FQ$1*1.15,NA()))</f>
        <v/>
      </c>
      <c r="FV12">
        <f>IF((FY$1+8)&gt;FW$1,NA(),(FY$1+8)-4)</f>
        <v/>
      </c>
      <c r="FW12">
        <f>IF((FY$1+8)&gt;FW$1,NA(),INDEX('Data Entry'!$O$5:$O$10004,(FY$1+8)-4))</f>
        <v/>
      </c>
      <c r="FX12">
        <f>IF(ISNA(FV12),NA(),Capability!$K$12)</f>
        <v/>
      </c>
      <c r="FY12">
        <f>IF(ISNA(FV12),NA(),Capability!$J$12)</f>
        <v/>
      </c>
      <c r="FZ12">
        <f>IF(ISNA(FV12),NA(),Capability!$L$12)</f>
        <v/>
      </c>
      <c r="GA12">
        <f>IF(OR(ISNA(FW12),ISNA(FW11)),NA(),ABS(FW12-FW11))</f>
        <v/>
      </c>
      <c r="GB12">
        <f>IF(ISNA(FV12),NA(),Capability!$N$12)</f>
        <v/>
      </c>
      <c r="GC12">
        <f>IF(ISNA(FV12),NA(),IF(OR(Capability!$Q$12="",Settings!$F$7&lt;&gt;"Y"),NA(),Capability!$Q$12))</f>
        <v/>
      </c>
      <c r="GD12">
        <f>IF(ISNA(FV12),NA(),IF(OR(Capability!$P$12="",Settings!$F$7&lt;&gt;"Y"),NA(),Capability!$P$12))</f>
        <v/>
      </c>
      <c r="GE12">
        <f>IF(GC$1="","",ROUND(GA$1+GC$1*8.5,4))</f>
        <v/>
      </c>
      <c r="GF12">
        <f>IF(GC$1="","",COUNTIFS('Data Entry'!$O$5:$O$10004,"&gt;="&amp;(GA$1+GC$1*8),'Data Entry'!$O$5:$O$10004,"&lt;"&amp;(GA$1+GC$1*9)))</f>
        <v/>
      </c>
      <c r="GG12">
        <f>IF(OR(Capability!$P$12="",GC$1=""),NA(),IF(AND(Capability!$P$12&gt;=(GA$1+GC$1*8),Capability!$P$12&lt;(GA$1+GC$1*9)),GE$1*1.15,NA()))</f>
        <v/>
      </c>
      <c r="GH12">
        <f>IF(OR(Capability!$Q$12="",GC$1=""),NA(),IF(AND(Capability!$Q$12&gt;=(GA$1+GC$1*8),Capability!$Q$12&lt;(GA$1+GC$1*9)),GE$1*1.15,NA()))</f>
        <v/>
      </c>
      <c r="GJ12">
        <f>IF((GM$1+8)&gt;GK$1,NA(),(GM$1+8)-4)</f>
        <v/>
      </c>
      <c r="GK12">
        <f>IF((GM$1+8)&gt;GK$1,NA(),INDEX('Data Entry'!$P$5:$P$10004,(GM$1+8)-4))</f>
        <v/>
      </c>
      <c r="GL12">
        <f>IF(ISNA(GJ12),NA(),Capability!$K$13)</f>
        <v/>
      </c>
      <c r="GM12">
        <f>IF(ISNA(GJ12),NA(),Capability!$J$13)</f>
        <v/>
      </c>
      <c r="GN12">
        <f>IF(ISNA(GJ12),NA(),Capability!$L$13)</f>
        <v/>
      </c>
      <c r="GO12">
        <f>IF(OR(ISNA(GK12),ISNA(GK11)),NA(),ABS(GK12-GK11))</f>
        <v/>
      </c>
      <c r="GP12">
        <f>IF(ISNA(GJ12),NA(),Capability!$N$13)</f>
        <v/>
      </c>
      <c r="GQ12">
        <f>IF(ISNA(GJ12),NA(),IF(OR(Capability!$Q$13="",Settings!$F$7&lt;&gt;"Y"),NA(),Capability!$Q$13))</f>
        <v/>
      </c>
      <c r="GR12">
        <f>IF(ISNA(GJ12),NA(),IF(OR(Capability!$P$13="",Settings!$F$7&lt;&gt;"Y"),NA(),Capability!$P$13))</f>
        <v/>
      </c>
      <c r="GS12">
        <f>IF(GQ$1="","",ROUND(GO$1+GQ$1*8.5,4))</f>
        <v/>
      </c>
      <c r="GT12">
        <f>IF(GQ$1="","",COUNTIFS('Data Entry'!$P$5:$P$10004,"&gt;="&amp;(GO$1+GQ$1*8),'Data Entry'!$P$5:$P$10004,"&lt;"&amp;(GO$1+GQ$1*9)))</f>
        <v/>
      </c>
      <c r="GU12">
        <f>IF(OR(Capability!$P$13="",GQ$1=""),NA(),IF(AND(Capability!$P$13&gt;=(GO$1+GQ$1*8),Capability!$P$13&lt;(GO$1+GQ$1*9)),GS$1*1.15,NA()))</f>
        <v/>
      </c>
      <c r="GV12">
        <f>IF(OR(Capability!$Q$13="",GQ$1=""),NA(),IF(AND(Capability!$Q$13&gt;=(GO$1+GQ$1*8),Capability!$Q$13&lt;(GO$1+GQ$1*9)),GS$1*1.15,NA()))</f>
        <v/>
      </c>
      <c r="GX12">
        <f>IF((HA$1+8)&gt;GY$1,NA(),(HA$1+8)-4)</f>
        <v/>
      </c>
      <c r="GY12">
        <f>IF((HA$1+8)&gt;GY$1,NA(),INDEX('Data Entry'!$Q$5:$Q$10004,(HA$1+8)-4))</f>
        <v/>
      </c>
      <c r="GZ12">
        <f>IF(ISNA(GX12),NA(),Capability!$K$14)</f>
        <v/>
      </c>
      <c r="HA12">
        <f>IF(ISNA(GX12),NA(),Capability!$J$14)</f>
        <v/>
      </c>
      <c r="HB12">
        <f>IF(ISNA(GX12),NA(),Capability!$L$14)</f>
        <v/>
      </c>
      <c r="HC12">
        <f>IF(OR(ISNA(GY12),ISNA(GY11)),NA(),ABS(GY12-GY11))</f>
        <v/>
      </c>
      <c r="HD12">
        <f>IF(ISNA(GX12),NA(),Capability!$N$14)</f>
        <v/>
      </c>
      <c r="HE12">
        <f>IF(ISNA(GX12),NA(),IF(OR(Capability!$Q$14="",Settings!$F$7&lt;&gt;"Y"),NA(),Capability!$Q$14))</f>
        <v/>
      </c>
      <c r="HF12">
        <f>IF(ISNA(GX12),NA(),IF(OR(Capability!$P$14="",Settings!$F$7&lt;&gt;"Y"),NA(),Capability!$P$14))</f>
        <v/>
      </c>
      <c r="HG12">
        <f>IF(HE$1="","",ROUND(HC$1+HE$1*8.5,4))</f>
        <v/>
      </c>
      <c r="HH12">
        <f>IF(HE$1="","",COUNTIFS('Data Entry'!$Q$5:$Q$10004,"&gt;="&amp;(HC$1+HE$1*8),'Data Entry'!$Q$5:$Q$10004,"&lt;"&amp;(HC$1+HE$1*9)))</f>
        <v/>
      </c>
      <c r="HI12">
        <f>IF(OR(Capability!$P$14="",HE$1=""),NA(),IF(AND(Capability!$P$14&gt;=(HC$1+HE$1*8),Capability!$P$14&lt;(HC$1+HE$1*9)),HG$1*1.15,NA()))</f>
        <v/>
      </c>
      <c r="HJ12">
        <f>IF(OR(Capability!$Q$14="",HE$1=""),NA(),IF(AND(Capability!$Q$14&gt;=(HC$1+HE$1*8),Capability!$Q$14&lt;(HC$1+HE$1*9)),HG$1*1.15,NA()))</f>
        <v/>
      </c>
    </row>
    <row r="13">
      <c r="A13" s="35" t="inlineStr">
        <is>
          <t>Median</t>
        </is>
      </c>
      <c r="B13" s="23">
        <f>Capability!D5</f>
        <v/>
      </c>
      <c r="CB13">
        <f>IF((CE$1+9)&gt;CC$1,NA(),(CE$1+9)-4)</f>
        <v/>
      </c>
      <c r="CC13">
        <f>IF((CE$1+9)&gt;CC$1,NA(),INDEX('Data Entry'!$H$5:$H$10004,(CE$1+9)-4))</f>
        <v/>
      </c>
      <c r="CD13">
        <f>IF(ISNA(CB13),NA(),Capability!$K$5)</f>
        <v/>
      </c>
      <c r="CE13">
        <f>IF(ISNA(CB13),NA(),Capability!$J$5)</f>
        <v/>
      </c>
      <c r="CF13">
        <f>IF(ISNA(CB13),NA(),Capability!$L$5)</f>
        <v/>
      </c>
      <c r="CG13">
        <f>IF(OR(ISNA(CC13),ISNA(CC12)),NA(),ABS(CC13-CC12))</f>
        <v/>
      </c>
      <c r="CH13">
        <f>IF(ISNA(CB13),NA(),Capability!$N$5)</f>
        <v/>
      </c>
      <c r="CI13">
        <f>IF(ISNA(CB13),NA(),IF(OR(Capability!$Q$5="",Settings!$F$7&lt;&gt;"Y"),NA(),Capability!$Q$5))</f>
        <v/>
      </c>
      <c r="CJ13">
        <f>IF(ISNA(CB13),NA(),IF(OR(Capability!$P$5="",Settings!$F$7&lt;&gt;"Y"),NA(),Capability!$P$5))</f>
        <v/>
      </c>
      <c r="CK13">
        <f>IF(CI$1="","",ROUND(CG$1+CI$1*9.5,4))</f>
        <v/>
      </c>
      <c r="CL13">
        <f>IF(CI$1="","",COUNTIFS('Data Entry'!$H$5:$H$10004,"&gt;="&amp;(CG$1+CI$1*9),'Data Entry'!$H$5:$H$10004,"&lt;"&amp;(CG$1+CI$1*10)))</f>
        <v/>
      </c>
      <c r="CM13">
        <f>IF(OR(Capability!$P$5="",CI$1=""),NA(),IF(AND(Capability!$P$5&gt;=(CG$1+CI$1*9),Capability!$P$5&lt;(CG$1+CI$1*10)),CK$1*1.15,NA()))</f>
        <v/>
      </c>
      <c r="CN13">
        <f>IF(OR(Capability!$Q$5="",CI$1=""),NA(),IF(AND(Capability!$Q$5&gt;=(CG$1+CI$1*9),Capability!$Q$5&lt;(CG$1+CI$1*10)),CK$1*1.15,NA()))</f>
        <v/>
      </c>
      <c r="CP13">
        <f>IF((CS$1+9)&gt;CQ$1,NA(),(CS$1+9)-4)</f>
        <v/>
      </c>
      <c r="CQ13">
        <f>IF((CS$1+9)&gt;CQ$1,NA(),INDEX('Data Entry'!$I$5:$I$10004,(CS$1+9)-4))</f>
        <v/>
      </c>
      <c r="CR13">
        <f>IF(ISNA(CP13),NA(),Capability!$K$6)</f>
        <v/>
      </c>
      <c r="CS13">
        <f>IF(ISNA(CP13),NA(),Capability!$J$6)</f>
        <v/>
      </c>
      <c r="CT13">
        <f>IF(ISNA(CP13),NA(),Capability!$L$6)</f>
        <v/>
      </c>
      <c r="CU13">
        <f>IF(OR(ISNA(CQ13),ISNA(CQ12)),NA(),ABS(CQ13-CQ12))</f>
        <v/>
      </c>
      <c r="CV13">
        <f>IF(ISNA(CP13),NA(),Capability!$N$6)</f>
        <v/>
      </c>
      <c r="CW13">
        <f>IF(ISNA(CP13),NA(),IF(OR(Capability!$Q$6="",Settings!$F$7&lt;&gt;"Y"),NA(),Capability!$Q$6))</f>
        <v/>
      </c>
      <c r="CX13">
        <f>IF(ISNA(CP13),NA(),IF(OR(Capability!$P$6="",Settings!$F$7&lt;&gt;"Y"),NA(),Capability!$P$6))</f>
        <v/>
      </c>
      <c r="CY13">
        <f>IF(CW$1="","",ROUND(CU$1+CW$1*9.5,4))</f>
        <v/>
      </c>
      <c r="CZ13">
        <f>IF(CW$1="","",COUNTIFS('Data Entry'!$I$5:$I$10004,"&gt;="&amp;(CU$1+CW$1*9),'Data Entry'!$I$5:$I$10004,"&lt;"&amp;(CU$1+CW$1*10)))</f>
        <v/>
      </c>
      <c r="DA13">
        <f>IF(OR(Capability!$P$6="",CW$1=""),NA(),IF(AND(Capability!$P$6&gt;=(CU$1+CW$1*9),Capability!$P$6&lt;(CU$1+CW$1*10)),CY$1*1.15,NA()))</f>
        <v/>
      </c>
      <c r="DB13">
        <f>IF(OR(Capability!$Q$6="",CW$1=""),NA(),IF(AND(Capability!$Q$6&gt;=(CU$1+CW$1*9),Capability!$Q$6&lt;(CU$1+CW$1*10)),CY$1*1.15,NA()))</f>
        <v/>
      </c>
      <c r="DD13">
        <f>IF((DG$1+9)&gt;DE$1,NA(),(DG$1+9)-4)</f>
        <v/>
      </c>
      <c r="DE13">
        <f>IF((DG$1+9)&gt;DE$1,NA(),INDEX('Data Entry'!$J$5:$J$10004,(DG$1+9)-4))</f>
        <v/>
      </c>
      <c r="DF13">
        <f>IF(ISNA(DD13),NA(),Capability!$K$7)</f>
        <v/>
      </c>
      <c r="DG13">
        <f>IF(ISNA(DD13),NA(),Capability!$J$7)</f>
        <v/>
      </c>
      <c r="DH13">
        <f>IF(ISNA(DD13),NA(),Capability!$L$7)</f>
        <v/>
      </c>
      <c r="DI13">
        <f>IF(OR(ISNA(DE13),ISNA(DE12)),NA(),ABS(DE13-DE12))</f>
        <v/>
      </c>
      <c r="DJ13">
        <f>IF(ISNA(DD13),NA(),Capability!$N$7)</f>
        <v/>
      </c>
      <c r="DK13">
        <f>IF(ISNA(DD13),NA(),IF(OR(Capability!$Q$7="",Settings!$F$7&lt;&gt;"Y"),NA(),Capability!$Q$7))</f>
        <v/>
      </c>
      <c r="DL13">
        <f>IF(ISNA(DD13),NA(),IF(OR(Capability!$P$7="",Settings!$F$7&lt;&gt;"Y"),NA(),Capability!$P$7))</f>
        <v/>
      </c>
      <c r="DM13">
        <f>IF(DK$1="","",ROUND(DI$1+DK$1*9.5,4))</f>
        <v/>
      </c>
      <c r="DN13">
        <f>IF(DK$1="","",COUNTIFS('Data Entry'!$J$5:$J$10004,"&gt;="&amp;(DI$1+DK$1*9),'Data Entry'!$J$5:$J$10004,"&lt;"&amp;(DI$1+DK$1*10)))</f>
        <v/>
      </c>
      <c r="DO13">
        <f>IF(OR(Capability!$P$7="",DK$1=""),NA(),IF(AND(Capability!$P$7&gt;=(DI$1+DK$1*9),Capability!$P$7&lt;(DI$1+DK$1*10)),DM$1*1.15,NA()))</f>
        <v/>
      </c>
      <c r="DP13">
        <f>IF(OR(Capability!$Q$7="",DK$1=""),NA(),IF(AND(Capability!$Q$7&gt;=(DI$1+DK$1*9),Capability!$Q$7&lt;(DI$1+DK$1*10)),DM$1*1.15,NA()))</f>
        <v/>
      </c>
      <c r="DR13">
        <f>IF((DU$1+9)&gt;DS$1,NA(),(DU$1+9)-4)</f>
        <v/>
      </c>
      <c r="DS13">
        <f>IF((DU$1+9)&gt;DS$1,NA(),INDEX('Data Entry'!$K$5:$K$10004,(DU$1+9)-4))</f>
        <v/>
      </c>
      <c r="DT13">
        <f>IF(ISNA(DR13),NA(),Capability!$K$8)</f>
        <v/>
      </c>
      <c r="DU13">
        <f>IF(ISNA(DR13),NA(),Capability!$J$8)</f>
        <v/>
      </c>
      <c r="DV13">
        <f>IF(ISNA(DR13),NA(),Capability!$L$8)</f>
        <v/>
      </c>
      <c r="DW13">
        <f>IF(OR(ISNA(DS13),ISNA(DS12)),NA(),ABS(DS13-DS12))</f>
        <v/>
      </c>
      <c r="DX13">
        <f>IF(ISNA(DR13),NA(),Capability!$N$8)</f>
        <v/>
      </c>
      <c r="DY13">
        <f>IF(ISNA(DR13),NA(),IF(OR(Capability!$Q$8="",Settings!$F$7&lt;&gt;"Y"),NA(),Capability!$Q$8))</f>
        <v/>
      </c>
      <c r="DZ13">
        <f>IF(ISNA(DR13),NA(),IF(OR(Capability!$P$8="",Settings!$F$7&lt;&gt;"Y"),NA(),Capability!$P$8))</f>
        <v/>
      </c>
      <c r="EA13">
        <f>IF(DY$1="","",ROUND(DW$1+DY$1*9.5,4))</f>
        <v/>
      </c>
      <c r="EB13">
        <f>IF(DY$1="","",COUNTIFS('Data Entry'!$K$5:$K$10004,"&gt;="&amp;(DW$1+DY$1*9),'Data Entry'!$K$5:$K$10004,"&lt;"&amp;(DW$1+DY$1*10)))</f>
        <v/>
      </c>
      <c r="EC13">
        <f>IF(OR(Capability!$P$8="",DY$1=""),NA(),IF(AND(Capability!$P$8&gt;=(DW$1+DY$1*9),Capability!$P$8&lt;(DW$1+DY$1*10)),EA$1*1.15,NA()))</f>
        <v/>
      </c>
      <c r="ED13">
        <f>IF(OR(Capability!$Q$8="",DY$1=""),NA(),IF(AND(Capability!$Q$8&gt;=(DW$1+DY$1*9),Capability!$Q$8&lt;(DW$1+DY$1*10)),EA$1*1.15,NA()))</f>
        <v/>
      </c>
      <c r="EF13">
        <f>IF((EI$1+9)&gt;EG$1,NA(),(EI$1+9)-4)</f>
        <v/>
      </c>
      <c r="EG13">
        <f>IF((EI$1+9)&gt;EG$1,NA(),INDEX('Data Entry'!$L$5:$L$10004,(EI$1+9)-4))</f>
        <v/>
      </c>
      <c r="EH13">
        <f>IF(ISNA(EF13),NA(),Capability!$K$9)</f>
        <v/>
      </c>
      <c r="EI13">
        <f>IF(ISNA(EF13),NA(),Capability!$J$9)</f>
        <v/>
      </c>
      <c r="EJ13">
        <f>IF(ISNA(EF13),NA(),Capability!$L$9)</f>
        <v/>
      </c>
      <c r="EK13">
        <f>IF(OR(ISNA(EG13),ISNA(EG12)),NA(),ABS(EG13-EG12))</f>
        <v/>
      </c>
      <c r="EL13">
        <f>IF(ISNA(EF13),NA(),Capability!$N$9)</f>
        <v/>
      </c>
      <c r="EM13">
        <f>IF(ISNA(EF13),NA(),IF(OR(Capability!$Q$9="",Settings!$F$7&lt;&gt;"Y"),NA(),Capability!$Q$9))</f>
        <v/>
      </c>
      <c r="EN13">
        <f>IF(ISNA(EF13),NA(),IF(OR(Capability!$P$9="",Settings!$F$7&lt;&gt;"Y"),NA(),Capability!$P$9))</f>
        <v/>
      </c>
      <c r="EO13">
        <f>IF(EM$1="","",ROUND(EK$1+EM$1*9.5,4))</f>
        <v/>
      </c>
      <c r="EP13">
        <f>IF(EM$1="","",COUNTIFS('Data Entry'!$L$5:$L$10004,"&gt;="&amp;(EK$1+EM$1*9),'Data Entry'!$L$5:$L$10004,"&lt;"&amp;(EK$1+EM$1*10)))</f>
        <v/>
      </c>
      <c r="EQ13">
        <f>IF(OR(Capability!$P$9="",EM$1=""),NA(),IF(AND(Capability!$P$9&gt;=(EK$1+EM$1*9),Capability!$P$9&lt;(EK$1+EM$1*10)),EO$1*1.15,NA()))</f>
        <v/>
      </c>
      <c r="ER13">
        <f>IF(OR(Capability!$Q$9="",EM$1=""),NA(),IF(AND(Capability!$Q$9&gt;=(EK$1+EM$1*9),Capability!$Q$9&lt;(EK$1+EM$1*10)),EO$1*1.15,NA()))</f>
        <v/>
      </c>
      <c r="ET13">
        <f>IF((EW$1+9)&gt;EU$1,NA(),(EW$1+9)-4)</f>
        <v/>
      </c>
      <c r="EU13">
        <f>IF((EW$1+9)&gt;EU$1,NA(),INDEX('Data Entry'!$M$5:$M$10004,(EW$1+9)-4))</f>
        <v/>
      </c>
      <c r="EV13">
        <f>IF(ISNA(ET13),NA(),Capability!$K$10)</f>
        <v/>
      </c>
      <c r="EW13">
        <f>IF(ISNA(ET13),NA(),Capability!$J$10)</f>
        <v/>
      </c>
      <c r="EX13">
        <f>IF(ISNA(ET13),NA(),Capability!$L$10)</f>
        <v/>
      </c>
      <c r="EY13">
        <f>IF(OR(ISNA(EU13),ISNA(EU12)),NA(),ABS(EU13-EU12))</f>
        <v/>
      </c>
      <c r="EZ13">
        <f>IF(ISNA(ET13),NA(),Capability!$N$10)</f>
        <v/>
      </c>
      <c r="FA13">
        <f>IF(ISNA(ET13),NA(),IF(OR(Capability!$Q$10="",Settings!$F$7&lt;&gt;"Y"),NA(),Capability!$Q$10))</f>
        <v/>
      </c>
      <c r="FB13">
        <f>IF(ISNA(ET13),NA(),IF(OR(Capability!$P$10="",Settings!$F$7&lt;&gt;"Y"),NA(),Capability!$P$10))</f>
        <v/>
      </c>
      <c r="FC13">
        <f>IF(FA$1="","",ROUND(EY$1+FA$1*9.5,4))</f>
        <v/>
      </c>
      <c r="FD13">
        <f>IF(FA$1="","",COUNTIFS('Data Entry'!$M$5:$M$10004,"&gt;="&amp;(EY$1+FA$1*9),'Data Entry'!$M$5:$M$10004,"&lt;"&amp;(EY$1+FA$1*10)))</f>
        <v/>
      </c>
      <c r="FE13">
        <f>IF(OR(Capability!$P$10="",FA$1=""),NA(),IF(AND(Capability!$P$10&gt;=(EY$1+FA$1*9),Capability!$P$10&lt;(EY$1+FA$1*10)),FC$1*1.15,NA()))</f>
        <v/>
      </c>
      <c r="FF13">
        <f>IF(OR(Capability!$Q$10="",FA$1=""),NA(),IF(AND(Capability!$Q$10&gt;=(EY$1+FA$1*9),Capability!$Q$10&lt;(EY$1+FA$1*10)),FC$1*1.15,NA()))</f>
        <v/>
      </c>
      <c r="FH13">
        <f>IF((FK$1+9)&gt;FI$1,NA(),(FK$1+9)-4)</f>
        <v/>
      </c>
      <c r="FI13">
        <f>IF((FK$1+9)&gt;FI$1,NA(),INDEX('Data Entry'!$N$5:$N$10004,(FK$1+9)-4))</f>
        <v/>
      </c>
      <c r="FJ13">
        <f>IF(ISNA(FH13),NA(),Capability!$K$11)</f>
        <v/>
      </c>
      <c r="FK13">
        <f>IF(ISNA(FH13),NA(),Capability!$J$11)</f>
        <v/>
      </c>
      <c r="FL13">
        <f>IF(ISNA(FH13),NA(),Capability!$L$11)</f>
        <v/>
      </c>
      <c r="FM13">
        <f>IF(OR(ISNA(FI13),ISNA(FI12)),NA(),ABS(FI13-FI12))</f>
        <v/>
      </c>
      <c r="FN13">
        <f>IF(ISNA(FH13),NA(),Capability!$N$11)</f>
        <v/>
      </c>
      <c r="FO13">
        <f>IF(ISNA(FH13),NA(),IF(OR(Capability!$Q$11="",Settings!$F$7&lt;&gt;"Y"),NA(),Capability!$Q$11))</f>
        <v/>
      </c>
      <c r="FP13">
        <f>IF(ISNA(FH13),NA(),IF(OR(Capability!$P$11="",Settings!$F$7&lt;&gt;"Y"),NA(),Capability!$P$11))</f>
        <v/>
      </c>
      <c r="FQ13">
        <f>IF(FO$1="","",ROUND(FM$1+FO$1*9.5,4))</f>
        <v/>
      </c>
      <c r="FR13">
        <f>IF(FO$1="","",COUNTIFS('Data Entry'!$N$5:$N$10004,"&gt;="&amp;(FM$1+FO$1*9),'Data Entry'!$N$5:$N$10004,"&lt;"&amp;(FM$1+FO$1*10)))</f>
        <v/>
      </c>
      <c r="FS13">
        <f>IF(OR(Capability!$P$11="",FO$1=""),NA(),IF(AND(Capability!$P$11&gt;=(FM$1+FO$1*9),Capability!$P$11&lt;(FM$1+FO$1*10)),FQ$1*1.15,NA()))</f>
        <v/>
      </c>
      <c r="FT13">
        <f>IF(OR(Capability!$Q$11="",FO$1=""),NA(),IF(AND(Capability!$Q$11&gt;=(FM$1+FO$1*9),Capability!$Q$11&lt;(FM$1+FO$1*10)),FQ$1*1.15,NA()))</f>
        <v/>
      </c>
      <c r="FV13">
        <f>IF((FY$1+9)&gt;FW$1,NA(),(FY$1+9)-4)</f>
        <v/>
      </c>
      <c r="FW13">
        <f>IF((FY$1+9)&gt;FW$1,NA(),INDEX('Data Entry'!$O$5:$O$10004,(FY$1+9)-4))</f>
        <v/>
      </c>
      <c r="FX13">
        <f>IF(ISNA(FV13),NA(),Capability!$K$12)</f>
        <v/>
      </c>
      <c r="FY13">
        <f>IF(ISNA(FV13),NA(),Capability!$J$12)</f>
        <v/>
      </c>
      <c r="FZ13">
        <f>IF(ISNA(FV13),NA(),Capability!$L$12)</f>
        <v/>
      </c>
      <c r="GA13">
        <f>IF(OR(ISNA(FW13),ISNA(FW12)),NA(),ABS(FW13-FW12))</f>
        <v/>
      </c>
      <c r="GB13">
        <f>IF(ISNA(FV13),NA(),Capability!$N$12)</f>
        <v/>
      </c>
      <c r="GC13">
        <f>IF(ISNA(FV13),NA(),IF(OR(Capability!$Q$12="",Settings!$F$7&lt;&gt;"Y"),NA(),Capability!$Q$12))</f>
        <v/>
      </c>
      <c r="GD13">
        <f>IF(ISNA(FV13),NA(),IF(OR(Capability!$P$12="",Settings!$F$7&lt;&gt;"Y"),NA(),Capability!$P$12))</f>
        <v/>
      </c>
      <c r="GE13">
        <f>IF(GC$1="","",ROUND(GA$1+GC$1*9.5,4))</f>
        <v/>
      </c>
      <c r="GF13">
        <f>IF(GC$1="","",COUNTIFS('Data Entry'!$O$5:$O$10004,"&gt;="&amp;(GA$1+GC$1*9),'Data Entry'!$O$5:$O$10004,"&lt;"&amp;(GA$1+GC$1*10)))</f>
        <v/>
      </c>
      <c r="GG13">
        <f>IF(OR(Capability!$P$12="",GC$1=""),NA(),IF(AND(Capability!$P$12&gt;=(GA$1+GC$1*9),Capability!$P$12&lt;(GA$1+GC$1*10)),GE$1*1.15,NA()))</f>
        <v/>
      </c>
      <c r="GH13">
        <f>IF(OR(Capability!$Q$12="",GC$1=""),NA(),IF(AND(Capability!$Q$12&gt;=(GA$1+GC$1*9),Capability!$Q$12&lt;(GA$1+GC$1*10)),GE$1*1.15,NA()))</f>
        <v/>
      </c>
      <c r="GJ13">
        <f>IF((GM$1+9)&gt;GK$1,NA(),(GM$1+9)-4)</f>
        <v/>
      </c>
      <c r="GK13">
        <f>IF((GM$1+9)&gt;GK$1,NA(),INDEX('Data Entry'!$P$5:$P$10004,(GM$1+9)-4))</f>
        <v/>
      </c>
      <c r="GL13">
        <f>IF(ISNA(GJ13),NA(),Capability!$K$13)</f>
        <v/>
      </c>
      <c r="GM13">
        <f>IF(ISNA(GJ13),NA(),Capability!$J$13)</f>
        <v/>
      </c>
      <c r="GN13">
        <f>IF(ISNA(GJ13),NA(),Capability!$L$13)</f>
        <v/>
      </c>
      <c r="GO13">
        <f>IF(OR(ISNA(GK13),ISNA(GK12)),NA(),ABS(GK13-GK12))</f>
        <v/>
      </c>
      <c r="GP13">
        <f>IF(ISNA(GJ13),NA(),Capability!$N$13)</f>
        <v/>
      </c>
      <c r="GQ13">
        <f>IF(ISNA(GJ13),NA(),IF(OR(Capability!$Q$13="",Settings!$F$7&lt;&gt;"Y"),NA(),Capability!$Q$13))</f>
        <v/>
      </c>
      <c r="GR13">
        <f>IF(ISNA(GJ13),NA(),IF(OR(Capability!$P$13="",Settings!$F$7&lt;&gt;"Y"),NA(),Capability!$P$13))</f>
        <v/>
      </c>
      <c r="GS13">
        <f>IF(GQ$1="","",ROUND(GO$1+GQ$1*9.5,4))</f>
        <v/>
      </c>
      <c r="GT13">
        <f>IF(GQ$1="","",COUNTIFS('Data Entry'!$P$5:$P$10004,"&gt;="&amp;(GO$1+GQ$1*9),'Data Entry'!$P$5:$P$10004,"&lt;"&amp;(GO$1+GQ$1*10)))</f>
        <v/>
      </c>
      <c r="GU13">
        <f>IF(OR(Capability!$P$13="",GQ$1=""),NA(),IF(AND(Capability!$P$13&gt;=(GO$1+GQ$1*9),Capability!$P$13&lt;(GO$1+GQ$1*10)),GS$1*1.15,NA()))</f>
        <v/>
      </c>
      <c r="GV13">
        <f>IF(OR(Capability!$Q$13="",GQ$1=""),NA(),IF(AND(Capability!$Q$13&gt;=(GO$1+GQ$1*9),Capability!$Q$13&lt;(GO$1+GQ$1*10)),GS$1*1.15,NA()))</f>
        <v/>
      </c>
      <c r="GX13">
        <f>IF((HA$1+9)&gt;GY$1,NA(),(HA$1+9)-4)</f>
        <v/>
      </c>
      <c r="GY13">
        <f>IF((HA$1+9)&gt;GY$1,NA(),INDEX('Data Entry'!$Q$5:$Q$10004,(HA$1+9)-4))</f>
        <v/>
      </c>
      <c r="GZ13">
        <f>IF(ISNA(GX13),NA(),Capability!$K$14)</f>
        <v/>
      </c>
      <c r="HA13">
        <f>IF(ISNA(GX13),NA(),Capability!$J$14)</f>
        <v/>
      </c>
      <c r="HB13">
        <f>IF(ISNA(GX13),NA(),Capability!$L$14)</f>
        <v/>
      </c>
      <c r="HC13">
        <f>IF(OR(ISNA(GY13),ISNA(GY12)),NA(),ABS(GY13-GY12))</f>
        <v/>
      </c>
      <c r="HD13">
        <f>IF(ISNA(GX13),NA(),Capability!$N$14)</f>
        <v/>
      </c>
      <c r="HE13">
        <f>IF(ISNA(GX13),NA(),IF(OR(Capability!$Q$14="",Settings!$F$7&lt;&gt;"Y"),NA(),Capability!$Q$14))</f>
        <v/>
      </c>
      <c r="HF13">
        <f>IF(ISNA(GX13),NA(),IF(OR(Capability!$P$14="",Settings!$F$7&lt;&gt;"Y"),NA(),Capability!$P$14))</f>
        <v/>
      </c>
      <c r="HG13">
        <f>IF(HE$1="","",ROUND(HC$1+HE$1*9.5,4))</f>
        <v/>
      </c>
      <c r="HH13">
        <f>IF(HE$1="","",COUNTIFS('Data Entry'!$Q$5:$Q$10004,"&gt;="&amp;(HC$1+HE$1*9),'Data Entry'!$Q$5:$Q$10004,"&lt;"&amp;(HC$1+HE$1*10)))</f>
        <v/>
      </c>
      <c r="HI13">
        <f>IF(OR(Capability!$P$14="",HE$1=""),NA(),IF(AND(Capability!$P$14&gt;=(HC$1+HE$1*9),Capability!$P$14&lt;(HC$1+HE$1*10)),HG$1*1.15,NA()))</f>
        <v/>
      </c>
      <c r="HJ13">
        <f>IF(OR(Capability!$Q$14="",HE$1=""),NA(),IF(AND(Capability!$Q$14&gt;=(HC$1+HE$1*9),Capability!$Q$14&lt;(HC$1+HE$1*10)),HG$1*1.15,NA()))</f>
        <v/>
      </c>
    </row>
    <row r="14">
      <c r="A14" s="35" t="inlineStr">
        <is>
          <t>Std Dev (overall)</t>
        </is>
      </c>
      <c r="B14" s="23">
        <f>Capability!I5</f>
        <v/>
      </c>
      <c r="CB14">
        <f>IF((CE$1+10)&gt;CC$1,NA(),(CE$1+10)-4)</f>
        <v/>
      </c>
      <c r="CC14">
        <f>IF((CE$1+10)&gt;CC$1,NA(),INDEX('Data Entry'!$H$5:$H$10004,(CE$1+10)-4))</f>
        <v/>
      </c>
      <c r="CD14">
        <f>IF(ISNA(CB14),NA(),Capability!$K$5)</f>
        <v/>
      </c>
      <c r="CE14">
        <f>IF(ISNA(CB14),NA(),Capability!$J$5)</f>
        <v/>
      </c>
      <c r="CF14">
        <f>IF(ISNA(CB14),NA(),Capability!$L$5)</f>
        <v/>
      </c>
      <c r="CG14">
        <f>IF(OR(ISNA(CC14),ISNA(CC13)),NA(),ABS(CC14-CC13))</f>
        <v/>
      </c>
      <c r="CH14">
        <f>IF(ISNA(CB14),NA(),Capability!$N$5)</f>
        <v/>
      </c>
      <c r="CI14">
        <f>IF(ISNA(CB14),NA(),IF(OR(Capability!$Q$5="",Settings!$F$7&lt;&gt;"Y"),NA(),Capability!$Q$5))</f>
        <v/>
      </c>
      <c r="CJ14">
        <f>IF(ISNA(CB14),NA(),IF(OR(Capability!$P$5="",Settings!$F$7&lt;&gt;"Y"),NA(),Capability!$P$5))</f>
        <v/>
      </c>
      <c r="CK14">
        <f>IF(CI$1="","",ROUND(CG$1+CI$1*10.5,4))</f>
        <v/>
      </c>
      <c r="CL14">
        <f>IF(CI$1="","",COUNTIFS('Data Entry'!$H$5:$H$10004,"&gt;="&amp;(CG$1+CI$1*10),'Data Entry'!$H$5:$H$10004,"&lt;"&amp;(CG$1+CI$1*11)))</f>
        <v/>
      </c>
      <c r="CM14">
        <f>IF(OR(Capability!$P$5="",CI$1=""),NA(),IF(AND(Capability!$P$5&gt;=(CG$1+CI$1*10),Capability!$P$5&lt;(CG$1+CI$1*11)),CK$1*1.15,NA()))</f>
        <v/>
      </c>
      <c r="CN14">
        <f>IF(OR(Capability!$Q$5="",CI$1=""),NA(),IF(AND(Capability!$Q$5&gt;=(CG$1+CI$1*10),Capability!$Q$5&lt;(CG$1+CI$1*11)),CK$1*1.15,NA()))</f>
        <v/>
      </c>
      <c r="CP14">
        <f>IF((CS$1+10)&gt;CQ$1,NA(),(CS$1+10)-4)</f>
        <v/>
      </c>
      <c r="CQ14">
        <f>IF((CS$1+10)&gt;CQ$1,NA(),INDEX('Data Entry'!$I$5:$I$10004,(CS$1+10)-4))</f>
        <v/>
      </c>
      <c r="CR14">
        <f>IF(ISNA(CP14),NA(),Capability!$K$6)</f>
        <v/>
      </c>
      <c r="CS14">
        <f>IF(ISNA(CP14),NA(),Capability!$J$6)</f>
        <v/>
      </c>
      <c r="CT14">
        <f>IF(ISNA(CP14),NA(),Capability!$L$6)</f>
        <v/>
      </c>
      <c r="CU14">
        <f>IF(OR(ISNA(CQ14),ISNA(CQ13)),NA(),ABS(CQ14-CQ13))</f>
        <v/>
      </c>
      <c r="CV14">
        <f>IF(ISNA(CP14),NA(),Capability!$N$6)</f>
        <v/>
      </c>
      <c r="CW14">
        <f>IF(ISNA(CP14),NA(),IF(OR(Capability!$Q$6="",Settings!$F$7&lt;&gt;"Y"),NA(),Capability!$Q$6))</f>
        <v/>
      </c>
      <c r="CX14">
        <f>IF(ISNA(CP14),NA(),IF(OR(Capability!$P$6="",Settings!$F$7&lt;&gt;"Y"),NA(),Capability!$P$6))</f>
        <v/>
      </c>
      <c r="CY14">
        <f>IF(CW$1="","",ROUND(CU$1+CW$1*10.5,4))</f>
        <v/>
      </c>
      <c r="CZ14">
        <f>IF(CW$1="","",COUNTIFS('Data Entry'!$I$5:$I$10004,"&gt;="&amp;(CU$1+CW$1*10),'Data Entry'!$I$5:$I$10004,"&lt;"&amp;(CU$1+CW$1*11)))</f>
        <v/>
      </c>
      <c r="DA14">
        <f>IF(OR(Capability!$P$6="",CW$1=""),NA(),IF(AND(Capability!$P$6&gt;=(CU$1+CW$1*10),Capability!$P$6&lt;(CU$1+CW$1*11)),CY$1*1.15,NA()))</f>
        <v/>
      </c>
      <c r="DB14">
        <f>IF(OR(Capability!$Q$6="",CW$1=""),NA(),IF(AND(Capability!$Q$6&gt;=(CU$1+CW$1*10),Capability!$Q$6&lt;(CU$1+CW$1*11)),CY$1*1.15,NA()))</f>
        <v/>
      </c>
      <c r="DD14">
        <f>IF((DG$1+10)&gt;DE$1,NA(),(DG$1+10)-4)</f>
        <v/>
      </c>
      <c r="DE14">
        <f>IF((DG$1+10)&gt;DE$1,NA(),INDEX('Data Entry'!$J$5:$J$10004,(DG$1+10)-4))</f>
        <v/>
      </c>
      <c r="DF14">
        <f>IF(ISNA(DD14),NA(),Capability!$K$7)</f>
        <v/>
      </c>
      <c r="DG14">
        <f>IF(ISNA(DD14),NA(),Capability!$J$7)</f>
        <v/>
      </c>
      <c r="DH14">
        <f>IF(ISNA(DD14),NA(),Capability!$L$7)</f>
        <v/>
      </c>
      <c r="DI14">
        <f>IF(OR(ISNA(DE14),ISNA(DE13)),NA(),ABS(DE14-DE13))</f>
        <v/>
      </c>
      <c r="DJ14">
        <f>IF(ISNA(DD14),NA(),Capability!$N$7)</f>
        <v/>
      </c>
      <c r="DK14">
        <f>IF(ISNA(DD14),NA(),IF(OR(Capability!$Q$7="",Settings!$F$7&lt;&gt;"Y"),NA(),Capability!$Q$7))</f>
        <v/>
      </c>
      <c r="DL14">
        <f>IF(ISNA(DD14),NA(),IF(OR(Capability!$P$7="",Settings!$F$7&lt;&gt;"Y"),NA(),Capability!$P$7))</f>
        <v/>
      </c>
      <c r="DM14">
        <f>IF(DK$1="","",ROUND(DI$1+DK$1*10.5,4))</f>
        <v/>
      </c>
      <c r="DN14">
        <f>IF(DK$1="","",COUNTIFS('Data Entry'!$J$5:$J$10004,"&gt;="&amp;(DI$1+DK$1*10),'Data Entry'!$J$5:$J$10004,"&lt;"&amp;(DI$1+DK$1*11)))</f>
        <v/>
      </c>
      <c r="DO14">
        <f>IF(OR(Capability!$P$7="",DK$1=""),NA(),IF(AND(Capability!$P$7&gt;=(DI$1+DK$1*10),Capability!$P$7&lt;(DI$1+DK$1*11)),DM$1*1.15,NA()))</f>
        <v/>
      </c>
      <c r="DP14">
        <f>IF(OR(Capability!$Q$7="",DK$1=""),NA(),IF(AND(Capability!$Q$7&gt;=(DI$1+DK$1*10),Capability!$Q$7&lt;(DI$1+DK$1*11)),DM$1*1.15,NA()))</f>
        <v/>
      </c>
      <c r="DR14">
        <f>IF((DU$1+10)&gt;DS$1,NA(),(DU$1+10)-4)</f>
        <v/>
      </c>
      <c r="DS14">
        <f>IF((DU$1+10)&gt;DS$1,NA(),INDEX('Data Entry'!$K$5:$K$10004,(DU$1+10)-4))</f>
        <v/>
      </c>
      <c r="DT14">
        <f>IF(ISNA(DR14),NA(),Capability!$K$8)</f>
        <v/>
      </c>
      <c r="DU14">
        <f>IF(ISNA(DR14),NA(),Capability!$J$8)</f>
        <v/>
      </c>
      <c r="DV14">
        <f>IF(ISNA(DR14),NA(),Capability!$L$8)</f>
        <v/>
      </c>
      <c r="DW14">
        <f>IF(OR(ISNA(DS14),ISNA(DS13)),NA(),ABS(DS14-DS13))</f>
        <v/>
      </c>
      <c r="DX14">
        <f>IF(ISNA(DR14),NA(),Capability!$N$8)</f>
        <v/>
      </c>
      <c r="DY14">
        <f>IF(ISNA(DR14),NA(),IF(OR(Capability!$Q$8="",Settings!$F$7&lt;&gt;"Y"),NA(),Capability!$Q$8))</f>
        <v/>
      </c>
      <c r="DZ14">
        <f>IF(ISNA(DR14),NA(),IF(OR(Capability!$P$8="",Settings!$F$7&lt;&gt;"Y"),NA(),Capability!$P$8))</f>
        <v/>
      </c>
      <c r="EA14">
        <f>IF(DY$1="","",ROUND(DW$1+DY$1*10.5,4))</f>
        <v/>
      </c>
      <c r="EB14">
        <f>IF(DY$1="","",COUNTIFS('Data Entry'!$K$5:$K$10004,"&gt;="&amp;(DW$1+DY$1*10),'Data Entry'!$K$5:$K$10004,"&lt;"&amp;(DW$1+DY$1*11)))</f>
        <v/>
      </c>
      <c r="EC14">
        <f>IF(OR(Capability!$P$8="",DY$1=""),NA(),IF(AND(Capability!$P$8&gt;=(DW$1+DY$1*10),Capability!$P$8&lt;(DW$1+DY$1*11)),EA$1*1.15,NA()))</f>
        <v/>
      </c>
      <c r="ED14">
        <f>IF(OR(Capability!$Q$8="",DY$1=""),NA(),IF(AND(Capability!$Q$8&gt;=(DW$1+DY$1*10),Capability!$Q$8&lt;(DW$1+DY$1*11)),EA$1*1.15,NA()))</f>
        <v/>
      </c>
      <c r="EF14">
        <f>IF((EI$1+10)&gt;EG$1,NA(),(EI$1+10)-4)</f>
        <v/>
      </c>
      <c r="EG14">
        <f>IF((EI$1+10)&gt;EG$1,NA(),INDEX('Data Entry'!$L$5:$L$10004,(EI$1+10)-4))</f>
        <v/>
      </c>
      <c r="EH14">
        <f>IF(ISNA(EF14),NA(),Capability!$K$9)</f>
        <v/>
      </c>
      <c r="EI14">
        <f>IF(ISNA(EF14),NA(),Capability!$J$9)</f>
        <v/>
      </c>
      <c r="EJ14">
        <f>IF(ISNA(EF14),NA(),Capability!$L$9)</f>
        <v/>
      </c>
      <c r="EK14">
        <f>IF(OR(ISNA(EG14),ISNA(EG13)),NA(),ABS(EG14-EG13))</f>
        <v/>
      </c>
      <c r="EL14">
        <f>IF(ISNA(EF14),NA(),Capability!$N$9)</f>
        <v/>
      </c>
      <c r="EM14">
        <f>IF(ISNA(EF14),NA(),IF(OR(Capability!$Q$9="",Settings!$F$7&lt;&gt;"Y"),NA(),Capability!$Q$9))</f>
        <v/>
      </c>
      <c r="EN14">
        <f>IF(ISNA(EF14),NA(),IF(OR(Capability!$P$9="",Settings!$F$7&lt;&gt;"Y"),NA(),Capability!$P$9))</f>
        <v/>
      </c>
      <c r="EO14">
        <f>IF(EM$1="","",ROUND(EK$1+EM$1*10.5,4))</f>
        <v/>
      </c>
      <c r="EP14">
        <f>IF(EM$1="","",COUNTIFS('Data Entry'!$L$5:$L$10004,"&gt;="&amp;(EK$1+EM$1*10),'Data Entry'!$L$5:$L$10004,"&lt;"&amp;(EK$1+EM$1*11)))</f>
        <v/>
      </c>
      <c r="EQ14">
        <f>IF(OR(Capability!$P$9="",EM$1=""),NA(),IF(AND(Capability!$P$9&gt;=(EK$1+EM$1*10),Capability!$P$9&lt;(EK$1+EM$1*11)),EO$1*1.15,NA()))</f>
        <v/>
      </c>
      <c r="ER14">
        <f>IF(OR(Capability!$Q$9="",EM$1=""),NA(),IF(AND(Capability!$Q$9&gt;=(EK$1+EM$1*10),Capability!$Q$9&lt;(EK$1+EM$1*11)),EO$1*1.15,NA()))</f>
        <v/>
      </c>
      <c r="ET14">
        <f>IF((EW$1+10)&gt;EU$1,NA(),(EW$1+10)-4)</f>
        <v/>
      </c>
      <c r="EU14">
        <f>IF((EW$1+10)&gt;EU$1,NA(),INDEX('Data Entry'!$M$5:$M$10004,(EW$1+10)-4))</f>
        <v/>
      </c>
      <c r="EV14">
        <f>IF(ISNA(ET14),NA(),Capability!$K$10)</f>
        <v/>
      </c>
      <c r="EW14">
        <f>IF(ISNA(ET14),NA(),Capability!$J$10)</f>
        <v/>
      </c>
      <c r="EX14">
        <f>IF(ISNA(ET14),NA(),Capability!$L$10)</f>
        <v/>
      </c>
      <c r="EY14">
        <f>IF(OR(ISNA(EU14),ISNA(EU13)),NA(),ABS(EU14-EU13))</f>
        <v/>
      </c>
      <c r="EZ14">
        <f>IF(ISNA(ET14),NA(),Capability!$N$10)</f>
        <v/>
      </c>
      <c r="FA14">
        <f>IF(ISNA(ET14),NA(),IF(OR(Capability!$Q$10="",Settings!$F$7&lt;&gt;"Y"),NA(),Capability!$Q$10))</f>
        <v/>
      </c>
      <c r="FB14">
        <f>IF(ISNA(ET14),NA(),IF(OR(Capability!$P$10="",Settings!$F$7&lt;&gt;"Y"),NA(),Capability!$P$10))</f>
        <v/>
      </c>
      <c r="FC14">
        <f>IF(FA$1="","",ROUND(EY$1+FA$1*10.5,4))</f>
        <v/>
      </c>
      <c r="FD14">
        <f>IF(FA$1="","",COUNTIFS('Data Entry'!$M$5:$M$10004,"&gt;="&amp;(EY$1+FA$1*10),'Data Entry'!$M$5:$M$10004,"&lt;"&amp;(EY$1+FA$1*11)))</f>
        <v/>
      </c>
      <c r="FE14">
        <f>IF(OR(Capability!$P$10="",FA$1=""),NA(),IF(AND(Capability!$P$10&gt;=(EY$1+FA$1*10),Capability!$P$10&lt;(EY$1+FA$1*11)),FC$1*1.15,NA()))</f>
        <v/>
      </c>
      <c r="FF14">
        <f>IF(OR(Capability!$Q$10="",FA$1=""),NA(),IF(AND(Capability!$Q$10&gt;=(EY$1+FA$1*10),Capability!$Q$10&lt;(EY$1+FA$1*11)),FC$1*1.15,NA()))</f>
        <v/>
      </c>
      <c r="FH14">
        <f>IF((FK$1+10)&gt;FI$1,NA(),(FK$1+10)-4)</f>
        <v/>
      </c>
      <c r="FI14">
        <f>IF((FK$1+10)&gt;FI$1,NA(),INDEX('Data Entry'!$N$5:$N$10004,(FK$1+10)-4))</f>
        <v/>
      </c>
      <c r="FJ14">
        <f>IF(ISNA(FH14),NA(),Capability!$K$11)</f>
        <v/>
      </c>
      <c r="FK14">
        <f>IF(ISNA(FH14),NA(),Capability!$J$11)</f>
        <v/>
      </c>
      <c r="FL14">
        <f>IF(ISNA(FH14),NA(),Capability!$L$11)</f>
        <v/>
      </c>
      <c r="FM14">
        <f>IF(OR(ISNA(FI14),ISNA(FI13)),NA(),ABS(FI14-FI13))</f>
        <v/>
      </c>
      <c r="FN14">
        <f>IF(ISNA(FH14),NA(),Capability!$N$11)</f>
        <v/>
      </c>
      <c r="FO14">
        <f>IF(ISNA(FH14),NA(),IF(OR(Capability!$Q$11="",Settings!$F$7&lt;&gt;"Y"),NA(),Capability!$Q$11))</f>
        <v/>
      </c>
      <c r="FP14">
        <f>IF(ISNA(FH14),NA(),IF(OR(Capability!$P$11="",Settings!$F$7&lt;&gt;"Y"),NA(),Capability!$P$11))</f>
        <v/>
      </c>
      <c r="FQ14">
        <f>IF(FO$1="","",ROUND(FM$1+FO$1*10.5,4))</f>
        <v/>
      </c>
      <c r="FR14">
        <f>IF(FO$1="","",COUNTIFS('Data Entry'!$N$5:$N$10004,"&gt;="&amp;(FM$1+FO$1*10),'Data Entry'!$N$5:$N$10004,"&lt;"&amp;(FM$1+FO$1*11)))</f>
        <v/>
      </c>
      <c r="FS14">
        <f>IF(OR(Capability!$P$11="",FO$1=""),NA(),IF(AND(Capability!$P$11&gt;=(FM$1+FO$1*10),Capability!$P$11&lt;(FM$1+FO$1*11)),FQ$1*1.15,NA()))</f>
        <v/>
      </c>
      <c r="FT14">
        <f>IF(OR(Capability!$Q$11="",FO$1=""),NA(),IF(AND(Capability!$Q$11&gt;=(FM$1+FO$1*10),Capability!$Q$11&lt;(FM$1+FO$1*11)),FQ$1*1.15,NA()))</f>
        <v/>
      </c>
      <c r="FV14">
        <f>IF((FY$1+10)&gt;FW$1,NA(),(FY$1+10)-4)</f>
        <v/>
      </c>
      <c r="FW14">
        <f>IF((FY$1+10)&gt;FW$1,NA(),INDEX('Data Entry'!$O$5:$O$10004,(FY$1+10)-4))</f>
        <v/>
      </c>
      <c r="FX14">
        <f>IF(ISNA(FV14),NA(),Capability!$K$12)</f>
        <v/>
      </c>
      <c r="FY14">
        <f>IF(ISNA(FV14),NA(),Capability!$J$12)</f>
        <v/>
      </c>
      <c r="FZ14">
        <f>IF(ISNA(FV14),NA(),Capability!$L$12)</f>
        <v/>
      </c>
      <c r="GA14">
        <f>IF(OR(ISNA(FW14),ISNA(FW13)),NA(),ABS(FW14-FW13))</f>
        <v/>
      </c>
      <c r="GB14">
        <f>IF(ISNA(FV14),NA(),Capability!$N$12)</f>
        <v/>
      </c>
      <c r="GC14">
        <f>IF(ISNA(FV14),NA(),IF(OR(Capability!$Q$12="",Settings!$F$7&lt;&gt;"Y"),NA(),Capability!$Q$12))</f>
        <v/>
      </c>
      <c r="GD14">
        <f>IF(ISNA(FV14),NA(),IF(OR(Capability!$P$12="",Settings!$F$7&lt;&gt;"Y"),NA(),Capability!$P$12))</f>
        <v/>
      </c>
      <c r="GE14">
        <f>IF(GC$1="","",ROUND(GA$1+GC$1*10.5,4))</f>
        <v/>
      </c>
      <c r="GF14">
        <f>IF(GC$1="","",COUNTIFS('Data Entry'!$O$5:$O$10004,"&gt;="&amp;(GA$1+GC$1*10),'Data Entry'!$O$5:$O$10004,"&lt;"&amp;(GA$1+GC$1*11)))</f>
        <v/>
      </c>
      <c r="GG14">
        <f>IF(OR(Capability!$P$12="",GC$1=""),NA(),IF(AND(Capability!$P$12&gt;=(GA$1+GC$1*10),Capability!$P$12&lt;(GA$1+GC$1*11)),GE$1*1.15,NA()))</f>
        <v/>
      </c>
      <c r="GH14">
        <f>IF(OR(Capability!$Q$12="",GC$1=""),NA(),IF(AND(Capability!$Q$12&gt;=(GA$1+GC$1*10),Capability!$Q$12&lt;(GA$1+GC$1*11)),GE$1*1.15,NA()))</f>
        <v/>
      </c>
      <c r="GJ14">
        <f>IF((GM$1+10)&gt;GK$1,NA(),(GM$1+10)-4)</f>
        <v/>
      </c>
      <c r="GK14">
        <f>IF((GM$1+10)&gt;GK$1,NA(),INDEX('Data Entry'!$P$5:$P$10004,(GM$1+10)-4))</f>
        <v/>
      </c>
      <c r="GL14">
        <f>IF(ISNA(GJ14),NA(),Capability!$K$13)</f>
        <v/>
      </c>
      <c r="GM14">
        <f>IF(ISNA(GJ14),NA(),Capability!$J$13)</f>
        <v/>
      </c>
      <c r="GN14">
        <f>IF(ISNA(GJ14),NA(),Capability!$L$13)</f>
        <v/>
      </c>
      <c r="GO14">
        <f>IF(OR(ISNA(GK14),ISNA(GK13)),NA(),ABS(GK14-GK13))</f>
        <v/>
      </c>
      <c r="GP14">
        <f>IF(ISNA(GJ14),NA(),Capability!$N$13)</f>
        <v/>
      </c>
      <c r="GQ14">
        <f>IF(ISNA(GJ14),NA(),IF(OR(Capability!$Q$13="",Settings!$F$7&lt;&gt;"Y"),NA(),Capability!$Q$13))</f>
        <v/>
      </c>
      <c r="GR14">
        <f>IF(ISNA(GJ14),NA(),IF(OR(Capability!$P$13="",Settings!$F$7&lt;&gt;"Y"),NA(),Capability!$P$13))</f>
        <v/>
      </c>
      <c r="GS14">
        <f>IF(GQ$1="","",ROUND(GO$1+GQ$1*10.5,4))</f>
        <v/>
      </c>
      <c r="GT14">
        <f>IF(GQ$1="","",COUNTIFS('Data Entry'!$P$5:$P$10004,"&gt;="&amp;(GO$1+GQ$1*10),'Data Entry'!$P$5:$P$10004,"&lt;"&amp;(GO$1+GQ$1*11)))</f>
        <v/>
      </c>
      <c r="GU14">
        <f>IF(OR(Capability!$P$13="",GQ$1=""),NA(),IF(AND(Capability!$P$13&gt;=(GO$1+GQ$1*10),Capability!$P$13&lt;(GO$1+GQ$1*11)),GS$1*1.15,NA()))</f>
        <v/>
      </c>
      <c r="GV14">
        <f>IF(OR(Capability!$Q$13="",GQ$1=""),NA(),IF(AND(Capability!$Q$13&gt;=(GO$1+GQ$1*10),Capability!$Q$13&lt;(GO$1+GQ$1*11)),GS$1*1.15,NA()))</f>
        <v/>
      </c>
      <c r="GX14">
        <f>IF((HA$1+10)&gt;GY$1,NA(),(HA$1+10)-4)</f>
        <v/>
      </c>
      <c r="GY14">
        <f>IF((HA$1+10)&gt;GY$1,NA(),INDEX('Data Entry'!$Q$5:$Q$10004,(HA$1+10)-4))</f>
        <v/>
      </c>
      <c r="GZ14">
        <f>IF(ISNA(GX14),NA(),Capability!$K$14)</f>
        <v/>
      </c>
      <c r="HA14">
        <f>IF(ISNA(GX14),NA(),Capability!$J$14)</f>
        <v/>
      </c>
      <c r="HB14">
        <f>IF(ISNA(GX14),NA(),Capability!$L$14)</f>
        <v/>
      </c>
      <c r="HC14">
        <f>IF(OR(ISNA(GY14),ISNA(GY13)),NA(),ABS(GY14-GY13))</f>
        <v/>
      </c>
      <c r="HD14">
        <f>IF(ISNA(GX14),NA(),Capability!$N$14)</f>
        <v/>
      </c>
      <c r="HE14">
        <f>IF(ISNA(GX14),NA(),IF(OR(Capability!$Q$14="",Settings!$F$7&lt;&gt;"Y"),NA(),Capability!$Q$14))</f>
        <v/>
      </c>
      <c r="HF14">
        <f>IF(ISNA(GX14),NA(),IF(OR(Capability!$P$14="",Settings!$F$7&lt;&gt;"Y"),NA(),Capability!$P$14))</f>
        <v/>
      </c>
      <c r="HG14">
        <f>IF(HE$1="","",ROUND(HC$1+HE$1*10.5,4))</f>
        <v/>
      </c>
      <c r="HH14">
        <f>IF(HE$1="","",COUNTIFS('Data Entry'!$Q$5:$Q$10004,"&gt;="&amp;(HC$1+HE$1*10),'Data Entry'!$Q$5:$Q$10004,"&lt;"&amp;(HC$1+HE$1*11)))</f>
        <v/>
      </c>
      <c r="HI14">
        <f>IF(OR(Capability!$P$14="",HE$1=""),NA(),IF(AND(Capability!$P$14&gt;=(HC$1+HE$1*10),Capability!$P$14&lt;(HC$1+HE$1*11)),HG$1*1.15,NA()))</f>
        <v/>
      </c>
      <c r="HJ14">
        <f>IF(OR(Capability!$Q$14="",HE$1=""),NA(),IF(AND(Capability!$Q$14&gt;=(HC$1+HE$1*10),Capability!$Q$14&lt;(HC$1+HE$1*11)),HG$1*1.15,NA()))</f>
        <v/>
      </c>
    </row>
    <row r="15">
      <c r="A15" s="35" t="inlineStr">
        <is>
          <t>Sigma (within)</t>
        </is>
      </c>
      <c r="B15" s="23">
        <f>Capability!H5</f>
        <v/>
      </c>
      <c r="CB15">
        <f>IF((CE$1+11)&gt;CC$1,NA(),(CE$1+11)-4)</f>
        <v/>
      </c>
      <c r="CC15">
        <f>IF((CE$1+11)&gt;CC$1,NA(),INDEX('Data Entry'!$H$5:$H$10004,(CE$1+11)-4))</f>
        <v/>
      </c>
      <c r="CD15">
        <f>IF(ISNA(CB15),NA(),Capability!$K$5)</f>
        <v/>
      </c>
      <c r="CE15">
        <f>IF(ISNA(CB15),NA(),Capability!$J$5)</f>
        <v/>
      </c>
      <c r="CF15">
        <f>IF(ISNA(CB15),NA(),Capability!$L$5)</f>
        <v/>
      </c>
      <c r="CG15">
        <f>IF(OR(ISNA(CC15),ISNA(CC14)),NA(),ABS(CC15-CC14))</f>
        <v/>
      </c>
      <c r="CH15">
        <f>IF(ISNA(CB15),NA(),Capability!$N$5)</f>
        <v/>
      </c>
      <c r="CI15">
        <f>IF(ISNA(CB15),NA(),IF(OR(Capability!$Q$5="",Settings!$F$7&lt;&gt;"Y"),NA(),Capability!$Q$5))</f>
        <v/>
      </c>
      <c r="CJ15">
        <f>IF(ISNA(CB15),NA(),IF(OR(Capability!$P$5="",Settings!$F$7&lt;&gt;"Y"),NA(),Capability!$P$5))</f>
        <v/>
      </c>
      <c r="CK15">
        <f>IF(CI$1="","",ROUND(CG$1+CI$1*11.5,4))</f>
        <v/>
      </c>
      <c r="CL15">
        <f>IF(CI$1="","",COUNTIFS('Data Entry'!$H$5:$H$10004,"&gt;="&amp;(CG$1+CI$1*11),'Data Entry'!$H$5:$H$10004,"&lt;"&amp;(CG$1+CI$1*12)))</f>
        <v/>
      </c>
      <c r="CM15">
        <f>IF(OR(Capability!$P$5="",CI$1=""),NA(),IF(AND(Capability!$P$5&gt;=(CG$1+CI$1*11),Capability!$P$5&lt;(CG$1+CI$1*12)),CK$1*1.15,NA()))</f>
        <v/>
      </c>
      <c r="CN15">
        <f>IF(OR(Capability!$Q$5="",CI$1=""),NA(),IF(AND(Capability!$Q$5&gt;=(CG$1+CI$1*11),Capability!$Q$5&lt;(CG$1+CI$1*12)),CK$1*1.15,NA()))</f>
        <v/>
      </c>
      <c r="CP15">
        <f>IF((CS$1+11)&gt;CQ$1,NA(),(CS$1+11)-4)</f>
        <v/>
      </c>
      <c r="CQ15">
        <f>IF((CS$1+11)&gt;CQ$1,NA(),INDEX('Data Entry'!$I$5:$I$10004,(CS$1+11)-4))</f>
        <v/>
      </c>
      <c r="CR15">
        <f>IF(ISNA(CP15),NA(),Capability!$K$6)</f>
        <v/>
      </c>
      <c r="CS15">
        <f>IF(ISNA(CP15),NA(),Capability!$J$6)</f>
        <v/>
      </c>
      <c r="CT15">
        <f>IF(ISNA(CP15),NA(),Capability!$L$6)</f>
        <v/>
      </c>
      <c r="CU15">
        <f>IF(OR(ISNA(CQ15),ISNA(CQ14)),NA(),ABS(CQ15-CQ14))</f>
        <v/>
      </c>
      <c r="CV15">
        <f>IF(ISNA(CP15),NA(),Capability!$N$6)</f>
        <v/>
      </c>
      <c r="CW15">
        <f>IF(ISNA(CP15),NA(),IF(OR(Capability!$Q$6="",Settings!$F$7&lt;&gt;"Y"),NA(),Capability!$Q$6))</f>
        <v/>
      </c>
      <c r="CX15">
        <f>IF(ISNA(CP15),NA(),IF(OR(Capability!$P$6="",Settings!$F$7&lt;&gt;"Y"),NA(),Capability!$P$6))</f>
        <v/>
      </c>
      <c r="CY15">
        <f>IF(CW$1="","",ROUND(CU$1+CW$1*11.5,4))</f>
        <v/>
      </c>
      <c r="CZ15">
        <f>IF(CW$1="","",COUNTIFS('Data Entry'!$I$5:$I$10004,"&gt;="&amp;(CU$1+CW$1*11),'Data Entry'!$I$5:$I$10004,"&lt;"&amp;(CU$1+CW$1*12)))</f>
        <v/>
      </c>
      <c r="DA15">
        <f>IF(OR(Capability!$P$6="",CW$1=""),NA(),IF(AND(Capability!$P$6&gt;=(CU$1+CW$1*11),Capability!$P$6&lt;(CU$1+CW$1*12)),CY$1*1.15,NA()))</f>
        <v/>
      </c>
      <c r="DB15">
        <f>IF(OR(Capability!$Q$6="",CW$1=""),NA(),IF(AND(Capability!$Q$6&gt;=(CU$1+CW$1*11),Capability!$Q$6&lt;(CU$1+CW$1*12)),CY$1*1.15,NA()))</f>
        <v/>
      </c>
      <c r="DD15">
        <f>IF((DG$1+11)&gt;DE$1,NA(),(DG$1+11)-4)</f>
        <v/>
      </c>
      <c r="DE15">
        <f>IF((DG$1+11)&gt;DE$1,NA(),INDEX('Data Entry'!$J$5:$J$10004,(DG$1+11)-4))</f>
        <v/>
      </c>
      <c r="DF15">
        <f>IF(ISNA(DD15),NA(),Capability!$K$7)</f>
        <v/>
      </c>
      <c r="DG15">
        <f>IF(ISNA(DD15),NA(),Capability!$J$7)</f>
        <v/>
      </c>
      <c r="DH15">
        <f>IF(ISNA(DD15),NA(),Capability!$L$7)</f>
        <v/>
      </c>
      <c r="DI15">
        <f>IF(OR(ISNA(DE15),ISNA(DE14)),NA(),ABS(DE15-DE14))</f>
        <v/>
      </c>
      <c r="DJ15">
        <f>IF(ISNA(DD15),NA(),Capability!$N$7)</f>
        <v/>
      </c>
      <c r="DK15">
        <f>IF(ISNA(DD15),NA(),IF(OR(Capability!$Q$7="",Settings!$F$7&lt;&gt;"Y"),NA(),Capability!$Q$7))</f>
        <v/>
      </c>
      <c r="DL15">
        <f>IF(ISNA(DD15),NA(),IF(OR(Capability!$P$7="",Settings!$F$7&lt;&gt;"Y"),NA(),Capability!$P$7))</f>
        <v/>
      </c>
      <c r="DM15">
        <f>IF(DK$1="","",ROUND(DI$1+DK$1*11.5,4))</f>
        <v/>
      </c>
      <c r="DN15">
        <f>IF(DK$1="","",COUNTIFS('Data Entry'!$J$5:$J$10004,"&gt;="&amp;(DI$1+DK$1*11),'Data Entry'!$J$5:$J$10004,"&lt;"&amp;(DI$1+DK$1*12)))</f>
        <v/>
      </c>
      <c r="DO15">
        <f>IF(OR(Capability!$P$7="",DK$1=""),NA(),IF(AND(Capability!$P$7&gt;=(DI$1+DK$1*11),Capability!$P$7&lt;(DI$1+DK$1*12)),DM$1*1.15,NA()))</f>
        <v/>
      </c>
      <c r="DP15">
        <f>IF(OR(Capability!$Q$7="",DK$1=""),NA(),IF(AND(Capability!$Q$7&gt;=(DI$1+DK$1*11),Capability!$Q$7&lt;(DI$1+DK$1*12)),DM$1*1.15,NA()))</f>
        <v/>
      </c>
      <c r="DR15">
        <f>IF((DU$1+11)&gt;DS$1,NA(),(DU$1+11)-4)</f>
        <v/>
      </c>
      <c r="DS15">
        <f>IF((DU$1+11)&gt;DS$1,NA(),INDEX('Data Entry'!$K$5:$K$10004,(DU$1+11)-4))</f>
        <v/>
      </c>
      <c r="DT15">
        <f>IF(ISNA(DR15),NA(),Capability!$K$8)</f>
        <v/>
      </c>
      <c r="DU15">
        <f>IF(ISNA(DR15),NA(),Capability!$J$8)</f>
        <v/>
      </c>
      <c r="DV15">
        <f>IF(ISNA(DR15),NA(),Capability!$L$8)</f>
        <v/>
      </c>
      <c r="DW15">
        <f>IF(OR(ISNA(DS15),ISNA(DS14)),NA(),ABS(DS15-DS14))</f>
        <v/>
      </c>
      <c r="DX15">
        <f>IF(ISNA(DR15),NA(),Capability!$N$8)</f>
        <v/>
      </c>
      <c r="DY15">
        <f>IF(ISNA(DR15),NA(),IF(OR(Capability!$Q$8="",Settings!$F$7&lt;&gt;"Y"),NA(),Capability!$Q$8))</f>
        <v/>
      </c>
      <c r="DZ15">
        <f>IF(ISNA(DR15),NA(),IF(OR(Capability!$P$8="",Settings!$F$7&lt;&gt;"Y"),NA(),Capability!$P$8))</f>
        <v/>
      </c>
      <c r="EA15">
        <f>IF(DY$1="","",ROUND(DW$1+DY$1*11.5,4))</f>
        <v/>
      </c>
      <c r="EB15">
        <f>IF(DY$1="","",COUNTIFS('Data Entry'!$K$5:$K$10004,"&gt;="&amp;(DW$1+DY$1*11),'Data Entry'!$K$5:$K$10004,"&lt;"&amp;(DW$1+DY$1*12)))</f>
        <v/>
      </c>
      <c r="EC15">
        <f>IF(OR(Capability!$P$8="",DY$1=""),NA(),IF(AND(Capability!$P$8&gt;=(DW$1+DY$1*11),Capability!$P$8&lt;(DW$1+DY$1*12)),EA$1*1.15,NA()))</f>
        <v/>
      </c>
      <c r="ED15">
        <f>IF(OR(Capability!$Q$8="",DY$1=""),NA(),IF(AND(Capability!$Q$8&gt;=(DW$1+DY$1*11),Capability!$Q$8&lt;(DW$1+DY$1*12)),EA$1*1.15,NA()))</f>
        <v/>
      </c>
      <c r="EF15">
        <f>IF((EI$1+11)&gt;EG$1,NA(),(EI$1+11)-4)</f>
        <v/>
      </c>
      <c r="EG15">
        <f>IF((EI$1+11)&gt;EG$1,NA(),INDEX('Data Entry'!$L$5:$L$10004,(EI$1+11)-4))</f>
        <v/>
      </c>
      <c r="EH15">
        <f>IF(ISNA(EF15),NA(),Capability!$K$9)</f>
        <v/>
      </c>
      <c r="EI15">
        <f>IF(ISNA(EF15),NA(),Capability!$J$9)</f>
        <v/>
      </c>
      <c r="EJ15">
        <f>IF(ISNA(EF15),NA(),Capability!$L$9)</f>
        <v/>
      </c>
      <c r="EK15">
        <f>IF(OR(ISNA(EG15),ISNA(EG14)),NA(),ABS(EG15-EG14))</f>
        <v/>
      </c>
      <c r="EL15">
        <f>IF(ISNA(EF15),NA(),Capability!$N$9)</f>
        <v/>
      </c>
      <c r="EM15">
        <f>IF(ISNA(EF15),NA(),IF(OR(Capability!$Q$9="",Settings!$F$7&lt;&gt;"Y"),NA(),Capability!$Q$9))</f>
        <v/>
      </c>
      <c r="EN15">
        <f>IF(ISNA(EF15),NA(),IF(OR(Capability!$P$9="",Settings!$F$7&lt;&gt;"Y"),NA(),Capability!$P$9))</f>
        <v/>
      </c>
      <c r="EO15">
        <f>IF(EM$1="","",ROUND(EK$1+EM$1*11.5,4))</f>
        <v/>
      </c>
      <c r="EP15">
        <f>IF(EM$1="","",COUNTIFS('Data Entry'!$L$5:$L$10004,"&gt;="&amp;(EK$1+EM$1*11),'Data Entry'!$L$5:$L$10004,"&lt;"&amp;(EK$1+EM$1*12)))</f>
        <v/>
      </c>
      <c r="EQ15">
        <f>IF(OR(Capability!$P$9="",EM$1=""),NA(),IF(AND(Capability!$P$9&gt;=(EK$1+EM$1*11),Capability!$P$9&lt;(EK$1+EM$1*12)),EO$1*1.15,NA()))</f>
        <v/>
      </c>
      <c r="ER15">
        <f>IF(OR(Capability!$Q$9="",EM$1=""),NA(),IF(AND(Capability!$Q$9&gt;=(EK$1+EM$1*11),Capability!$Q$9&lt;(EK$1+EM$1*12)),EO$1*1.15,NA()))</f>
        <v/>
      </c>
      <c r="ET15">
        <f>IF((EW$1+11)&gt;EU$1,NA(),(EW$1+11)-4)</f>
        <v/>
      </c>
      <c r="EU15">
        <f>IF((EW$1+11)&gt;EU$1,NA(),INDEX('Data Entry'!$M$5:$M$10004,(EW$1+11)-4))</f>
        <v/>
      </c>
      <c r="EV15">
        <f>IF(ISNA(ET15),NA(),Capability!$K$10)</f>
        <v/>
      </c>
      <c r="EW15">
        <f>IF(ISNA(ET15),NA(),Capability!$J$10)</f>
        <v/>
      </c>
      <c r="EX15">
        <f>IF(ISNA(ET15),NA(),Capability!$L$10)</f>
        <v/>
      </c>
      <c r="EY15">
        <f>IF(OR(ISNA(EU15),ISNA(EU14)),NA(),ABS(EU15-EU14))</f>
        <v/>
      </c>
      <c r="EZ15">
        <f>IF(ISNA(ET15),NA(),Capability!$N$10)</f>
        <v/>
      </c>
      <c r="FA15">
        <f>IF(ISNA(ET15),NA(),IF(OR(Capability!$Q$10="",Settings!$F$7&lt;&gt;"Y"),NA(),Capability!$Q$10))</f>
        <v/>
      </c>
      <c r="FB15">
        <f>IF(ISNA(ET15),NA(),IF(OR(Capability!$P$10="",Settings!$F$7&lt;&gt;"Y"),NA(),Capability!$P$10))</f>
        <v/>
      </c>
      <c r="FC15">
        <f>IF(FA$1="","",ROUND(EY$1+FA$1*11.5,4))</f>
        <v/>
      </c>
      <c r="FD15">
        <f>IF(FA$1="","",COUNTIFS('Data Entry'!$M$5:$M$10004,"&gt;="&amp;(EY$1+FA$1*11),'Data Entry'!$M$5:$M$10004,"&lt;"&amp;(EY$1+FA$1*12)))</f>
        <v/>
      </c>
      <c r="FE15">
        <f>IF(OR(Capability!$P$10="",FA$1=""),NA(),IF(AND(Capability!$P$10&gt;=(EY$1+FA$1*11),Capability!$P$10&lt;(EY$1+FA$1*12)),FC$1*1.15,NA()))</f>
        <v/>
      </c>
      <c r="FF15">
        <f>IF(OR(Capability!$Q$10="",FA$1=""),NA(),IF(AND(Capability!$Q$10&gt;=(EY$1+FA$1*11),Capability!$Q$10&lt;(EY$1+FA$1*12)),FC$1*1.15,NA()))</f>
        <v/>
      </c>
      <c r="FH15">
        <f>IF((FK$1+11)&gt;FI$1,NA(),(FK$1+11)-4)</f>
        <v/>
      </c>
      <c r="FI15">
        <f>IF((FK$1+11)&gt;FI$1,NA(),INDEX('Data Entry'!$N$5:$N$10004,(FK$1+11)-4))</f>
        <v/>
      </c>
      <c r="FJ15">
        <f>IF(ISNA(FH15),NA(),Capability!$K$11)</f>
        <v/>
      </c>
      <c r="FK15">
        <f>IF(ISNA(FH15),NA(),Capability!$J$11)</f>
        <v/>
      </c>
      <c r="FL15">
        <f>IF(ISNA(FH15),NA(),Capability!$L$11)</f>
        <v/>
      </c>
      <c r="FM15">
        <f>IF(OR(ISNA(FI15),ISNA(FI14)),NA(),ABS(FI15-FI14))</f>
        <v/>
      </c>
      <c r="FN15">
        <f>IF(ISNA(FH15),NA(),Capability!$N$11)</f>
        <v/>
      </c>
      <c r="FO15">
        <f>IF(ISNA(FH15),NA(),IF(OR(Capability!$Q$11="",Settings!$F$7&lt;&gt;"Y"),NA(),Capability!$Q$11))</f>
        <v/>
      </c>
      <c r="FP15">
        <f>IF(ISNA(FH15),NA(),IF(OR(Capability!$P$11="",Settings!$F$7&lt;&gt;"Y"),NA(),Capability!$P$11))</f>
        <v/>
      </c>
      <c r="FQ15">
        <f>IF(FO$1="","",ROUND(FM$1+FO$1*11.5,4))</f>
        <v/>
      </c>
      <c r="FR15">
        <f>IF(FO$1="","",COUNTIFS('Data Entry'!$N$5:$N$10004,"&gt;="&amp;(FM$1+FO$1*11),'Data Entry'!$N$5:$N$10004,"&lt;"&amp;(FM$1+FO$1*12)))</f>
        <v/>
      </c>
      <c r="FS15">
        <f>IF(OR(Capability!$P$11="",FO$1=""),NA(),IF(AND(Capability!$P$11&gt;=(FM$1+FO$1*11),Capability!$P$11&lt;(FM$1+FO$1*12)),FQ$1*1.15,NA()))</f>
        <v/>
      </c>
      <c r="FT15">
        <f>IF(OR(Capability!$Q$11="",FO$1=""),NA(),IF(AND(Capability!$Q$11&gt;=(FM$1+FO$1*11),Capability!$Q$11&lt;(FM$1+FO$1*12)),FQ$1*1.15,NA()))</f>
        <v/>
      </c>
      <c r="FV15">
        <f>IF((FY$1+11)&gt;FW$1,NA(),(FY$1+11)-4)</f>
        <v/>
      </c>
      <c r="FW15">
        <f>IF((FY$1+11)&gt;FW$1,NA(),INDEX('Data Entry'!$O$5:$O$10004,(FY$1+11)-4))</f>
        <v/>
      </c>
      <c r="FX15">
        <f>IF(ISNA(FV15),NA(),Capability!$K$12)</f>
        <v/>
      </c>
      <c r="FY15">
        <f>IF(ISNA(FV15),NA(),Capability!$J$12)</f>
        <v/>
      </c>
      <c r="FZ15">
        <f>IF(ISNA(FV15),NA(),Capability!$L$12)</f>
        <v/>
      </c>
      <c r="GA15">
        <f>IF(OR(ISNA(FW15),ISNA(FW14)),NA(),ABS(FW15-FW14))</f>
        <v/>
      </c>
      <c r="GB15">
        <f>IF(ISNA(FV15),NA(),Capability!$N$12)</f>
        <v/>
      </c>
      <c r="GC15">
        <f>IF(ISNA(FV15),NA(),IF(OR(Capability!$Q$12="",Settings!$F$7&lt;&gt;"Y"),NA(),Capability!$Q$12))</f>
        <v/>
      </c>
      <c r="GD15">
        <f>IF(ISNA(FV15),NA(),IF(OR(Capability!$P$12="",Settings!$F$7&lt;&gt;"Y"),NA(),Capability!$P$12))</f>
        <v/>
      </c>
      <c r="GE15">
        <f>IF(GC$1="","",ROUND(GA$1+GC$1*11.5,4))</f>
        <v/>
      </c>
      <c r="GF15">
        <f>IF(GC$1="","",COUNTIFS('Data Entry'!$O$5:$O$10004,"&gt;="&amp;(GA$1+GC$1*11),'Data Entry'!$O$5:$O$10004,"&lt;"&amp;(GA$1+GC$1*12)))</f>
        <v/>
      </c>
      <c r="GG15">
        <f>IF(OR(Capability!$P$12="",GC$1=""),NA(),IF(AND(Capability!$P$12&gt;=(GA$1+GC$1*11),Capability!$P$12&lt;(GA$1+GC$1*12)),GE$1*1.15,NA()))</f>
        <v/>
      </c>
      <c r="GH15">
        <f>IF(OR(Capability!$Q$12="",GC$1=""),NA(),IF(AND(Capability!$Q$12&gt;=(GA$1+GC$1*11),Capability!$Q$12&lt;(GA$1+GC$1*12)),GE$1*1.15,NA()))</f>
        <v/>
      </c>
      <c r="GJ15">
        <f>IF((GM$1+11)&gt;GK$1,NA(),(GM$1+11)-4)</f>
        <v/>
      </c>
      <c r="GK15">
        <f>IF((GM$1+11)&gt;GK$1,NA(),INDEX('Data Entry'!$P$5:$P$10004,(GM$1+11)-4))</f>
        <v/>
      </c>
      <c r="GL15">
        <f>IF(ISNA(GJ15),NA(),Capability!$K$13)</f>
        <v/>
      </c>
      <c r="GM15">
        <f>IF(ISNA(GJ15),NA(),Capability!$J$13)</f>
        <v/>
      </c>
      <c r="GN15">
        <f>IF(ISNA(GJ15),NA(),Capability!$L$13)</f>
        <v/>
      </c>
      <c r="GO15">
        <f>IF(OR(ISNA(GK15),ISNA(GK14)),NA(),ABS(GK15-GK14))</f>
        <v/>
      </c>
      <c r="GP15">
        <f>IF(ISNA(GJ15),NA(),Capability!$N$13)</f>
        <v/>
      </c>
      <c r="GQ15">
        <f>IF(ISNA(GJ15),NA(),IF(OR(Capability!$Q$13="",Settings!$F$7&lt;&gt;"Y"),NA(),Capability!$Q$13))</f>
        <v/>
      </c>
      <c r="GR15">
        <f>IF(ISNA(GJ15),NA(),IF(OR(Capability!$P$13="",Settings!$F$7&lt;&gt;"Y"),NA(),Capability!$P$13))</f>
        <v/>
      </c>
      <c r="GS15">
        <f>IF(GQ$1="","",ROUND(GO$1+GQ$1*11.5,4))</f>
        <v/>
      </c>
      <c r="GT15">
        <f>IF(GQ$1="","",COUNTIFS('Data Entry'!$P$5:$P$10004,"&gt;="&amp;(GO$1+GQ$1*11),'Data Entry'!$P$5:$P$10004,"&lt;"&amp;(GO$1+GQ$1*12)))</f>
        <v/>
      </c>
      <c r="GU15">
        <f>IF(OR(Capability!$P$13="",GQ$1=""),NA(),IF(AND(Capability!$P$13&gt;=(GO$1+GQ$1*11),Capability!$P$13&lt;(GO$1+GQ$1*12)),GS$1*1.15,NA()))</f>
        <v/>
      </c>
      <c r="GV15">
        <f>IF(OR(Capability!$Q$13="",GQ$1=""),NA(),IF(AND(Capability!$Q$13&gt;=(GO$1+GQ$1*11),Capability!$Q$13&lt;(GO$1+GQ$1*12)),GS$1*1.15,NA()))</f>
        <v/>
      </c>
      <c r="GX15">
        <f>IF((HA$1+11)&gt;GY$1,NA(),(HA$1+11)-4)</f>
        <v/>
      </c>
      <c r="GY15">
        <f>IF((HA$1+11)&gt;GY$1,NA(),INDEX('Data Entry'!$Q$5:$Q$10004,(HA$1+11)-4))</f>
        <v/>
      </c>
      <c r="GZ15">
        <f>IF(ISNA(GX15),NA(),Capability!$K$14)</f>
        <v/>
      </c>
      <c r="HA15">
        <f>IF(ISNA(GX15),NA(),Capability!$J$14)</f>
        <v/>
      </c>
      <c r="HB15">
        <f>IF(ISNA(GX15),NA(),Capability!$L$14)</f>
        <v/>
      </c>
      <c r="HC15">
        <f>IF(OR(ISNA(GY15),ISNA(GY14)),NA(),ABS(GY15-GY14))</f>
        <v/>
      </c>
      <c r="HD15">
        <f>IF(ISNA(GX15),NA(),Capability!$N$14)</f>
        <v/>
      </c>
      <c r="HE15">
        <f>IF(ISNA(GX15),NA(),IF(OR(Capability!$Q$14="",Settings!$F$7&lt;&gt;"Y"),NA(),Capability!$Q$14))</f>
        <v/>
      </c>
      <c r="HF15">
        <f>IF(ISNA(GX15),NA(),IF(OR(Capability!$P$14="",Settings!$F$7&lt;&gt;"Y"),NA(),Capability!$P$14))</f>
        <v/>
      </c>
      <c r="HG15">
        <f>IF(HE$1="","",ROUND(HC$1+HE$1*11.5,4))</f>
        <v/>
      </c>
      <c r="HH15">
        <f>IF(HE$1="","",COUNTIFS('Data Entry'!$Q$5:$Q$10004,"&gt;="&amp;(HC$1+HE$1*11),'Data Entry'!$Q$5:$Q$10004,"&lt;"&amp;(HC$1+HE$1*12)))</f>
        <v/>
      </c>
      <c r="HI15">
        <f>IF(OR(Capability!$P$14="",HE$1=""),NA(),IF(AND(Capability!$P$14&gt;=(HC$1+HE$1*11),Capability!$P$14&lt;(HC$1+HE$1*12)),HG$1*1.15,NA()))</f>
        <v/>
      </c>
      <c r="HJ15">
        <f>IF(OR(Capability!$Q$14="",HE$1=""),NA(),IF(AND(Capability!$Q$14&gt;=(HC$1+HE$1*11),Capability!$Q$14&lt;(HC$1+HE$1*12)),HG$1*1.15,NA()))</f>
        <v/>
      </c>
    </row>
    <row r="16">
      <c r="A16" s="37" t="inlineStr">
        <is>
          <t>CONTROL</t>
        </is>
      </c>
      <c r="B16" s="28" t="n"/>
      <c r="CB16">
        <f>IF((CE$1+12)&gt;CC$1,NA(),(CE$1+12)-4)</f>
        <v/>
      </c>
      <c r="CC16">
        <f>IF((CE$1+12)&gt;CC$1,NA(),INDEX('Data Entry'!$H$5:$H$10004,(CE$1+12)-4))</f>
        <v/>
      </c>
      <c r="CD16">
        <f>IF(ISNA(CB16),NA(),Capability!$K$5)</f>
        <v/>
      </c>
      <c r="CE16">
        <f>IF(ISNA(CB16),NA(),Capability!$J$5)</f>
        <v/>
      </c>
      <c r="CF16">
        <f>IF(ISNA(CB16),NA(),Capability!$L$5)</f>
        <v/>
      </c>
      <c r="CG16">
        <f>IF(OR(ISNA(CC16),ISNA(CC15)),NA(),ABS(CC16-CC15))</f>
        <v/>
      </c>
      <c r="CH16">
        <f>IF(ISNA(CB16),NA(),Capability!$N$5)</f>
        <v/>
      </c>
      <c r="CI16">
        <f>IF(ISNA(CB16),NA(),IF(OR(Capability!$Q$5="",Settings!$F$7&lt;&gt;"Y"),NA(),Capability!$Q$5))</f>
        <v/>
      </c>
      <c r="CJ16">
        <f>IF(ISNA(CB16),NA(),IF(OR(Capability!$P$5="",Settings!$F$7&lt;&gt;"Y"),NA(),Capability!$P$5))</f>
        <v/>
      </c>
      <c r="CK16">
        <f>IF(CI$1="","",ROUND(CG$1+CI$1*12.5,4))</f>
        <v/>
      </c>
      <c r="CL16">
        <f>IF(CI$1="","",COUNTIFS('Data Entry'!$H$5:$H$10004,"&gt;="&amp;(CG$1+CI$1*12),'Data Entry'!$H$5:$H$10004,"&lt;"&amp;(CG$1+CI$1*13)))</f>
        <v/>
      </c>
      <c r="CM16">
        <f>IF(OR(Capability!$P$5="",CI$1=""),NA(),IF(AND(Capability!$P$5&gt;=(CG$1+CI$1*12),Capability!$P$5&lt;(CG$1+CI$1*13)),CK$1*1.15,NA()))</f>
        <v/>
      </c>
      <c r="CN16">
        <f>IF(OR(Capability!$Q$5="",CI$1=""),NA(),IF(AND(Capability!$Q$5&gt;=(CG$1+CI$1*12),Capability!$Q$5&lt;(CG$1+CI$1*13)),CK$1*1.15,NA()))</f>
        <v/>
      </c>
      <c r="CP16">
        <f>IF((CS$1+12)&gt;CQ$1,NA(),(CS$1+12)-4)</f>
        <v/>
      </c>
      <c r="CQ16">
        <f>IF((CS$1+12)&gt;CQ$1,NA(),INDEX('Data Entry'!$I$5:$I$10004,(CS$1+12)-4))</f>
        <v/>
      </c>
      <c r="CR16">
        <f>IF(ISNA(CP16),NA(),Capability!$K$6)</f>
        <v/>
      </c>
      <c r="CS16">
        <f>IF(ISNA(CP16),NA(),Capability!$J$6)</f>
        <v/>
      </c>
      <c r="CT16">
        <f>IF(ISNA(CP16),NA(),Capability!$L$6)</f>
        <v/>
      </c>
      <c r="CU16">
        <f>IF(OR(ISNA(CQ16),ISNA(CQ15)),NA(),ABS(CQ16-CQ15))</f>
        <v/>
      </c>
      <c r="CV16">
        <f>IF(ISNA(CP16),NA(),Capability!$N$6)</f>
        <v/>
      </c>
      <c r="CW16">
        <f>IF(ISNA(CP16),NA(),IF(OR(Capability!$Q$6="",Settings!$F$7&lt;&gt;"Y"),NA(),Capability!$Q$6))</f>
        <v/>
      </c>
      <c r="CX16">
        <f>IF(ISNA(CP16),NA(),IF(OR(Capability!$P$6="",Settings!$F$7&lt;&gt;"Y"),NA(),Capability!$P$6))</f>
        <v/>
      </c>
      <c r="CY16">
        <f>IF(CW$1="","",ROUND(CU$1+CW$1*12.5,4))</f>
        <v/>
      </c>
      <c r="CZ16">
        <f>IF(CW$1="","",COUNTIFS('Data Entry'!$I$5:$I$10004,"&gt;="&amp;(CU$1+CW$1*12),'Data Entry'!$I$5:$I$10004,"&lt;"&amp;(CU$1+CW$1*13)))</f>
        <v/>
      </c>
      <c r="DA16">
        <f>IF(OR(Capability!$P$6="",CW$1=""),NA(),IF(AND(Capability!$P$6&gt;=(CU$1+CW$1*12),Capability!$P$6&lt;(CU$1+CW$1*13)),CY$1*1.15,NA()))</f>
        <v/>
      </c>
      <c r="DB16">
        <f>IF(OR(Capability!$Q$6="",CW$1=""),NA(),IF(AND(Capability!$Q$6&gt;=(CU$1+CW$1*12),Capability!$Q$6&lt;(CU$1+CW$1*13)),CY$1*1.15,NA()))</f>
        <v/>
      </c>
      <c r="DD16">
        <f>IF((DG$1+12)&gt;DE$1,NA(),(DG$1+12)-4)</f>
        <v/>
      </c>
      <c r="DE16">
        <f>IF((DG$1+12)&gt;DE$1,NA(),INDEX('Data Entry'!$J$5:$J$10004,(DG$1+12)-4))</f>
        <v/>
      </c>
      <c r="DF16">
        <f>IF(ISNA(DD16),NA(),Capability!$K$7)</f>
        <v/>
      </c>
      <c r="DG16">
        <f>IF(ISNA(DD16),NA(),Capability!$J$7)</f>
        <v/>
      </c>
      <c r="DH16">
        <f>IF(ISNA(DD16),NA(),Capability!$L$7)</f>
        <v/>
      </c>
      <c r="DI16">
        <f>IF(OR(ISNA(DE16),ISNA(DE15)),NA(),ABS(DE16-DE15))</f>
        <v/>
      </c>
      <c r="DJ16">
        <f>IF(ISNA(DD16),NA(),Capability!$N$7)</f>
        <v/>
      </c>
      <c r="DK16">
        <f>IF(ISNA(DD16),NA(),IF(OR(Capability!$Q$7="",Settings!$F$7&lt;&gt;"Y"),NA(),Capability!$Q$7))</f>
        <v/>
      </c>
      <c r="DL16">
        <f>IF(ISNA(DD16),NA(),IF(OR(Capability!$P$7="",Settings!$F$7&lt;&gt;"Y"),NA(),Capability!$P$7))</f>
        <v/>
      </c>
      <c r="DM16">
        <f>IF(DK$1="","",ROUND(DI$1+DK$1*12.5,4))</f>
        <v/>
      </c>
      <c r="DN16">
        <f>IF(DK$1="","",COUNTIFS('Data Entry'!$J$5:$J$10004,"&gt;="&amp;(DI$1+DK$1*12),'Data Entry'!$J$5:$J$10004,"&lt;"&amp;(DI$1+DK$1*13)))</f>
        <v/>
      </c>
      <c r="DO16">
        <f>IF(OR(Capability!$P$7="",DK$1=""),NA(),IF(AND(Capability!$P$7&gt;=(DI$1+DK$1*12),Capability!$P$7&lt;(DI$1+DK$1*13)),DM$1*1.15,NA()))</f>
        <v/>
      </c>
      <c r="DP16">
        <f>IF(OR(Capability!$Q$7="",DK$1=""),NA(),IF(AND(Capability!$Q$7&gt;=(DI$1+DK$1*12),Capability!$Q$7&lt;(DI$1+DK$1*13)),DM$1*1.15,NA()))</f>
        <v/>
      </c>
      <c r="DR16">
        <f>IF((DU$1+12)&gt;DS$1,NA(),(DU$1+12)-4)</f>
        <v/>
      </c>
      <c r="DS16">
        <f>IF((DU$1+12)&gt;DS$1,NA(),INDEX('Data Entry'!$K$5:$K$10004,(DU$1+12)-4))</f>
        <v/>
      </c>
      <c r="DT16">
        <f>IF(ISNA(DR16),NA(),Capability!$K$8)</f>
        <v/>
      </c>
      <c r="DU16">
        <f>IF(ISNA(DR16),NA(),Capability!$J$8)</f>
        <v/>
      </c>
      <c r="DV16">
        <f>IF(ISNA(DR16),NA(),Capability!$L$8)</f>
        <v/>
      </c>
      <c r="DW16">
        <f>IF(OR(ISNA(DS16),ISNA(DS15)),NA(),ABS(DS16-DS15))</f>
        <v/>
      </c>
      <c r="DX16">
        <f>IF(ISNA(DR16),NA(),Capability!$N$8)</f>
        <v/>
      </c>
      <c r="DY16">
        <f>IF(ISNA(DR16),NA(),IF(OR(Capability!$Q$8="",Settings!$F$7&lt;&gt;"Y"),NA(),Capability!$Q$8))</f>
        <v/>
      </c>
      <c r="DZ16">
        <f>IF(ISNA(DR16),NA(),IF(OR(Capability!$P$8="",Settings!$F$7&lt;&gt;"Y"),NA(),Capability!$P$8))</f>
        <v/>
      </c>
      <c r="EA16">
        <f>IF(DY$1="","",ROUND(DW$1+DY$1*12.5,4))</f>
        <v/>
      </c>
      <c r="EB16">
        <f>IF(DY$1="","",COUNTIFS('Data Entry'!$K$5:$K$10004,"&gt;="&amp;(DW$1+DY$1*12),'Data Entry'!$K$5:$K$10004,"&lt;"&amp;(DW$1+DY$1*13)))</f>
        <v/>
      </c>
      <c r="EC16">
        <f>IF(OR(Capability!$P$8="",DY$1=""),NA(),IF(AND(Capability!$P$8&gt;=(DW$1+DY$1*12),Capability!$P$8&lt;(DW$1+DY$1*13)),EA$1*1.15,NA()))</f>
        <v/>
      </c>
      <c r="ED16">
        <f>IF(OR(Capability!$Q$8="",DY$1=""),NA(),IF(AND(Capability!$Q$8&gt;=(DW$1+DY$1*12),Capability!$Q$8&lt;(DW$1+DY$1*13)),EA$1*1.15,NA()))</f>
        <v/>
      </c>
      <c r="EF16">
        <f>IF((EI$1+12)&gt;EG$1,NA(),(EI$1+12)-4)</f>
        <v/>
      </c>
      <c r="EG16">
        <f>IF((EI$1+12)&gt;EG$1,NA(),INDEX('Data Entry'!$L$5:$L$10004,(EI$1+12)-4))</f>
        <v/>
      </c>
      <c r="EH16">
        <f>IF(ISNA(EF16),NA(),Capability!$K$9)</f>
        <v/>
      </c>
      <c r="EI16">
        <f>IF(ISNA(EF16),NA(),Capability!$J$9)</f>
        <v/>
      </c>
      <c r="EJ16">
        <f>IF(ISNA(EF16),NA(),Capability!$L$9)</f>
        <v/>
      </c>
      <c r="EK16">
        <f>IF(OR(ISNA(EG16),ISNA(EG15)),NA(),ABS(EG16-EG15))</f>
        <v/>
      </c>
      <c r="EL16">
        <f>IF(ISNA(EF16),NA(),Capability!$N$9)</f>
        <v/>
      </c>
      <c r="EM16">
        <f>IF(ISNA(EF16),NA(),IF(OR(Capability!$Q$9="",Settings!$F$7&lt;&gt;"Y"),NA(),Capability!$Q$9))</f>
        <v/>
      </c>
      <c r="EN16">
        <f>IF(ISNA(EF16),NA(),IF(OR(Capability!$P$9="",Settings!$F$7&lt;&gt;"Y"),NA(),Capability!$P$9))</f>
        <v/>
      </c>
      <c r="EO16">
        <f>IF(EM$1="","",ROUND(EK$1+EM$1*12.5,4))</f>
        <v/>
      </c>
      <c r="EP16">
        <f>IF(EM$1="","",COUNTIFS('Data Entry'!$L$5:$L$10004,"&gt;="&amp;(EK$1+EM$1*12),'Data Entry'!$L$5:$L$10004,"&lt;"&amp;(EK$1+EM$1*13)))</f>
        <v/>
      </c>
      <c r="EQ16">
        <f>IF(OR(Capability!$P$9="",EM$1=""),NA(),IF(AND(Capability!$P$9&gt;=(EK$1+EM$1*12),Capability!$P$9&lt;(EK$1+EM$1*13)),EO$1*1.15,NA()))</f>
        <v/>
      </c>
      <c r="ER16">
        <f>IF(OR(Capability!$Q$9="",EM$1=""),NA(),IF(AND(Capability!$Q$9&gt;=(EK$1+EM$1*12),Capability!$Q$9&lt;(EK$1+EM$1*13)),EO$1*1.15,NA()))</f>
        <v/>
      </c>
      <c r="ET16">
        <f>IF((EW$1+12)&gt;EU$1,NA(),(EW$1+12)-4)</f>
        <v/>
      </c>
      <c r="EU16">
        <f>IF((EW$1+12)&gt;EU$1,NA(),INDEX('Data Entry'!$M$5:$M$10004,(EW$1+12)-4))</f>
        <v/>
      </c>
      <c r="EV16">
        <f>IF(ISNA(ET16),NA(),Capability!$K$10)</f>
        <v/>
      </c>
      <c r="EW16">
        <f>IF(ISNA(ET16),NA(),Capability!$J$10)</f>
        <v/>
      </c>
      <c r="EX16">
        <f>IF(ISNA(ET16),NA(),Capability!$L$10)</f>
        <v/>
      </c>
      <c r="EY16">
        <f>IF(OR(ISNA(EU16),ISNA(EU15)),NA(),ABS(EU16-EU15))</f>
        <v/>
      </c>
      <c r="EZ16">
        <f>IF(ISNA(ET16),NA(),Capability!$N$10)</f>
        <v/>
      </c>
      <c r="FA16">
        <f>IF(ISNA(ET16),NA(),IF(OR(Capability!$Q$10="",Settings!$F$7&lt;&gt;"Y"),NA(),Capability!$Q$10))</f>
        <v/>
      </c>
      <c r="FB16">
        <f>IF(ISNA(ET16),NA(),IF(OR(Capability!$P$10="",Settings!$F$7&lt;&gt;"Y"),NA(),Capability!$P$10))</f>
        <v/>
      </c>
      <c r="FC16">
        <f>IF(FA$1="","",ROUND(EY$1+FA$1*12.5,4))</f>
        <v/>
      </c>
      <c r="FD16">
        <f>IF(FA$1="","",COUNTIFS('Data Entry'!$M$5:$M$10004,"&gt;="&amp;(EY$1+FA$1*12),'Data Entry'!$M$5:$M$10004,"&lt;"&amp;(EY$1+FA$1*13)))</f>
        <v/>
      </c>
      <c r="FE16">
        <f>IF(OR(Capability!$P$10="",FA$1=""),NA(),IF(AND(Capability!$P$10&gt;=(EY$1+FA$1*12),Capability!$P$10&lt;(EY$1+FA$1*13)),FC$1*1.15,NA()))</f>
        <v/>
      </c>
      <c r="FF16">
        <f>IF(OR(Capability!$Q$10="",FA$1=""),NA(),IF(AND(Capability!$Q$10&gt;=(EY$1+FA$1*12),Capability!$Q$10&lt;(EY$1+FA$1*13)),FC$1*1.15,NA()))</f>
        <v/>
      </c>
      <c r="FH16">
        <f>IF((FK$1+12)&gt;FI$1,NA(),(FK$1+12)-4)</f>
        <v/>
      </c>
      <c r="FI16">
        <f>IF((FK$1+12)&gt;FI$1,NA(),INDEX('Data Entry'!$N$5:$N$10004,(FK$1+12)-4))</f>
        <v/>
      </c>
      <c r="FJ16">
        <f>IF(ISNA(FH16),NA(),Capability!$K$11)</f>
        <v/>
      </c>
      <c r="FK16">
        <f>IF(ISNA(FH16),NA(),Capability!$J$11)</f>
        <v/>
      </c>
      <c r="FL16">
        <f>IF(ISNA(FH16),NA(),Capability!$L$11)</f>
        <v/>
      </c>
      <c r="FM16">
        <f>IF(OR(ISNA(FI16),ISNA(FI15)),NA(),ABS(FI16-FI15))</f>
        <v/>
      </c>
      <c r="FN16">
        <f>IF(ISNA(FH16),NA(),Capability!$N$11)</f>
        <v/>
      </c>
      <c r="FO16">
        <f>IF(ISNA(FH16),NA(),IF(OR(Capability!$Q$11="",Settings!$F$7&lt;&gt;"Y"),NA(),Capability!$Q$11))</f>
        <v/>
      </c>
      <c r="FP16">
        <f>IF(ISNA(FH16),NA(),IF(OR(Capability!$P$11="",Settings!$F$7&lt;&gt;"Y"),NA(),Capability!$P$11))</f>
        <v/>
      </c>
      <c r="FQ16">
        <f>IF(FO$1="","",ROUND(FM$1+FO$1*12.5,4))</f>
        <v/>
      </c>
      <c r="FR16">
        <f>IF(FO$1="","",COUNTIFS('Data Entry'!$N$5:$N$10004,"&gt;="&amp;(FM$1+FO$1*12),'Data Entry'!$N$5:$N$10004,"&lt;"&amp;(FM$1+FO$1*13)))</f>
        <v/>
      </c>
      <c r="FS16">
        <f>IF(OR(Capability!$P$11="",FO$1=""),NA(),IF(AND(Capability!$P$11&gt;=(FM$1+FO$1*12),Capability!$P$11&lt;(FM$1+FO$1*13)),FQ$1*1.15,NA()))</f>
        <v/>
      </c>
      <c r="FT16">
        <f>IF(OR(Capability!$Q$11="",FO$1=""),NA(),IF(AND(Capability!$Q$11&gt;=(FM$1+FO$1*12),Capability!$Q$11&lt;(FM$1+FO$1*13)),FQ$1*1.15,NA()))</f>
        <v/>
      </c>
      <c r="FV16">
        <f>IF((FY$1+12)&gt;FW$1,NA(),(FY$1+12)-4)</f>
        <v/>
      </c>
      <c r="FW16">
        <f>IF((FY$1+12)&gt;FW$1,NA(),INDEX('Data Entry'!$O$5:$O$10004,(FY$1+12)-4))</f>
        <v/>
      </c>
      <c r="FX16">
        <f>IF(ISNA(FV16),NA(),Capability!$K$12)</f>
        <v/>
      </c>
      <c r="FY16">
        <f>IF(ISNA(FV16),NA(),Capability!$J$12)</f>
        <v/>
      </c>
      <c r="FZ16">
        <f>IF(ISNA(FV16),NA(),Capability!$L$12)</f>
        <v/>
      </c>
      <c r="GA16">
        <f>IF(OR(ISNA(FW16),ISNA(FW15)),NA(),ABS(FW16-FW15))</f>
        <v/>
      </c>
      <c r="GB16">
        <f>IF(ISNA(FV16),NA(),Capability!$N$12)</f>
        <v/>
      </c>
      <c r="GC16">
        <f>IF(ISNA(FV16),NA(),IF(OR(Capability!$Q$12="",Settings!$F$7&lt;&gt;"Y"),NA(),Capability!$Q$12))</f>
        <v/>
      </c>
      <c r="GD16">
        <f>IF(ISNA(FV16),NA(),IF(OR(Capability!$P$12="",Settings!$F$7&lt;&gt;"Y"),NA(),Capability!$P$12))</f>
        <v/>
      </c>
      <c r="GE16">
        <f>IF(GC$1="","",ROUND(GA$1+GC$1*12.5,4))</f>
        <v/>
      </c>
      <c r="GF16">
        <f>IF(GC$1="","",COUNTIFS('Data Entry'!$O$5:$O$10004,"&gt;="&amp;(GA$1+GC$1*12),'Data Entry'!$O$5:$O$10004,"&lt;"&amp;(GA$1+GC$1*13)))</f>
        <v/>
      </c>
      <c r="GG16">
        <f>IF(OR(Capability!$P$12="",GC$1=""),NA(),IF(AND(Capability!$P$12&gt;=(GA$1+GC$1*12),Capability!$P$12&lt;(GA$1+GC$1*13)),GE$1*1.15,NA()))</f>
        <v/>
      </c>
      <c r="GH16">
        <f>IF(OR(Capability!$Q$12="",GC$1=""),NA(),IF(AND(Capability!$Q$12&gt;=(GA$1+GC$1*12),Capability!$Q$12&lt;(GA$1+GC$1*13)),GE$1*1.15,NA()))</f>
        <v/>
      </c>
      <c r="GJ16">
        <f>IF((GM$1+12)&gt;GK$1,NA(),(GM$1+12)-4)</f>
        <v/>
      </c>
      <c r="GK16">
        <f>IF((GM$1+12)&gt;GK$1,NA(),INDEX('Data Entry'!$P$5:$P$10004,(GM$1+12)-4))</f>
        <v/>
      </c>
      <c r="GL16">
        <f>IF(ISNA(GJ16),NA(),Capability!$K$13)</f>
        <v/>
      </c>
      <c r="GM16">
        <f>IF(ISNA(GJ16),NA(),Capability!$J$13)</f>
        <v/>
      </c>
      <c r="GN16">
        <f>IF(ISNA(GJ16),NA(),Capability!$L$13)</f>
        <v/>
      </c>
      <c r="GO16">
        <f>IF(OR(ISNA(GK16),ISNA(GK15)),NA(),ABS(GK16-GK15))</f>
        <v/>
      </c>
      <c r="GP16">
        <f>IF(ISNA(GJ16),NA(),Capability!$N$13)</f>
        <v/>
      </c>
      <c r="GQ16">
        <f>IF(ISNA(GJ16),NA(),IF(OR(Capability!$Q$13="",Settings!$F$7&lt;&gt;"Y"),NA(),Capability!$Q$13))</f>
        <v/>
      </c>
      <c r="GR16">
        <f>IF(ISNA(GJ16),NA(),IF(OR(Capability!$P$13="",Settings!$F$7&lt;&gt;"Y"),NA(),Capability!$P$13))</f>
        <v/>
      </c>
      <c r="GS16">
        <f>IF(GQ$1="","",ROUND(GO$1+GQ$1*12.5,4))</f>
        <v/>
      </c>
      <c r="GT16">
        <f>IF(GQ$1="","",COUNTIFS('Data Entry'!$P$5:$P$10004,"&gt;="&amp;(GO$1+GQ$1*12),'Data Entry'!$P$5:$P$10004,"&lt;"&amp;(GO$1+GQ$1*13)))</f>
        <v/>
      </c>
      <c r="GU16">
        <f>IF(OR(Capability!$P$13="",GQ$1=""),NA(),IF(AND(Capability!$P$13&gt;=(GO$1+GQ$1*12),Capability!$P$13&lt;(GO$1+GQ$1*13)),GS$1*1.15,NA()))</f>
        <v/>
      </c>
      <c r="GV16">
        <f>IF(OR(Capability!$Q$13="",GQ$1=""),NA(),IF(AND(Capability!$Q$13&gt;=(GO$1+GQ$1*12),Capability!$Q$13&lt;(GO$1+GQ$1*13)),GS$1*1.15,NA()))</f>
        <v/>
      </c>
      <c r="GX16">
        <f>IF((HA$1+12)&gt;GY$1,NA(),(HA$1+12)-4)</f>
        <v/>
      </c>
      <c r="GY16">
        <f>IF((HA$1+12)&gt;GY$1,NA(),INDEX('Data Entry'!$Q$5:$Q$10004,(HA$1+12)-4))</f>
        <v/>
      </c>
      <c r="GZ16">
        <f>IF(ISNA(GX16),NA(),Capability!$K$14)</f>
        <v/>
      </c>
      <c r="HA16">
        <f>IF(ISNA(GX16),NA(),Capability!$J$14)</f>
        <v/>
      </c>
      <c r="HB16">
        <f>IF(ISNA(GX16),NA(),Capability!$L$14)</f>
        <v/>
      </c>
      <c r="HC16">
        <f>IF(OR(ISNA(GY16),ISNA(GY15)),NA(),ABS(GY16-GY15))</f>
        <v/>
      </c>
      <c r="HD16">
        <f>IF(ISNA(GX16),NA(),Capability!$N$14)</f>
        <v/>
      </c>
      <c r="HE16">
        <f>IF(ISNA(GX16),NA(),IF(OR(Capability!$Q$14="",Settings!$F$7&lt;&gt;"Y"),NA(),Capability!$Q$14))</f>
        <v/>
      </c>
      <c r="HF16">
        <f>IF(ISNA(GX16),NA(),IF(OR(Capability!$P$14="",Settings!$F$7&lt;&gt;"Y"),NA(),Capability!$P$14))</f>
        <v/>
      </c>
      <c r="HG16">
        <f>IF(HE$1="","",ROUND(HC$1+HE$1*12.5,4))</f>
        <v/>
      </c>
      <c r="HH16">
        <f>IF(HE$1="","",COUNTIFS('Data Entry'!$Q$5:$Q$10004,"&gt;="&amp;(HC$1+HE$1*12),'Data Entry'!$Q$5:$Q$10004,"&lt;"&amp;(HC$1+HE$1*13)))</f>
        <v/>
      </c>
      <c r="HI16">
        <f>IF(OR(Capability!$P$14="",HE$1=""),NA(),IF(AND(Capability!$P$14&gt;=(HC$1+HE$1*12),Capability!$P$14&lt;(HC$1+HE$1*13)),HG$1*1.15,NA()))</f>
        <v/>
      </c>
      <c r="HJ16">
        <f>IF(OR(Capability!$Q$14="",HE$1=""),NA(),IF(AND(Capability!$Q$14&gt;=(HC$1+HE$1*12),Capability!$Q$14&lt;(HC$1+HE$1*13)),HG$1*1.15,NA()))</f>
        <v/>
      </c>
    </row>
    <row r="17">
      <c r="A17" s="35" t="inlineStr">
        <is>
          <t>UCL</t>
        </is>
      </c>
      <c r="B17" s="23">
        <f>Capability!J5</f>
        <v/>
      </c>
      <c r="CB17">
        <f>IF((CE$1+13)&gt;CC$1,NA(),(CE$1+13)-4)</f>
        <v/>
      </c>
      <c r="CC17">
        <f>IF((CE$1+13)&gt;CC$1,NA(),INDEX('Data Entry'!$H$5:$H$10004,(CE$1+13)-4))</f>
        <v/>
      </c>
      <c r="CD17">
        <f>IF(ISNA(CB17),NA(),Capability!$K$5)</f>
        <v/>
      </c>
      <c r="CE17">
        <f>IF(ISNA(CB17),NA(),Capability!$J$5)</f>
        <v/>
      </c>
      <c r="CF17">
        <f>IF(ISNA(CB17),NA(),Capability!$L$5)</f>
        <v/>
      </c>
      <c r="CG17">
        <f>IF(OR(ISNA(CC17),ISNA(CC16)),NA(),ABS(CC17-CC16))</f>
        <v/>
      </c>
      <c r="CH17">
        <f>IF(ISNA(CB17),NA(),Capability!$N$5)</f>
        <v/>
      </c>
      <c r="CI17">
        <f>IF(ISNA(CB17),NA(),IF(OR(Capability!$Q$5="",Settings!$F$7&lt;&gt;"Y"),NA(),Capability!$Q$5))</f>
        <v/>
      </c>
      <c r="CJ17">
        <f>IF(ISNA(CB17),NA(),IF(OR(Capability!$P$5="",Settings!$F$7&lt;&gt;"Y"),NA(),Capability!$P$5))</f>
        <v/>
      </c>
      <c r="CK17">
        <f>IF(CI$1="","",ROUND(CG$1+CI$1*13.5,4))</f>
        <v/>
      </c>
      <c r="CL17">
        <f>IF(CI$1="","",COUNTIFS('Data Entry'!$H$5:$H$10004,"&gt;="&amp;(CG$1+CI$1*13),'Data Entry'!$H$5:$H$10004,"&lt;"&amp;(CG$1+CI$1*14)))</f>
        <v/>
      </c>
      <c r="CM17">
        <f>IF(OR(Capability!$P$5="",CI$1=""),NA(),IF(AND(Capability!$P$5&gt;=(CG$1+CI$1*13),Capability!$P$5&lt;(CG$1+CI$1*14)),CK$1*1.15,NA()))</f>
        <v/>
      </c>
      <c r="CN17">
        <f>IF(OR(Capability!$Q$5="",CI$1=""),NA(),IF(AND(Capability!$Q$5&gt;=(CG$1+CI$1*13),Capability!$Q$5&lt;(CG$1+CI$1*14)),CK$1*1.15,NA()))</f>
        <v/>
      </c>
      <c r="CP17">
        <f>IF((CS$1+13)&gt;CQ$1,NA(),(CS$1+13)-4)</f>
        <v/>
      </c>
      <c r="CQ17">
        <f>IF((CS$1+13)&gt;CQ$1,NA(),INDEX('Data Entry'!$I$5:$I$10004,(CS$1+13)-4))</f>
        <v/>
      </c>
      <c r="CR17">
        <f>IF(ISNA(CP17),NA(),Capability!$K$6)</f>
        <v/>
      </c>
      <c r="CS17">
        <f>IF(ISNA(CP17),NA(),Capability!$J$6)</f>
        <v/>
      </c>
      <c r="CT17">
        <f>IF(ISNA(CP17),NA(),Capability!$L$6)</f>
        <v/>
      </c>
      <c r="CU17">
        <f>IF(OR(ISNA(CQ17),ISNA(CQ16)),NA(),ABS(CQ17-CQ16))</f>
        <v/>
      </c>
      <c r="CV17">
        <f>IF(ISNA(CP17),NA(),Capability!$N$6)</f>
        <v/>
      </c>
      <c r="CW17">
        <f>IF(ISNA(CP17),NA(),IF(OR(Capability!$Q$6="",Settings!$F$7&lt;&gt;"Y"),NA(),Capability!$Q$6))</f>
        <v/>
      </c>
      <c r="CX17">
        <f>IF(ISNA(CP17),NA(),IF(OR(Capability!$P$6="",Settings!$F$7&lt;&gt;"Y"),NA(),Capability!$P$6))</f>
        <v/>
      </c>
      <c r="CY17">
        <f>IF(CW$1="","",ROUND(CU$1+CW$1*13.5,4))</f>
        <v/>
      </c>
      <c r="CZ17">
        <f>IF(CW$1="","",COUNTIFS('Data Entry'!$I$5:$I$10004,"&gt;="&amp;(CU$1+CW$1*13),'Data Entry'!$I$5:$I$10004,"&lt;"&amp;(CU$1+CW$1*14)))</f>
        <v/>
      </c>
      <c r="DA17">
        <f>IF(OR(Capability!$P$6="",CW$1=""),NA(),IF(AND(Capability!$P$6&gt;=(CU$1+CW$1*13),Capability!$P$6&lt;(CU$1+CW$1*14)),CY$1*1.15,NA()))</f>
        <v/>
      </c>
      <c r="DB17">
        <f>IF(OR(Capability!$Q$6="",CW$1=""),NA(),IF(AND(Capability!$Q$6&gt;=(CU$1+CW$1*13),Capability!$Q$6&lt;(CU$1+CW$1*14)),CY$1*1.15,NA()))</f>
        <v/>
      </c>
      <c r="DD17">
        <f>IF((DG$1+13)&gt;DE$1,NA(),(DG$1+13)-4)</f>
        <v/>
      </c>
      <c r="DE17">
        <f>IF((DG$1+13)&gt;DE$1,NA(),INDEX('Data Entry'!$J$5:$J$10004,(DG$1+13)-4))</f>
        <v/>
      </c>
      <c r="DF17">
        <f>IF(ISNA(DD17),NA(),Capability!$K$7)</f>
        <v/>
      </c>
      <c r="DG17">
        <f>IF(ISNA(DD17),NA(),Capability!$J$7)</f>
        <v/>
      </c>
      <c r="DH17">
        <f>IF(ISNA(DD17),NA(),Capability!$L$7)</f>
        <v/>
      </c>
      <c r="DI17">
        <f>IF(OR(ISNA(DE17),ISNA(DE16)),NA(),ABS(DE17-DE16))</f>
        <v/>
      </c>
      <c r="DJ17">
        <f>IF(ISNA(DD17),NA(),Capability!$N$7)</f>
        <v/>
      </c>
      <c r="DK17">
        <f>IF(ISNA(DD17),NA(),IF(OR(Capability!$Q$7="",Settings!$F$7&lt;&gt;"Y"),NA(),Capability!$Q$7))</f>
        <v/>
      </c>
      <c r="DL17">
        <f>IF(ISNA(DD17),NA(),IF(OR(Capability!$P$7="",Settings!$F$7&lt;&gt;"Y"),NA(),Capability!$P$7))</f>
        <v/>
      </c>
      <c r="DM17">
        <f>IF(DK$1="","",ROUND(DI$1+DK$1*13.5,4))</f>
        <v/>
      </c>
      <c r="DN17">
        <f>IF(DK$1="","",COUNTIFS('Data Entry'!$J$5:$J$10004,"&gt;="&amp;(DI$1+DK$1*13),'Data Entry'!$J$5:$J$10004,"&lt;"&amp;(DI$1+DK$1*14)))</f>
        <v/>
      </c>
      <c r="DO17">
        <f>IF(OR(Capability!$P$7="",DK$1=""),NA(),IF(AND(Capability!$P$7&gt;=(DI$1+DK$1*13),Capability!$P$7&lt;(DI$1+DK$1*14)),DM$1*1.15,NA()))</f>
        <v/>
      </c>
      <c r="DP17">
        <f>IF(OR(Capability!$Q$7="",DK$1=""),NA(),IF(AND(Capability!$Q$7&gt;=(DI$1+DK$1*13),Capability!$Q$7&lt;(DI$1+DK$1*14)),DM$1*1.15,NA()))</f>
        <v/>
      </c>
      <c r="DR17">
        <f>IF((DU$1+13)&gt;DS$1,NA(),(DU$1+13)-4)</f>
        <v/>
      </c>
      <c r="DS17">
        <f>IF((DU$1+13)&gt;DS$1,NA(),INDEX('Data Entry'!$K$5:$K$10004,(DU$1+13)-4))</f>
        <v/>
      </c>
      <c r="DT17">
        <f>IF(ISNA(DR17),NA(),Capability!$K$8)</f>
        <v/>
      </c>
      <c r="DU17">
        <f>IF(ISNA(DR17),NA(),Capability!$J$8)</f>
        <v/>
      </c>
      <c r="DV17">
        <f>IF(ISNA(DR17),NA(),Capability!$L$8)</f>
        <v/>
      </c>
      <c r="DW17">
        <f>IF(OR(ISNA(DS17),ISNA(DS16)),NA(),ABS(DS17-DS16))</f>
        <v/>
      </c>
      <c r="DX17">
        <f>IF(ISNA(DR17),NA(),Capability!$N$8)</f>
        <v/>
      </c>
      <c r="DY17">
        <f>IF(ISNA(DR17),NA(),IF(OR(Capability!$Q$8="",Settings!$F$7&lt;&gt;"Y"),NA(),Capability!$Q$8))</f>
        <v/>
      </c>
      <c r="DZ17">
        <f>IF(ISNA(DR17),NA(),IF(OR(Capability!$P$8="",Settings!$F$7&lt;&gt;"Y"),NA(),Capability!$P$8))</f>
        <v/>
      </c>
      <c r="EA17">
        <f>IF(DY$1="","",ROUND(DW$1+DY$1*13.5,4))</f>
        <v/>
      </c>
      <c r="EB17">
        <f>IF(DY$1="","",COUNTIFS('Data Entry'!$K$5:$K$10004,"&gt;="&amp;(DW$1+DY$1*13),'Data Entry'!$K$5:$K$10004,"&lt;"&amp;(DW$1+DY$1*14)))</f>
        <v/>
      </c>
      <c r="EC17">
        <f>IF(OR(Capability!$P$8="",DY$1=""),NA(),IF(AND(Capability!$P$8&gt;=(DW$1+DY$1*13),Capability!$P$8&lt;(DW$1+DY$1*14)),EA$1*1.15,NA()))</f>
        <v/>
      </c>
      <c r="ED17">
        <f>IF(OR(Capability!$Q$8="",DY$1=""),NA(),IF(AND(Capability!$Q$8&gt;=(DW$1+DY$1*13),Capability!$Q$8&lt;(DW$1+DY$1*14)),EA$1*1.15,NA()))</f>
        <v/>
      </c>
      <c r="EF17">
        <f>IF((EI$1+13)&gt;EG$1,NA(),(EI$1+13)-4)</f>
        <v/>
      </c>
      <c r="EG17">
        <f>IF((EI$1+13)&gt;EG$1,NA(),INDEX('Data Entry'!$L$5:$L$10004,(EI$1+13)-4))</f>
        <v/>
      </c>
      <c r="EH17">
        <f>IF(ISNA(EF17),NA(),Capability!$K$9)</f>
        <v/>
      </c>
      <c r="EI17">
        <f>IF(ISNA(EF17),NA(),Capability!$J$9)</f>
        <v/>
      </c>
      <c r="EJ17">
        <f>IF(ISNA(EF17),NA(),Capability!$L$9)</f>
        <v/>
      </c>
      <c r="EK17">
        <f>IF(OR(ISNA(EG17),ISNA(EG16)),NA(),ABS(EG17-EG16))</f>
        <v/>
      </c>
      <c r="EL17">
        <f>IF(ISNA(EF17),NA(),Capability!$N$9)</f>
        <v/>
      </c>
      <c r="EM17">
        <f>IF(ISNA(EF17),NA(),IF(OR(Capability!$Q$9="",Settings!$F$7&lt;&gt;"Y"),NA(),Capability!$Q$9))</f>
        <v/>
      </c>
      <c r="EN17">
        <f>IF(ISNA(EF17),NA(),IF(OR(Capability!$P$9="",Settings!$F$7&lt;&gt;"Y"),NA(),Capability!$P$9))</f>
        <v/>
      </c>
      <c r="EO17">
        <f>IF(EM$1="","",ROUND(EK$1+EM$1*13.5,4))</f>
        <v/>
      </c>
      <c r="EP17">
        <f>IF(EM$1="","",COUNTIFS('Data Entry'!$L$5:$L$10004,"&gt;="&amp;(EK$1+EM$1*13),'Data Entry'!$L$5:$L$10004,"&lt;"&amp;(EK$1+EM$1*14)))</f>
        <v/>
      </c>
      <c r="EQ17">
        <f>IF(OR(Capability!$P$9="",EM$1=""),NA(),IF(AND(Capability!$P$9&gt;=(EK$1+EM$1*13),Capability!$P$9&lt;(EK$1+EM$1*14)),EO$1*1.15,NA()))</f>
        <v/>
      </c>
      <c r="ER17">
        <f>IF(OR(Capability!$Q$9="",EM$1=""),NA(),IF(AND(Capability!$Q$9&gt;=(EK$1+EM$1*13),Capability!$Q$9&lt;(EK$1+EM$1*14)),EO$1*1.15,NA()))</f>
        <v/>
      </c>
      <c r="ET17">
        <f>IF((EW$1+13)&gt;EU$1,NA(),(EW$1+13)-4)</f>
        <v/>
      </c>
      <c r="EU17">
        <f>IF((EW$1+13)&gt;EU$1,NA(),INDEX('Data Entry'!$M$5:$M$10004,(EW$1+13)-4))</f>
        <v/>
      </c>
      <c r="EV17">
        <f>IF(ISNA(ET17),NA(),Capability!$K$10)</f>
        <v/>
      </c>
      <c r="EW17">
        <f>IF(ISNA(ET17),NA(),Capability!$J$10)</f>
        <v/>
      </c>
      <c r="EX17">
        <f>IF(ISNA(ET17),NA(),Capability!$L$10)</f>
        <v/>
      </c>
      <c r="EY17">
        <f>IF(OR(ISNA(EU17),ISNA(EU16)),NA(),ABS(EU17-EU16))</f>
        <v/>
      </c>
      <c r="EZ17">
        <f>IF(ISNA(ET17),NA(),Capability!$N$10)</f>
        <v/>
      </c>
      <c r="FA17">
        <f>IF(ISNA(ET17),NA(),IF(OR(Capability!$Q$10="",Settings!$F$7&lt;&gt;"Y"),NA(),Capability!$Q$10))</f>
        <v/>
      </c>
      <c r="FB17">
        <f>IF(ISNA(ET17),NA(),IF(OR(Capability!$P$10="",Settings!$F$7&lt;&gt;"Y"),NA(),Capability!$P$10))</f>
        <v/>
      </c>
      <c r="FC17">
        <f>IF(FA$1="","",ROUND(EY$1+FA$1*13.5,4))</f>
        <v/>
      </c>
      <c r="FD17">
        <f>IF(FA$1="","",COUNTIFS('Data Entry'!$M$5:$M$10004,"&gt;="&amp;(EY$1+FA$1*13),'Data Entry'!$M$5:$M$10004,"&lt;"&amp;(EY$1+FA$1*14)))</f>
        <v/>
      </c>
      <c r="FE17">
        <f>IF(OR(Capability!$P$10="",FA$1=""),NA(),IF(AND(Capability!$P$10&gt;=(EY$1+FA$1*13),Capability!$P$10&lt;(EY$1+FA$1*14)),FC$1*1.15,NA()))</f>
        <v/>
      </c>
      <c r="FF17">
        <f>IF(OR(Capability!$Q$10="",FA$1=""),NA(),IF(AND(Capability!$Q$10&gt;=(EY$1+FA$1*13),Capability!$Q$10&lt;(EY$1+FA$1*14)),FC$1*1.15,NA()))</f>
        <v/>
      </c>
      <c r="FH17">
        <f>IF((FK$1+13)&gt;FI$1,NA(),(FK$1+13)-4)</f>
        <v/>
      </c>
      <c r="FI17">
        <f>IF((FK$1+13)&gt;FI$1,NA(),INDEX('Data Entry'!$N$5:$N$10004,(FK$1+13)-4))</f>
        <v/>
      </c>
      <c r="FJ17">
        <f>IF(ISNA(FH17),NA(),Capability!$K$11)</f>
        <v/>
      </c>
      <c r="FK17">
        <f>IF(ISNA(FH17),NA(),Capability!$J$11)</f>
        <v/>
      </c>
      <c r="FL17">
        <f>IF(ISNA(FH17),NA(),Capability!$L$11)</f>
        <v/>
      </c>
      <c r="FM17">
        <f>IF(OR(ISNA(FI17),ISNA(FI16)),NA(),ABS(FI17-FI16))</f>
        <v/>
      </c>
      <c r="FN17">
        <f>IF(ISNA(FH17),NA(),Capability!$N$11)</f>
        <v/>
      </c>
      <c r="FO17">
        <f>IF(ISNA(FH17),NA(),IF(OR(Capability!$Q$11="",Settings!$F$7&lt;&gt;"Y"),NA(),Capability!$Q$11))</f>
        <v/>
      </c>
      <c r="FP17">
        <f>IF(ISNA(FH17),NA(),IF(OR(Capability!$P$11="",Settings!$F$7&lt;&gt;"Y"),NA(),Capability!$P$11))</f>
        <v/>
      </c>
      <c r="FQ17">
        <f>IF(FO$1="","",ROUND(FM$1+FO$1*13.5,4))</f>
        <v/>
      </c>
      <c r="FR17">
        <f>IF(FO$1="","",COUNTIFS('Data Entry'!$N$5:$N$10004,"&gt;="&amp;(FM$1+FO$1*13),'Data Entry'!$N$5:$N$10004,"&lt;"&amp;(FM$1+FO$1*14)))</f>
        <v/>
      </c>
      <c r="FS17">
        <f>IF(OR(Capability!$P$11="",FO$1=""),NA(),IF(AND(Capability!$P$11&gt;=(FM$1+FO$1*13),Capability!$P$11&lt;(FM$1+FO$1*14)),FQ$1*1.15,NA()))</f>
        <v/>
      </c>
      <c r="FT17">
        <f>IF(OR(Capability!$Q$11="",FO$1=""),NA(),IF(AND(Capability!$Q$11&gt;=(FM$1+FO$1*13),Capability!$Q$11&lt;(FM$1+FO$1*14)),FQ$1*1.15,NA()))</f>
        <v/>
      </c>
      <c r="FV17">
        <f>IF((FY$1+13)&gt;FW$1,NA(),(FY$1+13)-4)</f>
        <v/>
      </c>
      <c r="FW17">
        <f>IF((FY$1+13)&gt;FW$1,NA(),INDEX('Data Entry'!$O$5:$O$10004,(FY$1+13)-4))</f>
        <v/>
      </c>
      <c r="FX17">
        <f>IF(ISNA(FV17),NA(),Capability!$K$12)</f>
        <v/>
      </c>
      <c r="FY17">
        <f>IF(ISNA(FV17),NA(),Capability!$J$12)</f>
        <v/>
      </c>
      <c r="FZ17">
        <f>IF(ISNA(FV17),NA(),Capability!$L$12)</f>
        <v/>
      </c>
      <c r="GA17">
        <f>IF(OR(ISNA(FW17),ISNA(FW16)),NA(),ABS(FW17-FW16))</f>
        <v/>
      </c>
      <c r="GB17">
        <f>IF(ISNA(FV17),NA(),Capability!$N$12)</f>
        <v/>
      </c>
      <c r="GC17">
        <f>IF(ISNA(FV17),NA(),IF(OR(Capability!$Q$12="",Settings!$F$7&lt;&gt;"Y"),NA(),Capability!$Q$12))</f>
        <v/>
      </c>
      <c r="GD17">
        <f>IF(ISNA(FV17),NA(),IF(OR(Capability!$P$12="",Settings!$F$7&lt;&gt;"Y"),NA(),Capability!$P$12))</f>
        <v/>
      </c>
      <c r="GE17">
        <f>IF(GC$1="","",ROUND(GA$1+GC$1*13.5,4))</f>
        <v/>
      </c>
      <c r="GF17">
        <f>IF(GC$1="","",COUNTIFS('Data Entry'!$O$5:$O$10004,"&gt;="&amp;(GA$1+GC$1*13),'Data Entry'!$O$5:$O$10004,"&lt;"&amp;(GA$1+GC$1*14)))</f>
        <v/>
      </c>
      <c r="GG17">
        <f>IF(OR(Capability!$P$12="",GC$1=""),NA(),IF(AND(Capability!$P$12&gt;=(GA$1+GC$1*13),Capability!$P$12&lt;(GA$1+GC$1*14)),GE$1*1.15,NA()))</f>
        <v/>
      </c>
      <c r="GH17">
        <f>IF(OR(Capability!$Q$12="",GC$1=""),NA(),IF(AND(Capability!$Q$12&gt;=(GA$1+GC$1*13),Capability!$Q$12&lt;(GA$1+GC$1*14)),GE$1*1.15,NA()))</f>
        <v/>
      </c>
      <c r="GJ17">
        <f>IF((GM$1+13)&gt;GK$1,NA(),(GM$1+13)-4)</f>
        <v/>
      </c>
      <c r="GK17">
        <f>IF((GM$1+13)&gt;GK$1,NA(),INDEX('Data Entry'!$P$5:$P$10004,(GM$1+13)-4))</f>
        <v/>
      </c>
      <c r="GL17">
        <f>IF(ISNA(GJ17),NA(),Capability!$K$13)</f>
        <v/>
      </c>
      <c r="GM17">
        <f>IF(ISNA(GJ17),NA(),Capability!$J$13)</f>
        <v/>
      </c>
      <c r="GN17">
        <f>IF(ISNA(GJ17),NA(),Capability!$L$13)</f>
        <v/>
      </c>
      <c r="GO17">
        <f>IF(OR(ISNA(GK17),ISNA(GK16)),NA(),ABS(GK17-GK16))</f>
        <v/>
      </c>
      <c r="GP17">
        <f>IF(ISNA(GJ17),NA(),Capability!$N$13)</f>
        <v/>
      </c>
      <c r="GQ17">
        <f>IF(ISNA(GJ17),NA(),IF(OR(Capability!$Q$13="",Settings!$F$7&lt;&gt;"Y"),NA(),Capability!$Q$13))</f>
        <v/>
      </c>
      <c r="GR17">
        <f>IF(ISNA(GJ17),NA(),IF(OR(Capability!$P$13="",Settings!$F$7&lt;&gt;"Y"),NA(),Capability!$P$13))</f>
        <v/>
      </c>
      <c r="GS17">
        <f>IF(GQ$1="","",ROUND(GO$1+GQ$1*13.5,4))</f>
        <v/>
      </c>
      <c r="GT17">
        <f>IF(GQ$1="","",COUNTIFS('Data Entry'!$P$5:$P$10004,"&gt;="&amp;(GO$1+GQ$1*13),'Data Entry'!$P$5:$P$10004,"&lt;"&amp;(GO$1+GQ$1*14)))</f>
        <v/>
      </c>
      <c r="GU17">
        <f>IF(OR(Capability!$P$13="",GQ$1=""),NA(),IF(AND(Capability!$P$13&gt;=(GO$1+GQ$1*13),Capability!$P$13&lt;(GO$1+GQ$1*14)),GS$1*1.15,NA()))</f>
        <v/>
      </c>
      <c r="GV17">
        <f>IF(OR(Capability!$Q$13="",GQ$1=""),NA(),IF(AND(Capability!$Q$13&gt;=(GO$1+GQ$1*13),Capability!$Q$13&lt;(GO$1+GQ$1*14)),GS$1*1.15,NA()))</f>
        <v/>
      </c>
      <c r="GX17">
        <f>IF((HA$1+13)&gt;GY$1,NA(),(HA$1+13)-4)</f>
        <v/>
      </c>
      <c r="GY17">
        <f>IF((HA$1+13)&gt;GY$1,NA(),INDEX('Data Entry'!$Q$5:$Q$10004,(HA$1+13)-4))</f>
        <v/>
      </c>
      <c r="GZ17">
        <f>IF(ISNA(GX17),NA(),Capability!$K$14)</f>
        <v/>
      </c>
      <c r="HA17">
        <f>IF(ISNA(GX17),NA(),Capability!$J$14)</f>
        <v/>
      </c>
      <c r="HB17">
        <f>IF(ISNA(GX17),NA(),Capability!$L$14)</f>
        <v/>
      </c>
      <c r="HC17">
        <f>IF(OR(ISNA(GY17),ISNA(GY16)),NA(),ABS(GY17-GY16))</f>
        <v/>
      </c>
      <c r="HD17">
        <f>IF(ISNA(GX17),NA(),Capability!$N$14)</f>
        <v/>
      </c>
      <c r="HE17">
        <f>IF(ISNA(GX17),NA(),IF(OR(Capability!$Q$14="",Settings!$F$7&lt;&gt;"Y"),NA(),Capability!$Q$14))</f>
        <v/>
      </c>
      <c r="HF17">
        <f>IF(ISNA(GX17),NA(),IF(OR(Capability!$P$14="",Settings!$F$7&lt;&gt;"Y"),NA(),Capability!$P$14))</f>
        <v/>
      </c>
      <c r="HG17">
        <f>IF(HE$1="","",ROUND(HC$1+HE$1*13.5,4))</f>
        <v/>
      </c>
      <c r="HH17">
        <f>IF(HE$1="","",COUNTIFS('Data Entry'!$Q$5:$Q$10004,"&gt;="&amp;(HC$1+HE$1*13),'Data Entry'!$Q$5:$Q$10004,"&lt;"&amp;(HC$1+HE$1*14)))</f>
        <v/>
      </c>
      <c r="HI17">
        <f>IF(OR(Capability!$P$14="",HE$1=""),NA(),IF(AND(Capability!$P$14&gt;=(HC$1+HE$1*13),Capability!$P$14&lt;(HC$1+HE$1*14)),HG$1*1.15,NA()))</f>
        <v/>
      </c>
      <c r="HJ17">
        <f>IF(OR(Capability!$Q$14="",HE$1=""),NA(),IF(AND(Capability!$Q$14&gt;=(HC$1+HE$1*13),Capability!$Q$14&lt;(HC$1+HE$1*14)),HG$1*1.15,NA()))</f>
        <v/>
      </c>
    </row>
    <row r="18">
      <c r="A18" s="35" t="inlineStr">
        <is>
          <t>CL</t>
        </is>
      </c>
      <c r="B18" s="23">
        <f>Capability!K5</f>
        <v/>
      </c>
      <c r="CB18">
        <f>IF((CE$1+14)&gt;CC$1,NA(),(CE$1+14)-4)</f>
        <v/>
      </c>
      <c r="CC18">
        <f>IF((CE$1+14)&gt;CC$1,NA(),INDEX('Data Entry'!$H$5:$H$10004,(CE$1+14)-4))</f>
        <v/>
      </c>
      <c r="CD18">
        <f>IF(ISNA(CB18),NA(),Capability!$K$5)</f>
        <v/>
      </c>
      <c r="CE18">
        <f>IF(ISNA(CB18),NA(),Capability!$J$5)</f>
        <v/>
      </c>
      <c r="CF18">
        <f>IF(ISNA(CB18),NA(),Capability!$L$5)</f>
        <v/>
      </c>
      <c r="CG18">
        <f>IF(OR(ISNA(CC18),ISNA(CC17)),NA(),ABS(CC18-CC17))</f>
        <v/>
      </c>
      <c r="CH18">
        <f>IF(ISNA(CB18),NA(),Capability!$N$5)</f>
        <v/>
      </c>
      <c r="CI18">
        <f>IF(ISNA(CB18),NA(),IF(OR(Capability!$Q$5="",Settings!$F$7&lt;&gt;"Y"),NA(),Capability!$Q$5))</f>
        <v/>
      </c>
      <c r="CJ18">
        <f>IF(ISNA(CB18),NA(),IF(OR(Capability!$P$5="",Settings!$F$7&lt;&gt;"Y"),NA(),Capability!$P$5))</f>
        <v/>
      </c>
      <c r="CK18">
        <f>IF(CI$1="","",ROUND(CG$1+CI$1*14.5,4))</f>
        <v/>
      </c>
      <c r="CL18">
        <f>IF(CI$1="","",COUNTIFS('Data Entry'!$H$5:$H$10004,"&gt;="&amp;(CG$1+CI$1*14),'Data Entry'!$H$5:$H$10004,"&lt;="&amp;(CG$1+CI$1*15)))</f>
        <v/>
      </c>
      <c r="CM18">
        <f>IF(OR(Capability!$P$5="",CI$1=""),NA(),IF(AND(Capability!$P$5&gt;=(CG$1+CI$1*14),Capability!$P$5&lt;(CG$1+CI$1*15)),CK$1*1.15,NA()))</f>
        <v/>
      </c>
      <c r="CN18">
        <f>IF(OR(Capability!$Q$5="",CI$1=""),NA(),IF(AND(Capability!$Q$5&gt;=(CG$1+CI$1*14),Capability!$Q$5&lt;(CG$1+CI$1*15)),CK$1*1.15,NA()))</f>
        <v/>
      </c>
      <c r="CP18">
        <f>IF((CS$1+14)&gt;CQ$1,NA(),(CS$1+14)-4)</f>
        <v/>
      </c>
      <c r="CQ18">
        <f>IF((CS$1+14)&gt;CQ$1,NA(),INDEX('Data Entry'!$I$5:$I$10004,(CS$1+14)-4))</f>
        <v/>
      </c>
      <c r="CR18">
        <f>IF(ISNA(CP18),NA(),Capability!$K$6)</f>
        <v/>
      </c>
      <c r="CS18">
        <f>IF(ISNA(CP18),NA(),Capability!$J$6)</f>
        <v/>
      </c>
      <c r="CT18">
        <f>IF(ISNA(CP18),NA(),Capability!$L$6)</f>
        <v/>
      </c>
      <c r="CU18">
        <f>IF(OR(ISNA(CQ18),ISNA(CQ17)),NA(),ABS(CQ18-CQ17))</f>
        <v/>
      </c>
      <c r="CV18">
        <f>IF(ISNA(CP18),NA(),Capability!$N$6)</f>
        <v/>
      </c>
      <c r="CW18">
        <f>IF(ISNA(CP18),NA(),IF(OR(Capability!$Q$6="",Settings!$F$7&lt;&gt;"Y"),NA(),Capability!$Q$6))</f>
        <v/>
      </c>
      <c r="CX18">
        <f>IF(ISNA(CP18),NA(),IF(OR(Capability!$P$6="",Settings!$F$7&lt;&gt;"Y"),NA(),Capability!$P$6))</f>
        <v/>
      </c>
      <c r="CY18">
        <f>IF(CW$1="","",ROUND(CU$1+CW$1*14.5,4))</f>
        <v/>
      </c>
      <c r="CZ18">
        <f>IF(CW$1="","",COUNTIFS('Data Entry'!$I$5:$I$10004,"&gt;="&amp;(CU$1+CW$1*14),'Data Entry'!$I$5:$I$10004,"&lt;="&amp;(CU$1+CW$1*15)))</f>
        <v/>
      </c>
      <c r="DA18">
        <f>IF(OR(Capability!$P$6="",CW$1=""),NA(),IF(AND(Capability!$P$6&gt;=(CU$1+CW$1*14),Capability!$P$6&lt;(CU$1+CW$1*15)),CY$1*1.15,NA()))</f>
        <v/>
      </c>
      <c r="DB18">
        <f>IF(OR(Capability!$Q$6="",CW$1=""),NA(),IF(AND(Capability!$Q$6&gt;=(CU$1+CW$1*14),Capability!$Q$6&lt;(CU$1+CW$1*15)),CY$1*1.15,NA()))</f>
        <v/>
      </c>
      <c r="DD18">
        <f>IF((DG$1+14)&gt;DE$1,NA(),(DG$1+14)-4)</f>
        <v/>
      </c>
      <c r="DE18">
        <f>IF((DG$1+14)&gt;DE$1,NA(),INDEX('Data Entry'!$J$5:$J$10004,(DG$1+14)-4))</f>
        <v/>
      </c>
      <c r="DF18">
        <f>IF(ISNA(DD18),NA(),Capability!$K$7)</f>
        <v/>
      </c>
      <c r="DG18">
        <f>IF(ISNA(DD18),NA(),Capability!$J$7)</f>
        <v/>
      </c>
      <c r="DH18">
        <f>IF(ISNA(DD18),NA(),Capability!$L$7)</f>
        <v/>
      </c>
      <c r="DI18">
        <f>IF(OR(ISNA(DE18),ISNA(DE17)),NA(),ABS(DE18-DE17))</f>
        <v/>
      </c>
      <c r="DJ18">
        <f>IF(ISNA(DD18),NA(),Capability!$N$7)</f>
        <v/>
      </c>
      <c r="DK18">
        <f>IF(ISNA(DD18),NA(),IF(OR(Capability!$Q$7="",Settings!$F$7&lt;&gt;"Y"),NA(),Capability!$Q$7))</f>
        <v/>
      </c>
      <c r="DL18">
        <f>IF(ISNA(DD18),NA(),IF(OR(Capability!$P$7="",Settings!$F$7&lt;&gt;"Y"),NA(),Capability!$P$7))</f>
        <v/>
      </c>
      <c r="DM18">
        <f>IF(DK$1="","",ROUND(DI$1+DK$1*14.5,4))</f>
        <v/>
      </c>
      <c r="DN18">
        <f>IF(DK$1="","",COUNTIFS('Data Entry'!$J$5:$J$10004,"&gt;="&amp;(DI$1+DK$1*14),'Data Entry'!$J$5:$J$10004,"&lt;="&amp;(DI$1+DK$1*15)))</f>
        <v/>
      </c>
      <c r="DO18">
        <f>IF(OR(Capability!$P$7="",DK$1=""),NA(),IF(AND(Capability!$P$7&gt;=(DI$1+DK$1*14),Capability!$P$7&lt;(DI$1+DK$1*15)),DM$1*1.15,NA()))</f>
        <v/>
      </c>
      <c r="DP18">
        <f>IF(OR(Capability!$Q$7="",DK$1=""),NA(),IF(AND(Capability!$Q$7&gt;=(DI$1+DK$1*14),Capability!$Q$7&lt;(DI$1+DK$1*15)),DM$1*1.15,NA()))</f>
        <v/>
      </c>
      <c r="DR18">
        <f>IF((DU$1+14)&gt;DS$1,NA(),(DU$1+14)-4)</f>
        <v/>
      </c>
      <c r="DS18">
        <f>IF((DU$1+14)&gt;DS$1,NA(),INDEX('Data Entry'!$K$5:$K$10004,(DU$1+14)-4))</f>
        <v/>
      </c>
      <c r="DT18">
        <f>IF(ISNA(DR18),NA(),Capability!$K$8)</f>
        <v/>
      </c>
      <c r="DU18">
        <f>IF(ISNA(DR18),NA(),Capability!$J$8)</f>
        <v/>
      </c>
      <c r="DV18">
        <f>IF(ISNA(DR18),NA(),Capability!$L$8)</f>
        <v/>
      </c>
      <c r="DW18">
        <f>IF(OR(ISNA(DS18),ISNA(DS17)),NA(),ABS(DS18-DS17))</f>
        <v/>
      </c>
      <c r="DX18">
        <f>IF(ISNA(DR18),NA(),Capability!$N$8)</f>
        <v/>
      </c>
      <c r="DY18">
        <f>IF(ISNA(DR18),NA(),IF(OR(Capability!$Q$8="",Settings!$F$7&lt;&gt;"Y"),NA(),Capability!$Q$8))</f>
        <v/>
      </c>
      <c r="DZ18">
        <f>IF(ISNA(DR18),NA(),IF(OR(Capability!$P$8="",Settings!$F$7&lt;&gt;"Y"),NA(),Capability!$P$8))</f>
        <v/>
      </c>
      <c r="EA18">
        <f>IF(DY$1="","",ROUND(DW$1+DY$1*14.5,4))</f>
        <v/>
      </c>
      <c r="EB18">
        <f>IF(DY$1="","",COUNTIFS('Data Entry'!$K$5:$K$10004,"&gt;="&amp;(DW$1+DY$1*14),'Data Entry'!$K$5:$K$10004,"&lt;="&amp;(DW$1+DY$1*15)))</f>
        <v/>
      </c>
      <c r="EC18">
        <f>IF(OR(Capability!$P$8="",DY$1=""),NA(),IF(AND(Capability!$P$8&gt;=(DW$1+DY$1*14),Capability!$P$8&lt;(DW$1+DY$1*15)),EA$1*1.15,NA()))</f>
        <v/>
      </c>
      <c r="ED18">
        <f>IF(OR(Capability!$Q$8="",DY$1=""),NA(),IF(AND(Capability!$Q$8&gt;=(DW$1+DY$1*14),Capability!$Q$8&lt;(DW$1+DY$1*15)),EA$1*1.15,NA()))</f>
        <v/>
      </c>
      <c r="EF18">
        <f>IF((EI$1+14)&gt;EG$1,NA(),(EI$1+14)-4)</f>
        <v/>
      </c>
      <c r="EG18">
        <f>IF((EI$1+14)&gt;EG$1,NA(),INDEX('Data Entry'!$L$5:$L$10004,(EI$1+14)-4))</f>
        <v/>
      </c>
      <c r="EH18">
        <f>IF(ISNA(EF18),NA(),Capability!$K$9)</f>
        <v/>
      </c>
      <c r="EI18">
        <f>IF(ISNA(EF18),NA(),Capability!$J$9)</f>
        <v/>
      </c>
      <c r="EJ18">
        <f>IF(ISNA(EF18),NA(),Capability!$L$9)</f>
        <v/>
      </c>
      <c r="EK18">
        <f>IF(OR(ISNA(EG18),ISNA(EG17)),NA(),ABS(EG18-EG17))</f>
        <v/>
      </c>
      <c r="EL18">
        <f>IF(ISNA(EF18),NA(),Capability!$N$9)</f>
        <v/>
      </c>
      <c r="EM18">
        <f>IF(ISNA(EF18),NA(),IF(OR(Capability!$Q$9="",Settings!$F$7&lt;&gt;"Y"),NA(),Capability!$Q$9))</f>
        <v/>
      </c>
      <c r="EN18">
        <f>IF(ISNA(EF18),NA(),IF(OR(Capability!$P$9="",Settings!$F$7&lt;&gt;"Y"),NA(),Capability!$P$9))</f>
        <v/>
      </c>
      <c r="EO18">
        <f>IF(EM$1="","",ROUND(EK$1+EM$1*14.5,4))</f>
        <v/>
      </c>
      <c r="EP18">
        <f>IF(EM$1="","",COUNTIFS('Data Entry'!$L$5:$L$10004,"&gt;="&amp;(EK$1+EM$1*14),'Data Entry'!$L$5:$L$10004,"&lt;="&amp;(EK$1+EM$1*15)))</f>
        <v/>
      </c>
      <c r="EQ18">
        <f>IF(OR(Capability!$P$9="",EM$1=""),NA(),IF(AND(Capability!$P$9&gt;=(EK$1+EM$1*14),Capability!$P$9&lt;(EK$1+EM$1*15)),EO$1*1.15,NA()))</f>
        <v/>
      </c>
      <c r="ER18">
        <f>IF(OR(Capability!$Q$9="",EM$1=""),NA(),IF(AND(Capability!$Q$9&gt;=(EK$1+EM$1*14),Capability!$Q$9&lt;(EK$1+EM$1*15)),EO$1*1.15,NA()))</f>
        <v/>
      </c>
      <c r="ET18">
        <f>IF((EW$1+14)&gt;EU$1,NA(),(EW$1+14)-4)</f>
        <v/>
      </c>
      <c r="EU18">
        <f>IF((EW$1+14)&gt;EU$1,NA(),INDEX('Data Entry'!$M$5:$M$10004,(EW$1+14)-4))</f>
        <v/>
      </c>
      <c r="EV18">
        <f>IF(ISNA(ET18),NA(),Capability!$K$10)</f>
        <v/>
      </c>
      <c r="EW18">
        <f>IF(ISNA(ET18),NA(),Capability!$J$10)</f>
        <v/>
      </c>
      <c r="EX18">
        <f>IF(ISNA(ET18),NA(),Capability!$L$10)</f>
        <v/>
      </c>
      <c r="EY18">
        <f>IF(OR(ISNA(EU18),ISNA(EU17)),NA(),ABS(EU18-EU17))</f>
        <v/>
      </c>
      <c r="EZ18">
        <f>IF(ISNA(ET18),NA(),Capability!$N$10)</f>
        <v/>
      </c>
      <c r="FA18">
        <f>IF(ISNA(ET18),NA(),IF(OR(Capability!$Q$10="",Settings!$F$7&lt;&gt;"Y"),NA(),Capability!$Q$10))</f>
        <v/>
      </c>
      <c r="FB18">
        <f>IF(ISNA(ET18),NA(),IF(OR(Capability!$P$10="",Settings!$F$7&lt;&gt;"Y"),NA(),Capability!$P$10))</f>
        <v/>
      </c>
      <c r="FC18">
        <f>IF(FA$1="","",ROUND(EY$1+FA$1*14.5,4))</f>
        <v/>
      </c>
      <c r="FD18">
        <f>IF(FA$1="","",COUNTIFS('Data Entry'!$M$5:$M$10004,"&gt;="&amp;(EY$1+FA$1*14),'Data Entry'!$M$5:$M$10004,"&lt;="&amp;(EY$1+FA$1*15)))</f>
        <v/>
      </c>
      <c r="FE18">
        <f>IF(OR(Capability!$P$10="",FA$1=""),NA(),IF(AND(Capability!$P$10&gt;=(EY$1+FA$1*14),Capability!$P$10&lt;(EY$1+FA$1*15)),FC$1*1.15,NA()))</f>
        <v/>
      </c>
      <c r="FF18">
        <f>IF(OR(Capability!$Q$10="",FA$1=""),NA(),IF(AND(Capability!$Q$10&gt;=(EY$1+FA$1*14),Capability!$Q$10&lt;(EY$1+FA$1*15)),FC$1*1.15,NA()))</f>
        <v/>
      </c>
      <c r="FH18">
        <f>IF((FK$1+14)&gt;FI$1,NA(),(FK$1+14)-4)</f>
        <v/>
      </c>
      <c r="FI18">
        <f>IF((FK$1+14)&gt;FI$1,NA(),INDEX('Data Entry'!$N$5:$N$10004,(FK$1+14)-4))</f>
        <v/>
      </c>
      <c r="FJ18">
        <f>IF(ISNA(FH18),NA(),Capability!$K$11)</f>
        <v/>
      </c>
      <c r="FK18">
        <f>IF(ISNA(FH18),NA(),Capability!$J$11)</f>
        <v/>
      </c>
      <c r="FL18">
        <f>IF(ISNA(FH18),NA(),Capability!$L$11)</f>
        <v/>
      </c>
      <c r="FM18">
        <f>IF(OR(ISNA(FI18),ISNA(FI17)),NA(),ABS(FI18-FI17))</f>
        <v/>
      </c>
      <c r="FN18">
        <f>IF(ISNA(FH18),NA(),Capability!$N$11)</f>
        <v/>
      </c>
      <c r="FO18">
        <f>IF(ISNA(FH18),NA(),IF(OR(Capability!$Q$11="",Settings!$F$7&lt;&gt;"Y"),NA(),Capability!$Q$11))</f>
        <v/>
      </c>
      <c r="FP18">
        <f>IF(ISNA(FH18),NA(),IF(OR(Capability!$P$11="",Settings!$F$7&lt;&gt;"Y"),NA(),Capability!$P$11))</f>
        <v/>
      </c>
      <c r="FQ18">
        <f>IF(FO$1="","",ROUND(FM$1+FO$1*14.5,4))</f>
        <v/>
      </c>
      <c r="FR18">
        <f>IF(FO$1="","",COUNTIFS('Data Entry'!$N$5:$N$10004,"&gt;="&amp;(FM$1+FO$1*14),'Data Entry'!$N$5:$N$10004,"&lt;="&amp;(FM$1+FO$1*15)))</f>
        <v/>
      </c>
      <c r="FS18">
        <f>IF(OR(Capability!$P$11="",FO$1=""),NA(),IF(AND(Capability!$P$11&gt;=(FM$1+FO$1*14),Capability!$P$11&lt;(FM$1+FO$1*15)),FQ$1*1.15,NA()))</f>
        <v/>
      </c>
      <c r="FT18">
        <f>IF(OR(Capability!$Q$11="",FO$1=""),NA(),IF(AND(Capability!$Q$11&gt;=(FM$1+FO$1*14),Capability!$Q$11&lt;(FM$1+FO$1*15)),FQ$1*1.15,NA()))</f>
        <v/>
      </c>
      <c r="FV18">
        <f>IF((FY$1+14)&gt;FW$1,NA(),(FY$1+14)-4)</f>
        <v/>
      </c>
      <c r="FW18">
        <f>IF((FY$1+14)&gt;FW$1,NA(),INDEX('Data Entry'!$O$5:$O$10004,(FY$1+14)-4))</f>
        <v/>
      </c>
      <c r="FX18">
        <f>IF(ISNA(FV18),NA(),Capability!$K$12)</f>
        <v/>
      </c>
      <c r="FY18">
        <f>IF(ISNA(FV18),NA(),Capability!$J$12)</f>
        <v/>
      </c>
      <c r="FZ18">
        <f>IF(ISNA(FV18),NA(),Capability!$L$12)</f>
        <v/>
      </c>
      <c r="GA18">
        <f>IF(OR(ISNA(FW18),ISNA(FW17)),NA(),ABS(FW18-FW17))</f>
        <v/>
      </c>
      <c r="GB18">
        <f>IF(ISNA(FV18),NA(),Capability!$N$12)</f>
        <v/>
      </c>
      <c r="GC18">
        <f>IF(ISNA(FV18),NA(),IF(OR(Capability!$Q$12="",Settings!$F$7&lt;&gt;"Y"),NA(),Capability!$Q$12))</f>
        <v/>
      </c>
      <c r="GD18">
        <f>IF(ISNA(FV18),NA(),IF(OR(Capability!$P$12="",Settings!$F$7&lt;&gt;"Y"),NA(),Capability!$P$12))</f>
        <v/>
      </c>
      <c r="GE18">
        <f>IF(GC$1="","",ROUND(GA$1+GC$1*14.5,4))</f>
        <v/>
      </c>
      <c r="GF18">
        <f>IF(GC$1="","",COUNTIFS('Data Entry'!$O$5:$O$10004,"&gt;="&amp;(GA$1+GC$1*14),'Data Entry'!$O$5:$O$10004,"&lt;="&amp;(GA$1+GC$1*15)))</f>
        <v/>
      </c>
      <c r="GG18">
        <f>IF(OR(Capability!$P$12="",GC$1=""),NA(),IF(AND(Capability!$P$12&gt;=(GA$1+GC$1*14),Capability!$P$12&lt;(GA$1+GC$1*15)),GE$1*1.15,NA()))</f>
        <v/>
      </c>
      <c r="GH18">
        <f>IF(OR(Capability!$Q$12="",GC$1=""),NA(),IF(AND(Capability!$Q$12&gt;=(GA$1+GC$1*14),Capability!$Q$12&lt;(GA$1+GC$1*15)),GE$1*1.15,NA()))</f>
        <v/>
      </c>
      <c r="GJ18">
        <f>IF((GM$1+14)&gt;GK$1,NA(),(GM$1+14)-4)</f>
        <v/>
      </c>
      <c r="GK18">
        <f>IF((GM$1+14)&gt;GK$1,NA(),INDEX('Data Entry'!$P$5:$P$10004,(GM$1+14)-4))</f>
        <v/>
      </c>
      <c r="GL18">
        <f>IF(ISNA(GJ18),NA(),Capability!$K$13)</f>
        <v/>
      </c>
      <c r="GM18">
        <f>IF(ISNA(GJ18),NA(),Capability!$J$13)</f>
        <v/>
      </c>
      <c r="GN18">
        <f>IF(ISNA(GJ18),NA(),Capability!$L$13)</f>
        <v/>
      </c>
      <c r="GO18">
        <f>IF(OR(ISNA(GK18),ISNA(GK17)),NA(),ABS(GK18-GK17))</f>
        <v/>
      </c>
      <c r="GP18">
        <f>IF(ISNA(GJ18),NA(),Capability!$N$13)</f>
        <v/>
      </c>
      <c r="GQ18">
        <f>IF(ISNA(GJ18),NA(),IF(OR(Capability!$Q$13="",Settings!$F$7&lt;&gt;"Y"),NA(),Capability!$Q$13))</f>
        <v/>
      </c>
      <c r="GR18">
        <f>IF(ISNA(GJ18),NA(),IF(OR(Capability!$P$13="",Settings!$F$7&lt;&gt;"Y"),NA(),Capability!$P$13))</f>
        <v/>
      </c>
      <c r="GS18">
        <f>IF(GQ$1="","",ROUND(GO$1+GQ$1*14.5,4))</f>
        <v/>
      </c>
      <c r="GT18">
        <f>IF(GQ$1="","",COUNTIFS('Data Entry'!$P$5:$P$10004,"&gt;="&amp;(GO$1+GQ$1*14),'Data Entry'!$P$5:$P$10004,"&lt;="&amp;(GO$1+GQ$1*15)))</f>
        <v/>
      </c>
      <c r="GU18">
        <f>IF(OR(Capability!$P$13="",GQ$1=""),NA(),IF(AND(Capability!$P$13&gt;=(GO$1+GQ$1*14),Capability!$P$13&lt;(GO$1+GQ$1*15)),GS$1*1.15,NA()))</f>
        <v/>
      </c>
      <c r="GV18">
        <f>IF(OR(Capability!$Q$13="",GQ$1=""),NA(),IF(AND(Capability!$Q$13&gt;=(GO$1+GQ$1*14),Capability!$Q$13&lt;(GO$1+GQ$1*15)),GS$1*1.15,NA()))</f>
        <v/>
      </c>
      <c r="GX18">
        <f>IF((HA$1+14)&gt;GY$1,NA(),(HA$1+14)-4)</f>
        <v/>
      </c>
      <c r="GY18">
        <f>IF((HA$1+14)&gt;GY$1,NA(),INDEX('Data Entry'!$Q$5:$Q$10004,(HA$1+14)-4))</f>
        <v/>
      </c>
      <c r="GZ18">
        <f>IF(ISNA(GX18),NA(),Capability!$K$14)</f>
        <v/>
      </c>
      <c r="HA18">
        <f>IF(ISNA(GX18),NA(),Capability!$J$14)</f>
        <v/>
      </c>
      <c r="HB18">
        <f>IF(ISNA(GX18),NA(),Capability!$L$14)</f>
        <v/>
      </c>
      <c r="HC18">
        <f>IF(OR(ISNA(GY18),ISNA(GY17)),NA(),ABS(GY18-GY17))</f>
        <v/>
      </c>
      <c r="HD18">
        <f>IF(ISNA(GX18),NA(),Capability!$N$14)</f>
        <v/>
      </c>
      <c r="HE18">
        <f>IF(ISNA(GX18),NA(),IF(OR(Capability!$Q$14="",Settings!$F$7&lt;&gt;"Y"),NA(),Capability!$Q$14))</f>
        <v/>
      </c>
      <c r="HF18">
        <f>IF(ISNA(GX18),NA(),IF(OR(Capability!$P$14="",Settings!$F$7&lt;&gt;"Y"),NA(),Capability!$P$14))</f>
        <v/>
      </c>
      <c r="HG18">
        <f>IF(HE$1="","",ROUND(HC$1+HE$1*14.5,4))</f>
        <v/>
      </c>
      <c r="HH18">
        <f>IF(HE$1="","",COUNTIFS('Data Entry'!$Q$5:$Q$10004,"&gt;="&amp;(HC$1+HE$1*14),'Data Entry'!$Q$5:$Q$10004,"&lt;="&amp;(HC$1+HE$1*15)))</f>
        <v/>
      </c>
      <c r="HI18">
        <f>IF(OR(Capability!$P$14="",HE$1=""),NA(),IF(AND(Capability!$P$14&gt;=(HC$1+HE$1*14),Capability!$P$14&lt;(HC$1+HE$1*15)),HG$1*1.15,NA()))</f>
        <v/>
      </c>
      <c r="HJ18">
        <f>IF(OR(Capability!$Q$14="",HE$1=""),NA(),IF(AND(Capability!$Q$14&gt;=(HC$1+HE$1*14),Capability!$Q$14&lt;(HC$1+HE$1*15)),HG$1*1.15,NA()))</f>
        <v/>
      </c>
    </row>
    <row r="19">
      <c r="A19" s="35" t="inlineStr">
        <is>
          <t>LCL</t>
        </is>
      </c>
      <c r="B19" s="23">
        <f>Capability!L5</f>
        <v/>
      </c>
      <c r="CB19">
        <f>IF((CE$1+15)&gt;CC$1,NA(),(CE$1+15)-4)</f>
        <v/>
      </c>
      <c r="CC19">
        <f>IF((CE$1+15)&gt;CC$1,NA(),INDEX('Data Entry'!$H$5:$H$10004,(CE$1+15)-4))</f>
        <v/>
      </c>
      <c r="CD19">
        <f>IF(ISNA(CB19),NA(),Capability!$K$5)</f>
        <v/>
      </c>
      <c r="CE19">
        <f>IF(ISNA(CB19),NA(),Capability!$J$5)</f>
        <v/>
      </c>
      <c r="CF19">
        <f>IF(ISNA(CB19),NA(),Capability!$L$5)</f>
        <v/>
      </c>
      <c r="CG19">
        <f>IF(OR(ISNA(CC19),ISNA(CC18)),NA(),ABS(CC19-CC18))</f>
        <v/>
      </c>
      <c r="CH19">
        <f>IF(ISNA(CB19),NA(),Capability!$N$5)</f>
        <v/>
      </c>
      <c r="CI19">
        <f>IF(ISNA(CB19),NA(),IF(OR(Capability!$Q$5="",Settings!$F$7&lt;&gt;"Y"),NA(),Capability!$Q$5))</f>
        <v/>
      </c>
      <c r="CJ19">
        <f>IF(ISNA(CB19),NA(),IF(OR(Capability!$P$5="",Settings!$F$7&lt;&gt;"Y"),NA(),Capability!$P$5))</f>
        <v/>
      </c>
      <c r="CP19">
        <f>IF((CS$1+15)&gt;CQ$1,NA(),(CS$1+15)-4)</f>
        <v/>
      </c>
      <c r="CQ19">
        <f>IF((CS$1+15)&gt;CQ$1,NA(),INDEX('Data Entry'!$I$5:$I$10004,(CS$1+15)-4))</f>
        <v/>
      </c>
      <c r="CR19">
        <f>IF(ISNA(CP19),NA(),Capability!$K$6)</f>
        <v/>
      </c>
      <c r="CS19">
        <f>IF(ISNA(CP19),NA(),Capability!$J$6)</f>
        <v/>
      </c>
      <c r="CT19">
        <f>IF(ISNA(CP19),NA(),Capability!$L$6)</f>
        <v/>
      </c>
      <c r="CU19">
        <f>IF(OR(ISNA(CQ19),ISNA(CQ18)),NA(),ABS(CQ19-CQ18))</f>
        <v/>
      </c>
      <c r="CV19">
        <f>IF(ISNA(CP19),NA(),Capability!$N$6)</f>
        <v/>
      </c>
      <c r="CW19">
        <f>IF(ISNA(CP19),NA(),IF(OR(Capability!$Q$6="",Settings!$F$7&lt;&gt;"Y"),NA(),Capability!$Q$6))</f>
        <v/>
      </c>
      <c r="CX19">
        <f>IF(ISNA(CP19),NA(),IF(OR(Capability!$P$6="",Settings!$F$7&lt;&gt;"Y"),NA(),Capability!$P$6))</f>
        <v/>
      </c>
      <c r="DD19">
        <f>IF((DG$1+15)&gt;DE$1,NA(),(DG$1+15)-4)</f>
        <v/>
      </c>
      <c r="DE19">
        <f>IF((DG$1+15)&gt;DE$1,NA(),INDEX('Data Entry'!$J$5:$J$10004,(DG$1+15)-4))</f>
        <v/>
      </c>
      <c r="DF19">
        <f>IF(ISNA(DD19),NA(),Capability!$K$7)</f>
        <v/>
      </c>
      <c r="DG19">
        <f>IF(ISNA(DD19),NA(),Capability!$J$7)</f>
        <v/>
      </c>
      <c r="DH19">
        <f>IF(ISNA(DD19),NA(),Capability!$L$7)</f>
        <v/>
      </c>
      <c r="DI19">
        <f>IF(OR(ISNA(DE19),ISNA(DE18)),NA(),ABS(DE19-DE18))</f>
        <v/>
      </c>
      <c r="DJ19">
        <f>IF(ISNA(DD19),NA(),Capability!$N$7)</f>
        <v/>
      </c>
      <c r="DK19">
        <f>IF(ISNA(DD19),NA(),IF(OR(Capability!$Q$7="",Settings!$F$7&lt;&gt;"Y"),NA(),Capability!$Q$7))</f>
        <v/>
      </c>
      <c r="DL19">
        <f>IF(ISNA(DD19),NA(),IF(OR(Capability!$P$7="",Settings!$F$7&lt;&gt;"Y"),NA(),Capability!$P$7))</f>
        <v/>
      </c>
      <c r="DR19">
        <f>IF((DU$1+15)&gt;DS$1,NA(),(DU$1+15)-4)</f>
        <v/>
      </c>
      <c r="DS19">
        <f>IF((DU$1+15)&gt;DS$1,NA(),INDEX('Data Entry'!$K$5:$K$10004,(DU$1+15)-4))</f>
        <v/>
      </c>
      <c r="DT19">
        <f>IF(ISNA(DR19),NA(),Capability!$K$8)</f>
        <v/>
      </c>
      <c r="DU19">
        <f>IF(ISNA(DR19),NA(),Capability!$J$8)</f>
        <v/>
      </c>
      <c r="DV19">
        <f>IF(ISNA(DR19),NA(),Capability!$L$8)</f>
        <v/>
      </c>
      <c r="DW19">
        <f>IF(OR(ISNA(DS19),ISNA(DS18)),NA(),ABS(DS19-DS18))</f>
        <v/>
      </c>
      <c r="DX19">
        <f>IF(ISNA(DR19),NA(),Capability!$N$8)</f>
        <v/>
      </c>
      <c r="DY19">
        <f>IF(ISNA(DR19),NA(),IF(OR(Capability!$Q$8="",Settings!$F$7&lt;&gt;"Y"),NA(),Capability!$Q$8))</f>
        <v/>
      </c>
      <c r="DZ19">
        <f>IF(ISNA(DR19),NA(),IF(OR(Capability!$P$8="",Settings!$F$7&lt;&gt;"Y"),NA(),Capability!$P$8))</f>
        <v/>
      </c>
      <c r="EF19">
        <f>IF((EI$1+15)&gt;EG$1,NA(),(EI$1+15)-4)</f>
        <v/>
      </c>
      <c r="EG19">
        <f>IF((EI$1+15)&gt;EG$1,NA(),INDEX('Data Entry'!$L$5:$L$10004,(EI$1+15)-4))</f>
        <v/>
      </c>
      <c r="EH19">
        <f>IF(ISNA(EF19),NA(),Capability!$K$9)</f>
        <v/>
      </c>
      <c r="EI19">
        <f>IF(ISNA(EF19),NA(),Capability!$J$9)</f>
        <v/>
      </c>
      <c r="EJ19">
        <f>IF(ISNA(EF19),NA(),Capability!$L$9)</f>
        <v/>
      </c>
      <c r="EK19">
        <f>IF(OR(ISNA(EG19),ISNA(EG18)),NA(),ABS(EG19-EG18))</f>
        <v/>
      </c>
      <c r="EL19">
        <f>IF(ISNA(EF19),NA(),Capability!$N$9)</f>
        <v/>
      </c>
      <c r="EM19">
        <f>IF(ISNA(EF19),NA(),IF(OR(Capability!$Q$9="",Settings!$F$7&lt;&gt;"Y"),NA(),Capability!$Q$9))</f>
        <v/>
      </c>
      <c r="EN19">
        <f>IF(ISNA(EF19),NA(),IF(OR(Capability!$P$9="",Settings!$F$7&lt;&gt;"Y"),NA(),Capability!$P$9))</f>
        <v/>
      </c>
      <c r="ET19">
        <f>IF((EW$1+15)&gt;EU$1,NA(),(EW$1+15)-4)</f>
        <v/>
      </c>
      <c r="EU19">
        <f>IF((EW$1+15)&gt;EU$1,NA(),INDEX('Data Entry'!$M$5:$M$10004,(EW$1+15)-4))</f>
        <v/>
      </c>
      <c r="EV19">
        <f>IF(ISNA(ET19),NA(),Capability!$K$10)</f>
        <v/>
      </c>
      <c r="EW19">
        <f>IF(ISNA(ET19),NA(),Capability!$J$10)</f>
        <v/>
      </c>
      <c r="EX19">
        <f>IF(ISNA(ET19),NA(),Capability!$L$10)</f>
        <v/>
      </c>
      <c r="EY19">
        <f>IF(OR(ISNA(EU19),ISNA(EU18)),NA(),ABS(EU19-EU18))</f>
        <v/>
      </c>
      <c r="EZ19">
        <f>IF(ISNA(ET19),NA(),Capability!$N$10)</f>
        <v/>
      </c>
      <c r="FA19">
        <f>IF(ISNA(ET19),NA(),IF(OR(Capability!$Q$10="",Settings!$F$7&lt;&gt;"Y"),NA(),Capability!$Q$10))</f>
        <v/>
      </c>
      <c r="FB19">
        <f>IF(ISNA(ET19),NA(),IF(OR(Capability!$P$10="",Settings!$F$7&lt;&gt;"Y"),NA(),Capability!$P$10))</f>
        <v/>
      </c>
      <c r="FH19">
        <f>IF((FK$1+15)&gt;FI$1,NA(),(FK$1+15)-4)</f>
        <v/>
      </c>
      <c r="FI19">
        <f>IF((FK$1+15)&gt;FI$1,NA(),INDEX('Data Entry'!$N$5:$N$10004,(FK$1+15)-4))</f>
        <v/>
      </c>
      <c r="FJ19">
        <f>IF(ISNA(FH19),NA(),Capability!$K$11)</f>
        <v/>
      </c>
      <c r="FK19">
        <f>IF(ISNA(FH19),NA(),Capability!$J$11)</f>
        <v/>
      </c>
      <c r="FL19">
        <f>IF(ISNA(FH19),NA(),Capability!$L$11)</f>
        <v/>
      </c>
      <c r="FM19">
        <f>IF(OR(ISNA(FI19),ISNA(FI18)),NA(),ABS(FI19-FI18))</f>
        <v/>
      </c>
      <c r="FN19">
        <f>IF(ISNA(FH19),NA(),Capability!$N$11)</f>
        <v/>
      </c>
      <c r="FO19">
        <f>IF(ISNA(FH19),NA(),IF(OR(Capability!$Q$11="",Settings!$F$7&lt;&gt;"Y"),NA(),Capability!$Q$11))</f>
        <v/>
      </c>
      <c r="FP19">
        <f>IF(ISNA(FH19),NA(),IF(OR(Capability!$P$11="",Settings!$F$7&lt;&gt;"Y"),NA(),Capability!$P$11))</f>
        <v/>
      </c>
      <c r="FV19">
        <f>IF((FY$1+15)&gt;FW$1,NA(),(FY$1+15)-4)</f>
        <v/>
      </c>
      <c r="FW19">
        <f>IF((FY$1+15)&gt;FW$1,NA(),INDEX('Data Entry'!$O$5:$O$10004,(FY$1+15)-4))</f>
        <v/>
      </c>
      <c r="FX19">
        <f>IF(ISNA(FV19),NA(),Capability!$K$12)</f>
        <v/>
      </c>
      <c r="FY19">
        <f>IF(ISNA(FV19),NA(),Capability!$J$12)</f>
        <v/>
      </c>
      <c r="FZ19">
        <f>IF(ISNA(FV19),NA(),Capability!$L$12)</f>
        <v/>
      </c>
      <c r="GA19">
        <f>IF(OR(ISNA(FW19),ISNA(FW18)),NA(),ABS(FW19-FW18))</f>
        <v/>
      </c>
      <c r="GB19">
        <f>IF(ISNA(FV19),NA(),Capability!$N$12)</f>
        <v/>
      </c>
      <c r="GC19">
        <f>IF(ISNA(FV19),NA(),IF(OR(Capability!$Q$12="",Settings!$F$7&lt;&gt;"Y"),NA(),Capability!$Q$12))</f>
        <v/>
      </c>
      <c r="GD19">
        <f>IF(ISNA(FV19),NA(),IF(OR(Capability!$P$12="",Settings!$F$7&lt;&gt;"Y"),NA(),Capability!$P$12))</f>
        <v/>
      </c>
      <c r="GJ19">
        <f>IF((GM$1+15)&gt;GK$1,NA(),(GM$1+15)-4)</f>
        <v/>
      </c>
      <c r="GK19">
        <f>IF((GM$1+15)&gt;GK$1,NA(),INDEX('Data Entry'!$P$5:$P$10004,(GM$1+15)-4))</f>
        <v/>
      </c>
      <c r="GL19">
        <f>IF(ISNA(GJ19),NA(),Capability!$K$13)</f>
        <v/>
      </c>
      <c r="GM19">
        <f>IF(ISNA(GJ19),NA(),Capability!$J$13)</f>
        <v/>
      </c>
      <c r="GN19">
        <f>IF(ISNA(GJ19),NA(),Capability!$L$13)</f>
        <v/>
      </c>
      <c r="GO19">
        <f>IF(OR(ISNA(GK19),ISNA(GK18)),NA(),ABS(GK19-GK18))</f>
        <v/>
      </c>
      <c r="GP19">
        <f>IF(ISNA(GJ19),NA(),Capability!$N$13)</f>
        <v/>
      </c>
      <c r="GQ19">
        <f>IF(ISNA(GJ19),NA(),IF(OR(Capability!$Q$13="",Settings!$F$7&lt;&gt;"Y"),NA(),Capability!$Q$13))</f>
        <v/>
      </c>
      <c r="GR19">
        <f>IF(ISNA(GJ19),NA(),IF(OR(Capability!$P$13="",Settings!$F$7&lt;&gt;"Y"),NA(),Capability!$P$13))</f>
        <v/>
      </c>
      <c r="GX19">
        <f>IF((HA$1+15)&gt;GY$1,NA(),(HA$1+15)-4)</f>
        <v/>
      </c>
      <c r="GY19">
        <f>IF((HA$1+15)&gt;GY$1,NA(),INDEX('Data Entry'!$Q$5:$Q$10004,(HA$1+15)-4))</f>
        <v/>
      </c>
      <c r="GZ19">
        <f>IF(ISNA(GX19),NA(),Capability!$K$14)</f>
        <v/>
      </c>
      <c r="HA19">
        <f>IF(ISNA(GX19),NA(),Capability!$J$14)</f>
        <v/>
      </c>
      <c r="HB19">
        <f>IF(ISNA(GX19),NA(),Capability!$L$14)</f>
        <v/>
      </c>
      <c r="HC19">
        <f>IF(OR(ISNA(GY19),ISNA(GY18)),NA(),ABS(GY19-GY18))</f>
        <v/>
      </c>
      <c r="HD19">
        <f>IF(ISNA(GX19),NA(),Capability!$N$14)</f>
        <v/>
      </c>
      <c r="HE19">
        <f>IF(ISNA(GX19),NA(),IF(OR(Capability!$Q$14="",Settings!$F$7&lt;&gt;"Y"),NA(),Capability!$Q$14))</f>
        <v/>
      </c>
      <c r="HF19">
        <f>IF(ISNA(GX19),NA(),IF(OR(Capability!$P$14="",Settings!$F$7&lt;&gt;"Y"),NA(),Capability!$P$14))</f>
        <v/>
      </c>
    </row>
    <row r="20">
      <c r="A20" s="35" t="inlineStr">
        <is>
          <t>mR-bar</t>
        </is>
      </c>
      <c r="B20" s="23">
        <f>Capability!M5</f>
        <v/>
      </c>
      <c r="CB20">
        <f>IF((CE$1+16)&gt;CC$1,NA(),(CE$1+16)-4)</f>
        <v/>
      </c>
      <c r="CC20">
        <f>IF((CE$1+16)&gt;CC$1,NA(),INDEX('Data Entry'!$H$5:$H$10004,(CE$1+16)-4))</f>
        <v/>
      </c>
      <c r="CD20">
        <f>IF(ISNA(CB20),NA(),Capability!$K$5)</f>
        <v/>
      </c>
      <c r="CE20">
        <f>IF(ISNA(CB20),NA(),Capability!$J$5)</f>
        <v/>
      </c>
      <c r="CF20">
        <f>IF(ISNA(CB20),NA(),Capability!$L$5)</f>
        <v/>
      </c>
      <c r="CG20">
        <f>IF(OR(ISNA(CC20),ISNA(CC19)),NA(),ABS(CC20-CC19))</f>
        <v/>
      </c>
      <c r="CH20">
        <f>IF(ISNA(CB20),NA(),Capability!$N$5)</f>
        <v/>
      </c>
      <c r="CI20">
        <f>IF(ISNA(CB20),NA(),IF(OR(Capability!$Q$5="",Settings!$F$7&lt;&gt;"Y"),NA(),Capability!$Q$5))</f>
        <v/>
      </c>
      <c r="CJ20">
        <f>IF(ISNA(CB20),NA(),IF(OR(Capability!$P$5="",Settings!$F$7&lt;&gt;"Y"),NA(),Capability!$P$5))</f>
        <v/>
      </c>
      <c r="CP20">
        <f>IF((CS$1+16)&gt;CQ$1,NA(),(CS$1+16)-4)</f>
        <v/>
      </c>
      <c r="CQ20">
        <f>IF((CS$1+16)&gt;CQ$1,NA(),INDEX('Data Entry'!$I$5:$I$10004,(CS$1+16)-4))</f>
        <v/>
      </c>
      <c r="CR20">
        <f>IF(ISNA(CP20),NA(),Capability!$K$6)</f>
        <v/>
      </c>
      <c r="CS20">
        <f>IF(ISNA(CP20),NA(),Capability!$J$6)</f>
        <v/>
      </c>
      <c r="CT20">
        <f>IF(ISNA(CP20),NA(),Capability!$L$6)</f>
        <v/>
      </c>
      <c r="CU20">
        <f>IF(OR(ISNA(CQ20),ISNA(CQ19)),NA(),ABS(CQ20-CQ19))</f>
        <v/>
      </c>
      <c r="CV20">
        <f>IF(ISNA(CP20),NA(),Capability!$N$6)</f>
        <v/>
      </c>
      <c r="CW20">
        <f>IF(ISNA(CP20),NA(),IF(OR(Capability!$Q$6="",Settings!$F$7&lt;&gt;"Y"),NA(),Capability!$Q$6))</f>
        <v/>
      </c>
      <c r="CX20">
        <f>IF(ISNA(CP20),NA(),IF(OR(Capability!$P$6="",Settings!$F$7&lt;&gt;"Y"),NA(),Capability!$P$6))</f>
        <v/>
      </c>
      <c r="DD20">
        <f>IF((DG$1+16)&gt;DE$1,NA(),(DG$1+16)-4)</f>
        <v/>
      </c>
      <c r="DE20">
        <f>IF((DG$1+16)&gt;DE$1,NA(),INDEX('Data Entry'!$J$5:$J$10004,(DG$1+16)-4))</f>
        <v/>
      </c>
      <c r="DF20">
        <f>IF(ISNA(DD20),NA(),Capability!$K$7)</f>
        <v/>
      </c>
      <c r="DG20">
        <f>IF(ISNA(DD20),NA(),Capability!$J$7)</f>
        <v/>
      </c>
      <c r="DH20">
        <f>IF(ISNA(DD20),NA(),Capability!$L$7)</f>
        <v/>
      </c>
      <c r="DI20">
        <f>IF(OR(ISNA(DE20),ISNA(DE19)),NA(),ABS(DE20-DE19))</f>
        <v/>
      </c>
      <c r="DJ20">
        <f>IF(ISNA(DD20),NA(),Capability!$N$7)</f>
        <v/>
      </c>
      <c r="DK20">
        <f>IF(ISNA(DD20),NA(),IF(OR(Capability!$Q$7="",Settings!$F$7&lt;&gt;"Y"),NA(),Capability!$Q$7))</f>
        <v/>
      </c>
      <c r="DL20">
        <f>IF(ISNA(DD20),NA(),IF(OR(Capability!$P$7="",Settings!$F$7&lt;&gt;"Y"),NA(),Capability!$P$7))</f>
        <v/>
      </c>
      <c r="DR20">
        <f>IF((DU$1+16)&gt;DS$1,NA(),(DU$1+16)-4)</f>
        <v/>
      </c>
      <c r="DS20">
        <f>IF((DU$1+16)&gt;DS$1,NA(),INDEX('Data Entry'!$K$5:$K$10004,(DU$1+16)-4))</f>
        <v/>
      </c>
      <c r="DT20">
        <f>IF(ISNA(DR20),NA(),Capability!$K$8)</f>
        <v/>
      </c>
      <c r="DU20">
        <f>IF(ISNA(DR20),NA(),Capability!$J$8)</f>
        <v/>
      </c>
      <c r="DV20">
        <f>IF(ISNA(DR20),NA(),Capability!$L$8)</f>
        <v/>
      </c>
      <c r="DW20">
        <f>IF(OR(ISNA(DS20),ISNA(DS19)),NA(),ABS(DS20-DS19))</f>
        <v/>
      </c>
      <c r="DX20">
        <f>IF(ISNA(DR20),NA(),Capability!$N$8)</f>
        <v/>
      </c>
      <c r="DY20">
        <f>IF(ISNA(DR20),NA(),IF(OR(Capability!$Q$8="",Settings!$F$7&lt;&gt;"Y"),NA(),Capability!$Q$8))</f>
        <v/>
      </c>
      <c r="DZ20">
        <f>IF(ISNA(DR20),NA(),IF(OR(Capability!$P$8="",Settings!$F$7&lt;&gt;"Y"),NA(),Capability!$P$8))</f>
        <v/>
      </c>
      <c r="EF20">
        <f>IF((EI$1+16)&gt;EG$1,NA(),(EI$1+16)-4)</f>
        <v/>
      </c>
      <c r="EG20">
        <f>IF((EI$1+16)&gt;EG$1,NA(),INDEX('Data Entry'!$L$5:$L$10004,(EI$1+16)-4))</f>
        <v/>
      </c>
      <c r="EH20">
        <f>IF(ISNA(EF20),NA(),Capability!$K$9)</f>
        <v/>
      </c>
      <c r="EI20">
        <f>IF(ISNA(EF20),NA(),Capability!$J$9)</f>
        <v/>
      </c>
      <c r="EJ20">
        <f>IF(ISNA(EF20),NA(),Capability!$L$9)</f>
        <v/>
      </c>
      <c r="EK20">
        <f>IF(OR(ISNA(EG20),ISNA(EG19)),NA(),ABS(EG20-EG19))</f>
        <v/>
      </c>
      <c r="EL20">
        <f>IF(ISNA(EF20),NA(),Capability!$N$9)</f>
        <v/>
      </c>
      <c r="EM20">
        <f>IF(ISNA(EF20),NA(),IF(OR(Capability!$Q$9="",Settings!$F$7&lt;&gt;"Y"),NA(),Capability!$Q$9))</f>
        <v/>
      </c>
      <c r="EN20">
        <f>IF(ISNA(EF20),NA(),IF(OR(Capability!$P$9="",Settings!$F$7&lt;&gt;"Y"),NA(),Capability!$P$9))</f>
        <v/>
      </c>
      <c r="ET20">
        <f>IF((EW$1+16)&gt;EU$1,NA(),(EW$1+16)-4)</f>
        <v/>
      </c>
      <c r="EU20">
        <f>IF((EW$1+16)&gt;EU$1,NA(),INDEX('Data Entry'!$M$5:$M$10004,(EW$1+16)-4))</f>
        <v/>
      </c>
      <c r="EV20">
        <f>IF(ISNA(ET20),NA(),Capability!$K$10)</f>
        <v/>
      </c>
      <c r="EW20">
        <f>IF(ISNA(ET20),NA(),Capability!$J$10)</f>
        <v/>
      </c>
      <c r="EX20">
        <f>IF(ISNA(ET20),NA(),Capability!$L$10)</f>
        <v/>
      </c>
      <c r="EY20">
        <f>IF(OR(ISNA(EU20),ISNA(EU19)),NA(),ABS(EU20-EU19))</f>
        <v/>
      </c>
      <c r="EZ20">
        <f>IF(ISNA(ET20),NA(),Capability!$N$10)</f>
        <v/>
      </c>
      <c r="FA20">
        <f>IF(ISNA(ET20),NA(),IF(OR(Capability!$Q$10="",Settings!$F$7&lt;&gt;"Y"),NA(),Capability!$Q$10))</f>
        <v/>
      </c>
      <c r="FB20">
        <f>IF(ISNA(ET20),NA(),IF(OR(Capability!$P$10="",Settings!$F$7&lt;&gt;"Y"),NA(),Capability!$P$10))</f>
        <v/>
      </c>
      <c r="FH20">
        <f>IF((FK$1+16)&gt;FI$1,NA(),(FK$1+16)-4)</f>
        <v/>
      </c>
      <c r="FI20">
        <f>IF((FK$1+16)&gt;FI$1,NA(),INDEX('Data Entry'!$N$5:$N$10004,(FK$1+16)-4))</f>
        <v/>
      </c>
      <c r="FJ20">
        <f>IF(ISNA(FH20),NA(),Capability!$K$11)</f>
        <v/>
      </c>
      <c r="FK20">
        <f>IF(ISNA(FH20),NA(),Capability!$J$11)</f>
        <v/>
      </c>
      <c r="FL20">
        <f>IF(ISNA(FH20),NA(),Capability!$L$11)</f>
        <v/>
      </c>
      <c r="FM20">
        <f>IF(OR(ISNA(FI20),ISNA(FI19)),NA(),ABS(FI20-FI19))</f>
        <v/>
      </c>
      <c r="FN20">
        <f>IF(ISNA(FH20),NA(),Capability!$N$11)</f>
        <v/>
      </c>
      <c r="FO20">
        <f>IF(ISNA(FH20),NA(),IF(OR(Capability!$Q$11="",Settings!$F$7&lt;&gt;"Y"),NA(),Capability!$Q$11))</f>
        <v/>
      </c>
      <c r="FP20">
        <f>IF(ISNA(FH20),NA(),IF(OR(Capability!$P$11="",Settings!$F$7&lt;&gt;"Y"),NA(),Capability!$P$11))</f>
        <v/>
      </c>
      <c r="FV20">
        <f>IF((FY$1+16)&gt;FW$1,NA(),(FY$1+16)-4)</f>
        <v/>
      </c>
      <c r="FW20">
        <f>IF((FY$1+16)&gt;FW$1,NA(),INDEX('Data Entry'!$O$5:$O$10004,(FY$1+16)-4))</f>
        <v/>
      </c>
      <c r="FX20">
        <f>IF(ISNA(FV20),NA(),Capability!$K$12)</f>
        <v/>
      </c>
      <c r="FY20">
        <f>IF(ISNA(FV20),NA(),Capability!$J$12)</f>
        <v/>
      </c>
      <c r="FZ20">
        <f>IF(ISNA(FV20),NA(),Capability!$L$12)</f>
        <v/>
      </c>
      <c r="GA20">
        <f>IF(OR(ISNA(FW20),ISNA(FW19)),NA(),ABS(FW20-FW19))</f>
        <v/>
      </c>
      <c r="GB20">
        <f>IF(ISNA(FV20),NA(),Capability!$N$12)</f>
        <v/>
      </c>
      <c r="GC20">
        <f>IF(ISNA(FV20),NA(),IF(OR(Capability!$Q$12="",Settings!$F$7&lt;&gt;"Y"),NA(),Capability!$Q$12))</f>
        <v/>
      </c>
      <c r="GD20">
        <f>IF(ISNA(FV20),NA(),IF(OR(Capability!$P$12="",Settings!$F$7&lt;&gt;"Y"),NA(),Capability!$P$12))</f>
        <v/>
      </c>
      <c r="GJ20">
        <f>IF((GM$1+16)&gt;GK$1,NA(),(GM$1+16)-4)</f>
        <v/>
      </c>
      <c r="GK20">
        <f>IF((GM$1+16)&gt;GK$1,NA(),INDEX('Data Entry'!$P$5:$P$10004,(GM$1+16)-4))</f>
        <v/>
      </c>
      <c r="GL20">
        <f>IF(ISNA(GJ20),NA(),Capability!$K$13)</f>
        <v/>
      </c>
      <c r="GM20">
        <f>IF(ISNA(GJ20),NA(),Capability!$J$13)</f>
        <v/>
      </c>
      <c r="GN20">
        <f>IF(ISNA(GJ20),NA(),Capability!$L$13)</f>
        <v/>
      </c>
      <c r="GO20">
        <f>IF(OR(ISNA(GK20),ISNA(GK19)),NA(),ABS(GK20-GK19))</f>
        <v/>
      </c>
      <c r="GP20">
        <f>IF(ISNA(GJ20),NA(),Capability!$N$13)</f>
        <v/>
      </c>
      <c r="GQ20">
        <f>IF(ISNA(GJ20),NA(),IF(OR(Capability!$Q$13="",Settings!$F$7&lt;&gt;"Y"),NA(),Capability!$Q$13))</f>
        <v/>
      </c>
      <c r="GR20">
        <f>IF(ISNA(GJ20),NA(),IF(OR(Capability!$P$13="",Settings!$F$7&lt;&gt;"Y"),NA(),Capability!$P$13))</f>
        <v/>
      </c>
      <c r="GX20">
        <f>IF((HA$1+16)&gt;GY$1,NA(),(HA$1+16)-4)</f>
        <v/>
      </c>
      <c r="GY20">
        <f>IF((HA$1+16)&gt;GY$1,NA(),INDEX('Data Entry'!$Q$5:$Q$10004,(HA$1+16)-4))</f>
        <v/>
      </c>
      <c r="GZ20">
        <f>IF(ISNA(GX20),NA(),Capability!$K$14)</f>
        <v/>
      </c>
      <c r="HA20">
        <f>IF(ISNA(GX20),NA(),Capability!$J$14)</f>
        <v/>
      </c>
      <c r="HB20">
        <f>IF(ISNA(GX20),NA(),Capability!$L$14)</f>
        <v/>
      </c>
      <c r="HC20">
        <f>IF(OR(ISNA(GY20),ISNA(GY19)),NA(),ABS(GY20-GY19))</f>
        <v/>
      </c>
      <c r="HD20">
        <f>IF(ISNA(GX20),NA(),Capability!$N$14)</f>
        <v/>
      </c>
      <c r="HE20">
        <f>IF(ISNA(GX20),NA(),IF(OR(Capability!$Q$14="",Settings!$F$7&lt;&gt;"Y"),NA(),Capability!$Q$14))</f>
        <v/>
      </c>
      <c r="HF20">
        <f>IF(ISNA(GX20),NA(),IF(OR(Capability!$P$14="",Settings!$F$7&lt;&gt;"Y"),NA(),Capability!$P$14))</f>
        <v/>
      </c>
    </row>
    <row r="21">
      <c r="A21" s="35" t="inlineStr">
        <is>
          <t>mR UCL</t>
        </is>
      </c>
      <c r="B21" s="23">
        <f>Capability!N5</f>
        <v/>
      </c>
      <c r="CB21">
        <f>IF((CE$1+17)&gt;CC$1,NA(),(CE$1+17)-4)</f>
        <v/>
      </c>
      <c r="CC21">
        <f>IF((CE$1+17)&gt;CC$1,NA(),INDEX('Data Entry'!$H$5:$H$10004,(CE$1+17)-4))</f>
        <v/>
      </c>
      <c r="CD21">
        <f>IF(ISNA(CB21),NA(),Capability!$K$5)</f>
        <v/>
      </c>
      <c r="CE21">
        <f>IF(ISNA(CB21),NA(),Capability!$J$5)</f>
        <v/>
      </c>
      <c r="CF21">
        <f>IF(ISNA(CB21),NA(),Capability!$L$5)</f>
        <v/>
      </c>
      <c r="CG21">
        <f>IF(OR(ISNA(CC21),ISNA(CC20)),NA(),ABS(CC21-CC20))</f>
        <v/>
      </c>
      <c r="CH21">
        <f>IF(ISNA(CB21),NA(),Capability!$N$5)</f>
        <v/>
      </c>
      <c r="CI21">
        <f>IF(ISNA(CB21),NA(),IF(OR(Capability!$Q$5="",Settings!$F$7&lt;&gt;"Y"),NA(),Capability!$Q$5))</f>
        <v/>
      </c>
      <c r="CJ21">
        <f>IF(ISNA(CB21),NA(),IF(OR(Capability!$P$5="",Settings!$F$7&lt;&gt;"Y"),NA(),Capability!$P$5))</f>
        <v/>
      </c>
      <c r="CP21">
        <f>IF((CS$1+17)&gt;CQ$1,NA(),(CS$1+17)-4)</f>
        <v/>
      </c>
      <c r="CQ21">
        <f>IF((CS$1+17)&gt;CQ$1,NA(),INDEX('Data Entry'!$I$5:$I$10004,(CS$1+17)-4))</f>
        <v/>
      </c>
      <c r="CR21">
        <f>IF(ISNA(CP21),NA(),Capability!$K$6)</f>
        <v/>
      </c>
      <c r="CS21">
        <f>IF(ISNA(CP21),NA(),Capability!$J$6)</f>
        <v/>
      </c>
      <c r="CT21">
        <f>IF(ISNA(CP21),NA(),Capability!$L$6)</f>
        <v/>
      </c>
      <c r="CU21">
        <f>IF(OR(ISNA(CQ21),ISNA(CQ20)),NA(),ABS(CQ21-CQ20))</f>
        <v/>
      </c>
      <c r="CV21">
        <f>IF(ISNA(CP21),NA(),Capability!$N$6)</f>
        <v/>
      </c>
      <c r="CW21">
        <f>IF(ISNA(CP21),NA(),IF(OR(Capability!$Q$6="",Settings!$F$7&lt;&gt;"Y"),NA(),Capability!$Q$6))</f>
        <v/>
      </c>
      <c r="CX21">
        <f>IF(ISNA(CP21),NA(),IF(OR(Capability!$P$6="",Settings!$F$7&lt;&gt;"Y"),NA(),Capability!$P$6))</f>
        <v/>
      </c>
      <c r="DD21">
        <f>IF((DG$1+17)&gt;DE$1,NA(),(DG$1+17)-4)</f>
        <v/>
      </c>
      <c r="DE21">
        <f>IF((DG$1+17)&gt;DE$1,NA(),INDEX('Data Entry'!$J$5:$J$10004,(DG$1+17)-4))</f>
        <v/>
      </c>
      <c r="DF21">
        <f>IF(ISNA(DD21),NA(),Capability!$K$7)</f>
        <v/>
      </c>
      <c r="DG21">
        <f>IF(ISNA(DD21),NA(),Capability!$J$7)</f>
        <v/>
      </c>
      <c r="DH21">
        <f>IF(ISNA(DD21),NA(),Capability!$L$7)</f>
        <v/>
      </c>
      <c r="DI21">
        <f>IF(OR(ISNA(DE21),ISNA(DE20)),NA(),ABS(DE21-DE20))</f>
        <v/>
      </c>
      <c r="DJ21">
        <f>IF(ISNA(DD21),NA(),Capability!$N$7)</f>
        <v/>
      </c>
      <c r="DK21">
        <f>IF(ISNA(DD21),NA(),IF(OR(Capability!$Q$7="",Settings!$F$7&lt;&gt;"Y"),NA(),Capability!$Q$7))</f>
        <v/>
      </c>
      <c r="DL21">
        <f>IF(ISNA(DD21),NA(),IF(OR(Capability!$P$7="",Settings!$F$7&lt;&gt;"Y"),NA(),Capability!$P$7))</f>
        <v/>
      </c>
      <c r="DR21">
        <f>IF((DU$1+17)&gt;DS$1,NA(),(DU$1+17)-4)</f>
        <v/>
      </c>
      <c r="DS21">
        <f>IF((DU$1+17)&gt;DS$1,NA(),INDEX('Data Entry'!$K$5:$K$10004,(DU$1+17)-4))</f>
        <v/>
      </c>
      <c r="DT21">
        <f>IF(ISNA(DR21),NA(),Capability!$K$8)</f>
        <v/>
      </c>
      <c r="DU21">
        <f>IF(ISNA(DR21),NA(),Capability!$J$8)</f>
        <v/>
      </c>
      <c r="DV21">
        <f>IF(ISNA(DR21),NA(),Capability!$L$8)</f>
        <v/>
      </c>
      <c r="DW21">
        <f>IF(OR(ISNA(DS21),ISNA(DS20)),NA(),ABS(DS21-DS20))</f>
        <v/>
      </c>
      <c r="DX21">
        <f>IF(ISNA(DR21),NA(),Capability!$N$8)</f>
        <v/>
      </c>
      <c r="DY21">
        <f>IF(ISNA(DR21),NA(),IF(OR(Capability!$Q$8="",Settings!$F$7&lt;&gt;"Y"),NA(),Capability!$Q$8))</f>
        <v/>
      </c>
      <c r="DZ21">
        <f>IF(ISNA(DR21),NA(),IF(OR(Capability!$P$8="",Settings!$F$7&lt;&gt;"Y"),NA(),Capability!$P$8))</f>
        <v/>
      </c>
      <c r="EF21">
        <f>IF((EI$1+17)&gt;EG$1,NA(),(EI$1+17)-4)</f>
        <v/>
      </c>
      <c r="EG21">
        <f>IF((EI$1+17)&gt;EG$1,NA(),INDEX('Data Entry'!$L$5:$L$10004,(EI$1+17)-4))</f>
        <v/>
      </c>
      <c r="EH21">
        <f>IF(ISNA(EF21),NA(),Capability!$K$9)</f>
        <v/>
      </c>
      <c r="EI21">
        <f>IF(ISNA(EF21),NA(),Capability!$J$9)</f>
        <v/>
      </c>
      <c r="EJ21">
        <f>IF(ISNA(EF21),NA(),Capability!$L$9)</f>
        <v/>
      </c>
      <c r="EK21">
        <f>IF(OR(ISNA(EG21),ISNA(EG20)),NA(),ABS(EG21-EG20))</f>
        <v/>
      </c>
      <c r="EL21">
        <f>IF(ISNA(EF21),NA(),Capability!$N$9)</f>
        <v/>
      </c>
      <c r="EM21">
        <f>IF(ISNA(EF21),NA(),IF(OR(Capability!$Q$9="",Settings!$F$7&lt;&gt;"Y"),NA(),Capability!$Q$9))</f>
        <v/>
      </c>
      <c r="EN21">
        <f>IF(ISNA(EF21),NA(),IF(OR(Capability!$P$9="",Settings!$F$7&lt;&gt;"Y"),NA(),Capability!$P$9))</f>
        <v/>
      </c>
      <c r="ET21">
        <f>IF((EW$1+17)&gt;EU$1,NA(),(EW$1+17)-4)</f>
        <v/>
      </c>
      <c r="EU21">
        <f>IF((EW$1+17)&gt;EU$1,NA(),INDEX('Data Entry'!$M$5:$M$10004,(EW$1+17)-4))</f>
        <v/>
      </c>
      <c r="EV21">
        <f>IF(ISNA(ET21),NA(),Capability!$K$10)</f>
        <v/>
      </c>
      <c r="EW21">
        <f>IF(ISNA(ET21),NA(),Capability!$J$10)</f>
        <v/>
      </c>
      <c r="EX21">
        <f>IF(ISNA(ET21),NA(),Capability!$L$10)</f>
        <v/>
      </c>
      <c r="EY21">
        <f>IF(OR(ISNA(EU21),ISNA(EU20)),NA(),ABS(EU21-EU20))</f>
        <v/>
      </c>
      <c r="EZ21">
        <f>IF(ISNA(ET21),NA(),Capability!$N$10)</f>
        <v/>
      </c>
      <c r="FA21">
        <f>IF(ISNA(ET21),NA(),IF(OR(Capability!$Q$10="",Settings!$F$7&lt;&gt;"Y"),NA(),Capability!$Q$10))</f>
        <v/>
      </c>
      <c r="FB21">
        <f>IF(ISNA(ET21),NA(),IF(OR(Capability!$P$10="",Settings!$F$7&lt;&gt;"Y"),NA(),Capability!$P$10))</f>
        <v/>
      </c>
      <c r="FH21">
        <f>IF((FK$1+17)&gt;FI$1,NA(),(FK$1+17)-4)</f>
        <v/>
      </c>
      <c r="FI21">
        <f>IF((FK$1+17)&gt;FI$1,NA(),INDEX('Data Entry'!$N$5:$N$10004,(FK$1+17)-4))</f>
        <v/>
      </c>
      <c r="FJ21">
        <f>IF(ISNA(FH21),NA(),Capability!$K$11)</f>
        <v/>
      </c>
      <c r="FK21">
        <f>IF(ISNA(FH21),NA(),Capability!$J$11)</f>
        <v/>
      </c>
      <c r="FL21">
        <f>IF(ISNA(FH21),NA(),Capability!$L$11)</f>
        <v/>
      </c>
      <c r="FM21">
        <f>IF(OR(ISNA(FI21),ISNA(FI20)),NA(),ABS(FI21-FI20))</f>
        <v/>
      </c>
      <c r="FN21">
        <f>IF(ISNA(FH21),NA(),Capability!$N$11)</f>
        <v/>
      </c>
      <c r="FO21">
        <f>IF(ISNA(FH21),NA(),IF(OR(Capability!$Q$11="",Settings!$F$7&lt;&gt;"Y"),NA(),Capability!$Q$11))</f>
        <v/>
      </c>
      <c r="FP21">
        <f>IF(ISNA(FH21),NA(),IF(OR(Capability!$P$11="",Settings!$F$7&lt;&gt;"Y"),NA(),Capability!$P$11))</f>
        <v/>
      </c>
      <c r="FV21">
        <f>IF((FY$1+17)&gt;FW$1,NA(),(FY$1+17)-4)</f>
        <v/>
      </c>
      <c r="FW21">
        <f>IF((FY$1+17)&gt;FW$1,NA(),INDEX('Data Entry'!$O$5:$O$10004,(FY$1+17)-4))</f>
        <v/>
      </c>
      <c r="FX21">
        <f>IF(ISNA(FV21),NA(),Capability!$K$12)</f>
        <v/>
      </c>
      <c r="FY21">
        <f>IF(ISNA(FV21),NA(),Capability!$J$12)</f>
        <v/>
      </c>
      <c r="FZ21">
        <f>IF(ISNA(FV21),NA(),Capability!$L$12)</f>
        <v/>
      </c>
      <c r="GA21">
        <f>IF(OR(ISNA(FW21),ISNA(FW20)),NA(),ABS(FW21-FW20))</f>
        <v/>
      </c>
      <c r="GB21">
        <f>IF(ISNA(FV21),NA(),Capability!$N$12)</f>
        <v/>
      </c>
      <c r="GC21">
        <f>IF(ISNA(FV21),NA(),IF(OR(Capability!$Q$12="",Settings!$F$7&lt;&gt;"Y"),NA(),Capability!$Q$12))</f>
        <v/>
      </c>
      <c r="GD21">
        <f>IF(ISNA(FV21),NA(),IF(OR(Capability!$P$12="",Settings!$F$7&lt;&gt;"Y"),NA(),Capability!$P$12))</f>
        <v/>
      </c>
      <c r="GJ21">
        <f>IF((GM$1+17)&gt;GK$1,NA(),(GM$1+17)-4)</f>
        <v/>
      </c>
      <c r="GK21">
        <f>IF((GM$1+17)&gt;GK$1,NA(),INDEX('Data Entry'!$P$5:$P$10004,(GM$1+17)-4))</f>
        <v/>
      </c>
      <c r="GL21">
        <f>IF(ISNA(GJ21),NA(),Capability!$K$13)</f>
        <v/>
      </c>
      <c r="GM21">
        <f>IF(ISNA(GJ21),NA(),Capability!$J$13)</f>
        <v/>
      </c>
      <c r="GN21">
        <f>IF(ISNA(GJ21),NA(),Capability!$L$13)</f>
        <v/>
      </c>
      <c r="GO21">
        <f>IF(OR(ISNA(GK21),ISNA(GK20)),NA(),ABS(GK21-GK20))</f>
        <v/>
      </c>
      <c r="GP21">
        <f>IF(ISNA(GJ21),NA(),Capability!$N$13)</f>
        <v/>
      </c>
      <c r="GQ21">
        <f>IF(ISNA(GJ21),NA(),IF(OR(Capability!$Q$13="",Settings!$F$7&lt;&gt;"Y"),NA(),Capability!$Q$13))</f>
        <v/>
      </c>
      <c r="GR21">
        <f>IF(ISNA(GJ21),NA(),IF(OR(Capability!$P$13="",Settings!$F$7&lt;&gt;"Y"),NA(),Capability!$P$13))</f>
        <v/>
      </c>
      <c r="GX21">
        <f>IF((HA$1+17)&gt;GY$1,NA(),(HA$1+17)-4)</f>
        <v/>
      </c>
      <c r="GY21">
        <f>IF((HA$1+17)&gt;GY$1,NA(),INDEX('Data Entry'!$Q$5:$Q$10004,(HA$1+17)-4))</f>
        <v/>
      </c>
      <c r="GZ21">
        <f>IF(ISNA(GX21),NA(),Capability!$K$14)</f>
        <v/>
      </c>
      <c r="HA21">
        <f>IF(ISNA(GX21),NA(),Capability!$J$14)</f>
        <v/>
      </c>
      <c r="HB21">
        <f>IF(ISNA(GX21),NA(),Capability!$L$14)</f>
        <v/>
      </c>
      <c r="HC21">
        <f>IF(OR(ISNA(GY21),ISNA(GY20)),NA(),ABS(GY21-GY20))</f>
        <v/>
      </c>
      <c r="HD21">
        <f>IF(ISNA(GX21),NA(),Capability!$N$14)</f>
        <v/>
      </c>
      <c r="HE21">
        <f>IF(ISNA(GX21),NA(),IF(OR(Capability!$Q$14="",Settings!$F$7&lt;&gt;"Y"),NA(),Capability!$Q$14))</f>
        <v/>
      </c>
      <c r="HF21">
        <f>IF(ISNA(GX21),NA(),IF(OR(Capability!$P$14="",Settings!$F$7&lt;&gt;"Y"),NA(),Capability!$P$14))</f>
        <v/>
      </c>
    </row>
    <row r="22">
      <c r="A22" s="37" t="inlineStr">
        <is>
          <t>SPECIFICATION</t>
        </is>
      </c>
      <c r="B22" s="28" t="n"/>
      <c r="CB22">
        <f>IF((CE$1+18)&gt;CC$1,NA(),(CE$1+18)-4)</f>
        <v/>
      </c>
      <c r="CC22">
        <f>IF((CE$1+18)&gt;CC$1,NA(),INDEX('Data Entry'!$H$5:$H$10004,(CE$1+18)-4))</f>
        <v/>
      </c>
      <c r="CD22">
        <f>IF(ISNA(CB22),NA(),Capability!$K$5)</f>
        <v/>
      </c>
      <c r="CE22">
        <f>IF(ISNA(CB22),NA(),Capability!$J$5)</f>
        <v/>
      </c>
      <c r="CF22">
        <f>IF(ISNA(CB22),NA(),Capability!$L$5)</f>
        <v/>
      </c>
      <c r="CG22">
        <f>IF(OR(ISNA(CC22),ISNA(CC21)),NA(),ABS(CC22-CC21))</f>
        <v/>
      </c>
      <c r="CH22">
        <f>IF(ISNA(CB22),NA(),Capability!$N$5)</f>
        <v/>
      </c>
      <c r="CI22">
        <f>IF(ISNA(CB22),NA(),IF(OR(Capability!$Q$5="",Settings!$F$7&lt;&gt;"Y"),NA(),Capability!$Q$5))</f>
        <v/>
      </c>
      <c r="CJ22">
        <f>IF(ISNA(CB22),NA(),IF(OR(Capability!$P$5="",Settings!$F$7&lt;&gt;"Y"),NA(),Capability!$P$5))</f>
        <v/>
      </c>
      <c r="CP22">
        <f>IF((CS$1+18)&gt;CQ$1,NA(),(CS$1+18)-4)</f>
        <v/>
      </c>
      <c r="CQ22">
        <f>IF((CS$1+18)&gt;CQ$1,NA(),INDEX('Data Entry'!$I$5:$I$10004,(CS$1+18)-4))</f>
        <v/>
      </c>
      <c r="CR22">
        <f>IF(ISNA(CP22),NA(),Capability!$K$6)</f>
        <v/>
      </c>
      <c r="CS22">
        <f>IF(ISNA(CP22),NA(),Capability!$J$6)</f>
        <v/>
      </c>
      <c r="CT22">
        <f>IF(ISNA(CP22),NA(),Capability!$L$6)</f>
        <v/>
      </c>
      <c r="CU22">
        <f>IF(OR(ISNA(CQ22),ISNA(CQ21)),NA(),ABS(CQ22-CQ21))</f>
        <v/>
      </c>
      <c r="CV22">
        <f>IF(ISNA(CP22),NA(),Capability!$N$6)</f>
        <v/>
      </c>
      <c r="CW22">
        <f>IF(ISNA(CP22),NA(),IF(OR(Capability!$Q$6="",Settings!$F$7&lt;&gt;"Y"),NA(),Capability!$Q$6))</f>
        <v/>
      </c>
      <c r="CX22">
        <f>IF(ISNA(CP22),NA(),IF(OR(Capability!$P$6="",Settings!$F$7&lt;&gt;"Y"),NA(),Capability!$P$6))</f>
        <v/>
      </c>
      <c r="DD22">
        <f>IF((DG$1+18)&gt;DE$1,NA(),(DG$1+18)-4)</f>
        <v/>
      </c>
      <c r="DE22">
        <f>IF((DG$1+18)&gt;DE$1,NA(),INDEX('Data Entry'!$J$5:$J$10004,(DG$1+18)-4))</f>
        <v/>
      </c>
      <c r="DF22">
        <f>IF(ISNA(DD22),NA(),Capability!$K$7)</f>
        <v/>
      </c>
      <c r="DG22">
        <f>IF(ISNA(DD22),NA(),Capability!$J$7)</f>
        <v/>
      </c>
      <c r="DH22">
        <f>IF(ISNA(DD22),NA(),Capability!$L$7)</f>
        <v/>
      </c>
      <c r="DI22">
        <f>IF(OR(ISNA(DE22),ISNA(DE21)),NA(),ABS(DE22-DE21))</f>
        <v/>
      </c>
      <c r="DJ22">
        <f>IF(ISNA(DD22),NA(),Capability!$N$7)</f>
        <v/>
      </c>
      <c r="DK22">
        <f>IF(ISNA(DD22),NA(),IF(OR(Capability!$Q$7="",Settings!$F$7&lt;&gt;"Y"),NA(),Capability!$Q$7))</f>
        <v/>
      </c>
      <c r="DL22">
        <f>IF(ISNA(DD22),NA(),IF(OR(Capability!$P$7="",Settings!$F$7&lt;&gt;"Y"),NA(),Capability!$P$7))</f>
        <v/>
      </c>
      <c r="DR22">
        <f>IF((DU$1+18)&gt;DS$1,NA(),(DU$1+18)-4)</f>
        <v/>
      </c>
      <c r="DS22">
        <f>IF((DU$1+18)&gt;DS$1,NA(),INDEX('Data Entry'!$K$5:$K$10004,(DU$1+18)-4))</f>
        <v/>
      </c>
      <c r="DT22">
        <f>IF(ISNA(DR22),NA(),Capability!$K$8)</f>
        <v/>
      </c>
      <c r="DU22">
        <f>IF(ISNA(DR22),NA(),Capability!$J$8)</f>
        <v/>
      </c>
      <c r="DV22">
        <f>IF(ISNA(DR22),NA(),Capability!$L$8)</f>
        <v/>
      </c>
      <c r="DW22">
        <f>IF(OR(ISNA(DS22),ISNA(DS21)),NA(),ABS(DS22-DS21))</f>
        <v/>
      </c>
      <c r="DX22">
        <f>IF(ISNA(DR22),NA(),Capability!$N$8)</f>
        <v/>
      </c>
      <c r="DY22">
        <f>IF(ISNA(DR22),NA(),IF(OR(Capability!$Q$8="",Settings!$F$7&lt;&gt;"Y"),NA(),Capability!$Q$8))</f>
        <v/>
      </c>
      <c r="DZ22">
        <f>IF(ISNA(DR22),NA(),IF(OR(Capability!$P$8="",Settings!$F$7&lt;&gt;"Y"),NA(),Capability!$P$8))</f>
        <v/>
      </c>
      <c r="EF22">
        <f>IF((EI$1+18)&gt;EG$1,NA(),(EI$1+18)-4)</f>
        <v/>
      </c>
      <c r="EG22">
        <f>IF((EI$1+18)&gt;EG$1,NA(),INDEX('Data Entry'!$L$5:$L$10004,(EI$1+18)-4))</f>
        <v/>
      </c>
      <c r="EH22">
        <f>IF(ISNA(EF22),NA(),Capability!$K$9)</f>
        <v/>
      </c>
      <c r="EI22">
        <f>IF(ISNA(EF22),NA(),Capability!$J$9)</f>
        <v/>
      </c>
      <c r="EJ22">
        <f>IF(ISNA(EF22),NA(),Capability!$L$9)</f>
        <v/>
      </c>
      <c r="EK22">
        <f>IF(OR(ISNA(EG22),ISNA(EG21)),NA(),ABS(EG22-EG21))</f>
        <v/>
      </c>
      <c r="EL22">
        <f>IF(ISNA(EF22),NA(),Capability!$N$9)</f>
        <v/>
      </c>
      <c r="EM22">
        <f>IF(ISNA(EF22),NA(),IF(OR(Capability!$Q$9="",Settings!$F$7&lt;&gt;"Y"),NA(),Capability!$Q$9))</f>
        <v/>
      </c>
      <c r="EN22">
        <f>IF(ISNA(EF22),NA(),IF(OR(Capability!$P$9="",Settings!$F$7&lt;&gt;"Y"),NA(),Capability!$P$9))</f>
        <v/>
      </c>
      <c r="ET22">
        <f>IF((EW$1+18)&gt;EU$1,NA(),(EW$1+18)-4)</f>
        <v/>
      </c>
      <c r="EU22">
        <f>IF((EW$1+18)&gt;EU$1,NA(),INDEX('Data Entry'!$M$5:$M$10004,(EW$1+18)-4))</f>
        <v/>
      </c>
      <c r="EV22">
        <f>IF(ISNA(ET22),NA(),Capability!$K$10)</f>
        <v/>
      </c>
      <c r="EW22">
        <f>IF(ISNA(ET22),NA(),Capability!$J$10)</f>
        <v/>
      </c>
      <c r="EX22">
        <f>IF(ISNA(ET22),NA(),Capability!$L$10)</f>
        <v/>
      </c>
      <c r="EY22">
        <f>IF(OR(ISNA(EU22),ISNA(EU21)),NA(),ABS(EU22-EU21))</f>
        <v/>
      </c>
      <c r="EZ22">
        <f>IF(ISNA(ET22),NA(),Capability!$N$10)</f>
        <v/>
      </c>
      <c r="FA22">
        <f>IF(ISNA(ET22),NA(),IF(OR(Capability!$Q$10="",Settings!$F$7&lt;&gt;"Y"),NA(),Capability!$Q$10))</f>
        <v/>
      </c>
      <c r="FB22">
        <f>IF(ISNA(ET22),NA(),IF(OR(Capability!$P$10="",Settings!$F$7&lt;&gt;"Y"),NA(),Capability!$P$10))</f>
        <v/>
      </c>
      <c r="FH22">
        <f>IF((FK$1+18)&gt;FI$1,NA(),(FK$1+18)-4)</f>
        <v/>
      </c>
      <c r="FI22">
        <f>IF((FK$1+18)&gt;FI$1,NA(),INDEX('Data Entry'!$N$5:$N$10004,(FK$1+18)-4))</f>
        <v/>
      </c>
      <c r="FJ22">
        <f>IF(ISNA(FH22),NA(),Capability!$K$11)</f>
        <v/>
      </c>
      <c r="FK22">
        <f>IF(ISNA(FH22),NA(),Capability!$J$11)</f>
        <v/>
      </c>
      <c r="FL22">
        <f>IF(ISNA(FH22),NA(),Capability!$L$11)</f>
        <v/>
      </c>
      <c r="FM22">
        <f>IF(OR(ISNA(FI22),ISNA(FI21)),NA(),ABS(FI22-FI21))</f>
        <v/>
      </c>
      <c r="FN22">
        <f>IF(ISNA(FH22),NA(),Capability!$N$11)</f>
        <v/>
      </c>
      <c r="FO22">
        <f>IF(ISNA(FH22),NA(),IF(OR(Capability!$Q$11="",Settings!$F$7&lt;&gt;"Y"),NA(),Capability!$Q$11))</f>
        <v/>
      </c>
      <c r="FP22">
        <f>IF(ISNA(FH22),NA(),IF(OR(Capability!$P$11="",Settings!$F$7&lt;&gt;"Y"),NA(),Capability!$P$11))</f>
        <v/>
      </c>
      <c r="FV22">
        <f>IF((FY$1+18)&gt;FW$1,NA(),(FY$1+18)-4)</f>
        <v/>
      </c>
      <c r="FW22">
        <f>IF((FY$1+18)&gt;FW$1,NA(),INDEX('Data Entry'!$O$5:$O$10004,(FY$1+18)-4))</f>
        <v/>
      </c>
      <c r="FX22">
        <f>IF(ISNA(FV22),NA(),Capability!$K$12)</f>
        <v/>
      </c>
      <c r="FY22">
        <f>IF(ISNA(FV22),NA(),Capability!$J$12)</f>
        <v/>
      </c>
      <c r="FZ22">
        <f>IF(ISNA(FV22),NA(),Capability!$L$12)</f>
        <v/>
      </c>
      <c r="GA22">
        <f>IF(OR(ISNA(FW22),ISNA(FW21)),NA(),ABS(FW22-FW21))</f>
        <v/>
      </c>
      <c r="GB22">
        <f>IF(ISNA(FV22),NA(),Capability!$N$12)</f>
        <v/>
      </c>
      <c r="GC22">
        <f>IF(ISNA(FV22),NA(),IF(OR(Capability!$Q$12="",Settings!$F$7&lt;&gt;"Y"),NA(),Capability!$Q$12))</f>
        <v/>
      </c>
      <c r="GD22">
        <f>IF(ISNA(FV22),NA(),IF(OR(Capability!$P$12="",Settings!$F$7&lt;&gt;"Y"),NA(),Capability!$P$12))</f>
        <v/>
      </c>
      <c r="GJ22">
        <f>IF((GM$1+18)&gt;GK$1,NA(),(GM$1+18)-4)</f>
        <v/>
      </c>
      <c r="GK22">
        <f>IF((GM$1+18)&gt;GK$1,NA(),INDEX('Data Entry'!$P$5:$P$10004,(GM$1+18)-4))</f>
        <v/>
      </c>
      <c r="GL22">
        <f>IF(ISNA(GJ22),NA(),Capability!$K$13)</f>
        <v/>
      </c>
      <c r="GM22">
        <f>IF(ISNA(GJ22),NA(),Capability!$J$13)</f>
        <v/>
      </c>
      <c r="GN22">
        <f>IF(ISNA(GJ22),NA(),Capability!$L$13)</f>
        <v/>
      </c>
      <c r="GO22">
        <f>IF(OR(ISNA(GK22),ISNA(GK21)),NA(),ABS(GK22-GK21))</f>
        <v/>
      </c>
      <c r="GP22">
        <f>IF(ISNA(GJ22),NA(),Capability!$N$13)</f>
        <v/>
      </c>
      <c r="GQ22">
        <f>IF(ISNA(GJ22),NA(),IF(OR(Capability!$Q$13="",Settings!$F$7&lt;&gt;"Y"),NA(),Capability!$Q$13))</f>
        <v/>
      </c>
      <c r="GR22">
        <f>IF(ISNA(GJ22),NA(),IF(OR(Capability!$P$13="",Settings!$F$7&lt;&gt;"Y"),NA(),Capability!$P$13))</f>
        <v/>
      </c>
      <c r="GX22">
        <f>IF((HA$1+18)&gt;GY$1,NA(),(HA$1+18)-4)</f>
        <v/>
      </c>
      <c r="GY22">
        <f>IF((HA$1+18)&gt;GY$1,NA(),INDEX('Data Entry'!$Q$5:$Q$10004,(HA$1+18)-4))</f>
        <v/>
      </c>
      <c r="GZ22">
        <f>IF(ISNA(GX22),NA(),Capability!$K$14)</f>
        <v/>
      </c>
      <c r="HA22">
        <f>IF(ISNA(GX22),NA(),Capability!$J$14)</f>
        <v/>
      </c>
      <c r="HB22">
        <f>IF(ISNA(GX22),NA(),Capability!$L$14)</f>
        <v/>
      </c>
      <c r="HC22">
        <f>IF(OR(ISNA(GY22),ISNA(GY21)),NA(),ABS(GY22-GY21))</f>
        <v/>
      </c>
      <c r="HD22">
        <f>IF(ISNA(GX22),NA(),Capability!$N$14)</f>
        <v/>
      </c>
      <c r="HE22">
        <f>IF(ISNA(GX22),NA(),IF(OR(Capability!$Q$14="",Settings!$F$7&lt;&gt;"Y"),NA(),Capability!$Q$14))</f>
        <v/>
      </c>
      <c r="HF22">
        <f>IF(ISNA(GX22),NA(),IF(OR(Capability!$P$14="",Settings!$F$7&lt;&gt;"Y"),NA(),Capability!$P$14))</f>
        <v/>
      </c>
    </row>
    <row r="23">
      <c r="A23" s="35" t="inlineStr">
        <is>
          <t>USL</t>
        </is>
      </c>
      <c r="B23" s="23">
        <f>Capability!Q5</f>
        <v/>
      </c>
      <c r="CB23">
        <f>IF((CE$1+19)&gt;CC$1,NA(),(CE$1+19)-4)</f>
        <v/>
      </c>
      <c r="CC23">
        <f>IF((CE$1+19)&gt;CC$1,NA(),INDEX('Data Entry'!$H$5:$H$10004,(CE$1+19)-4))</f>
        <v/>
      </c>
      <c r="CD23">
        <f>IF(ISNA(CB23),NA(),Capability!$K$5)</f>
        <v/>
      </c>
      <c r="CE23">
        <f>IF(ISNA(CB23),NA(),Capability!$J$5)</f>
        <v/>
      </c>
      <c r="CF23">
        <f>IF(ISNA(CB23),NA(),Capability!$L$5)</f>
        <v/>
      </c>
      <c r="CG23">
        <f>IF(OR(ISNA(CC23),ISNA(CC22)),NA(),ABS(CC23-CC22))</f>
        <v/>
      </c>
      <c r="CH23">
        <f>IF(ISNA(CB23),NA(),Capability!$N$5)</f>
        <v/>
      </c>
      <c r="CI23">
        <f>IF(ISNA(CB23),NA(),IF(OR(Capability!$Q$5="",Settings!$F$7&lt;&gt;"Y"),NA(),Capability!$Q$5))</f>
        <v/>
      </c>
      <c r="CJ23">
        <f>IF(ISNA(CB23),NA(),IF(OR(Capability!$P$5="",Settings!$F$7&lt;&gt;"Y"),NA(),Capability!$P$5))</f>
        <v/>
      </c>
      <c r="CP23">
        <f>IF((CS$1+19)&gt;CQ$1,NA(),(CS$1+19)-4)</f>
        <v/>
      </c>
      <c r="CQ23">
        <f>IF((CS$1+19)&gt;CQ$1,NA(),INDEX('Data Entry'!$I$5:$I$10004,(CS$1+19)-4))</f>
        <v/>
      </c>
      <c r="CR23">
        <f>IF(ISNA(CP23),NA(),Capability!$K$6)</f>
        <v/>
      </c>
      <c r="CS23">
        <f>IF(ISNA(CP23),NA(),Capability!$J$6)</f>
        <v/>
      </c>
      <c r="CT23">
        <f>IF(ISNA(CP23),NA(),Capability!$L$6)</f>
        <v/>
      </c>
      <c r="CU23">
        <f>IF(OR(ISNA(CQ23),ISNA(CQ22)),NA(),ABS(CQ23-CQ22))</f>
        <v/>
      </c>
      <c r="CV23">
        <f>IF(ISNA(CP23),NA(),Capability!$N$6)</f>
        <v/>
      </c>
      <c r="CW23">
        <f>IF(ISNA(CP23),NA(),IF(OR(Capability!$Q$6="",Settings!$F$7&lt;&gt;"Y"),NA(),Capability!$Q$6))</f>
        <v/>
      </c>
      <c r="CX23">
        <f>IF(ISNA(CP23),NA(),IF(OR(Capability!$P$6="",Settings!$F$7&lt;&gt;"Y"),NA(),Capability!$P$6))</f>
        <v/>
      </c>
      <c r="DD23">
        <f>IF((DG$1+19)&gt;DE$1,NA(),(DG$1+19)-4)</f>
        <v/>
      </c>
      <c r="DE23">
        <f>IF((DG$1+19)&gt;DE$1,NA(),INDEX('Data Entry'!$J$5:$J$10004,(DG$1+19)-4))</f>
        <v/>
      </c>
      <c r="DF23">
        <f>IF(ISNA(DD23),NA(),Capability!$K$7)</f>
        <v/>
      </c>
      <c r="DG23">
        <f>IF(ISNA(DD23),NA(),Capability!$J$7)</f>
        <v/>
      </c>
      <c r="DH23">
        <f>IF(ISNA(DD23),NA(),Capability!$L$7)</f>
        <v/>
      </c>
      <c r="DI23">
        <f>IF(OR(ISNA(DE23),ISNA(DE22)),NA(),ABS(DE23-DE22))</f>
        <v/>
      </c>
      <c r="DJ23">
        <f>IF(ISNA(DD23),NA(),Capability!$N$7)</f>
        <v/>
      </c>
      <c r="DK23">
        <f>IF(ISNA(DD23),NA(),IF(OR(Capability!$Q$7="",Settings!$F$7&lt;&gt;"Y"),NA(),Capability!$Q$7))</f>
        <v/>
      </c>
      <c r="DL23">
        <f>IF(ISNA(DD23),NA(),IF(OR(Capability!$P$7="",Settings!$F$7&lt;&gt;"Y"),NA(),Capability!$P$7))</f>
        <v/>
      </c>
      <c r="DR23">
        <f>IF((DU$1+19)&gt;DS$1,NA(),(DU$1+19)-4)</f>
        <v/>
      </c>
      <c r="DS23">
        <f>IF((DU$1+19)&gt;DS$1,NA(),INDEX('Data Entry'!$K$5:$K$10004,(DU$1+19)-4))</f>
        <v/>
      </c>
      <c r="DT23">
        <f>IF(ISNA(DR23),NA(),Capability!$K$8)</f>
        <v/>
      </c>
      <c r="DU23">
        <f>IF(ISNA(DR23),NA(),Capability!$J$8)</f>
        <v/>
      </c>
      <c r="DV23">
        <f>IF(ISNA(DR23),NA(),Capability!$L$8)</f>
        <v/>
      </c>
      <c r="DW23">
        <f>IF(OR(ISNA(DS23),ISNA(DS22)),NA(),ABS(DS23-DS22))</f>
        <v/>
      </c>
      <c r="DX23">
        <f>IF(ISNA(DR23),NA(),Capability!$N$8)</f>
        <v/>
      </c>
      <c r="DY23">
        <f>IF(ISNA(DR23),NA(),IF(OR(Capability!$Q$8="",Settings!$F$7&lt;&gt;"Y"),NA(),Capability!$Q$8))</f>
        <v/>
      </c>
      <c r="DZ23">
        <f>IF(ISNA(DR23),NA(),IF(OR(Capability!$P$8="",Settings!$F$7&lt;&gt;"Y"),NA(),Capability!$P$8))</f>
        <v/>
      </c>
      <c r="EF23">
        <f>IF((EI$1+19)&gt;EG$1,NA(),(EI$1+19)-4)</f>
        <v/>
      </c>
      <c r="EG23">
        <f>IF((EI$1+19)&gt;EG$1,NA(),INDEX('Data Entry'!$L$5:$L$10004,(EI$1+19)-4))</f>
        <v/>
      </c>
      <c r="EH23">
        <f>IF(ISNA(EF23),NA(),Capability!$K$9)</f>
        <v/>
      </c>
      <c r="EI23">
        <f>IF(ISNA(EF23),NA(),Capability!$J$9)</f>
        <v/>
      </c>
      <c r="EJ23">
        <f>IF(ISNA(EF23),NA(),Capability!$L$9)</f>
        <v/>
      </c>
      <c r="EK23">
        <f>IF(OR(ISNA(EG23),ISNA(EG22)),NA(),ABS(EG23-EG22))</f>
        <v/>
      </c>
      <c r="EL23">
        <f>IF(ISNA(EF23),NA(),Capability!$N$9)</f>
        <v/>
      </c>
      <c r="EM23">
        <f>IF(ISNA(EF23),NA(),IF(OR(Capability!$Q$9="",Settings!$F$7&lt;&gt;"Y"),NA(),Capability!$Q$9))</f>
        <v/>
      </c>
      <c r="EN23">
        <f>IF(ISNA(EF23),NA(),IF(OR(Capability!$P$9="",Settings!$F$7&lt;&gt;"Y"),NA(),Capability!$P$9))</f>
        <v/>
      </c>
      <c r="ET23">
        <f>IF((EW$1+19)&gt;EU$1,NA(),(EW$1+19)-4)</f>
        <v/>
      </c>
      <c r="EU23">
        <f>IF((EW$1+19)&gt;EU$1,NA(),INDEX('Data Entry'!$M$5:$M$10004,(EW$1+19)-4))</f>
        <v/>
      </c>
      <c r="EV23">
        <f>IF(ISNA(ET23),NA(),Capability!$K$10)</f>
        <v/>
      </c>
      <c r="EW23">
        <f>IF(ISNA(ET23),NA(),Capability!$J$10)</f>
        <v/>
      </c>
      <c r="EX23">
        <f>IF(ISNA(ET23),NA(),Capability!$L$10)</f>
        <v/>
      </c>
      <c r="EY23">
        <f>IF(OR(ISNA(EU23),ISNA(EU22)),NA(),ABS(EU23-EU22))</f>
        <v/>
      </c>
      <c r="EZ23">
        <f>IF(ISNA(ET23),NA(),Capability!$N$10)</f>
        <v/>
      </c>
      <c r="FA23">
        <f>IF(ISNA(ET23),NA(),IF(OR(Capability!$Q$10="",Settings!$F$7&lt;&gt;"Y"),NA(),Capability!$Q$10))</f>
        <v/>
      </c>
      <c r="FB23">
        <f>IF(ISNA(ET23),NA(),IF(OR(Capability!$P$10="",Settings!$F$7&lt;&gt;"Y"),NA(),Capability!$P$10))</f>
        <v/>
      </c>
      <c r="FH23">
        <f>IF((FK$1+19)&gt;FI$1,NA(),(FK$1+19)-4)</f>
        <v/>
      </c>
      <c r="FI23">
        <f>IF((FK$1+19)&gt;FI$1,NA(),INDEX('Data Entry'!$N$5:$N$10004,(FK$1+19)-4))</f>
        <v/>
      </c>
      <c r="FJ23">
        <f>IF(ISNA(FH23),NA(),Capability!$K$11)</f>
        <v/>
      </c>
      <c r="FK23">
        <f>IF(ISNA(FH23),NA(),Capability!$J$11)</f>
        <v/>
      </c>
      <c r="FL23">
        <f>IF(ISNA(FH23),NA(),Capability!$L$11)</f>
        <v/>
      </c>
      <c r="FM23">
        <f>IF(OR(ISNA(FI23),ISNA(FI22)),NA(),ABS(FI23-FI22))</f>
        <v/>
      </c>
      <c r="FN23">
        <f>IF(ISNA(FH23),NA(),Capability!$N$11)</f>
        <v/>
      </c>
      <c r="FO23">
        <f>IF(ISNA(FH23),NA(),IF(OR(Capability!$Q$11="",Settings!$F$7&lt;&gt;"Y"),NA(),Capability!$Q$11))</f>
        <v/>
      </c>
      <c r="FP23">
        <f>IF(ISNA(FH23),NA(),IF(OR(Capability!$P$11="",Settings!$F$7&lt;&gt;"Y"),NA(),Capability!$P$11))</f>
        <v/>
      </c>
      <c r="FV23">
        <f>IF((FY$1+19)&gt;FW$1,NA(),(FY$1+19)-4)</f>
        <v/>
      </c>
      <c r="FW23">
        <f>IF((FY$1+19)&gt;FW$1,NA(),INDEX('Data Entry'!$O$5:$O$10004,(FY$1+19)-4))</f>
        <v/>
      </c>
      <c r="FX23">
        <f>IF(ISNA(FV23),NA(),Capability!$K$12)</f>
        <v/>
      </c>
      <c r="FY23">
        <f>IF(ISNA(FV23),NA(),Capability!$J$12)</f>
        <v/>
      </c>
      <c r="FZ23">
        <f>IF(ISNA(FV23),NA(),Capability!$L$12)</f>
        <v/>
      </c>
      <c r="GA23">
        <f>IF(OR(ISNA(FW23),ISNA(FW22)),NA(),ABS(FW23-FW22))</f>
        <v/>
      </c>
      <c r="GB23">
        <f>IF(ISNA(FV23),NA(),Capability!$N$12)</f>
        <v/>
      </c>
      <c r="GC23">
        <f>IF(ISNA(FV23),NA(),IF(OR(Capability!$Q$12="",Settings!$F$7&lt;&gt;"Y"),NA(),Capability!$Q$12))</f>
        <v/>
      </c>
      <c r="GD23">
        <f>IF(ISNA(FV23),NA(),IF(OR(Capability!$P$12="",Settings!$F$7&lt;&gt;"Y"),NA(),Capability!$P$12))</f>
        <v/>
      </c>
      <c r="GJ23">
        <f>IF((GM$1+19)&gt;GK$1,NA(),(GM$1+19)-4)</f>
        <v/>
      </c>
      <c r="GK23">
        <f>IF((GM$1+19)&gt;GK$1,NA(),INDEX('Data Entry'!$P$5:$P$10004,(GM$1+19)-4))</f>
        <v/>
      </c>
      <c r="GL23">
        <f>IF(ISNA(GJ23),NA(),Capability!$K$13)</f>
        <v/>
      </c>
      <c r="GM23">
        <f>IF(ISNA(GJ23),NA(),Capability!$J$13)</f>
        <v/>
      </c>
      <c r="GN23">
        <f>IF(ISNA(GJ23),NA(),Capability!$L$13)</f>
        <v/>
      </c>
      <c r="GO23">
        <f>IF(OR(ISNA(GK23),ISNA(GK22)),NA(),ABS(GK23-GK22))</f>
        <v/>
      </c>
      <c r="GP23">
        <f>IF(ISNA(GJ23),NA(),Capability!$N$13)</f>
        <v/>
      </c>
      <c r="GQ23">
        <f>IF(ISNA(GJ23),NA(),IF(OR(Capability!$Q$13="",Settings!$F$7&lt;&gt;"Y"),NA(),Capability!$Q$13))</f>
        <v/>
      </c>
      <c r="GR23">
        <f>IF(ISNA(GJ23),NA(),IF(OR(Capability!$P$13="",Settings!$F$7&lt;&gt;"Y"),NA(),Capability!$P$13))</f>
        <v/>
      </c>
      <c r="GX23">
        <f>IF((HA$1+19)&gt;GY$1,NA(),(HA$1+19)-4)</f>
        <v/>
      </c>
      <c r="GY23">
        <f>IF((HA$1+19)&gt;GY$1,NA(),INDEX('Data Entry'!$Q$5:$Q$10004,(HA$1+19)-4))</f>
        <v/>
      </c>
      <c r="GZ23">
        <f>IF(ISNA(GX23),NA(),Capability!$K$14)</f>
        <v/>
      </c>
      <c r="HA23">
        <f>IF(ISNA(GX23),NA(),Capability!$J$14)</f>
        <v/>
      </c>
      <c r="HB23">
        <f>IF(ISNA(GX23),NA(),Capability!$L$14)</f>
        <v/>
      </c>
      <c r="HC23">
        <f>IF(OR(ISNA(GY23),ISNA(GY22)),NA(),ABS(GY23-GY22))</f>
        <v/>
      </c>
      <c r="HD23">
        <f>IF(ISNA(GX23),NA(),Capability!$N$14)</f>
        <v/>
      </c>
      <c r="HE23">
        <f>IF(ISNA(GX23),NA(),IF(OR(Capability!$Q$14="",Settings!$F$7&lt;&gt;"Y"),NA(),Capability!$Q$14))</f>
        <v/>
      </c>
      <c r="HF23">
        <f>IF(ISNA(GX23),NA(),IF(OR(Capability!$P$14="",Settings!$F$7&lt;&gt;"Y"),NA(),Capability!$P$14))</f>
        <v/>
      </c>
    </row>
    <row r="24">
      <c r="A24" s="35" t="inlineStr">
        <is>
          <t>Nominal</t>
        </is>
      </c>
      <c r="B24" s="23">
        <f>Capability!O5</f>
        <v/>
      </c>
      <c r="CB24">
        <f>IF((CE$1+20)&gt;CC$1,NA(),(CE$1+20)-4)</f>
        <v/>
      </c>
      <c r="CC24">
        <f>IF((CE$1+20)&gt;CC$1,NA(),INDEX('Data Entry'!$H$5:$H$10004,(CE$1+20)-4))</f>
        <v/>
      </c>
      <c r="CD24">
        <f>IF(ISNA(CB24),NA(),Capability!$K$5)</f>
        <v/>
      </c>
      <c r="CE24">
        <f>IF(ISNA(CB24),NA(),Capability!$J$5)</f>
        <v/>
      </c>
      <c r="CF24">
        <f>IF(ISNA(CB24),NA(),Capability!$L$5)</f>
        <v/>
      </c>
      <c r="CG24">
        <f>IF(OR(ISNA(CC24),ISNA(CC23)),NA(),ABS(CC24-CC23))</f>
        <v/>
      </c>
      <c r="CH24">
        <f>IF(ISNA(CB24),NA(),Capability!$N$5)</f>
        <v/>
      </c>
      <c r="CI24">
        <f>IF(ISNA(CB24),NA(),IF(OR(Capability!$Q$5="",Settings!$F$7&lt;&gt;"Y"),NA(),Capability!$Q$5))</f>
        <v/>
      </c>
      <c r="CJ24">
        <f>IF(ISNA(CB24),NA(),IF(OR(Capability!$P$5="",Settings!$F$7&lt;&gt;"Y"),NA(),Capability!$P$5))</f>
        <v/>
      </c>
      <c r="CP24">
        <f>IF((CS$1+20)&gt;CQ$1,NA(),(CS$1+20)-4)</f>
        <v/>
      </c>
      <c r="CQ24">
        <f>IF((CS$1+20)&gt;CQ$1,NA(),INDEX('Data Entry'!$I$5:$I$10004,(CS$1+20)-4))</f>
        <v/>
      </c>
      <c r="CR24">
        <f>IF(ISNA(CP24),NA(),Capability!$K$6)</f>
        <v/>
      </c>
      <c r="CS24">
        <f>IF(ISNA(CP24),NA(),Capability!$J$6)</f>
        <v/>
      </c>
      <c r="CT24">
        <f>IF(ISNA(CP24),NA(),Capability!$L$6)</f>
        <v/>
      </c>
      <c r="CU24">
        <f>IF(OR(ISNA(CQ24),ISNA(CQ23)),NA(),ABS(CQ24-CQ23))</f>
        <v/>
      </c>
      <c r="CV24">
        <f>IF(ISNA(CP24),NA(),Capability!$N$6)</f>
        <v/>
      </c>
      <c r="CW24">
        <f>IF(ISNA(CP24),NA(),IF(OR(Capability!$Q$6="",Settings!$F$7&lt;&gt;"Y"),NA(),Capability!$Q$6))</f>
        <v/>
      </c>
      <c r="CX24">
        <f>IF(ISNA(CP24),NA(),IF(OR(Capability!$P$6="",Settings!$F$7&lt;&gt;"Y"),NA(),Capability!$P$6))</f>
        <v/>
      </c>
      <c r="DD24">
        <f>IF((DG$1+20)&gt;DE$1,NA(),(DG$1+20)-4)</f>
        <v/>
      </c>
      <c r="DE24">
        <f>IF((DG$1+20)&gt;DE$1,NA(),INDEX('Data Entry'!$J$5:$J$10004,(DG$1+20)-4))</f>
        <v/>
      </c>
      <c r="DF24">
        <f>IF(ISNA(DD24),NA(),Capability!$K$7)</f>
        <v/>
      </c>
      <c r="DG24">
        <f>IF(ISNA(DD24),NA(),Capability!$J$7)</f>
        <v/>
      </c>
      <c r="DH24">
        <f>IF(ISNA(DD24),NA(),Capability!$L$7)</f>
        <v/>
      </c>
      <c r="DI24">
        <f>IF(OR(ISNA(DE24),ISNA(DE23)),NA(),ABS(DE24-DE23))</f>
        <v/>
      </c>
      <c r="DJ24">
        <f>IF(ISNA(DD24),NA(),Capability!$N$7)</f>
        <v/>
      </c>
      <c r="DK24">
        <f>IF(ISNA(DD24),NA(),IF(OR(Capability!$Q$7="",Settings!$F$7&lt;&gt;"Y"),NA(),Capability!$Q$7))</f>
        <v/>
      </c>
      <c r="DL24">
        <f>IF(ISNA(DD24),NA(),IF(OR(Capability!$P$7="",Settings!$F$7&lt;&gt;"Y"),NA(),Capability!$P$7))</f>
        <v/>
      </c>
      <c r="DR24">
        <f>IF((DU$1+20)&gt;DS$1,NA(),(DU$1+20)-4)</f>
        <v/>
      </c>
      <c r="DS24">
        <f>IF((DU$1+20)&gt;DS$1,NA(),INDEX('Data Entry'!$K$5:$K$10004,(DU$1+20)-4))</f>
        <v/>
      </c>
      <c r="DT24">
        <f>IF(ISNA(DR24),NA(),Capability!$K$8)</f>
        <v/>
      </c>
      <c r="DU24">
        <f>IF(ISNA(DR24),NA(),Capability!$J$8)</f>
        <v/>
      </c>
      <c r="DV24">
        <f>IF(ISNA(DR24),NA(),Capability!$L$8)</f>
        <v/>
      </c>
      <c r="DW24">
        <f>IF(OR(ISNA(DS24),ISNA(DS23)),NA(),ABS(DS24-DS23))</f>
        <v/>
      </c>
      <c r="DX24">
        <f>IF(ISNA(DR24),NA(),Capability!$N$8)</f>
        <v/>
      </c>
      <c r="DY24">
        <f>IF(ISNA(DR24),NA(),IF(OR(Capability!$Q$8="",Settings!$F$7&lt;&gt;"Y"),NA(),Capability!$Q$8))</f>
        <v/>
      </c>
      <c r="DZ24">
        <f>IF(ISNA(DR24),NA(),IF(OR(Capability!$P$8="",Settings!$F$7&lt;&gt;"Y"),NA(),Capability!$P$8))</f>
        <v/>
      </c>
      <c r="EF24">
        <f>IF((EI$1+20)&gt;EG$1,NA(),(EI$1+20)-4)</f>
        <v/>
      </c>
      <c r="EG24">
        <f>IF((EI$1+20)&gt;EG$1,NA(),INDEX('Data Entry'!$L$5:$L$10004,(EI$1+20)-4))</f>
        <v/>
      </c>
      <c r="EH24">
        <f>IF(ISNA(EF24),NA(),Capability!$K$9)</f>
        <v/>
      </c>
      <c r="EI24">
        <f>IF(ISNA(EF24),NA(),Capability!$J$9)</f>
        <v/>
      </c>
      <c r="EJ24">
        <f>IF(ISNA(EF24),NA(),Capability!$L$9)</f>
        <v/>
      </c>
      <c r="EK24">
        <f>IF(OR(ISNA(EG24),ISNA(EG23)),NA(),ABS(EG24-EG23))</f>
        <v/>
      </c>
      <c r="EL24">
        <f>IF(ISNA(EF24),NA(),Capability!$N$9)</f>
        <v/>
      </c>
      <c r="EM24">
        <f>IF(ISNA(EF24),NA(),IF(OR(Capability!$Q$9="",Settings!$F$7&lt;&gt;"Y"),NA(),Capability!$Q$9))</f>
        <v/>
      </c>
      <c r="EN24">
        <f>IF(ISNA(EF24),NA(),IF(OR(Capability!$P$9="",Settings!$F$7&lt;&gt;"Y"),NA(),Capability!$P$9))</f>
        <v/>
      </c>
      <c r="ET24">
        <f>IF((EW$1+20)&gt;EU$1,NA(),(EW$1+20)-4)</f>
        <v/>
      </c>
      <c r="EU24">
        <f>IF((EW$1+20)&gt;EU$1,NA(),INDEX('Data Entry'!$M$5:$M$10004,(EW$1+20)-4))</f>
        <v/>
      </c>
      <c r="EV24">
        <f>IF(ISNA(ET24),NA(),Capability!$K$10)</f>
        <v/>
      </c>
      <c r="EW24">
        <f>IF(ISNA(ET24),NA(),Capability!$J$10)</f>
        <v/>
      </c>
      <c r="EX24">
        <f>IF(ISNA(ET24),NA(),Capability!$L$10)</f>
        <v/>
      </c>
      <c r="EY24">
        <f>IF(OR(ISNA(EU24),ISNA(EU23)),NA(),ABS(EU24-EU23))</f>
        <v/>
      </c>
      <c r="EZ24">
        <f>IF(ISNA(ET24),NA(),Capability!$N$10)</f>
        <v/>
      </c>
      <c r="FA24">
        <f>IF(ISNA(ET24),NA(),IF(OR(Capability!$Q$10="",Settings!$F$7&lt;&gt;"Y"),NA(),Capability!$Q$10))</f>
        <v/>
      </c>
      <c r="FB24">
        <f>IF(ISNA(ET24),NA(),IF(OR(Capability!$P$10="",Settings!$F$7&lt;&gt;"Y"),NA(),Capability!$P$10))</f>
        <v/>
      </c>
      <c r="FH24">
        <f>IF((FK$1+20)&gt;FI$1,NA(),(FK$1+20)-4)</f>
        <v/>
      </c>
      <c r="FI24">
        <f>IF((FK$1+20)&gt;FI$1,NA(),INDEX('Data Entry'!$N$5:$N$10004,(FK$1+20)-4))</f>
        <v/>
      </c>
      <c r="FJ24">
        <f>IF(ISNA(FH24),NA(),Capability!$K$11)</f>
        <v/>
      </c>
      <c r="FK24">
        <f>IF(ISNA(FH24),NA(),Capability!$J$11)</f>
        <v/>
      </c>
      <c r="FL24">
        <f>IF(ISNA(FH24),NA(),Capability!$L$11)</f>
        <v/>
      </c>
      <c r="FM24">
        <f>IF(OR(ISNA(FI24),ISNA(FI23)),NA(),ABS(FI24-FI23))</f>
        <v/>
      </c>
      <c r="FN24">
        <f>IF(ISNA(FH24),NA(),Capability!$N$11)</f>
        <v/>
      </c>
      <c r="FO24">
        <f>IF(ISNA(FH24),NA(),IF(OR(Capability!$Q$11="",Settings!$F$7&lt;&gt;"Y"),NA(),Capability!$Q$11))</f>
        <v/>
      </c>
      <c r="FP24">
        <f>IF(ISNA(FH24),NA(),IF(OR(Capability!$P$11="",Settings!$F$7&lt;&gt;"Y"),NA(),Capability!$P$11))</f>
        <v/>
      </c>
      <c r="FV24">
        <f>IF((FY$1+20)&gt;FW$1,NA(),(FY$1+20)-4)</f>
        <v/>
      </c>
      <c r="FW24">
        <f>IF((FY$1+20)&gt;FW$1,NA(),INDEX('Data Entry'!$O$5:$O$10004,(FY$1+20)-4))</f>
        <v/>
      </c>
      <c r="FX24">
        <f>IF(ISNA(FV24),NA(),Capability!$K$12)</f>
        <v/>
      </c>
      <c r="FY24">
        <f>IF(ISNA(FV24),NA(),Capability!$J$12)</f>
        <v/>
      </c>
      <c r="FZ24">
        <f>IF(ISNA(FV24),NA(),Capability!$L$12)</f>
        <v/>
      </c>
      <c r="GA24">
        <f>IF(OR(ISNA(FW24),ISNA(FW23)),NA(),ABS(FW24-FW23))</f>
        <v/>
      </c>
      <c r="GB24">
        <f>IF(ISNA(FV24),NA(),Capability!$N$12)</f>
        <v/>
      </c>
      <c r="GC24">
        <f>IF(ISNA(FV24),NA(),IF(OR(Capability!$Q$12="",Settings!$F$7&lt;&gt;"Y"),NA(),Capability!$Q$12))</f>
        <v/>
      </c>
      <c r="GD24">
        <f>IF(ISNA(FV24),NA(),IF(OR(Capability!$P$12="",Settings!$F$7&lt;&gt;"Y"),NA(),Capability!$P$12))</f>
        <v/>
      </c>
      <c r="GJ24">
        <f>IF((GM$1+20)&gt;GK$1,NA(),(GM$1+20)-4)</f>
        <v/>
      </c>
      <c r="GK24">
        <f>IF((GM$1+20)&gt;GK$1,NA(),INDEX('Data Entry'!$P$5:$P$10004,(GM$1+20)-4))</f>
        <v/>
      </c>
      <c r="GL24">
        <f>IF(ISNA(GJ24),NA(),Capability!$K$13)</f>
        <v/>
      </c>
      <c r="GM24">
        <f>IF(ISNA(GJ24),NA(),Capability!$J$13)</f>
        <v/>
      </c>
      <c r="GN24">
        <f>IF(ISNA(GJ24),NA(),Capability!$L$13)</f>
        <v/>
      </c>
      <c r="GO24">
        <f>IF(OR(ISNA(GK24),ISNA(GK23)),NA(),ABS(GK24-GK23))</f>
        <v/>
      </c>
      <c r="GP24">
        <f>IF(ISNA(GJ24),NA(),Capability!$N$13)</f>
        <v/>
      </c>
      <c r="GQ24">
        <f>IF(ISNA(GJ24),NA(),IF(OR(Capability!$Q$13="",Settings!$F$7&lt;&gt;"Y"),NA(),Capability!$Q$13))</f>
        <v/>
      </c>
      <c r="GR24">
        <f>IF(ISNA(GJ24),NA(),IF(OR(Capability!$P$13="",Settings!$F$7&lt;&gt;"Y"),NA(),Capability!$P$13))</f>
        <v/>
      </c>
      <c r="GX24">
        <f>IF((HA$1+20)&gt;GY$1,NA(),(HA$1+20)-4)</f>
        <v/>
      </c>
      <c r="GY24">
        <f>IF((HA$1+20)&gt;GY$1,NA(),INDEX('Data Entry'!$Q$5:$Q$10004,(HA$1+20)-4))</f>
        <v/>
      </c>
      <c r="GZ24">
        <f>IF(ISNA(GX24),NA(),Capability!$K$14)</f>
        <v/>
      </c>
      <c r="HA24">
        <f>IF(ISNA(GX24),NA(),Capability!$J$14)</f>
        <v/>
      </c>
      <c r="HB24">
        <f>IF(ISNA(GX24),NA(),Capability!$L$14)</f>
        <v/>
      </c>
      <c r="HC24">
        <f>IF(OR(ISNA(GY24),ISNA(GY23)),NA(),ABS(GY24-GY23))</f>
        <v/>
      </c>
      <c r="HD24">
        <f>IF(ISNA(GX24),NA(),Capability!$N$14)</f>
        <v/>
      </c>
      <c r="HE24">
        <f>IF(ISNA(GX24),NA(),IF(OR(Capability!$Q$14="",Settings!$F$7&lt;&gt;"Y"),NA(),Capability!$Q$14))</f>
        <v/>
      </c>
      <c r="HF24">
        <f>IF(ISNA(GX24),NA(),IF(OR(Capability!$P$14="",Settings!$F$7&lt;&gt;"Y"),NA(),Capability!$P$14))</f>
        <v/>
      </c>
    </row>
    <row r="25">
      <c r="A25" s="35" t="inlineStr">
        <is>
          <t>LSL</t>
        </is>
      </c>
      <c r="B25" s="23">
        <f>Capability!P5</f>
        <v/>
      </c>
      <c r="CB25">
        <f>IF((CE$1+21)&gt;CC$1,NA(),(CE$1+21)-4)</f>
        <v/>
      </c>
      <c r="CC25">
        <f>IF((CE$1+21)&gt;CC$1,NA(),INDEX('Data Entry'!$H$5:$H$10004,(CE$1+21)-4))</f>
        <v/>
      </c>
      <c r="CD25">
        <f>IF(ISNA(CB25),NA(),Capability!$K$5)</f>
        <v/>
      </c>
      <c r="CE25">
        <f>IF(ISNA(CB25),NA(),Capability!$J$5)</f>
        <v/>
      </c>
      <c r="CF25">
        <f>IF(ISNA(CB25),NA(),Capability!$L$5)</f>
        <v/>
      </c>
      <c r="CG25">
        <f>IF(OR(ISNA(CC25),ISNA(CC24)),NA(),ABS(CC25-CC24))</f>
        <v/>
      </c>
      <c r="CH25">
        <f>IF(ISNA(CB25),NA(),Capability!$N$5)</f>
        <v/>
      </c>
      <c r="CI25">
        <f>IF(ISNA(CB25),NA(),IF(OR(Capability!$Q$5="",Settings!$F$7&lt;&gt;"Y"),NA(),Capability!$Q$5))</f>
        <v/>
      </c>
      <c r="CJ25">
        <f>IF(ISNA(CB25),NA(),IF(OR(Capability!$P$5="",Settings!$F$7&lt;&gt;"Y"),NA(),Capability!$P$5))</f>
        <v/>
      </c>
      <c r="CP25">
        <f>IF((CS$1+21)&gt;CQ$1,NA(),(CS$1+21)-4)</f>
        <v/>
      </c>
      <c r="CQ25">
        <f>IF((CS$1+21)&gt;CQ$1,NA(),INDEX('Data Entry'!$I$5:$I$10004,(CS$1+21)-4))</f>
        <v/>
      </c>
      <c r="CR25">
        <f>IF(ISNA(CP25),NA(),Capability!$K$6)</f>
        <v/>
      </c>
      <c r="CS25">
        <f>IF(ISNA(CP25),NA(),Capability!$J$6)</f>
        <v/>
      </c>
      <c r="CT25">
        <f>IF(ISNA(CP25),NA(),Capability!$L$6)</f>
        <v/>
      </c>
      <c r="CU25">
        <f>IF(OR(ISNA(CQ25),ISNA(CQ24)),NA(),ABS(CQ25-CQ24))</f>
        <v/>
      </c>
      <c r="CV25">
        <f>IF(ISNA(CP25),NA(),Capability!$N$6)</f>
        <v/>
      </c>
      <c r="CW25">
        <f>IF(ISNA(CP25),NA(),IF(OR(Capability!$Q$6="",Settings!$F$7&lt;&gt;"Y"),NA(),Capability!$Q$6))</f>
        <v/>
      </c>
      <c r="CX25">
        <f>IF(ISNA(CP25),NA(),IF(OR(Capability!$P$6="",Settings!$F$7&lt;&gt;"Y"),NA(),Capability!$P$6))</f>
        <v/>
      </c>
      <c r="DD25">
        <f>IF((DG$1+21)&gt;DE$1,NA(),(DG$1+21)-4)</f>
        <v/>
      </c>
      <c r="DE25">
        <f>IF((DG$1+21)&gt;DE$1,NA(),INDEX('Data Entry'!$J$5:$J$10004,(DG$1+21)-4))</f>
        <v/>
      </c>
      <c r="DF25">
        <f>IF(ISNA(DD25),NA(),Capability!$K$7)</f>
        <v/>
      </c>
      <c r="DG25">
        <f>IF(ISNA(DD25),NA(),Capability!$J$7)</f>
        <v/>
      </c>
      <c r="DH25">
        <f>IF(ISNA(DD25),NA(),Capability!$L$7)</f>
        <v/>
      </c>
      <c r="DI25">
        <f>IF(OR(ISNA(DE25),ISNA(DE24)),NA(),ABS(DE25-DE24))</f>
        <v/>
      </c>
      <c r="DJ25">
        <f>IF(ISNA(DD25),NA(),Capability!$N$7)</f>
        <v/>
      </c>
      <c r="DK25">
        <f>IF(ISNA(DD25),NA(),IF(OR(Capability!$Q$7="",Settings!$F$7&lt;&gt;"Y"),NA(),Capability!$Q$7))</f>
        <v/>
      </c>
      <c r="DL25">
        <f>IF(ISNA(DD25),NA(),IF(OR(Capability!$P$7="",Settings!$F$7&lt;&gt;"Y"),NA(),Capability!$P$7))</f>
        <v/>
      </c>
      <c r="DR25">
        <f>IF((DU$1+21)&gt;DS$1,NA(),(DU$1+21)-4)</f>
        <v/>
      </c>
      <c r="DS25">
        <f>IF((DU$1+21)&gt;DS$1,NA(),INDEX('Data Entry'!$K$5:$K$10004,(DU$1+21)-4))</f>
        <v/>
      </c>
      <c r="DT25">
        <f>IF(ISNA(DR25),NA(),Capability!$K$8)</f>
        <v/>
      </c>
      <c r="DU25">
        <f>IF(ISNA(DR25),NA(),Capability!$J$8)</f>
        <v/>
      </c>
      <c r="DV25">
        <f>IF(ISNA(DR25),NA(),Capability!$L$8)</f>
        <v/>
      </c>
      <c r="DW25">
        <f>IF(OR(ISNA(DS25),ISNA(DS24)),NA(),ABS(DS25-DS24))</f>
        <v/>
      </c>
      <c r="DX25">
        <f>IF(ISNA(DR25),NA(),Capability!$N$8)</f>
        <v/>
      </c>
      <c r="DY25">
        <f>IF(ISNA(DR25),NA(),IF(OR(Capability!$Q$8="",Settings!$F$7&lt;&gt;"Y"),NA(),Capability!$Q$8))</f>
        <v/>
      </c>
      <c r="DZ25">
        <f>IF(ISNA(DR25),NA(),IF(OR(Capability!$P$8="",Settings!$F$7&lt;&gt;"Y"),NA(),Capability!$P$8))</f>
        <v/>
      </c>
      <c r="EF25">
        <f>IF((EI$1+21)&gt;EG$1,NA(),(EI$1+21)-4)</f>
        <v/>
      </c>
      <c r="EG25">
        <f>IF((EI$1+21)&gt;EG$1,NA(),INDEX('Data Entry'!$L$5:$L$10004,(EI$1+21)-4))</f>
        <v/>
      </c>
      <c r="EH25">
        <f>IF(ISNA(EF25),NA(),Capability!$K$9)</f>
        <v/>
      </c>
      <c r="EI25">
        <f>IF(ISNA(EF25),NA(),Capability!$J$9)</f>
        <v/>
      </c>
      <c r="EJ25">
        <f>IF(ISNA(EF25),NA(),Capability!$L$9)</f>
        <v/>
      </c>
      <c r="EK25">
        <f>IF(OR(ISNA(EG25),ISNA(EG24)),NA(),ABS(EG25-EG24))</f>
        <v/>
      </c>
      <c r="EL25">
        <f>IF(ISNA(EF25),NA(),Capability!$N$9)</f>
        <v/>
      </c>
      <c r="EM25">
        <f>IF(ISNA(EF25),NA(),IF(OR(Capability!$Q$9="",Settings!$F$7&lt;&gt;"Y"),NA(),Capability!$Q$9))</f>
        <v/>
      </c>
      <c r="EN25">
        <f>IF(ISNA(EF25),NA(),IF(OR(Capability!$P$9="",Settings!$F$7&lt;&gt;"Y"),NA(),Capability!$P$9))</f>
        <v/>
      </c>
      <c r="ET25">
        <f>IF((EW$1+21)&gt;EU$1,NA(),(EW$1+21)-4)</f>
        <v/>
      </c>
      <c r="EU25">
        <f>IF((EW$1+21)&gt;EU$1,NA(),INDEX('Data Entry'!$M$5:$M$10004,(EW$1+21)-4))</f>
        <v/>
      </c>
      <c r="EV25">
        <f>IF(ISNA(ET25),NA(),Capability!$K$10)</f>
        <v/>
      </c>
      <c r="EW25">
        <f>IF(ISNA(ET25),NA(),Capability!$J$10)</f>
        <v/>
      </c>
      <c r="EX25">
        <f>IF(ISNA(ET25),NA(),Capability!$L$10)</f>
        <v/>
      </c>
      <c r="EY25">
        <f>IF(OR(ISNA(EU25),ISNA(EU24)),NA(),ABS(EU25-EU24))</f>
        <v/>
      </c>
      <c r="EZ25">
        <f>IF(ISNA(ET25),NA(),Capability!$N$10)</f>
        <v/>
      </c>
      <c r="FA25">
        <f>IF(ISNA(ET25),NA(),IF(OR(Capability!$Q$10="",Settings!$F$7&lt;&gt;"Y"),NA(),Capability!$Q$10))</f>
        <v/>
      </c>
      <c r="FB25">
        <f>IF(ISNA(ET25),NA(),IF(OR(Capability!$P$10="",Settings!$F$7&lt;&gt;"Y"),NA(),Capability!$P$10))</f>
        <v/>
      </c>
      <c r="FH25">
        <f>IF((FK$1+21)&gt;FI$1,NA(),(FK$1+21)-4)</f>
        <v/>
      </c>
      <c r="FI25">
        <f>IF((FK$1+21)&gt;FI$1,NA(),INDEX('Data Entry'!$N$5:$N$10004,(FK$1+21)-4))</f>
        <v/>
      </c>
      <c r="FJ25">
        <f>IF(ISNA(FH25),NA(),Capability!$K$11)</f>
        <v/>
      </c>
      <c r="FK25">
        <f>IF(ISNA(FH25),NA(),Capability!$J$11)</f>
        <v/>
      </c>
      <c r="FL25">
        <f>IF(ISNA(FH25),NA(),Capability!$L$11)</f>
        <v/>
      </c>
      <c r="FM25">
        <f>IF(OR(ISNA(FI25),ISNA(FI24)),NA(),ABS(FI25-FI24))</f>
        <v/>
      </c>
      <c r="FN25">
        <f>IF(ISNA(FH25),NA(),Capability!$N$11)</f>
        <v/>
      </c>
      <c r="FO25">
        <f>IF(ISNA(FH25),NA(),IF(OR(Capability!$Q$11="",Settings!$F$7&lt;&gt;"Y"),NA(),Capability!$Q$11))</f>
        <v/>
      </c>
      <c r="FP25">
        <f>IF(ISNA(FH25),NA(),IF(OR(Capability!$P$11="",Settings!$F$7&lt;&gt;"Y"),NA(),Capability!$P$11))</f>
        <v/>
      </c>
      <c r="FV25">
        <f>IF((FY$1+21)&gt;FW$1,NA(),(FY$1+21)-4)</f>
        <v/>
      </c>
      <c r="FW25">
        <f>IF((FY$1+21)&gt;FW$1,NA(),INDEX('Data Entry'!$O$5:$O$10004,(FY$1+21)-4))</f>
        <v/>
      </c>
      <c r="FX25">
        <f>IF(ISNA(FV25),NA(),Capability!$K$12)</f>
        <v/>
      </c>
      <c r="FY25">
        <f>IF(ISNA(FV25),NA(),Capability!$J$12)</f>
        <v/>
      </c>
      <c r="FZ25">
        <f>IF(ISNA(FV25),NA(),Capability!$L$12)</f>
        <v/>
      </c>
      <c r="GA25">
        <f>IF(OR(ISNA(FW25),ISNA(FW24)),NA(),ABS(FW25-FW24))</f>
        <v/>
      </c>
      <c r="GB25">
        <f>IF(ISNA(FV25),NA(),Capability!$N$12)</f>
        <v/>
      </c>
      <c r="GC25">
        <f>IF(ISNA(FV25),NA(),IF(OR(Capability!$Q$12="",Settings!$F$7&lt;&gt;"Y"),NA(),Capability!$Q$12))</f>
        <v/>
      </c>
      <c r="GD25">
        <f>IF(ISNA(FV25),NA(),IF(OR(Capability!$P$12="",Settings!$F$7&lt;&gt;"Y"),NA(),Capability!$P$12))</f>
        <v/>
      </c>
      <c r="GJ25">
        <f>IF((GM$1+21)&gt;GK$1,NA(),(GM$1+21)-4)</f>
        <v/>
      </c>
      <c r="GK25">
        <f>IF((GM$1+21)&gt;GK$1,NA(),INDEX('Data Entry'!$P$5:$P$10004,(GM$1+21)-4))</f>
        <v/>
      </c>
      <c r="GL25">
        <f>IF(ISNA(GJ25),NA(),Capability!$K$13)</f>
        <v/>
      </c>
      <c r="GM25">
        <f>IF(ISNA(GJ25),NA(),Capability!$J$13)</f>
        <v/>
      </c>
      <c r="GN25">
        <f>IF(ISNA(GJ25),NA(),Capability!$L$13)</f>
        <v/>
      </c>
      <c r="GO25">
        <f>IF(OR(ISNA(GK25),ISNA(GK24)),NA(),ABS(GK25-GK24))</f>
        <v/>
      </c>
      <c r="GP25">
        <f>IF(ISNA(GJ25),NA(),Capability!$N$13)</f>
        <v/>
      </c>
      <c r="GQ25">
        <f>IF(ISNA(GJ25),NA(),IF(OR(Capability!$Q$13="",Settings!$F$7&lt;&gt;"Y"),NA(),Capability!$Q$13))</f>
        <v/>
      </c>
      <c r="GR25">
        <f>IF(ISNA(GJ25),NA(),IF(OR(Capability!$P$13="",Settings!$F$7&lt;&gt;"Y"),NA(),Capability!$P$13))</f>
        <v/>
      </c>
      <c r="GX25">
        <f>IF((HA$1+21)&gt;GY$1,NA(),(HA$1+21)-4)</f>
        <v/>
      </c>
      <c r="GY25">
        <f>IF((HA$1+21)&gt;GY$1,NA(),INDEX('Data Entry'!$Q$5:$Q$10004,(HA$1+21)-4))</f>
        <v/>
      </c>
      <c r="GZ25">
        <f>IF(ISNA(GX25),NA(),Capability!$K$14)</f>
        <v/>
      </c>
      <c r="HA25">
        <f>IF(ISNA(GX25),NA(),Capability!$J$14)</f>
        <v/>
      </c>
      <c r="HB25">
        <f>IF(ISNA(GX25),NA(),Capability!$L$14)</f>
        <v/>
      </c>
      <c r="HC25">
        <f>IF(OR(ISNA(GY25),ISNA(GY24)),NA(),ABS(GY25-GY24))</f>
        <v/>
      </c>
      <c r="HD25">
        <f>IF(ISNA(GX25),NA(),Capability!$N$14)</f>
        <v/>
      </c>
      <c r="HE25">
        <f>IF(ISNA(GX25),NA(),IF(OR(Capability!$Q$14="",Settings!$F$7&lt;&gt;"Y"),NA(),Capability!$Q$14))</f>
        <v/>
      </c>
      <c r="HF25">
        <f>IF(ISNA(GX25),NA(),IF(OR(Capability!$P$14="",Settings!$F$7&lt;&gt;"Y"),NA(),Capability!$P$14))</f>
        <v/>
      </c>
    </row>
    <row r="26">
      <c r="A26" s="37" t="inlineStr">
        <is>
          <t>CAPABILITY</t>
        </is>
      </c>
      <c r="B26" s="28" t="n"/>
      <c r="CB26">
        <f>IF((CE$1+22)&gt;CC$1,NA(),(CE$1+22)-4)</f>
        <v/>
      </c>
      <c r="CC26">
        <f>IF((CE$1+22)&gt;CC$1,NA(),INDEX('Data Entry'!$H$5:$H$10004,(CE$1+22)-4))</f>
        <v/>
      </c>
      <c r="CD26">
        <f>IF(ISNA(CB26),NA(),Capability!$K$5)</f>
        <v/>
      </c>
      <c r="CE26">
        <f>IF(ISNA(CB26),NA(),Capability!$J$5)</f>
        <v/>
      </c>
      <c r="CF26">
        <f>IF(ISNA(CB26),NA(),Capability!$L$5)</f>
        <v/>
      </c>
      <c r="CG26">
        <f>IF(OR(ISNA(CC26),ISNA(CC25)),NA(),ABS(CC26-CC25))</f>
        <v/>
      </c>
      <c r="CH26">
        <f>IF(ISNA(CB26),NA(),Capability!$N$5)</f>
        <v/>
      </c>
      <c r="CI26">
        <f>IF(ISNA(CB26),NA(),IF(OR(Capability!$Q$5="",Settings!$F$7&lt;&gt;"Y"),NA(),Capability!$Q$5))</f>
        <v/>
      </c>
      <c r="CJ26">
        <f>IF(ISNA(CB26),NA(),IF(OR(Capability!$P$5="",Settings!$F$7&lt;&gt;"Y"),NA(),Capability!$P$5))</f>
        <v/>
      </c>
      <c r="CP26">
        <f>IF((CS$1+22)&gt;CQ$1,NA(),(CS$1+22)-4)</f>
        <v/>
      </c>
      <c r="CQ26">
        <f>IF((CS$1+22)&gt;CQ$1,NA(),INDEX('Data Entry'!$I$5:$I$10004,(CS$1+22)-4))</f>
        <v/>
      </c>
      <c r="CR26">
        <f>IF(ISNA(CP26),NA(),Capability!$K$6)</f>
        <v/>
      </c>
      <c r="CS26">
        <f>IF(ISNA(CP26),NA(),Capability!$J$6)</f>
        <v/>
      </c>
      <c r="CT26">
        <f>IF(ISNA(CP26),NA(),Capability!$L$6)</f>
        <v/>
      </c>
      <c r="CU26">
        <f>IF(OR(ISNA(CQ26),ISNA(CQ25)),NA(),ABS(CQ26-CQ25))</f>
        <v/>
      </c>
      <c r="CV26">
        <f>IF(ISNA(CP26),NA(),Capability!$N$6)</f>
        <v/>
      </c>
      <c r="CW26">
        <f>IF(ISNA(CP26),NA(),IF(OR(Capability!$Q$6="",Settings!$F$7&lt;&gt;"Y"),NA(),Capability!$Q$6))</f>
        <v/>
      </c>
      <c r="CX26">
        <f>IF(ISNA(CP26),NA(),IF(OR(Capability!$P$6="",Settings!$F$7&lt;&gt;"Y"),NA(),Capability!$P$6))</f>
        <v/>
      </c>
      <c r="DD26">
        <f>IF((DG$1+22)&gt;DE$1,NA(),(DG$1+22)-4)</f>
        <v/>
      </c>
      <c r="DE26">
        <f>IF((DG$1+22)&gt;DE$1,NA(),INDEX('Data Entry'!$J$5:$J$10004,(DG$1+22)-4))</f>
        <v/>
      </c>
      <c r="DF26">
        <f>IF(ISNA(DD26),NA(),Capability!$K$7)</f>
        <v/>
      </c>
      <c r="DG26">
        <f>IF(ISNA(DD26),NA(),Capability!$J$7)</f>
        <v/>
      </c>
      <c r="DH26">
        <f>IF(ISNA(DD26),NA(),Capability!$L$7)</f>
        <v/>
      </c>
      <c r="DI26">
        <f>IF(OR(ISNA(DE26),ISNA(DE25)),NA(),ABS(DE26-DE25))</f>
        <v/>
      </c>
      <c r="DJ26">
        <f>IF(ISNA(DD26),NA(),Capability!$N$7)</f>
        <v/>
      </c>
      <c r="DK26">
        <f>IF(ISNA(DD26),NA(),IF(OR(Capability!$Q$7="",Settings!$F$7&lt;&gt;"Y"),NA(),Capability!$Q$7))</f>
        <v/>
      </c>
      <c r="DL26">
        <f>IF(ISNA(DD26),NA(),IF(OR(Capability!$P$7="",Settings!$F$7&lt;&gt;"Y"),NA(),Capability!$P$7))</f>
        <v/>
      </c>
      <c r="DR26">
        <f>IF((DU$1+22)&gt;DS$1,NA(),(DU$1+22)-4)</f>
        <v/>
      </c>
      <c r="DS26">
        <f>IF((DU$1+22)&gt;DS$1,NA(),INDEX('Data Entry'!$K$5:$K$10004,(DU$1+22)-4))</f>
        <v/>
      </c>
      <c r="DT26">
        <f>IF(ISNA(DR26),NA(),Capability!$K$8)</f>
        <v/>
      </c>
      <c r="DU26">
        <f>IF(ISNA(DR26),NA(),Capability!$J$8)</f>
        <v/>
      </c>
      <c r="DV26">
        <f>IF(ISNA(DR26),NA(),Capability!$L$8)</f>
        <v/>
      </c>
      <c r="DW26">
        <f>IF(OR(ISNA(DS26),ISNA(DS25)),NA(),ABS(DS26-DS25))</f>
        <v/>
      </c>
      <c r="DX26">
        <f>IF(ISNA(DR26),NA(),Capability!$N$8)</f>
        <v/>
      </c>
      <c r="DY26">
        <f>IF(ISNA(DR26),NA(),IF(OR(Capability!$Q$8="",Settings!$F$7&lt;&gt;"Y"),NA(),Capability!$Q$8))</f>
        <v/>
      </c>
      <c r="DZ26">
        <f>IF(ISNA(DR26),NA(),IF(OR(Capability!$P$8="",Settings!$F$7&lt;&gt;"Y"),NA(),Capability!$P$8))</f>
        <v/>
      </c>
      <c r="EF26">
        <f>IF((EI$1+22)&gt;EG$1,NA(),(EI$1+22)-4)</f>
        <v/>
      </c>
      <c r="EG26">
        <f>IF((EI$1+22)&gt;EG$1,NA(),INDEX('Data Entry'!$L$5:$L$10004,(EI$1+22)-4))</f>
        <v/>
      </c>
      <c r="EH26">
        <f>IF(ISNA(EF26),NA(),Capability!$K$9)</f>
        <v/>
      </c>
      <c r="EI26">
        <f>IF(ISNA(EF26),NA(),Capability!$J$9)</f>
        <v/>
      </c>
      <c r="EJ26">
        <f>IF(ISNA(EF26),NA(),Capability!$L$9)</f>
        <v/>
      </c>
      <c r="EK26">
        <f>IF(OR(ISNA(EG26),ISNA(EG25)),NA(),ABS(EG26-EG25))</f>
        <v/>
      </c>
      <c r="EL26">
        <f>IF(ISNA(EF26),NA(),Capability!$N$9)</f>
        <v/>
      </c>
      <c r="EM26">
        <f>IF(ISNA(EF26),NA(),IF(OR(Capability!$Q$9="",Settings!$F$7&lt;&gt;"Y"),NA(),Capability!$Q$9))</f>
        <v/>
      </c>
      <c r="EN26">
        <f>IF(ISNA(EF26),NA(),IF(OR(Capability!$P$9="",Settings!$F$7&lt;&gt;"Y"),NA(),Capability!$P$9))</f>
        <v/>
      </c>
      <c r="ET26">
        <f>IF((EW$1+22)&gt;EU$1,NA(),(EW$1+22)-4)</f>
        <v/>
      </c>
      <c r="EU26">
        <f>IF((EW$1+22)&gt;EU$1,NA(),INDEX('Data Entry'!$M$5:$M$10004,(EW$1+22)-4))</f>
        <v/>
      </c>
      <c r="EV26">
        <f>IF(ISNA(ET26),NA(),Capability!$K$10)</f>
        <v/>
      </c>
      <c r="EW26">
        <f>IF(ISNA(ET26),NA(),Capability!$J$10)</f>
        <v/>
      </c>
      <c r="EX26">
        <f>IF(ISNA(ET26),NA(),Capability!$L$10)</f>
        <v/>
      </c>
      <c r="EY26">
        <f>IF(OR(ISNA(EU26),ISNA(EU25)),NA(),ABS(EU26-EU25))</f>
        <v/>
      </c>
      <c r="EZ26">
        <f>IF(ISNA(ET26),NA(),Capability!$N$10)</f>
        <v/>
      </c>
      <c r="FA26">
        <f>IF(ISNA(ET26),NA(),IF(OR(Capability!$Q$10="",Settings!$F$7&lt;&gt;"Y"),NA(),Capability!$Q$10))</f>
        <v/>
      </c>
      <c r="FB26">
        <f>IF(ISNA(ET26),NA(),IF(OR(Capability!$P$10="",Settings!$F$7&lt;&gt;"Y"),NA(),Capability!$P$10))</f>
        <v/>
      </c>
      <c r="FH26">
        <f>IF((FK$1+22)&gt;FI$1,NA(),(FK$1+22)-4)</f>
        <v/>
      </c>
      <c r="FI26">
        <f>IF((FK$1+22)&gt;FI$1,NA(),INDEX('Data Entry'!$N$5:$N$10004,(FK$1+22)-4))</f>
        <v/>
      </c>
      <c r="FJ26">
        <f>IF(ISNA(FH26),NA(),Capability!$K$11)</f>
        <v/>
      </c>
      <c r="FK26">
        <f>IF(ISNA(FH26),NA(),Capability!$J$11)</f>
        <v/>
      </c>
      <c r="FL26">
        <f>IF(ISNA(FH26),NA(),Capability!$L$11)</f>
        <v/>
      </c>
      <c r="FM26">
        <f>IF(OR(ISNA(FI26),ISNA(FI25)),NA(),ABS(FI26-FI25))</f>
        <v/>
      </c>
      <c r="FN26">
        <f>IF(ISNA(FH26),NA(),Capability!$N$11)</f>
        <v/>
      </c>
      <c r="FO26">
        <f>IF(ISNA(FH26),NA(),IF(OR(Capability!$Q$11="",Settings!$F$7&lt;&gt;"Y"),NA(),Capability!$Q$11))</f>
        <v/>
      </c>
      <c r="FP26">
        <f>IF(ISNA(FH26),NA(),IF(OR(Capability!$P$11="",Settings!$F$7&lt;&gt;"Y"),NA(),Capability!$P$11))</f>
        <v/>
      </c>
      <c r="FV26">
        <f>IF((FY$1+22)&gt;FW$1,NA(),(FY$1+22)-4)</f>
        <v/>
      </c>
      <c r="FW26">
        <f>IF((FY$1+22)&gt;FW$1,NA(),INDEX('Data Entry'!$O$5:$O$10004,(FY$1+22)-4))</f>
        <v/>
      </c>
      <c r="FX26">
        <f>IF(ISNA(FV26),NA(),Capability!$K$12)</f>
        <v/>
      </c>
      <c r="FY26">
        <f>IF(ISNA(FV26),NA(),Capability!$J$12)</f>
        <v/>
      </c>
      <c r="FZ26">
        <f>IF(ISNA(FV26),NA(),Capability!$L$12)</f>
        <v/>
      </c>
      <c r="GA26">
        <f>IF(OR(ISNA(FW26),ISNA(FW25)),NA(),ABS(FW26-FW25))</f>
        <v/>
      </c>
      <c r="GB26">
        <f>IF(ISNA(FV26),NA(),Capability!$N$12)</f>
        <v/>
      </c>
      <c r="GC26">
        <f>IF(ISNA(FV26),NA(),IF(OR(Capability!$Q$12="",Settings!$F$7&lt;&gt;"Y"),NA(),Capability!$Q$12))</f>
        <v/>
      </c>
      <c r="GD26">
        <f>IF(ISNA(FV26),NA(),IF(OR(Capability!$P$12="",Settings!$F$7&lt;&gt;"Y"),NA(),Capability!$P$12))</f>
        <v/>
      </c>
      <c r="GJ26">
        <f>IF((GM$1+22)&gt;GK$1,NA(),(GM$1+22)-4)</f>
        <v/>
      </c>
      <c r="GK26">
        <f>IF((GM$1+22)&gt;GK$1,NA(),INDEX('Data Entry'!$P$5:$P$10004,(GM$1+22)-4))</f>
        <v/>
      </c>
      <c r="GL26">
        <f>IF(ISNA(GJ26),NA(),Capability!$K$13)</f>
        <v/>
      </c>
      <c r="GM26">
        <f>IF(ISNA(GJ26),NA(),Capability!$J$13)</f>
        <v/>
      </c>
      <c r="GN26">
        <f>IF(ISNA(GJ26),NA(),Capability!$L$13)</f>
        <v/>
      </c>
      <c r="GO26">
        <f>IF(OR(ISNA(GK26),ISNA(GK25)),NA(),ABS(GK26-GK25))</f>
        <v/>
      </c>
      <c r="GP26">
        <f>IF(ISNA(GJ26),NA(),Capability!$N$13)</f>
        <v/>
      </c>
      <c r="GQ26">
        <f>IF(ISNA(GJ26),NA(),IF(OR(Capability!$Q$13="",Settings!$F$7&lt;&gt;"Y"),NA(),Capability!$Q$13))</f>
        <v/>
      </c>
      <c r="GR26">
        <f>IF(ISNA(GJ26),NA(),IF(OR(Capability!$P$13="",Settings!$F$7&lt;&gt;"Y"),NA(),Capability!$P$13))</f>
        <v/>
      </c>
      <c r="GX26">
        <f>IF((HA$1+22)&gt;GY$1,NA(),(HA$1+22)-4)</f>
        <v/>
      </c>
      <c r="GY26">
        <f>IF((HA$1+22)&gt;GY$1,NA(),INDEX('Data Entry'!$Q$5:$Q$10004,(HA$1+22)-4))</f>
        <v/>
      </c>
      <c r="GZ26">
        <f>IF(ISNA(GX26),NA(),Capability!$K$14)</f>
        <v/>
      </c>
      <c r="HA26">
        <f>IF(ISNA(GX26),NA(),Capability!$J$14)</f>
        <v/>
      </c>
      <c r="HB26">
        <f>IF(ISNA(GX26),NA(),Capability!$L$14)</f>
        <v/>
      </c>
      <c r="HC26">
        <f>IF(OR(ISNA(GY26),ISNA(GY25)),NA(),ABS(GY26-GY25))</f>
        <v/>
      </c>
      <c r="HD26">
        <f>IF(ISNA(GX26),NA(),Capability!$N$14)</f>
        <v/>
      </c>
      <c r="HE26">
        <f>IF(ISNA(GX26),NA(),IF(OR(Capability!$Q$14="",Settings!$F$7&lt;&gt;"Y"),NA(),Capability!$Q$14))</f>
        <v/>
      </c>
      <c r="HF26">
        <f>IF(ISNA(GX26),NA(),IF(OR(Capability!$P$14="",Settings!$F$7&lt;&gt;"Y"),NA(),Capability!$P$14))</f>
        <v/>
      </c>
    </row>
    <row r="27">
      <c r="A27" s="35" t="inlineStr">
        <is>
          <t>Cp</t>
        </is>
      </c>
      <c r="B27" s="38">
        <f>Capability!S5</f>
        <v/>
      </c>
      <c r="CB27">
        <f>IF((CE$1+23)&gt;CC$1,NA(),(CE$1+23)-4)</f>
        <v/>
      </c>
      <c r="CC27">
        <f>IF((CE$1+23)&gt;CC$1,NA(),INDEX('Data Entry'!$H$5:$H$10004,(CE$1+23)-4))</f>
        <v/>
      </c>
      <c r="CD27">
        <f>IF(ISNA(CB27),NA(),Capability!$K$5)</f>
        <v/>
      </c>
      <c r="CE27">
        <f>IF(ISNA(CB27),NA(),Capability!$J$5)</f>
        <v/>
      </c>
      <c r="CF27">
        <f>IF(ISNA(CB27),NA(),Capability!$L$5)</f>
        <v/>
      </c>
      <c r="CG27">
        <f>IF(OR(ISNA(CC27),ISNA(CC26)),NA(),ABS(CC27-CC26))</f>
        <v/>
      </c>
      <c r="CH27">
        <f>IF(ISNA(CB27),NA(),Capability!$N$5)</f>
        <v/>
      </c>
      <c r="CI27">
        <f>IF(ISNA(CB27),NA(),IF(OR(Capability!$Q$5="",Settings!$F$7&lt;&gt;"Y"),NA(),Capability!$Q$5))</f>
        <v/>
      </c>
      <c r="CJ27">
        <f>IF(ISNA(CB27),NA(),IF(OR(Capability!$P$5="",Settings!$F$7&lt;&gt;"Y"),NA(),Capability!$P$5))</f>
        <v/>
      </c>
      <c r="CP27">
        <f>IF((CS$1+23)&gt;CQ$1,NA(),(CS$1+23)-4)</f>
        <v/>
      </c>
      <c r="CQ27">
        <f>IF((CS$1+23)&gt;CQ$1,NA(),INDEX('Data Entry'!$I$5:$I$10004,(CS$1+23)-4))</f>
        <v/>
      </c>
      <c r="CR27">
        <f>IF(ISNA(CP27),NA(),Capability!$K$6)</f>
        <v/>
      </c>
      <c r="CS27">
        <f>IF(ISNA(CP27),NA(),Capability!$J$6)</f>
        <v/>
      </c>
      <c r="CT27">
        <f>IF(ISNA(CP27),NA(),Capability!$L$6)</f>
        <v/>
      </c>
      <c r="CU27">
        <f>IF(OR(ISNA(CQ27),ISNA(CQ26)),NA(),ABS(CQ27-CQ26))</f>
        <v/>
      </c>
      <c r="CV27">
        <f>IF(ISNA(CP27),NA(),Capability!$N$6)</f>
        <v/>
      </c>
      <c r="CW27">
        <f>IF(ISNA(CP27),NA(),IF(OR(Capability!$Q$6="",Settings!$F$7&lt;&gt;"Y"),NA(),Capability!$Q$6))</f>
        <v/>
      </c>
      <c r="CX27">
        <f>IF(ISNA(CP27),NA(),IF(OR(Capability!$P$6="",Settings!$F$7&lt;&gt;"Y"),NA(),Capability!$P$6))</f>
        <v/>
      </c>
      <c r="DD27">
        <f>IF((DG$1+23)&gt;DE$1,NA(),(DG$1+23)-4)</f>
        <v/>
      </c>
      <c r="DE27">
        <f>IF((DG$1+23)&gt;DE$1,NA(),INDEX('Data Entry'!$J$5:$J$10004,(DG$1+23)-4))</f>
        <v/>
      </c>
      <c r="DF27">
        <f>IF(ISNA(DD27),NA(),Capability!$K$7)</f>
        <v/>
      </c>
      <c r="DG27">
        <f>IF(ISNA(DD27),NA(),Capability!$J$7)</f>
        <v/>
      </c>
      <c r="DH27">
        <f>IF(ISNA(DD27),NA(),Capability!$L$7)</f>
        <v/>
      </c>
      <c r="DI27">
        <f>IF(OR(ISNA(DE27),ISNA(DE26)),NA(),ABS(DE27-DE26))</f>
        <v/>
      </c>
      <c r="DJ27">
        <f>IF(ISNA(DD27),NA(),Capability!$N$7)</f>
        <v/>
      </c>
      <c r="DK27">
        <f>IF(ISNA(DD27),NA(),IF(OR(Capability!$Q$7="",Settings!$F$7&lt;&gt;"Y"),NA(),Capability!$Q$7))</f>
        <v/>
      </c>
      <c r="DL27">
        <f>IF(ISNA(DD27),NA(),IF(OR(Capability!$P$7="",Settings!$F$7&lt;&gt;"Y"),NA(),Capability!$P$7))</f>
        <v/>
      </c>
      <c r="DR27">
        <f>IF((DU$1+23)&gt;DS$1,NA(),(DU$1+23)-4)</f>
        <v/>
      </c>
      <c r="DS27">
        <f>IF((DU$1+23)&gt;DS$1,NA(),INDEX('Data Entry'!$K$5:$K$10004,(DU$1+23)-4))</f>
        <v/>
      </c>
      <c r="DT27">
        <f>IF(ISNA(DR27),NA(),Capability!$K$8)</f>
        <v/>
      </c>
      <c r="DU27">
        <f>IF(ISNA(DR27),NA(),Capability!$J$8)</f>
        <v/>
      </c>
      <c r="DV27">
        <f>IF(ISNA(DR27),NA(),Capability!$L$8)</f>
        <v/>
      </c>
      <c r="DW27">
        <f>IF(OR(ISNA(DS27),ISNA(DS26)),NA(),ABS(DS27-DS26))</f>
        <v/>
      </c>
      <c r="DX27">
        <f>IF(ISNA(DR27),NA(),Capability!$N$8)</f>
        <v/>
      </c>
      <c r="DY27">
        <f>IF(ISNA(DR27),NA(),IF(OR(Capability!$Q$8="",Settings!$F$7&lt;&gt;"Y"),NA(),Capability!$Q$8))</f>
        <v/>
      </c>
      <c r="DZ27">
        <f>IF(ISNA(DR27),NA(),IF(OR(Capability!$P$8="",Settings!$F$7&lt;&gt;"Y"),NA(),Capability!$P$8))</f>
        <v/>
      </c>
      <c r="EF27">
        <f>IF((EI$1+23)&gt;EG$1,NA(),(EI$1+23)-4)</f>
        <v/>
      </c>
      <c r="EG27">
        <f>IF((EI$1+23)&gt;EG$1,NA(),INDEX('Data Entry'!$L$5:$L$10004,(EI$1+23)-4))</f>
        <v/>
      </c>
      <c r="EH27">
        <f>IF(ISNA(EF27),NA(),Capability!$K$9)</f>
        <v/>
      </c>
      <c r="EI27">
        <f>IF(ISNA(EF27),NA(),Capability!$J$9)</f>
        <v/>
      </c>
      <c r="EJ27">
        <f>IF(ISNA(EF27),NA(),Capability!$L$9)</f>
        <v/>
      </c>
      <c r="EK27">
        <f>IF(OR(ISNA(EG27),ISNA(EG26)),NA(),ABS(EG27-EG26))</f>
        <v/>
      </c>
      <c r="EL27">
        <f>IF(ISNA(EF27),NA(),Capability!$N$9)</f>
        <v/>
      </c>
      <c r="EM27">
        <f>IF(ISNA(EF27),NA(),IF(OR(Capability!$Q$9="",Settings!$F$7&lt;&gt;"Y"),NA(),Capability!$Q$9))</f>
        <v/>
      </c>
      <c r="EN27">
        <f>IF(ISNA(EF27),NA(),IF(OR(Capability!$P$9="",Settings!$F$7&lt;&gt;"Y"),NA(),Capability!$P$9))</f>
        <v/>
      </c>
      <c r="ET27">
        <f>IF((EW$1+23)&gt;EU$1,NA(),(EW$1+23)-4)</f>
        <v/>
      </c>
      <c r="EU27">
        <f>IF((EW$1+23)&gt;EU$1,NA(),INDEX('Data Entry'!$M$5:$M$10004,(EW$1+23)-4))</f>
        <v/>
      </c>
      <c r="EV27">
        <f>IF(ISNA(ET27),NA(),Capability!$K$10)</f>
        <v/>
      </c>
      <c r="EW27">
        <f>IF(ISNA(ET27),NA(),Capability!$J$10)</f>
        <v/>
      </c>
      <c r="EX27">
        <f>IF(ISNA(ET27),NA(),Capability!$L$10)</f>
        <v/>
      </c>
      <c r="EY27">
        <f>IF(OR(ISNA(EU27),ISNA(EU26)),NA(),ABS(EU27-EU26))</f>
        <v/>
      </c>
      <c r="EZ27">
        <f>IF(ISNA(ET27),NA(),Capability!$N$10)</f>
        <v/>
      </c>
      <c r="FA27">
        <f>IF(ISNA(ET27),NA(),IF(OR(Capability!$Q$10="",Settings!$F$7&lt;&gt;"Y"),NA(),Capability!$Q$10))</f>
        <v/>
      </c>
      <c r="FB27">
        <f>IF(ISNA(ET27),NA(),IF(OR(Capability!$P$10="",Settings!$F$7&lt;&gt;"Y"),NA(),Capability!$P$10))</f>
        <v/>
      </c>
      <c r="FH27">
        <f>IF((FK$1+23)&gt;FI$1,NA(),(FK$1+23)-4)</f>
        <v/>
      </c>
      <c r="FI27">
        <f>IF((FK$1+23)&gt;FI$1,NA(),INDEX('Data Entry'!$N$5:$N$10004,(FK$1+23)-4))</f>
        <v/>
      </c>
      <c r="FJ27">
        <f>IF(ISNA(FH27),NA(),Capability!$K$11)</f>
        <v/>
      </c>
      <c r="FK27">
        <f>IF(ISNA(FH27),NA(),Capability!$J$11)</f>
        <v/>
      </c>
      <c r="FL27">
        <f>IF(ISNA(FH27),NA(),Capability!$L$11)</f>
        <v/>
      </c>
      <c r="FM27">
        <f>IF(OR(ISNA(FI27),ISNA(FI26)),NA(),ABS(FI27-FI26))</f>
        <v/>
      </c>
      <c r="FN27">
        <f>IF(ISNA(FH27),NA(),Capability!$N$11)</f>
        <v/>
      </c>
      <c r="FO27">
        <f>IF(ISNA(FH27),NA(),IF(OR(Capability!$Q$11="",Settings!$F$7&lt;&gt;"Y"),NA(),Capability!$Q$11))</f>
        <v/>
      </c>
      <c r="FP27">
        <f>IF(ISNA(FH27),NA(),IF(OR(Capability!$P$11="",Settings!$F$7&lt;&gt;"Y"),NA(),Capability!$P$11))</f>
        <v/>
      </c>
      <c r="FV27">
        <f>IF((FY$1+23)&gt;FW$1,NA(),(FY$1+23)-4)</f>
        <v/>
      </c>
      <c r="FW27">
        <f>IF((FY$1+23)&gt;FW$1,NA(),INDEX('Data Entry'!$O$5:$O$10004,(FY$1+23)-4))</f>
        <v/>
      </c>
      <c r="FX27">
        <f>IF(ISNA(FV27),NA(),Capability!$K$12)</f>
        <v/>
      </c>
      <c r="FY27">
        <f>IF(ISNA(FV27),NA(),Capability!$J$12)</f>
        <v/>
      </c>
      <c r="FZ27">
        <f>IF(ISNA(FV27),NA(),Capability!$L$12)</f>
        <v/>
      </c>
      <c r="GA27">
        <f>IF(OR(ISNA(FW27),ISNA(FW26)),NA(),ABS(FW27-FW26))</f>
        <v/>
      </c>
      <c r="GB27">
        <f>IF(ISNA(FV27),NA(),Capability!$N$12)</f>
        <v/>
      </c>
      <c r="GC27">
        <f>IF(ISNA(FV27),NA(),IF(OR(Capability!$Q$12="",Settings!$F$7&lt;&gt;"Y"),NA(),Capability!$Q$12))</f>
        <v/>
      </c>
      <c r="GD27">
        <f>IF(ISNA(FV27),NA(),IF(OR(Capability!$P$12="",Settings!$F$7&lt;&gt;"Y"),NA(),Capability!$P$12))</f>
        <v/>
      </c>
      <c r="GJ27">
        <f>IF((GM$1+23)&gt;GK$1,NA(),(GM$1+23)-4)</f>
        <v/>
      </c>
      <c r="GK27">
        <f>IF((GM$1+23)&gt;GK$1,NA(),INDEX('Data Entry'!$P$5:$P$10004,(GM$1+23)-4))</f>
        <v/>
      </c>
      <c r="GL27">
        <f>IF(ISNA(GJ27),NA(),Capability!$K$13)</f>
        <v/>
      </c>
      <c r="GM27">
        <f>IF(ISNA(GJ27),NA(),Capability!$J$13)</f>
        <v/>
      </c>
      <c r="GN27">
        <f>IF(ISNA(GJ27),NA(),Capability!$L$13)</f>
        <v/>
      </c>
      <c r="GO27">
        <f>IF(OR(ISNA(GK27),ISNA(GK26)),NA(),ABS(GK27-GK26))</f>
        <v/>
      </c>
      <c r="GP27">
        <f>IF(ISNA(GJ27),NA(),Capability!$N$13)</f>
        <v/>
      </c>
      <c r="GQ27">
        <f>IF(ISNA(GJ27),NA(),IF(OR(Capability!$Q$13="",Settings!$F$7&lt;&gt;"Y"),NA(),Capability!$Q$13))</f>
        <v/>
      </c>
      <c r="GR27">
        <f>IF(ISNA(GJ27),NA(),IF(OR(Capability!$P$13="",Settings!$F$7&lt;&gt;"Y"),NA(),Capability!$P$13))</f>
        <v/>
      </c>
      <c r="GX27">
        <f>IF((HA$1+23)&gt;GY$1,NA(),(HA$1+23)-4)</f>
        <v/>
      </c>
      <c r="GY27">
        <f>IF((HA$1+23)&gt;GY$1,NA(),INDEX('Data Entry'!$Q$5:$Q$10004,(HA$1+23)-4))</f>
        <v/>
      </c>
      <c r="GZ27">
        <f>IF(ISNA(GX27),NA(),Capability!$K$14)</f>
        <v/>
      </c>
      <c r="HA27">
        <f>IF(ISNA(GX27),NA(),Capability!$J$14)</f>
        <v/>
      </c>
      <c r="HB27">
        <f>IF(ISNA(GX27),NA(),Capability!$L$14)</f>
        <v/>
      </c>
      <c r="HC27">
        <f>IF(OR(ISNA(GY27),ISNA(GY26)),NA(),ABS(GY27-GY26))</f>
        <v/>
      </c>
      <c r="HD27">
        <f>IF(ISNA(GX27),NA(),Capability!$N$14)</f>
        <v/>
      </c>
      <c r="HE27">
        <f>IF(ISNA(GX27),NA(),IF(OR(Capability!$Q$14="",Settings!$F$7&lt;&gt;"Y"),NA(),Capability!$Q$14))</f>
        <v/>
      </c>
      <c r="HF27">
        <f>IF(ISNA(GX27),NA(),IF(OR(Capability!$P$14="",Settings!$F$7&lt;&gt;"Y"),NA(),Capability!$P$14))</f>
        <v/>
      </c>
    </row>
    <row r="28">
      <c r="A28" s="35" t="inlineStr">
        <is>
          <t>Cpk</t>
        </is>
      </c>
      <c r="B28" s="38">
        <f>Capability!T5</f>
        <v/>
      </c>
      <c r="CB28">
        <f>IF((CE$1+24)&gt;CC$1,NA(),(CE$1+24)-4)</f>
        <v/>
      </c>
      <c r="CC28">
        <f>IF((CE$1+24)&gt;CC$1,NA(),INDEX('Data Entry'!$H$5:$H$10004,(CE$1+24)-4))</f>
        <v/>
      </c>
      <c r="CD28">
        <f>IF(ISNA(CB28),NA(),Capability!$K$5)</f>
        <v/>
      </c>
      <c r="CE28">
        <f>IF(ISNA(CB28),NA(),Capability!$J$5)</f>
        <v/>
      </c>
      <c r="CF28">
        <f>IF(ISNA(CB28),NA(),Capability!$L$5)</f>
        <v/>
      </c>
      <c r="CG28">
        <f>IF(OR(ISNA(CC28),ISNA(CC27)),NA(),ABS(CC28-CC27))</f>
        <v/>
      </c>
      <c r="CH28">
        <f>IF(ISNA(CB28),NA(),Capability!$N$5)</f>
        <v/>
      </c>
      <c r="CI28">
        <f>IF(ISNA(CB28),NA(),IF(OR(Capability!$Q$5="",Settings!$F$7&lt;&gt;"Y"),NA(),Capability!$Q$5))</f>
        <v/>
      </c>
      <c r="CJ28">
        <f>IF(ISNA(CB28),NA(),IF(OR(Capability!$P$5="",Settings!$F$7&lt;&gt;"Y"),NA(),Capability!$P$5))</f>
        <v/>
      </c>
      <c r="CP28">
        <f>IF((CS$1+24)&gt;CQ$1,NA(),(CS$1+24)-4)</f>
        <v/>
      </c>
      <c r="CQ28">
        <f>IF((CS$1+24)&gt;CQ$1,NA(),INDEX('Data Entry'!$I$5:$I$10004,(CS$1+24)-4))</f>
        <v/>
      </c>
      <c r="CR28">
        <f>IF(ISNA(CP28),NA(),Capability!$K$6)</f>
        <v/>
      </c>
      <c r="CS28">
        <f>IF(ISNA(CP28),NA(),Capability!$J$6)</f>
        <v/>
      </c>
      <c r="CT28">
        <f>IF(ISNA(CP28),NA(),Capability!$L$6)</f>
        <v/>
      </c>
      <c r="CU28">
        <f>IF(OR(ISNA(CQ28),ISNA(CQ27)),NA(),ABS(CQ28-CQ27))</f>
        <v/>
      </c>
      <c r="CV28">
        <f>IF(ISNA(CP28),NA(),Capability!$N$6)</f>
        <v/>
      </c>
      <c r="CW28">
        <f>IF(ISNA(CP28),NA(),IF(OR(Capability!$Q$6="",Settings!$F$7&lt;&gt;"Y"),NA(),Capability!$Q$6))</f>
        <v/>
      </c>
      <c r="CX28">
        <f>IF(ISNA(CP28),NA(),IF(OR(Capability!$P$6="",Settings!$F$7&lt;&gt;"Y"),NA(),Capability!$P$6))</f>
        <v/>
      </c>
      <c r="DD28">
        <f>IF((DG$1+24)&gt;DE$1,NA(),(DG$1+24)-4)</f>
        <v/>
      </c>
      <c r="DE28">
        <f>IF((DG$1+24)&gt;DE$1,NA(),INDEX('Data Entry'!$J$5:$J$10004,(DG$1+24)-4))</f>
        <v/>
      </c>
      <c r="DF28">
        <f>IF(ISNA(DD28),NA(),Capability!$K$7)</f>
        <v/>
      </c>
      <c r="DG28">
        <f>IF(ISNA(DD28),NA(),Capability!$J$7)</f>
        <v/>
      </c>
      <c r="DH28">
        <f>IF(ISNA(DD28),NA(),Capability!$L$7)</f>
        <v/>
      </c>
      <c r="DI28">
        <f>IF(OR(ISNA(DE28),ISNA(DE27)),NA(),ABS(DE28-DE27))</f>
        <v/>
      </c>
      <c r="DJ28">
        <f>IF(ISNA(DD28),NA(),Capability!$N$7)</f>
        <v/>
      </c>
      <c r="DK28">
        <f>IF(ISNA(DD28),NA(),IF(OR(Capability!$Q$7="",Settings!$F$7&lt;&gt;"Y"),NA(),Capability!$Q$7))</f>
        <v/>
      </c>
      <c r="DL28">
        <f>IF(ISNA(DD28),NA(),IF(OR(Capability!$P$7="",Settings!$F$7&lt;&gt;"Y"),NA(),Capability!$P$7))</f>
        <v/>
      </c>
      <c r="DR28">
        <f>IF((DU$1+24)&gt;DS$1,NA(),(DU$1+24)-4)</f>
        <v/>
      </c>
      <c r="DS28">
        <f>IF((DU$1+24)&gt;DS$1,NA(),INDEX('Data Entry'!$K$5:$K$10004,(DU$1+24)-4))</f>
        <v/>
      </c>
      <c r="DT28">
        <f>IF(ISNA(DR28),NA(),Capability!$K$8)</f>
        <v/>
      </c>
      <c r="DU28">
        <f>IF(ISNA(DR28),NA(),Capability!$J$8)</f>
        <v/>
      </c>
      <c r="DV28">
        <f>IF(ISNA(DR28),NA(),Capability!$L$8)</f>
        <v/>
      </c>
      <c r="DW28">
        <f>IF(OR(ISNA(DS28),ISNA(DS27)),NA(),ABS(DS28-DS27))</f>
        <v/>
      </c>
      <c r="DX28">
        <f>IF(ISNA(DR28),NA(),Capability!$N$8)</f>
        <v/>
      </c>
      <c r="DY28">
        <f>IF(ISNA(DR28),NA(),IF(OR(Capability!$Q$8="",Settings!$F$7&lt;&gt;"Y"),NA(),Capability!$Q$8))</f>
        <v/>
      </c>
      <c r="DZ28">
        <f>IF(ISNA(DR28),NA(),IF(OR(Capability!$P$8="",Settings!$F$7&lt;&gt;"Y"),NA(),Capability!$P$8))</f>
        <v/>
      </c>
      <c r="EF28">
        <f>IF((EI$1+24)&gt;EG$1,NA(),(EI$1+24)-4)</f>
        <v/>
      </c>
      <c r="EG28">
        <f>IF((EI$1+24)&gt;EG$1,NA(),INDEX('Data Entry'!$L$5:$L$10004,(EI$1+24)-4))</f>
        <v/>
      </c>
      <c r="EH28">
        <f>IF(ISNA(EF28),NA(),Capability!$K$9)</f>
        <v/>
      </c>
      <c r="EI28">
        <f>IF(ISNA(EF28),NA(),Capability!$J$9)</f>
        <v/>
      </c>
      <c r="EJ28">
        <f>IF(ISNA(EF28),NA(),Capability!$L$9)</f>
        <v/>
      </c>
      <c r="EK28">
        <f>IF(OR(ISNA(EG28),ISNA(EG27)),NA(),ABS(EG28-EG27))</f>
        <v/>
      </c>
      <c r="EL28">
        <f>IF(ISNA(EF28),NA(),Capability!$N$9)</f>
        <v/>
      </c>
      <c r="EM28">
        <f>IF(ISNA(EF28),NA(),IF(OR(Capability!$Q$9="",Settings!$F$7&lt;&gt;"Y"),NA(),Capability!$Q$9))</f>
        <v/>
      </c>
      <c r="EN28">
        <f>IF(ISNA(EF28),NA(),IF(OR(Capability!$P$9="",Settings!$F$7&lt;&gt;"Y"),NA(),Capability!$P$9))</f>
        <v/>
      </c>
      <c r="ET28">
        <f>IF((EW$1+24)&gt;EU$1,NA(),(EW$1+24)-4)</f>
        <v/>
      </c>
      <c r="EU28">
        <f>IF((EW$1+24)&gt;EU$1,NA(),INDEX('Data Entry'!$M$5:$M$10004,(EW$1+24)-4))</f>
        <v/>
      </c>
      <c r="EV28">
        <f>IF(ISNA(ET28),NA(),Capability!$K$10)</f>
        <v/>
      </c>
      <c r="EW28">
        <f>IF(ISNA(ET28),NA(),Capability!$J$10)</f>
        <v/>
      </c>
      <c r="EX28">
        <f>IF(ISNA(ET28),NA(),Capability!$L$10)</f>
        <v/>
      </c>
      <c r="EY28">
        <f>IF(OR(ISNA(EU28),ISNA(EU27)),NA(),ABS(EU28-EU27))</f>
        <v/>
      </c>
      <c r="EZ28">
        <f>IF(ISNA(ET28),NA(),Capability!$N$10)</f>
        <v/>
      </c>
      <c r="FA28">
        <f>IF(ISNA(ET28),NA(),IF(OR(Capability!$Q$10="",Settings!$F$7&lt;&gt;"Y"),NA(),Capability!$Q$10))</f>
        <v/>
      </c>
      <c r="FB28">
        <f>IF(ISNA(ET28),NA(),IF(OR(Capability!$P$10="",Settings!$F$7&lt;&gt;"Y"),NA(),Capability!$P$10))</f>
        <v/>
      </c>
      <c r="FH28">
        <f>IF((FK$1+24)&gt;FI$1,NA(),(FK$1+24)-4)</f>
        <v/>
      </c>
      <c r="FI28">
        <f>IF((FK$1+24)&gt;FI$1,NA(),INDEX('Data Entry'!$N$5:$N$10004,(FK$1+24)-4))</f>
        <v/>
      </c>
      <c r="FJ28">
        <f>IF(ISNA(FH28),NA(),Capability!$K$11)</f>
        <v/>
      </c>
      <c r="FK28">
        <f>IF(ISNA(FH28),NA(),Capability!$J$11)</f>
        <v/>
      </c>
      <c r="FL28">
        <f>IF(ISNA(FH28),NA(),Capability!$L$11)</f>
        <v/>
      </c>
      <c r="FM28">
        <f>IF(OR(ISNA(FI28),ISNA(FI27)),NA(),ABS(FI28-FI27))</f>
        <v/>
      </c>
      <c r="FN28">
        <f>IF(ISNA(FH28),NA(),Capability!$N$11)</f>
        <v/>
      </c>
      <c r="FO28">
        <f>IF(ISNA(FH28),NA(),IF(OR(Capability!$Q$11="",Settings!$F$7&lt;&gt;"Y"),NA(),Capability!$Q$11))</f>
        <v/>
      </c>
      <c r="FP28">
        <f>IF(ISNA(FH28),NA(),IF(OR(Capability!$P$11="",Settings!$F$7&lt;&gt;"Y"),NA(),Capability!$P$11))</f>
        <v/>
      </c>
      <c r="FV28">
        <f>IF((FY$1+24)&gt;FW$1,NA(),(FY$1+24)-4)</f>
        <v/>
      </c>
      <c r="FW28">
        <f>IF((FY$1+24)&gt;FW$1,NA(),INDEX('Data Entry'!$O$5:$O$10004,(FY$1+24)-4))</f>
        <v/>
      </c>
      <c r="FX28">
        <f>IF(ISNA(FV28),NA(),Capability!$K$12)</f>
        <v/>
      </c>
      <c r="FY28">
        <f>IF(ISNA(FV28),NA(),Capability!$J$12)</f>
        <v/>
      </c>
      <c r="FZ28">
        <f>IF(ISNA(FV28),NA(),Capability!$L$12)</f>
        <v/>
      </c>
      <c r="GA28">
        <f>IF(OR(ISNA(FW28),ISNA(FW27)),NA(),ABS(FW28-FW27))</f>
        <v/>
      </c>
      <c r="GB28">
        <f>IF(ISNA(FV28),NA(),Capability!$N$12)</f>
        <v/>
      </c>
      <c r="GC28">
        <f>IF(ISNA(FV28),NA(),IF(OR(Capability!$Q$12="",Settings!$F$7&lt;&gt;"Y"),NA(),Capability!$Q$12))</f>
        <v/>
      </c>
      <c r="GD28">
        <f>IF(ISNA(FV28),NA(),IF(OR(Capability!$P$12="",Settings!$F$7&lt;&gt;"Y"),NA(),Capability!$P$12))</f>
        <v/>
      </c>
      <c r="GJ28">
        <f>IF((GM$1+24)&gt;GK$1,NA(),(GM$1+24)-4)</f>
        <v/>
      </c>
      <c r="GK28">
        <f>IF((GM$1+24)&gt;GK$1,NA(),INDEX('Data Entry'!$P$5:$P$10004,(GM$1+24)-4))</f>
        <v/>
      </c>
      <c r="GL28">
        <f>IF(ISNA(GJ28),NA(),Capability!$K$13)</f>
        <v/>
      </c>
      <c r="GM28">
        <f>IF(ISNA(GJ28),NA(),Capability!$J$13)</f>
        <v/>
      </c>
      <c r="GN28">
        <f>IF(ISNA(GJ28),NA(),Capability!$L$13)</f>
        <v/>
      </c>
      <c r="GO28">
        <f>IF(OR(ISNA(GK28),ISNA(GK27)),NA(),ABS(GK28-GK27))</f>
        <v/>
      </c>
      <c r="GP28">
        <f>IF(ISNA(GJ28),NA(),Capability!$N$13)</f>
        <v/>
      </c>
      <c r="GQ28">
        <f>IF(ISNA(GJ28),NA(),IF(OR(Capability!$Q$13="",Settings!$F$7&lt;&gt;"Y"),NA(),Capability!$Q$13))</f>
        <v/>
      </c>
      <c r="GR28">
        <f>IF(ISNA(GJ28),NA(),IF(OR(Capability!$P$13="",Settings!$F$7&lt;&gt;"Y"),NA(),Capability!$P$13))</f>
        <v/>
      </c>
      <c r="GX28">
        <f>IF((HA$1+24)&gt;GY$1,NA(),(HA$1+24)-4)</f>
        <v/>
      </c>
      <c r="GY28">
        <f>IF((HA$1+24)&gt;GY$1,NA(),INDEX('Data Entry'!$Q$5:$Q$10004,(HA$1+24)-4))</f>
        <v/>
      </c>
      <c r="GZ28">
        <f>IF(ISNA(GX28),NA(),Capability!$K$14)</f>
        <v/>
      </c>
      <c r="HA28">
        <f>IF(ISNA(GX28),NA(),Capability!$J$14)</f>
        <v/>
      </c>
      <c r="HB28">
        <f>IF(ISNA(GX28),NA(),Capability!$L$14)</f>
        <v/>
      </c>
      <c r="HC28">
        <f>IF(OR(ISNA(GY28),ISNA(GY27)),NA(),ABS(GY28-GY27))</f>
        <v/>
      </c>
      <c r="HD28">
        <f>IF(ISNA(GX28),NA(),Capability!$N$14)</f>
        <v/>
      </c>
      <c r="HE28">
        <f>IF(ISNA(GX28),NA(),IF(OR(Capability!$Q$14="",Settings!$F$7&lt;&gt;"Y"),NA(),Capability!$Q$14))</f>
        <v/>
      </c>
      <c r="HF28">
        <f>IF(ISNA(GX28),NA(),IF(OR(Capability!$P$14="",Settings!$F$7&lt;&gt;"Y"),NA(),Capability!$P$14))</f>
        <v/>
      </c>
    </row>
    <row r="29">
      <c r="A29" s="35" t="inlineStr">
        <is>
          <t>Pp</t>
        </is>
      </c>
      <c r="B29" s="38">
        <f>Capability!U5</f>
        <v/>
      </c>
      <c r="CB29">
        <f>IF((CE$1+25)&gt;CC$1,NA(),(CE$1+25)-4)</f>
        <v/>
      </c>
      <c r="CC29">
        <f>IF((CE$1+25)&gt;CC$1,NA(),INDEX('Data Entry'!$H$5:$H$10004,(CE$1+25)-4))</f>
        <v/>
      </c>
      <c r="CD29">
        <f>IF(ISNA(CB29),NA(),Capability!$K$5)</f>
        <v/>
      </c>
      <c r="CE29">
        <f>IF(ISNA(CB29),NA(),Capability!$J$5)</f>
        <v/>
      </c>
      <c r="CF29">
        <f>IF(ISNA(CB29),NA(),Capability!$L$5)</f>
        <v/>
      </c>
      <c r="CG29">
        <f>IF(OR(ISNA(CC29),ISNA(CC28)),NA(),ABS(CC29-CC28))</f>
        <v/>
      </c>
      <c r="CH29">
        <f>IF(ISNA(CB29),NA(),Capability!$N$5)</f>
        <v/>
      </c>
      <c r="CI29">
        <f>IF(ISNA(CB29),NA(),IF(OR(Capability!$Q$5="",Settings!$F$7&lt;&gt;"Y"),NA(),Capability!$Q$5))</f>
        <v/>
      </c>
      <c r="CJ29">
        <f>IF(ISNA(CB29),NA(),IF(OR(Capability!$P$5="",Settings!$F$7&lt;&gt;"Y"),NA(),Capability!$P$5))</f>
        <v/>
      </c>
      <c r="CP29">
        <f>IF((CS$1+25)&gt;CQ$1,NA(),(CS$1+25)-4)</f>
        <v/>
      </c>
      <c r="CQ29">
        <f>IF((CS$1+25)&gt;CQ$1,NA(),INDEX('Data Entry'!$I$5:$I$10004,(CS$1+25)-4))</f>
        <v/>
      </c>
      <c r="CR29">
        <f>IF(ISNA(CP29),NA(),Capability!$K$6)</f>
        <v/>
      </c>
      <c r="CS29">
        <f>IF(ISNA(CP29),NA(),Capability!$J$6)</f>
        <v/>
      </c>
      <c r="CT29">
        <f>IF(ISNA(CP29),NA(),Capability!$L$6)</f>
        <v/>
      </c>
      <c r="CU29">
        <f>IF(OR(ISNA(CQ29),ISNA(CQ28)),NA(),ABS(CQ29-CQ28))</f>
        <v/>
      </c>
      <c r="CV29">
        <f>IF(ISNA(CP29),NA(),Capability!$N$6)</f>
        <v/>
      </c>
      <c r="CW29">
        <f>IF(ISNA(CP29),NA(),IF(OR(Capability!$Q$6="",Settings!$F$7&lt;&gt;"Y"),NA(),Capability!$Q$6))</f>
        <v/>
      </c>
      <c r="CX29">
        <f>IF(ISNA(CP29),NA(),IF(OR(Capability!$P$6="",Settings!$F$7&lt;&gt;"Y"),NA(),Capability!$P$6))</f>
        <v/>
      </c>
      <c r="DD29">
        <f>IF((DG$1+25)&gt;DE$1,NA(),(DG$1+25)-4)</f>
        <v/>
      </c>
      <c r="DE29">
        <f>IF((DG$1+25)&gt;DE$1,NA(),INDEX('Data Entry'!$J$5:$J$10004,(DG$1+25)-4))</f>
        <v/>
      </c>
      <c r="DF29">
        <f>IF(ISNA(DD29),NA(),Capability!$K$7)</f>
        <v/>
      </c>
      <c r="DG29">
        <f>IF(ISNA(DD29),NA(),Capability!$J$7)</f>
        <v/>
      </c>
      <c r="DH29">
        <f>IF(ISNA(DD29),NA(),Capability!$L$7)</f>
        <v/>
      </c>
      <c r="DI29">
        <f>IF(OR(ISNA(DE29),ISNA(DE28)),NA(),ABS(DE29-DE28))</f>
        <v/>
      </c>
      <c r="DJ29">
        <f>IF(ISNA(DD29),NA(),Capability!$N$7)</f>
        <v/>
      </c>
      <c r="DK29">
        <f>IF(ISNA(DD29),NA(),IF(OR(Capability!$Q$7="",Settings!$F$7&lt;&gt;"Y"),NA(),Capability!$Q$7))</f>
        <v/>
      </c>
      <c r="DL29">
        <f>IF(ISNA(DD29),NA(),IF(OR(Capability!$P$7="",Settings!$F$7&lt;&gt;"Y"),NA(),Capability!$P$7))</f>
        <v/>
      </c>
      <c r="DR29">
        <f>IF((DU$1+25)&gt;DS$1,NA(),(DU$1+25)-4)</f>
        <v/>
      </c>
      <c r="DS29">
        <f>IF((DU$1+25)&gt;DS$1,NA(),INDEX('Data Entry'!$K$5:$K$10004,(DU$1+25)-4))</f>
        <v/>
      </c>
      <c r="DT29">
        <f>IF(ISNA(DR29),NA(),Capability!$K$8)</f>
        <v/>
      </c>
      <c r="DU29">
        <f>IF(ISNA(DR29),NA(),Capability!$J$8)</f>
        <v/>
      </c>
      <c r="DV29">
        <f>IF(ISNA(DR29),NA(),Capability!$L$8)</f>
        <v/>
      </c>
      <c r="DW29">
        <f>IF(OR(ISNA(DS29),ISNA(DS28)),NA(),ABS(DS29-DS28))</f>
        <v/>
      </c>
      <c r="DX29">
        <f>IF(ISNA(DR29),NA(),Capability!$N$8)</f>
        <v/>
      </c>
      <c r="DY29">
        <f>IF(ISNA(DR29),NA(),IF(OR(Capability!$Q$8="",Settings!$F$7&lt;&gt;"Y"),NA(),Capability!$Q$8))</f>
        <v/>
      </c>
      <c r="DZ29">
        <f>IF(ISNA(DR29),NA(),IF(OR(Capability!$P$8="",Settings!$F$7&lt;&gt;"Y"),NA(),Capability!$P$8))</f>
        <v/>
      </c>
      <c r="EF29">
        <f>IF((EI$1+25)&gt;EG$1,NA(),(EI$1+25)-4)</f>
        <v/>
      </c>
      <c r="EG29">
        <f>IF((EI$1+25)&gt;EG$1,NA(),INDEX('Data Entry'!$L$5:$L$10004,(EI$1+25)-4))</f>
        <v/>
      </c>
      <c r="EH29">
        <f>IF(ISNA(EF29),NA(),Capability!$K$9)</f>
        <v/>
      </c>
      <c r="EI29">
        <f>IF(ISNA(EF29),NA(),Capability!$J$9)</f>
        <v/>
      </c>
      <c r="EJ29">
        <f>IF(ISNA(EF29),NA(),Capability!$L$9)</f>
        <v/>
      </c>
      <c r="EK29">
        <f>IF(OR(ISNA(EG29),ISNA(EG28)),NA(),ABS(EG29-EG28))</f>
        <v/>
      </c>
      <c r="EL29">
        <f>IF(ISNA(EF29),NA(),Capability!$N$9)</f>
        <v/>
      </c>
      <c r="EM29">
        <f>IF(ISNA(EF29),NA(),IF(OR(Capability!$Q$9="",Settings!$F$7&lt;&gt;"Y"),NA(),Capability!$Q$9))</f>
        <v/>
      </c>
      <c r="EN29">
        <f>IF(ISNA(EF29),NA(),IF(OR(Capability!$P$9="",Settings!$F$7&lt;&gt;"Y"),NA(),Capability!$P$9))</f>
        <v/>
      </c>
      <c r="ET29">
        <f>IF((EW$1+25)&gt;EU$1,NA(),(EW$1+25)-4)</f>
        <v/>
      </c>
      <c r="EU29">
        <f>IF((EW$1+25)&gt;EU$1,NA(),INDEX('Data Entry'!$M$5:$M$10004,(EW$1+25)-4))</f>
        <v/>
      </c>
      <c r="EV29">
        <f>IF(ISNA(ET29),NA(),Capability!$K$10)</f>
        <v/>
      </c>
      <c r="EW29">
        <f>IF(ISNA(ET29),NA(),Capability!$J$10)</f>
        <v/>
      </c>
      <c r="EX29">
        <f>IF(ISNA(ET29),NA(),Capability!$L$10)</f>
        <v/>
      </c>
      <c r="EY29">
        <f>IF(OR(ISNA(EU29),ISNA(EU28)),NA(),ABS(EU29-EU28))</f>
        <v/>
      </c>
      <c r="EZ29">
        <f>IF(ISNA(ET29),NA(),Capability!$N$10)</f>
        <v/>
      </c>
      <c r="FA29">
        <f>IF(ISNA(ET29),NA(),IF(OR(Capability!$Q$10="",Settings!$F$7&lt;&gt;"Y"),NA(),Capability!$Q$10))</f>
        <v/>
      </c>
      <c r="FB29">
        <f>IF(ISNA(ET29),NA(),IF(OR(Capability!$P$10="",Settings!$F$7&lt;&gt;"Y"),NA(),Capability!$P$10))</f>
        <v/>
      </c>
      <c r="FH29">
        <f>IF((FK$1+25)&gt;FI$1,NA(),(FK$1+25)-4)</f>
        <v/>
      </c>
      <c r="FI29">
        <f>IF((FK$1+25)&gt;FI$1,NA(),INDEX('Data Entry'!$N$5:$N$10004,(FK$1+25)-4))</f>
        <v/>
      </c>
      <c r="FJ29">
        <f>IF(ISNA(FH29),NA(),Capability!$K$11)</f>
        <v/>
      </c>
      <c r="FK29">
        <f>IF(ISNA(FH29),NA(),Capability!$J$11)</f>
        <v/>
      </c>
      <c r="FL29">
        <f>IF(ISNA(FH29),NA(),Capability!$L$11)</f>
        <v/>
      </c>
      <c r="FM29">
        <f>IF(OR(ISNA(FI29),ISNA(FI28)),NA(),ABS(FI29-FI28))</f>
        <v/>
      </c>
      <c r="FN29">
        <f>IF(ISNA(FH29),NA(),Capability!$N$11)</f>
        <v/>
      </c>
      <c r="FO29">
        <f>IF(ISNA(FH29),NA(),IF(OR(Capability!$Q$11="",Settings!$F$7&lt;&gt;"Y"),NA(),Capability!$Q$11))</f>
        <v/>
      </c>
      <c r="FP29">
        <f>IF(ISNA(FH29),NA(),IF(OR(Capability!$P$11="",Settings!$F$7&lt;&gt;"Y"),NA(),Capability!$P$11))</f>
        <v/>
      </c>
      <c r="FV29">
        <f>IF((FY$1+25)&gt;FW$1,NA(),(FY$1+25)-4)</f>
        <v/>
      </c>
      <c r="FW29">
        <f>IF((FY$1+25)&gt;FW$1,NA(),INDEX('Data Entry'!$O$5:$O$10004,(FY$1+25)-4))</f>
        <v/>
      </c>
      <c r="FX29">
        <f>IF(ISNA(FV29),NA(),Capability!$K$12)</f>
        <v/>
      </c>
      <c r="FY29">
        <f>IF(ISNA(FV29),NA(),Capability!$J$12)</f>
        <v/>
      </c>
      <c r="FZ29">
        <f>IF(ISNA(FV29),NA(),Capability!$L$12)</f>
        <v/>
      </c>
      <c r="GA29">
        <f>IF(OR(ISNA(FW29),ISNA(FW28)),NA(),ABS(FW29-FW28))</f>
        <v/>
      </c>
      <c r="GB29">
        <f>IF(ISNA(FV29),NA(),Capability!$N$12)</f>
        <v/>
      </c>
      <c r="GC29">
        <f>IF(ISNA(FV29),NA(),IF(OR(Capability!$Q$12="",Settings!$F$7&lt;&gt;"Y"),NA(),Capability!$Q$12))</f>
        <v/>
      </c>
      <c r="GD29">
        <f>IF(ISNA(FV29),NA(),IF(OR(Capability!$P$12="",Settings!$F$7&lt;&gt;"Y"),NA(),Capability!$P$12))</f>
        <v/>
      </c>
      <c r="GJ29">
        <f>IF((GM$1+25)&gt;GK$1,NA(),(GM$1+25)-4)</f>
        <v/>
      </c>
      <c r="GK29">
        <f>IF((GM$1+25)&gt;GK$1,NA(),INDEX('Data Entry'!$P$5:$P$10004,(GM$1+25)-4))</f>
        <v/>
      </c>
      <c r="GL29">
        <f>IF(ISNA(GJ29),NA(),Capability!$K$13)</f>
        <v/>
      </c>
      <c r="GM29">
        <f>IF(ISNA(GJ29),NA(),Capability!$J$13)</f>
        <v/>
      </c>
      <c r="GN29">
        <f>IF(ISNA(GJ29),NA(),Capability!$L$13)</f>
        <v/>
      </c>
      <c r="GO29">
        <f>IF(OR(ISNA(GK29),ISNA(GK28)),NA(),ABS(GK29-GK28))</f>
        <v/>
      </c>
      <c r="GP29">
        <f>IF(ISNA(GJ29),NA(),Capability!$N$13)</f>
        <v/>
      </c>
      <c r="GQ29">
        <f>IF(ISNA(GJ29),NA(),IF(OR(Capability!$Q$13="",Settings!$F$7&lt;&gt;"Y"),NA(),Capability!$Q$13))</f>
        <v/>
      </c>
      <c r="GR29">
        <f>IF(ISNA(GJ29),NA(),IF(OR(Capability!$P$13="",Settings!$F$7&lt;&gt;"Y"),NA(),Capability!$P$13))</f>
        <v/>
      </c>
      <c r="GX29">
        <f>IF((HA$1+25)&gt;GY$1,NA(),(HA$1+25)-4)</f>
        <v/>
      </c>
      <c r="GY29">
        <f>IF((HA$1+25)&gt;GY$1,NA(),INDEX('Data Entry'!$Q$5:$Q$10004,(HA$1+25)-4))</f>
        <v/>
      </c>
      <c r="GZ29">
        <f>IF(ISNA(GX29),NA(),Capability!$K$14)</f>
        <v/>
      </c>
      <c r="HA29">
        <f>IF(ISNA(GX29),NA(),Capability!$J$14)</f>
        <v/>
      </c>
      <c r="HB29">
        <f>IF(ISNA(GX29),NA(),Capability!$L$14)</f>
        <v/>
      </c>
      <c r="HC29">
        <f>IF(OR(ISNA(GY29),ISNA(GY28)),NA(),ABS(GY29-GY28))</f>
        <v/>
      </c>
      <c r="HD29">
        <f>IF(ISNA(GX29),NA(),Capability!$N$14)</f>
        <v/>
      </c>
      <c r="HE29">
        <f>IF(ISNA(GX29),NA(),IF(OR(Capability!$Q$14="",Settings!$F$7&lt;&gt;"Y"),NA(),Capability!$Q$14))</f>
        <v/>
      </c>
      <c r="HF29">
        <f>IF(ISNA(GX29),NA(),IF(OR(Capability!$P$14="",Settings!$F$7&lt;&gt;"Y"),NA(),Capability!$P$14))</f>
        <v/>
      </c>
    </row>
    <row r="30">
      <c r="A30" s="35" t="inlineStr">
        <is>
          <t>Ppk</t>
        </is>
      </c>
      <c r="B30" s="38">
        <f>Capability!V5</f>
        <v/>
      </c>
      <c r="CB30">
        <f>IF((CE$1+26)&gt;CC$1,NA(),(CE$1+26)-4)</f>
        <v/>
      </c>
      <c r="CC30">
        <f>IF((CE$1+26)&gt;CC$1,NA(),INDEX('Data Entry'!$H$5:$H$10004,(CE$1+26)-4))</f>
        <v/>
      </c>
      <c r="CD30">
        <f>IF(ISNA(CB30),NA(),Capability!$K$5)</f>
        <v/>
      </c>
      <c r="CE30">
        <f>IF(ISNA(CB30),NA(),Capability!$J$5)</f>
        <v/>
      </c>
      <c r="CF30">
        <f>IF(ISNA(CB30),NA(),Capability!$L$5)</f>
        <v/>
      </c>
      <c r="CG30">
        <f>IF(OR(ISNA(CC30),ISNA(CC29)),NA(),ABS(CC30-CC29))</f>
        <v/>
      </c>
      <c r="CH30">
        <f>IF(ISNA(CB30),NA(),Capability!$N$5)</f>
        <v/>
      </c>
      <c r="CI30">
        <f>IF(ISNA(CB30),NA(),IF(OR(Capability!$Q$5="",Settings!$F$7&lt;&gt;"Y"),NA(),Capability!$Q$5))</f>
        <v/>
      </c>
      <c r="CJ30">
        <f>IF(ISNA(CB30),NA(),IF(OR(Capability!$P$5="",Settings!$F$7&lt;&gt;"Y"),NA(),Capability!$P$5))</f>
        <v/>
      </c>
      <c r="CP30">
        <f>IF((CS$1+26)&gt;CQ$1,NA(),(CS$1+26)-4)</f>
        <v/>
      </c>
      <c r="CQ30">
        <f>IF((CS$1+26)&gt;CQ$1,NA(),INDEX('Data Entry'!$I$5:$I$10004,(CS$1+26)-4))</f>
        <v/>
      </c>
      <c r="CR30">
        <f>IF(ISNA(CP30),NA(),Capability!$K$6)</f>
        <v/>
      </c>
      <c r="CS30">
        <f>IF(ISNA(CP30),NA(),Capability!$J$6)</f>
        <v/>
      </c>
      <c r="CT30">
        <f>IF(ISNA(CP30),NA(),Capability!$L$6)</f>
        <v/>
      </c>
      <c r="CU30">
        <f>IF(OR(ISNA(CQ30),ISNA(CQ29)),NA(),ABS(CQ30-CQ29))</f>
        <v/>
      </c>
      <c r="CV30">
        <f>IF(ISNA(CP30),NA(),Capability!$N$6)</f>
        <v/>
      </c>
      <c r="CW30">
        <f>IF(ISNA(CP30),NA(),IF(OR(Capability!$Q$6="",Settings!$F$7&lt;&gt;"Y"),NA(),Capability!$Q$6))</f>
        <v/>
      </c>
      <c r="CX30">
        <f>IF(ISNA(CP30),NA(),IF(OR(Capability!$P$6="",Settings!$F$7&lt;&gt;"Y"),NA(),Capability!$P$6))</f>
        <v/>
      </c>
      <c r="DD30">
        <f>IF((DG$1+26)&gt;DE$1,NA(),(DG$1+26)-4)</f>
        <v/>
      </c>
      <c r="DE30">
        <f>IF((DG$1+26)&gt;DE$1,NA(),INDEX('Data Entry'!$J$5:$J$10004,(DG$1+26)-4))</f>
        <v/>
      </c>
      <c r="DF30">
        <f>IF(ISNA(DD30),NA(),Capability!$K$7)</f>
        <v/>
      </c>
      <c r="DG30">
        <f>IF(ISNA(DD30),NA(),Capability!$J$7)</f>
        <v/>
      </c>
      <c r="DH30">
        <f>IF(ISNA(DD30),NA(),Capability!$L$7)</f>
        <v/>
      </c>
      <c r="DI30">
        <f>IF(OR(ISNA(DE30),ISNA(DE29)),NA(),ABS(DE30-DE29))</f>
        <v/>
      </c>
      <c r="DJ30">
        <f>IF(ISNA(DD30),NA(),Capability!$N$7)</f>
        <v/>
      </c>
      <c r="DK30">
        <f>IF(ISNA(DD30),NA(),IF(OR(Capability!$Q$7="",Settings!$F$7&lt;&gt;"Y"),NA(),Capability!$Q$7))</f>
        <v/>
      </c>
      <c r="DL30">
        <f>IF(ISNA(DD30),NA(),IF(OR(Capability!$P$7="",Settings!$F$7&lt;&gt;"Y"),NA(),Capability!$P$7))</f>
        <v/>
      </c>
      <c r="DR30">
        <f>IF((DU$1+26)&gt;DS$1,NA(),(DU$1+26)-4)</f>
        <v/>
      </c>
      <c r="DS30">
        <f>IF((DU$1+26)&gt;DS$1,NA(),INDEX('Data Entry'!$K$5:$K$10004,(DU$1+26)-4))</f>
        <v/>
      </c>
      <c r="DT30">
        <f>IF(ISNA(DR30),NA(),Capability!$K$8)</f>
        <v/>
      </c>
      <c r="DU30">
        <f>IF(ISNA(DR30),NA(),Capability!$J$8)</f>
        <v/>
      </c>
      <c r="DV30">
        <f>IF(ISNA(DR30),NA(),Capability!$L$8)</f>
        <v/>
      </c>
      <c r="DW30">
        <f>IF(OR(ISNA(DS30),ISNA(DS29)),NA(),ABS(DS30-DS29))</f>
        <v/>
      </c>
      <c r="DX30">
        <f>IF(ISNA(DR30),NA(),Capability!$N$8)</f>
        <v/>
      </c>
      <c r="DY30">
        <f>IF(ISNA(DR30),NA(),IF(OR(Capability!$Q$8="",Settings!$F$7&lt;&gt;"Y"),NA(),Capability!$Q$8))</f>
        <v/>
      </c>
      <c r="DZ30">
        <f>IF(ISNA(DR30),NA(),IF(OR(Capability!$P$8="",Settings!$F$7&lt;&gt;"Y"),NA(),Capability!$P$8))</f>
        <v/>
      </c>
      <c r="EF30">
        <f>IF((EI$1+26)&gt;EG$1,NA(),(EI$1+26)-4)</f>
        <v/>
      </c>
      <c r="EG30">
        <f>IF((EI$1+26)&gt;EG$1,NA(),INDEX('Data Entry'!$L$5:$L$10004,(EI$1+26)-4))</f>
        <v/>
      </c>
      <c r="EH30">
        <f>IF(ISNA(EF30),NA(),Capability!$K$9)</f>
        <v/>
      </c>
      <c r="EI30">
        <f>IF(ISNA(EF30),NA(),Capability!$J$9)</f>
        <v/>
      </c>
      <c r="EJ30">
        <f>IF(ISNA(EF30),NA(),Capability!$L$9)</f>
        <v/>
      </c>
      <c r="EK30">
        <f>IF(OR(ISNA(EG30),ISNA(EG29)),NA(),ABS(EG30-EG29))</f>
        <v/>
      </c>
      <c r="EL30">
        <f>IF(ISNA(EF30),NA(),Capability!$N$9)</f>
        <v/>
      </c>
      <c r="EM30">
        <f>IF(ISNA(EF30),NA(),IF(OR(Capability!$Q$9="",Settings!$F$7&lt;&gt;"Y"),NA(),Capability!$Q$9))</f>
        <v/>
      </c>
      <c r="EN30">
        <f>IF(ISNA(EF30),NA(),IF(OR(Capability!$P$9="",Settings!$F$7&lt;&gt;"Y"),NA(),Capability!$P$9))</f>
        <v/>
      </c>
      <c r="ET30">
        <f>IF((EW$1+26)&gt;EU$1,NA(),(EW$1+26)-4)</f>
        <v/>
      </c>
      <c r="EU30">
        <f>IF((EW$1+26)&gt;EU$1,NA(),INDEX('Data Entry'!$M$5:$M$10004,(EW$1+26)-4))</f>
        <v/>
      </c>
      <c r="EV30">
        <f>IF(ISNA(ET30),NA(),Capability!$K$10)</f>
        <v/>
      </c>
      <c r="EW30">
        <f>IF(ISNA(ET30),NA(),Capability!$J$10)</f>
        <v/>
      </c>
      <c r="EX30">
        <f>IF(ISNA(ET30),NA(),Capability!$L$10)</f>
        <v/>
      </c>
      <c r="EY30">
        <f>IF(OR(ISNA(EU30),ISNA(EU29)),NA(),ABS(EU30-EU29))</f>
        <v/>
      </c>
      <c r="EZ30">
        <f>IF(ISNA(ET30),NA(),Capability!$N$10)</f>
        <v/>
      </c>
      <c r="FA30">
        <f>IF(ISNA(ET30),NA(),IF(OR(Capability!$Q$10="",Settings!$F$7&lt;&gt;"Y"),NA(),Capability!$Q$10))</f>
        <v/>
      </c>
      <c r="FB30">
        <f>IF(ISNA(ET30),NA(),IF(OR(Capability!$P$10="",Settings!$F$7&lt;&gt;"Y"),NA(),Capability!$P$10))</f>
        <v/>
      </c>
      <c r="FH30">
        <f>IF((FK$1+26)&gt;FI$1,NA(),(FK$1+26)-4)</f>
        <v/>
      </c>
      <c r="FI30">
        <f>IF((FK$1+26)&gt;FI$1,NA(),INDEX('Data Entry'!$N$5:$N$10004,(FK$1+26)-4))</f>
        <v/>
      </c>
      <c r="FJ30">
        <f>IF(ISNA(FH30),NA(),Capability!$K$11)</f>
        <v/>
      </c>
      <c r="FK30">
        <f>IF(ISNA(FH30),NA(),Capability!$J$11)</f>
        <v/>
      </c>
      <c r="FL30">
        <f>IF(ISNA(FH30),NA(),Capability!$L$11)</f>
        <v/>
      </c>
      <c r="FM30">
        <f>IF(OR(ISNA(FI30),ISNA(FI29)),NA(),ABS(FI30-FI29))</f>
        <v/>
      </c>
      <c r="FN30">
        <f>IF(ISNA(FH30),NA(),Capability!$N$11)</f>
        <v/>
      </c>
      <c r="FO30">
        <f>IF(ISNA(FH30),NA(),IF(OR(Capability!$Q$11="",Settings!$F$7&lt;&gt;"Y"),NA(),Capability!$Q$11))</f>
        <v/>
      </c>
      <c r="FP30">
        <f>IF(ISNA(FH30),NA(),IF(OR(Capability!$P$11="",Settings!$F$7&lt;&gt;"Y"),NA(),Capability!$P$11))</f>
        <v/>
      </c>
      <c r="FV30">
        <f>IF((FY$1+26)&gt;FW$1,NA(),(FY$1+26)-4)</f>
        <v/>
      </c>
      <c r="FW30">
        <f>IF((FY$1+26)&gt;FW$1,NA(),INDEX('Data Entry'!$O$5:$O$10004,(FY$1+26)-4))</f>
        <v/>
      </c>
      <c r="FX30">
        <f>IF(ISNA(FV30),NA(),Capability!$K$12)</f>
        <v/>
      </c>
      <c r="FY30">
        <f>IF(ISNA(FV30),NA(),Capability!$J$12)</f>
        <v/>
      </c>
      <c r="FZ30">
        <f>IF(ISNA(FV30),NA(),Capability!$L$12)</f>
        <v/>
      </c>
      <c r="GA30">
        <f>IF(OR(ISNA(FW30),ISNA(FW29)),NA(),ABS(FW30-FW29))</f>
        <v/>
      </c>
      <c r="GB30">
        <f>IF(ISNA(FV30),NA(),Capability!$N$12)</f>
        <v/>
      </c>
      <c r="GC30">
        <f>IF(ISNA(FV30),NA(),IF(OR(Capability!$Q$12="",Settings!$F$7&lt;&gt;"Y"),NA(),Capability!$Q$12))</f>
        <v/>
      </c>
      <c r="GD30">
        <f>IF(ISNA(FV30),NA(),IF(OR(Capability!$P$12="",Settings!$F$7&lt;&gt;"Y"),NA(),Capability!$P$12))</f>
        <v/>
      </c>
      <c r="GJ30">
        <f>IF((GM$1+26)&gt;GK$1,NA(),(GM$1+26)-4)</f>
        <v/>
      </c>
      <c r="GK30">
        <f>IF((GM$1+26)&gt;GK$1,NA(),INDEX('Data Entry'!$P$5:$P$10004,(GM$1+26)-4))</f>
        <v/>
      </c>
      <c r="GL30">
        <f>IF(ISNA(GJ30),NA(),Capability!$K$13)</f>
        <v/>
      </c>
      <c r="GM30">
        <f>IF(ISNA(GJ30),NA(),Capability!$J$13)</f>
        <v/>
      </c>
      <c r="GN30">
        <f>IF(ISNA(GJ30),NA(),Capability!$L$13)</f>
        <v/>
      </c>
      <c r="GO30">
        <f>IF(OR(ISNA(GK30),ISNA(GK29)),NA(),ABS(GK30-GK29))</f>
        <v/>
      </c>
      <c r="GP30">
        <f>IF(ISNA(GJ30),NA(),Capability!$N$13)</f>
        <v/>
      </c>
      <c r="GQ30">
        <f>IF(ISNA(GJ30),NA(),IF(OR(Capability!$Q$13="",Settings!$F$7&lt;&gt;"Y"),NA(),Capability!$Q$13))</f>
        <v/>
      </c>
      <c r="GR30">
        <f>IF(ISNA(GJ30),NA(),IF(OR(Capability!$P$13="",Settings!$F$7&lt;&gt;"Y"),NA(),Capability!$P$13))</f>
        <v/>
      </c>
      <c r="GX30">
        <f>IF((HA$1+26)&gt;GY$1,NA(),(HA$1+26)-4)</f>
        <v/>
      </c>
      <c r="GY30">
        <f>IF((HA$1+26)&gt;GY$1,NA(),INDEX('Data Entry'!$Q$5:$Q$10004,(HA$1+26)-4))</f>
        <v/>
      </c>
      <c r="GZ30">
        <f>IF(ISNA(GX30),NA(),Capability!$K$14)</f>
        <v/>
      </c>
      <c r="HA30">
        <f>IF(ISNA(GX30),NA(),Capability!$J$14)</f>
        <v/>
      </c>
      <c r="HB30">
        <f>IF(ISNA(GX30),NA(),Capability!$L$14)</f>
        <v/>
      </c>
      <c r="HC30">
        <f>IF(OR(ISNA(GY30),ISNA(GY29)),NA(),ABS(GY30-GY29))</f>
        <v/>
      </c>
      <c r="HD30">
        <f>IF(ISNA(GX30),NA(),Capability!$N$14)</f>
        <v/>
      </c>
      <c r="HE30">
        <f>IF(ISNA(GX30),NA(),IF(OR(Capability!$Q$14="",Settings!$F$7&lt;&gt;"Y"),NA(),Capability!$Q$14))</f>
        <v/>
      </c>
      <c r="HF30">
        <f>IF(ISNA(GX30),NA(),IF(OR(Capability!$P$14="",Settings!$F$7&lt;&gt;"Y"),NA(),Capability!$P$14))</f>
        <v/>
      </c>
    </row>
    <row r="31">
      <c r="A31" s="35" t="inlineStr">
        <is>
          <t>In control?</t>
        </is>
      </c>
      <c r="B31" s="36">
        <f>Capability!W5</f>
        <v/>
      </c>
      <c r="CB31">
        <f>IF((CE$1+27)&gt;CC$1,NA(),(CE$1+27)-4)</f>
        <v/>
      </c>
      <c r="CC31">
        <f>IF((CE$1+27)&gt;CC$1,NA(),INDEX('Data Entry'!$H$5:$H$10004,(CE$1+27)-4))</f>
        <v/>
      </c>
      <c r="CD31">
        <f>IF(ISNA(CB31),NA(),Capability!$K$5)</f>
        <v/>
      </c>
      <c r="CE31">
        <f>IF(ISNA(CB31),NA(),Capability!$J$5)</f>
        <v/>
      </c>
      <c r="CF31">
        <f>IF(ISNA(CB31),NA(),Capability!$L$5)</f>
        <v/>
      </c>
      <c r="CG31">
        <f>IF(OR(ISNA(CC31),ISNA(CC30)),NA(),ABS(CC31-CC30))</f>
        <v/>
      </c>
      <c r="CH31">
        <f>IF(ISNA(CB31),NA(),Capability!$N$5)</f>
        <v/>
      </c>
      <c r="CI31">
        <f>IF(ISNA(CB31),NA(),IF(OR(Capability!$Q$5="",Settings!$F$7&lt;&gt;"Y"),NA(),Capability!$Q$5))</f>
        <v/>
      </c>
      <c r="CJ31">
        <f>IF(ISNA(CB31),NA(),IF(OR(Capability!$P$5="",Settings!$F$7&lt;&gt;"Y"),NA(),Capability!$P$5))</f>
        <v/>
      </c>
      <c r="CP31">
        <f>IF((CS$1+27)&gt;CQ$1,NA(),(CS$1+27)-4)</f>
        <v/>
      </c>
      <c r="CQ31">
        <f>IF((CS$1+27)&gt;CQ$1,NA(),INDEX('Data Entry'!$I$5:$I$10004,(CS$1+27)-4))</f>
        <v/>
      </c>
      <c r="CR31">
        <f>IF(ISNA(CP31),NA(),Capability!$K$6)</f>
        <v/>
      </c>
      <c r="CS31">
        <f>IF(ISNA(CP31),NA(),Capability!$J$6)</f>
        <v/>
      </c>
      <c r="CT31">
        <f>IF(ISNA(CP31),NA(),Capability!$L$6)</f>
        <v/>
      </c>
      <c r="CU31">
        <f>IF(OR(ISNA(CQ31),ISNA(CQ30)),NA(),ABS(CQ31-CQ30))</f>
        <v/>
      </c>
      <c r="CV31">
        <f>IF(ISNA(CP31),NA(),Capability!$N$6)</f>
        <v/>
      </c>
      <c r="CW31">
        <f>IF(ISNA(CP31),NA(),IF(OR(Capability!$Q$6="",Settings!$F$7&lt;&gt;"Y"),NA(),Capability!$Q$6))</f>
        <v/>
      </c>
      <c r="CX31">
        <f>IF(ISNA(CP31),NA(),IF(OR(Capability!$P$6="",Settings!$F$7&lt;&gt;"Y"),NA(),Capability!$P$6))</f>
        <v/>
      </c>
      <c r="DD31">
        <f>IF((DG$1+27)&gt;DE$1,NA(),(DG$1+27)-4)</f>
        <v/>
      </c>
      <c r="DE31">
        <f>IF((DG$1+27)&gt;DE$1,NA(),INDEX('Data Entry'!$J$5:$J$10004,(DG$1+27)-4))</f>
        <v/>
      </c>
      <c r="DF31">
        <f>IF(ISNA(DD31),NA(),Capability!$K$7)</f>
        <v/>
      </c>
      <c r="DG31">
        <f>IF(ISNA(DD31),NA(),Capability!$J$7)</f>
        <v/>
      </c>
      <c r="DH31">
        <f>IF(ISNA(DD31),NA(),Capability!$L$7)</f>
        <v/>
      </c>
      <c r="DI31">
        <f>IF(OR(ISNA(DE31),ISNA(DE30)),NA(),ABS(DE31-DE30))</f>
        <v/>
      </c>
      <c r="DJ31">
        <f>IF(ISNA(DD31),NA(),Capability!$N$7)</f>
        <v/>
      </c>
      <c r="DK31">
        <f>IF(ISNA(DD31),NA(),IF(OR(Capability!$Q$7="",Settings!$F$7&lt;&gt;"Y"),NA(),Capability!$Q$7))</f>
        <v/>
      </c>
      <c r="DL31">
        <f>IF(ISNA(DD31),NA(),IF(OR(Capability!$P$7="",Settings!$F$7&lt;&gt;"Y"),NA(),Capability!$P$7))</f>
        <v/>
      </c>
      <c r="DR31">
        <f>IF((DU$1+27)&gt;DS$1,NA(),(DU$1+27)-4)</f>
        <v/>
      </c>
      <c r="DS31">
        <f>IF((DU$1+27)&gt;DS$1,NA(),INDEX('Data Entry'!$K$5:$K$10004,(DU$1+27)-4))</f>
        <v/>
      </c>
      <c r="DT31">
        <f>IF(ISNA(DR31),NA(),Capability!$K$8)</f>
        <v/>
      </c>
      <c r="DU31">
        <f>IF(ISNA(DR31),NA(),Capability!$J$8)</f>
        <v/>
      </c>
      <c r="DV31">
        <f>IF(ISNA(DR31),NA(),Capability!$L$8)</f>
        <v/>
      </c>
      <c r="DW31">
        <f>IF(OR(ISNA(DS31),ISNA(DS30)),NA(),ABS(DS31-DS30))</f>
        <v/>
      </c>
      <c r="DX31">
        <f>IF(ISNA(DR31),NA(),Capability!$N$8)</f>
        <v/>
      </c>
      <c r="DY31">
        <f>IF(ISNA(DR31),NA(),IF(OR(Capability!$Q$8="",Settings!$F$7&lt;&gt;"Y"),NA(),Capability!$Q$8))</f>
        <v/>
      </c>
      <c r="DZ31">
        <f>IF(ISNA(DR31),NA(),IF(OR(Capability!$P$8="",Settings!$F$7&lt;&gt;"Y"),NA(),Capability!$P$8))</f>
        <v/>
      </c>
      <c r="EF31">
        <f>IF((EI$1+27)&gt;EG$1,NA(),(EI$1+27)-4)</f>
        <v/>
      </c>
      <c r="EG31">
        <f>IF((EI$1+27)&gt;EG$1,NA(),INDEX('Data Entry'!$L$5:$L$10004,(EI$1+27)-4))</f>
        <v/>
      </c>
      <c r="EH31">
        <f>IF(ISNA(EF31),NA(),Capability!$K$9)</f>
        <v/>
      </c>
      <c r="EI31">
        <f>IF(ISNA(EF31),NA(),Capability!$J$9)</f>
        <v/>
      </c>
      <c r="EJ31">
        <f>IF(ISNA(EF31),NA(),Capability!$L$9)</f>
        <v/>
      </c>
      <c r="EK31">
        <f>IF(OR(ISNA(EG31),ISNA(EG30)),NA(),ABS(EG31-EG30))</f>
        <v/>
      </c>
      <c r="EL31">
        <f>IF(ISNA(EF31),NA(),Capability!$N$9)</f>
        <v/>
      </c>
      <c r="EM31">
        <f>IF(ISNA(EF31),NA(),IF(OR(Capability!$Q$9="",Settings!$F$7&lt;&gt;"Y"),NA(),Capability!$Q$9))</f>
        <v/>
      </c>
      <c r="EN31">
        <f>IF(ISNA(EF31),NA(),IF(OR(Capability!$P$9="",Settings!$F$7&lt;&gt;"Y"),NA(),Capability!$P$9))</f>
        <v/>
      </c>
      <c r="ET31">
        <f>IF((EW$1+27)&gt;EU$1,NA(),(EW$1+27)-4)</f>
        <v/>
      </c>
      <c r="EU31">
        <f>IF((EW$1+27)&gt;EU$1,NA(),INDEX('Data Entry'!$M$5:$M$10004,(EW$1+27)-4))</f>
        <v/>
      </c>
      <c r="EV31">
        <f>IF(ISNA(ET31),NA(),Capability!$K$10)</f>
        <v/>
      </c>
      <c r="EW31">
        <f>IF(ISNA(ET31),NA(),Capability!$J$10)</f>
        <v/>
      </c>
      <c r="EX31">
        <f>IF(ISNA(ET31),NA(),Capability!$L$10)</f>
        <v/>
      </c>
      <c r="EY31">
        <f>IF(OR(ISNA(EU31),ISNA(EU30)),NA(),ABS(EU31-EU30))</f>
        <v/>
      </c>
      <c r="EZ31">
        <f>IF(ISNA(ET31),NA(),Capability!$N$10)</f>
        <v/>
      </c>
      <c r="FA31">
        <f>IF(ISNA(ET31),NA(),IF(OR(Capability!$Q$10="",Settings!$F$7&lt;&gt;"Y"),NA(),Capability!$Q$10))</f>
        <v/>
      </c>
      <c r="FB31">
        <f>IF(ISNA(ET31),NA(),IF(OR(Capability!$P$10="",Settings!$F$7&lt;&gt;"Y"),NA(),Capability!$P$10))</f>
        <v/>
      </c>
      <c r="FH31">
        <f>IF((FK$1+27)&gt;FI$1,NA(),(FK$1+27)-4)</f>
        <v/>
      </c>
      <c r="FI31">
        <f>IF((FK$1+27)&gt;FI$1,NA(),INDEX('Data Entry'!$N$5:$N$10004,(FK$1+27)-4))</f>
        <v/>
      </c>
      <c r="FJ31">
        <f>IF(ISNA(FH31),NA(),Capability!$K$11)</f>
        <v/>
      </c>
      <c r="FK31">
        <f>IF(ISNA(FH31),NA(),Capability!$J$11)</f>
        <v/>
      </c>
      <c r="FL31">
        <f>IF(ISNA(FH31),NA(),Capability!$L$11)</f>
        <v/>
      </c>
      <c r="FM31">
        <f>IF(OR(ISNA(FI31),ISNA(FI30)),NA(),ABS(FI31-FI30))</f>
        <v/>
      </c>
      <c r="FN31">
        <f>IF(ISNA(FH31),NA(),Capability!$N$11)</f>
        <v/>
      </c>
      <c r="FO31">
        <f>IF(ISNA(FH31),NA(),IF(OR(Capability!$Q$11="",Settings!$F$7&lt;&gt;"Y"),NA(),Capability!$Q$11))</f>
        <v/>
      </c>
      <c r="FP31">
        <f>IF(ISNA(FH31),NA(),IF(OR(Capability!$P$11="",Settings!$F$7&lt;&gt;"Y"),NA(),Capability!$P$11))</f>
        <v/>
      </c>
      <c r="FV31">
        <f>IF((FY$1+27)&gt;FW$1,NA(),(FY$1+27)-4)</f>
        <v/>
      </c>
      <c r="FW31">
        <f>IF((FY$1+27)&gt;FW$1,NA(),INDEX('Data Entry'!$O$5:$O$10004,(FY$1+27)-4))</f>
        <v/>
      </c>
      <c r="FX31">
        <f>IF(ISNA(FV31),NA(),Capability!$K$12)</f>
        <v/>
      </c>
      <c r="FY31">
        <f>IF(ISNA(FV31),NA(),Capability!$J$12)</f>
        <v/>
      </c>
      <c r="FZ31">
        <f>IF(ISNA(FV31),NA(),Capability!$L$12)</f>
        <v/>
      </c>
      <c r="GA31">
        <f>IF(OR(ISNA(FW31),ISNA(FW30)),NA(),ABS(FW31-FW30))</f>
        <v/>
      </c>
      <c r="GB31">
        <f>IF(ISNA(FV31),NA(),Capability!$N$12)</f>
        <v/>
      </c>
      <c r="GC31">
        <f>IF(ISNA(FV31),NA(),IF(OR(Capability!$Q$12="",Settings!$F$7&lt;&gt;"Y"),NA(),Capability!$Q$12))</f>
        <v/>
      </c>
      <c r="GD31">
        <f>IF(ISNA(FV31),NA(),IF(OR(Capability!$P$12="",Settings!$F$7&lt;&gt;"Y"),NA(),Capability!$P$12))</f>
        <v/>
      </c>
      <c r="GJ31">
        <f>IF((GM$1+27)&gt;GK$1,NA(),(GM$1+27)-4)</f>
        <v/>
      </c>
      <c r="GK31">
        <f>IF((GM$1+27)&gt;GK$1,NA(),INDEX('Data Entry'!$P$5:$P$10004,(GM$1+27)-4))</f>
        <v/>
      </c>
      <c r="GL31">
        <f>IF(ISNA(GJ31),NA(),Capability!$K$13)</f>
        <v/>
      </c>
      <c r="GM31">
        <f>IF(ISNA(GJ31),NA(),Capability!$J$13)</f>
        <v/>
      </c>
      <c r="GN31">
        <f>IF(ISNA(GJ31),NA(),Capability!$L$13)</f>
        <v/>
      </c>
      <c r="GO31">
        <f>IF(OR(ISNA(GK31),ISNA(GK30)),NA(),ABS(GK31-GK30))</f>
        <v/>
      </c>
      <c r="GP31">
        <f>IF(ISNA(GJ31),NA(),Capability!$N$13)</f>
        <v/>
      </c>
      <c r="GQ31">
        <f>IF(ISNA(GJ31),NA(),IF(OR(Capability!$Q$13="",Settings!$F$7&lt;&gt;"Y"),NA(),Capability!$Q$13))</f>
        <v/>
      </c>
      <c r="GR31">
        <f>IF(ISNA(GJ31),NA(),IF(OR(Capability!$P$13="",Settings!$F$7&lt;&gt;"Y"),NA(),Capability!$P$13))</f>
        <v/>
      </c>
      <c r="GX31">
        <f>IF((HA$1+27)&gt;GY$1,NA(),(HA$1+27)-4)</f>
        <v/>
      </c>
      <c r="GY31">
        <f>IF((HA$1+27)&gt;GY$1,NA(),INDEX('Data Entry'!$Q$5:$Q$10004,(HA$1+27)-4))</f>
        <v/>
      </c>
      <c r="GZ31">
        <f>IF(ISNA(GX31),NA(),Capability!$K$14)</f>
        <v/>
      </c>
      <c r="HA31">
        <f>IF(ISNA(GX31),NA(),Capability!$J$14)</f>
        <v/>
      </c>
      <c r="HB31">
        <f>IF(ISNA(GX31),NA(),Capability!$L$14)</f>
        <v/>
      </c>
      <c r="HC31">
        <f>IF(OR(ISNA(GY31),ISNA(GY30)),NA(),ABS(GY31-GY30))</f>
        <v/>
      </c>
      <c r="HD31">
        <f>IF(ISNA(GX31),NA(),Capability!$N$14)</f>
        <v/>
      </c>
      <c r="HE31">
        <f>IF(ISNA(GX31),NA(),IF(OR(Capability!$Q$14="",Settings!$F$7&lt;&gt;"Y"),NA(),Capability!$Q$14))</f>
        <v/>
      </c>
      <c r="HF31">
        <f>IF(ISNA(GX31),NA(),IF(OR(Capability!$P$14="",Settings!$F$7&lt;&gt;"Y"),NA(),Capability!$P$14))</f>
        <v/>
      </c>
    </row>
    <row r="32">
      <c r="A32" s="35" t="inlineStr">
        <is>
          <t>In spec?</t>
        </is>
      </c>
      <c r="B32" s="36">
        <f>Capability!X5</f>
        <v/>
      </c>
      <c r="CB32">
        <f>IF((CE$1+28)&gt;CC$1,NA(),(CE$1+28)-4)</f>
        <v/>
      </c>
      <c r="CC32">
        <f>IF((CE$1+28)&gt;CC$1,NA(),INDEX('Data Entry'!$H$5:$H$10004,(CE$1+28)-4))</f>
        <v/>
      </c>
      <c r="CD32">
        <f>IF(ISNA(CB32),NA(),Capability!$K$5)</f>
        <v/>
      </c>
      <c r="CE32">
        <f>IF(ISNA(CB32),NA(),Capability!$J$5)</f>
        <v/>
      </c>
      <c r="CF32">
        <f>IF(ISNA(CB32),NA(),Capability!$L$5)</f>
        <v/>
      </c>
      <c r="CG32">
        <f>IF(OR(ISNA(CC32),ISNA(CC31)),NA(),ABS(CC32-CC31))</f>
        <v/>
      </c>
      <c r="CH32">
        <f>IF(ISNA(CB32),NA(),Capability!$N$5)</f>
        <v/>
      </c>
      <c r="CI32">
        <f>IF(ISNA(CB32),NA(),IF(OR(Capability!$Q$5="",Settings!$F$7&lt;&gt;"Y"),NA(),Capability!$Q$5))</f>
        <v/>
      </c>
      <c r="CJ32">
        <f>IF(ISNA(CB32),NA(),IF(OR(Capability!$P$5="",Settings!$F$7&lt;&gt;"Y"),NA(),Capability!$P$5))</f>
        <v/>
      </c>
      <c r="CP32">
        <f>IF((CS$1+28)&gt;CQ$1,NA(),(CS$1+28)-4)</f>
        <v/>
      </c>
      <c r="CQ32">
        <f>IF((CS$1+28)&gt;CQ$1,NA(),INDEX('Data Entry'!$I$5:$I$10004,(CS$1+28)-4))</f>
        <v/>
      </c>
      <c r="CR32">
        <f>IF(ISNA(CP32),NA(),Capability!$K$6)</f>
        <v/>
      </c>
      <c r="CS32">
        <f>IF(ISNA(CP32),NA(),Capability!$J$6)</f>
        <v/>
      </c>
      <c r="CT32">
        <f>IF(ISNA(CP32),NA(),Capability!$L$6)</f>
        <v/>
      </c>
      <c r="CU32">
        <f>IF(OR(ISNA(CQ32),ISNA(CQ31)),NA(),ABS(CQ32-CQ31))</f>
        <v/>
      </c>
      <c r="CV32">
        <f>IF(ISNA(CP32),NA(),Capability!$N$6)</f>
        <v/>
      </c>
      <c r="CW32">
        <f>IF(ISNA(CP32),NA(),IF(OR(Capability!$Q$6="",Settings!$F$7&lt;&gt;"Y"),NA(),Capability!$Q$6))</f>
        <v/>
      </c>
      <c r="CX32">
        <f>IF(ISNA(CP32),NA(),IF(OR(Capability!$P$6="",Settings!$F$7&lt;&gt;"Y"),NA(),Capability!$P$6))</f>
        <v/>
      </c>
      <c r="DD32">
        <f>IF((DG$1+28)&gt;DE$1,NA(),(DG$1+28)-4)</f>
        <v/>
      </c>
      <c r="DE32">
        <f>IF((DG$1+28)&gt;DE$1,NA(),INDEX('Data Entry'!$J$5:$J$10004,(DG$1+28)-4))</f>
        <v/>
      </c>
      <c r="DF32">
        <f>IF(ISNA(DD32),NA(),Capability!$K$7)</f>
        <v/>
      </c>
      <c r="DG32">
        <f>IF(ISNA(DD32),NA(),Capability!$J$7)</f>
        <v/>
      </c>
      <c r="DH32">
        <f>IF(ISNA(DD32),NA(),Capability!$L$7)</f>
        <v/>
      </c>
      <c r="DI32">
        <f>IF(OR(ISNA(DE32),ISNA(DE31)),NA(),ABS(DE32-DE31))</f>
        <v/>
      </c>
      <c r="DJ32">
        <f>IF(ISNA(DD32),NA(),Capability!$N$7)</f>
        <v/>
      </c>
      <c r="DK32">
        <f>IF(ISNA(DD32),NA(),IF(OR(Capability!$Q$7="",Settings!$F$7&lt;&gt;"Y"),NA(),Capability!$Q$7))</f>
        <v/>
      </c>
      <c r="DL32">
        <f>IF(ISNA(DD32),NA(),IF(OR(Capability!$P$7="",Settings!$F$7&lt;&gt;"Y"),NA(),Capability!$P$7))</f>
        <v/>
      </c>
      <c r="DR32">
        <f>IF((DU$1+28)&gt;DS$1,NA(),(DU$1+28)-4)</f>
        <v/>
      </c>
      <c r="DS32">
        <f>IF((DU$1+28)&gt;DS$1,NA(),INDEX('Data Entry'!$K$5:$K$10004,(DU$1+28)-4))</f>
        <v/>
      </c>
      <c r="DT32">
        <f>IF(ISNA(DR32),NA(),Capability!$K$8)</f>
        <v/>
      </c>
      <c r="DU32">
        <f>IF(ISNA(DR32),NA(),Capability!$J$8)</f>
        <v/>
      </c>
      <c r="DV32">
        <f>IF(ISNA(DR32),NA(),Capability!$L$8)</f>
        <v/>
      </c>
      <c r="DW32">
        <f>IF(OR(ISNA(DS32),ISNA(DS31)),NA(),ABS(DS32-DS31))</f>
        <v/>
      </c>
      <c r="DX32">
        <f>IF(ISNA(DR32),NA(),Capability!$N$8)</f>
        <v/>
      </c>
      <c r="DY32">
        <f>IF(ISNA(DR32),NA(),IF(OR(Capability!$Q$8="",Settings!$F$7&lt;&gt;"Y"),NA(),Capability!$Q$8))</f>
        <v/>
      </c>
      <c r="DZ32">
        <f>IF(ISNA(DR32),NA(),IF(OR(Capability!$P$8="",Settings!$F$7&lt;&gt;"Y"),NA(),Capability!$P$8))</f>
        <v/>
      </c>
      <c r="EF32">
        <f>IF((EI$1+28)&gt;EG$1,NA(),(EI$1+28)-4)</f>
        <v/>
      </c>
      <c r="EG32">
        <f>IF((EI$1+28)&gt;EG$1,NA(),INDEX('Data Entry'!$L$5:$L$10004,(EI$1+28)-4))</f>
        <v/>
      </c>
      <c r="EH32">
        <f>IF(ISNA(EF32),NA(),Capability!$K$9)</f>
        <v/>
      </c>
      <c r="EI32">
        <f>IF(ISNA(EF32),NA(),Capability!$J$9)</f>
        <v/>
      </c>
      <c r="EJ32">
        <f>IF(ISNA(EF32),NA(),Capability!$L$9)</f>
        <v/>
      </c>
      <c r="EK32">
        <f>IF(OR(ISNA(EG32),ISNA(EG31)),NA(),ABS(EG32-EG31))</f>
        <v/>
      </c>
      <c r="EL32">
        <f>IF(ISNA(EF32),NA(),Capability!$N$9)</f>
        <v/>
      </c>
      <c r="EM32">
        <f>IF(ISNA(EF32),NA(),IF(OR(Capability!$Q$9="",Settings!$F$7&lt;&gt;"Y"),NA(),Capability!$Q$9))</f>
        <v/>
      </c>
      <c r="EN32">
        <f>IF(ISNA(EF32),NA(),IF(OR(Capability!$P$9="",Settings!$F$7&lt;&gt;"Y"),NA(),Capability!$P$9))</f>
        <v/>
      </c>
      <c r="ET32">
        <f>IF((EW$1+28)&gt;EU$1,NA(),(EW$1+28)-4)</f>
        <v/>
      </c>
      <c r="EU32">
        <f>IF((EW$1+28)&gt;EU$1,NA(),INDEX('Data Entry'!$M$5:$M$10004,(EW$1+28)-4))</f>
        <v/>
      </c>
      <c r="EV32">
        <f>IF(ISNA(ET32),NA(),Capability!$K$10)</f>
        <v/>
      </c>
      <c r="EW32">
        <f>IF(ISNA(ET32),NA(),Capability!$J$10)</f>
        <v/>
      </c>
      <c r="EX32">
        <f>IF(ISNA(ET32),NA(),Capability!$L$10)</f>
        <v/>
      </c>
      <c r="EY32">
        <f>IF(OR(ISNA(EU32),ISNA(EU31)),NA(),ABS(EU32-EU31))</f>
        <v/>
      </c>
      <c r="EZ32">
        <f>IF(ISNA(ET32),NA(),Capability!$N$10)</f>
        <v/>
      </c>
      <c r="FA32">
        <f>IF(ISNA(ET32),NA(),IF(OR(Capability!$Q$10="",Settings!$F$7&lt;&gt;"Y"),NA(),Capability!$Q$10))</f>
        <v/>
      </c>
      <c r="FB32">
        <f>IF(ISNA(ET32),NA(),IF(OR(Capability!$P$10="",Settings!$F$7&lt;&gt;"Y"),NA(),Capability!$P$10))</f>
        <v/>
      </c>
      <c r="FH32">
        <f>IF((FK$1+28)&gt;FI$1,NA(),(FK$1+28)-4)</f>
        <v/>
      </c>
      <c r="FI32">
        <f>IF((FK$1+28)&gt;FI$1,NA(),INDEX('Data Entry'!$N$5:$N$10004,(FK$1+28)-4))</f>
        <v/>
      </c>
      <c r="FJ32">
        <f>IF(ISNA(FH32),NA(),Capability!$K$11)</f>
        <v/>
      </c>
      <c r="FK32">
        <f>IF(ISNA(FH32),NA(),Capability!$J$11)</f>
        <v/>
      </c>
      <c r="FL32">
        <f>IF(ISNA(FH32),NA(),Capability!$L$11)</f>
        <v/>
      </c>
      <c r="FM32">
        <f>IF(OR(ISNA(FI32),ISNA(FI31)),NA(),ABS(FI32-FI31))</f>
        <v/>
      </c>
      <c r="FN32">
        <f>IF(ISNA(FH32),NA(),Capability!$N$11)</f>
        <v/>
      </c>
      <c r="FO32">
        <f>IF(ISNA(FH32),NA(),IF(OR(Capability!$Q$11="",Settings!$F$7&lt;&gt;"Y"),NA(),Capability!$Q$11))</f>
        <v/>
      </c>
      <c r="FP32">
        <f>IF(ISNA(FH32),NA(),IF(OR(Capability!$P$11="",Settings!$F$7&lt;&gt;"Y"),NA(),Capability!$P$11))</f>
        <v/>
      </c>
      <c r="FV32">
        <f>IF((FY$1+28)&gt;FW$1,NA(),(FY$1+28)-4)</f>
        <v/>
      </c>
      <c r="FW32">
        <f>IF((FY$1+28)&gt;FW$1,NA(),INDEX('Data Entry'!$O$5:$O$10004,(FY$1+28)-4))</f>
        <v/>
      </c>
      <c r="FX32">
        <f>IF(ISNA(FV32),NA(),Capability!$K$12)</f>
        <v/>
      </c>
      <c r="FY32">
        <f>IF(ISNA(FV32),NA(),Capability!$J$12)</f>
        <v/>
      </c>
      <c r="FZ32">
        <f>IF(ISNA(FV32),NA(),Capability!$L$12)</f>
        <v/>
      </c>
      <c r="GA32">
        <f>IF(OR(ISNA(FW32),ISNA(FW31)),NA(),ABS(FW32-FW31))</f>
        <v/>
      </c>
      <c r="GB32">
        <f>IF(ISNA(FV32),NA(),Capability!$N$12)</f>
        <v/>
      </c>
      <c r="GC32">
        <f>IF(ISNA(FV32),NA(),IF(OR(Capability!$Q$12="",Settings!$F$7&lt;&gt;"Y"),NA(),Capability!$Q$12))</f>
        <v/>
      </c>
      <c r="GD32">
        <f>IF(ISNA(FV32),NA(),IF(OR(Capability!$P$12="",Settings!$F$7&lt;&gt;"Y"),NA(),Capability!$P$12))</f>
        <v/>
      </c>
      <c r="GJ32">
        <f>IF((GM$1+28)&gt;GK$1,NA(),(GM$1+28)-4)</f>
        <v/>
      </c>
      <c r="GK32">
        <f>IF((GM$1+28)&gt;GK$1,NA(),INDEX('Data Entry'!$P$5:$P$10004,(GM$1+28)-4))</f>
        <v/>
      </c>
      <c r="GL32">
        <f>IF(ISNA(GJ32),NA(),Capability!$K$13)</f>
        <v/>
      </c>
      <c r="GM32">
        <f>IF(ISNA(GJ32),NA(),Capability!$J$13)</f>
        <v/>
      </c>
      <c r="GN32">
        <f>IF(ISNA(GJ32),NA(),Capability!$L$13)</f>
        <v/>
      </c>
      <c r="GO32">
        <f>IF(OR(ISNA(GK32),ISNA(GK31)),NA(),ABS(GK32-GK31))</f>
        <v/>
      </c>
      <c r="GP32">
        <f>IF(ISNA(GJ32),NA(),Capability!$N$13)</f>
        <v/>
      </c>
      <c r="GQ32">
        <f>IF(ISNA(GJ32),NA(),IF(OR(Capability!$Q$13="",Settings!$F$7&lt;&gt;"Y"),NA(),Capability!$Q$13))</f>
        <v/>
      </c>
      <c r="GR32">
        <f>IF(ISNA(GJ32),NA(),IF(OR(Capability!$P$13="",Settings!$F$7&lt;&gt;"Y"),NA(),Capability!$P$13))</f>
        <v/>
      </c>
      <c r="GX32">
        <f>IF((HA$1+28)&gt;GY$1,NA(),(HA$1+28)-4)</f>
        <v/>
      </c>
      <c r="GY32">
        <f>IF((HA$1+28)&gt;GY$1,NA(),INDEX('Data Entry'!$Q$5:$Q$10004,(HA$1+28)-4))</f>
        <v/>
      </c>
      <c r="GZ32">
        <f>IF(ISNA(GX32),NA(),Capability!$K$14)</f>
        <v/>
      </c>
      <c r="HA32">
        <f>IF(ISNA(GX32),NA(),Capability!$J$14)</f>
        <v/>
      </c>
      <c r="HB32">
        <f>IF(ISNA(GX32),NA(),Capability!$L$14)</f>
        <v/>
      </c>
      <c r="HC32">
        <f>IF(OR(ISNA(GY32),ISNA(GY31)),NA(),ABS(GY32-GY31))</f>
        <v/>
      </c>
      <c r="HD32">
        <f>IF(ISNA(GX32),NA(),Capability!$N$14)</f>
        <v/>
      </c>
      <c r="HE32">
        <f>IF(ISNA(GX32),NA(),IF(OR(Capability!$Q$14="",Settings!$F$7&lt;&gt;"Y"),NA(),Capability!$Q$14))</f>
        <v/>
      </c>
      <c r="HF32">
        <f>IF(ISNA(GX32),NA(),IF(OR(Capability!$P$14="",Settings!$F$7&lt;&gt;"Y"),NA(),Capability!$P$14))</f>
        <v/>
      </c>
    </row>
    <row r="33">
      <c r="A33" s="35" t="inlineStr">
        <is>
          <t>Verdict</t>
        </is>
      </c>
      <c r="B33" s="36">
        <f>Capability!Y5</f>
        <v/>
      </c>
      <c r="CB33">
        <f>IF((CE$1+29)&gt;CC$1,NA(),(CE$1+29)-4)</f>
        <v/>
      </c>
      <c r="CC33">
        <f>IF((CE$1+29)&gt;CC$1,NA(),INDEX('Data Entry'!$H$5:$H$10004,(CE$1+29)-4))</f>
        <v/>
      </c>
      <c r="CD33">
        <f>IF(ISNA(CB33),NA(),Capability!$K$5)</f>
        <v/>
      </c>
      <c r="CE33">
        <f>IF(ISNA(CB33),NA(),Capability!$J$5)</f>
        <v/>
      </c>
      <c r="CF33">
        <f>IF(ISNA(CB33),NA(),Capability!$L$5)</f>
        <v/>
      </c>
      <c r="CG33">
        <f>IF(OR(ISNA(CC33),ISNA(CC32)),NA(),ABS(CC33-CC32))</f>
        <v/>
      </c>
      <c r="CH33">
        <f>IF(ISNA(CB33),NA(),Capability!$N$5)</f>
        <v/>
      </c>
      <c r="CI33">
        <f>IF(ISNA(CB33),NA(),IF(OR(Capability!$Q$5="",Settings!$F$7&lt;&gt;"Y"),NA(),Capability!$Q$5))</f>
        <v/>
      </c>
      <c r="CJ33">
        <f>IF(ISNA(CB33),NA(),IF(OR(Capability!$P$5="",Settings!$F$7&lt;&gt;"Y"),NA(),Capability!$P$5))</f>
        <v/>
      </c>
      <c r="CP33">
        <f>IF((CS$1+29)&gt;CQ$1,NA(),(CS$1+29)-4)</f>
        <v/>
      </c>
      <c r="CQ33">
        <f>IF((CS$1+29)&gt;CQ$1,NA(),INDEX('Data Entry'!$I$5:$I$10004,(CS$1+29)-4))</f>
        <v/>
      </c>
      <c r="CR33">
        <f>IF(ISNA(CP33),NA(),Capability!$K$6)</f>
        <v/>
      </c>
      <c r="CS33">
        <f>IF(ISNA(CP33),NA(),Capability!$J$6)</f>
        <v/>
      </c>
      <c r="CT33">
        <f>IF(ISNA(CP33),NA(),Capability!$L$6)</f>
        <v/>
      </c>
      <c r="CU33">
        <f>IF(OR(ISNA(CQ33),ISNA(CQ32)),NA(),ABS(CQ33-CQ32))</f>
        <v/>
      </c>
      <c r="CV33">
        <f>IF(ISNA(CP33),NA(),Capability!$N$6)</f>
        <v/>
      </c>
      <c r="CW33">
        <f>IF(ISNA(CP33),NA(),IF(OR(Capability!$Q$6="",Settings!$F$7&lt;&gt;"Y"),NA(),Capability!$Q$6))</f>
        <v/>
      </c>
      <c r="CX33">
        <f>IF(ISNA(CP33),NA(),IF(OR(Capability!$P$6="",Settings!$F$7&lt;&gt;"Y"),NA(),Capability!$P$6))</f>
        <v/>
      </c>
      <c r="DD33">
        <f>IF((DG$1+29)&gt;DE$1,NA(),(DG$1+29)-4)</f>
        <v/>
      </c>
      <c r="DE33">
        <f>IF((DG$1+29)&gt;DE$1,NA(),INDEX('Data Entry'!$J$5:$J$10004,(DG$1+29)-4))</f>
        <v/>
      </c>
      <c r="DF33">
        <f>IF(ISNA(DD33),NA(),Capability!$K$7)</f>
        <v/>
      </c>
      <c r="DG33">
        <f>IF(ISNA(DD33),NA(),Capability!$J$7)</f>
        <v/>
      </c>
      <c r="DH33">
        <f>IF(ISNA(DD33),NA(),Capability!$L$7)</f>
        <v/>
      </c>
      <c r="DI33">
        <f>IF(OR(ISNA(DE33),ISNA(DE32)),NA(),ABS(DE33-DE32))</f>
        <v/>
      </c>
      <c r="DJ33">
        <f>IF(ISNA(DD33),NA(),Capability!$N$7)</f>
        <v/>
      </c>
      <c r="DK33">
        <f>IF(ISNA(DD33),NA(),IF(OR(Capability!$Q$7="",Settings!$F$7&lt;&gt;"Y"),NA(),Capability!$Q$7))</f>
        <v/>
      </c>
      <c r="DL33">
        <f>IF(ISNA(DD33),NA(),IF(OR(Capability!$P$7="",Settings!$F$7&lt;&gt;"Y"),NA(),Capability!$P$7))</f>
        <v/>
      </c>
      <c r="DR33">
        <f>IF((DU$1+29)&gt;DS$1,NA(),(DU$1+29)-4)</f>
        <v/>
      </c>
      <c r="DS33">
        <f>IF((DU$1+29)&gt;DS$1,NA(),INDEX('Data Entry'!$K$5:$K$10004,(DU$1+29)-4))</f>
        <v/>
      </c>
      <c r="DT33">
        <f>IF(ISNA(DR33),NA(),Capability!$K$8)</f>
        <v/>
      </c>
      <c r="DU33">
        <f>IF(ISNA(DR33),NA(),Capability!$J$8)</f>
        <v/>
      </c>
      <c r="DV33">
        <f>IF(ISNA(DR33),NA(),Capability!$L$8)</f>
        <v/>
      </c>
      <c r="DW33">
        <f>IF(OR(ISNA(DS33),ISNA(DS32)),NA(),ABS(DS33-DS32))</f>
        <v/>
      </c>
      <c r="DX33">
        <f>IF(ISNA(DR33),NA(),Capability!$N$8)</f>
        <v/>
      </c>
      <c r="DY33">
        <f>IF(ISNA(DR33),NA(),IF(OR(Capability!$Q$8="",Settings!$F$7&lt;&gt;"Y"),NA(),Capability!$Q$8))</f>
        <v/>
      </c>
      <c r="DZ33">
        <f>IF(ISNA(DR33),NA(),IF(OR(Capability!$P$8="",Settings!$F$7&lt;&gt;"Y"),NA(),Capability!$P$8))</f>
        <v/>
      </c>
      <c r="EF33">
        <f>IF((EI$1+29)&gt;EG$1,NA(),(EI$1+29)-4)</f>
        <v/>
      </c>
      <c r="EG33">
        <f>IF((EI$1+29)&gt;EG$1,NA(),INDEX('Data Entry'!$L$5:$L$10004,(EI$1+29)-4))</f>
        <v/>
      </c>
      <c r="EH33">
        <f>IF(ISNA(EF33),NA(),Capability!$K$9)</f>
        <v/>
      </c>
      <c r="EI33">
        <f>IF(ISNA(EF33),NA(),Capability!$J$9)</f>
        <v/>
      </c>
      <c r="EJ33">
        <f>IF(ISNA(EF33),NA(),Capability!$L$9)</f>
        <v/>
      </c>
      <c r="EK33">
        <f>IF(OR(ISNA(EG33),ISNA(EG32)),NA(),ABS(EG33-EG32))</f>
        <v/>
      </c>
      <c r="EL33">
        <f>IF(ISNA(EF33),NA(),Capability!$N$9)</f>
        <v/>
      </c>
      <c r="EM33">
        <f>IF(ISNA(EF33),NA(),IF(OR(Capability!$Q$9="",Settings!$F$7&lt;&gt;"Y"),NA(),Capability!$Q$9))</f>
        <v/>
      </c>
      <c r="EN33">
        <f>IF(ISNA(EF33),NA(),IF(OR(Capability!$P$9="",Settings!$F$7&lt;&gt;"Y"),NA(),Capability!$P$9))</f>
        <v/>
      </c>
      <c r="ET33">
        <f>IF((EW$1+29)&gt;EU$1,NA(),(EW$1+29)-4)</f>
        <v/>
      </c>
      <c r="EU33">
        <f>IF((EW$1+29)&gt;EU$1,NA(),INDEX('Data Entry'!$M$5:$M$10004,(EW$1+29)-4))</f>
        <v/>
      </c>
      <c r="EV33">
        <f>IF(ISNA(ET33),NA(),Capability!$K$10)</f>
        <v/>
      </c>
      <c r="EW33">
        <f>IF(ISNA(ET33),NA(),Capability!$J$10)</f>
        <v/>
      </c>
      <c r="EX33">
        <f>IF(ISNA(ET33),NA(),Capability!$L$10)</f>
        <v/>
      </c>
      <c r="EY33">
        <f>IF(OR(ISNA(EU33),ISNA(EU32)),NA(),ABS(EU33-EU32))</f>
        <v/>
      </c>
      <c r="EZ33">
        <f>IF(ISNA(ET33),NA(),Capability!$N$10)</f>
        <v/>
      </c>
      <c r="FA33">
        <f>IF(ISNA(ET33),NA(),IF(OR(Capability!$Q$10="",Settings!$F$7&lt;&gt;"Y"),NA(),Capability!$Q$10))</f>
        <v/>
      </c>
      <c r="FB33">
        <f>IF(ISNA(ET33),NA(),IF(OR(Capability!$P$10="",Settings!$F$7&lt;&gt;"Y"),NA(),Capability!$P$10))</f>
        <v/>
      </c>
      <c r="FH33">
        <f>IF((FK$1+29)&gt;FI$1,NA(),(FK$1+29)-4)</f>
        <v/>
      </c>
      <c r="FI33">
        <f>IF((FK$1+29)&gt;FI$1,NA(),INDEX('Data Entry'!$N$5:$N$10004,(FK$1+29)-4))</f>
        <v/>
      </c>
      <c r="FJ33">
        <f>IF(ISNA(FH33),NA(),Capability!$K$11)</f>
        <v/>
      </c>
      <c r="FK33">
        <f>IF(ISNA(FH33),NA(),Capability!$J$11)</f>
        <v/>
      </c>
      <c r="FL33">
        <f>IF(ISNA(FH33),NA(),Capability!$L$11)</f>
        <v/>
      </c>
      <c r="FM33">
        <f>IF(OR(ISNA(FI33),ISNA(FI32)),NA(),ABS(FI33-FI32))</f>
        <v/>
      </c>
      <c r="FN33">
        <f>IF(ISNA(FH33),NA(),Capability!$N$11)</f>
        <v/>
      </c>
      <c r="FO33">
        <f>IF(ISNA(FH33),NA(),IF(OR(Capability!$Q$11="",Settings!$F$7&lt;&gt;"Y"),NA(),Capability!$Q$11))</f>
        <v/>
      </c>
      <c r="FP33">
        <f>IF(ISNA(FH33),NA(),IF(OR(Capability!$P$11="",Settings!$F$7&lt;&gt;"Y"),NA(),Capability!$P$11))</f>
        <v/>
      </c>
      <c r="FV33">
        <f>IF((FY$1+29)&gt;FW$1,NA(),(FY$1+29)-4)</f>
        <v/>
      </c>
      <c r="FW33">
        <f>IF((FY$1+29)&gt;FW$1,NA(),INDEX('Data Entry'!$O$5:$O$10004,(FY$1+29)-4))</f>
        <v/>
      </c>
      <c r="FX33">
        <f>IF(ISNA(FV33),NA(),Capability!$K$12)</f>
        <v/>
      </c>
      <c r="FY33">
        <f>IF(ISNA(FV33),NA(),Capability!$J$12)</f>
        <v/>
      </c>
      <c r="FZ33">
        <f>IF(ISNA(FV33),NA(),Capability!$L$12)</f>
        <v/>
      </c>
      <c r="GA33">
        <f>IF(OR(ISNA(FW33),ISNA(FW32)),NA(),ABS(FW33-FW32))</f>
        <v/>
      </c>
      <c r="GB33">
        <f>IF(ISNA(FV33),NA(),Capability!$N$12)</f>
        <v/>
      </c>
      <c r="GC33">
        <f>IF(ISNA(FV33),NA(),IF(OR(Capability!$Q$12="",Settings!$F$7&lt;&gt;"Y"),NA(),Capability!$Q$12))</f>
        <v/>
      </c>
      <c r="GD33">
        <f>IF(ISNA(FV33),NA(),IF(OR(Capability!$P$12="",Settings!$F$7&lt;&gt;"Y"),NA(),Capability!$P$12))</f>
        <v/>
      </c>
      <c r="GJ33">
        <f>IF((GM$1+29)&gt;GK$1,NA(),(GM$1+29)-4)</f>
        <v/>
      </c>
      <c r="GK33">
        <f>IF((GM$1+29)&gt;GK$1,NA(),INDEX('Data Entry'!$P$5:$P$10004,(GM$1+29)-4))</f>
        <v/>
      </c>
      <c r="GL33">
        <f>IF(ISNA(GJ33),NA(),Capability!$K$13)</f>
        <v/>
      </c>
      <c r="GM33">
        <f>IF(ISNA(GJ33),NA(),Capability!$J$13)</f>
        <v/>
      </c>
      <c r="GN33">
        <f>IF(ISNA(GJ33),NA(),Capability!$L$13)</f>
        <v/>
      </c>
      <c r="GO33">
        <f>IF(OR(ISNA(GK33),ISNA(GK32)),NA(),ABS(GK33-GK32))</f>
        <v/>
      </c>
      <c r="GP33">
        <f>IF(ISNA(GJ33),NA(),Capability!$N$13)</f>
        <v/>
      </c>
      <c r="GQ33">
        <f>IF(ISNA(GJ33),NA(),IF(OR(Capability!$Q$13="",Settings!$F$7&lt;&gt;"Y"),NA(),Capability!$Q$13))</f>
        <v/>
      </c>
      <c r="GR33">
        <f>IF(ISNA(GJ33),NA(),IF(OR(Capability!$P$13="",Settings!$F$7&lt;&gt;"Y"),NA(),Capability!$P$13))</f>
        <v/>
      </c>
      <c r="GX33">
        <f>IF((HA$1+29)&gt;GY$1,NA(),(HA$1+29)-4)</f>
        <v/>
      </c>
      <c r="GY33">
        <f>IF((HA$1+29)&gt;GY$1,NA(),INDEX('Data Entry'!$Q$5:$Q$10004,(HA$1+29)-4))</f>
        <v/>
      </c>
      <c r="GZ33">
        <f>IF(ISNA(GX33),NA(),Capability!$K$14)</f>
        <v/>
      </c>
      <c r="HA33">
        <f>IF(ISNA(GX33),NA(),Capability!$J$14)</f>
        <v/>
      </c>
      <c r="HB33">
        <f>IF(ISNA(GX33),NA(),Capability!$L$14)</f>
        <v/>
      </c>
      <c r="HC33">
        <f>IF(OR(ISNA(GY33),ISNA(GY32)),NA(),ABS(GY33-GY32))</f>
        <v/>
      </c>
      <c r="HD33">
        <f>IF(ISNA(GX33),NA(),Capability!$N$14)</f>
        <v/>
      </c>
      <c r="HE33">
        <f>IF(ISNA(GX33),NA(),IF(OR(Capability!$Q$14="",Settings!$F$7&lt;&gt;"Y"),NA(),Capability!$Q$14))</f>
        <v/>
      </c>
      <c r="HF33">
        <f>IF(ISNA(GX33),NA(),IF(OR(Capability!$P$14="",Settings!$F$7&lt;&gt;"Y"),NA(),Capability!$P$14))</f>
        <v/>
      </c>
    </row>
    <row r="34">
      <c r="CB34">
        <f>IF((CE$1+30)&gt;CC$1,NA(),(CE$1+30)-4)</f>
        <v/>
      </c>
      <c r="CC34">
        <f>IF((CE$1+30)&gt;CC$1,NA(),INDEX('Data Entry'!$H$5:$H$10004,(CE$1+30)-4))</f>
        <v/>
      </c>
      <c r="CD34">
        <f>IF(ISNA(CB34),NA(),Capability!$K$5)</f>
        <v/>
      </c>
      <c r="CE34">
        <f>IF(ISNA(CB34),NA(),Capability!$J$5)</f>
        <v/>
      </c>
      <c r="CF34">
        <f>IF(ISNA(CB34),NA(),Capability!$L$5)</f>
        <v/>
      </c>
      <c r="CG34">
        <f>IF(OR(ISNA(CC34),ISNA(CC33)),NA(),ABS(CC34-CC33))</f>
        <v/>
      </c>
      <c r="CH34">
        <f>IF(ISNA(CB34),NA(),Capability!$N$5)</f>
        <v/>
      </c>
      <c r="CI34">
        <f>IF(ISNA(CB34),NA(),IF(OR(Capability!$Q$5="",Settings!$F$7&lt;&gt;"Y"),NA(),Capability!$Q$5))</f>
        <v/>
      </c>
      <c r="CJ34">
        <f>IF(ISNA(CB34),NA(),IF(OR(Capability!$P$5="",Settings!$F$7&lt;&gt;"Y"),NA(),Capability!$P$5))</f>
        <v/>
      </c>
      <c r="CP34">
        <f>IF((CS$1+30)&gt;CQ$1,NA(),(CS$1+30)-4)</f>
        <v/>
      </c>
      <c r="CQ34">
        <f>IF((CS$1+30)&gt;CQ$1,NA(),INDEX('Data Entry'!$I$5:$I$10004,(CS$1+30)-4))</f>
        <v/>
      </c>
      <c r="CR34">
        <f>IF(ISNA(CP34),NA(),Capability!$K$6)</f>
        <v/>
      </c>
      <c r="CS34">
        <f>IF(ISNA(CP34),NA(),Capability!$J$6)</f>
        <v/>
      </c>
      <c r="CT34">
        <f>IF(ISNA(CP34),NA(),Capability!$L$6)</f>
        <v/>
      </c>
      <c r="CU34">
        <f>IF(OR(ISNA(CQ34),ISNA(CQ33)),NA(),ABS(CQ34-CQ33))</f>
        <v/>
      </c>
      <c r="CV34">
        <f>IF(ISNA(CP34),NA(),Capability!$N$6)</f>
        <v/>
      </c>
      <c r="CW34">
        <f>IF(ISNA(CP34),NA(),IF(OR(Capability!$Q$6="",Settings!$F$7&lt;&gt;"Y"),NA(),Capability!$Q$6))</f>
        <v/>
      </c>
      <c r="CX34">
        <f>IF(ISNA(CP34),NA(),IF(OR(Capability!$P$6="",Settings!$F$7&lt;&gt;"Y"),NA(),Capability!$P$6))</f>
        <v/>
      </c>
      <c r="DD34">
        <f>IF((DG$1+30)&gt;DE$1,NA(),(DG$1+30)-4)</f>
        <v/>
      </c>
      <c r="DE34">
        <f>IF((DG$1+30)&gt;DE$1,NA(),INDEX('Data Entry'!$J$5:$J$10004,(DG$1+30)-4))</f>
        <v/>
      </c>
      <c r="DF34">
        <f>IF(ISNA(DD34),NA(),Capability!$K$7)</f>
        <v/>
      </c>
      <c r="DG34">
        <f>IF(ISNA(DD34),NA(),Capability!$J$7)</f>
        <v/>
      </c>
      <c r="DH34">
        <f>IF(ISNA(DD34),NA(),Capability!$L$7)</f>
        <v/>
      </c>
      <c r="DI34">
        <f>IF(OR(ISNA(DE34),ISNA(DE33)),NA(),ABS(DE34-DE33))</f>
        <v/>
      </c>
      <c r="DJ34">
        <f>IF(ISNA(DD34),NA(),Capability!$N$7)</f>
        <v/>
      </c>
      <c r="DK34">
        <f>IF(ISNA(DD34),NA(),IF(OR(Capability!$Q$7="",Settings!$F$7&lt;&gt;"Y"),NA(),Capability!$Q$7))</f>
        <v/>
      </c>
      <c r="DL34">
        <f>IF(ISNA(DD34),NA(),IF(OR(Capability!$P$7="",Settings!$F$7&lt;&gt;"Y"),NA(),Capability!$P$7))</f>
        <v/>
      </c>
      <c r="DR34">
        <f>IF((DU$1+30)&gt;DS$1,NA(),(DU$1+30)-4)</f>
        <v/>
      </c>
      <c r="DS34">
        <f>IF((DU$1+30)&gt;DS$1,NA(),INDEX('Data Entry'!$K$5:$K$10004,(DU$1+30)-4))</f>
        <v/>
      </c>
      <c r="DT34">
        <f>IF(ISNA(DR34),NA(),Capability!$K$8)</f>
        <v/>
      </c>
      <c r="DU34">
        <f>IF(ISNA(DR34),NA(),Capability!$J$8)</f>
        <v/>
      </c>
      <c r="DV34">
        <f>IF(ISNA(DR34),NA(),Capability!$L$8)</f>
        <v/>
      </c>
      <c r="DW34">
        <f>IF(OR(ISNA(DS34),ISNA(DS33)),NA(),ABS(DS34-DS33))</f>
        <v/>
      </c>
      <c r="DX34">
        <f>IF(ISNA(DR34),NA(),Capability!$N$8)</f>
        <v/>
      </c>
      <c r="DY34">
        <f>IF(ISNA(DR34),NA(),IF(OR(Capability!$Q$8="",Settings!$F$7&lt;&gt;"Y"),NA(),Capability!$Q$8))</f>
        <v/>
      </c>
      <c r="DZ34">
        <f>IF(ISNA(DR34),NA(),IF(OR(Capability!$P$8="",Settings!$F$7&lt;&gt;"Y"),NA(),Capability!$P$8))</f>
        <v/>
      </c>
      <c r="EF34">
        <f>IF((EI$1+30)&gt;EG$1,NA(),(EI$1+30)-4)</f>
        <v/>
      </c>
      <c r="EG34">
        <f>IF((EI$1+30)&gt;EG$1,NA(),INDEX('Data Entry'!$L$5:$L$10004,(EI$1+30)-4))</f>
        <v/>
      </c>
      <c r="EH34">
        <f>IF(ISNA(EF34),NA(),Capability!$K$9)</f>
        <v/>
      </c>
      <c r="EI34">
        <f>IF(ISNA(EF34),NA(),Capability!$J$9)</f>
        <v/>
      </c>
      <c r="EJ34">
        <f>IF(ISNA(EF34),NA(),Capability!$L$9)</f>
        <v/>
      </c>
      <c r="EK34">
        <f>IF(OR(ISNA(EG34),ISNA(EG33)),NA(),ABS(EG34-EG33))</f>
        <v/>
      </c>
      <c r="EL34">
        <f>IF(ISNA(EF34),NA(),Capability!$N$9)</f>
        <v/>
      </c>
      <c r="EM34">
        <f>IF(ISNA(EF34),NA(),IF(OR(Capability!$Q$9="",Settings!$F$7&lt;&gt;"Y"),NA(),Capability!$Q$9))</f>
        <v/>
      </c>
      <c r="EN34">
        <f>IF(ISNA(EF34),NA(),IF(OR(Capability!$P$9="",Settings!$F$7&lt;&gt;"Y"),NA(),Capability!$P$9))</f>
        <v/>
      </c>
      <c r="ET34">
        <f>IF((EW$1+30)&gt;EU$1,NA(),(EW$1+30)-4)</f>
        <v/>
      </c>
      <c r="EU34">
        <f>IF((EW$1+30)&gt;EU$1,NA(),INDEX('Data Entry'!$M$5:$M$10004,(EW$1+30)-4))</f>
        <v/>
      </c>
      <c r="EV34">
        <f>IF(ISNA(ET34),NA(),Capability!$K$10)</f>
        <v/>
      </c>
      <c r="EW34">
        <f>IF(ISNA(ET34),NA(),Capability!$J$10)</f>
        <v/>
      </c>
      <c r="EX34">
        <f>IF(ISNA(ET34),NA(),Capability!$L$10)</f>
        <v/>
      </c>
      <c r="EY34">
        <f>IF(OR(ISNA(EU34),ISNA(EU33)),NA(),ABS(EU34-EU33))</f>
        <v/>
      </c>
      <c r="EZ34">
        <f>IF(ISNA(ET34),NA(),Capability!$N$10)</f>
        <v/>
      </c>
      <c r="FA34">
        <f>IF(ISNA(ET34),NA(),IF(OR(Capability!$Q$10="",Settings!$F$7&lt;&gt;"Y"),NA(),Capability!$Q$10))</f>
        <v/>
      </c>
      <c r="FB34">
        <f>IF(ISNA(ET34),NA(),IF(OR(Capability!$P$10="",Settings!$F$7&lt;&gt;"Y"),NA(),Capability!$P$10))</f>
        <v/>
      </c>
      <c r="FH34">
        <f>IF((FK$1+30)&gt;FI$1,NA(),(FK$1+30)-4)</f>
        <v/>
      </c>
      <c r="FI34">
        <f>IF((FK$1+30)&gt;FI$1,NA(),INDEX('Data Entry'!$N$5:$N$10004,(FK$1+30)-4))</f>
        <v/>
      </c>
      <c r="FJ34">
        <f>IF(ISNA(FH34),NA(),Capability!$K$11)</f>
        <v/>
      </c>
      <c r="FK34">
        <f>IF(ISNA(FH34),NA(),Capability!$J$11)</f>
        <v/>
      </c>
      <c r="FL34">
        <f>IF(ISNA(FH34),NA(),Capability!$L$11)</f>
        <v/>
      </c>
      <c r="FM34">
        <f>IF(OR(ISNA(FI34),ISNA(FI33)),NA(),ABS(FI34-FI33))</f>
        <v/>
      </c>
      <c r="FN34">
        <f>IF(ISNA(FH34),NA(),Capability!$N$11)</f>
        <v/>
      </c>
      <c r="FO34">
        <f>IF(ISNA(FH34),NA(),IF(OR(Capability!$Q$11="",Settings!$F$7&lt;&gt;"Y"),NA(),Capability!$Q$11))</f>
        <v/>
      </c>
      <c r="FP34">
        <f>IF(ISNA(FH34),NA(),IF(OR(Capability!$P$11="",Settings!$F$7&lt;&gt;"Y"),NA(),Capability!$P$11))</f>
        <v/>
      </c>
      <c r="FV34">
        <f>IF((FY$1+30)&gt;FW$1,NA(),(FY$1+30)-4)</f>
        <v/>
      </c>
      <c r="FW34">
        <f>IF((FY$1+30)&gt;FW$1,NA(),INDEX('Data Entry'!$O$5:$O$10004,(FY$1+30)-4))</f>
        <v/>
      </c>
      <c r="FX34">
        <f>IF(ISNA(FV34),NA(),Capability!$K$12)</f>
        <v/>
      </c>
      <c r="FY34">
        <f>IF(ISNA(FV34),NA(),Capability!$J$12)</f>
        <v/>
      </c>
      <c r="FZ34">
        <f>IF(ISNA(FV34),NA(),Capability!$L$12)</f>
        <v/>
      </c>
      <c r="GA34">
        <f>IF(OR(ISNA(FW34),ISNA(FW33)),NA(),ABS(FW34-FW33))</f>
        <v/>
      </c>
      <c r="GB34">
        <f>IF(ISNA(FV34),NA(),Capability!$N$12)</f>
        <v/>
      </c>
      <c r="GC34">
        <f>IF(ISNA(FV34),NA(),IF(OR(Capability!$Q$12="",Settings!$F$7&lt;&gt;"Y"),NA(),Capability!$Q$12))</f>
        <v/>
      </c>
      <c r="GD34">
        <f>IF(ISNA(FV34),NA(),IF(OR(Capability!$P$12="",Settings!$F$7&lt;&gt;"Y"),NA(),Capability!$P$12))</f>
        <v/>
      </c>
      <c r="GJ34">
        <f>IF((GM$1+30)&gt;GK$1,NA(),(GM$1+30)-4)</f>
        <v/>
      </c>
      <c r="GK34">
        <f>IF((GM$1+30)&gt;GK$1,NA(),INDEX('Data Entry'!$P$5:$P$10004,(GM$1+30)-4))</f>
        <v/>
      </c>
      <c r="GL34">
        <f>IF(ISNA(GJ34),NA(),Capability!$K$13)</f>
        <v/>
      </c>
      <c r="GM34">
        <f>IF(ISNA(GJ34),NA(),Capability!$J$13)</f>
        <v/>
      </c>
      <c r="GN34">
        <f>IF(ISNA(GJ34),NA(),Capability!$L$13)</f>
        <v/>
      </c>
      <c r="GO34">
        <f>IF(OR(ISNA(GK34),ISNA(GK33)),NA(),ABS(GK34-GK33))</f>
        <v/>
      </c>
      <c r="GP34">
        <f>IF(ISNA(GJ34),NA(),Capability!$N$13)</f>
        <v/>
      </c>
      <c r="GQ34">
        <f>IF(ISNA(GJ34),NA(),IF(OR(Capability!$Q$13="",Settings!$F$7&lt;&gt;"Y"),NA(),Capability!$Q$13))</f>
        <v/>
      </c>
      <c r="GR34">
        <f>IF(ISNA(GJ34),NA(),IF(OR(Capability!$P$13="",Settings!$F$7&lt;&gt;"Y"),NA(),Capability!$P$13))</f>
        <v/>
      </c>
      <c r="GX34">
        <f>IF((HA$1+30)&gt;GY$1,NA(),(HA$1+30)-4)</f>
        <v/>
      </c>
      <c r="GY34">
        <f>IF((HA$1+30)&gt;GY$1,NA(),INDEX('Data Entry'!$Q$5:$Q$10004,(HA$1+30)-4))</f>
        <v/>
      </c>
      <c r="GZ34">
        <f>IF(ISNA(GX34),NA(),Capability!$K$14)</f>
        <v/>
      </c>
      <c r="HA34">
        <f>IF(ISNA(GX34),NA(),Capability!$J$14)</f>
        <v/>
      </c>
      <c r="HB34">
        <f>IF(ISNA(GX34),NA(),Capability!$L$14)</f>
        <v/>
      </c>
      <c r="HC34">
        <f>IF(OR(ISNA(GY34),ISNA(GY33)),NA(),ABS(GY34-GY33))</f>
        <v/>
      </c>
      <c r="HD34">
        <f>IF(ISNA(GX34),NA(),Capability!$N$14)</f>
        <v/>
      </c>
      <c r="HE34">
        <f>IF(ISNA(GX34),NA(),IF(OR(Capability!$Q$14="",Settings!$F$7&lt;&gt;"Y"),NA(),Capability!$Q$14))</f>
        <v/>
      </c>
      <c r="HF34">
        <f>IF(ISNA(GX34),NA(),IF(OR(Capability!$P$14="",Settings!$F$7&lt;&gt;"Y"),NA(),Capability!$P$14))</f>
        <v/>
      </c>
    </row>
    <row r="35">
      <c r="CB35">
        <f>IF((CE$1+31)&gt;CC$1,NA(),(CE$1+31)-4)</f>
        <v/>
      </c>
      <c r="CC35">
        <f>IF((CE$1+31)&gt;CC$1,NA(),INDEX('Data Entry'!$H$5:$H$10004,(CE$1+31)-4))</f>
        <v/>
      </c>
      <c r="CD35">
        <f>IF(ISNA(CB35),NA(),Capability!$K$5)</f>
        <v/>
      </c>
      <c r="CE35">
        <f>IF(ISNA(CB35),NA(),Capability!$J$5)</f>
        <v/>
      </c>
      <c r="CF35">
        <f>IF(ISNA(CB35),NA(),Capability!$L$5)</f>
        <v/>
      </c>
      <c r="CG35">
        <f>IF(OR(ISNA(CC35),ISNA(CC34)),NA(),ABS(CC35-CC34))</f>
        <v/>
      </c>
      <c r="CH35">
        <f>IF(ISNA(CB35),NA(),Capability!$N$5)</f>
        <v/>
      </c>
      <c r="CI35">
        <f>IF(ISNA(CB35),NA(),IF(OR(Capability!$Q$5="",Settings!$F$7&lt;&gt;"Y"),NA(),Capability!$Q$5))</f>
        <v/>
      </c>
      <c r="CJ35">
        <f>IF(ISNA(CB35),NA(),IF(OR(Capability!$P$5="",Settings!$F$7&lt;&gt;"Y"),NA(),Capability!$P$5))</f>
        <v/>
      </c>
      <c r="CP35">
        <f>IF((CS$1+31)&gt;CQ$1,NA(),(CS$1+31)-4)</f>
        <v/>
      </c>
      <c r="CQ35">
        <f>IF((CS$1+31)&gt;CQ$1,NA(),INDEX('Data Entry'!$I$5:$I$10004,(CS$1+31)-4))</f>
        <v/>
      </c>
      <c r="CR35">
        <f>IF(ISNA(CP35),NA(),Capability!$K$6)</f>
        <v/>
      </c>
      <c r="CS35">
        <f>IF(ISNA(CP35),NA(),Capability!$J$6)</f>
        <v/>
      </c>
      <c r="CT35">
        <f>IF(ISNA(CP35),NA(),Capability!$L$6)</f>
        <v/>
      </c>
      <c r="CU35">
        <f>IF(OR(ISNA(CQ35),ISNA(CQ34)),NA(),ABS(CQ35-CQ34))</f>
        <v/>
      </c>
      <c r="CV35">
        <f>IF(ISNA(CP35),NA(),Capability!$N$6)</f>
        <v/>
      </c>
      <c r="CW35">
        <f>IF(ISNA(CP35),NA(),IF(OR(Capability!$Q$6="",Settings!$F$7&lt;&gt;"Y"),NA(),Capability!$Q$6))</f>
        <v/>
      </c>
      <c r="CX35">
        <f>IF(ISNA(CP35),NA(),IF(OR(Capability!$P$6="",Settings!$F$7&lt;&gt;"Y"),NA(),Capability!$P$6))</f>
        <v/>
      </c>
      <c r="DD35">
        <f>IF((DG$1+31)&gt;DE$1,NA(),(DG$1+31)-4)</f>
        <v/>
      </c>
      <c r="DE35">
        <f>IF((DG$1+31)&gt;DE$1,NA(),INDEX('Data Entry'!$J$5:$J$10004,(DG$1+31)-4))</f>
        <v/>
      </c>
      <c r="DF35">
        <f>IF(ISNA(DD35),NA(),Capability!$K$7)</f>
        <v/>
      </c>
      <c r="DG35">
        <f>IF(ISNA(DD35),NA(),Capability!$J$7)</f>
        <v/>
      </c>
      <c r="DH35">
        <f>IF(ISNA(DD35),NA(),Capability!$L$7)</f>
        <v/>
      </c>
      <c r="DI35">
        <f>IF(OR(ISNA(DE35),ISNA(DE34)),NA(),ABS(DE35-DE34))</f>
        <v/>
      </c>
      <c r="DJ35">
        <f>IF(ISNA(DD35),NA(),Capability!$N$7)</f>
        <v/>
      </c>
      <c r="DK35">
        <f>IF(ISNA(DD35),NA(),IF(OR(Capability!$Q$7="",Settings!$F$7&lt;&gt;"Y"),NA(),Capability!$Q$7))</f>
        <v/>
      </c>
      <c r="DL35">
        <f>IF(ISNA(DD35),NA(),IF(OR(Capability!$P$7="",Settings!$F$7&lt;&gt;"Y"),NA(),Capability!$P$7))</f>
        <v/>
      </c>
      <c r="DR35">
        <f>IF((DU$1+31)&gt;DS$1,NA(),(DU$1+31)-4)</f>
        <v/>
      </c>
      <c r="DS35">
        <f>IF((DU$1+31)&gt;DS$1,NA(),INDEX('Data Entry'!$K$5:$K$10004,(DU$1+31)-4))</f>
        <v/>
      </c>
      <c r="DT35">
        <f>IF(ISNA(DR35),NA(),Capability!$K$8)</f>
        <v/>
      </c>
      <c r="DU35">
        <f>IF(ISNA(DR35),NA(),Capability!$J$8)</f>
        <v/>
      </c>
      <c r="DV35">
        <f>IF(ISNA(DR35),NA(),Capability!$L$8)</f>
        <v/>
      </c>
      <c r="DW35">
        <f>IF(OR(ISNA(DS35),ISNA(DS34)),NA(),ABS(DS35-DS34))</f>
        <v/>
      </c>
      <c r="DX35">
        <f>IF(ISNA(DR35),NA(),Capability!$N$8)</f>
        <v/>
      </c>
      <c r="DY35">
        <f>IF(ISNA(DR35),NA(),IF(OR(Capability!$Q$8="",Settings!$F$7&lt;&gt;"Y"),NA(),Capability!$Q$8))</f>
        <v/>
      </c>
      <c r="DZ35">
        <f>IF(ISNA(DR35),NA(),IF(OR(Capability!$P$8="",Settings!$F$7&lt;&gt;"Y"),NA(),Capability!$P$8))</f>
        <v/>
      </c>
      <c r="EF35">
        <f>IF((EI$1+31)&gt;EG$1,NA(),(EI$1+31)-4)</f>
        <v/>
      </c>
      <c r="EG35">
        <f>IF((EI$1+31)&gt;EG$1,NA(),INDEX('Data Entry'!$L$5:$L$10004,(EI$1+31)-4))</f>
        <v/>
      </c>
      <c r="EH35">
        <f>IF(ISNA(EF35),NA(),Capability!$K$9)</f>
        <v/>
      </c>
      <c r="EI35">
        <f>IF(ISNA(EF35),NA(),Capability!$J$9)</f>
        <v/>
      </c>
      <c r="EJ35">
        <f>IF(ISNA(EF35),NA(),Capability!$L$9)</f>
        <v/>
      </c>
      <c r="EK35">
        <f>IF(OR(ISNA(EG35),ISNA(EG34)),NA(),ABS(EG35-EG34))</f>
        <v/>
      </c>
      <c r="EL35">
        <f>IF(ISNA(EF35),NA(),Capability!$N$9)</f>
        <v/>
      </c>
      <c r="EM35">
        <f>IF(ISNA(EF35),NA(),IF(OR(Capability!$Q$9="",Settings!$F$7&lt;&gt;"Y"),NA(),Capability!$Q$9))</f>
        <v/>
      </c>
      <c r="EN35">
        <f>IF(ISNA(EF35),NA(),IF(OR(Capability!$P$9="",Settings!$F$7&lt;&gt;"Y"),NA(),Capability!$P$9))</f>
        <v/>
      </c>
      <c r="ET35">
        <f>IF((EW$1+31)&gt;EU$1,NA(),(EW$1+31)-4)</f>
        <v/>
      </c>
      <c r="EU35">
        <f>IF((EW$1+31)&gt;EU$1,NA(),INDEX('Data Entry'!$M$5:$M$10004,(EW$1+31)-4))</f>
        <v/>
      </c>
      <c r="EV35">
        <f>IF(ISNA(ET35),NA(),Capability!$K$10)</f>
        <v/>
      </c>
      <c r="EW35">
        <f>IF(ISNA(ET35),NA(),Capability!$J$10)</f>
        <v/>
      </c>
      <c r="EX35">
        <f>IF(ISNA(ET35),NA(),Capability!$L$10)</f>
        <v/>
      </c>
      <c r="EY35">
        <f>IF(OR(ISNA(EU35),ISNA(EU34)),NA(),ABS(EU35-EU34))</f>
        <v/>
      </c>
      <c r="EZ35">
        <f>IF(ISNA(ET35),NA(),Capability!$N$10)</f>
        <v/>
      </c>
      <c r="FA35">
        <f>IF(ISNA(ET35),NA(),IF(OR(Capability!$Q$10="",Settings!$F$7&lt;&gt;"Y"),NA(),Capability!$Q$10))</f>
        <v/>
      </c>
      <c r="FB35">
        <f>IF(ISNA(ET35),NA(),IF(OR(Capability!$P$10="",Settings!$F$7&lt;&gt;"Y"),NA(),Capability!$P$10))</f>
        <v/>
      </c>
      <c r="FH35">
        <f>IF((FK$1+31)&gt;FI$1,NA(),(FK$1+31)-4)</f>
        <v/>
      </c>
      <c r="FI35">
        <f>IF((FK$1+31)&gt;FI$1,NA(),INDEX('Data Entry'!$N$5:$N$10004,(FK$1+31)-4))</f>
        <v/>
      </c>
      <c r="FJ35">
        <f>IF(ISNA(FH35),NA(),Capability!$K$11)</f>
        <v/>
      </c>
      <c r="FK35">
        <f>IF(ISNA(FH35),NA(),Capability!$J$11)</f>
        <v/>
      </c>
      <c r="FL35">
        <f>IF(ISNA(FH35),NA(),Capability!$L$11)</f>
        <v/>
      </c>
      <c r="FM35">
        <f>IF(OR(ISNA(FI35),ISNA(FI34)),NA(),ABS(FI35-FI34))</f>
        <v/>
      </c>
      <c r="FN35">
        <f>IF(ISNA(FH35),NA(),Capability!$N$11)</f>
        <v/>
      </c>
      <c r="FO35">
        <f>IF(ISNA(FH35),NA(),IF(OR(Capability!$Q$11="",Settings!$F$7&lt;&gt;"Y"),NA(),Capability!$Q$11))</f>
        <v/>
      </c>
      <c r="FP35">
        <f>IF(ISNA(FH35),NA(),IF(OR(Capability!$P$11="",Settings!$F$7&lt;&gt;"Y"),NA(),Capability!$P$11))</f>
        <v/>
      </c>
      <c r="FV35">
        <f>IF((FY$1+31)&gt;FW$1,NA(),(FY$1+31)-4)</f>
        <v/>
      </c>
      <c r="FW35">
        <f>IF((FY$1+31)&gt;FW$1,NA(),INDEX('Data Entry'!$O$5:$O$10004,(FY$1+31)-4))</f>
        <v/>
      </c>
      <c r="FX35">
        <f>IF(ISNA(FV35),NA(),Capability!$K$12)</f>
        <v/>
      </c>
      <c r="FY35">
        <f>IF(ISNA(FV35),NA(),Capability!$J$12)</f>
        <v/>
      </c>
      <c r="FZ35">
        <f>IF(ISNA(FV35),NA(),Capability!$L$12)</f>
        <v/>
      </c>
      <c r="GA35">
        <f>IF(OR(ISNA(FW35),ISNA(FW34)),NA(),ABS(FW35-FW34))</f>
        <v/>
      </c>
      <c r="GB35">
        <f>IF(ISNA(FV35),NA(),Capability!$N$12)</f>
        <v/>
      </c>
      <c r="GC35">
        <f>IF(ISNA(FV35),NA(),IF(OR(Capability!$Q$12="",Settings!$F$7&lt;&gt;"Y"),NA(),Capability!$Q$12))</f>
        <v/>
      </c>
      <c r="GD35">
        <f>IF(ISNA(FV35),NA(),IF(OR(Capability!$P$12="",Settings!$F$7&lt;&gt;"Y"),NA(),Capability!$P$12))</f>
        <v/>
      </c>
      <c r="GJ35">
        <f>IF((GM$1+31)&gt;GK$1,NA(),(GM$1+31)-4)</f>
        <v/>
      </c>
      <c r="GK35">
        <f>IF((GM$1+31)&gt;GK$1,NA(),INDEX('Data Entry'!$P$5:$P$10004,(GM$1+31)-4))</f>
        <v/>
      </c>
      <c r="GL35">
        <f>IF(ISNA(GJ35),NA(),Capability!$K$13)</f>
        <v/>
      </c>
      <c r="GM35">
        <f>IF(ISNA(GJ35),NA(),Capability!$J$13)</f>
        <v/>
      </c>
      <c r="GN35">
        <f>IF(ISNA(GJ35),NA(),Capability!$L$13)</f>
        <v/>
      </c>
      <c r="GO35">
        <f>IF(OR(ISNA(GK35),ISNA(GK34)),NA(),ABS(GK35-GK34))</f>
        <v/>
      </c>
      <c r="GP35">
        <f>IF(ISNA(GJ35),NA(),Capability!$N$13)</f>
        <v/>
      </c>
      <c r="GQ35">
        <f>IF(ISNA(GJ35),NA(),IF(OR(Capability!$Q$13="",Settings!$F$7&lt;&gt;"Y"),NA(),Capability!$Q$13))</f>
        <v/>
      </c>
      <c r="GR35">
        <f>IF(ISNA(GJ35),NA(),IF(OR(Capability!$P$13="",Settings!$F$7&lt;&gt;"Y"),NA(),Capability!$P$13))</f>
        <v/>
      </c>
      <c r="GX35">
        <f>IF((HA$1+31)&gt;GY$1,NA(),(HA$1+31)-4)</f>
        <v/>
      </c>
      <c r="GY35">
        <f>IF((HA$1+31)&gt;GY$1,NA(),INDEX('Data Entry'!$Q$5:$Q$10004,(HA$1+31)-4))</f>
        <v/>
      </c>
      <c r="GZ35">
        <f>IF(ISNA(GX35),NA(),Capability!$K$14)</f>
        <v/>
      </c>
      <c r="HA35">
        <f>IF(ISNA(GX35),NA(),Capability!$J$14)</f>
        <v/>
      </c>
      <c r="HB35">
        <f>IF(ISNA(GX35),NA(),Capability!$L$14)</f>
        <v/>
      </c>
      <c r="HC35">
        <f>IF(OR(ISNA(GY35),ISNA(GY34)),NA(),ABS(GY35-GY34))</f>
        <v/>
      </c>
      <c r="HD35">
        <f>IF(ISNA(GX35),NA(),Capability!$N$14)</f>
        <v/>
      </c>
      <c r="HE35">
        <f>IF(ISNA(GX35),NA(),IF(OR(Capability!$Q$14="",Settings!$F$7&lt;&gt;"Y"),NA(),Capability!$Q$14))</f>
        <v/>
      </c>
      <c r="HF35">
        <f>IF(ISNA(GX35),NA(),IF(OR(Capability!$P$14="",Settings!$F$7&lt;&gt;"Y"),NA(),Capability!$P$14))</f>
        <v/>
      </c>
    </row>
    <row r="36">
      <c r="CB36">
        <f>IF((CE$1+32)&gt;CC$1,NA(),(CE$1+32)-4)</f>
        <v/>
      </c>
      <c r="CC36">
        <f>IF((CE$1+32)&gt;CC$1,NA(),INDEX('Data Entry'!$H$5:$H$10004,(CE$1+32)-4))</f>
        <v/>
      </c>
      <c r="CD36">
        <f>IF(ISNA(CB36),NA(),Capability!$K$5)</f>
        <v/>
      </c>
      <c r="CE36">
        <f>IF(ISNA(CB36),NA(),Capability!$J$5)</f>
        <v/>
      </c>
      <c r="CF36">
        <f>IF(ISNA(CB36),NA(),Capability!$L$5)</f>
        <v/>
      </c>
      <c r="CG36">
        <f>IF(OR(ISNA(CC36),ISNA(CC35)),NA(),ABS(CC36-CC35))</f>
        <v/>
      </c>
      <c r="CH36">
        <f>IF(ISNA(CB36),NA(),Capability!$N$5)</f>
        <v/>
      </c>
      <c r="CI36">
        <f>IF(ISNA(CB36),NA(),IF(OR(Capability!$Q$5="",Settings!$F$7&lt;&gt;"Y"),NA(),Capability!$Q$5))</f>
        <v/>
      </c>
      <c r="CJ36">
        <f>IF(ISNA(CB36),NA(),IF(OR(Capability!$P$5="",Settings!$F$7&lt;&gt;"Y"),NA(),Capability!$P$5))</f>
        <v/>
      </c>
      <c r="CP36">
        <f>IF((CS$1+32)&gt;CQ$1,NA(),(CS$1+32)-4)</f>
        <v/>
      </c>
      <c r="CQ36">
        <f>IF((CS$1+32)&gt;CQ$1,NA(),INDEX('Data Entry'!$I$5:$I$10004,(CS$1+32)-4))</f>
        <v/>
      </c>
      <c r="CR36">
        <f>IF(ISNA(CP36),NA(),Capability!$K$6)</f>
        <v/>
      </c>
      <c r="CS36">
        <f>IF(ISNA(CP36),NA(),Capability!$J$6)</f>
        <v/>
      </c>
      <c r="CT36">
        <f>IF(ISNA(CP36),NA(),Capability!$L$6)</f>
        <v/>
      </c>
      <c r="CU36">
        <f>IF(OR(ISNA(CQ36),ISNA(CQ35)),NA(),ABS(CQ36-CQ35))</f>
        <v/>
      </c>
      <c r="CV36">
        <f>IF(ISNA(CP36),NA(),Capability!$N$6)</f>
        <v/>
      </c>
      <c r="CW36">
        <f>IF(ISNA(CP36),NA(),IF(OR(Capability!$Q$6="",Settings!$F$7&lt;&gt;"Y"),NA(),Capability!$Q$6))</f>
        <v/>
      </c>
      <c r="CX36">
        <f>IF(ISNA(CP36),NA(),IF(OR(Capability!$P$6="",Settings!$F$7&lt;&gt;"Y"),NA(),Capability!$P$6))</f>
        <v/>
      </c>
      <c r="DD36">
        <f>IF((DG$1+32)&gt;DE$1,NA(),(DG$1+32)-4)</f>
        <v/>
      </c>
      <c r="DE36">
        <f>IF((DG$1+32)&gt;DE$1,NA(),INDEX('Data Entry'!$J$5:$J$10004,(DG$1+32)-4))</f>
        <v/>
      </c>
      <c r="DF36">
        <f>IF(ISNA(DD36),NA(),Capability!$K$7)</f>
        <v/>
      </c>
      <c r="DG36">
        <f>IF(ISNA(DD36),NA(),Capability!$J$7)</f>
        <v/>
      </c>
      <c r="DH36">
        <f>IF(ISNA(DD36),NA(),Capability!$L$7)</f>
        <v/>
      </c>
      <c r="DI36">
        <f>IF(OR(ISNA(DE36),ISNA(DE35)),NA(),ABS(DE36-DE35))</f>
        <v/>
      </c>
      <c r="DJ36">
        <f>IF(ISNA(DD36),NA(),Capability!$N$7)</f>
        <v/>
      </c>
      <c r="DK36">
        <f>IF(ISNA(DD36),NA(),IF(OR(Capability!$Q$7="",Settings!$F$7&lt;&gt;"Y"),NA(),Capability!$Q$7))</f>
        <v/>
      </c>
      <c r="DL36">
        <f>IF(ISNA(DD36),NA(),IF(OR(Capability!$P$7="",Settings!$F$7&lt;&gt;"Y"),NA(),Capability!$P$7))</f>
        <v/>
      </c>
      <c r="DR36">
        <f>IF((DU$1+32)&gt;DS$1,NA(),(DU$1+32)-4)</f>
        <v/>
      </c>
      <c r="DS36">
        <f>IF((DU$1+32)&gt;DS$1,NA(),INDEX('Data Entry'!$K$5:$K$10004,(DU$1+32)-4))</f>
        <v/>
      </c>
      <c r="DT36">
        <f>IF(ISNA(DR36),NA(),Capability!$K$8)</f>
        <v/>
      </c>
      <c r="DU36">
        <f>IF(ISNA(DR36),NA(),Capability!$J$8)</f>
        <v/>
      </c>
      <c r="DV36">
        <f>IF(ISNA(DR36),NA(),Capability!$L$8)</f>
        <v/>
      </c>
      <c r="DW36">
        <f>IF(OR(ISNA(DS36),ISNA(DS35)),NA(),ABS(DS36-DS35))</f>
        <v/>
      </c>
      <c r="DX36">
        <f>IF(ISNA(DR36),NA(),Capability!$N$8)</f>
        <v/>
      </c>
      <c r="DY36">
        <f>IF(ISNA(DR36),NA(),IF(OR(Capability!$Q$8="",Settings!$F$7&lt;&gt;"Y"),NA(),Capability!$Q$8))</f>
        <v/>
      </c>
      <c r="DZ36">
        <f>IF(ISNA(DR36),NA(),IF(OR(Capability!$P$8="",Settings!$F$7&lt;&gt;"Y"),NA(),Capability!$P$8))</f>
        <v/>
      </c>
      <c r="EF36">
        <f>IF((EI$1+32)&gt;EG$1,NA(),(EI$1+32)-4)</f>
        <v/>
      </c>
      <c r="EG36">
        <f>IF((EI$1+32)&gt;EG$1,NA(),INDEX('Data Entry'!$L$5:$L$10004,(EI$1+32)-4))</f>
        <v/>
      </c>
      <c r="EH36">
        <f>IF(ISNA(EF36),NA(),Capability!$K$9)</f>
        <v/>
      </c>
      <c r="EI36">
        <f>IF(ISNA(EF36),NA(),Capability!$J$9)</f>
        <v/>
      </c>
      <c r="EJ36">
        <f>IF(ISNA(EF36),NA(),Capability!$L$9)</f>
        <v/>
      </c>
      <c r="EK36">
        <f>IF(OR(ISNA(EG36),ISNA(EG35)),NA(),ABS(EG36-EG35))</f>
        <v/>
      </c>
      <c r="EL36">
        <f>IF(ISNA(EF36),NA(),Capability!$N$9)</f>
        <v/>
      </c>
      <c r="EM36">
        <f>IF(ISNA(EF36),NA(),IF(OR(Capability!$Q$9="",Settings!$F$7&lt;&gt;"Y"),NA(),Capability!$Q$9))</f>
        <v/>
      </c>
      <c r="EN36">
        <f>IF(ISNA(EF36),NA(),IF(OR(Capability!$P$9="",Settings!$F$7&lt;&gt;"Y"),NA(),Capability!$P$9))</f>
        <v/>
      </c>
      <c r="ET36">
        <f>IF((EW$1+32)&gt;EU$1,NA(),(EW$1+32)-4)</f>
        <v/>
      </c>
      <c r="EU36">
        <f>IF((EW$1+32)&gt;EU$1,NA(),INDEX('Data Entry'!$M$5:$M$10004,(EW$1+32)-4))</f>
        <v/>
      </c>
      <c r="EV36">
        <f>IF(ISNA(ET36),NA(),Capability!$K$10)</f>
        <v/>
      </c>
      <c r="EW36">
        <f>IF(ISNA(ET36),NA(),Capability!$J$10)</f>
        <v/>
      </c>
      <c r="EX36">
        <f>IF(ISNA(ET36),NA(),Capability!$L$10)</f>
        <v/>
      </c>
      <c r="EY36">
        <f>IF(OR(ISNA(EU36),ISNA(EU35)),NA(),ABS(EU36-EU35))</f>
        <v/>
      </c>
      <c r="EZ36">
        <f>IF(ISNA(ET36),NA(),Capability!$N$10)</f>
        <v/>
      </c>
      <c r="FA36">
        <f>IF(ISNA(ET36),NA(),IF(OR(Capability!$Q$10="",Settings!$F$7&lt;&gt;"Y"),NA(),Capability!$Q$10))</f>
        <v/>
      </c>
      <c r="FB36">
        <f>IF(ISNA(ET36),NA(),IF(OR(Capability!$P$10="",Settings!$F$7&lt;&gt;"Y"),NA(),Capability!$P$10))</f>
        <v/>
      </c>
      <c r="FH36">
        <f>IF((FK$1+32)&gt;FI$1,NA(),(FK$1+32)-4)</f>
        <v/>
      </c>
      <c r="FI36">
        <f>IF((FK$1+32)&gt;FI$1,NA(),INDEX('Data Entry'!$N$5:$N$10004,(FK$1+32)-4))</f>
        <v/>
      </c>
      <c r="FJ36">
        <f>IF(ISNA(FH36),NA(),Capability!$K$11)</f>
        <v/>
      </c>
      <c r="FK36">
        <f>IF(ISNA(FH36),NA(),Capability!$J$11)</f>
        <v/>
      </c>
      <c r="FL36">
        <f>IF(ISNA(FH36),NA(),Capability!$L$11)</f>
        <v/>
      </c>
      <c r="FM36">
        <f>IF(OR(ISNA(FI36),ISNA(FI35)),NA(),ABS(FI36-FI35))</f>
        <v/>
      </c>
      <c r="FN36">
        <f>IF(ISNA(FH36),NA(),Capability!$N$11)</f>
        <v/>
      </c>
      <c r="FO36">
        <f>IF(ISNA(FH36),NA(),IF(OR(Capability!$Q$11="",Settings!$F$7&lt;&gt;"Y"),NA(),Capability!$Q$11))</f>
        <v/>
      </c>
      <c r="FP36">
        <f>IF(ISNA(FH36),NA(),IF(OR(Capability!$P$11="",Settings!$F$7&lt;&gt;"Y"),NA(),Capability!$P$11))</f>
        <v/>
      </c>
      <c r="FV36">
        <f>IF((FY$1+32)&gt;FW$1,NA(),(FY$1+32)-4)</f>
        <v/>
      </c>
      <c r="FW36">
        <f>IF((FY$1+32)&gt;FW$1,NA(),INDEX('Data Entry'!$O$5:$O$10004,(FY$1+32)-4))</f>
        <v/>
      </c>
      <c r="FX36">
        <f>IF(ISNA(FV36),NA(),Capability!$K$12)</f>
        <v/>
      </c>
      <c r="FY36">
        <f>IF(ISNA(FV36),NA(),Capability!$J$12)</f>
        <v/>
      </c>
      <c r="FZ36">
        <f>IF(ISNA(FV36),NA(),Capability!$L$12)</f>
        <v/>
      </c>
      <c r="GA36">
        <f>IF(OR(ISNA(FW36),ISNA(FW35)),NA(),ABS(FW36-FW35))</f>
        <v/>
      </c>
      <c r="GB36">
        <f>IF(ISNA(FV36),NA(),Capability!$N$12)</f>
        <v/>
      </c>
      <c r="GC36">
        <f>IF(ISNA(FV36),NA(),IF(OR(Capability!$Q$12="",Settings!$F$7&lt;&gt;"Y"),NA(),Capability!$Q$12))</f>
        <v/>
      </c>
      <c r="GD36">
        <f>IF(ISNA(FV36),NA(),IF(OR(Capability!$P$12="",Settings!$F$7&lt;&gt;"Y"),NA(),Capability!$P$12))</f>
        <v/>
      </c>
      <c r="GJ36">
        <f>IF((GM$1+32)&gt;GK$1,NA(),(GM$1+32)-4)</f>
        <v/>
      </c>
      <c r="GK36">
        <f>IF((GM$1+32)&gt;GK$1,NA(),INDEX('Data Entry'!$P$5:$P$10004,(GM$1+32)-4))</f>
        <v/>
      </c>
      <c r="GL36">
        <f>IF(ISNA(GJ36),NA(),Capability!$K$13)</f>
        <v/>
      </c>
      <c r="GM36">
        <f>IF(ISNA(GJ36),NA(),Capability!$J$13)</f>
        <v/>
      </c>
      <c r="GN36">
        <f>IF(ISNA(GJ36),NA(),Capability!$L$13)</f>
        <v/>
      </c>
      <c r="GO36">
        <f>IF(OR(ISNA(GK36),ISNA(GK35)),NA(),ABS(GK36-GK35))</f>
        <v/>
      </c>
      <c r="GP36">
        <f>IF(ISNA(GJ36),NA(),Capability!$N$13)</f>
        <v/>
      </c>
      <c r="GQ36">
        <f>IF(ISNA(GJ36),NA(),IF(OR(Capability!$Q$13="",Settings!$F$7&lt;&gt;"Y"),NA(),Capability!$Q$13))</f>
        <v/>
      </c>
      <c r="GR36">
        <f>IF(ISNA(GJ36),NA(),IF(OR(Capability!$P$13="",Settings!$F$7&lt;&gt;"Y"),NA(),Capability!$P$13))</f>
        <v/>
      </c>
      <c r="GX36">
        <f>IF((HA$1+32)&gt;GY$1,NA(),(HA$1+32)-4)</f>
        <v/>
      </c>
      <c r="GY36">
        <f>IF((HA$1+32)&gt;GY$1,NA(),INDEX('Data Entry'!$Q$5:$Q$10004,(HA$1+32)-4))</f>
        <v/>
      </c>
      <c r="GZ36">
        <f>IF(ISNA(GX36),NA(),Capability!$K$14)</f>
        <v/>
      </c>
      <c r="HA36">
        <f>IF(ISNA(GX36),NA(),Capability!$J$14)</f>
        <v/>
      </c>
      <c r="HB36">
        <f>IF(ISNA(GX36),NA(),Capability!$L$14)</f>
        <v/>
      </c>
      <c r="HC36">
        <f>IF(OR(ISNA(GY36),ISNA(GY35)),NA(),ABS(GY36-GY35))</f>
        <v/>
      </c>
      <c r="HD36">
        <f>IF(ISNA(GX36),NA(),Capability!$N$14)</f>
        <v/>
      </c>
      <c r="HE36">
        <f>IF(ISNA(GX36),NA(),IF(OR(Capability!$Q$14="",Settings!$F$7&lt;&gt;"Y"),NA(),Capability!$Q$14))</f>
        <v/>
      </c>
      <c r="HF36">
        <f>IF(ISNA(GX36),NA(),IF(OR(Capability!$P$14="",Settings!$F$7&lt;&gt;"Y"),NA(),Capability!$P$14))</f>
        <v/>
      </c>
    </row>
    <row r="37">
      <c r="CB37">
        <f>IF((CE$1+33)&gt;CC$1,NA(),(CE$1+33)-4)</f>
        <v/>
      </c>
      <c r="CC37">
        <f>IF((CE$1+33)&gt;CC$1,NA(),INDEX('Data Entry'!$H$5:$H$10004,(CE$1+33)-4))</f>
        <v/>
      </c>
      <c r="CD37">
        <f>IF(ISNA(CB37),NA(),Capability!$K$5)</f>
        <v/>
      </c>
      <c r="CE37">
        <f>IF(ISNA(CB37),NA(),Capability!$J$5)</f>
        <v/>
      </c>
      <c r="CF37">
        <f>IF(ISNA(CB37),NA(),Capability!$L$5)</f>
        <v/>
      </c>
      <c r="CG37">
        <f>IF(OR(ISNA(CC37),ISNA(CC36)),NA(),ABS(CC37-CC36))</f>
        <v/>
      </c>
      <c r="CH37">
        <f>IF(ISNA(CB37),NA(),Capability!$N$5)</f>
        <v/>
      </c>
      <c r="CI37">
        <f>IF(ISNA(CB37),NA(),IF(OR(Capability!$Q$5="",Settings!$F$7&lt;&gt;"Y"),NA(),Capability!$Q$5))</f>
        <v/>
      </c>
      <c r="CJ37">
        <f>IF(ISNA(CB37),NA(),IF(OR(Capability!$P$5="",Settings!$F$7&lt;&gt;"Y"),NA(),Capability!$P$5))</f>
        <v/>
      </c>
      <c r="CP37">
        <f>IF((CS$1+33)&gt;CQ$1,NA(),(CS$1+33)-4)</f>
        <v/>
      </c>
      <c r="CQ37">
        <f>IF((CS$1+33)&gt;CQ$1,NA(),INDEX('Data Entry'!$I$5:$I$10004,(CS$1+33)-4))</f>
        <v/>
      </c>
      <c r="CR37">
        <f>IF(ISNA(CP37),NA(),Capability!$K$6)</f>
        <v/>
      </c>
      <c r="CS37">
        <f>IF(ISNA(CP37),NA(),Capability!$J$6)</f>
        <v/>
      </c>
      <c r="CT37">
        <f>IF(ISNA(CP37),NA(),Capability!$L$6)</f>
        <v/>
      </c>
      <c r="CU37">
        <f>IF(OR(ISNA(CQ37),ISNA(CQ36)),NA(),ABS(CQ37-CQ36))</f>
        <v/>
      </c>
      <c r="CV37">
        <f>IF(ISNA(CP37),NA(),Capability!$N$6)</f>
        <v/>
      </c>
      <c r="CW37">
        <f>IF(ISNA(CP37),NA(),IF(OR(Capability!$Q$6="",Settings!$F$7&lt;&gt;"Y"),NA(),Capability!$Q$6))</f>
        <v/>
      </c>
      <c r="CX37">
        <f>IF(ISNA(CP37),NA(),IF(OR(Capability!$P$6="",Settings!$F$7&lt;&gt;"Y"),NA(),Capability!$P$6))</f>
        <v/>
      </c>
      <c r="DD37">
        <f>IF((DG$1+33)&gt;DE$1,NA(),(DG$1+33)-4)</f>
        <v/>
      </c>
      <c r="DE37">
        <f>IF((DG$1+33)&gt;DE$1,NA(),INDEX('Data Entry'!$J$5:$J$10004,(DG$1+33)-4))</f>
        <v/>
      </c>
      <c r="DF37">
        <f>IF(ISNA(DD37),NA(),Capability!$K$7)</f>
        <v/>
      </c>
      <c r="DG37">
        <f>IF(ISNA(DD37),NA(),Capability!$J$7)</f>
        <v/>
      </c>
      <c r="DH37">
        <f>IF(ISNA(DD37),NA(),Capability!$L$7)</f>
        <v/>
      </c>
      <c r="DI37">
        <f>IF(OR(ISNA(DE37),ISNA(DE36)),NA(),ABS(DE37-DE36))</f>
        <v/>
      </c>
      <c r="DJ37">
        <f>IF(ISNA(DD37),NA(),Capability!$N$7)</f>
        <v/>
      </c>
      <c r="DK37">
        <f>IF(ISNA(DD37),NA(),IF(OR(Capability!$Q$7="",Settings!$F$7&lt;&gt;"Y"),NA(),Capability!$Q$7))</f>
        <v/>
      </c>
      <c r="DL37">
        <f>IF(ISNA(DD37),NA(),IF(OR(Capability!$P$7="",Settings!$F$7&lt;&gt;"Y"),NA(),Capability!$P$7))</f>
        <v/>
      </c>
      <c r="DR37">
        <f>IF((DU$1+33)&gt;DS$1,NA(),(DU$1+33)-4)</f>
        <v/>
      </c>
      <c r="DS37">
        <f>IF((DU$1+33)&gt;DS$1,NA(),INDEX('Data Entry'!$K$5:$K$10004,(DU$1+33)-4))</f>
        <v/>
      </c>
      <c r="DT37">
        <f>IF(ISNA(DR37),NA(),Capability!$K$8)</f>
        <v/>
      </c>
      <c r="DU37">
        <f>IF(ISNA(DR37),NA(),Capability!$J$8)</f>
        <v/>
      </c>
      <c r="DV37">
        <f>IF(ISNA(DR37),NA(),Capability!$L$8)</f>
        <v/>
      </c>
      <c r="DW37">
        <f>IF(OR(ISNA(DS37),ISNA(DS36)),NA(),ABS(DS37-DS36))</f>
        <v/>
      </c>
      <c r="DX37">
        <f>IF(ISNA(DR37),NA(),Capability!$N$8)</f>
        <v/>
      </c>
      <c r="DY37">
        <f>IF(ISNA(DR37),NA(),IF(OR(Capability!$Q$8="",Settings!$F$7&lt;&gt;"Y"),NA(),Capability!$Q$8))</f>
        <v/>
      </c>
      <c r="DZ37">
        <f>IF(ISNA(DR37),NA(),IF(OR(Capability!$P$8="",Settings!$F$7&lt;&gt;"Y"),NA(),Capability!$P$8))</f>
        <v/>
      </c>
      <c r="EF37">
        <f>IF((EI$1+33)&gt;EG$1,NA(),(EI$1+33)-4)</f>
        <v/>
      </c>
      <c r="EG37">
        <f>IF((EI$1+33)&gt;EG$1,NA(),INDEX('Data Entry'!$L$5:$L$10004,(EI$1+33)-4))</f>
        <v/>
      </c>
      <c r="EH37">
        <f>IF(ISNA(EF37),NA(),Capability!$K$9)</f>
        <v/>
      </c>
      <c r="EI37">
        <f>IF(ISNA(EF37),NA(),Capability!$J$9)</f>
        <v/>
      </c>
      <c r="EJ37">
        <f>IF(ISNA(EF37),NA(),Capability!$L$9)</f>
        <v/>
      </c>
      <c r="EK37">
        <f>IF(OR(ISNA(EG37),ISNA(EG36)),NA(),ABS(EG37-EG36))</f>
        <v/>
      </c>
      <c r="EL37">
        <f>IF(ISNA(EF37),NA(),Capability!$N$9)</f>
        <v/>
      </c>
      <c r="EM37">
        <f>IF(ISNA(EF37),NA(),IF(OR(Capability!$Q$9="",Settings!$F$7&lt;&gt;"Y"),NA(),Capability!$Q$9))</f>
        <v/>
      </c>
      <c r="EN37">
        <f>IF(ISNA(EF37),NA(),IF(OR(Capability!$P$9="",Settings!$F$7&lt;&gt;"Y"),NA(),Capability!$P$9))</f>
        <v/>
      </c>
      <c r="ET37">
        <f>IF((EW$1+33)&gt;EU$1,NA(),(EW$1+33)-4)</f>
        <v/>
      </c>
      <c r="EU37">
        <f>IF((EW$1+33)&gt;EU$1,NA(),INDEX('Data Entry'!$M$5:$M$10004,(EW$1+33)-4))</f>
        <v/>
      </c>
      <c r="EV37">
        <f>IF(ISNA(ET37),NA(),Capability!$K$10)</f>
        <v/>
      </c>
      <c r="EW37">
        <f>IF(ISNA(ET37),NA(),Capability!$J$10)</f>
        <v/>
      </c>
      <c r="EX37">
        <f>IF(ISNA(ET37),NA(),Capability!$L$10)</f>
        <v/>
      </c>
      <c r="EY37">
        <f>IF(OR(ISNA(EU37),ISNA(EU36)),NA(),ABS(EU37-EU36))</f>
        <v/>
      </c>
      <c r="EZ37">
        <f>IF(ISNA(ET37),NA(),Capability!$N$10)</f>
        <v/>
      </c>
      <c r="FA37">
        <f>IF(ISNA(ET37),NA(),IF(OR(Capability!$Q$10="",Settings!$F$7&lt;&gt;"Y"),NA(),Capability!$Q$10))</f>
        <v/>
      </c>
      <c r="FB37">
        <f>IF(ISNA(ET37),NA(),IF(OR(Capability!$P$10="",Settings!$F$7&lt;&gt;"Y"),NA(),Capability!$P$10))</f>
        <v/>
      </c>
      <c r="FH37">
        <f>IF((FK$1+33)&gt;FI$1,NA(),(FK$1+33)-4)</f>
        <v/>
      </c>
      <c r="FI37">
        <f>IF((FK$1+33)&gt;FI$1,NA(),INDEX('Data Entry'!$N$5:$N$10004,(FK$1+33)-4))</f>
        <v/>
      </c>
      <c r="FJ37">
        <f>IF(ISNA(FH37),NA(),Capability!$K$11)</f>
        <v/>
      </c>
      <c r="FK37">
        <f>IF(ISNA(FH37),NA(),Capability!$J$11)</f>
        <v/>
      </c>
      <c r="FL37">
        <f>IF(ISNA(FH37),NA(),Capability!$L$11)</f>
        <v/>
      </c>
      <c r="FM37">
        <f>IF(OR(ISNA(FI37),ISNA(FI36)),NA(),ABS(FI37-FI36))</f>
        <v/>
      </c>
      <c r="FN37">
        <f>IF(ISNA(FH37),NA(),Capability!$N$11)</f>
        <v/>
      </c>
      <c r="FO37">
        <f>IF(ISNA(FH37),NA(),IF(OR(Capability!$Q$11="",Settings!$F$7&lt;&gt;"Y"),NA(),Capability!$Q$11))</f>
        <v/>
      </c>
      <c r="FP37">
        <f>IF(ISNA(FH37),NA(),IF(OR(Capability!$P$11="",Settings!$F$7&lt;&gt;"Y"),NA(),Capability!$P$11))</f>
        <v/>
      </c>
      <c r="FV37">
        <f>IF((FY$1+33)&gt;FW$1,NA(),(FY$1+33)-4)</f>
        <v/>
      </c>
      <c r="FW37">
        <f>IF((FY$1+33)&gt;FW$1,NA(),INDEX('Data Entry'!$O$5:$O$10004,(FY$1+33)-4))</f>
        <v/>
      </c>
      <c r="FX37">
        <f>IF(ISNA(FV37),NA(),Capability!$K$12)</f>
        <v/>
      </c>
      <c r="FY37">
        <f>IF(ISNA(FV37),NA(),Capability!$J$12)</f>
        <v/>
      </c>
      <c r="FZ37">
        <f>IF(ISNA(FV37),NA(),Capability!$L$12)</f>
        <v/>
      </c>
      <c r="GA37">
        <f>IF(OR(ISNA(FW37),ISNA(FW36)),NA(),ABS(FW37-FW36))</f>
        <v/>
      </c>
      <c r="GB37">
        <f>IF(ISNA(FV37),NA(),Capability!$N$12)</f>
        <v/>
      </c>
      <c r="GC37">
        <f>IF(ISNA(FV37),NA(),IF(OR(Capability!$Q$12="",Settings!$F$7&lt;&gt;"Y"),NA(),Capability!$Q$12))</f>
        <v/>
      </c>
      <c r="GD37">
        <f>IF(ISNA(FV37),NA(),IF(OR(Capability!$P$12="",Settings!$F$7&lt;&gt;"Y"),NA(),Capability!$P$12))</f>
        <v/>
      </c>
      <c r="GJ37">
        <f>IF((GM$1+33)&gt;GK$1,NA(),(GM$1+33)-4)</f>
        <v/>
      </c>
      <c r="GK37">
        <f>IF((GM$1+33)&gt;GK$1,NA(),INDEX('Data Entry'!$P$5:$P$10004,(GM$1+33)-4))</f>
        <v/>
      </c>
      <c r="GL37">
        <f>IF(ISNA(GJ37),NA(),Capability!$K$13)</f>
        <v/>
      </c>
      <c r="GM37">
        <f>IF(ISNA(GJ37),NA(),Capability!$J$13)</f>
        <v/>
      </c>
      <c r="GN37">
        <f>IF(ISNA(GJ37),NA(),Capability!$L$13)</f>
        <v/>
      </c>
      <c r="GO37">
        <f>IF(OR(ISNA(GK37),ISNA(GK36)),NA(),ABS(GK37-GK36))</f>
        <v/>
      </c>
      <c r="GP37">
        <f>IF(ISNA(GJ37),NA(),Capability!$N$13)</f>
        <v/>
      </c>
      <c r="GQ37">
        <f>IF(ISNA(GJ37),NA(),IF(OR(Capability!$Q$13="",Settings!$F$7&lt;&gt;"Y"),NA(),Capability!$Q$13))</f>
        <v/>
      </c>
      <c r="GR37">
        <f>IF(ISNA(GJ37),NA(),IF(OR(Capability!$P$13="",Settings!$F$7&lt;&gt;"Y"),NA(),Capability!$P$13))</f>
        <v/>
      </c>
      <c r="GX37">
        <f>IF((HA$1+33)&gt;GY$1,NA(),(HA$1+33)-4)</f>
        <v/>
      </c>
      <c r="GY37">
        <f>IF((HA$1+33)&gt;GY$1,NA(),INDEX('Data Entry'!$Q$5:$Q$10004,(HA$1+33)-4))</f>
        <v/>
      </c>
      <c r="GZ37">
        <f>IF(ISNA(GX37),NA(),Capability!$K$14)</f>
        <v/>
      </c>
      <c r="HA37">
        <f>IF(ISNA(GX37),NA(),Capability!$J$14)</f>
        <v/>
      </c>
      <c r="HB37">
        <f>IF(ISNA(GX37),NA(),Capability!$L$14)</f>
        <v/>
      </c>
      <c r="HC37">
        <f>IF(OR(ISNA(GY37),ISNA(GY36)),NA(),ABS(GY37-GY36))</f>
        <v/>
      </c>
      <c r="HD37">
        <f>IF(ISNA(GX37),NA(),Capability!$N$14)</f>
        <v/>
      </c>
      <c r="HE37">
        <f>IF(ISNA(GX37),NA(),IF(OR(Capability!$Q$14="",Settings!$F$7&lt;&gt;"Y"),NA(),Capability!$Q$14))</f>
        <v/>
      </c>
      <c r="HF37">
        <f>IF(ISNA(GX37),NA(),IF(OR(Capability!$P$14="",Settings!$F$7&lt;&gt;"Y"),NA(),Capability!$P$14))</f>
        <v/>
      </c>
    </row>
    <row r="38">
      <c r="CB38">
        <f>IF((CE$1+34)&gt;CC$1,NA(),(CE$1+34)-4)</f>
        <v/>
      </c>
      <c r="CC38">
        <f>IF((CE$1+34)&gt;CC$1,NA(),INDEX('Data Entry'!$H$5:$H$10004,(CE$1+34)-4))</f>
        <v/>
      </c>
      <c r="CD38">
        <f>IF(ISNA(CB38),NA(),Capability!$K$5)</f>
        <v/>
      </c>
      <c r="CE38">
        <f>IF(ISNA(CB38),NA(),Capability!$J$5)</f>
        <v/>
      </c>
      <c r="CF38">
        <f>IF(ISNA(CB38),NA(),Capability!$L$5)</f>
        <v/>
      </c>
      <c r="CG38">
        <f>IF(OR(ISNA(CC38),ISNA(CC37)),NA(),ABS(CC38-CC37))</f>
        <v/>
      </c>
      <c r="CH38">
        <f>IF(ISNA(CB38),NA(),Capability!$N$5)</f>
        <v/>
      </c>
      <c r="CI38">
        <f>IF(ISNA(CB38),NA(),IF(OR(Capability!$Q$5="",Settings!$F$7&lt;&gt;"Y"),NA(),Capability!$Q$5))</f>
        <v/>
      </c>
      <c r="CJ38">
        <f>IF(ISNA(CB38),NA(),IF(OR(Capability!$P$5="",Settings!$F$7&lt;&gt;"Y"),NA(),Capability!$P$5))</f>
        <v/>
      </c>
      <c r="CP38">
        <f>IF((CS$1+34)&gt;CQ$1,NA(),(CS$1+34)-4)</f>
        <v/>
      </c>
      <c r="CQ38">
        <f>IF((CS$1+34)&gt;CQ$1,NA(),INDEX('Data Entry'!$I$5:$I$10004,(CS$1+34)-4))</f>
        <v/>
      </c>
      <c r="CR38">
        <f>IF(ISNA(CP38),NA(),Capability!$K$6)</f>
        <v/>
      </c>
      <c r="CS38">
        <f>IF(ISNA(CP38),NA(),Capability!$J$6)</f>
        <v/>
      </c>
      <c r="CT38">
        <f>IF(ISNA(CP38),NA(),Capability!$L$6)</f>
        <v/>
      </c>
      <c r="CU38">
        <f>IF(OR(ISNA(CQ38),ISNA(CQ37)),NA(),ABS(CQ38-CQ37))</f>
        <v/>
      </c>
      <c r="CV38">
        <f>IF(ISNA(CP38),NA(),Capability!$N$6)</f>
        <v/>
      </c>
      <c r="CW38">
        <f>IF(ISNA(CP38),NA(),IF(OR(Capability!$Q$6="",Settings!$F$7&lt;&gt;"Y"),NA(),Capability!$Q$6))</f>
        <v/>
      </c>
      <c r="CX38">
        <f>IF(ISNA(CP38),NA(),IF(OR(Capability!$P$6="",Settings!$F$7&lt;&gt;"Y"),NA(),Capability!$P$6))</f>
        <v/>
      </c>
      <c r="DD38">
        <f>IF((DG$1+34)&gt;DE$1,NA(),(DG$1+34)-4)</f>
        <v/>
      </c>
      <c r="DE38">
        <f>IF((DG$1+34)&gt;DE$1,NA(),INDEX('Data Entry'!$J$5:$J$10004,(DG$1+34)-4))</f>
        <v/>
      </c>
      <c r="DF38">
        <f>IF(ISNA(DD38),NA(),Capability!$K$7)</f>
        <v/>
      </c>
      <c r="DG38">
        <f>IF(ISNA(DD38),NA(),Capability!$J$7)</f>
        <v/>
      </c>
      <c r="DH38">
        <f>IF(ISNA(DD38),NA(),Capability!$L$7)</f>
        <v/>
      </c>
      <c r="DI38">
        <f>IF(OR(ISNA(DE38),ISNA(DE37)),NA(),ABS(DE38-DE37))</f>
        <v/>
      </c>
      <c r="DJ38">
        <f>IF(ISNA(DD38),NA(),Capability!$N$7)</f>
        <v/>
      </c>
      <c r="DK38">
        <f>IF(ISNA(DD38),NA(),IF(OR(Capability!$Q$7="",Settings!$F$7&lt;&gt;"Y"),NA(),Capability!$Q$7))</f>
        <v/>
      </c>
      <c r="DL38">
        <f>IF(ISNA(DD38),NA(),IF(OR(Capability!$P$7="",Settings!$F$7&lt;&gt;"Y"),NA(),Capability!$P$7))</f>
        <v/>
      </c>
      <c r="DR38">
        <f>IF((DU$1+34)&gt;DS$1,NA(),(DU$1+34)-4)</f>
        <v/>
      </c>
      <c r="DS38">
        <f>IF((DU$1+34)&gt;DS$1,NA(),INDEX('Data Entry'!$K$5:$K$10004,(DU$1+34)-4))</f>
        <v/>
      </c>
      <c r="DT38">
        <f>IF(ISNA(DR38),NA(),Capability!$K$8)</f>
        <v/>
      </c>
      <c r="DU38">
        <f>IF(ISNA(DR38),NA(),Capability!$J$8)</f>
        <v/>
      </c>
      <c r="DV38">
        <f>IF(ISNA(DR38),NA(),Capability!$L$8)</f>
        <v/>
      </c>
      <c r="DW38">
        <f>IF(OR(ISNA(DS38),ISNA(DS37)),NA(),ABS(DS38-DS37))</f>
        <v/>
      </c>
      <c r="DX38">
        <f>IF(ISNA(DR38),NA(),Capability!$N$8)</f>
        <v/>
      </c>
      <c r="DY38">
        <f>IF(ISNA(DR38),NA(),IF(OR(Capability!$Q$8="",Settings!$F$7&lt;&gt;"Y"),NA(),Capability!$Q$8))</f>
        <v/>
      </c>
      <c r="DZ38">
        <f>IF(ISNA(DR38),NA(),IF(OR(Capability!$P$8="",Settings!$F$7&lt;&gt;"Y"),NA(),Capability!$P$8))</f>
        <v/>
      </c>
      <c r="EF38">
        <f>IF((EI$1+34)&gt;EG$1,NA(),(EI$1+34)-4)</f>
        <v/>
      </c>
      <c r="EG38">
        <f>IF((EI$1+34)&gt;EG$1,NA(),INDEX('Data Entry'!$L$5:$L$10004,(EI$1+34)-4))</f>
        <v/>
      </c>
      <c r="EH38">
        <f>IF(ISNA(EF38),NA(),Capability!$K$9)</f>
        <v/>
      </c>
      <c r="EI38">
        <f>IF(ISNA(EF38),NA(),Capability!$J$9)</f>
        <v/>
      </c>
      <c r="EJ38">
        <f>IF(ISNA(EF38),NA(),Capability!$L$9)</f>
        <v/>
      </c>
      <c r="EK38">
        <f>IF(OR(ISNA(EG38),ISNA(EG37)),NA(),ABS(EG38-EG37))</f>
        <v/>
      </c>
      <c r="EL38">
        <f>IF(ISNA(EF38),NA(),Capability!$N$9)</f>
        <v/>
      </c>
      <c r="EM38">
        <f>IF(ISNA(EF38),NA(),IF(OR(Capability!$Q$9="",Settings!$F$7&lt;&gt;"Y"),NA(),Capability!$Q$9))</f>
        <v/>
      </c>
      <c r="EN38">
        <f>IF(ISNA(EF38),NA(),IF(OR(Capability!$P$9="",Settings!$F$7&lt;&gt;"Y"),NA(),Capability!$P$9))</f>
        <v/>
      </c>
      <c r="ET38">
        <f>IF((EW$1+34)&gt;EU$1,NA(),(EW$1+34)-4)</f>
        <v/>
      </c>
      <c r="EU38">
        <f>IF((EW$1+34)&gt;EU$1,NA(),INDEX('Data Entry'!$M$5:$M$10004,(EW$1+34)-4))</f>
        <v/>
      </c>
      <c r="EV38">
        <f>IF(ISNA(ET38),NA(),Capability!$K$10)</f>
        <v/>
      </c>
      <c r="EW38">
        <f>IF(ISNA(ET38),NA(),Capability!$J$10)</f>
        <v/>
      </c>
      <c r="EX38">
        <f>IF(ISNA(ET38),NA(),Capability!$L$10)</f>
        <v/>
      </c>
      <c r="EY38">
        <f>IF(OR(ISNA(EU38),ISNA(EU37)),NA(),ABS(EU38-EU37))</f>
        <v/>
      </c>
      <c r="EZ38">
        <f>IF(ISNA(ET38),NA(),Capability!$N$10)</f>
        <v/>
      </c>
      <c r="FA38">
        <f>IF(ISNA(ET38),NA(),IF(OR(Capability!$Q$10="",Settings!$F$7&lt;&gt;"Y"),NA(),Capability!$Q$10))</f>
        <v/>
      </c>
      <c r="FB38">
        <f>IF(ISNA(ET38),NA(),IF(OR(Capability!$P$10="",Settings!$F$7&lt;&gt;"Y"),NA(),Capability!$P$10))</f>
        <v/>
      </c>
      <c r="FH38">
        <f>IF((FK$1+34)&gt;FI$1,NA(),(FK$1+34)-4)</f>
        <v/>
      </c>
      <c r="FI38">
        <f>IF((FK$1+34)&gt;FI$1,NA(),INDEX('Data Entry'!$N$5:$N$10004,(FK$1+34)-4))</f>
        <v/>
      </c>
      <c r="FJ38">
        <f>IF(ISNA(FH38),NA(),Capability!$K$11)</f>
        <v/>
      </c>
      <c r="FK38">
        <f>IF(ISNA(FH38),NA(),Capability!$J$11)</f>
        <v/>
      </c>
      <c r="FL38">
        <f>IF(ISNA(FH38),NA(),Capability!$L$11)</f>
        <v/>
      </c>
      <c r="FM38">
        <f>IF(OR(ISNA(FI38),ISNA(FI37)),NA(),ABS(FI38-FI37))</f>
        <v/>
      </c>
      <c r="FN38">
        <f>IF(ISNA(FH38),NA(),Capability!$N$11)</f>
        <v/>
      </c>
      <c r="FO38">
        <f>IF(ISNA(FH38),NA(),IF(OR(Capability!$Q$11="",Settings!$F$7&lt;&gt;"Y"),NA(),Capability!$Q$11))</f>
        <v/>
      </c>
      <c r="FP38">
        <f>IF(ISNA(FH38),NA(),IF(OR(Capability!$P$11="",Settings!$F$7&lt;&gt;"Y"),NA(),Capability!$P$11))</f>
        <v/>
      </c>
      <c r="FV38">
        <f>IF((FY$1+34)&gt;FW$1,NA(),(FY$1+34)-4)</f>
        <v/>
      </c>
      <c r="FW38">
        <f>IF((FY$1+34)&gt;FW$1,NA(),INDEX('Data Entry'!$O$5:$O$10004,(FY$1+34)-4))</f>
        <v/>
      </c>
      <c r="FX38">
        <f>IF(ISNA(FV38),NA(),Capability!$K$12)</f>
        <v/>
      </c>
      <c r="FY38">
        <f>IF(ISNA(FV38),NA(),Capability!$J$12)</f>
        <v/>
      </c>
      <c r="FZ38">
        <f>IF(ISNA(FV38),NA(),Capability!$L$12)</f>
        <v/>
      </c>
      <c r="GA38">
        <f>IF(OR(ISNA(FW38),ISNA(FW37)),NA(),ABS(FW38-FW37))</f>
        <v/>
      </c>
      <c r="GB38">
        <f>IF(ISNA(FV38),NA(),Capability!$N$12)</f>
        <v/>
      </c>
      <c r="GC38">
        <f>IF(ISNA(FV38),NA(),IF(OR(Capability!$Q$12="",Settings!$F$7&lt;&gt;"Y"),NA(),Capability!$Q$12))</f>
        <v/>
      </c>
      <c r="GD38">
        <f>IF(ISNA(FV38),NA(),IF(OR(Capability!$P$12="",Settings!$F$7&lt;&gt;"Y"),NA(),Capability!$P$12))</f>
        <v/>
      </c>
      <c r="GJ38">
        <f>IF((GM$1+34)&gt;GK$1,NA(),(GM$1+34)-4)</f>
        <v/>
      </c>
      <c r="GK38">
        <f>IF((GM$1+34)&gt;GK$1,NA(),INDEX('Data Entry'!$P$5:$P$10004,(GM$1+34)-4))</f>
        <v/>
      </c>
      <c r="GL38">
        <f>IF(ISNA(GJ38),NA(),Capability!$K$13)</f>
        <v/>
      </c>
      <c r="GM38">
        <f>IF(ISNA(GJ38),NA(),Capability!$J$13)</f>
        <v/>
      </c>
      <c r="GN38">
        <f>IF(ISNA(GJ38),NA(),Capability!$L$13)</f>
        <v/>
      </c>
      <c r="GO38">
        <f>IF(OR(ISNA(GK38),ISNA(GK37)),NA(),ABS(GK38-GK37))</f>
        <v/>
      </c>
      <c r="GP38">
        <f>IF(ISNA(GJ38),NA(),Capability!$N$13)</f>
        <v/>
      </c>
      <c r="GQ38">
        <f>IF(ISNA(GJ38),NA(),IF(OR(Capability!$Q$13="",Settings!$F$7&lt;&gt;"Y"),NA(),Capability!$Q$13))</f>
        <v/>
      </c>
      <c r="GR38">
        <f>IF(ISNA(GJ38),NA(),IF(OR(Capability!$P$13="",Settings!$F$7&lt;&gt;"Y"),NA(),Capability!$P$13))</f>
        <v/>
      </c>
      <c r="GX38">
        <f>IF((HA$1+34)&gt;GY$1,NA(),(HA$1+34)-4)</f>
        <v/>
      </c>
      <c r="GY38">
        <f>IF((HA$1+34)&gt;GY$1,NA(),INDEX('Data Entry'!$Q$5:$Q$10004,(HA$1+34)-4))</f>
        <v/>
      </c>
      <c r="GZ38">
        <f>IF(ISNA(GX38),NA(),Capability!$K$14)</f>
        <v/>
      </c>
      <c r="HA38">
        <f>IF(ISNA(GX38),NA(),Capability!$J$14)</f>
        <v/>
      </c>
      <c r="HB38">
        <f>IF(ISNA(GX38),NA(),Capability!$L$14)</f>
        <v/>
      </c>
      <c r="HC38">
        <f>IF(OR(ISNA(GY38),ISNA(GY37)),NA(),ABS(GY38-GY37))</f>
        <v/>
      </c>
      <c r="HD38">
        <f>IF(ISNA(GX38),NA(),Capability!$N$14)</f>
        <v/>
      </c>
      <c r="HE38">
        <f>IF(ISNA(GX38),NA(),IF(OR(Capability!$Q$14="",Settings!$F$7&lt;&gt;"Y"),NA(),Capability!$Q$14))</f>
        <v/>
      </c>
      <c r="HF38">
        <f>IF(ISNA(GX38),NA(),IF(OR(Capability!$P$14="",Settings!$F$7&lt;&gt;"Y"),NA(),Capability!$P$14))</f>
        <v/>
      </c>
    </row>
    <row r="39">
      <c r="CB39">
        <f>IF((CE$1+35)&gt;CC$1,NA(),(CE$1+35)-4)</f>
        <v/>
      </c>
      <c r="CC39">
        <f>IF((CE$1+35)&gt;CC$1,NA(),INDEX('Data Entry'!$H$5:$H$10004,(CE$1+35)-4))</f>
        <v/>
      </c>
      <c r="CD39">
        <f>IF(ISNA(CB39),NA(),Capability!$K$5)</f>
        <v/>
      </c>
      <c r="CE39">
        <f>IF(ISNA(CB39),NA(),Capability!$J$5)</f>
        <v/>
      </c>
      <c r="CF39">
        <f>IF(ISNA(CB39),NA(),Capability!$L$5)</f>
        <v/>
      </c>
      <c r="CG39">
        <f>IF(OR(ISNA(CC39),ISNA(CC38)),NA(),ABS(CC39-CC38))</f>
        <v/>
      </c>
      <c r="CH39">
        <f>IF(ISNA(CB39),NA(),Capability!$N$5)</f>
        <v/>
      </c>
      <c r="CI39">
        <f>IF(ISNA(CB39),NA(),IF(OR(Capability!$Q$5="",Settings!$F$7&lt;&gt;"Y"),NA(),Capability!$Q$5))</f>
        <v/>
      </c>
      <c r="CJ39">
        <f>IF(ISNA(CB39),NA(),IF(OR(Capability!$P$5="",Settings!$F$7&lt;&gt;"Y"),NA(),Capability!$P$5))</f>
        <v/>
      </c>
      <c r="CP39">
        <f>IF((CS$1+35)&gt;CQ$1,NA(),(CS$1+35)-4)</f>
        <v/>
      </c>
      <c r="CQ39">
        <f>IF((CS$1+35)&gt;CQ$1,NA(),INDEX('Data Entry'!$I$5:$I$10004,(CS$1+35)-4))</f>
        <v/>
      </c>
      <c r="CR39">
        <f>IF(ISNA(CP39),NA(),Capability!$K$6)</f>
        <v/>
      </c>
      <c r="CS39">
        <f>IF(ISNA(CP39),NA(),Capability!$J$6)</f>
        <v/>
      </c>
      <c r="CT39">
        <f>IF(ISNA(CP39),NA(),Capability!$L$6)</f>
        <v/>
      </c>
      <c r="CU39">
        <f>IF(OR(ISNA(CQ39),ISNA(CQ38)),NA(),ABS(CQ39-CQ38))</f>
        <v/>
      </c>
      <c r="CV39">
        <f>IF(ISNA(CP39),NA(),Capability!$N$6)</f>
        <v/>
      </c>
      <c r="CW39">
        <f>IF(ISNA(CP39),NA(),IF(OR(Capability!$Q$6="",Settings!$F$7&lt;&gt;"Y"),NA(),Capability!$Q$6))</f>
        <v/>
      </c>
      <c r="CX39">
        <f>IF(ISNA(CP39),NA(),IF(OR(Capability!$P$6="",Settings!$F$7&lt;&gt;"Y"),NA(),Capability!$P$6))</f>
        <v/>
      </c>
      <c r="DD39">
        <f>IF((DG$1+35)&gt;DE$1,NA(),(DG$1+35)-4)</f>
        <v/>
      </c>
      <c r="DE39">
        <f>IF((DG$1+35)&gt;DE$1,NA(),INDEX('Data Entry'!$J$5:$J$10004,(DG$1+35)-4))</f>
        <v/>
      </c>
      <c r="DF39">
        <f>IF(ISNA(DD39),NA(),Capability!$K$7)</f>
        <v/>
      </c>
      <c r="DG39">
        <f>IF(ISNA(DD39),NA(),Capability!$J$7)</f>
        <v/>
      </c>
      <c r="DH39">
        <f>IF(ISNA(DD39),NA(),Capability!$L$7)</f>
        <v/>
      </c>
      <c r="DI39">
        <f>IF(OR(ISNA(DE39),ISNA(DE38)),NA(),ABS(DE39-DE38))</f>
        <v/>
      </c>
      <c r="DJ39">
        <f>IF(ISNA(DD39),NA(),Capability!$N$7)</f>
        <v/>
      </c>
      <c r="DK39">
        <f>IF(ISNA(DD39),NA(),IF(OR(Capability!$Q$7="",Settings!$F$7&lt;&gt;"Y"),NA(),Capability!$Q$7))</f>
        <v/>
      </c>
      <c r="DL39">
        <f>IF(ISNA(DD39),NA(),IF(OR(Capability!$P$7="",Settings!$F$7&lt;&gt;"Y"),NA(),Capability!$P$7))</f>
        <v/>
      </c>
      <c r="DR39">
        <f>IF((DU$1+35)&gt;DS$1,NA(),(DU$1+35)-4)</f>
        <v/>
      </c>
      <c r="DS39">
        <f>IF((DU$1+35)&gt;DS$1,NA(),INDEX('Data Entry'!$K$5:$K$10004,(DU$1+35)-4))</f>
        <v/>
      </c>
      <c r="DT39">
        <f>IF(ISNA(DR39),NA(),Capability!$K$8)</f>
        <v/>
      </c>
      <c r="DU39">
        <f>IF(ISNA(DR39),NA(),Capability!$J$8)</f>
        <v/>
      </c>
      <c r="DV39">
        <f>IF(ISNA(DR39),NA(),Capability!$L$8)</f>
        <v/>
      </c>
      <c r="DW39">
        <f>IF(OR(ISNA(DS39),ISNA(DS38)),NA(),ABS(DS39-DS38))</f>
        <v/>
      </c>
      <c r="DX39">
        <f>IF(ISNA(DR39),NA(),Capability!$N$8)</f>
        <v/>
      </c>
      <c r="DY39">
        <f>IF(ISNA(DR39),NA(),IF(OR(Capability!$Q$8="",Settings!$F$7&lt;&gt;"Y"),NA(),Capability!$Q$8))</f>
        <v/>
      </c>
      <c r="DZ39">
        <f>IF(ISNA(DR39),NA(),IF(OR(Capability!$P$8="",Settings!$F$7&lt;&gt;"Y"),NA(),Capability!$P$8))</f>
        <v/>
      </c>
      <c r="EF39">
        <f>IF((EI$1+35)&gt;EG$1,NA(),(EI$1+35)-4)</f>
        <v/>
      </c>
      <c r="EG39">
        <f>IF((EI$1+35)&gt;EG$1,NA(),INDEX('Data Entry'!$L$5:$L$10004,(EI$1+35)-4))</f>
        <v/>
      </c>
      <c r="EH39">
        <f>IF(ISNA(EF39),NA(),Capability!$K$9)</f>
        <v/>
      </c>
      <c r="EI39">
        <f>IF(ISNA(EF39),NA(),Capability!$J$9)</f>
        <v/>
      </c>
      <c r="EJ39">
        <f>IF(ISNA(EF39),NA(),Capability!$L$9)</f>
        <v/>
      </c>
      <c r="EK39">
        <f>IF(OR(ISNA(EG39),ISNA(EG38)),NA(),ABS(EG39-EG38))</f>
        <v/>
      </c>
      <c r="EL39">
        <f>IF(ISNA(EF39),NA(),Capability!$N$9)</f>
        <v/>
      </c>
      <c r="EM39">
        <f>IF(ISNA(EF39),NA(),IF(OR(Capability!$Q$9="",Settings!$F$7&lt;&gt;"Y"),NA(),Capability!$Q$9))</f>
        <v/>
      </c>
      <c r="EN39">
        <f>IF(ISNA(EF39),NA(),IF(OR(Capability!$P$9="",Settings!$F$7&lt;&gt;"Y"),NA(),Capability!$P$9))</f>
        <v/>
      </c>
      <c r="ET39">
        <f>IF((EW$1+35)&gt;EU$1,NA(),(EW$1+35)-4)</f>
        <v/>
      </c>
      <c r="EU39">
        <f>IF((EW$1+35)&gt;EU$1,NA(),INDEX('Data Entry'!$M$5:$M$10004,(EW$1+35)-4))</f>
        <v/>
      </c>
      <c r="EV39">
        <f>IF(ISNA(ET39),NA(),Capability!$K$10)</f>
        <v/>
      </c>
      <c r="EW39">
        <f>IF(ISNA(ET39),NA(),Capability!$J$10)</f>
        <v/>
      </c>
      <c r="EX39">
        <f>IF(ISNA(ET39),NA(),Capability!$L$10)</f>
        <v/>
      </c>
      <c r="EY39">
        <f>IF(OR(ISNA(EU39),ISNA(EU38)),NA(),ABS(EU39-EU38))</f>
        <v/>
      </c>
      <c r="EZ39">
        <f>IF(ISNA(ET39),NA(),Capability!$N$10)</f>
        <v/>
      </c>
      <c r="FA39">
        <f>IF(ISNA(ET39),NA(),IF(OR(Capability!$Q$10="",Settings!$F$7&lt;&gt;"Y"),NA(),Capability!$Q$10))</f>
        <v/>
      </c>
      <c r="FB39">
        <f>IF(ISNA(ET39),NA(),IF(OR(Capability!$P$10="",Settings!$F$7&lt;&gt;"Y"),NA(),Capability!$P$10))</f>
        <v/>
      </c>
      <c r="FH39">
        <f>IF((FK$1+35)&gt;FI$1,NA(),(FK$1+35)-4)</f>
        <v/>
      </c>
      <c r="FI39">
        <f>IF((FK$1+35)&gt;FI$1,NA(),INDEX('Data Entry'!$N$5:$N$10004,(FK$1+35)-4))</f>
        <v/>
      </c>
      <c r="FJ39">
        <f>IF(ISNA(FH39),NA(),Capability!$K$11)</f>
        <v/>
      </c>
      <c r="FK39">
        <f>IF(ISNA(FH39),NA(),Capability!$J$11)</f>
        <v/>
      </c>
      <c r="FL39">
        <f>IF(ISNA(FH39),NA(),Capability!$L$11)</f>
        <v/>
      </c>
      <c r="FM39">
        <f>IF(OR(ISNA(FI39),ISNA(FI38)),NA(),ABS(FI39-FI38))</f>
        <v/>
      </c>
      <c r="FN39">
        <f>IF(ISNA(FH39),NA(),Capability!$N$11)</f>
        <v/>
      </c>
      <c r="FO39">
        <f>IF(ISNA(FH39),NA(),IF(OR(Capability!$Q$11="",Settings!$F$7&lt;&gt;"Y"),NA(),Capability!$Q$11))</f>
        <v/>
      </c>
      <c r="FP39">
        <f>IF(ISNA(FH39),NA(),IF(OR(Capability!$P$11="",Settings!$F$7&lt;&gt;"Y"),NA(),Capability!$P$11))</f>
        <v/>
      </c>
      <c r="FV39">
        <f>IF((FY$1+35)&gt;FW$1,NA(),(FY$1+35)-4)</f>
        <v/>
      </c>
      <c r="FW39">
        <f>IF((FY$1+35)&gt;FW$1,NA(),INDEX('Data Entry'!$O$5:$O$10004,(FY$1+35)-4))</f>
        <v/>
      </c>
      <c r="FX39">
        <f>IF(ISNA(FV39),NA(),Capability!$K$12)</f>
        <v/>
      </c>
      <c r="FY39">
        <f>IF(ISNA(FV39),NA(),Capability!$J$12)</f>
        <v/>
      </c>
      <c r="FZ39">
        <f>IF(ISNA(FV39),NA(),Capability!$L$12)</f>
        <v/>
      </c>
      <c r="GA39">
        <f>IF(OR(ISNA(FW39),ISNA(FW38)),NA(),ABS(FW39-FW38))</f>
        <v/>
      </c>
      <c r="GB39">
        <f>IF(ISNA(FV39),NA(),Capability!$N$12)</f>
        <v/>
      </c>
      <c r="GC39">
        <f>IF(ISNA(FV39),NA(),IF(OR(Capability!$Q$12="",Settings!$F$7&lt;&gt;"Y"),NA(),Capability!$Q$12))</f>
        <v/>
      </c>
      <c r="GD39">
        <f>IF(ISNA(FV39),NA(),IF(OR(Capability!$P$12="",Settings!$F$7&lt;&gt;"Y"),NA(),Capability!$P$12))</f>
        <v/>
      </c>
      <c r="GJ39">
        <f>IF((GM$1+35)&gt;GK$1,NA(),(GM$1+35)-4)</f>
        <v/>
      </c>
      <c r="GK39">
        <f>IF((GM$1+35)&gt;GK$1,NA(),INDEX('Data Entry'!$P$5:$P$10004,(GM$1+35)-4))</f>
        <v/>
      </c>
      <c r="GL39">
        <f>IF(ISNA(GJ39),NA(),Capability!$K$13)</f>
        <v/>
      </c>
      <c r="GM39">
        <f>IF(ISNA(GJ39),NA(),Capability!$J$13)</f>
        <v/>
      </c>
      <c r="GN39">
        <f>IF(ISNA(GJ39),NA(),Capability!$L$13)</f>
        <v/>
      </c>
      <c r="GO39">
        <f>IF(OR(ISNA(GK39),ISNA(GK38)),NA(),ABS(GK39-GK38))</f>
        <v/>
      </c>
      <c r="GP39">
        <f>IF(ISNA(GJ39),NA(),Capability!$N$13)</f>
        <v/>
      </c>
      <c r="GQ39">
        <f>IF(ISNA(GJ39),NA(),IF(OR(Capability!$Q$13="",Settings!$F$7&lt;&gt;"Y"),NA(),Capability!$Q$13))</f>
        <v/>
      </c>
      <c r="GR39">
        <f>IF(ISNA(GJ39),NA(),IF(OR(Capability!$P$13="",Settings!$F$7&lt;&gt;"Y"),NA(),Capability!$P$13))</f>
        <v/>
      </c>
      <c r="GX39">
        <f>IF((HA$1+35)&gt;GY$1,NA(),(HA$1+35)-4)</f>
        <v/>
      </c>
      <c r="GY39">
        <f>IF((HA$1+35)&gt;GY$1,NA(),INDEX('Data Entry'!$Q$5:$Q$10004,(HA$1+35)-4))</f>
        <v/>
      </c>
      <c r="GZ39">
        <f>IF(ISNA(GX39),NA(),Capability!$K$14)</f>
        <v/>
      </c>
      <c r="HA39">
        <f>IF(ISNA(GX39),NA(),Capability!$J$14)</f>
        <v/>
      </c>
      <c r="HB39">
        <f>IF(ISNA(GX39),NA(),Capability!$L$14)</f>
        <v/>
      </c>
      <c r="HC39">
        <f>IF(OR(ISNA(GY39),ISNA(GY38)),NA(),ABS(GY39-GY38))</f>
        <v/>
      </c>
      <c r="HD39">
        <f>IF(ISNA(GX39),NA(),Capability!$N$14)</f>
        <v/>
      </c>
      <c r="HE39">
        <f>IF(ISNA(GX39),NA(),IF(OR(Capability!$Q$14="",Settings!$F$7&lt;&gt;"Y"),NA(),Capability!$Q$14))</f>
        <v/>
      </c>
      <c r="HF39">
        <f>IF(ISNA(GX39),NA(),IF(OR(Capability!$P$14="",Settings!$F$7&lt;&gt;"Y"),NA(),Capability!$P$14))</f>
        <v/>
      </c>
    </row>
    <row r="40">
      <c r="CB40">
        <f>IF((CE$1+36)&gt;CC$1,NA(),(CE$1+36)-4)</f>
        <v/>
      </c>
      <c r="CC40">
        <f>IF((CE$1+36)&gt;CC$1,NA(),INDEX('Data Entry'!$H$5:$H$10004,(CE$1+36)-4))</f>
        <v/>
      </c>
      <c r="CD40">
        <f>IF(ISNA(CB40),NA(),Capability!$K$5)</f>
        <v/>
      </c>
      <c r="CE40">
        <f>IF(ISNA(CB40),NA(),Capability!$J$5)</f>
        <v/>
      </c>
      <c r="CF40">
        <f>IF(ISNA(CB40),NA(),Capability!$L$5)</f>
        <v/>
      </c>
      <c r="CG40">
        <f>IF(OR(ISNA(CC40),ISNA(CC39)),NA(),ABS(CC40-CC39))</f>
        <v/>
      </c>
      <c r="CH40">
        <f>IF(ISNA(CB40),NA(),Capability!$N$5)</f>
        <v/>
      </c>
      <c r="CI40">
        <f>IF(ISNA(CB40),NA(),IF(OR(Capability!$Q$5="",Settings!$F$7&lt;&gt;"Y"),NA(),Capability!$Q$5))</f>
        <v/>
      </c>
      <c r="CJ40">
        <f>IF(ISNA(CB40),NA(),IF(OR(Capability!$P$5="",Settings!$F$7&lt;&gt;"Y"),NA(),Capability!$P$5))</f>
        <v/>
      </c>
      <c r="CP40">
        <f>IF((CS$1+36)&gt;CQ$1,NA(),(CS$1+36)-4)</f>
        <v/>
      </c>
      <c r="CQ40">
        <f>IF((CS$1+36)&gt;CQ$1,NA(),INDEX('Data Entry'!$I$5:$I$10004,(CS$1+36)-4))</f>
        <v/>
      </c>
      <c r="CR40">
        <f>IF(ISNA(CP40),NA(),Capability!$K$6)</f>
        <v/>
      </c>
      <c r="CS40">
        <f>IF(ISNA(CP40),NA(),Capability!$J$6)</f>
        <v/>
      </c>
      <c r="CT40">
        <f>IF(ISNA(CP40),NA(),Capability!$L$6)</f>
        <v/>
      </c>
      <c r="CU40">
        <f>IF(OR(ISNA(CQ40),ISNA(CQ39)),NA(),ABS(CQ40-CQ39))</f>
        <v/>
      </c>
      <c r="CV40">
        <f>IF(ISNA(CP40),NA(),Capability!$N$6)</f>
        <v/>
      </c>
      <c r="CW40">
        <f>IF(ISNA(CP40),NA(),IF(OR(Capability!$Q$6="",Settings!$F$7&lt;&gt;"Y"),NA(),Capability!$Q$6))</f>
        <v/>
      </c>
      <c r="CX40">
        <f>IF(ISNA(CP40),NA(),IF(OR(Capability!$P$6="",Settings!$F$7&lt;&gt;"Y"),NA(),Capability!$P$6))</f>
        <v/>
      </c>
      <c r="DD40">
        <f>IF((DG$1+36)&gt;DE$1,NA(),(DG$1+36)-4)</f>
        <v/>
      </c>
      <c r="DE40">
        <f>IF((DG$1+36)&gt;DE$1,NA(),INDEX('Data Entry'!$J$5:$J$10004,(DG$1+36)-4))</f>
        <v/>
      </c>
      <c r="DF40">
        <f>IF(ISNA(DD40),NA(),Capability!$K$7)</f>
        <v/>
      </c>
      <c r="DG40">
        <f>IF(ISNA(DD40),NA(),Capability!$J$7)</f>
        <v/>
      </c>
      <c r="DH40">
        <f>IF(ISNA(DD40),NA(),Capability!$L$7)</f>
        <v/>
      </c>
      <c r="DI40">
        <f>IF(OR(ISNA(DE40),ISNA(DE39)),NA(),ABS(DE40-DE39))</f>
        <v/>
      </c>
      <c r="DJ40">
        <f>IF(ISNA(DD40),NA(),Capability!$N$7)</f>
        <v/>
      </c>
      <c r="DK40">
        <f>IF(ISNA(DD40),NA(),IF(OR(Capability!$Q$7="",Settings!$F$7&lt;&gt;"Y"),NA(),Capability!$Q$7))</f>
        <v/>
      </c>
      <c r="DL40">
        <f>IF(ISNA(DD40),NA(),IF(OR(Capability!$P$7="",Settings!$F$7&lt;&gt;"Y"),NA(),Capability!$P$7))</f>
        <v/>
      </c>
      <c r="DR40">
        <f>IF((DU$1+36)&gt;DS$1,NA(),(DU$1+36)-4)</f>
        <v/>
      </c>
      <c r="DS40">
        <f>IF((DU$1+36)&gt;DS$1,NA(),INDEX('Data Entry'!$K$5:$K$10004,(DU$1+36)-4))</f>
        <v/>
      </c>
      <c r="DT40">
        <f>IF(ISNA(DR40),NA(),Capability!$K$8)</f>
        <v/>
      </c>
      <c r="DU40">
        <f>IF(ISNA(DR40),NA(),Capability!$J$8)</f>
        <v/>
      </c>
      <c r="DV40">
        <f>IF(ISNA(DR40),NA(),Capability!$L$8)</f>
        <v/>
      </c>
      <c r="DW40">
        <f>IF(OR(ISNA(DS40),ISNA(DS39)),NA(),ABS(DS40-DS39))</f>
        <v/>
      </c>
      <c r="DX40">
        <f>IF(ISNA(DR40),NA(),Capability!$N$8)</f>
        <v/>
      </c>
      <c r="DY40">
        <f>IF(ISNA(DR40),NA(),IF(OR(Capability!$Q$8="",Settings!$F$7&lt;&gt;"Y"),NA(),Capability!$Q$8))</f>
        <v/>
      </c>
      <c r="DZ40">
        <f>IF(ISNA(DR40),NA(),IF(OR(Capability!$P$8="",Settings!$F$7&lt;&gt;"Y"),NA(),Capability!$P$8))</f>
        <v/>
      </c>
      <c r="EF40">
        <f>IF((EI$1+36)&gt;EG$1,NA(),(EI$1+36)-4)</f>
        <v/>
      </c>
      <c r="EG40">
        <f>IF((EI$1+36)&gt;EG$1,NA(),INDEX('Data Entry'!$L$5:$L$10004,(EI$1+36)-4))</f>
        <v/>
      </c>
      <c r="EH40">
        <f>IF(ISNA(EF40),NA(),Capability!$K$9)</f>
        <v/>
      </c>
      <c r="EI40">
        <f>IF(ISNA(EF40),NA(),Capability!$J$9)</f>
        <v/>
      </c>
      <c r="EJ40">
        <f>IF(ISNA(EF40),NA(),Capability!$L$9)</f>
        <v/>
      </c>
      <c r="EK40">
        <f>IF(OR(ISNA(EG40),ISNA(EG39)),NA(),ABS(EG40-EG39))</f>
        <v/>
      </c>
      <c r="EL40">
        <f>IF(ISNA(EF40),NA(),Capability!$N$9)</f>
        <v/>
      </c>
      <c r="EM40">
        <f>IF(ISNA(EF40),NA(),IF(OR(Capability!$Q$9="",Settings!$F$7&lt;&gt;"Y"),NA(),Capability!$Q$9))</f>
        <v/>
      </c>
      <c r="EN40">
        <f>IF(ISNA(EF40),NA(),IF(OR(Capability!$P$9="",Settings!$F$7&lt;&gt;"Y"),NA(),Capability!$P$9))</f>
        <v/>
      </c>
      <c r="ET40">
        <f>IF((EW$1+36)&gt;EU$1,NA(),(EW$1+36)-4)</f>
        <v/>
      </c>
      <c r="EU40">
        <f>IF((EW$1+36)&gt;EU$1,NA(),INDEX('Data Entry'!$M$5:$M$10004,(EW$1+36)-4))</f>
        <v/>
      </c>
      <c r="EV40">
        <f>IF(ISNA(ET40),NA(),Capability!$K$10)</f>
        <v/>
      </c>
      <c r="EW40">
        <f>IF(ISNA(ET40),NA(),Capability!$J$10)</f>
        <v/>
      </c>
      <c r="EX40">
        <f>IF(ISNA(ET40),NA(),Capability!$L$10)</f>
        <v/>
      </c>
      <c r="EY40">
        <f>IF(OR(ISNA(EU40),ISNA(EU39)),NA(),ABS(EU40-EU39))</f>
        <v/>
      </c>
      <c r="EZ40">
        <f>IF(ISNA(ET40),NA(),Capability!$N$10)</f>
        <v/>
      </c>
      <c r="FA40">
        <f>IF(ISNA(ET40),NA(),IF(OR(Capability!$Q$10="",Settings!$F$7&lt;&gt;"Y"),NA(),Capability!$Q$10))</f>
        <v/>
      </c>
      <c r="FB40">
        <f>IF(ISNA(ET40),NA(),IF(OR(Capability!$P$10="",Settings!$F$7&lt;&gt;"Y"),NA(),Capability!$P$10))</f>
        <v/>
      </c>
      <c r="FH40">
        <f>IF((FK$1+36)&gt;FI$1,NA(),(FK$1+36)-4)</f>
        <v/>
      </c>
      <c r="FI40">
        <f>IF((FK$1+36)&gt;FI$1,NA(),INDEX('Data Entry'!$N$5:$N$10004,(FK$1+36)-4))</f>
        <v/>
      </c>
      <c r="FJ40">
        <f>IF(ISNA(FH40),NA(),Capability!$K$11)</f>
        <v/>
      </c>
      <c r="FK40">
        <f>IF(ISNA(FH40),NA(),Capability!$J$11)</f>
        <v/>
      </c>
      <c r="FL40">
        <f>IF(ISNA(FH40),NA(),Capability!$L$11)</f>
        <v/>
      </c>
      <c r="FM40">
        <f>IF(OR(ISNA(FI40),ISNA(FI39)),NA(),ABS(FI40-FI39))</f>
        <v/>
      </c>
      <c r="FN40">
        <f>IF(ISNA(FH40),NA(),Capability!$N$11)</f>
        <v/>
      </c>
      <c r="FO40">
        <f>IF(ISNA(FH40),NA(),IF(OR(Capability!$Q$11="",Settings!$F$7&lt;&gt;"Y"),NA(),Capability!$Q$11))</f>
        <v/>
      </c>
      <c r="FP40">
        <f>IF(ISNA(FH40),NA(),IF(OR(Capability!$P$11="",Settings!$F$7&lt;&gt;"Y"),NA(),Capability!$P$11))</f>
        <v/>
      </c>
      <c r="FV40">
        <f>IF((FY$1+36)&gt;FW$1,NA(),(FY$1+36)-4)</f>
        <v/>
      </c>
      <c r="FW40">
        <f>IF((FY$1+36)&gt;FW$1,NA(),INDEX('Data Entry'!$O$5:$O$10004,(FY$1+36)-4))</f>
        <v/>
      </c>
      <c r="FX40">
        <f>IF(ISNA(FV40),NA(),Capability!$K$12)</f>
        <v/>
      </c>
      <c r="FY40">
        <f>IF(ISNA(FV40),NA(),Capability!$J$12)</f>
        <v/>
      </c>
      <c r="FZ40">
        <f>IF(ISNA(FV40),NA(),Capability!$L$12)</f>
        <v/>
      </c>
      <c r="GA40">
        <f>IF(OR(ISNA(FW40),ISNA(FW39)),NA(),ABS(FW40-FW39))</f>
        <v/>
      </c>
      <c r="GB40">
        <f>IF(ISNA(FV40),NA(),Capability!$N$12)</f>
        <v/>
      </c>
      <c r="GC40">
        <f>IF(ISNA(FV40),NA(),IF(OR(Capability!$Q$12="",Settings!$F$7&lt;&gt;"Y"),NA(),Capability!$Q$12))</f>
        <v/>
      </c>
      <c r="GD40">
        <f>IF(ISNA(FV40),NA(),IF(OR(Capability!$P$12="",Settings!$F$7&lt;&gt;"Y"),NA(),Capability!$P$12))</f>
        <v/>
      </c>
      <c r="GJ40">
        <f>IF((GM$1+36)&gt;GK$1,NA(),(GM$1+36)-4)</f>
        <v/>
      </c>
      <c r="GK40">
        <f>IF((GM$1+36)&gt;GK$1,NA(),INDEX('Data Entry'!$P$5:$P$10004,(GM$1+36)-4))</f>
        <v/>
      </c>
      <c r="GL40">
        <f>IF(ISNA(GJ40),NA(),Capability!$K$13)</f>
        <v/>
      </c>
      <c r="GM40">
        <f>IF(ISNA(GJ40),NA(),Capability!$J$13)</f>
        <v/>
      </c>
      <c r="GN40">
        <f>IF(ISNA(GJ40),NA(),Capability!$L$13)</f>
        <v/>
      </c>
      <c r="GO40">
        <f>IF(OR(ISNA(GK40),ISNA(GK39)),NA(),ABS(GK40-GK39))</f>
        <v/>
      </c>
      <c r="GP40">
        <f>IF(ISNA(GJ40),NA(),Capability!$N$13)</f>
        <v/>
      </c>
      <c r="GQ40">
        <f>IF(ISNA(GJ40),NA(),IF(OR(Capability!$Q$13="",Settings!$F$7&lt;&gt;"Y"),NA(),Capability!$Q$13))</f>
        <v/>
      </c>
      <c r="GR40">
        <f>IF(ISNA(GJ40),NA(),IF(OR(Capability!$P$13="",Settings!$F$7&lt;&gt;"Y"),NA(),Capability!$P$13))</f>
        <v/>
      </c>
      <c r="GX40">
        <f>IF((HA$1+36)&gt;GY$1,NA(),(HA$1+36)-4)</f>
        <v/>
      </c>
      <c r="GY40">
        <f>IF((HA$1+36)&gt;GY$1,NA(),INDEX('Data Entry'!$Q$5:$Q$10004,(HA$1+36)-4))</f>
        <v/>
      </c>
      <c r="GZ40">
        <f>IF(ISNA(GX40),NA(),Capability!$K$14)</f>
        <v/>
      </c>
      <c r="HA40">
        <f>IF(ISNA(GX40),NA(),Capability!$J$14)</f>
        <v/>
      </c>
      <c r="HB40">
        <f>IF(ISNA(GX40),NA(),Capability!$L$14)</f>
        <v/>
      </c>
      <c r="HC40">
        <f>IF(OR(ISNA(GY40),ISNA(GY39)),NA(),ABS(GY40-GY39))</f>
        <v/>
      </c>
      <c r="HD40">
        <f>IF(ISNA(GX40),NA(),Capability!$N$14)</f>
        <v/>
      </c>
      <c r="HE40">
        <f>IF(ISNA(GX40),NA(),IF(OR(Capability!$Q$14="",Settings!$F$7&lt;&gt;"Y"),NA(),Capability!$Q$14))</f>
        <v/>
      </c>
      <c r="HF40">
        <f>IF(ISNA(GX40),NA(),IF(OR(Capability!$P$14="",Settings!$F$7&lt;&gt;"Y"),NA(),Capability!$P$14))</f>
        <v/>
      </c>
    </row>
    <row r="41">
      <c r="CB41">
        <f>IF((CE$1+37)&gt;CC$1,NA(),(CE$1+37)-4)</f>
        <v/>
      </c>
      <c r="CC41">
        <f>IF((CE$1+37)&gt;CC$1,NA(),INDEX('Data Entry'!$H$5:$H$10004,(CE$1+37)-4))</f>
        <v/>
      </c>
      <c r="CD41">
        <f>IF(ISNA(CB41),NA(),Capability!$K$5)</f>
        <v/>
      </c>
      <c r="CE41">
        <f>IF(ISNA(CB41),NA(),Capability!$J$5)</f>
        <v/>
      </c>
      <c r="CF41">
        <f>IF(ISNA(CB41),NA(),Capability!$L$5)</f>
        <v/>
      </c>
      <c r="CG41">
        <f>IF(OR(ISNA(CC41),ISNA(CC40)),NA(),ABS(CC41-CC40))</f>
        <v/>
      </c>
      <c r="CH41">
        <f>IF(ISNA(CB41),NA(),Capability!$N$5)</f>
        <v/>
      </c>
      <c r="CI41">
        <f>IF(ISNA(CB41),NA(),IF(OR(Capability!$Q$5="",Settings!$F$7&lt;&gt;"Y"),NA(),Capability!$Q$5))</f>
        <v/>
      </c>
      <c r="CJ41">
        <f>IF(ISNA(CB41),NA(),IF(OR(Capability!$P$5="",Settings!$F$7&lt;&gt;"Y"),NA(),Capability!$P$5))</f>
        <v/>
      </c>
      <c r="CP41">
        <f>IF((CS$1+37)&gt;CQ$1,NA(),(CS$1+37)-4)</f>
        <v/>
      </c>
      <c r="CQ41">
        <f>IF((CS$1+37)&gt;CQ$1,NA(),INDEX('Data Entry'!$I$5:$I$10004,(CS$1+37)-4))</f>
        <v/>
      </c>
      <c r="CR41">
        <f>IF(ISNA(CP41),NA(),Capability!$K$6)</f>
        <v/>
      </c>
      <c r="CS41">
        <f>IF(ISNA(CP41),NA(),Capability!$J$6)</f>
        <v/>
      </c>
      <c r="CT41">
        <f>IF(ISNA(CP41),NA(),Capability!$L$6)</f>
        <v/>
      </c>
      <c r="CU41">
        <f>IF(OR(ISNA(CQ41),ISNA(CQ40)),NA(),ABS(CQ41-CQ40))</f>
        <v/>
      </c>
      <c r="CV41">
        <f>IF(ISNA(CP41),NA(),Capability!$N$6)</f>
        <v/>
      </c>
      <c r="CW41">
        <f>IF(ISNA(CP41),NA(),IF(OR(Capability!$Q$6="",Settings!$F$7&lt;&gt;"Y"),NA(),Capability!$Q$6))</f>
        <v/>
      </c>
      <c r="CX41">
        <f>IF(ISNA(CP41),NA(),IF(OR(Capability!$P$6="",Settings!$F$7&lt;&gt;"Y"),NA(),Capability!$P$6))</f>
        <v/>
      </c>
      <c r="DD41">
        <f>IF((DG$1+37)&gt;DE$1,NA(),(DG$1+37)-4)</f>
        <v/>
      </c>
      <c r="DE41">
        <f>IF((DG$1+37)&gt;DE$1,NA(),INDEX('Data Entry'!$J$5:$J$10004,(DG$1+37)-4))</f>
        <v/>
      </c>
      <c r="DF41">
        <f>IF(ISNA(DD41),NA(),Capability!$K$7)</f>
        <v/>
      </c>
      <c r="DG41">
        <f>IF(ISNA(DD41),NA(),Capability!$J$7)</f>
        <v/>
      </c>
      <c r="DH41">
        <f>IF(ISNA(DD41),NA(),Capability!$L$7)</f>
        <v/>
      </c>
      <c r="DI41">
        <f>IF(OR(ISNA(DE41),ISNA(DE40)),NA(),ABS(DE41-DE40))</f>
        <v/>
      </c>
      <c r="DJ41">
        <f>IF(ISNA(DD41),NA(),Capability!$N$7)</f>
        <v/>
      </c>
      <c r="DK41">
        <f>IF(ISNA(DD41),NA(),IF(OR(Capability!$Q$7="",Settings!$F$7&lt;&gt;"Y"),NA(),Capability!$Q$7))</f>
        <v/>
      </c>
      <c r="DL41">
        <f>IF(ISNA(DD41),NA(),IF(OR(Capability!$P$7="",Settings!$F$7&lt;&gt;"Y"),NA(),Capability!$P$7))</f>
        <v/>
      </c>
      <c r="DR41">
        <f>IF((DU$1+37)&gt;DS$1,NA(),(DU$1+37)-4)</f>
        <v/>
      </c>
      <c r="DS41">
        <f>IF((DU$1+37)&gt;DS$1,NA(),INDEX('Data Entry'!$K$5:$K$10004,(DU$1+37)-4))</f>
        <v/>
      </c>
      <c r="DT41">
        <f>IF(ISNA(DR41),NA(),Capability!$K$8)</f>
        <v/>
      </c>
      <c r="DU41">
        <f>IF(ISNA(DR41),NA(),Capability!$J$8)</f>
        <v/>
      </c>
      <c r="DV41">
        <f>IF(ISNA(DR41),NA(),Capability!$L$8)</f>
        <v/>
      </c>
      <c r="DW41">
        <f>IF(OR(ISNA(DS41),ISNA(DS40)),NA(),ABS(DS41-DS40))</f>
        <v/>
      </c>
      <c r="DX41">
        <f>IF(ISNA(DR41),NA(),Capability!$N$8)</f>
        <v/>
      </c>
      <c r="DY41">
        <f>IF(ISNA(DR41),NA(),IF(OR(Capability!$Q$8="",Settings!$F$7&lt;&gt;"Y"),NA(),Capability!$Q$8))</f>
        <v/>
      </c>
      <c r="DZ41">
        <f>IF(ISNA(DR41),NA(),IF(OR(Capability!$P$8="",Settings!$F$7&lt;&gt;"Y"),NA(),Capability!$P$8))</f>
        <v/>
      </c>
      <c r="EF41">
        <f>IF((EI$1+37)&gt;EG$1,NA(),(EI$1+37)-4)</f>
        <v/>
      </c>
      <c r="EG41">
        <f>IF((EI$1+37)&gt;EG$1,NA(),INDEX('Data Entry'!$L$5:$L$10004,(EI$1+37)-4))</f>
        <v/>
      </c>
      <c r="EH41">
        <f>IF(ISNA(EF41),NA(),Capability!$K$9)</f>
        <v/>
      </c>
      <c r="EI41">
        <f>IF(ISNA(EF41),NA(),Capability!$J$9)</f>
        <v/>
      </c>
      <c r="EJ41">
        <f>IF(ISNA(EF41),NA(),Capability!$L$9)</f>
        <v/>
      </c>
      <c r="EK41">
        <f>IF(OR(ISNA(EG41),ISNA(EG40)),NA(),ABS(EG41-EG40))</f>
        <v/>
      </c>
      <c r="EL41">
        <f>IF(ISNA(EF41),NA(),Capability!$N$9)</f>
        <v/>
      </c>
      <c r="EM41">
        <f>IF(ISNA(EF41),NA(),IF(OR(Capability!$Q$9="",Settings!$F$7&lt;&gt;"Y"),NA(),Capability!$Q$9))</f>
        <v/>
      </c>
      <c r="EN41">
        <f>IF(ISNA(EF41),NA(),IF(OR(Capability!$P$9="",Settings!$F$7&lt;&gt;"Y"),NA(),Capability!$P$9))</f>
        <v/>
      </c>
      <c r="ET41">
        <f>IF((EW$1+37)&gt;EU$1,NA(),(EW$1+37)-4)</f>
        <v/>
      </c>
      <c r="EU41">
        <f>IF((EW$1+37)&gt;EU$1,NA(),INDEX('Data Entry'!$M$5:$M$10004,(EW$1+37)-4))</f>
        <v/>
      </c>
      <c r="EV41">
        <f>IF(ISNA(ET41),NA(),Capability!$K$10)</f>
        <v/>
      </c>
      <c r="EW41">
        <f>IF(ISNA(ET41),NA(),Capability!$J$10)</f>
        <v/>
      </c>
      <c r="EX41">
        <f>IF(ISNA(ET41),NA(),Capability!$L$10)</f>
        <v/>
      </c>
      <c r="EY41">
        <f>IF(OR(ISNA(EU41),ISNA(EU40)),NA(),ABS(EU41-EU40))</f>
        <v/>
      </c>
      <c r="EZ41">
        <f>IF(ISNA(ET41),NA(),Capability!$N$10)</f>
        <v/>
      </c>
      <c r="FA41">
        <f>IF(ISNA(ET41),NA(),IF(OR(Capability!$Q$10="",Settings!$F$7&lt;&gt;"Y"),NA(),Capability!$Q$10))</f>
        <v/>
      </c>
      <c r="FB41">
        <f>IF(ISNA(ET41),NA(),IF(OR(Capability!$P$10="",Settings!$F$7&lt;&gt;"Y"),NA(),Capability!$P$10))</f>
        <v/>
      </c>
      <c r="FH41">
        <f>IF((FK$1+37)&gt;FI$1,NA(),(FK$1+37)-4)</f>
        <v/>
      </c>
      <c r="FI41">
        <f>IF((FK$1+37)&gt;FI$1,NA(),INDEX('Data Entry'!$N$5:$N$10004,(FK$1+37)-4))</f>
        <v/>
      </c>
      <c r="FJ41">
        <f>IF(ISNA(FH41),NA(),Capability!$K$11)</f>
        <v/>
      </c>
      <c r="FK41">
        <f>IF(ISNA(FH41),NA(),Capability!$J$11)</f>
        <v/>
      </c>
      <c r="FL41">
        <f>IF(ISNA(FH41),NA(),Capability!$L$11)</f>
        <v/>
      </c>
      <c r="FM41">
        <f>IF(OR(ISNA(FI41),ISNA(FI40)),NA(),ABS(FI41-FI40))</f>
        <v/>
      </c>
      <c r="FN41">
        <f>IF(ISNA(FH41),NA(),Capability!$N$11)</f>
        <v/>
      </c>
      <c r="FO41">
        <f>IF(ISNA(FH41),NA(),IF(OR(Capability!$Q$11="",Settings!$F$7&lt;&gt;"Y"),NA(),Capability!$Q$11))</f>
        <v/>
      </c>
      <c r="FP41">
        <f>IF(ISNA(FH41),NA(),IF(OR(Capability!$P$11="",Settings!$F$7&lt;&gt;"Y"),NA(),Capability!$P$11))</f>
        <v/>
      </c>
      <c r="FV41">
        <f>IF((FY$1+37)&gt;FW$1,NA(),(FY$1+37)-4)</f>
        <v/>
      </c>
      <c r="FW41">
        <f>IF((FY$1+37)&gt;FW$1,NA(),INDEX('Data Entry'!$O$5:$O$10004,(FY$1+37)-4))</f>
        <v/>
      </c>
      <c r="FX41">
        <f>IF(ISNA(FV41),NA(),Capability!$K$12)</f>
        <v/>
      </c>
      <c r="FY41">
        <f>IF(ISNA(FV41),NA(),Capability!$J$12)</f>
        <v/>
      </c>
      <c r="FZ41">
        <f>IF(ISNA(FV41),NA(),Capability!$L$12)</f>
        <v/>
      </c>
      <c r="GA41">
        <f>IF(OR(ISNA(FW41),ISNA(FW40)),NA(),ABS(FW41-FW40))</f>
        <v/>
      </c>
      <c r="GB41">
        <f>IF(ISNA(FV41),NA(),Capability!$N$12)</f>
        <v/>
      </c>
      <c r="GC41">
        <f>IF(ISNA(FV41),NA(),IF(OR(Capability!$Q$12="",Settings!$F$7&lt;&gt;"Y"),NA(),Capability!$Q$12))</f>
        <v/>
      </c>
      <c r="GD41">
        <f>IF(ISNA(FV41),NA(),IF(OR(Capability!$P$12="",Settings!$F$7&lt;&gt;"Y"),NA(),Capability!$P$12))</f>
        <v/>
      </c>
      <c r="GJ41">
        <f>IF((GM$1+37)&gt;GK$1,NA(),(GM$1+37)-4)</f>
        <v/>
      </c>
      <c r="GK41">
        <f>IF((GM$1+37)&gt;GK$1,NA(),INDEX('Data Entry'!$P$5:$P$10004,(GM$1+37)-4))</f>
        <v/>
      </c>
      <c r="GL41">
        <f>IF(ISNA(GJ41),NA(),Capability!$K$13)</f>
        <v/>
      </c>
      <c r="GM41">
        <f>IF(ISNA(GJ41),NA(),Capability!$J$13)</f>
        <v/>
      </c>
      <c r="GN41">
        <f>IF(ISNA(GJ41),NA(),Capability!$L$13)</f>
        <v/>
      </c>
      <c r="GO41">
        <f>IF(OR(ISNA(GK41),ISNA(GK40)),NA(),ABS(GK41-GK40))</f>
        <v/>
      </c>
      <c r="GP41">
        <f>IF(ISNA(GJ41),NA(),Capability!$N$13)</f>
        <v/>
      </c>
      <c r="GQ41">
        <f>IF(ISNA(GJ41),NA(),IF(OR(Capability!$Q$13="",Settings!$F$7&lt;&gt;"Y"),NA(),Capability!$Q$13))</f>
        <v/>
      </c>
      <c r="GR41">
        <f>IF(ISNA(GJ41),NA(),IF(OR(Capability!$P$13="",Settings!$F$7&lt;&gt;"Y"),NA(),Capability!$P$13))</f>
        <v/>
      </c>
      <c r="GX41">
        <f>IF((HA$1+37)&gt;GY$1,NA(),(HA$1+37)-4)</f>
        <v/>
      </c>
      <c r="GY41">
        <f>IF((HA$1+37)&gt;GY$1,NA(),INDEX('Data Entry'!$Q$5:$Q$10004,(HA$1+37)-4))</f>
        <v/>
      </c>
      <c r="GZ41">
        <f>IF(ISNA(GX41),NA(),Capability!$K$14)</f>
        <v/>
      </c>
      <c r="HA41">
        <f>IF(ISNA(GX41),NA(),Capability!$J$14)</f>
        <v/>
      </c>
      <c r="HB41">
        <f>IF(ISNA(GX41),NA(),Capability!$L$14)</f>
        <v/>
      </c>
      <c r="HC41">
        <f>IF(OR(ISNA(GY41),ISNA(GY40)),NA(),ABS(GY41-GY40))</f>
        <v/>
      </c>
      <c r="HD41">
        <f>IF(ISNA(GX41),NA(),Capability!$N$14)</f>
        <v/>
      </c>
      <c r="HE41">
        <f>IF(ISNA(GX41),NA(),IF(OR(Capability!$Q$14="",Settings!$F$7&lt;&gt;"Y"),NA(),Capability!$Q$14))</f>
        <v/>
      </c>
      <c r="HF41">
        <f>IF(ISNA(GX41),NA(),IF(OR(Capability!$P$14="",Settings!$F$7&lt;&gt;"Y"),NA(),Capability!$P$14))</f>
        <v/>
      </c>
    </row>
    <row r="42">
      <c r="CB42">
        <f>IF((CE$1+38)&gt;CC$1,NA(),(CE$1+38)-4)</f>
        <v/>
      </c>
      <c r="CC42">
        <f>IF((CE$1+38)&gt;CC$1,NA(),INDEX('Data Entry'!$H$5:$H$10004,(CE$1+38)-4))</f>
        <v/>
      </c>
      <c r="CD42">
        <f>IF(ISNA(CB42),NA(),Capability!$K$5)</f>
        <v/>
      </c>
      <c r="CE42">
        <f>IF(ISNA(CB42),NA(),Capability!$J$5)</f>
        <v/>
      </c>
      <c r="CF42">
        <f>IF(ISNA(CB42),NA(),Capability!$L$5)</f>
        <v/>
      </c>
      <c r="CG42">
        <f>IF(OR(ISNA(CC42),ISNA(CC41)),NA(),ABS(CC42-CC41))</f>
        <v/>
      </c>
      <c r="CH42">
        <f>IF(ISNA(CB42),NA(),Capability!$N$5)</f>
        <v/>
      </c>
      <c r="CI42">
        <f>IF(ISNA(CB42),NA(),IF(OR(Capability!$Q$5="",Settings!$F$7&lt;&gt;"Y"),NA(),Capability!$Q$5))</f>
        <v/>
      </c>
      <c r="CJ42">
        <f>IF(ISNA(CB42),NA(),IF(OR(Capability!$P$5="",Settings!$F$7&lt;&gt;"Y"),NA(),Capability!$P$5))</f>
        <v/>
      </c>
      <c r="CP42">
        <f>IF((CS$1+38)&gt;CQ$1,NA(),(CS$1+38)-4)</f>
        <v/>
      </c>
      <c r="CQ42">
        <f>IF((CS$1+38)&gt;CQ$1,NA(),INDEX('Data Entry'!$I$5:$I$10004,(CS$1+38)-4))</f>
        <v/>
      </c>
      <c r="CR42">
        <f>IF(ISNA(CP42),NA(),Capability!$K$6)</f>
        <v/>
      </c>
      <c r="CS42">
        <f>IF(ISNA(CP42),NA(),Capability!$J$6)</f>
        <v/>
      </c>
      <c r="CT42">
        <f>IF(ISNA(CP42),NA(),Capability!$L$6)</f>
        <v/>
      </c>
      <c r="CU42">
        <f>IF(OR(ISNA(CQ42),ISNA(CQ41)),NA(),ABS(CQ42-CQ41))</f>
        <v/>
      </c>
      <c r="CV42">
        <f>IF(ISNA(CP42),NA(),Capability!$N$6)</f>
        <v/>
      </c>
      <c r="CW42">
        <f>IF(ISNA(CP42),NA(),IF(OR(Capability!$Q$6="",Settings!$F$7&lt;&gt;"Y"),NA(),Capability!$Q$6))</f>
        <v/>
      </c>
      <c r="CX42">
        <f>IF(ISNA(CP42),NA(),IF(OR(Capability!$P$6="",Settings!$F$7&lt;&gt;"Y"),NA(),Capability!$P$6))</f>
        <v/>
      </c>
      <c r="DD42">
        <f>IF((DG$1+38)&gt;DE$1,NA(),(DG$1+38)-4)</f>
        <v/>
      </c>
      <c r="DE42">
        <f>IF((DG$1+38)&gt;DE$1,NA(),INDEX('Data Entry'!$J$5:$J$10004,(DG$1+38)-4))</f>
        <v/>
      </c>
      <c r="DF42">
        <f>IF(ISNA(DD42),NA(),Capability!$K$7)</f>
        <v/>
      </c>
      <c r="DG42">
        <f>IF(ISNA(DD42),NA(),Capability!$J$7)</f>
        <v/>
      </c>
      <c r="DH42">
        <f>IF(ISNA(DD42),NA(),Capability!$L$7)</f>
        <v/>
      </c>
      <c r="DI42">
        <f>IF(OR(ISNA(DE42),ISNA(DE41)),NA(),ABS(DE42-DE41))</f>
        <v/>
      </c>
      <c r="DJ42">
        <f>IF(ISNA(DD42),NA(),Capability!$N$7)</f>
        <v/>
      </c>
      <c r="DK42">
        <f>IF(ISNA(DD42),NA(),IF(OR(Capability!$Q$7="",Settings!$F$7&lt;&gt;"Y"),NA(),Capability!$Q$7))</f>
        <v/>
      </c>
      <c r="DL42">
        <f>IF(ISNA(DD42),NA(),IF(OR(Capability!$P$7="",Settings!$F$7&lt;&gt;"Y"),NA(),Capability!$P$7))</f>
        <v/>
      </c>
      <c r="DR42">
        <f>IF((DU$1+38)&gt;DS$1,NA(),(DU$1+38)-4)</f>
        <v/>
      </c>
      <c r="DS42">
        <f>IF((DU$1+38)&gt;DS$1,NA(),INDEX('Data Entry'!$K$5:$K$10004,(DU$1+38)-4))</f>
        <v/>
      </c>
      <c r="DT42">
        <f>IF(ISNA(DR42),NA(),Capability!$K$8)</f>
        <v/>
      </c>
      <c r="DU42">
        <f>IF(ISNA(DR42),NA(),Capability!$J$8)</f>
        <v/>
      </c>
      <c r="DV42">
        <f>IF(ISNA(DR42),NA(),Capability!$L$8)</f>
        <v/>
      </c>
      <c r="DW42">
        <f>IF(OR(ISNA(DS42),ISNA(DS41)),NA(),ABS(DS42-DS41))</f>
        <v/>
      </c>
      <c r="DX42">
        <f>IF(ISNA(DR42),NA(),Capability!$N$8)</f>
        <v/>
      </c>
      <c r="DY42">
        <f>IF(ISNA(DR42),NA(),IF(OR(Capability!$Q$8="",Settings!$F$7&lt;&gt;"Y"),NA(),Capability!$Q$8))</f>
        <v/>
      </c>
      <c r="DZ42">
        <f>IF(ISNA(DR42),NA(),IF(OR(Capability!$P$8="",Settings!$F$7&lt;&gt;"Y"),NA(),Capability!$P$8))</f>
        <v/>
      </c>
      <c r="EF42">
        <f>IF((EI$1+38)&gt;EG$1,NA(),(EI$1+38)-4)</f>
        <v/>
      </c>
      <c r="EG42">
        <f>IF((EI$1+38)&gt;EG$1,NA(),INDEX('Data Entry'!$L$5:$L$10004,(EI$1+38)-4))</f>
        <v/>
      </c>
      <c r="EH42">
        <f>IF(ISNA(EF42),NA(),Capability!$K$9)</f>
        <v/>
      </c>
      <c r="EI42">
        <f>IF(ISNA(EF42),NA(),Capability!$J$9)</f>
        <v/>
      </c>
      <c r="EJ42">
        <f>IF(ISNA(EF42),NA(),Capability!$L$9)</f>
        <v/>
      </c>
      <c r="EK42">
        <f>IF(OR(ISNA(EG42),ISNA(EG41)),NA(),ABS(EG42-EG41))</f>
        <v/>
      </c>
      <c r="EL42">
        <f>IF(ISNA(EF42),NA(),Capability!$N$9)</f>
        <v/>
      </c>
      <c r="EM42">
        <f>IF(ISNA(EF42),NA(),IF(OR(Capability!$Q$9="",Settings!$F$7&lt;&gt;"Y"),NA(),Capability!$Q$9))</f>
        <v/>
      </c>
      <c r="EN42">
        <f>IF(ISNA(EF42),NA(),IF(OR(Capability!$P$9="",Settings!$F$7&lt;&gt;"Y"),NA(),Capability!$P$9))</f>
        <v/>
      </c>
      <c r="ET42">
        <f>IF((EW$1+38)&gt;EU$1,NA(),(EW$1+38)-4)</f>
        <v/>
      </c>
      <c r="EU42">
        <f>IF((EW$1+38)&gt;EU$1,NA(),INDEX('Data Entry'!$M$5:$M$10004,(EW$1+38)-4))</f>
        <v/>
      </c>
      <c r="EV42">
        <f>IF(ISNA(ET42),NA(),Capability!$K$10)</f>
        <v/>
      </c>
      <c r="EW42">
        <f>IF(ISNA(ET42),NA(),Capability!$J$10)</f>
        <v/>
      </c>
      <c r="EX42">
        <f>IF(ISNA(ET42),NA(),Capability!$L$10)</f>
        <v/>
      </c>
      <c r="EY42">
        <f>IF(OR(ISNA(EU42),ISNA(EU41)),NA(),ABS(EU42-EU41))</f>
        <v/>
      </c>
      <c r="EZ42">
        <f>IF(ISNA(ET42),NA(),Capability!$N$10)</f>
        <v/>
      </c>
      <c r="FA42">
        <f>IF(ISNA(ET42),NA(),IF(OR(Capability!$Q$10="",Settings!$F$7&lt;&gt;"Y"),NA(),Capability!$Q$10))</f>
        <v/>
      </c>
      <c r="FB42">
        <f>IF(ISNA(ET42),NA(),IF(OR(Capability!$P$10="",Settings!$F$7&lt;&gt;"Y"),NA(),Capability!$P$10))</f>
        <v/>
      </c>
      <c r="FH42">
        <f>IF((FK$1+38)&gt;FI$1,NA(),(FK$1+38)-4)</f>
        <v/>
      </c>
      <c r="FI42">
        <f>IF((FK$1+38)&gt;FI$1,NA(),INDEX('Data Entry'!$N$5:$N$10004,(FK$1+38)-4))</f>
        <v/>
      </c>
      <c r="FJ42">
        <f>IF(ISNA(FH42),NA(),Capability!$K$11)</f>
        <v/>
      </c>
      <c r="FK42">
        <f>IF(ISNA(FH42),NA(),Capability!$J$11)</f>
        <v/>
      </c>
      <c r="FL42">
        <f>IF(ISNA(FH42),NA(),Capability!$L$11)</f>
        <v/>
      </c>
      <c r="FM42">
        <f>IF(OR(ISNA(FI42),ISNA(FI41)),NA(),ABS(FI42-FI41))</f>
        <v/>
      </c>
      <c r="FN42">
        <f>IF(ISNA(FH42),NA(),Capability!$N$11)</f>
        <v/>
      </c>
      <c r="FO42">
        <f>IF(ISNA(FH42),NA(),IF(OR(Capability!$Q$11="",Settings!$F$7&lt;&gt;"Y"),NA(),Capability!$Q$11))</f>
        <v/>
      </c>
      <c r="FP42">
        <f>IF(ISNA(FH42),NA(),IF(OR(Capability!$P$11="",Settings!$F$7&lt;&gt;"Y"),NA(),Capability!$P$11))</f>
        <v/>
      </c>
      <c r="FV42">
        <f>IF((FY$1+38)&gt;FW$1,NA(),(FY$1+38)-4)</f>
        <v/>
      </c>
      <c r="FW42">
        <f>IF((FY$1+38)&gt;FW$1,NA(),INDEX('Data Entry'!$O$5:$O$10004,(FY$1+38)-4))</f>
        <v/>
      </c>
      <c r="FX42">
        <f>IF(ISNA(FV42),NA(),Capability!$K$12)</f>
        <v/>
      </c>
      <c r="FY42">
        <f>IF(ISNA(FV42),NA(),Capability!$J$12)</f>
        <v/>
      </c>
      <c r="FZ42">
        <f>IF(ISNA(FV42),NA(),Capability!$L$12)</f>
        <v/>
      </c>
      <c r="GA42">
        <f>IF(OR(ISNA(FW42),ISNA(FW41)),NA(),ABS(FW42-FW41))</f>
        <v/>
      </c>
      <c r="GB42">
        <f>IF(ISNA(FV42),NA(),Capability!$N$12)</f>
        <v/>
      </c>
      <c r="GC42">
        <f>IF(ISNA(FV42),NA(),IF(OR(Capability!$Q$12="",Settings!$F$7&lt;&gt;"Y"),NA(),Capability!$Q$12))</f>
        <v/>
      </c>
      <c r="GD42">
        <f>IF(ISNA(FV42),NA(),IF(OR(Capability!$P$12="",Settings!$F$7&lt;&gt;"Y"),NA(),Capability!$P$12))</f>
        <v/>
      </c>
      <c r="GJ42">
        <f>IF((GM$1+38)&gt;GK$1,NA(),(GM$1+38)-4)</f>
        <v/>
      </c>
      <c r="GK42">
        <f>IF((GM$1+38)&gt;GK$1,NA(),INDEX('Data Entry'!$P$5:$P$10004,(GM$1+38)-4))</f>
        <v/>
      </c>
      <c r="GL42">
        <f>IF(ISNA(GJ42),NA(),Capability!$K$13)</f>
        <v/>
      </c>
      <c r="GM42">
        <f>IF(ISNA(GJ42),NA(),Capability!$J$13)</f>
        <v/>
      </c>
      <c r="GN42">
        <f>IF(ISNA(GJ42),NA(),Capability!$L$13)</f>
        <v/>
      </c>
      <c r="GO42">
        <f>IF(OR(ISNA(GK42),ISNA(GK41)),NA(),ABS(GK42-GK41))</f>
        <v/>
      </c>
      <c r="GP42">
        <f>IF(ISNA(GJ42),NA(),Capability!$N$13)</f>
        <v/>
      </c>
      <c r="GQ42">
        <f>IF(ISNA(GJ42),NA(),IF(OR(Capability!$Q$13="",Settings!$F$7&lt;&gt;"Y"),NA(),Capability!$Q$13))</f>
        <v/>
      </c>
      <c r="GR42">
        <f>IF(ISNA(GJ42),NA(),IF(OR(Capability!$P$13="",Settings!$F$7&lt;&gt;"Y"),NA(),Capability!$P$13))</f>
        <v/>
      </c>
      <c r="GX42">
        <f>IF((HA$1+38)&gt;GY$1,NA(),(HA$1+38)-4)</f>
        <v/>
      </c>
      <c r="GY42">
        <f>IF((HA$1+38)&gt;GY$1,NA(),INDEX('Data Entry'!$Q$5:$Q$10004,(HA$1+38)-4))</f>
        <v/>
      </c>
      <c r="GZ42">
        <f>IF(ISNA(GX42),NA(),Capability!$K$14)</f>
        <v/>
      </c>
      <c r="HA42">
        <f>IF(ISNA(GX42),NA(),Capability!$J$14)</f>
        <v/>
      </c>
      <c r="HB42">
        <f>IF(ISNA(GX42),NA(),Capability!$L$14)</f>
        <v/>
      </c>
      <c r="HC42">
        <f>IF(OR(ISNA(GY42),ISNA(GY41)),NA(),ABS(GY42-GY41))</f>
        <v/>
      </c>
      <c r="HD42">
        <f>IF(ISNA(GX42),NA(),Capability!$N$14)</f>
        <v/>
      </c>
      <c r="HE42">
        <f>IF(ISNA(GX42),NA(),IF(OR(Capability!$Q$14="",Settings!$F$7&lt;&gt;"Y"),NA(),Capability!$Q$14))</f>
        <v/>
      </c>
      <c r="HF42">
        <f>IF(ISNA(GX42),NA(),IF(OR(Capability!$P$14="",Settings!$F$7&lt;&gt;"Y"),NA(),Capability!$P$14))</f>
        <v/>
      </c>
    </row>
    <row r="43">
      <c r="CB43">
        <f>IF((CE$1+39)&gt;CC$1,NA(),(CE$1+39)-4)</f>
        <v/>
      </c>
      <c r="CC43">
        <f>IF((CE$1+39)&gt;CC$1,NA(),INDEX('Data Entry'!$H$5:$H$10004,(CE$1+39)-4))</f>
        <v/>
      </c>
      <c r="CD43">
        <f>IF(ISNA(CB43),NA(),Capability!$K$5)</f>
        <v/>
      </c>
      <c r="CE43">
        <f>IF(ISNA(CB43),NA(),Capability!$J$5)</f>
        <v/>
      </c>
      <c r="CF43">
        <f>IF(ISNA(CB43),NA(),Capability!$L$5)</f>
        <v/>
      </c>
      <c r="CG43">
        <f>IF(OR(ISNA(CC43),ISNA(CC42)),NA(),ABS(CC43-CC42))</f>
        <v/>
      </c>
      <c r="CH43">
        <f>IF(ISNA(CB43),NA(),Capability!$N$5)</f>
        <v/>
      </c>
      <c r="CI43">
        <f>IF(ISNA(CB43),NA(),IF(OR(Capability!$Q$5="",Settings!$F$7&lt;&gt;"Y"),NA(),Capability!$Q$5))</f>
        <v/>
      </c>
      <c r="CJ43">
        <f>IF(ISNA(CB43),NA(),IF(OR(Capability!$P$5="",Settings!$F$7&lt;&gt;"Y"),NA(),Capability!$P$5))</f>
        <v/>
      </c>
      <c r="CP43">
        <f>IF((CS$1+39)&gt;CQ$1,NA(),(CS$1+39)-4)</f>
        <v/>
      </c>
      <c r="CQ43">
        <f>IF((CS$1+39)&gt;CQ$1,NA(),INDEX('Data Entry'!$I$5:$I$10004,(CS$1+39)-4))</f>
        <v/>
      </c>
      <c r="CR43">
        <f>IF(ISNA(CP43),NA(),Capability!$K$6)</f>
        <v/>
      </c>
      <c r="CS43">
        <f>IF(ISNA(CP43),NA(),Capability!$J$6)</f>
        <v/>
      </c>
      <c r="CT43">
        <f>IF(ISNA(CP43),NA(),Capability!$L$6)</f>
        <v/>
      </c>
      <c r="CU43">
        <f>IF(OR(ISNA(CQ43),ISNA(CQ42)),NA(),ABS(CQ43-CQ42))</f>
        <v/>
      </c>
      <c r="CV43">
        <f>IF(ISNA(CP43),NA(),Capability!$N$6)</f>
        <v/>
      </c>
      <c r="CW43">
        <f>IF(ISNA(CP43),NA(),IF(OR(Capability!$Q$6="",Settings!$F$7&lt;&gt;"Y"),NA(),Capability!$Q$6))</f>
        <v/>
      </c>
      <c r="CX43">
        <f>IF(ISNA(CP43),NA(),IF(OR(Capability!$P$6="",Settings!$F$7&lt;&gt;"Y"),NA(),Capability!$P$6))</f>
        <v/>
      </c>
      <c r="DD43">
        <f>IF((DG$1+39)&gt;DE$1,NA(),(DG$1+39)-4)</f>
        <v/>
      </c>
      <c r="DE43">
        <f>IF((DG$1+39)&gt;DE$1,NA(),INDEX('Data Entry'!$J$5:$J$10004,(DG$1+39)-4))</f>
        <v/>
      </c>
      <c r="DF43">
        <f>IF(ISNA(DD43),NA(),Capability!$K$7)</f>
        <v/>
      </c>
      <c r="DG43">
        <f>IF(ISNA(DD43),NA(),Capability!$J$7)</f>
        <v/>
      </c>
      <c r="DH43">
        <f>IF(ISNA(DD43),NA(),Capability!$L$7)</f>
        <v/>
      </c>
      <c r="DI43">
        <f>IF(OR(ISNA(DE43),ISNA(DE42)),NA(),ABS(DE43-DE42))</f>
        <v/>
      </c>
      <c r="DJ43">
        <f>IF(ISNA(DD43),NA(),Capability!$N$7)</f>
        <v/>
      </c>
      <c r="DK43">
        <f>IF(ISNA(DD43),NA(),IF(OR(Capability!$Q$7="",Settings!$F$7&lt;&gt;"Y"),NA(),Capability!$Q$7))</f>
        <v/>
      </c>
      <c r="DL43">
        <f>IF(ISNA(DD43),NA(),IF(OR(Capability!$P$7="",Settings!$F$7&lt;&gt;"Y"),NA(),Capability!$P$7))</f>
        <v/>
      </c>
      <c r="DR43">
        <f>IF((DU$1+39)&gt;DS$1,NA(),(DU$1+39)-4)</f>
        <v/>
      </c>
      <c r="DS43">
        <f>IF((DU$1+39)&gt;DS$1,NA(),INDEX('Data Entry'!$K$5:$K$10004,(DU$1+39)-4))</f>
        <v/>
      </c>
      <c r="DT43">
        <f>IF(ISNA(DR43),NA(),Capability!$K$8)</f>
        <v/>
      </c>
      <c r="DU43">
        <f>IF(ISNA(DR43),NA(),Capability!$J$8)</f>
        <v/>
      </c>
      <c r="DV43">
        <f>IF(ISNA(DR43),NA(),Capability!$L$8)</f>
        <v/>
      </c>
      <c r="DW43">
        <f>IF(OR(ISNA(DS43),ISNA(DS42)),NA(),ABS(DS43-DS42))</f>
        <v/>
      </c>
      <c r="DX43">
        <f>IF(ISNA(DR43),NA(),Capability!$N$8)</f>
        <v/>
      </c>
      <c r="DY43">
        <f>IF(ISNA(DR43),NA(),IF(OR(Capability!$Q$8="",Settings!$F$7&lt;&gt;"Y"),NA(),Capability!$Q$8))</f>
        <v/>
      </c>
      <c r="DZ43">
        <f>IF(ISNA(DR43),NA(),IF(OR(Capability!$P$8="",Settings!$F$7&lt;&gt;"Y"),NA(),Capability!$P$8))</f>
        <v/>
      </c>
      <c r="EF43">
        <f>IF((EI$1+39)&gt;EG$1,NA(),(EI$1+39)-4)</f>
        <v/>
      </c>
      <c r="EG43">
        <f>IF((EI$1+39)&gt;EG$1,NA(),INDEX('Data Entry'!$L$5:$L$10004,(EI$1+39)-4))</f>
        <v/>
      </c>
      <c r="EH43">
        <f>IF(ISNA(EF43),NA(),Capability!$K$9)</f>
        <v/>
      </c>
      <c r="EI43">
        <f>IF(ISNA(EF43),NA(),Capability!$J$9)</f>
        <v/>
      </c>
      <c r="EJ43">
        <f>IF(ISNA(EF43),NA(),Capability!$L$9)</f>
        <v/>
      </c>
      <c r="EK43">
        <f>IF(OR(ISNA(EG43),ISNA(EG42)),NA(),ABS(EG43-EG42))</f>
        <v/>
      </c>
      <c r="EL43">
        <f>IF(ISNA(EF43),NA(),Capability!$N$9)</f>
        <v/>
      </c>
      <c r="EM43">
        <f>IF(ISNA(EF43),NA(),IF(OR(Capability!$Q$9="",Settings!$F$7&lt;&gt;"Y"),NA(),Capability!$Q$9))</f>
        <v/>
      </c>
      <c r="EN43">
        <f>IF(ISNA(EF43),NA(),IF(OR(Capability!$P$9="",Settings!$F$7&lt;&gt;"Y"),NA(),Capability!$P$9))</f>
        <v/>
      </c>
      <c r="ET43">
        <f>IF((EW$1+39)&gt;EU$1,NA(),(EW$1+39)-4)</f>
        <v/>
      </c>
      <c r="EU43">
        <f>IF((EW$1+39)&gt;EU$1,NA(),INDEX('Data Entry'!$M$5:$M$10004,(EW$1+39)-4))</f>
        <v/>
      </c>
      <c r="EV43">
        <f>IF(ISNA(ET43),NA(),Capability!$K$10)</f>
        <v/>
      </c>
      <c r="EW43">
        <f>IF(ISNA(ET43),NA(),Capability!$J$10)</f>
        <v/>
      </c>
      <c r="EX43">
        <f>IF(ISNA(ET43),NA(),Capability!$L$10)</f>
        <v/>
      </c>
      <c r="EY43">
        <f>IF(OR(ISNA(EU43),ISNA(EU42)),NA(),ABS(EU43-EU42))</f>
        <v/>
      </c>
      <c r="EZ43">
        <f>IF(ISNA(ET43),NA(),Capability!$N$10)</f>
        <v/>
      </c>
      <c r="FA43">
        <f>IF(ISNA(ET43),NA(),IF(OR(Capability!$Q$10="",Settings!$F$7&lt;&gt;"Y"),NA(),Capability!$Q$10))</f>
        <v/>
      </c>
      <c r="FB43">
        <f>IF(ISNA(ET43),NA(),IF(OR(Capability!$P$10="",Settings!$F$7&lt;&gt;"Y"),NA(),Capability!$P$10))</f>
        <v/>
      </c>
      <c r="FH43">
        <f>IF((FK$1+39)&gt;FI$1,NA(),(FK$1+39)-4)</f>
        <v/>
      </c>
      <c r="FI43">
        <f>IF((FK$1+39)&gt;FI$1,NA(),INDEX('Data Entry'!$N$5:$N$10004,(FK$1+39)-4))</f>
        <v/>
      </c>
      <c r="FJ43">
        <f>IF(ISNA(FH43),NA(),Capability!$K$11)</f>
        <v/>
      </c>
      <c r="FK43">
        <f>IF(ISNA(FH43),NA(),Capability!$J$11)</f>
        <v/>
      </c>
      <c r="FL43">
        <f>IF(ISNA(FH43),NA(),Capability!$L$11)</f>
        <v/>
      </c>
      <c r="FM43">
        <f>IF(OR(ISNA(FI43),ISNA(FI42)),NA(),ABS(FI43-FI42))</f>
        <v/>
      </c>
      <c r="FN43">
        <f>IF(ISNA(FH43),NA(),Capability!$N$11)</f>
        <v/>
      </c>
      <c r="FO43">
        <f>IF(ISNA(FH43),NA(),IF(OR(Capability!$Q$11="",Settings!$F$7&lt;&gt;"Y"),NA(),Capability!$Q$11))</f>
        <v/>
      </c>
      <c r="FP43">
        <f>IF(ISNA(FH43),NA(),IF(OR(Capability!$P$11="",Settings!$F$7&lt;&gt;"Y"),NA(),Capability!$P$11))</f>
        <v/>
      </c>
      <c r="FV43">
        <f>IF((FY$1+39)&gt;FW$1,NA(),(FY$1+39)-4)</f>
        <v/>
      </c>
      <c r="FW43">
        <f>IF((FY$1+39)&gt;FW$1,NA(),INDEX('Data Entry'!$O$5:$O$10004,(FY$1+39)-4))</f>
        <v/>
      </c>
      <c r="FX43">
        <f>IF(ISNA(FV43),NA(),Capability!$K$12)</f>
        <v/>
      </c>
      <c r="FY43">
        <f>IF(ISNA(FV43),NA(),Capability!$J$12)</f>
        <v/>
      </c>
      <c r="FZ43">
        <f>IF(ISNA(FV43),NA(),Capability!$L$12)</f>
        <v/>
      </c>
      <c r="GA43">
        <f>IF(OR(ISNA(FW43),ISNA(FW42)),NA(),ABS(FW43-FW42))</f>
        <v/>
      </c>
      <c r="GB43">
        <f>IF(ISNA(FV43),NA(),Capability!$N$12)</f>
        <v/>
      </c>
      <c r="GC43">
        <f>IF(ISNA(FV43),NA(),IF(OR(Capability!$Q$12="",Settings!$F$7&lt;&gt;"Y"),NA(),Capability!$Q$12))</f>
        <v/>
      </c>
      <c r="GD43">
        <f>IF(ISNA(FV43),NA(),IF(OR(Capability!$P$12="",Settings!$F$7&lt;&gt;"Y"),NA(),Capability!$P$12))</f>
        <v/>
      </c>
      <c r="GJ43">
        <f>IF((GM$1+39)&gt;GK$1,NA(),(GM$1+39)-4)</f>
        <v/>
      </c>
      <c r="GK43">
        <f>IF((GM$1+39)&gt;GK$1,NA(),INDEX('Data Entry'!$P$5:$P$10004,(GM$1+39)-4))</f>
        <v/>
      </c>
      <c r="GL43">
        <f>IF(ISNA(GJ43),NA(),Capability!$K$13)</f>
        <v/>
      </c>
      <c r="GM43">
        <f>IF(ISNA(GJ43),NA(),Capability!$J$13)</f>
        <v/>
      </c>
      <c r="GN43">
        <f>IF(ISNA(GJ43),NA(),Capability!$L$13)</f>
        <v/>
      </c>
      <c r="GO43">
        <f>IF(OR(ISNA(GK43),ISNA(GK42)),NA(),ABS(GK43-GK42))</f>
        <v/>
      </c>
      <c r="GP43">
        <f>IF(ISNA(GJ43),NA(),Capability!$N$13)</f>
        <v/>
      </c>
      <c r="GQ43">
        <f>IF(ISNA(GJ43),NA(),IF(OR(Capability!$Q$13="",Settings!$F$7&lt;&gt;"Y"),NA(),Capability!$Q$13))</f>
        <v/>
      </c>
      <c r="GR43">
        <f>IF(ISNA(GJ43),NA(),IF(OR(Capability!$P$13="",Settings!$F$7&lt;&gt;"Y"),NA(),Capability!$P$13))</f>
        <v/>
      </c>
      <c r="GX43">
        <f>IF((HA$1+39)&gt;GY$1,NA(),(HA$1+39)-4)</f>
        <v/>
      </c>
      <c r="GY43">
        <f>IF((HA$1+39)&gt;GY$1,NA(),INDEX('Data Entry'!$Q$5:$Q$10004,(HA$1+39)-4))</f>
        <v/>
      </c>
      <c r="GZ43">
        <f>IF(ISNA(GX43),NA(),Capability!$K$14)</f>
        <v/>
      </c>
      <c r="HA43">
        <f>IF(ISNA(GX43),NA(),Capability!$J$14)</f>
        <v/>
      </c>
      <c r="HB43">
        <f>IF(ISNA(GX43),NA(),Capability!$L$14)</f>
        <v/>
      </c>
      <c r="HC43">
        <f>IF(OR(ISNA(GY43),ISNA(GY42)),NA(),ABS(GY43-GY42))</f>
        <v/>
      </c>
      <c r="HD43">
        <f>IF(ISNA(GX43),NA(),Capability!$N$14)</f>
        <v/>
      </c>
      <c r="HE43">
        <f>IF(ISNA(GX43),NA(),IF(OR(Capability!$Q$14="",Settings!$F$7&lt;&gt;"Y"),NA(),Capability!$Q$14))</f>
        <v/>
      </c>
      <c r="HF43">
        <f>IF(ISNA(GX43),NA(),IF(OR(Capability!$P$14="",Settings!$F$7&lt;&gt;"Y"),NA(),Capability!$P$14))</f>
        <v/>
      </c>
    </row>
    <row r="44">
      <c r="A44" s="34">
        <f>"FEATURE 2: "&amp;IF(Settings!B18="","(unnamed)",Settings!B18)</f>
        <v/>
      </c>
      <c r="B44" s="9" t="n"/>
      <c r="CB44">
        <f>IF((CE$1+40)&gt;CC$1,NA(),(CE$1+40)-4)</f>
        <v/>
      </c>
      <c r="CC44">
        <f>IF((CE$1+40)&gt;CC$1,NA(),INDEX('Data Entry'!$H$5:$H$10004,(CE$1+40)-4))</f>
        <v/>
      </c>
      <c r="CD44">
        <f>IF(ISNA(CB44),NA(),Capability!$K$5)</f>
        <v/>
      </c>
      <c r="CE44">
        <f>IF(ISNA(CB44),NA(),Capability!$J$5)</f>
        <v/>
      </c>
      <c r="CF44">
        <f>IF(ISNA(CB44),NA(),Capability!$L$5)</f>
        <v/>
      </c>
      <c r="CG44">
        <f>IF(OR(ISNA(CC44),ISNA(CC43)),NA(),ABS(CC44-CC43))</f>
        <v/>
      </c>
      <c r="CH44">
        <f>IF(ISNA(CB44),NA(),Capability!$N$5)</f>
        <v/>
      </c>
      <c r="CI44">
        <f>IF(ISNA(CB44),NA(),IF(OR(Capability!$Q$5="",Settings!$F$7&lt;&gt;"Y"),NA(),Capability!$Q$5))</f>
        <v/>
      </c>
      <c r="CJ44">
        <f>IF(ISNA(CB44),NA(),IF(OR(Capability!$P$5="",Settings!$F$7&lt;&gt;"Y"),NA(),Capability!$P$5))</f>
        <v/>
      </c>
      <c r="CP44">
        <f>IF((CS$1+40)&gt;CQ$1,NA(),(CS$1+40)-4)</f>
        <v/>
      </c>
      <c r="CQ44">
        <f>IF((CS$1+40)&gt;CQ$1,NA(),INDEX('Data Entry'!$I$5:$I$10004,(CS$1+40)-4))</f>
        <v/>
      </c>
      <c r="CR44">
        <f>IF(ISNA(CP44),NA(),Capability!$K$6)</f>
        <v/>
      </c>
      <c r="CS44">
        <f>IF(ISNA(CP44),NA(),Capability!$J$6)</f>
        <v/>
      </c>
      <c r="CT44">
        <f>IF(ISNA(CP44),NA(),Capability!$L$6)</f>
        <v/>
      </c>
      <c r="CU44">
        <f>IF(OR(ISNA(CQ44),ISNA(CQ43)),NA(),ABS(CQ44-CQ43))</f>
        <v/>
      </c>
      <c r="CV44">
        <f>IF(ISNA(CP44),NA(),Capability!$N$6)</f>
        <v/>
      </c>
      <c r="CW44">
        <f>IF(ISNA(CP44),NA(),IF(OR(Capability!$Q$6="",Settings!$F$7&lt;&gt;"Y"),NA(),Capability!$Q$6))</f>
        <v/>
      </c>
      <c r="CX44">
        <f>IF(ISNA(CP44),NA(),IF(OR(Capability!$P$6="",Settings!$F$7&lt;&gt;"Y"),NA(),Capability!$P$6))</f>
        <v/>
      </c>
      <c r="DD44">
        <f>IF((DG$1+40)&gt;DE$1,NA(),(DG$1+40)-4)</f>
        <v/>
      </c>
      <c r="DE44">
        <f>IF((DG$1+40)&gt;DE$1,NA(),INDEX('Data Entry'!$J$5:$J$10004,(DG$1+40)-4))</f>
        <v/>
      </c>
      <c r="DF44">
        <f>IF(ISNA(DD44),NA(),Capability!$K$7)</f>
        <v/>
      </c>
      <c r="DG44">
        <f>IF(ISNA(DD44),NA(),Capability!$J$7)</f>
        <v/>
      </c>
      <c r="DH44">
        <f>IF(ISNA(DD44),NA(),Capability!$L$7)</f>
        <v/>
      </c>
      <c r="DI44">
        <f>IF(OR(ISNA(DE44),ISNA(DE43)),NA(),ABS(DE44-DE43))</f>
        <v/>
      </c>
      <c r="DJ44">
        <f>IF(ISNA(DD44),NA(),Capability!$N$7)</f>
        <v/>
      </c>
      <c r="DK44">
        <f>IF(ISNA(DD44),NA(),IF(OR(Capability!$Q$7="",Settings!$F$7&lt;&gt;"Y"),NA(),Capability!$Q$7))</f>
        <v/>
      </c>
      <c r="DL44">
        <f>IF(ISNA(DD44),NA(),IF(OR(Capability!$P$7="",Settings!$F$7&lt;&gt;"Y"),NA(),Capability!$P$7))</f>
        <v/>
      </c>
      <c r="DR44">
        <f>IF((DU$1+40)&gt;DS$1,NA(),(DU$1+40)-4)</f>
        <v/>
      </c>
      <c r="DS44">
        <f>IF((DU$1+40)&gt;DS$1,NA(),INDEX('Data Entry'!$K$5:$K$10004,(DU$1+40)-4))</f>
        <v/>
      </c>
      <c r="DT44">
        <f>IF(ISNA(DR44),NA(),Capability!$K$8)</f>
        <v/>
      </c>
      <c r="DU44">
        <f>IF(ISNA(DR44),NA(),Capability!$J$8)</f>
        <v/>
      </c>
      <c r="DV44">
        <f>IF(ISNA(DR44),NA(),Capability!$L$8)</f>
        <v/>
      </c>
      <c r="DW44">
        <f>IF(OR(ISNA(DS44),ISNA(DS43)),NA(),ABS(DS44-DS43))</f>
        <v/>
      </c>
      <c r="DX44">
        <f>IF(ISNA(DR44),NA(),Capability!$N$8)</f>
        <v/>
      </c>
      <c r="DY44">
        <f>IF(ISNA(DR44),NA(),IF(OR(Capability!$Q$8="",Settings!$F$7&lt;&gt;"Y"),NA(),Capability!$Q$8))</f>
        <v/>
      </c>
      <c r="DZ44">
        <f>IF(ISNA(DR44),NA(),IF(OR(Capability!$P$8="",Settings!$F$7&lt;&gt;"Y"),NA(),Capability!$P$8))</f>
        <v/>
      </c>
      <c r="EF44">
        <f>IF((EI$1+40)&gt;EG$1,NA(),(EI$1+40)-4)</f>
        <v/>
      </c>
      <c r="EG44">
        <f>IF((EI$1+40)&gt;EG$1,NA(),INDEX('Data Entry'!$L$5:$L$10004,(EI$1+40)-4))</f>
        <v/>
      </c>
      <c r="EH44">
        <f>IF(ISNA(EF44),NA(),Capability!$K$9)</f>
        <v/>
      </c>
      <c r="EI44">
        <f>IF(ISNA(EF44),NA(),Capability!$J$9)</f>
        <v/>
      </c>
      <c r="EJ44">
        <f>IF(ISNA(EF44),NA(),Capability!$L$9)</f>
        <v/>
      </c>
      <c r="EK44">
        <f>IF(OR(ISNA(EG44),ISNA(EG43)),NA(),ABS(EG44-EG43))</f>
        <v/>
      </c>
      <c r="EL44">
        <f>IF(ISNA(EF44),NA(),Capability!$N$9)</f>
        <v/>
      </c>
      <c r="EM44">
        <f>IF(ISNA(EF44),NA(),IF(OR(Capability!$Q$9="",Settings!$F$7&lt;&gt;"Y"),NA(),Capability!$Q$9))</f>
        <v/>
      </c>
      <c r="EN44">
        <f>IF(ISNA(EF44),NA(),IF(OR(Capability!$P$9="",Settings!$F$7&lt;&gt;"Y"),NA(),Capability!$P$9))</f>
        <v/>
      </c>
      <c r="ET44">
        <f>IF((EW$1+40)&gt;EU$1,NA(),(EW$1+40)-4)</f>
        <v/>
      </c>
      <c r="EU44">
        <f>IF((EW$1+40)&gt;EU$1,NA(),INDEX('Data Entry'!$M$5:$M$10004,(EW$1+40)-4))</f>
        <v/>
      </c>
      <c r="EV44">
        <f>IF(ISNA(ET44),NA(),Capability!$K$10)</f>
        <v/>
      </c>
      <c r="EW44">
        <f>IF(ISNA(ET44),NA(),Capability!$J$10)</f>
        <v/>
      </c>
      <c r="EX44">
        <f>IF(ISNA(ET44),NA(),Capability!$L$10)</f>
        <v/>
      </c>
      <c r="EY44">
        <f>IF(OR(ISNA(EU44),ISNA(EU43)),NA(),ABS(EU44-EU43))</f>
        <v/>
      </c>
      <c r="EZ44">
        <f>IF(ISNA(ET44),NA(),Capability!$N$10)</f>
        <v/>
      </c>
      <c r="FA44">
        <f>IF(ISNA(ET44),NA(),IF(OR(Capability!$Q$10="",Settings!$F$7&lt;&gt;"Y"),NA(),Capability!$Q$10))</f>
        <v/>
      </c>
      <c r="FB44">
        <f>IF(ISNA(ET44),NA(),IF(OR(Capability!$P$10="",Settings!$F$7&lt;&gt;"Y"),NA(),Capability!$P$10))</f>
        <v/>
      </c>
      <c r="FH44">
        <f>IF((FK$1+40)&gt;FI$1,NA(),(FK$1+40)-4)</f>
        <v/>
      </c>
      <c r="FI44">
        <f>IF((FK$1+40)&gt;FI$1,NA(),INDEX('Data Entry'!$N$5:$N$10004,(FK$1+40)-4))</f>
        <v/>
      </c>
      <c r="FJ44">
        <f>IF(ISNA(FH44),NA(),Capability!$K$11)</f>
        <v/>
      </c>
      <c r="FK44">
        <f>IF(ISNA(FH44),NA(),Capability!$J$11)</f>
        <v/>
      </c>
      <c r="FL44">
        <f>IF(ISNA(FH44),NA(),Capability!$L$11)</f>
        <v/>
      </c>
      <c r="FM44">
        <f>IF(OR(ISNA(FI44),ISNA(FI43)),NA(),ABS(FI44-FI43))</f>
        <v/>
      </c>
      <c r="FN44">
        <f>IF(ISNA(FH44),NA(),Capability!$N$11)</f>
        <v/>
      </c>
      <c r="FO44">
        <f>IF(ISNA(FH44),NA(),IF(OR(Capability!$Q$11="",Settings!$F$7&lt;&gt;"Y"),NA(),Capability!$Q$11))</f>
        <v/>
      </c>
      <c r="FP44">
        <f>IF(ISNA(FH44),NA(),IF(OR(Capability!$P$11="",Settings!$F$7&lt;&gt;"Y"),NA(),Capability!$P$11))</f>
        <v/>
      </c>
      <c r="FV44">
        <f>IF((FY$1+40)&gt;FW$1,NA(),(FY$1+40)-4)</f>
        <v/>
      </c>
      <c r="FW44">
        <f>IF((FY$1+40)&gt;FW$1,NA(),INDEX('Data Entry'!$O$5:$O$10004,(FY$1+40)-4))</f>
        <v/>
      </c>
      <c r="FX44">
        <f>IF(ISNA(FV44),NA(),Capability!$K$12)</f>
        <v/>
      </c>
      <c r="FY44">
        <f>IF(ISNA(FV44),NA(),Capability!$J$12)</f>
        <v/>
      </c>
      <c r="FZ44">
        <f>IF(ISNA(FV44),NA(),Capability!$L$12)</f>
        <v/>
      </c>
      <c r="GA44">
        <f>IF(OR(ISNA(FW44),ISNA(FW43)),NA(),ABS(FW44-FW43))</f>
        <v/>
      </c>
      <c r="GB44">
        <f>IF(ISNA(FV44),NA(),Capability!$N$12)</f>
        <v/>
      </c>
      <c r="GC44">
        <f>IF(ISNA(FV44),NA(),IF(OR(Capability!$Q$12="",Settings!$F$7&lt;&gt;"Y"),NA(),Capability!$Q$12))</f>
        <v/>
      </c>
      <c r="GD44">
        <f>IF(ISNA(FV44),NA(),IF(OR(Capability!$P$12="",Settings!$F$7&lt;&gt;"Y"),NA(),Capability!$P$12))</f>
        <v/>
      </c>
      <c r="GJ44">
        <f>IF((GM$1+40)&gt;GK$1,NA(),(GM$1+40)-4)</f>
        <v/>
      </c>
      <c r="GK44">
        <f>IF((GM$1+40)&gt;GK$1,NA(),INDEX('Data Entry'!$P$5:$P$10004,(GM$1+40)-4))</f>
        <v/>
      </c>
      <c r="GL44">
        <f>IF(ISNA(GJ44),NA(),Capability!$K$13)</f>
        <v/>
      </c>
      <c r="GM44">
        <f>IF(ISNA(GJ44),NA(),Capability!$J$13)</f>
        <v/>
      </c>
      <c r="GN44">
        <f>IF(ISNA(GJ44),NA(),Capability!$L$13)</f>
        <v/>
      </c>
      <c r="GO44">
        <f>IF(OR(ISNA(GK44),ISNA(GK43)),NA(),ABS(GK44-GK43))</f>
        <v/>
      </c>
      <c r="GP44">
        <f>IF(ISNA(GJ44),NA(),Capability!$N$13)</f>
        <v/>
      </c>
      <c r="GQ44">
        <f>IF(ISNA(GJ44),NA(),IF(OR(Capability!$Q$13="",Settings!$F$7&lt;&gt;"Y"),NA(),Capability!$Q$13))</f>
        <v/>
      </c>
      <c r="GR44">
        <f>IF(ISNA(GJ44),NA(),IF(OR(Capability!$P$13="",Settings!$F$7&lt;&gt;"Y"),NA(),Capability!$P$13))</f>
        <v/>
      </c>
      <c r="GX44">
        <f>IF((HA$1+40)&gt;GY$1,NA(),(HA$1+40)-4)</f>
        <v/>
      </c>
      <c r="GY44">
        <f>IF((HA$1+40)&gt;GY$1,NA(),INDEX('Data Entry'!$Q$5:$Q$10004,(HA$1+40)-4))</f>
        <v/>
      </c>
      <c r="GZ44">
        <f>IF(ISNA(GX44),NA(),Capability!$K$14)</f>
        <v/>
      </c>
      <c r="HA44">
        <f>IF(ISNA(GX44),NA(),Capability!$J$14)</f>
        <v/>
      </c>
      <c r="HB44">
        <f>IF(ISNA(GX44),NA(),Capability!$L$14)</f>
        <v/>
      </c>
      <c r="HC44">
        <f>IF(OR(ISNA(GY44),ISNA(GY43)),NA(),ABS(GY44-GY43))</f>
        <v/>
      </c>
      <c r="HD44">
        <f>IF(ISNA(GX44),NA(),Capability!$N$14)</f>
        <v/>
      </c>
      <c r="HE44">
        <f>IF(ISNA(GX44),NA(),IF(OR(Capability!$Q$14="",Settings!$F$7&lt;&gt;"Y"),NA(),Capability!$Q$14))</f>
        <v/>
      </c>
      <c r="HF44">
        <f>IF(ISNA(GX44),NA(),IF(OR(Capability!$P$14="",Settings!$F$7&lt;&gt;"Y"),NA(),Capability!$P$14))</f>
        <v/>
      </c>
    </row>
    <row r="45">
      <c r="A45" s="35" t="inlineStr">
        <is>
          <t>Feature</t>
        </is>
      </c>
      <c r="B45" s="36">
        <f>Capability!A6</f>
        <v/>
      </c>
      <c r="CB45">
        <f>IF((CE$1+41)&gt;CC$1,NA(),(CE$1+41)-4)</f>
        <v/>
      </c>
      <c r="CC45">
        <f>IF((CE$1+41)&gt;CC$1,NA(),INDEX('Data Entry'!$H$5:$H$10004,(CE$1+41)-4))</f>
        <v/>
      </c>
      <c r="CD45">
        <f>IF(ISNA(CB45),NA(),Capability!$K$5)</f>
        <v/>
      </c>
      <c r="CE45">
        <f>IF(ISNA(CB45),NA(),Capability!$J$5)</f>
        <v/>
      </c>
      <c r="CF45">
        <f>IF(ISNA(CB45),NA(),Capability!$L$5)</f>
        <v/>
      </c>
      <c r="CG45">
        <f>IF(OR(ISNA(CC45),ISNA(CC44)),NA(),ABS(CC45-CC44))</f>
        <v/>
      </c>
      <c r="CH45">
        <f>IF(ISNA(CB45),NA(),Capability!$N$5)</f>
        <v/>
      </c>
      <c r="CI45">
        <f>IF(ISNA(CB45),NA(),IF(OR(Capability!$Q$5="",Settings!$F$7&lt;&gt;"Y"),NA(),Capability!$Q$5))</f>
        <v/>
      </c>
      <c r="CJ45">
        <f>IF(ISNA(CB45),NA(),IF(OR(Capability!$P$5="",Settings!$F$7&lt;&gt;"Y"),NA(),Capability!$P$5))</f>
        <v/>
      </c>
      <c r="CP45">
        <f>IF((CS$1+41)&gt;CQ$1,NA(),(CS$1+41)-4)</f>
        <v/>
      </c>
      <c r="CQ45">
        <f>IF((CS$1+41)&gt;CQ$1,NA(),INDEX('Data Entry'!$I$5:$I$10004,(CS$1+41)-4))</f>
        <v/>
      </c>
      <c r="CR45">
        <f>IF(ISNA(CP45),NA(),Capability!$K$6)</f>
        <v/>
      </c>
      <c r="CS45">
        <f>IF(ISNA(CP45),NA(),Capability!$J$6)</f>
        <v/>
      </c>
      <c r="CT45">
        <f>IF(ISNA(CP45),NA(),Capability!$L$6)</f>
        <v/>
      </c>
      <c r="CU45">
        <f>IF(OR(ISNA(CQ45),ISNA(CQ44)),NA(),ABS(CQ45-CQ44))</f>
        <v/>
      </c>
      <c r="CV45">
        <f>IF(ISNA(CP45),NA(),Capability!$N$6)</f>
        <v/>
      </c>
      <c r="CW45">
        <f>IF(ISNA(CP45),NA(),IF(OR(Capability!$Q$6="",Settings!$F$7&lt;&gt;"Y"),NA(),Capability!$Q$6))</f>
        <v/>
      </c>
      <c r="CX45">
        <f>IF(ISNA(CP45),NA(),IF(OR(Capability!$P$6="",Settings!$F$7&lt;&gt;"Y"),NA(),Capability!$P$6))</f>
        <v/>
      </c>
      <c r="DD45">
        <f>IF((DG$1+41)&gt;DE$1,NA(),(DG$1+41)-4)</f>
        <v/>
      </c>
      <c r="DE45">
        <f>IF((DG$1+41)&gt;DE$1,NA(),INDEX('Data Entry'!$J$5:$J$10004,(DG$1+41)-4))</f>
        <v/>
      </c>
      <c r="DF45">
        <f>IF(ISNA(DD45),NA(),Capability!$K$7)</f>
        <v/>
      </c>
      <c r="DG45">
        <f>IF(ISNA(DD45),NA(),Capability!$J$7)</f>
        <v/>
      </c>
      <c r="DH45">
        <f>IF(ISNA(DD45),NA(),Capability!$L$7)</f>
        <v/>
      </c>
      <c r="DI45">
        <f>IF(OR(ISNA(DE45),ISNA(DE44)),NA(),ABS(DE45-DE44))</f>
        <v/>
      </c>
      <c r="DJ45">
        <f>IF(ISNA(DD45),NA(),Capability!$N$7)</f>
        <v/>
      </c>
      <c r="DK45">
        <f>IF(ISNA(DD45),NA(),IF(OR(Capability!$Q$7="",Settings!$F$7&lt;&gt;"Y"),NA(),Capability!$Q$7))</f>
        <v/>
      </c>
      <c r="DL45">
        <f>IF(ISNA(DD45),NA(),IF(OR(Capability!$P$7="",Settings!$F$7&lt;&gt;"Y"),NA(),Capability!$P$7))</f>
        <v/>
      </c>
      <c r="DR45">
        <f>IF((DU$1+41)&gt;DS$1,NA(),(DU$1+41)-4)</f>
        <v/>
      </c>
      <c r="DS45">
        <f>IF((DU$1+41)&gt;DS$1,NA(),INDEX('Data Entry'!$K$5:$K$10004,(DU$1+41)-4))</f>
        <v/>
      </c>
      <c r="DT45">
        <f>IF(ISNA(DR45),NA(),Capability!$K$8)</f>
        <v/>
      </c>
      <c r="DU45">
        <f>IF(ISNA(DR45),NA(),Capability!$J$8)</f>
        <v/>
      </c>
      <c r="DV45">
        <f>IF(ISNA(DR45),NA(),Capability!$L$8)</f>
        <v/>
      </c>
      <c r="DW45">
        <f>IF(OR(ISNA(DS45),ISNA(DS44)),NA(),ABS(DS45-DS44))</f>
        <v/>
      </c>
      <c r="DX45">
        <f>IF(ISNA(DR45),NA(),Capability!$N$8)</f>
        <v/>
      </c>
      <c r="DY45">
        <f>IF(ISNA(DR45),NA(),IF(OR(Capability!$Q$8="",Settings!$F$7&lt;&gt;"Y"),NA(),Capability!$Q$8))</f>
        <v/>
      </c>
      <c r="DZ45">
        <f>IF(ISNA(DR45),NA(),IF(OR(Capability!$P$8="",Settings!$F$7&lt;&gt;"Y"),NA(),Capability!$P$8))</f>
        <v/>
      </c>
      <c r="EF45">
        <f>IF((EI$1+41)&gt;EG$1,NA(),(EI$1+41)-4)</f>
        <v/>
      </c>
      <c r="EG45">
        <f>IF((EI$1+41)&gt;EG$1,NA(),INDEX('Data Entry'!$L$5:$L$10004,(EI$1+41)-4))</f>
        <v/>
      </c>
      <c r="EH45">
        <f>IF(ISNA(EF45),NA(),Capability!$K$9)</f>
        <v/>
      </c>
      <c r="EI45">
        <f>IF(ISNA(EF45),NA(),Capability!$J$9)</f>
        <v/>
      </c>
      <c r="EJ45">
        <f>IF(ISNA(EF45),NA(),Capability!$L$9)</f>
        <v/>
      </c>
      <c r="EK45">
        <f>IF(OR(ISNA(EG45),ISNA(EG44)),NA(),ABS(EG45-EG44))</f>
        <v/>
      </c>
      <c r="EL45">
        <f>IF(ISNA(EF45),NA(),Capability!$N$9)</f>
        <v/>
      </c>
      <c r="EM45">
        <f>IF(ISNA(EF45),NA(),IF(OR(Capability!$Q$9="",Settings!$F$7&lt;&gt;"Y"),NA(),Capability!$Q$9))</f>
        <v/>
      </c>
      <c r="EN45">
        <f>IF(ISNA(EF45),NA(),IF(OR(Capability!$P$9="",Settings!$F$7&lt;&gt;"Y"),NA(),Capability!$P$9))</f>
        <v/>
      </c>
      <c r="ET45">
        <f>IF((EW$1+41)&gt;EU$1,NA(),(EW$1+41)-4)</f>
        <v/>
      </c>
      <c r="EU45">
        <f>IF((EW$1+41)&gt;EU$1,NA(),INDEX('Data Entry'!$M$5:$M$10004,(EW$1+41)-4))</f>
        <v/>
      </c>
      <c r="EV45">
        <f>IF(ISNA(ET45),NA(),Capability!$K$10)</f>
        <v/>
      </c>
      <c r="EW45">
        <f>IF(ISNA(ET45),NA(),Capability!$J$10)</f>
        <v/>
      </c>
      <c r="EX45">
        <f>IF(ISNA(ET45),NA(),Capability!$L$10)</f>
        <v/>
      </c>
      <c r="EY45">
        <f>IF(OR(ISNA(EU45),ISNA(EU44)),NA(),ABS(EU45-EU44))</f>
        <v/>
      </c>
      <c r="EZ45">
        <f>IF(ISNA(ET45),NA(),Capability!$N$10)</f>
        <v/>
      </c>
      <c r="FA45">
        <f>IF(ISNA(ET45),NA(),IF(OR(Capability!$Q$10="",Settings!$F$7&lt;&gt;"Y"),NA(),Capability!$Q$10))</f>
        <v/>
      </c>
      <c r="FB45">
        <f>IF(ISNA(ET45),NA(),IF(OR(Capability!$P$10="",Settings!$F$7&lt;&gt;"Y"),NA(),Capability!$P$10))</f>
        <v/>
      </c>
      <c r="FH45">
        <f>IF((FK$1+41)&gt;FI$1,NA(),(FK$1+41)-4)</f>
        <v/>
      </c>
      <c r="FI45">
        <f>IF((FK$1+41)&gt;FI$1,NA(),INDEX('Data Entry'!$N$5:$N$10004,(FK$1+41)-4))</f>
        <v/>
      </c>
      <c r="FJ45">
        <f>IF(ISNA(FH45),NA(),Capability!$K$11)</f>
        <v/>
      </c>
      <c r="FK45">
        <f>IF(ISNA(FH45),NA(),Capability!$J$11)</f>
        <v/>
      </c>
      <c r="FL45">
        <f>IF(ISNA(FH45),NA(),Capability!$L$11)</f>
        <v/>
      </c>
      <c r="FM45">
        <f>IF(OR(ISNA(FI45),ISNA(FI44)),NA(),ABS(FI45-FI44))</f>
        <v/>
      </c>
      <c r="FN45">
        <f>IF(ISNA(FH45),NA(),Capability!$N$11)</f>
        <v/>
      </c>
      <c r="FO45">
        <f>IF(ISNA(FH45),NA(),IF(OR(Capability!$Q$11="",Settings!$F$7&lt;&gt;"Y"),NA(),Capability!$Q$11))</f>
        <v/>
      </c>
      <c r="FP45">
        <f>IF(ISNA(FH45),NA(),IF(OR(Capability!$P$11="",Settings!$F$7&lt;&gt;"Y"),NA(),Capability!$P$11))</f>
        <v/>
      </c>
      <c r="FV45">
        <f>IF((FY$1+41)&gt;FW$1,NA(),(FY$1+41)-4)</f>
        <v/>
      </c>
      <c r="FW45">
        <f>IF((FY$1+41)&gt;FW$1,NA(),INDEX('Data Entry'!$O$5:$O$10004,(FY$1+41)-4))</f>
        <v/>
      </c>
      <c r="FX45">
        <f>IF(ISNA(FV45),NA(),Capability!$K$12)</f>
        <v/>
      </c>
      <c r="FY45">
        <f>IF(ISNA(FV45),NA(),Capability!$J$12)</f>
        <v/>
      </c>
      <c r="FZ45">
        <f>IF(ISNA(FV45),NA(),Capability!$L$12)</f>
        <v/>
      </c>
      <c r="GA45">
        <f>IF(OR(ISNA(FW45),ISNA(FW44)),NA(),ABS(FW45-FW44))</f>
        <v/>
      </c>
      <c r="GB45">
        <f>IF(ISNA(FV45),NA(),Capability!$N$12)</f>
        <v/>
      </c>
      <c r="GC45">
        <f>IF(ISNA(FV45),NA(),IF(OR(Capability!$Q$12="",Settings!$F$7&lt;&gt;"Y"),NA(),Capability!$Q$12))</f>
        <v/>
      </c>
      <c r="GD45">
        <f>IF(ISNA(FV45),NA(),IF(OR(Capability!$P$12="",Settings!$F$7&lt;&gt;"Y"),NA(),Capability!$P$12))</f>
        <v/>
      </c>
      <c r="GJ45">
        <f>IF((GM$1+41)&gt;GK$1,NA(),(GM$1+41)-4)</f>
        <v/>
      </c>
      <c r="GK45">
        <f>IF((GM$1+41)&gt;GK$1,NA(),INDEX('Data Entry'!$P$5:$P$10004,(GM$1+41)-4))</f>
        <v/>
      </c>
      <c r="GL45">
        <f>IF(ISNA(GJ45),NA(),Capability!$K$13)</f>
        <v/>
      </c>
      <c r="GM45">
        <f>IF(ISNA(GJ45),NA(),Capability!$J$13)</f>
        <v/>
      </c>
      <c r="GN45">
        <f>IF(ISNA(GJ45),NA(),Capability!$L$13)</f>
        <v/>
      </c>
      <c r="GO45">
        <f>IF(OR(ISNA(GK45),ISNA(GK44)),NA(),ABS(GK45-GK44))</f>
        <v/>
      </c>
      <c r="GP45">
        <f>IF(ISNA(GJ45),NA(),Capability!$N$13)</f>
        <v/>
      </c>
      <c r="GQ45">
        <f>IF(ISNA(GJ45),NA(),IF(OR(Capability!$Q$13="",Settings!$F$7&lt;&gt;"Y"),NA(),Capability!$Q$13))</f>
        <v/>
      </c>
      <c r="GR45">
        <f>IF(ISNA(GJ45),NA(),IF(OR(Capability!$P$13="",Settings!$F$7&lt;&gt;"Y"),NA(),Capability!$P$13))</f>
        <v/>
      </c>
      <c r="GX45">
        <f>IF((HA$1+41)&gt;GY$1,NA(),(HA$1+41)-4)</f>
        <v/>
      </c>
      <c r="GY45">
        <f>IF((HA$1+41)&gt;GY$1,NA(),INDEX('Data Entry'!$Q$5:$Q$10004,(HA$1+41)-4))</f>
        <v/>
      </c>
      <c r="GZ45">
        <f>IF(ISNA(GX45),NA(),Capability!$K$14)</f>
        <v/>
      </c>
      <c r="HA45">
        <f>IF(ISNA(GX45),NA(),Capability!$J$14)</f>
        <v/>
      </c>
      <c r="HB45">
        <f>IF(ISNA(GX45),NA(),Capability!$L$14)</f>
        <v/>
      </c>
      <c r="HC45">
        <f>IF(OR(ISNA(GY45),ISNA(GY44)),NA(),ABS(GY45-GY44))</f>
        <v/>
      </c>
      <c r="HD45">
        <f>IF(ISNA(GX45),NA(),Capability!$N$14)</f>
        <v/>
      </c>
      <c r="HE45">
        <f>IF(ISNA(GX45),NA(),IF(OR(Capability!$Q$14="",Settings!$F$7&lt;&gt;"Y"),NA(),Capability!$Q$14))</f>
        <v/>
      </c>
      <c r="HF45">
        <f>IF(ISNA(GX45),NA(),IF(OR(Capability!$P$14="",Settings!$F$7&lt;&gt;"Y"),NA(),Capability!$P$14))</f>
        <v/>
      </c>
    </row>
    <row r="46">
      <c r="A46" s="35" t="inlineStr">
        <is>
          <t>Unit</t>
        </is>
      </c>
      <c r="B46" s="36">
        <f>Settings!F18</f>
        <v/>
      </c>
      <c r="CB46">
        <f>IF((CE$1+42)&gt;CC$1,NA(),(CE$1+42)-4)</f>
        <v/>
      </c>
      <c r="CC46">
        <f>IF((CE$1+42)&gt;CC$1,NA(),INDEX('Data Entry'!$H$5:$H$10004,(CE$1+42)-4))</f>
        <v/>
      </c>
      <c r="CD46">
        <f>IF(ISNA(CB46),NA(),Capability!$K$5)</f>
        <v/>
      </c>
      <c r="CE46">
        <f>IF(ISNA(CB46),NA(),Capability!$J$5)</f>
        <v/>
      </c>
      <c r="CF46">
        <f>IF(ISNA(CB46),NA(),Capability!$L$5)</f>
        <v/>
      </c>
      <c r="CG46">
        <f>IF(OR(ISNA(CC46),ISNA(CC45)),NA(),ABS(CC46-CC45))</f>
        <v/>
      </c>
      <c r="CH46">
        <f>IF(ISNA(CB46),NA(),Capability!$N$5)</f>
        <v/>
      </c>
      <c r="CI46">
        <f>IF(ISNA(CB46),NA(),IF(OR(Capability!$Q$5="",Settings!$F$7&lt;&gt;"Y"),NA(),Capability!$Q$5))</f>
        <v/>
      </c>
      <c r="CJ46">
        <f>IF(ISNA(CB46),NA(),IF(OR(Capability!$P$5="",Settings!$F$7&lt;&gt;"Y"),NA(),Capability!$P$5))</f>
        <v/>
      </c>
      <c r="CP46">
        <f>IF((CS$1+42)&gt;CQ$1,NA(),(CS$1+42)-4)</f>
        <v/>
      </c>
      <c r="CQ46">
        <f>IF((CS$1+42)&gt;CQ$1,NA(),INDEX('Data Entry'!$I$5:$I$10004,(CS$1+42)-4))</f>
        <v/>
      </c>
      <c r="CR46">
        <f>IF(ISNA(CP46),NA(),Capability!$K$6)</f>
        <v/>
      </c>
      <c r="CS46">
        <f>IF(ISNA(CP46),NA(),Capability!$J$6)</f>
        <v/>
      </c>
      <c r="CT46">
        <f>IF(ISNA(CP46),NA(),Capability!$L$6)</f>
        <v/>
      </c>
      <c r="CU46">
        <f>IF(OR(ISNA(CQ46),ISNA(CQ45)),NA(),ABS(CQ46-CQ45))</f>
        <v/>
      </c>
      <c r="CV46">
        <f>IF(ISNA(CP46),NA(),Capability!$N$6)</f>
        <v/>
      </c>
      <c r="CW46">
        <f>IF(ISNA(CP46),NA(),IF(OR(Capability!$Q$6="",Settings!$F$7&lt;&gt;"Y"),NA(),Capability!$Q$6))</f>
        <v/>
      </c>
      <c r="CX46">
        <f>IF(ISNA(CP46),NA(),IF(OR(Capability!$P$6="",Settings!$F$7&lt;&gt;"Y"),NA(),Capability!$P$6))</f>
        <v/>
      </c>
      <c r="DD46">
        <f>IF((DG$1+42)&gt;DE$1,NA(),(DG$1+42)-4)</f>
        <v/>
      </c>
      <c r="DE46">
        <f>IF((DG$1+42)&gt;DE$1,NA(),INDEX('Data Entry'!$J$5:$J$10004,(DG$1+42)-4))</f>
        <v/>
      </c>
      <c r="DF46">
        <f>IF(ISNA(DD46),NA(),Capability!$K$7)</f>
        <v/>
      </c>
      <c r="DG46">
        <f>IF(ISNA(DD46),NA(),Capability!$J$7)</f>
        <v/>
      </c>
      <c r="DH46">
        <f>IF(ISNA(DD46),NA(),Capability!$L$7)</f>
        <v/>
      </c>
      <c r="DI46">
        <f>IF(OR(ISNA(DE46),ISNA(DE45)),NA(),ABS(DE46-DE45))</f>
        <v/>
      </c>
      <c r="DJ46">
        <f>IF(ISNA(DD46),NA(),Capability!$N$7)</f>
        <v/>
      </c>
      <c r="DK46">
        <f>IF(ISNA(DD46),NA(),IF(OR(Capability!$Q$7="",Settings!$F$7&lt;&gt;"Y"),NA(),Capability!$Q$7))</f>
        <v/>
      </c>
      <c r="DL46">
        <f>IF(ISNA(DD46),NA(),IF(OR(Capability!$P$7="",Settings!$F$7&lt;&gt;"Y"),NA(),Capability!$P$7))</f>
        <v/>
      </c>
      <c r="DR46">
        <f>IF((DU$1+42)&gt;DS$1,NA(),(DU$1+42)-4)</f>
        <v/>
      </c>
      <c r="DS46">
        <f>IF((DU$1+42)&gt;DS$1,NA(),INDEX('Data Entry'!$K$5:$K$10004,(DU$1+42)-4))</f>
        <v/>
      </c>
      <c r="DT46">
        <f>IF(ISNA(DR46),NA(),Capability!$K$8)</f>
        <v/>
      </c>
      <c r="DU46">
        <f>IF(ISNA(DR46),NA(),Capability!$J$8)</f>
        <v/>
      </c>
      <c r="DV46">
        <f>IF(ISNA(DR46),NA(),Capability!$L$8)</f>
        <v/>
      </c>
      <c r="DW46">
        <f>IF(OR(ISNA(DS46),ISNA(DS45)),NA(),ABS(DS46-DS45))</f>
        <v/>
      </c>
      <c r="DX46">
        <f>IF(ISNA(DR46),NA(),Capability!$N$8)</f>
        <v/>
      </c>
      <c r="DY46">
        <f>IF(ISNA(DR46),NA(),IF(OR(Capability!$Q$8="",Settings!$F$7&lt;&gt;"Y"),NA(),Capability!$Q$8))</f>
        <v/>
      </c>
      <c r="DZ46">
        <f>IF(ISNA(DR46),NA(),IF(OR(Capability!$P$8="",Settings!$F$7&lt;&gt;"Y"),NA(),Capability!$P$8))</f>
        <v/>
      </c>
      <c r="EF46">
        <f>IF((EI$1+42)&gt;EG$1,NA(),(EI$1+42)-4)</f>
        <v/>
      </c>
      <c r="EG46">
        <f>IF((EI$1+42)&gt;EG$1,NA(),INDEX('Data Entry'!$L$5:$L$10004,(EI$1+42)-4))</f>
        <v/>
      </c>
      <c r="EH46">
        <f>IF(ISNA(EF46),NA(),Capability!$K$9)</f>
        <v/>
      </c>
      <c r="EI46">
        <f>IF(ISNA(EF46),NA(),Capability!$J$9)</f>
        <v/>
      </c>
      <c r="EJ46">
        <f>IF(ISNA(EF46),NA(),Capability!$L$9)</f>
        <v/>
      </c>
      <c r="EK46">
        <f>IF(OR(ISNA(EG46),ISNA(EG45)),NA(),ABS(EG46-EG45))</f>
        <v/>
      </c>
      <c r="EL46">
        <f>IF(ISNA(EF46),NA(),Capability!$N$9)</f>
        <v/>
      </c>
      <c r="EM46">
        <f>IF(ISNA(EF46),NA(),IF(OR(Capability!$Q$9="",Settings!$F$7&lt;&gt;"Y"),NA(),Capability!$Q$9))</f>
        <v/>
      </c>
      <c r="EN46">
        <f>IF(ISNA(EF46),NA(),IF(OR(Capability!$P$9="",Settings!$F$7&lt;&gt;"Y"),NA(),Capability!$P$9))</f>
        <v/>
      </c>
      <c r="ET46">
        <f>IF((EW$1+42)&gt;EU$1,NA(),(EW$1+42)-4)</f>
        <v/>
      </c>
      <c r="EU46">
        <f>IF((EW$1+42)&gt;EU$1,NA(),INDEX('Data Entry'!$M$5:$M$10004,(EW$1+42)-4))</f>
        <v/>
      </c>
      <c r="EV46">
        <f>IF(ISNA(ET46),NA(),Capability!$K$10)</f>
        <v/>
      </c>
      <c r="EW46">
        <f>IF(ISNA(ET46),NA(),Capability!$J$10)</f>
        <v/>
      </c>
      <c r="EX46">
        <f>IF(ISNA(ET46),NA(),Capability!$L$10)</f>
        <v/>
      </c>
      <c r="EY46">
        <f>IF(OR(ISNA(EU46),ISNA(EU45)),NA(),ABS(EU46-EU45))</f>
        <v/>
      </c>
      <c r="EZ46">
        <f>IF(ISNA(ET46),NA(),Capability!$N$10)</f>
        <v/>
      </c>
      <c r="FA46">
        <f>IF(ISNA(ET46),NA(),IF(OR(Capability!$Q$10="",Settings!$F$7&lt;&gt;"Y"),NA(),Capability!$Q$10))</f>
        <v/>
      </c>
      <c r="FB46">
        <f>IF(ISNA(ET46),NA(),IF(OR(Capability!$P$10="",Settings!$F$7&lt;&gt;"Y"),NA(),Capability!$P$10))</f>
        <v/>
      </c>
      <c r="FH46">
        <f>IF((FK$1+42)&gt;FI$1,NA(),(FK$1+42)-4)</f>
        <v/>
      </c>
      <c r="FI46">
        <f>IF((FK$1+42)&gt;FI$1,NA(),INDEX('Data Entry'!$N$5:$N$10004,(FK$1+42)-4))</f>
        <v/>
      </c>
      <c r="FJ46">
        <f>IF(ISNA(FH46),NA(),Capability!$K$11)</f>
        <v/>
      </c>
      <c r="FK46">
        <f>IF(ISNA(FH46),NA(),Capability!$J$11)</f>
        <v/>
      </c>
      <c r="FL46">
        <f>IF(ISNA(FH46),NA(),Capability!$L$11)</f>
        <v/>
      </c>
      <c r="FM46">
        <f>IF(OR(ISNA(FI46),ISNA(FI45)),NA(),ABS(FI46-FI45))</f>
        <v/>
      </c>
      <c r="FN46">
        <f>IF(ISNA(FH46),NA(),Capability!$N$11)</f>
        <v/>
      </c>
      <c r="FO46">
        <f>IF(ISNA(FH46),NA(),IF(OR(Capability!$Q$11="",Settings!$F$7&lt;&gt;"Y"),NA(),Capability!$Q$11))</f>
        <v/>
      </c>
      <c r="FP46">
        <f>IF(ISNA(FH46),NA(),IF(OR(Capability!$P$11="",Settings!$F$7&lt;&gt;"Y"),NA(),Capability!$P$11))</f>
        <v/>
      </c>
      <c r="FV46">
        <f>IF((FY$1+42)&gt;FW$1,NA(),(FY$1+42)-4)</f>
        <v/>
      </c>
      <c r="FW46">
        <f>IF((FY$1+42)&gt;FW$1,NA(),INDEX('Data Entry'!$O$5:$O$10004,(FY$1+42)-4))</f>
        <v/>
      </c>
      <c r="FX46">
        <f>IF(ISNA(FV46),NA(),Capability!$K$12)</f>
        <v/>
      </c>
      <c r="FY46">
        <f>IF(ISNA(FV46),NA(),Capability!$J$12)</f>
        <v/>
      </c>
      <c r="FZ46">
        <f>IF(ISNA(FV46),NA(),Capability!$L$12)</f>
        <v/>
      </c>
      <c r="GA46">
        <f>IF(OR(ISNA(FW46),ISNA(FW45)),NA(),ABS(FW46-FW45))</f>
        <v/>
      </c>
      <c r="GB46">
        <f>IF(ISNA(FV46),NA(),Capability!$N$12)</f>
        <v/>
      </c>
      <c r="GC46">
        <f>IF(ISNA(FV46),NA(),IF(OR(Capability!$Q$12="",Settings!$F$7&lt;&gt;"Y"),NA(),Capability!$Q$12))</f>
        <v/>
      </c>
      <c r="GD46">
        <f>IF(ISNA(FV46),NA(),IF(OR(Capability!$P$12="",Settings!$F$7&lt;&gt;"Y"),NA(),Capability!$P$12))</f>
        <v/>
      </c>
      <c r="GJ46">
        <f>IF((GM$1+42)&gt;GK$1,NA(),(GM$1+42)-4)</f>
        <v/>
      </c>
      <c r="GK46">
        <f>IF((GM$1+42)&gt;GK$1,NA(),INDEX('Data Entry'!$P$5:$P$10004,(GM$1+42)-4))</f>
        <v/>
      </c>
      <c r="GL46">
        <f>IF(ISNA(GJ46),NA(),Capability!$K$13)</f>
        <v/>
      </c>
      <c r="GM46">
        <f>IF(ISNA(GJ46),NA(),Capability!$J$13)</f>
        <v/>
      </c>
      <c r="GN46">
        <f>IF(ISNA(GJ46),NA(),Capability!$L$13)</f>
        <v/>
      </c>
      <c r="GO46">
        <f>IF(OR(ISNA(GK46),ISNA(GK45)),NA(),ABS(GK46-GK45))</f>
        <v/>
      </c>
      <c r="GP46">
        <f>IF(ISNA(GJ46),NA(),Capability!$N$13)</f>
        <v/>
      </c>
      <c r="GQ46">
        <f>IF(ISNA(GJ46),NA(),IF(OR(Capability!$Q$13="",Settings!$F$7&lt;&gt;"Y"),NA(),Capability!$Q$13))</f>
        <v/>
      </c>
      <c r="GR46">
        <f>IF(ISNA(GJ46),NA(),IF(OR(Capability!$P$13="",Settings!$F$7&lt;&gt;"Y"),NA(),Capability!$P$13))</f>
        <v/>
      </c>
      <c r="GX46">
        <f>IF((HA$1+42)&gt;GY$1,NA(),(HA$1+42)-4)</f>
        <v/>
      </c>
      <c r="GY46">
        <f>IF((HA$1+42)&gt;GY$1,NA(),INDEX('Data Entry'!$Q$5:$Q$10004,(HA$1+42)-4))</f>
        <v/>
      </c>
      <c r="GZ46">
        <f>IF(ISNA(GX46),NA(),Capability!$K$14)</f>
        <v/>
      </c>
      <c r="HA46">
        <f>IF(ISNA(GX46),NA(),Capability!$J$14)</f>
        <v/>
      </c>
      <c r="HB46">
        <f>IF(ISNA(GX46),NA(),Capability!$L$14)</f>
        <v/>
      </c>
      <c r="HC46">
        <f>IF(OR(ISNA(GY46),ISNA(GY45)),NA(),ABS(GY46-GY45))</f>
        <v/>
      </c>
      <c r="HD46">
        <f>IF(ISNA(GX46),NA(),Capability!$N$14)</f>
        <v/>
      </c>
      <c r="HE46">
        <f>IF(ISNA(GX46),NA(),IF(OR(Capability!$Q$14="",Settings!$F$7&lt;&gt;"Y"),NA(),Capability!$Q$14))</f>
        <v/>
      </c>
      <c r="HF46">
        <f>IF(ISNA(GX46),NA(),IF(OR(Capability!$P$14="",Settings!$F$7&lt;&gt;"Y"),NA(),Capability!$P$14))</f>
        <v/>
      </c>
    </row>
    <row r="47">
      <c r="A47" s="35" t="inlineStr">
        <is>
          <t>Samples (n)</t>
        </is>
      </c>
      <c r="B47" s="22">
        <f>Capability!B6</f>
        <v/>
      </c>
      <c r="CB47">
        <f>IF((CE$1+43)&gt;CC$1,NA(),(CE$1+43)-4)</f>
        <v/>
      </c>
      <c r="CC47">
        <f>IF((CE$1+43)&gt;CC$1,NA(),INDEX('Data Entry'!$H$5:$H$10004,(CE$1+43)-4))</f>
        <v/>
      </c>
      <c r="CD47">
        <f>IF(ISNA(CB47),NA(),Capability!$K$5)</f>
        <v/>
      </c>
      <c r="CE47">
        <f>IF(ISNA(CB47),NA(),Capability!$J$5)</f>
        <v/>
      </c>
      <c r="CF47">
        <f>IF(ISNA(CB47),NA(),Capability!$L$5)</f>
        <v/>
      </c>
      <c r="CG47">
        <f>IF(OR(ISNA(CC47),ISNA(CC46)),NA(),ABS(CC47-CC46))</f>
        <v/>
      </c>
      <c r="CH47">
        <f>IF(ISNA(CB47),NA(),Capability!$N$5)</f>
        <v/>
      </c>
      <c r="CI47">
        <f>IF(ISNA(CB47),NA(),IF(OR(Capability!$Q$5="",Settings!$F$7&lt;&gt;"Y"),NA(),Capability!$Q$5))</f>
        <v/>
      </c>
      <c r="CJ47">
        <f>IF(ISNA(CB47),NA(),IF(OR(Capability!$P$5="",Settings!$F$7&lt;&gt;"Y"),NA(),Capability!$P$5))</f>
        <v/>
      </c>
      <c r="CP47">
        <f>IF((CS$1+43)&gt;CQ$1,NA(),(CS$1+43)-4)</f>
        <v/>
      </c>
      <c r="CQ47">
        <f>IF((CS$1+43)&gt;CQ$1,NA(),INDEX('Data Entry'!$I$5:$I$10004,(CS$1+43)-4))</f>
        <v/>
      </c>
      <c r="CR47">
        <f>IF(ISNA(CP47),NA(),Capability!$K$6)</f>
        <v/>
      </c>
      <c r="CS47">
        <f>IF(ISNA(CP47),NA(),Capability!$J$6)</f>
        <v/>
      </c>
      <c r="CT47">
        <f>IF(ISNA(CP47),NA(),Capability!$L$6)</f>
        <v/>
      </c>
      <c r="CU47">
        <f>IF(OR(ISNA(CQ47),ISNA(CQ46)),NA(),ABS(CQ47-CQ46))</f>
        <v/>
      </c>
      <c r="CV47">
        <f>IF(ISNA(CP47),NA(),Capability!$N$6)</f>
        <v/>
      </c>
      <c r="CW47">
        <f>IF(ISNA(CP47),NA(),IF(OR(Capability!$Q$6="",Settings!$F$7&lt;&gt;"Y"),NA(),Capability!$Q$6))</f>
        <v/>
      </c>
      <c r="CX47">
        <f>IF(ISNA(CP47),NA(),IF(OR(Capability!$P$6="",Settings!$F$7&lt;&gt;"Y"),NA(),Capability!$P$6))</f>
        <v/>
      </c>
      <c r="DD47">
        <f>IF((DG$1+43)&gt;DE$1,NA(),(DG$1+43)-4)</f>
        <v/>
      </c>
      <c r="DE47">
        <f>IF((DG$1+43)&gt;DE$1,NA(),INDEX('Data Entry'!$J$5:$J$10004,(DG$1+43)-4))</f>
        <v/>
      </c>
      <c r="DF47">
        <f>IF(ISNA(DD47),NA(),Capability!$K$7)</f>
        <v/>
      </c>
      <c r="DG47">
        <f>IF(ISNA(DD47),NA(),Capability!$J$7)</f>
        <v/>
      </c>
      <c r="DH47">
        <f>IF(ISNA(DD47),NA(),Capability!$L$7)</f>
        <v/>
      </c>
      <c r="DI47">
        <f>IF(OR(ISNA(DE47),ISNA(DE46)),NA(),ABS(DE47-DE46))</f>
        <v/>
      </c>
      <c r="DJ47">
        <f>IF(ISNA(DD47),NA(),Capability!$N$7)</f>
        <v/>
      </c>
      <c r="DK47">
        <f>IF(ISNA(DD47),NA(),IF(OR(Capability!$Q$7="",Settings!$F$7&lt;&gt;"Y"),NA(),Capability!$Q$7))</f>
        <v/>
      </c>
      <c r="DL47">
        <f>IF(ISNA(DD47),NA(),IF(OR(Capability!$P$7="",Settings!$F$7&lt;&gt;"Y"),NA(),Capability!$P$7))</f>
        <v/>
      </c>
      <c r="DR47">
        <f>IF((DU$1+43)&gt;DS$1,NA(),(DU$1+43)-4)</f>
        <v/>
      </c>
      <c r="DS47">
        <f>IF((DU$1+43)&gt;DS$1,NA(),INDEX('Data Entry'!$K$5:$K$10004,(DU$1+43)-4))</f>
        <v/>
      </c>
      <c r="DT47">
        <f>IF(ISNA(DR47),NA(),Capability!$K$8)</f>
        <v/>
      </c>
      <c r="DU47">
        <f>IF(ISNA(DR47),NA(),Capability!$J$8)</f>
        <v/>
      </c>
      <c r="DV47">
        <f>IF(ISNA(DR47),NA(),Capability!$L$8)</f>
        <v/>
      </c>
      <c r="DW47">
        <f>IF(OR(ISNA(DS47),ISNA(DS46)),NA(),ABS(DS47-DS46))</f>
        <v/>
      </c>
      <c r="DX47">
        <f>IF(ISNA(DR47),NA(),Capability!$N$8)</f>
        <v/>
      </c>
      <c r="DY47">
        <f>IF(ISNA(DR47),NA(),IF(OR(Capability!$Q$8="",Settings!$F$7&lt;&gt;"Y"),NA(),Capability!$Q$8))</f>
        <v/>
      </c>
      <c r="DZ47">
        <f>IF(ISNA(DR47),NA(),IF(OR(Capability!$P$8="",Settings!$F$7&lt;&gt;"Y"),NA(),Capability!$P$8))</f>
        <v/>
      </c>
      <c r="EF47">
        <f>IF((EI$1+43)&gt;EG$1,NA(),(EI$1+43)-4)</f>
        <v/>
      </c>
      <c r="EG47">
        <f>IF((EI$1+43)&gt;EG$1,NA(),INDEX('Data Entry'!$L$5:$L$10004,(EI$1+43)-4))</f>
        <v/>
      </c>
      <c r="EH47">
        <f>IF(ISNA(EF47),NA(),Capability!$K$9)</f>
        <v/>
      </c>
      <c r="EI47">
        <f>IF(ISNA(EF47),NA(),Capability!$J$9)</f>
        <v/>
      </c>
      <c r="EJ47">
        <f>IF(ISNA(EF47),NA(),Capability!$L$9)</f>
        <v/>
      </c>
      <c r="EK47">
        <f>IF(OR(ISNA(EG47),ISNA(EG46)),NA(),ABS(EG47-EG46))</f>
        <v/>
      </c>
      <c r="EL47">
        <f>IF(ISNA(EF47),NA(),Capability!$N$9)</f>
        <v/>
      </c>
      <c r="EM47">
        <f>IF(ISNA(EF47),NA(),IF(OR(Capability!$Q$9="",Settings!$F$7&lt;&gt;"Y"),NA(),Capability!$Q$9))</f>
        <v/>
      </c>
      <c r="EN47">
        <f>IF(ISNA(EF47),NA(),IF(OR(Capability!$P$9="",Settings!$F$7&lt;&gt;"Y"),NA(),Capability!$P$9))</f>
        <v/>
      </c>
      <c r="ET47">
        <f>IF((EW$1+43)&gt;EU$1,NA(),(EW$1+43)-4)</f>
        <v/>
      </c>
      <c r="EU47">
        <f>IF((EW$1+43)&gt;EU$1,NA(),INDEX('Data Entry'!$M$5:$M$10004,(EW$1+43)-4))</f>
        <v/>
      </c>
      <c r="EV47">
        <f>IF(ISNA(ET47),NA(),Capability!$K$10)</f>
        <v/>
      </c>
      <c r="EW47">
        <f>IF(ISNA(ET47),NA(),Capability!$J$10)</f>
        <v/>
      </c>
      <c r="EX47">
        <f>IF(ISNA(ET47),NA(),Capability!$L$10)</f>
        <v/>
      </c>
      <c r="EY47">
        <f>IF(OR(ISNA(EU47),ISNA(EU46)),NA(),ABS(EU47-EU46))</f>
        <v/>
      </c>
      <c r="EZ47">
        <f>IF(ISNA(ET47),NA(),Capability!$N$10)</f>
        <v/>
      </c>
      <c r="FA47">
        <f>IF(ISNA(ET47),NA(),IF(OR(Capability!$Q$10="",Settings!$F$7&lt;&gt;"Y"),NA(),Capability!$Q$10))</f>
        <v/>
      </c>
      <c r="FB47">
        <f>IF(ISNA(ET47),NA(),IF(OR(Capability!$P$10="",Settings!$F$7&lt;&gt;"Y"),NA(),Capability!$P$10))</f>
        <v/>
      </c>
      <c r="FH47">
        <f>IF((FK$1+43)&gt;FI$1,NA(),(FK$1+43)-4)</f>
        <v/>
      </c>
      <c r="FI47">
        <f>IF((FK$1+43)&gt;FI$1,NA(),INDEX('Data Entry'!$N$5:$N$10004,(FK$1+43)-4))</f>
        <v/>
      </c>
      <c r="FJ47">
        <f>IF(ISNA(FH47),NA(),Capability!$K$11)</f>
        <v/>
      </c>
      <c r="FK47">
        <f>IF(ISNA(FH47),NA(),Capability!$J$11)</f>
        <v/>
      </c>
      <c r="FL47">
        <f>IF(ISNA(FH47),NA(),Capability!$L$11)</f>
        <v/>
      </c>
      <c r="FM47">
        <f>IF(OR(ISNA(FI47),ISNA(FI46)),NA(),ABS(FI47-FI46))</f>
        <v/>
      </c>
      <c r="FN47">
        <f>IF(ISNA(FH47),NA(),Capability!$N$11)</f>
        <v/>
      </c>
      <c r="FO47">
        <f>IF(ISNA(FH47),NA(),IF(OR(Capability!$Q$11="",Settings!$F$7&lt;&gt;"Y"),NA(),Capability!$Q$11))</f>
        <v/>
      </c>
      <c r="FP47">
        <f>IF(ISNA(FH47),NA(),IF(OR(Capability!$P$11="",Settings!$F$7&lt;&gt;"Y"),NA(),Capability!$P$11))</f>
        <v/>
      </c>
      <c r="FV47">
        <f>IF((FY$1+43)&gt;FW$1,NA(),(FY$1+43)-4)</f>
        <v/>
      </c>
      <c r="FW47">
        <f>IF((FY$1+43)&gt;FW$1,NA(),INDEX('Data Entry'!$O$5:$O$10004,(FY$1+43)-4))</f>
        <v/>
      </c>
      <c r="FX47">
        <f>IF(ISNA(FV47),NA(),Capability!$K$12)</f>
        <v/>
      </c>
      <c r="FY47">
        <f>IF(ISNA(FV47),NA(),Capability!$J$12)</f>
        <v/>
      </c>
      <c r="FZ47">
        <f>IF(ISNA(FV47),NA(),Capability!$L$12)</f>
        <v/>
      </c>
      <c r="GA47">
        <f>IF(OR(ISNA(FW47),ISNA(FW46)),NA(),ABS(FW47-FW46))</f>
        <v/>
      </c>
      <c r="GB47">
        <f>IF(ISNA(FV47),NA(),Capability!$N$12)</f>
        <v/>
      </c>
      <c r="GC47">
        <f>IF(ISNA(FV47),NA(),IF(OR(Capability!$Q$12="",Settings!$F$7&lt;&gt;"Y"),NA(),Capability!$Q$12))</f>
        <v/>
      </c>
      <c r="GD47">
        <f>IF(ISNA(FV47),NA(),IF(OR(Capability!$P$12="",Settings!$F$7&lt;&gt;"Y"),NA(),Capability!$P$12))</f>
        <v/>
      </c>
      <c r="GJ47">
        <f>IF((GM$1+43)&gt;GK$1,NA(),(GM$1+43)-4)</f>
        <v/>
      </c>
      <c r="GK47">
        <f>IF((GM$1+43)&gt;GK$1,NA(),INDEX('Data Entry'!$P$5:$P$10004,(GM$1+43)-4))</f>
        <v/>
      </c>
      <c r="GL47">
        <f>IF(ISNA(GJ47),NA(),Capability!$K$13)</f>
        <v/>
      </c>
      <c r="GM47">
        <f>IF(ISNA(GJ47),NA(),Capability!$J$13)</f>
        <v/>
      </c>
      <c r="GN47">
        <f>IF(ISNA(GJ47),NA(),Capability!$L$13)</f>
        <v/>
      </c>
      <c r="GO47">
        <f>IF(OR(ISNA(GK47),ISNA(GK46)),NA(),ABS(GK47-GK46))</f>
        <v/>
      </c>
      <c r="GP47">
        <f>IF(ISNA(GJ47),NA(),Capability!$N$13)</f>
        <v/>
      </c>
      <c r="GQ47">
        <f>IF(ISNA(GJ47),NA(),IF(OR(Capability!$Q$13="",Settings!$F$7&lt;&gt;"Y"),NA(),Capability!$Q$13))</f>
        <v/>
      </c>
      <c r="GR47">
        <f>IF(ISNA(GJ47),NA(),IF(OR(Capability!$P$13="",Settings!$F$7&lt;&gt;"Y"),NA(),Capability!$P$13))</f>
        <v/>
      </c>
      <c r="GX47">
        <f>IF((HA$1+43)&gt;GY$1,NA(),(HA$1+43)-4)</f>
        <v/>
      </c>
      <c r="GY47">
        <f>IF((HA$1+43)&gt;GY$1,NA(),INDEX('Data Entry'!$Q$5:$Q$10004,(HA$1+43)-4))</f>
        <v/>
      </c>
      <c r="GZ47">
        <f>IF(ISNA(GX47),NA(),Capability!$K$14)</f>
        <v/>
      </c>
      <c r="HA47">
        <f>IF(ISNA(GX47),NA(),Capability!$J$14)</f>
        <v/>
      </c>
      <c r="HB47">
        <f>IF(ISNA(GX47),NA(),Capability!$L$14)</f>
        <v/>
      </c>
      <c r="HC47">
        <f>IF(OR(ISNA(GY47),ISNA(GY46)),NA(),ABS(GY47-GY46))</f>
        <v/>
      </c>
      <c r="HD47">
        <f>IF(ISNA(GX47),NA(),Capability!$N$14)</f>
        <v/>
      </c>
      <c r="HE47">
        <f>IF(ISNA(GX47),NA(),IF(OR(Capability!$Q$14="",Settings!$F$7&lt;&gt;"Y"),NA(),Capability!$Q$14))</f>
        <v/>
      </c>
      <c r="HF47">
        <f>IF(ISNA(GX47),NA(),IF(OR(Capability!$P$14="",Settings!$F$7&lt;&gt;"Y"),NA(),Capability!$P$14))</f>
        <v/>
      </c>
    </row>
    <row r="48">
      <c r="A48" s="37" t="inlineStr">
        <is>
          <t>DATA RANGE</t>
        </is>
      </c>
      <c r="B48" s="28" t="n"/>
      <c r="CB48">
        <f>IF((CE$1+44)&gt;CC$1,NA(),(CE$1+44)-4)</f>
        <v/>
      </c>
      <c r="CC48">
        <f>IF((CE$1+44)&gt;CC$1,NA(),INDEX('Data Entry'!$H$5:$H$10004,(CE$1+44)-4))</f>
        <v/>
      </c>
      <c r="CD48">
        <f>IF(ISNA(CB48),NA(),Capability!$K$5)</f>
        <v/>
      </c>
      <c r="CE48">
        <f>IF(ISNA(CB48),NA(),Capability!$J$5)</f>
        <v/>
      </c>
      <c r="CF48">
        <f>IF(ISNA(CB48),NA(),Capability!$L$5)</f>
        <v/>
      </c>
      <c r="CG48">
        <f>IF(OR(ISNA(CC48),ISNA(CC47)),NA(),ABS(CC48-CC47))</f>
        <v/>
      </c>
      <c r="CH48">
        <f>IF(ISNA(CB48),NA(),Capability!$N$5)</f>
        <v/>
      </c>
      <c r="CI48">
        <f>IF(ISNA(CB48),NA(),IF(OR(Capability!$Q$5="",Settings!$F$7&lt;&gt;"Y"),NA(),Capability!$Q$5))</f>
        <v/>
      </c>
      <c r="CJ48">
        <f>IF(ISNA(CB48),NA(),IF(OR(Capability!$P$5="",Settings!$F$7&lt;&gt;"Y"),NA(),Capability!$P$5))</f>
        <v/>
      </c>
      <c r="CP48">
        <f>IF((CS$1+44)&gt;CQ$1,NA(),(CS$1+44)-4)</f>
        <v/>
      </c>
      <c r="CQ48">
        <f>IF((CS$1+44)&gt;CQ$1,NA(),INDEX('Data Entry'!$I$5:$I$10004,(CS$1+44)-4))</f>
        <v/>
      </c>
      <c r="CR48">
        <f>IF(ISNA(CP48),NA(),Capability!$K$6)</f>
        <v/>
      </c>
      <c r="CS48">
        <f>IF(ISNA(CP48),NA(),Capability!$J$6)</f>
        <v/>
      </c>
      <c r="CT48">
        <f>IF(ISNA(CP48),NA(),Capability!$L$6)</f>
        <v/>
      </c>
      <c r="CU48">
        <f>IF(OR(ISNA(CQ48),ISNA(CQ47)),NA(),ABS(CQ48-CQ47))</f>
        <v/>
      </c>
      <c r="CV48">
        <f>IF(ISNA(CP48),NA(),Capability!$N$6)</f>
        <v/>
      </c>
      <c r="CW48">
        <f>IF(ISNA(CP48),NA(),IF(OR(Capability!$Q$6="",Settings!$F$7&lt;&gt;"Y"),NA(),Capability!$Q$6))</f>
        <v/>
      </c>
      <c r="CX48">
        <f>IF(ISNA(CP48),NA(),IF(OR(Capability!$P$6="",Settings!$F$7&lt;&gt;"Y"),NA(),Capability!$P$6))</f>
        <v/>
      </c>
      <c r="DD48">
        <f>IF((DG$1+44)&gt;DE$1,NA(),(DG$1+44)-4)</f>
        <v/>
      </c>
      <c r="DE48">
        <f>IF((DG$1+44)&gt;DE$1,NA(),INDEX('Data Entry'!$J$5:$J$10004,(DG$1+44)-4))</f>
        <v/>
      </c>
      <c r="DF48">
        <f>IF(ISNA(DD48),NA(),Capability!$K$7)</f>
        <v/>
      </c>
      <c r="DG48">
        <f>IF(ISNA(DD48),NA(),Capability!$J$7)</f>
        <v/>
      </c>
      <c r="DH48">
        <f>IF(ISNA(DD48),NA(),Capability!$L$7)</f>
        <v/>
      </c>
      <c r="DI48">
        <f>IF(OR(ISNA(DE48),ISNA(DE47)),NA(),ABS(DE48-DE47))</f>
        <v/>
      </c>
      <c r="DJ48">
        <f>IF(ISNA(DD48),NA(),Capability!$N$7)</f>
        <v/>
      </c>
      <c r="DK48">
        <f>IF(ISNA(DD48),NA(),IF(OR(Capability!$Q$7="",Settings!$F$7&lt;&gt;"Y"),NA(),Capability!$Q$7))</f>
        <v/>
      </c>
      <c r="DL48">
        <f>IF(ISNA(DD48),NA(),IF(OR(Capability!$P$7="",Settings!$F$7&lt;&gt;"Y"),NA(),Capability!$P$7))</f>
        <v/>
      </c>
      <c r="DR48">
        <f>IF((DU$1+44)&gt;DS$1,NA(),(DU$1+44)-4)</f>
        <v/>
      </c>
      <c r="DS48">
        <f>IF((DU$1+44)&gt;DS$1,NA(),INDEX('Data Entry'!$K$5:$K$10004,(DU$1+44)-4))</f>
        <v/>
      </c>
      <c r="DT48">
        <f>IF(ISNA(DR48),NA(),Capability!$K$8)</f>
        <v/>
      </c>
      <c r="DU48">
        <f>IF(ISNA(DR48),NA(),Capability!$J$8)</f>
        <v/>
      </c>
      <c r="DV48">
        <f>IF(ISNA(DR48),NA(),Capability!$L$8)</f>
        <v/>
      </c>
      <c r="DW48">
        <f>IF(OR(ISNA(DS48),ISNA(DS47)),NA(),ABS(DS48-DS47))</f>
        <v/>
      </c>
      <c r="DX48">
        <f>IF(ISNA(DR48),NA(),Capability!$N$8)</f>
        <v/>
      </c>
      <c r="DY48">
        <f>IF(ISNA(DR48),NA(),IF(OR(Capability!$Q$8="",Settings!$F$7&lt;&gt;"Y"),NA(),Capability!$Q$8))</f>
        <v/>
      </c>
      <c r="DZ48">
        <f>IF(ISNA(DR48),NA(),IF(OR(Capability!$P$8="",Settings!$F$7&lt;&gt;"Y"),NA(),Capability!$P$8))</f>
        <v/>
      </c>
      <c r="EF48">
        <f>IF((EI$1+44)&gt;EG$1,NA(),(EI$1+44)-4)</f>
        <v/>
      </c>
      <c r="EG48">
        <f>IF((EI$1+44)&gt;EG$1,NA(),INDEX('Data Entry'!$L$5:$L$10004,(EI$1+44)-4))</f>
        <v/>
      </c>
      <c r="EH48">
        <f>IF(ISNA(EF48),NA(),Capability!$K$9)</f>
        <v/>
      </c>
      <c r="EI48">
        <f>IF(ISNA(EF48),NA(),Capability!$J$9)</f>
        <v/>
      </c>
      <c r="EJ48">
        <f>IF(ISNA(EF48),NA(),Capability!$L$9)</f>
        <v/>
      </c>
      <c r="EK48">
        <f>IF(OR(ISNA(EG48),ISNA(EG47)),NA(),ABS(EG48-EG47))</f>
        <v/>
      </c>
      <c r="EL48">
        <f>IF(ISNA(EF48),NA(),Capability!$N$9)</f>
        <v/>
      </c>
      <c r="EM48">
        <f>IF(ISNA(EF48),NA(),IF(OR(Capability!$Q$9="",Settings!$F$7&lt;&gt;"Y"),NA(),Capability!$Q$9))</f>
        <v/>
      </c>
      <c r="EN48">
        <f>IF(ISNA(EF48),NA(),IF(OR(Capability!$P$9="",Settings!$F$7&lt;&gt;"Y"),NA(),Capability!$P$9))</f>
        <v/>
      </c>
      <c r="ET48">
        <f>IF((EW$1+44)&gt;EU$1,NA(),(EW$1+44)-4)</f>
        <v/>
      </c>
      <c r="EU48">
        <f>IF((EW$1+44)&gt;EU$1,NA(),INDEX('Data Entry'!$M$5:$M$10004,(EW$1+44)-4))</f>
        <v/>
      </c>
      <c r="EV48">
        <f>IF(ISNA(ET48),NA(),Capability!$K$10)</f>
        <v/>
      </c>
      <c r="EW48">
        <f>IF(ISNA(ET48),NA(),Capability!$J$10)</f>
        <v/>
      </c>
      <c r="EX48">
        <f>IF(ISNA(ET48),NA(),Capability!$L$10)</f>
        <v/>
      </c>
      <c r="EY48">
        <f>IF(OR(ISNA(EU48),ISNA(EU47)),NA(),ABS(EU48-EU47))</f>
        <v/>
      </c>
      <c r="EZ48">
        <f>IF(ISNA(ET48),NA(),Capability!$N$10)</f>
        <v/>
      </c>
      <c r="FA48">
        <f>IF(ISNA(ET48),NA(),IF(OR(Capability!$Q$10="",Settings!$F$7&lt;&gt;"Y"),NA(),Capability!$Q$10))</f>
        <v/>
      </c>
      <c r="FB48">
        <f>IF(ISNA(ET48),NA(),IF(OR(Capability!$P$10="",Settings!$F$7&lt;&gt;"Y"),NA(),Capability!$P$10))</f>
        <v/>
      </c>
      <c r="FH48">
        <f>IF((FK$1+44)&gt;FI$1,NA(),(FK$1+44)-4)</f>
        <v/>
      </c>
      <c r="FI48">
        <f>IF((FK$1+44)&gt;FI$1,NA(),INDEX('Data Entry'!$N$5:$N$10004,(FK$1+44)-4))</f>
        <v/>
      </c>
      <c r="FJ48">
        <f>IF(ISNA(FH48),NA(),Capability!$K$11)</f>
        <v/>
      </c>
      <c r="FK48">
        <f>IF(ISNA(FH48),NA(),Capability!$J$11)</f>
        <v/>
      </c>
      <c r="FL48">
        <f>IF(ISNA(FH48),NA(),Capability!$L$11)</f>
        <v/>
      </c>
      <c r="FM48">
        <f>IF(OR(ISNA(FI48),ISNA(FI47)),NA(),ABS(FI48-FI47))</f>
        <v/>
      </c>
      <c r="FN48">
        <f>IF(ISNA(FH48),NA(),Capability!$N$11)</f>
        <v/>
      </c>
      <c r="FO48">
        <f>IF(ISNA(FH48),NA(),IF(OR(Capability!$Q$11="",Settings!$F$7&lt;&gt;"Y"),NA(),Capability!$Q$11))</f>
        <v/>
      </c>
      <c r="FP48">
        <f>IF(ISNA(FH48),NA(),IF(OR(Capability!$P$11="",Settings!$F$7&lt;&gt;"Y"),NA(),Capability!$P$11))</f>
        <v/>
      </c>
      <c r="FV48">
        <f>IF((FY$1+44)&gt;FW$1,NA(),(FY$1+44)-4)</f>
        <v/>
      </c>
      <c r="FW48">
        <f>IF((FY$1+44)&gt;FW$1,NA(),INDEX('Data Entry'!$O$5:$O$10004,(FY$1+44)-4))</f>
        <v/>
      </c>
      <c r="FX48">
        <f>IF(ISNA(FV48),NA(),Capability!$K$12)</f>
        <v/>
      </c>
      <c r="FY48">
        <f>IF(ISNA(FV48),NA(),Capability!$J$12)</f>
        <v/>
      </c>
      <c r="FZ48">
        <f>IF(ISNA(FV48),NA(),Capability!$L$12)</f>
        <v/>
      </c>
      <c r="GA48">
        <f>IF(OR(ISNA(FW48),ISNA(FW47)),NA(),ABS(FW48-FW47))</f>
        <v/>
      </c>
      <c r="GB48">
        <f>IF(ISNA(FV48),NA(),Capability!$N$12)</f>
        <v/>
      </c>
      <c r="GC48">
        <f>IF(ISNA(FV48),NA(),IF(OR(Capability!$Q$12="",Settings!$F$7&lt;&gt;"Y"),NA(),Capability!$Q$12))</f>
        <v/>
      </c>
      <c r="GD48">
        <f>IF(ISNA(FV48),NA(),IF(OR(Capability!$P$12="",Settings!$F$7&lt;&gt;"Y"),NA(),Capability!$P$12))</f>
        <v/>
      </c>
      <c r="GJ48">
        <f>IF((GM$1+44)&gt;GK$1,NA(),(GM$1+44)-4)</f>
        <v/>
      </c>
      <c r="GK48">
        <f>IF((GM$1+44)&gt;GK$1,NA(),INDEX('Data Entry'!$P$5:$P$10004,(GM$1+44)-4))</f>
        <v/>
      </c>
      <c r="GL48">
        <f>IF(ISNA(GJ48),NA(),Capability!$K$13)</f>
        <v/>
      </c>
      <c r="GM48">
        <f>IF(ISNA(GJ48),NA(),Capability!$J$13)</f>
        <v/>
      </c>
      <c r="GN48">
        <f>IF(ISNA(GJ48),NA(),Capability!$L$13)</f>
        <v/>
      </c>
      <c r="GO48">
        <f>IF(OR(ISNA(GK48),ISNA(GK47)),NA(),ABS(GK48-GK47))</f>
        <v/>
      </c>
      <c r="GP48">
        <f>IF(ISNA(GJ48),NA(),Capability!$N$13)</f>
        <v/>
      </c>
      <c r="GQ48">
        <f>IF(ISNA(GJ48),NA(),IF(OR(Capability!$Q$13="",Settings!$F$7&lt;&gt;"Y"),NA(),Capability!$Q$13))</f>
        <v/>
      </c>
      <c r="GR48">
        <f>IF(ISNA(GJ48),NA(),IF(OR(Capability!$P$13="",Settings!$F$7&lt;&gt;"Y"),NA(),Capability!$P$13))</f>
        <v/>
      </c>
      <c r="GX48">
        <f>IF((HA$1+44)&gt;GY$1,NA(),(HA$1+44)-4)</f>
        <v/>
      </c>
      <c r="GY48">
        <f>IF((HA$1+44)&gt;GY$1,NA(),INDEX('Data Entry'!$Q$5:$Q$10004,(HA$1+44)-4))</f>
        <v/>
      </c>
      <c r="GZ48">
        <f>IF(ISNA(GX48),NA(),Capability!$K$14)</f>
        <v/>
      </c>
      <c r="HA48">
        <f>IF(ISNA(GX48),NA(),Capability!$J$14)</f>
        <v/>
      </c>
      <c r="HB48">
        <f>IF(ISNA(GX48),NA(),Capability!$L$14)</f>
        <v/>
      </c>
      <c r="HC48">
        <f>IF(OR(ISNA(GY48),ISNA(GY47)),NA(),ABS(GY48-GY47))</f>
        <v/>
      </c>
      <c r="HD48">
        <f>IF(ISNA(GX48),NA(),Capability!$N$14)</f>
        <v/>
      </c>
      <c r="HE48">
        <f>IF(ISNA(GX48),NA(),IF(OR(Capability!$Q$14="",Settings!$F$7&lt;&gt;"Y"),NA(),Capability!$Q$14))</f>
        <v/>
      </c>
      <c r="HF48">
        <f>IF(ISNA(GX48),NA(),IF(OR(Capability!$P$14="",Settings!$F$7&lt;&gt;"Y"),NA(),Capability!$P$14))</f>
        <v/>
      </c>
    </row>
    <row r="49">
      <c r="A49" s="35" t="inlineStr">
        <is>
          <t>Min</t>
        </is>
      </c>
      <c r="B49" s="23">
        <f>Capability!E6</f>
        <v/>
      </c>
      <c r="CB49">
        <f>IF((CE$1+45)&gt;CC$1,NA(),(CE$1+45)-4)</f>
        <v/>
      </c>
      <c r="CC49">
        <f>IF((CE$1+45)&gt;CC$1,NA(),INDEX('Data Entry'!$H$5:$H$10004,(CE$1+45)-4))</f>
        <v/>
      </c>
      <c r="CD49">
        <f>IF(ISNA(CB49),NA(),Capability!$K$5)</f>
        <v/>
      </c>
      <c r="CE49">
        <f>IF(ISNA(CB49),NA(),Capability!$J$5)</f>
        <v/>
      </c>
      <c r="CF49">
        <f>IF(ISNA(CB49),NA(),Capability!$L$5)</f>
        <v/>
      </c>
      <c r="CG49">
        <f>IF(OR(ISNA(CC49),ISNA(CC48)),NA(),ABS(CC49-CC48))</f>
        <v/>
      </c>
      <c r="CH49">
        <f>IF(ISNA(CB49),NA(),Capability!$N$5)</f>
        <v/>
      </c>
      <c r="CI49">
        <f>IF(ISNA(CB49),NA(),IF(OR(Capability!$Q$5="",Settings!$F$7&lt;&gt;"Y"),NA(),Capability!$Q$5))</f>
        <v/>
      </c>
      <c r="CJ49">
        <f>IF(ISNA(CB49),NA(),IF(OR(Capability!$P$5="",Settings!$F$7&lt;&gt;"Y"),NA(),Capability!$P$5))</f>
        <v/>
      </c>
      <c r="CP49">
        <f>IF((CS$1+45)&gt;CQ$1,NA(),(CS$1+45)-4)</f>
        <v/>
      </c>
      <c r="CQ49">
        <f>IF((CS$1+45)&gt;CQ$1,NA(),INDEX('Data Entry'!$I$5:$I$10004,(CS$1+45)-4))</f>
        <v/>
      </c>
      <c r="CR49">
        <f>IF(ISNA(CP49),NA(),Capability!$K$6)</f>
        <v/>
      </c>
      <c r="CS49">
        <f>IF(ISNA(CP49),NA(),Capability!$J$6)</f>
        <v/>
      </c>
      <c r="CT49">
        <f>IF(ISNA(CP49),NA(),Capability!$L$6)</f>
        <v/>
      </c>
      <c r="CU49">
        <f>IF(OR(ISNA(CQ49),ISNA(CQ48)),NA(),ABS(CQ49-CQ48))</f>
        <v/>
      </c>
      <c r="CV49">
        <f>IF(ISNA(CP49),NA(),Capability!$N$6)</f>
        <v/>
      </c>
      <c r="CW49">
        <f>IF(ISNA(CP49),NA(),IF(OR(Capability!$Q$6="",Settings!$F$7&lt;&gt;"Y"),NA(),Capability!$Q$6))</f>
        <v/>
      </c>
      <c r="CX49">
        <f>IF(ISNA(CP49),NA(),IF(OR(Capability!$P$6="",Settings!$F$7&lt;&gt;"Y"),NA(),Capability!$P$6))</f>
        <v/>
      </c>
      <c r="DD49">
        <f>IF((DG$1+45)&gt;DE$1,NA(),(DG$1+45)-4)</f>
        <v/>
      </c>
      <c r="DE49">
        <f>IF((DG$1+45)&gt;DE$1,NA(),INDEX('Data Entry'!$J$5:$J$10004,(DG$1+45)-4))</f>
        <v/>
      </c>
      <c r="DF49">
        <f>IF(ISNA(DD49),NA(),Capability!$K$7)</f>
        <v/>
      </c>
      <c r="DG49">
        <f>IF(ISNA(DD49),NA(),Capability!$J$7)</f>
        <v/>
      </c>
      <c r="DH49">
        <f>IF(ISNA(DD49),NA(),Capability!$L$7)</f>
        <v/>
      </c>
      <c r="DI49">
        <f>IF(OR(ISNA(DE49),ISNA(DE48)),NA(),ABS(DE49-DE48))</f>
        <v/>
      </c>
      <c r="DJ49">
        <f>IF(ISNA(DD49),NA(),Capability!$N$7)</f>
        <v/>
      </c>
      <c r="DK49">
        <f>IF(ISNA(DD49),NA(),IF(OR(Capability!$Q$7="",Settings!$F$7&lt;&gt;"Y"),NA(),Capability!$Q$7))</f>
        <v/>
      </c>
      <c r="DL49">
        <f>IF(ISNA(DD49),NA(),IF(OR(Capability!$P$7="",Settings!$F$7&lt;&gt;"Y"),NA(),Capability!$P$7))</f>
        <v/>
      </c>
      <c r="DR49">
        <f>IF((DU$1+45)&gt;DS$1,NA(),(DU$1+45)-4)</f>
        <v/>
      </c>
      <c r="DS49">
        <f>IF((DU$1+45)&gt;DS$1,NA(),INDEX('Data Entry'!$K$5:$K$10004,(DU$1+45)-4))</f>
        <v/>
      </c>
      <c r="DT49">
        <f>IF(ISNA(DR49),NA(),Capability!$K$8)</f>
        <v/>
      </c>
      <c r="DU49">
        <f>IF(ISNA(DR49),NA(),Capability!$J$8)</f>
        <v/>
      </c>
      <c r="DV49">
        <f>IF(ISNA(DR49),NA(),Capability!$L$8)</f>
        <v/>
      </c>
      <c r="DW49">
        <f>IF(OR(ISNA(DS49),ISNA(DS48)),NA(),ABS(DS49-DS48))</f>
        <v/>
      </c>
      <c r="DX49">
        <f>IF(ISNA(DR49),NA(),Capability!$N$8)</f>
        <v/>
      </c>
      <c r="DY49">
        <f>IF(ISNA(DR49),NA(),IF(OR(Capability!$Q$8="",Settings!$F$7&lt;&gt;"Y"),NA(),Capability!$Q$8))</f>
        <v/>
      </c>
      <c r="DZ49">
        <f>IF(ISNA(DR49),NA(),IF(OR(Capability!$P$8="",Settings!$F$7&lt;&gt;"Y"),NA(),Capability!$P$8))</f>
        <v/>
      </c>
      <c r="EF49">
        <f>IF((EI$1+45)&gt;EG$1,NA(),(EI$1+45)-4)</f>
        <v/>
      </c>
      <c r="EG49">
        <f>IF((EI$1+45)&gt;EG$1,NA(),INDEX('Data Entry'!$L$5:$L$10004,(EI$1+45)-4))</f>
        <v/>
      </c>
      <c r="EH49">
        <f>IF(ISNA(EF49),NA(),Capability!$K$9)</f>
        <v/>
      </c>
      <c r="EI49">
        <f>IF(ISNA(EF49),NA(),Capability!$J$9)</f>
        <v/>
      </c>
      <c r="EJ49">
        <f>IF(ISNA(EF49),NA(),Capability!$L$9)</f>
        <v/>
      </c>
      <c r="EK49">
        <f>IF(OR(ISNA(EG49),ISNA(EG48)),NA(),ABS(EG49-EG48))</f>
        <v/>
      </c>
      <c r="EL49">
        <f>IF(ISNA(EF49),NA(),Capability!$N$9)</f>
        <v/>
      </c>
      <c r="EM49">
        <f>IF(ISNA(EF49),NA(),IF(OR(Capability!$Q$9="",Settings!$F$7&lt;&gt;"Y"),NA(),Capability!$Q$9))</f>
        <v/>
      </c>
      <c r="EN49">
        <f>IF(ISNA(EF49),NA(),IF(OR(Capability!$P$9="",Settings!$F$7&lt;&gt;"Y"),NA(),Capability!$P$9))</f>
        <v/>
      </c>
      <c r="ET49">
        <f>IF((EW$1+45)&gt;EU$1,NA(),(EW$1+45)-4)</f>
        <v/>
      </c>
      <c r="EU49">
        <f>IF((EW$1+45)&gt;EU$1,NA(),INDEX('Data Entry'!$M$5:$M$10004,(EW$1+45)-4))</f>
        <v/>
      </c>
      <c r="EV49">
        <f>IF(ISNA(ET49),NA(),Capability!$K$10)</f>
        <v/>
      </c>
      <c r="EW49">
        <f>IF(ISNA(ET49),NA(),Capability!$J$10)</f>
        <v/>
      </c>
      <c r="EX49">
        <f>IF(ISNA(ET49),NA(),Capability!$L$10)</f>
        <v/>
      </c>
      <c r="EY49">
        <f>IF(OR(ISNA(EU49),ISNA(EU48)),NA(),ABS(EU49-EU48))</f>
        <v/>
      </c>
      <c r="EZ49">
        <f>IF(ISNA(ET49),NA(),Capability!$N$10)</f>
        <v/>
      </c>
      <c r="FA49">
        <f>IF(ISNA(ET49),NA(),IF(OR(Capability!$Q$10="",Settings!$F$7&lt;&gt;"Y"),NA(),Capability!$Q$10))</f>
        <v/>
      </c>
      <c r="FB49">
        <f>IF(ISNA(ET49),NA(),IF(OR(Capability!$P$10="",Settings!$F$7&lt;&gt;"Y"),NA(),Capability!$P$10))</f>
        <v/>
      </c>
      <c r="FH49">
        <f>IF((FK$1+45)&gt;FI$1,NA(),(FK$1+45)-4)</f>
        <v/>
      </c>
      <c r="FI49">
        <f>IF((FK$1+45)&gt;FI$1,NA(),INDEX('Data Entry'!$N$5:$N$10004,(FK$1+45)-4))</f>
        <v/>
      </c>
      <c r="FJ49">
        <f>IF(ISNA(FH49),NA(),Capability!$K$11)</f>
        <v/>
      </c>
      <c r="FK49">
        <f>IF(ISNA(FH49),NA(),Capability!$J$11)</f>
        <v/>
      </c>
      <c r="FL49">
        <f>IF(ISNA(FH49),NA(),Capability!$L$11)</f>
        <v/>
      </c>
      <c r="FM49">
        <f>IF(OR(ISNA(FI49),ISNA(FI48)),NA(),ABS(FI49-FI48))</f>
        <v/>
      </c>
      <c r="FN49">
        <f>IF(ISNA(FH49),NA(),Capability!$N$11)</f>
        <v/>
      </c>
      <c r="FO49">
        <f>IF(ISNA(FH49),NA(),IF(OR(Capability!$Q$11="",Settings!$F$7&lt;&gt;"Y"),NA(),Capability!$Q$11))</f>
        <v/>
      </c>
      <c r="FP49">
        <f>IF(ISNA(FH49),NA(),IF(OR(Capability!$P$11="",Settings!$F$7&lt;&gt;"Y"),NA(),Capability!$P$11))</f>
        <v/>
      </c>
      <c r="FV49">
        <f>IF((FY$1+45)&gt;FW$1,NA(),(FY$1+45)-4)</f>
        <v/>
      </c>
      <c r="FW49">
        <f>IF((FY$1+45)&gt;FW$1,NA(),INDEX('Data Entry'!$O$5:$O$10004,(FY$1+45)-4))</f>
        <v/>
      </c>
      <c r="FX49">
        <f>IF(ISNA(FV49),NA(),Capability!$K$12)</f>
        <v/>
      </c>
      <c r="FY49">
        <f>IF(ISNA(FV49),NA(),Capability!$J$12)</f>
        <v/>
      </c>
      <c r="FZ49">
        <f>IF(ISNA(FV49),NA(),Capability!$L$12)</f>
        <v/>
      </c>
      <c r="GA49">
        <f>IF(OR(ISNA(FW49),ISNA(FW48)),NA(),ABS(FW49-FW48))</f>
        <v/>
      </c>
      <c r="GB49">
        <f>IF(ISNA(FV49),NA(),Capability!$N$12)</f>
        <v/>
      </c>
      <c r="GC49">
        <f>IF(ISNA(FV49),NA(),IF(OR(Capability!$Q$12="",Settings!$F$7&lt;&gt;"Y"),NA(),Capability!$Q$12))</f>
        <v/>
      </c>
      <c r="GD49">
        <f>IF(ISNA(FV49),NA(),IF(OR(Capability!$P$12="",Settings!$F$7&lt;&gt;"Y"),NA(),Capability!$P$12))</f>
        <v/>
      </c>
      <c r="GJ49">
        <f>IF((GM$1+45)&gt;GK$1,NA(),(GM$1+45)-4)</f>
        <v/>
      </c>
      <c r="GK49">
        <f>IF((GM$1+45)&gt;GK$1,NA(),INDEX('Data Entry'!$P$5:$P$10004,(GM$1+45)-4))</f>
        <v/>
      </c>
      <c r="GL49">
        <f>IF(ISNA(GJ49),NA(),Capability!$K$13)</f>
        <v/>
      </c>
      <c r="GM49">
        <f>IF(ISNA(GJ49),NA(),Capability!$J$13)</f>
        <v/>
      </c>
      <c r="GN49">
        <f>IF(ISNA(GJ49),NA(),Capability!$L$13)</f>
        <v/>
      </c>
      <c r="GO49">
        <f>IF(OR(ISNA(GK49),ISNA(GK48)),NA(),ABS(GK49-GK48))</f>
        <v/>
      </c>
      <c r="GP49">
        <f>IF(ISNA(GJ49),NA(),Capability!$N$13)</f>
        <v/>
      </c>
      <c r="GQ49">
        <f>IF(ISNA(GJ49),NA(),IF(OR(Capability!$Q$13="",Settings!$F$7&lt;&gt;"Y"),NA(),Capability!$Q$13))</f>
        <v/>
      </c>
      <c r="GR49">
        <f>IF(ISNA(GJ49),NA(),IF(OR(Capability!$P$13="",Settings!$F$7&lt;&gt;"Y"),NA(),Capability!$P$13))</f>
        <v/>
      </c>
      <c r="GX49">
        <f>IF((HA$1+45)&gt;GY$1,NA(),(HA$1+45)-4)</f>
        <v/>
      </c>
      <c r="GY49">
        <f>IF((HA$1+45)&gt;GY$1,NA(),INDEX('Data Entry'!$Q$5:$Q$10004,(HA$1+45)-4))</f>
        <v/>
      </c>
      <c r="GZ49">
        <f>IF(ISNA(GX49),NA(),Capability!$K$14)</f>
        <v/>
      </c>
      <c r="HA49">
        <f>IF(ISNA(GX49),NA(),Capability!$J$14)</f>
        <v/>
      </c>
      <c r="HB49">
        <f>IF(ISNA(GX49),NA(),Capability!$L$14)</f>
        <v/>
      </c>
      <c r="HC49">
        <f>IF(OR(ISNA(GY49),ISNA(GY48)),NA(),ABS(GY49-GY48))</f>
        <v/>
      </c>
      <c r="HD49">
        <f>IF(ISNA(GX49),NA(),Capability!$N$14)</f>
        <v/>
      </c>
      <c r="HE49">
        <f>IF(ISNA(GX49),NA(),IF(OR(Capability!$Q$14="",Settings!$F$7&lt;&gt;"Y"),NA(),Capability!$Q$14))</f>
        <v/>
      </c>
      <c r="HF49">
        <f>IF(ISNA(GX49),NA(),IF(OR(Capability!$P$14="",Settings!$F$7&lt;&gt;"Y"),NA(),Capability!$P$14))</f>
        <v/>
      </c>
    </row>
    <row r="50">
      <c r="A50" s="35" t="inlineStr">
        <is>
          <t>Max</t>
        </is>
      </c>
      <c r="B50" s="23">
        <f>Capability!F6</f>
        <v/>
      </c>
      <c r="CB50">
        <f>IF((CE$1+46)&gt;CC$1,NA(),(CE$1+46)-4)</f>
        <v/>
      </c>
      <c r="CC50">
        <f>IF((CE$1+46)&gt;CC$1,NA(),INDEX('Data Entry'!$H$5:$H$10004,(CE$1+46)-4))</f>
        <v/>
      </c>
      <c r="CD50">
        <f>IF(ISNA(CB50),NA(),Capability!$K$5)</f>
        <v/>
      </c>
      <c r="CE50">
        <f>IF(ISNA(CB50),NA(),Capability!$J$5)</f>
        <v/>
      </c>
      <c r="CF50">
        <f>IF(ISNA(CB50),NA(),Capability!$L$5)</f>
        <v/>
      </c>
      <c r="CG50">
        <f>IF(OR(ISNA(CC50),ISNA(CC49)),NA(),ABS(CC50-CC49))</f>
        <v/>
      </c>
      <c r="CH50">
        <f>IF(ISNA(CB50),NA(),Capability!$N$5)</f>
        <v/>
      </c>
      <c r="CI50">
        <f>IF(ISNA(CB50),NA(),IF(OR(Capability!$Q$5="",Settings!$F$7&lt;&gt;"Y"),NA(),Capability!$Q$5))</f>
        <v/>
      </c>
      <c r="CJ50">
        <f>IF(ISNA(CB50),NA(),IF(OR(Capability!$P$5="",Settings!$F$7&lt;&gt;"Y"),NA(),Capability!$P$5))</f>
        <v/>
      </c>
      <c r="CP50">
        <f>IF((CS$1+46)&gt;CQ$1,NA(),(CS$1+46)-4)</f>
        <v/>
      </c>
      <c r="CQ50">
        <f>IF((CS$1+46)&gt;CQ$1,NA(),INDEX('Data Entry'!$I$5:$I$10004,(CS$1+46)-4))</f>
        <v/>
      </c>
      <c r="CR50">
        <f>IF(ISNA(CP50),NA(),Capability!$K$6)</f>
        <v/>
      </c>
      <c r="CS50">
        <f>IF(ISNA(CP50),NA(),Capability!$J$6)</f>
        <v/>
      </c>
      <c r="CT50">
        <f>IF(ISNA(CP50),NA(),Capability!$L$6)</f>
        <v/>
      </c>
      <c r="CU50">
        <f>IF(OR(ISNA(CQ50),ISNA(CQ49)),NA(),ABS(CQ50-CQ49))</f>
        <v/>
      </c>
      <c r="CV50">
        <f>IF(ISNA(CP50),NA(),Capability!$N$6)</f>
        <v/>
      </c>
      <c r="CW50">
        <f>IF(ISNA(CP50),NA(),IF(OR(Capability!$Q$6="",Settings!$F$7&lt;&gt;"Y"),NA(),Capability!$Q$6))</f>
        <v/>
      </c>
      <c r="CX50">
        <f>IF(ISNA(CP50),NA(),IF(OR(Capability!$P$6="",Settings!$F$7&lt;&gt;"Y"),NA(),Capability!$P$6))</f>
        <v/>
      </c>
      <c r="DD50">
        <f>IF((DG$1+46)&gt;DE$1,NA(),(DG$1+46)-4)</f>
        <v/>
      </c>
      <c r="DE50">
        <f>IF((DG$1+46)&gt;DE$1,NA(),INDEX('Data Entry'!$J$5:$J$10004,(DG$1+46)-4))</f>
        <v/>
      </c>
      <c r="DF50">
        <f>IF(ISNA(DD50),NA(),Capability!$K$7)</f>
        <v/>
      </c>
      <c r="DG50">
        <f>IF(ISNA(DD50),NA(),Capability!$J$7)</f>
        <v/>
      </c>
      <c r="DH50">
        <f>IF(ISNA(DD50),NA(),Capability!$L$7)</f>
        <v/>
      </c>
      <c r="DI50">
        <f>IF(OR(ISNA(DE50),ISNA(DE49)),NA(),ABS(DE50-DE49))</f>
        <v/>
      </c>
      <c r="DJ50">
        <f>IF(ISNA(DD50),NA(),Capability!$N$7)</f>
        <v/>
      </c>
      <c r="DK50">
        <f>IF(ISNA(DD50),NA(),IF(OR(Capability!$Q$7="",Settings!$F$7&lt;&gt;"Y"),NA(),Capability!$Q$7))</f>
        <v/>
      </c>
      <c r="DL50">
        <f>IF(ISNA(DD50),NA(),IF(OR(Capability!$P$7="",Settings!$F$7&lt;&gt;"Y"),NA(),Capability!$P$7))</f>
        <v/>
      </c>
      <c r="DR50">
        <f>IF((DU$1+46)&gt;DS$1,NA(),(DU$1+46)-4)</f>
        <v/>
      </c>
      <c r="DS50">
        <f>IF((DU$1+46)&gt;DS$1,NA(),INDEX('Data Entry'!$K$5:$K$10004,(DU$1+46)-4))</f>
        <v/>
      </c>
      <c r="DT50">
        <f>IF(ISNA(DR50),NA(),Capability!$K$8)</f>
        <v/>
      </c>
      <c r="DU50">
        <f>IF(ISNA(DR50),NA(),Capability!$J$8)</f>
        <v/>
      </c>
      <c r="DV50">
        <f>IF(ISNA(DR50),NA(),Capability!$L$8)</f>
        <v/>
      </c>
      <c r="DW50">
        <f>IF(OR(ISNA(DS50),ISNA(DS49)),NA(),ABS(DS50-DS49))</f>
        <v/>
      </c>
      <c r="DX50">
        <f>IF(ISNA(DR50),NA(),Capability!$N$8)</f>
        <v/>
      </c>
      <c r="DY50">
        <f>IF(ISNA(DR50),NA(),IF(OR(Capability!$Q$8="",Settings!$F$7&lt;&gt;"Y"),NA(),Capability!$Q$8))</f>
        <v/>
      </c>
      <c r="DZ50">
        <f>IF(ISNA(DR50),NA(),IF(OR(Capability!$P$8="",Settings!$F$7&lt;&gt;"Y"),NA(),Capability!$P$8))</f>
        <v/>
      </c>
      <c r="EF50">
        <f>IF((EI$1+46)&gt;EG$1,NA(),(EI$1+46)-4)</f>
        <v/>
      </c>
      <c r="EG50">
        <f>IF((EI$1+46)&gt;EG$1,NA(),INDEX('Data Entry'!$L$5:$L$10004,(EI$1+46)-4))</f>
        <v/>
      </c>
      <c r="EH50">
        <f>IF(ISNA(EF50),NA(),Capability!$K$9)</f>
        <v/>
      </c>
      <c r="EI50">
        <f>IF(ISNA(EF50),NA(),Capability!$J$9)</f>
        <v/>
      </c>
      <c r="EJ50">
        <f>IF(ISNA(EF50),NA(),Capability!$L$9)</f>
        <v/>
      </c>
      <c r="EK50">
        <f>IF(OR(ISNA(EG50),ISNA(EG49)),NA(),ABS(EG50-EG49))</f>
        <v/>
      </c>
      <c r="EL50">
        <f>IF(ISNA(EF50),NA(),Capability!$N$9)</f>
        <v/>
      </c>
      <c r="EM50">
        <f>IF(ISNA(EF50),NA(),IF(OR(Capability!$Q$9="",Settings!$F$7&lt;&gt;"Y"),NA(),Capability!$Q$9))</f>
        <v/>
      </c>
      <c r="EN50">
        <f>IF(ISNA(EF50),NA(),IF(OR(Capability!$P$9="",Settings!$F$7&lt;&gt;"Y"),NA(),Capability!$P$9))</f>
        <v/>
      </c>
      <c r="ET50">
        <f>IF((EW$1+46)&gt;EU$1,NA(),(EW$1+46)-4)</f>
        <v/>
      </c>
      <c r="EU50">
        <f>IF((EW$1+46)&gt;EU$1,NA(),INDEX('Data Entry'!$M$5:$M$10004,(EW$1+46)-4))</f>
        <v/>
      </c>
      <c r="EV50">
        <f>IF(ISNA(ET50),NA(),Capability!$K$10)</f>
        <v/>
      </c>
      <c r="EW50">
        <f>IF(ISNA(ET50),NA(),Capability!$J$10)</f>
        <v/>
      </c>
      <c r="EX50">
        <f>IF(ISNA(ET50),NA(),Capability!$L$10)</f>
        <v/>
      </c>
      <c r="EY50">
        <f>IF(OR(ISNA(EU50),ISNA(EU49)),NA(),ABS(EU50-EU49))</f>
        <v/>
      </c>
      <c r="EZ50">
        <f>IF(ISNA(ET50),NA(),Capability!$N$10)</f>
        <v/>
      </c>
      <c r="FA50">
        <f>IF(ISNA(ET50),NA(),IF(OR(Capability!$Q$10="",Settings!$F$7&lt;&gt;"Y"),NA(),Capability!$Q$10))</f>
        <v/>
      </c>
      <c r="FB50">
        <f>IF(ISNA(ET50),NA(),IF(OR(Capability!$P$10="",Settings!$F$7&lt;&gt;"Y"),NA(),Capability!$P$10))</f>
        <v/>
      </c>
      <c r="FH50">
        <f>IF((FK$1+46)&gt;FI$1,NA(),(FK$1+46)-4)</f>
        <v/>
      </c>
      <c r="FI50">
        <f>IF((FK$1+46)&gt;FI$1,NA(),INDEX('Data Entry'!$N$5:$N$10004,(FK$1+46)-4))</f>
        <v/>
      </c>
      <c r="FJ50">
        <f>IF(ISNA(FH50),NA(),Capability!$K$11)</f>
        <v/>
      </c>
      <c r="FK50">
        <f>IF(ISNA(FH50),NA(),Capability!$J$11)</f>
        <v/>
      </c>
      <c r="FL50">
        <f>IF(ISNA(FH50),NA(),Capability!$L$11)</f>
        <v/>
      </c>
      <c r="FM50">
        <f>IF(OR(ISNA(FI50),ISNA(FI49)),NA(),ABS(FI50-FI49))</f>
        <v/>
      </c>
      <c r="FN50">
        <f>IF(ISNA(FH50),NA(),Capability!$N$11)</f>
        <v/>
      </c>
      <c r="FO50">
        <f>IF(ISNA(FH50),NA(),IF(OR(Capability!$Q$11="",Settings!$F$7&lt;&gt;"Y"),NA(),Capability!$Q$11))</f>
        <v/>
      </c>
      <c r="FP50">
        <f>IF(ISNA(FH50),NA(),IF(OR(Capability!$P$11="",Settings!$F$7&lt;&gt;"Y"),NA(),Capability!$P$11))</f>
        <v/>
      </c>
      <c r="FV50">
        <f>IF((FY$1+46)&gt;FW$1,NA(),(FY$1+46)-4)</f>
        <v/>
      </c>
      <c r="FW50">
        <f>IF((FY$1+46)&gt;FW$1,NA(),INDEX('Data Entry'!$O$5:$O$10004,(FY$1+46)-4))</f>
        <v/>
      </c>
      <c r="FX50">
        <f>IF(ISNA(FV50),NA(),Capability!$K$12)</f>
        <v/>
      </c>
      <c r="FY50">
        <f>IF(ISNA(FV50),NA(),Capability!$J$12)</f>
        <v/>
      </c>
      <c r="FZ50">
        <f>IF(ISNA(FV50),NA(),Capability!$L$12)</f>
        <v/>
      </c>
      <c r="GA50">
        <f>IF(OR(ISNA(FW50),ISNA(FW49)),NA(),ABS(FW50-FW49))</f>
        <v/>
      </c>
      <c r="GB50">
        <f>IF(ISNA(FV50),NA(),Capability!$N$12)</f>
        <v/>
      </c>
      <c r="GC50">
        <f>IF(ISNA(FV50),NA(),IF(OR(Capability!$Q$12="",Settings!$F$7&lt;&gt;"Y"),NA(),Capability!$Q$12))</f>
        <v/>
      </c>
      <c r="GD50">
        <f>IF(ISNA(FV50),NA(),IF(OR(Capability!$P$12="",Settings!$F$7&lt;&gt;"Y"),NA(),Capability!$P$12))</f>
        <v/>
      </c>
      <c r="GJ50">
        <f>IF((GM$1+46)&gt;GK$1,NA(),(GM$1+46)-4)</f>
        <v/>
      </c>
      <c r="GK50">
        <f>IF((GM$1+46)&gt;GK$1,NA(),INDEX('Data Entry'!$P$5:$P$10004,(GM$1+46)-4))</f>
        <v/>
      </c>
      <c r="GL50">
        <f>IF(ISNA(GJ50),NA(),Capability!$K$13)</f>
        <v/>
      </c>
      <c r="GM50">
        <f>IF(ISNA(GJ50),NA(),Capability!$J$13)</f>
        <v/>
      </c>
      <c r="GN50">
        <f>IF(ISNA(GJ50),NA(),Capability!$L$13)</f>
        <v/>
      </c>
      <c r="GO50">
        <f>IF(OR(ISNA(GK50),ISNA(GK49)),NA(),ABS(GK50-GK49))</f>
        <v/>
      </c>
      <c r="GP50">
        <f>IF(ISNA(GJ50),NA(),Capability!$N$13)</f>
        <v/>
      </c>
      <c r="GQ50">
        <f>IF(ISNA(GJ50),NA(),IF(OR(Capability!$Q$13="",Settings!$F$7&lt;&gt;"Y"),NA(),Capability!$Q$13))</f>
        <v/>
      </c>
      <c r="GR50">
        <f>IF(ISNA(GJ50),NA(),IF(OR(Capability!$P$13="",Settings!$F$7&lt;&gt;"Y"),NA(),Capability!$P$13))</f>
        <v/>
      </c>
      <c r="GX50">
        <f>IF((HA$1+46)&gt;GY$1,NA(),(HA$1+46)-4)</f>
        <v/>
      </c>
      <c r="GY50">
        <f>IF((HA$1+46)&gt;GY$1,NA(),INDEX('Data Entry'!$Q$5:$Q$10004,(HA$1+46)-4))</f>
        <v/>
      </c>
      <c r="GZ50">
        <f>IF(ISNA(GX50),NA(),Capability!$K$14)</f>
        <v/>
      </c>
      <c r="HA50">
        <f>IF(ISNA(GX50),NA(),Capability!$J$14)</f>
        <v/>
      </c>
      <c r="HB50">
        <f>IF(ISNA(GX50),NA(),Capability!$L$14)</f>
        <v/>
      </c>
      <c r="HC50">
        <f>IF(OR(ISNA(GY50),ISNA(GY49)),NA(),ABS(GY50-GY49))</f>
        <v/>
      </c>
      <c r="HD50">
        <f>IF(ISNA(GX50),NA(),Capability!$N$14)</f>
        <v/>
      </c>
      <c r="HE50">
        <f>IF(ISNA(GX50),NA(),IF(OR(Capability!$Q$14="",Settings!$F$7&lt;&gt;"Y"),NA(),Capability!$Q$14))</f>
        <v/>
      </c>
      <c r="HF50">
        <f>IF(ISNA(GX50),NA(),IF(OR(Capability!$P$14="",Settings!$F$7&lt;&gt;"Y"),NA(),Capability!$P$14))</f>
        <v/>
      </c>
    </row>
    <row r="51">
      <c r="A51" s="35" t="inlineStr">
        <is>
          <t>Range</t>
        </is>
      </c>
      <c r="B51" s="23">
        <f>Capability!G6</f>
        <v/>
      </c>
      <c r="CB51">
        <f>IF((CE$1+47)&gt;CC$1,NA(),(CE$1+47)-4)</f>
        <v/>
      </c>
      <c r="CC51">
        <f>IF((CE$1+47)&gt;CC$1,NA(),INDEX('Data Entry'!$H$5:$H$10004,(CE$1+47)-4))</f>
        <v/>
      </c>
      <c r="CD51">
        <f>IF(ISNA(CB51),NA(),Capability!$K$5)</f>
        <v/>
      </c>
      <c r="CE51">
        <f>IF(ISNA(CB51),NA(),Capability!$J$5)</f>
        <v/>
      </c>
      <c r="CF51">
        <f>IF(ISNA(CB51),NA(),Capability!$L$5)</f>
        <v/>
      </c>
      <c r="CG51">
        <f>IF(OR(ISNA(CC51),ISNA(CC50)),NA(),ABS(CC51-CC50))</f>
        <v/>
      </c>
      <c r="CH51">
        <f>IF(ISNA(CB51),NA(),Capability!$N$5)</f>
        <v/>
      </c>
      <c r="CI51">
        <f>IF(ISNA(CB51),NA(),IF(OR(Capability!$Q$5="",Settings!$F$7&lt;&gt;"Y"),NA(),Capability!$Q$5))</f>
        <v/>
      </c>
      <c r="CJ51">
        <f>IF(ISNA(CB51),NA(),IF(OR(Capability!$P$5="",Settings!$F$7&lt;&gt;"Y"),NA(),Capability!$P$5))</f>
        <v/>
      </c>
      <c r="CP51">
        <f>IF((CS$1+47)&gt;CQ$1,NA(),(CS$1+47)-4)</f>
        <v/>
      </c>
      <c r="CQ51">
        <f>IF((CS$1+47)&gt;CQ$1,NA(),INDEX('Data Entry'!$I$5:$I$10004,(CS$1+47)-4))</f>
        <v/>
      </c>
      <c r="CR51">
        <f>IF(ISNA(CP51),NA(),Capability!$K$6)</f>
        <v/>
      </c>
      <c r="CS51">
        <f>IF(ISNA(CP51),NA(),Capability!$J$6)</f>
        <v/>
      </c>
      <c r="CT51">
        <f>IF(ISNA(CP51),NA(),Capability!$L$6)</f>
        <v/>
      </c>
      <c r="CU51">
        <f>IF(OR(ISNA(CQ51),ISNA(CQ50)),NA(),ABS(CQ51-CQ50))</f>
        <v/>
      </c>
      <c r="CV51">
        <f>IF(ISNA(CP51),NA(),Capability!$N$6)</f>
        <v/>
      </c>
      <c r="CW51">
        <f>IF(ISNA(CP51),NA(),IF(OR(Capability!$Q$6="",Settings!$F$7&lt;&gt;"Y"),NA(),Capability!$Q$6))</f>
        <v/>
      </c>
      <c r="CX51">
        <f>IF(ISNA(CP51),NA(),IF(OR(Capability!$P$6="",Settings!$F$7&lt;&gt;"Y"),NA(),Capability!$P$6))</f>
        <v/>
      </c>
      <c r="DD51">
        <f>IF((DG$1+47)&gt;DE$1,NA(),(DG$1+47)-4)</f>
        <v/>
      </c>
      <c r="DE51">
        <f>IF((DG$1+47)&gt;DE$1,NA(),INDEX('Data Entry'!$J$5:$J$10004,(DG$1+47)-4))</f>
        <v/>
      </c>
      <c r="DF51">
        <f>IF(ISNA(DD51),NA(),Capability!$K$7)</f>
        <v/>
      </c>
      <c r="DG51">
        <f>IF(ISNA(DD51),NA(),Capability!$J$7)</f>
        <v/>
      </c>
      <c r="DH51">
        <f>IF(ISNA(DD51),NA(),Capability!$L$7)</f>
        <v/>
      </c>
      <c r="DI51">
        <f>IF(OR(ISNA(DE51),ISNA(DE50)),NA(),ABS(DE51-DE50))</f>
        <v/>
      </c>
      <c r="DJ51">
        <f>IF(ISNA(DD51),NA(),Capability!$N$7)</f>
        <v/>
      </c>
      <c r="DK51">
        <f>IF(ISNA(DD51),NA(),IF(OR(Capability!$Q$7="",Settings!$F$7&lt;&gt;"Y"),NA(),Capability!$Q$7))</f>
        <v/>
      </c>
      <c r="DL51">
        <f>IF(ISNA(DD51),NA(),IF(OR(Capability!$P$7="",Settings!$F$7&lt;&gt;"Y"),NA(),Capability!$P$7))</f>
        <v/>
      </c>
      <c r="DR51">
        <f>IF((DU$1+47)&gt;DS$1,NA(),(DU$1+47)-4)</f>
        <v/>
      </c>
      <c r="DS51">
        <f>IF((DU$1+47)&gt;DS$1,NA(),INDEX('Data Entry'!$K$5:$K$10004,(DU$1+47)-4))</f>
        <v/>
      </c>
      <c r="DT51">
        <f>IF(ISNA(DR51),NA(),Capability!$K$8)</f>
        <v/>
      </c>
      <c r="DU51">
        <f>IF(ISNA(DR51),NA(),Capability!$J$8)</f>
        <v/>
      </c>
      <c r="DV51">
        <f>IF(ISNA(DR51),NA(),Capability!$L$8)</f>
        <v/>
      </c>
      <c r="DW51">
        <f>IF(OR(ISNA(DS51),ISNA(DS50)),NA(),ABS(DS51-DS50))</f>
        <v/>
      </c>
      <c r="DX51">
        <f>IF(ISNA(DR51),NA(),Capability!$N$8)</f>
        <v/>
      </c>
      <c r="DY51">
        <f>IF(ISNA(DR51),NA(),IF(OR(Capability!$Q$8="",Settings!$F$7&lt;&gt;"Y"),NA(),Capability!$Q$8))</f>
        <v/>
      </c>
      <c r="DZ51">
        <f>IF(ISNA(DR51),NA(),IF(OR(Capability!$P$8="",Settings!$F$7&lt;&gt;"Y"),NA(),Capability!$P$8))</f>
        <v/>
      </c>
      <c r="EF51">
        <f>IF((EI$1+47)&gt;EG$1,NA(),(EI$1+47)-4)</f>
        <v/>
      </c>
      <c r="EG51">
        <f>IF((EI$1+47)&gt;EG$1,NA(),INDEX('Data Entry'!$L$5:$L$10004,(EI$1+47)-4))</f>
        <v/>
      </c>
      <c r="EH51">
        <f>IF(ISNA(EF51),NA(),Capability!$K$9)</f>
        <v/>
      </c>
      <c r="EI51">
        <f>IF(ISNA(EF51),NA(),Capability!$J$9)</f>
        <v/>
      </c>
      <c r="EJ51">
        <f>IF(ISNA(EF51),NA(),Capability!$L$9)</f>
        <v/>
      </c>
      <c r="EK51">
        <f>IF(OR(ISNA(EG51),ISNA(EG50)),NA(),ABS(EG51-EG50))</f>
        <v/>
      </c>
      <c r="EL51">
        <f>IF(ISNA(EF51),NA(),Capability!$N$9)</f>
        <v/>
      </c>
      <c r="EM51">
        <f>IF(ISNA(EF51),NA(),IF(OR(Capability!$Q$9="",Settings!$F$7&lt;&gt;"Y"),NA(),Capability!$Q$9))</f>
        <v/>
      </c>
      <c r="EN51">
        <f>IF(ISNA(EF51),NA(),IF(OR(Capability!$P$9="",Settings!$F$7&lt;&gt;"Y"),NA(),Capability!$P$9))</f>
        <v/>
      </c>
      <c r="ET51">
        <f>IF((EW$1+47)&gt;EU$1,NA(),(EW$1+47)-4)</f>
        <v/>
      </c>
      <c r="EU51">
        <f>IF((EW$1+47)&gt;EU$1,NA(),INDEX('Data Entry'!$M$5:$M$10004,(EW$1+47)-4))</f>
        <v/>
      </c>
      <c r="EV51">
        <f>IF(ISNA(ET51),NA(),Capability!$K$10)</f>
        <v/>
      </c>
      <c r="EW51">
        <f>IF(ISNA(ET51),NA(),Capability!$J$10)</f>
        <v/>
      </c>
      <c r="EX51">
        <f>IF(ISNA(ET51),NA(),Capability!$L$10)</f>
        <v/>
      </c>
      <c r="EY51">
        <f>IF(OR(ISNA(EU51),ISNA(EU50)),NA(),ABS(EU51-EU50))</f>
        <v/>
      </c>
      <c r="EZ51">
        <f>IF(ISNA(ET51),NA(),Capability!$N$10)</f>
        <v/>
      </c>
      <c r="FA51">
        <f>IF(ISNA(ET51),NA(),IF(OR(Capability!$Q$10="",Settings!$F$7&lt;&gt;"Y"),NA(),Capability!$Q$10))</f>
        <v/>
      </c>
      <c r="FB51">
        <f>IF(ISNA(ET51),NA(),IF(OR(Capability!$P$10="",Settings!$F$7&lt;&gt;"Y"),NA(),Capability!$P$10))</f>
        <v/>
      </c>
      <c r="FH51">
        <f>IF((FK$1+47)&gt;FI$1,NA(),(FK$1+47)-4)</f>
        <v/>
      </c>
      <c r="FI51">
        <f>IF((FK$1+47)&gt;FI$1,NA(),INDEX('Data Entry'!$N$5:$N$10004,(FK$1+47)-4))</f>
        <v/>
      </c>
      <c r="FJ51">
        <f>IF(ISNA(FH51),NA(),Capability!$K$11)</f>
        <v/>
      </c>
      <c r="FK51">
        <f>IF(ISNA(FH51),NA(),Capability!$J$11)</f>
        <v/>
      </c>
      <c r="FL51">
        <f>IF(ISNA(FH51),NA(),Capability!$L$11)</f>
        <v/>
      </c>
      <c r="FM51">
        <f>IF(OR(ISNA(FI51),ISNA(FI50)),NA(),ABS(FI51-FI50))</f>
        <v/>
      </c>
      <c r="FN51">
        <f>IF(ISNA(FH51),NA(),Capability!$N$11)</f>
        <v/>
      </c>
      <c r="FO51">
        <f>IF(ISNA(FH51),NA(),IF(OR(Capability!$Q$11="",Settings!$F$7&lt;&gt;"Y"),NA(),Capability!$Q$11))</f>
        <v/>
      </c>
      <c r="FP51">
        <f>IF(ISNA(FH51),NA(),IF(OR(Capability!$P$11="",Settings!$F$7&lt;&gt;"Y"),NA(),Capability!$P$11))</f>
        <v/>
      </c>
      <c r="FV51">
        <f>IF((FY$1+47)&gt;FW$1,NA(),(FY$1+47)-4)</f>
        <v/>
      </c>
      <c r="FW51">
        <f>IF((FY$1+47)&gt;FW$1,NA(),INDEX('Data Entry'!$O$5:$O$10004,(FY$1+47)-4))</f>
        <v/>
      </c>
      <c r="FX51">
        <f>IF(ISNA(FV51),NA(),Capability!$K$12)</f>
        <v/>
      </c>
      <c r="FY51">
        <f>IF(ISNA(FV51),NA(),Capability!$J$12)</f>
        <v/>
      </c>
      <c r="FZ51">
        <f>IF(ISNA(FV51),NA(),Capability!$L$12)</f>
        <v/>
      </c>
      <c r="GA51">
        <f>IF(OR(ISNA(FW51),ISNA(FW50)),NA(),ABS(FW51-FW50))</f>
        <v/>
      </c>
      <c r="GB51">
        <f>IF(ISNA(FV51),NA(),Capability!$N$12)</f>
        <v/>
      </c>
      <c r="GC51">
        <f>IF(ISNA(FV51),NA(),IF(OR(Capability!$Q$12="",Settings!$F$7&lt;&gt;"Y"),NA(),Capability!$Q$12))</f>
        <v/>
      </c>
      <c r="GD51">
        <f>IF(ISNA(FV51),NA(),IF(OR(Capability!$P$12="",Settings!$F$7&lt;&gt;"Y"),NA(),Capability!$P$12))</f>
        <v/>
      </c>
      <c r="GJ51">
        <f>IF((GM$1+47)&gt;GK$1,NA(),(GM$1+47)-4)</f>
        <v/>
      </c>
      <c r="GK51">
        <f>IF((GM$1+47)&gt;GK$1,NA(),INDEX('Data Entry'!$P$5:$P$10004,(GM$1+47)-4))</f>
        <v/>
      </c>
      <c r="GL51">
        <f>IF(ISNA(GJ51),NA(),Capability!$K$13)</f>
        <v/>
      </c>
      <c r="GM51">
        <f>IF(ISNA(GJ51),NA(),Capability!$J$13)</f>
        <v/>
      </c>
      <c r="GN51">
        <f>IF(ISNA(GJ51),NA(),Capability!$L$13)</f>
        <v/>
      </c>
      <c r="GO51">
        <f>IF(OR(ISNA(GK51),ISNA(GK50)),NA(),ABS(GK51-GK50))</f>
        <v/>
      </c>
      <c r="GP51">
        <f>IF(ISNA(GJ51),NA(),Capability!$N$13)</f>
        <v/>
      </c>
      <c r="GQ51">
        <f>IF(ISNA(GJ51),NA(),IF(OR(Capability!$Q$13="",Settings!$F$7&lt;&gt;"Y"),NA(),Capability!$Q$13))</f>
        <v/>
      </c>
      <c r="GR51">
        <f>IF(ISNA(GJ51),NA(),IF(OR(Capability!$P$13="",Settings!$F$7&lt;&gt;"Y"),NA(),Capability!$P$13))</f>
        <v/>
      </c>
      <c r="GX51">
        <f>IF((HA$1+47)&gt;GY$1,NA(),(HA$1+47)-4)</f>
        <v/>
      </c>
      <c r="GY51">
        <f>IF((HA$1+47)&gt;GY$1,NA(),INDEX('Data Entry'!$Q$5:$Q$10004,(HA$1+47)-4))</f>
        <v/>
      </c>
      <c r="GZ51">
        <f>IF(ISNA(GX51),NA(),Capability!$K$14)</f>
        <v/>
      </c>
      <c r="HA51">
        <f>IF(ISNA(GX51),NA(),Capability!$J$14)</f>
        <v/>
      </c>
      <c r="HB51">
        <f>IF(ISNA(GX51),NA(),Capability!$L$14)</f>
        <v/>
      </c>
      <c r="HC51">
        <f>IF(OR(ISNA(GY51),ISNA(GY50)),NA(),ABS(GY51-GY50))</f>
        <v/>
      </c>
      <c r="HD51">
        <f>IF(ISNA(GX51),NA(),Capability!$N$14)</f>
        <v/>
      </c>
      <c r="HE51">
        <f>IF(ISNA(GX51),NA(),IF(OR(Capability!$Q$14="",Settings!$F$7&lt;&gt;"Y"),NA(),Capability!$Q$14))</f>
        <v/>
      </c>
      <c r="HF51">
        <f>IF(ISNA(GX51),NA(),IF(OR(Capability!$P$14="",Settings!$F$7&lt;&gt;"Y"),NA(),Capability!$P$14))</f>
        <v/>
      </c>
    </row>
    <row r="52">
      <c r="A52" s="35" t="inlineStr">
        <is>
          <t>Mean</t>
        </is>
      </c>
      <c r="B52" s="23">
        <f>Capability!C6</f>
        <v/>
      </c>
      <c r="CB52">
        <f>IF((CE$1+48)&gt;CC$1,NA(),(CE$1+48)-4)</f>
        <v/>
      </c>
      <c r="CC52">
        <f>IF((CE$1+48)&gt;CC$1,NA(),INDEX('Data Entry'!$H$5:$H$10004,(CE$1+48)-4))</f>
        <v/>
      </c>
      <c r="CD52">
        <f>IF(ISNA(CB52),NA(),Capability!$K$5)</f>
        <v/>
      </c>
      <c r="CE52">
        <f>IF(ISNA(CB52),NA(),Capability!$J$5)</f>
        <v/>
      </c>
      <c r="CF52">
        <f>IF(ISNA(CB52),NA(),Capability!$L$5)</f>
        <v/>
      </c>
      <c r="CG52">
        <f>IF(OR(ISNA(CC52),ISNA(CC51)),NA(),ABS(CC52-CC51))</f>
        <v/>
      </c>
      <c r="CH52">
        <f>IF(ISNA(CB52),NA(),Capability!$N$5)</f>
        <v/>
      </c>
      <c r="CI52">
        <f>IF(ISNA(CB52),NA(),IF(OR(Capability!$Q$5="",Settings!$F$7&lt;&gt;"Y"),NA(),Capability!$Q$5))</f>
        <v/>
      </c>
      <c r="CJ52">
        <f>IF(ISNA(CB52),NA(),IF(OR(Capability!$P$5="",Settings!$F$7&lt;&gt;"Y"),NA(),Capability!$P$5))</f>
        <v/>
      </c>
      <c r="CP52">
        <f>IF((CS$1+48)&gt;CQ$1,NA(),(CS$1+48)-4)</f>
        <v/>
      </c>
      <c r="CQ52">
        <f>IF((CS$1+48)&gt;CQ$1,NA(),INDEX('Data Entry'!$I$5:$I$10004,(CS$1+48)-4))</f>
        <v/>
      </c>
      <c r="CR52">
        <f>IF(ISNA(CP52),NA(),Capability!$K$6)</f>
        <v/>
      </c>
      <c r="CS52">
        <f>IF(ISNA(CP52),NA(),Capability!$J$6)</f>
        <v/>
      </c>
      <c r="CT52">
        <f>IF(ISNA(CP52),NA(),Capability!$L$6)</f>
        <v/>
      </c>
      <c r="CU52">
        <f>IF(OR(ISNA(CQ52),ISNA(CQ51)),NA(),ABS(CQ52-CQ51))</f>
        <v/>
      </c>
      <c r="CV52">
        <f>IF(ISNA(CP52),NA(),Capability!$N$6)</f>
        <v/>
      </c>
      <c r="CW52">
        <f>IF(ISNA(CP52),NA(),IF(OR(Capability!$Q$6="",Settings!$F$7&lt;&gt;"Y"),NA(),Capability!$Q$6))</f>
        <v/>
      </c>
      <c r="CX52">
        <f>IF(ISNA(CP52),NA(),IF(OR(Capability!$P$6="",Settings!$F$7&lt;&gt;"Y"),NA(),Capability!$P$6))</f>
        <v/>
      </c>
      <c r="DD52">
        <f>IF((DG$1+48)&gt;DE$1,NA(),(DG$1+48)-4)</f>
        <v/>
      </c>
      <c r="DE52">
        <f>IF((DG$1+48)&gt;DE$1,NA(),INDEX('Data Entry'!$J$5:$J$10004,(DG$1+48)-4))</f>
        <v/>
      </c>
      <c r="DF52">
        <f>IF(ISNA(DD52),NA(),Capability!$K$7)</f>
        <v/>
      </c>
      <c r="DG52">
        <f>IF(ISNA(DD52),NA(),Capability!$J$7)</f>
        <v/>
      </c>
      <c r="DH52">
        <f>IF(ISNA(DD52),NA(),Capability!$L$7)</f>
        <v/>
      </c>
      <c r="DI52">
        <f>IF(OR(ISNA(DE52),ISNA(DE51)),NA(),ABS(DE52-DE51))</f>
        <v/>
      </c>
      <c r="DJ52">
        <f>IF(ISNA(DD52),NA(),Capability!$N$7)</f>
        <v/>
      </c>
      <c r="DK52">
        <f>IF(ISNA(DD52),NA(),IF(OR(Capability!$Q$7="",Settings!$F$7&lt;&gt;"Y"),NA(),Capability!$Q$7))</f>
        <v/>
      </c>
      <c r="DL52">
        <f>IF(ISNA(DD52),NA(),IF(OR(Capability!$P$7="",Settings!$F$7&lt;&gt;"Y"),NA(),Capability!$P$7))</f>
        <v/>
      </c>
      <c r="DR52">
        <f>IF((DU$1+48)&gt;DS$1,NA(),(DU$1+48)-4)</f>
        <v/>
      </c>
      <c r="DS52">
        <f>IF((DU$1+48)&gt;DS$1,NA(),INDEX('Data Entry'!$K$5:$K$10004,(DU$1+48)-4))</f>
        <v/>
      </c>
      <c r="DT52">
        <f>IF(ISNA(DR52),NA(),Capability!$K$8)</f>
        <v/>
      </c>
      <c r="DU52">
        <f>IF(ISNA(DR52),NA(),Capability!$J$8)</f>
        <v/>
      </c>
      <c r="DV52">
        <f>IF(ISNA(DR52),NA(),Capability!$L$8)</f>
        <v/>
      </c>
      <c r="DW52">
        <f>IF(OR(ISNA(DS52),ISNA(DS51)),NA(),ABS(DS52-DS51))</f>
        <v/>
      </c>
      <c r="DX52">
        <f>IF(ISNA(DR52),NA(),Capability!$N$8)</f>
        <v/>
      </c>
      <c r="DY52">
        <f>IF(ISNA(DR52),NA(),IF(OR(Capability!$Q$8="",Settings!$F$7&lt;&gt;"Y"),NA(),Capability!$Q$8))</f>
        <v/>
      </c>
      <c r="DZ52">
        <f>IF(ISNA(DR52),NA(),IF(OR(Capability!$P$8="",Settings!$F$7&lt;&gt;"Y"),NA(),Capability!$P$8))</f>
        <v/>
      </c>
      <c r="EF52">
        <f>IF((EI$1+48)&gt;EG$1,NA(),(EI$1+48)-4)</f>
        <v/>
      </c>
      <c r="EG52">
        <f>IF((EI$1+48)&gt;EG$1,NA(),INDEX('Data Entry'!$L$5:$L$10004,(EI$1+48)-4))</f>
        <v/>
      </c>
      <c r="EH52">
        <f>IF(ISNA(EF52),NA(),Capability!$K$9)</f>
        <v/>
      </c>
      <c r="EI52">
        <f>IF(ISNA(EF52),NA(),Capability!$J$9)</f>
        <v/>
      </c>
      <c r="EJ52">
        <f>IF(ISNA(EF52),NA(),Capability!$L$9)</f>
        <v/>
      </c>
      <c r="EK52">
        <f>IF(OR(ISNA(EG52),ISNA(EG51)),NA(),ABS(EG52-EG51))</f>
        <v/>
      </c>
      <c r="EL52">
        <f>IF(ISNA(EF52),NA(),Capability!$N$9)</f>
        <v/>
      </c>
      <c r="EM52">
        <f>IF(ISNA(EF52),NA(),IF(OR(Capability!$Q$9="",Settings!$F$7&lt;&gt;"Y"),NA(),Capability!$Q$9))</f>
        <v/>
      </c>
      <c r="EN52">
        <f>IF(ISNA(EF52),NA(),IF(OR(Capability!$P$9="",Settings!$F$7&lt;&gt;"Y"),NA(),Capability!$P$9))</f>
        <v/>
      </c>
      <c r="ET52">
        <f>IF((EW$1+48)&gt;EU$1,NA(),(EW$1+48)-4)</f>
        <v/>
      </c>
      <c r="EU52">
        <f>IF((EW$1+48)&gt;EU$1,NA(),INDEX('Data Entry'!$M$5:$M$10004,(EW$1+48)-4))</f>
        <v/>
      </c>
      <c r="EV52">
        <f>IF(ISNA(ET52),NA(),Capability!$K$10)</f>
        <v/>
      </c>
      <c r="EW52">
        <f>IF(ISNA(ET52),NA(),Capability!$J$10)</f>
        <v/>
      </c>
      <c r="EX52">
        <f>IF(ISNA(ET52),NA(),Capability!$L$10)</f>
        <v/>
      </c>
      <c r="EY52">
        <f>IF(OR(ISNA(EU52),ISNA(EU51)),NA(),ABS(EU52-EU51))</f>
        <v/>
      </c>
      <c r="EZ52">
        <f>IF(ISNA(ET52),NA(),Capability!$N$10)</f>
        <v/>
      </c>
      <c r="FA52">
        <f>IF(ISNA(ET52),NA(),IF(OR(Capability!$Q$10="",Settings!$F$7&lt;&gt;"Y"),NA(),Capability!$Q$10))</f>
        <v/>
      </c>
      <c r="FB52">
        <f>IF(ISNA(ET52),NA(),IF(OR(Capability!$P$10="",Settings!$F$7&lt;&gt;"Y"),NA(),Capability!$P$10))</f>
        <v/>
      </c>
      <c r="FH52">
        <f>IF((FK$1+48)&gt;FI$1,NA(),(FK$1+48)-4)</f>
        <v/>
      </c>
      <c r="FI52">
        <f>IF((FK$1+48)&gt;FI$1,NA(),INDEX('Data Entry'!$N$5:$N$10004,(FK$1+48)-4))</f>
        <v/>
      </c>
      <c r="FJ52">
        <f>IF(ISNA(FH52),NA(),Capability!$K$11)</f>
        <v/>
      </c>
      <c r="FK52">
        <f>IF(ISNA(FH52),NA(),Capability!$J$11)</f>
        <v/>
      </c>
      <c r="FL52">
        <f>IF(ISNA(FH52),NA(),Capability!$L$11)</f>
        <v/>
      </c>
      <c r="FM52">
        <f>IF(OR(ISNA(FI52),ISNA(FI51)),NA(),ABS(FI52-FI51))</f>
        <v/>
      </c>
      <c r="FN52">
        <f>IF(ISNA(FH52),NA(),Capability!$N$11)</f>
        <v/>
      </c>
      <c r="FO52">
        <f>IF(ISNA(FH52),NA(),IF(OR(Capability!$Q$11="",Settings!$F$7&lt;&gt;"Y"),NA(),Capability!$Q$11))</f>
        <v/>
      </c>
      <c r="FP52">
        <f>IF(ISNA(FH52),NA(),IF(OR(Capability!$P$11="",Settings!$F$7&lt;&gt;"Y"),NA(),Capability!$P$11))</f>
        <v/>
      </c>
      <c r="FV52">
        <f>IF((FY$1+48)&gt;FW$1,NA(),(FY$1+48)-4)</f>
        <v/>
      </c>
      <c r="FW52">
        <f>IF((FY$1+48)&gt;FW$1,NA(),INDEX('Data Entry'!$O$5:$O$10004,(FY$1+48)-4))</f>
        <v/>
      </c>
      <c r="FX52">
        <f>IF(ISNA(FV52),NA(),Capability!$K$12)</f>
        <v/>
      </c>
      <c r="FY52">
        <f>IF(ISNA(FV52),NA(),Capability!$J$12)</f>
        <v/>
      </c>
      <c r="FZ52">
        <f>IF(ISNA(FV52),NA(),Capability!$L$12)</f>
        <v/>
      </c>
      <c r="GA52">
        <f>IF(OR(ISNA(FW52),ISNA(FW51)),NA(),ABS(FW52-FW51))</f>
        <v/>
      </c>
      <c r="GB52">
        <f>IF(ISNA(FV52),NA(),Capability!$N$12)</f>
        <v/>
      </c>
      <c r="GC52">
        <f>IF(ISNA(FV52),NA(),IF(OR(Capability!$Q$12="",Settings!$F$7&lt;&gt;"Y"),NA(),Capability!$Q$12))</f>
        <v/>
      </c>
      <c r="GD52">
        <f>IF(ISNA(FV52),NA(),IF(OR(Capability!$P$12="",Settings!$F$7&lt;&gt;"Y"),NA(),Capability!$P$12))</f>
        <v/>
      </c>
      <c r="GJ52">
        <f>IF((GM$1+48)&gt;GK$1,NA(),(GM$1+48)-4)</f>
        <v/>
      </c>
      <c r="GK52">
        <f>IF((GM$1+48)&gt;GK$1,NA(),INDEX('Data Entry'!$P$5:$P$10004,(GM$1+48)-4))</f>
        <v/>
      </c>
      <c r="GL52">
        <f>IF(ISNA(GJ52),NA(),Capability!$K$13)</f>
        <v/>
      </c>
      <c r="GM52">
        <f>IF(ISNA(GJ52),NA(),Capability!$J$13)</f>
        <v/>
      </c>
      <c r="GN52">
        <f>IF(ISNA(GJ52),NA(),Capability!$L$13)</f>
        <v/>
      </c>
      <c r="GO52">
        <f>IF(OR(ISNA(GK52),ISNA(GK51)),NA(),ABS(GK52-GK51))</f>
        <v/>
      </c>
      <c r="GP52">
        <f>IF(ISNA(GJ52),NA(),Capability!$N$13)</f>
        <v/>
      </c>
      <c r="GQ52">
        <f>IF(ISNA(GJ52),NA(),IF(OR(Capability!$Q$13="",Settings!$F$7&lt;&gt;"Y"),NA(),Capability!$Q$13))</f>
        <v/>
      </c>
      <c r="GR52">
        <f>IF(ISNA(GJ52),NA(),IF(OR(Capability!$P$13="",Settings!$F$7&lt;&gt;"Y"),NA(),Capability!$P$13))</f>
        <v/>
      </c>
      <c r="GX52">
        <f>IF((HA$1+48)&gt;GY$1,NA(),(HA$1+48)-4)</f>
        <v/>
      </c>
      <c r="GY52">
        <f>IF((HA$1+48)&gt;GY$1,NA(),INDEX('Data Entry'!$Q$5:$Q$10004,(HA$1+48)-4))</f>
        <v/>
      </c>
      <c r="GZ52">
        <f>IF(ISNA(GX52),NA(),Capability!$K$14)</f>
        <v/>
      </c>
      <c r="HA52">
        <f>IF(ISNA(GX52),NA(),Capability!$J$14)</f>
        <v/>
      </c>
      <c r="HB52">
        <f>IF(ISNA(GX52),NA(),Capability!$L$14)</f>
        <v/>
      </c>
      <c r="HC52">
        <f>IF(OR(ISNA(GY52),ISNA(GY51)),NA(),ABS(GY52-GY51))</f>
        <v/>
      </c>
      <c r="HD52">
        <f>IF(ISNA(GX52),NA(),Capability!$N$14)</f>
        <v/>
      </c>
      <c r="HE52">
        <f>IF(ISNA(GX52),NA(),IF(OR(Capability!$Q$14="",Settings!$F$7&lt;&gt;"Y"),NA(),Capability!$Q$14))</f>
        <v/>
      </c>
      <c r="HF52">
        <f>IF(ISNA(GX52),NA(),IF(OR(Capability!$P$14="",Settings!$F$7&lt;&gt;"Y"),NA(),Capability!$P$14))</f>
        <v/>
      </c>
    </row>
    <row r="53">
      <c r="A53" s="35" t="inlineStr">
        <is>
          <t>Median</t>
        </is>
      </c>
      <c r="B53" s="23">
        <f>Capability!D6</f>
        <v/>
      </c>
      <c r="CB53">
        <f>IF((CE$1+49)&gt;CC$1,NA(),(CE$1+49)-4)</f>
        <v/>
      </c>
      <c r="CC53">
        <f>IF((CE$1+49)&gt;CC$1,NA(),INDEX('Data Entry'!$H$5:$H$10004,(CE$1+49)-4))</f>
        <v/>
      </c>
      <c r="CD53">
        <f>IF(ISNA(CB53),NA(),Capability!$K$5)</f>
        <v/>
      </c>
      <c r="CE53">
        <f>IF(ISNA(CB53),NA(),Capability!$J$5)</f>
        <v/>
      </c>
      <c r="CF53">
        <f>IF(ISNA(CB53),NA(),Capability!$L$5)</f>
        <v/>
      </c>
      <c r="CG53">
        <f>IF(OR(ISNA(CC53),ISNA(CC52)),NA(),ABS(CC53-CC52))</f>
        <v/>
      </c>
      <c r="CH53">
        <f>IF(ISNA(CB53),NA(),Capability!$N$5)</f>
        <v/>
      </c>
      <c r="CI53">
        <f>IF(ISNA(CB53),NA(),IF(OR(Capability!$Q$5="",Settings!$F$7&lt;&gt;"Y"),NA(),Capability!$Q$5))</f>
        <v/>
      </c>
      <c r="CJ53">
        <f>IF(ISNA(CB53),NA(),IF(OR(Capability!$P$5="",Settings!$F$7&lt;&gt;"Y"),NA(),Capability!$P$5))</f>
        <v/>
      </c>
      <c r="CP53">
        <f>IF((CS$1+49)&gt;CQ$1,NA(),(CS$1+49)-4)</f>
        <v/>
      </c>
      <c r="CQ53">
        <f>IF((CS$1+49)&gt;CQ$1,NA(),INDEX('Data Entry'!$I$5:$I$10004,(CS$1+49)-4))</f>
        <v/>
      </c>
      <c r="CR53">
        <f>IF(ISNA(CP53),NA(),Capability!$K$6)</f>
        <v/>
      </c>
      <c r="CS53">
        <f>IF(ISNA(CP53),NA(),Capability!$J$6)</f>
        <v/>
      </c>
      <c r="CT53">
        <f>IF(ISNA(CP53),NA(),Capability!$L$6)</f>
        <v/>
      </c>
      <c r="CU53">
        <f>IF(OR(ISNA(CQ53),ISNA(CQ52)),NA(),ABS(CQ53-CQ52))</f>
        <v/>
      </c>
      <c r="CV53">
        <f>IF(ISNA(CP53),NA(),Capability!$N$6)</f>
        <v/>
      </c>
      <c r="CW53">
        <f>IF(ISNA(CP53),NA(),IF(OR(Capability!$Q$6="",Settings!$F$7&lt;&gt;"Y"),NA(),Capability!$Q$6))</f>
        <v/>
      </c>
      <c r="CX53">
        <f>IF(ISNA(CP53),NA(),IF(OR(Capability!$P$6="",Settings!$F$7&lt;&gt;"Y"),NA(),Capability!$P$6))</f>
        <v/>
      </c>
      <c r="DD53">
        <f>IF((DG$1+49)&gt;DE$1,NA(),(DG$1+49)-4)</f>
        <v/>
      </c>
      <c r="DE53">
        <f>IF((DG$1+49)&gt;DE$1,NA(),INDEX('Data Entry'!$J$5:$J$10004,(DG$1+49)-4))</f>
        <v/>
      </c>
      <c r="DF53">
        <f>IF(ISNA(DD53),NA(),Capability!$K$7)</f>
        <v/>
      </c>
      <c r="DG53">
        <f>IF(ISNA(DD53),NA(),Capability!$J$7)</f>
        <v/>
      </c>
      <c r="DH53">
        <f>IF(ISNA(DD53),NA(),Capability!$L$7)</f>
        <v/>
      </c>
      <c r="DI53">
        <f>IF(OR(ISNA(DE53),ISNA(DE52)),NA(),ABS(DE53-DE52))</f>
        <v/>
      </c>
      <c r="DJ53">
        <f>IF(ISNA(DD53),NA(),Capability!$N$7)</f>
        <v/>
      </c>
      <c r="DK53">
        <f>IF(ISNA(DD53),NA(),IF(OR(Capability!$Q$7="",Settings!$F$7&lt;&gt;"Y"),NA(),Capability!$Q$7))</f>
        <v/>
      </c>
      <c r="DL53">
        <f>IF(ISNA(DD53),NA(),IF(OR(Capability!$P$7="",Settings!$F$7&lt;&gt;"Y"),NA(),Capability!$P$7))</f>
        <v/>
      </c>
      <c r="DR53">
        <f>IF((DU$1+49)&gt;DS$1,NA(),(DU$1+49)-4)</f>
        <v/>
      </c>
      <c r="DS53">
        <f>IF((DU$1+49)&gt;DS$1,NA(),INDEX('Data Entry'!$K$5:$K$10004,(DU$1+49)-4))</f>
        <v/>
      </c>
      <c r="DT53">
        <f>IF(ISNA(DR53),NA(),Capability!$K$8)</f>
        <v/>
      </c>
      <c r="DU53">
        <f>IF(ISNA(DR53),NA(),Capability!$J$8)</f>
        <v/>
      </c>
      <c r="DV53">
        <f>IF(ISNA(DR53),NA(),Capability!$L$8)</f>
        <v/>
      </c>
      <c r="DW53">
        <f>IF(OR(ISNA(DS53),ISNA(DS52)),NA(),ABS(DS53-DS52))</f>
        <v/>
      </c>
      <c r="DX53">
        <f>IF(ISNA(DR53),NA(),Capability!$N$8)</f>
        <v/>
      </c>
      <c r="DY53">
        <f>IF(ISNA(DR53),NA(),IF(OR(Capability!$Q$8="",Settings!$F$7&lt;&gt;"Y"),NA(),Capability!$Q$8))</f>
        <v/>
      </c>
      <c r="DZ53">
        <f>IF(ISNA(DR53),NA(),IF(OR(Capability!$P$8="",Settings!$F$7&lt;&gt;"Y"),NA(),Capability!$P$8))</f>
        <v/>
      </c>
      <c r="EF53">
        <f>IF((EI$1+49)&gt;EG$1,NA(),(EI$1+49)-4)</f>
        <v/>
      </c>
      <c r="EG53">
        <f>IF((EI$1+49)&gt;EG$1,NA(),INDEX('Data Entry'!$L$5:$L$10004,(EI$1+49)-4))</f>
        <v/>
      </c>
      <c r="EH53">
        <f>IF(ISNA(EF53),NA(),Capability!$K$9)</f>
        <v/>
      </c>
      <c r="EI53">
        <f>IF(ISNA(EF53),NA(),Capability!$J$9)</f>
        <v/>
      </c>
      <c r="EJ53">
        <f>IF(ISNA(EF53),NA(),Capability!$L$9)</f>
        <v/>
      </c>
      <c r="EK53">
        <f>IF(OR(ISNA(EG53),ISNA(EG52)),NA(),ABS(EG53-EG52))</f>
        <v/>
      </c>
      <c r="EL53">
        <f>IF(ISNA(EF53),NA(),Capability!$N$9)</f>
        <v/>
      </c>
      <c r="EM53">
        <f>IF(ISNA(EF53),NA(),IF(OR(Capability!$Q$9="",Settings!$F$7&lt;&gt;"Y"),NA(),Capability!$Q$9))</f>
        <v/>
      </c>
      <c r="EN53">
        <f>IF(ISNA(EF53),NA(),IF(OR(Capability!$P$9="",Settings!$F$7&lt;&gt;"Y"),NA(),Capability!$P$9))</f>
        <v/>
      </c>
      <c r="ET53">
        <f>IF((EW$1+49)&gt;EU$1,NA(),(EW$1+49)-4)</f>
        <v/>
      </c>
      <c r="EU53">
        <f>IF((EW$1+49)&gt;EU$1,NA(),INDEX('Data Entry'!$M$5:$M$10004,(EW$1+49)-4))</f>
        <v/>
      </c>
      <c r="EV53">
        <f>IF(ISNA(ET53),NA(),Capability!$K$10)</f>
        <v/>
      </c>
      <c r="EW53">
        <f>IF(ISNA(ET53),NA(),Capability!$J$10)</f>
        <v/>
      </c>
      <c r="EX53">
        <f>IF(ISNA(ET53),NA(),Capability!$L$10)</f>
        <v/>
      </c>
      <c r="EY53">
        <f>IF(OR(ISNA(EU53),ISNA(EU52)),NA(),ABS(EU53-EU52))</f>
        <v/>
      </c>
      <c r="EZ53">
        <f>IF(ISNA(ET53),NA(),Capability!$N$10)</f>
        <v/>
      </c>
      <c r="FA53">
        <f>IF(ISNA(ET53),NA(),IF(OR(Capability!$Q$10="",Settings!$F$7&lt;&gt;"Y"),NA(),Capability!$Q$10))</f>
        <v/>
      </c>
      <c r="FB53">
        <f>IF(ISNA(ET53),NA(),IF(OR(Capability!$P$10="",Settings!$F$7&lt;&gt;"Y"),NA(),Capability!$P$10))</f>
        <v/>
      </c>
      <c r="FH53">
        <f>IF((FK$1+49)&gt;FI$1,NA(),(FK$1+49)-4)</f>
        <v/>
      </c>
      <c r="FI53">
        <f>IF((FK$1+49)&gt;FI$1,NA(),INDEX('Data Entry'!$N$5:$N$10004,(FK$1+49)-4))</f>
        <v/>
      </c>
      <c r="FJ53">
        <f>IF(ISNA(FH53),NA(),Capability!$K$11)</f>
        <v/>
      </c>
      <c r="FK53">
        <f>IF(ISNA(FH53),NA(),Capability!$J$11)</f>
        <v/>
      </c>
      <c r="FL53">
        <f>IF(ISNA(FH53),NA(),Capability!$L$11)</f>
        <v/>
      </c>
      <c r="FM53">
        <f>IF(OR(ISNA(FI53),ISNA(FI52)),NA(),ABS(FI53-FI52))</f>
        <v/>
      </c>
      <c r="FN53">
        <f>IF(ISNA(FH53),NA(),Capability!$N$11)</f>
        <v/>
      </c>
      <c r="FO53">
        <f>IF(ISNA(FH53),NA(),IF(OR(Capability!$Q$11="",Settings!$F$7&lt;&gt;"Y"),NA(),Capability!$Q$11))</f>
        <v/>
      </c>
      <c r="FP53">
        <f>IF(ISNA(FH53),NA(),IF(OR(Capability!$P$11="",Settings!$F$7&lt;&gt;"Y"),NA(),Capability!$P$11))</f>
        <v/>
      </c>
      <c r="FV53">
        <f>IF((FY$1+49)&gt;FW$1,NA(),(FY$1+49)-4)</f>
        <v/>
      </c>
      <c r="FW53">
        <f>IF((FY$1+49)&gt;FW$1,NA(),INDEX('Data Entry'!$O$5:$O$10004,(FY$1+49)-4))</f>
        <v/>
      </c>
      <c r="FX53">
        <f>IF(ISNA(FV53),NA(),Capability!$K$12)</f>
        <v/>
      </c>
      <c r="FY53">
        <f>IF(ISNA(FV53),NA(),Capability!$J$12)</f>
        <v/>
      </c>
      <c r="FZ53">
        <f>IF(ISNA(FV53),NA(),Capability!$L$12)</f>
        <v/>
      </c>
      <c r="GA53">
        <f>IF(OR(ISNA(FW53),ISNA(FW52)),NA(),ABS(FW53-FW52))</f>
        <v/>
      </c>
      <c r="GB53">
        <f>IF(ISNA(FV53),NA(),Capability!$N$12)</f>
        <v/>
      </c>
      <c r="GC53">
        <f>IF(ISNA(FV53),NA(),IF(OR(Capability!$Q$12="",Settings!$F$7&lt;&gt;"Y"),NA(),Capability!$Q$12))</f>
        <v/>
      </c>
      <c r="GD53">
        <f>IF(ISNA(FV53),NA(),IF(OR(Capability!$P$12="",Settings!$F$7&lt;&gt;"Y"),NA(),Capability!$P$12))</f>
        <v/>
      </c>
      <c r="GJ53">
        <f>IF((GM$1+49)&gt;GK$1,NA(),(GM$1+49)-4)</f>
        <v/>
      </c>
      <c r="GK53">
        <f>IF((GM$1+49)&gt;GK$1,NA(),INDEX('Data Entry'!$P$5:$P$10004,(GM$1+49)-4))</f>
        <v/>
      </c>
      <c r="GL53">
        <f>IF(ISNA(GJ53),NA(),Capability!$K$13)</f>
        <v/>
      </c>
      <c r="GM53">
        <f>IF(ISNA(GJ53),NA(),Capability!$J$13)</f>
        <v/>
      </c>
      <c r="GN53">
        <f>IF(ISNA(GJ53),NA(),Capability!$L$13)</f>
        <v/>
      </c>
      <c r="GO53">
        <f>IF(OR(ISNA(GK53),ISNA(GK52)),NA(),ABS(GK53-GK52))</f>
        <v/>
      </c>
      <c r="GP53">
        <f>IF(ISNA(GJ53),NA(),Capability!$N$13)</f>
        <v/>
      </c>
      <c r="GQ53">
        <f>IF(ISNA(GJ53),NA(),IF(OR(Capability!$Q$13="",Settings!$F$7&lt;&gt;"Y"),NA(),Capability!$Q$13))</f>
        <v/>
      </c>
      <c r="GR53">
        <f>IF(ISNA(GJ53),NA(),IF(OR(Capability!$P$13="",Settings!$F$7&lt;&gt;"Y"),NA(),Capability!$P$13))</f>
        <v/>
      </c>
      <c r="GX53">
        <f>IF((HA$1+49)&gt;GY$1,NA(),(HA$1+49)-4)</f>
        <v/>
      </c>
      <c r="GY53">
        <f>IF((HA$1+49)&gt;GY$1,NA(),INDEX('Data Entry'!$Q$5:$Q$10004,(HA$1+49)-4))</f>
        <v/>
      </c>
      <c r="GZ53">
        <f>IF(ISNA(GX53),NA(),Capability!$K$14)</f>
        <v/>
      </c>
      <c r="HA53">
        <f>IF(ISNA(GX53),NA(),Capability!$J$14)</f>
        <v/>
      </c>
      <c r="HB53">
        <f>IF(ISNA(GX53),NA(),Capability!$L$14)</f>
        <v/>
      </c>
      <c r="HC53">
        <f>IF(OR(ISNA(GY53),ISNA(GY52)),NA(),ABS(GY53-GY52))</f>
        <v/>
      </c>
      <c r="HD53">
        <f>IF(ISNA(GX53),NA(),Capability!$N$14)</f>
        <v/>
      </c>
      <c r="HE53">
        <f>IF(ISNA(GX53),NA(),IF(OR(Capability!$Q$14="",Settings!$F$7&lt;&gt;"Y"),NA(),Capability!$Q$14))</f>
        <v/>
      </c>
      <c r="HF53">
        <f>IF(ISNA(GX53),NA(),IF(OR(Capability!$P$14="",Settings!$F$7&lt;&gt;"Y"),NA(),Capability!$P$14))</f>
        <v/>
      </c>
    </row>
    <row r="54">
      <c r="A54" s="35" t="inlineStr">
        <is>
          <t>Std Dev (overall)</t>
        </is>
      </c>
      <c r="B54" s="23">
        <f>Capability!I6</f>
        <v/>
      </c>
      <c r="CB54">
        <f>IF((CE$1+50)&gt;CC$1,NA(),(CE$1+50)-4)</f>
        <v/>
      </c>
      <c r="CC54">
        <f>IF((CE$1+50)&gt;CC$1,NA(),INDEX('Data Entry'!$H$5:$H$10004,(CE$1+50)-4))</f>
        <v/>
      </c>
      <c r="CD54">
        <f>IF(ISNA(CB54),NA(),Capability!$K$5)</f>
        <v/>
      </c>
      <c r="CE54">
        <f>IF(ISNA(CB54),NA(),Capability!$J$5)</f>
        <v/>
      </c>
      <c r="CF54">
        <f>IF(ISNA(CB54),NA(),Capability!$L$5)</f>
        <v/>
      </c>
      <c r="CG54">
        <f>IF(OR(ISNA(CC54),ISNA(CC53)),NA(),ABS(CC54-CC53))</f>
        <v/>
      </c>
      <c r="CH54">
        <f>IF(ISNA(CB54),NA(),Capability!$N$5)</f>
        <v/>
      </c>
      <c r="CI54">
        <f>IF(ISNA(CB54),NA(),IF(OR(Capability!$Q$5="",Settings!$F$7&lt;&gt;"Y"),NA(),Capability!$Q$5))</f>
        <v/>
      </c>
      <c r="CJ54">
        <f>IF(ISNA(CB54),NA(),IF(OR(Capability!$P$5="",Settings!$F$7&lt;&gt;"Y"),NA(),Capability!$P$5))</f>
        <v/>
      </c>
      <c r="CP54">
        <f>IF((CS$1+50)&gt;CQ$1,NA(),(CS$1+50)-4)</f>
        <v/>
      </c>
      <c r="CQ54">
        <f>IF((CS$1+50)&gt;CQ$1,NA(),INDEX('Data Entry'!$I$5:$I$10004,(CS$1+50)-4))</f>
        <v/>
      </c>
      <c r="CR54">
        <f>IF(ISNA(CP54),NA(),Capability!$K$6)</f>
        <v/>
      </c>
      <c r="CS54">
        <f>IF(ISNA(CP54),NA(),Capability!$J$6)</f>
        <v/>
      </c>
      <c r="CT54">
        <f>IF(ISNA(CP54),NA(),Capability!$L$6)</f>
        <v/>
      </c>
      <c r="CU54">
        <f>IF(OR(ISNA(CQ54),ISNA(CQ53)),NA(),ABS(CQ54-CQ53))</f>
        <v/>
      </c>
      <c r="CV54">
        <f>IF(ISNA(CP54),NA(),Capability!$N$6)</f>
        <v/>
      </c>
      <c r="CW54">
        <f>IF(ISNA(CP54),NA(),IF(OR(Capability!$Q$6="",Settings!$F$7&lt;&gt;"Y"),NA(),Capability!$Q$6))</f>
        <v/>
      </c>
      <c r="CX54">
        <f>IF(ISNA(CP54),NA(),IF(OR(Capability!$P$6="",Settings!$F$7&lt;&gt;"Y"),NA(),Capability!$P$6))</f>
        <v/>
      </c>
      <c r="DD54">
        <f>IF((DG$1+50)&gt;DE$1,NA(),(DG$1+50)-4)</f>
        <v/>
      </c>
      <c r="DE54">
        <f>IF((DG$1+50)&gt;DE$1,NA(),INDEX('Data Entry'!$J$5:$J$10004,(DG$1+50)-4))</f>
        <v/>
      </c>
      <c r="DF54">
        <f>IF(ISNA(DD54),NA(),Capability!$K$7)</f>
        <v/>
      </c>
      <c r="DG54">
        <f>IF(ISNA(DD54),NA(),Capability!$J$7)</f>
        <v/>
      </c>
      <c r="DH54">
        <f>IF(ISNA(DD54),NA(),Capability!$L$7)</f>
        <v/>
      </c>
      <c r="DI54">
        <f>IF(OR(ISNA(DE54),ISNA(DE53)),NA(),ABS(DE54-DE53))</f>
        <v/>
      </c>
      <c r="DJ54">
        <f>IF(ISNA(DD54),NA(),Capability!$N$7)</f>
        <v/>
      </c>
      <c r="DK54">
        <f>IF(ISNA(DD54),NA(),IF(OR(Capability!$Q$7="",Settings!$F$7&lt;&gt;"Y"),NA(),Capability!$Q$7))</f>
        <v/>
      </c>
      <c r="DL54">
        <f>IF(ISNA(DD54),NA(),IF(OR(Capability!$P$7="",Settings!$F$7&lt;&gt;"Y"),NA(),Capability!$P$7))</f>
        <v/>
      </c>
      <c r="DR54">
        <f>IF((DU$1+50)&gt;DS$1,NA(),(DU$1+50)-4)</f>
        <v/>
      </c>
      <c r="DS54">
        <f>IF((DU$1+50)&gt;DS$1,NA(),INDEX('Data Entry'!$K$5:$K$10004,(DU$1+50)-4))</f>
        <v/>
      </c>
      <c r="DT54">
        <f>IF(ISNA(DR54),NA(),Capability!$K$8)</f>
        <v/>
      </c>
      <c r="DU54">
        <f>IF(ISNA(DR54),NA(),Capability!$J$8)</f>
        <v/>
      </c>
      <c r="DV54">
        <f>IF(ISNA(DR54),NA(),Capability!$L$8)</f>
        <v/>
      </c>
      <c r="DW54">
        <f>IF(OR(ISNA(DS54),ISNA(DS53)),NA(),ABS(DS54-DS53))</f>
        <v/>
      </c>
      <c r="DX54">
        <f>IF(ISNA(DR54),NA(),Capability!$N$8)</f>
        <v/>
      </c>
      <c r="DY54">
        <f>IF(ISNA(DR54),NA(),IF(OR(Capability!$Q$8="",Settings!$F$7&lt;&gt;"Y"),NA(),Capability!$Q$8))</f>
        <v/>
      </c>
      <c r="DZ54">
        <f>IF(ISNA(DR54),NA(),IF(OR(Capability!$P$8="",Settings!$F$7&lt;&gt;"Y"),NA(),Capability!$P$8))</f>
        <v/>
      </c>
      <c r="EF54">
        <f>IF((EI$1+50)&gt;EG$1,NA(),(EI$1+50)-4)</f>
        <v/>
      </c>
      <c r="EG54">
        <f>IF((EI$1+50)&gt;EG$1,NA(),INDEX('Data Entry'!$L$5:$L$10004,(EI$1+50)-4))</f>
        <v/>
      </c>
      <c r="EH54">
        <f>IF(ISNA(EF54),NA(),Capability!$K$9)</f>
        <v/>
      </c>
      <c r="EI54">
        <f>IF(ISNA(EF54),NA(),Capability!$J$9)</f>
        <v/>
      </c>
      <c r="EJ54">
        <f>IF(ISNA(EF54),NA(),Capability!$L$9)</f>
        <v/>
      </c>
      <c r="EK54">
        <f>IF(OR(ISNA(EG54),ISNA(EG53)),NA(),ABS(EG54-EG53))</f>
        <v/>
      </c>
      <c r="EL54">
        <f>IF(ISNA(EF54),NA(),Capability!$N$9)</f>
        <v/>
      </c>
      <c r="EM54">
        <f>IF(ISNA(EF54),NA(),IF(OR(Capability!$Q$9="",Settings!$F$7&lt;&gt;"Y"),NA(),Capability!$Q$9))</f>
        <v/>
      </c>
      <c r="EN54">
        <f>IF(ISNA(EF54),NA(),IF(OR(Capability!$P$9="",Settings!$F$7&lt;&gt;"Y"),NA(),Capability!$P$9))</f>
        <v/>
      </c>
      <c r="ET54">
        <f>IF((EW$1+50)&gt;EU$1,NA(),(EW$1+50)-4)</f>
        <v/>
      </c>
      <c r="EU54">
        <f>IF((EW$1+50)&gt;EU$1,NA(),INDEX('Data Entry'!$M$5:$M$10004,(EW$1+50)-4))</f>
        <v/>
      </c>
      <c r="EV54">
        <f>IF(ISNA(ET54),NA(),Capability!$K$10)</f>
        <v/>
      </c>
      <c r="EW54">
        <f>IF(ISNA(ET54),NA(),Capability!$J$10)</f>
        <v/>
      </c>
      <c r="EX54">
        <f>IF(ISNA(ET54),NA(),Capability!$L$10)</f>
        <v/>
      </c>
      <c r="EY54">
        <f>IF(OR(ISNA(EU54),ISNA(EU53)),NA(),ABS(EU54-EU53))</f>
        <v/>
      </c>
      <c r="EZ54">
        <f>IF(ISNA(ET54),NA(),Capability!$N$10)</f>
        <v/>
      </c>
      <c r="FA54">
        <f>IF(ISNA(ET54),NA(),IF(OR(Capability!$Q$10="",Settings!$F$7&lt;&gt;"Y"),NA(),Capability!$Q$10))</f>
        <v/>
      </c>
      <c r="FB54">
        <f>IF(ISNA(ET54),NA(),IF(OR(Capability!$P$10="",Settings!$F$7&lt;&gt;"Y"),NA(),Capability!$P$10))</f>
        <v/>
      </c>
      <c r="FH54">
        <f>IF((FK$1+50)&gt;FI$1,NA(),(FK$1+50)-4)</f>
        <v/>
      </c>
      <c r="FI54">
        <f>IF((FK$1+50)&gt;FI$1,NA(),INDEX('Data Entry'!$N$5:$N$10004,(FK$1+50)-4))</f>
        <v/>
      </c>
      <c r="FJ54">
        <f>IF(ISNA(FH54),NA(),Capability!$K$11)</f>
        <v/>
      </c>
      <c r="FK54">
        <f>IF(ISNA(FH54),NA(),Capability!$J$11)</f>
        <v/>
      </c>
      <c r="FL54">
        <f>IF(ISNA(FH54),NA(),Capability!$L$11)</f>
        <v/>
      </c>
      <c r="FM54">
        <f>IF(OR(ISNA(FI54),ISNA(FI53)),NA(),ABS(FI54-FI53))</f>
        <v/>
      </c>
      <c r="FN54">
        <f>IF(ISNA(FH54),NA(),Capability!$N$11)</f>
        <v/>
      </c>
      <c r="FO54">
        <f>IF(ISNA(FH54),NA(),IF(OR(Capability!$Q$11="",Settings!$F$7&lt;&gt;"Y"),NA(),Capability!$Q$11))</f>
        <v/>
      </c>
      <c r="FP54">
        <f>IF(ISNA(FH54),NA(),IF(OR(Capability!$P$11="",Settings!$F$7&lt;&gt;"Y"),NA(),Capability!$P$11))</f>
        <v/>
      </c>
      <c r="FV54">
        <f>IF((FY$1+50)&gt;FW$1,NA(),(FY$1+50)-4)</f>
        <v/>
      </c>
      <c r="FW54">
        <f>IF((FY$1+50)&gt;FW$1,NA(),INDEX('Data Entry'!$O$5:$O$10004,(FY$1+50)-4))</f>
        <v/>
      </c>
      <c r="FX54">
        <f>IF(ISNA(FV54),NA(),Capability!$K$12)</f>
        <v/>
      </c>
      <c r="FY54">
        <f>IF(ISNA(FV54),NA(),Capability!$J$12)</f>
        <v/>
      </c>
      <c r="FZ54">
        <f>IF(ISNA(FV54),NA(),Capability!$L$12)</f>
        <v/>
      </c>
      <c r="GA54">
        <f>IF(OR(ISNA(FW54),ISNA(FW53)),NA(),ABS(FW54-FW53))</f>
        <v/>
      </c>
      <c r="GB54">
        <f>IF(ISNA(FV54),NA(),Capability!$N$12)</f>
        <v/>
      </c>
      <c r="GC54">
        <f>IF(ISNA(FV54),NA(),IF(OR(Capability!$Q$12="",Settings!$F$7&lt;&gt;"Y"),NA(),Capability!$Q$12))</f>
        <v/>
      </c>
      <c r="GD54">
        <f>IF(ISNA(FV54),NA(),IF(OR(Capability!$P$12="",Settings!$F$7&lt;&gt;"Y"),NA(),Capability!$P$12))</f>
        <v/>
      </c>
      <c r="GJ54">
        <f>IF((GM$1+50)&gt;GK$1,NA(),(GM$1+50)-4)</f>
        <v/>
      </c>
      <c r="GK54">
        <f>IF((GM$1+50)&gt;GK$1,NA(),INDEX('Data Entry'!$P$5:$P$10004,(GM$1+50)-4))</f>
        <v/>
      </c>
      <c r="GL54">
        <f>IF(ISNA(GJ54),NA(),Capability!$K$13)</f>
        <v/>
      </c>
      <c r="GM54">
        <f>IF(ISNA(GJ54),NA(),Capability!$J$13)</f>
        <v/>
      </c>
      <c r="GN54">
        <f>IF(ISNA(GJ54),NA(),Capability!$L$13)</f>
        <v/>
      </c>
      <c r="GO54">
        <f>IF(OR(ISNA(GK54),ISNA(GK53)),NA(),ABS(GK54-GK53))</f>
        <v/>
      </c>
      <c r="GP54">
        <f>IF(ISNA(GJ54),NA(),Capability!$N$13)</f>
        <v/>
      </c>
      <c r="GQ54">
        <f>IF(ISNA(GJ54),NA(),IF(OR(Capability!$Q$13="",Settings!$F$7&lt;&gt;"Y"),NA(),Capability!$Q$13))</f>
        <v/>
      </c>
      <c r="GR54">
        <f>IF(ISNA(GJ54),NA(),IF(OR(Capability!$P$13="",Settings!$F$7&lt;&gt;"Y"),NA(),Capability!$P$13))</f>
        <v/>
      </c>
      <c r="GX54">
        <f>IF((HA$1+50)&gt;GY$1,NA(),(HA$1+50)-4)</f>
        <v/>
      </c>
      <c r="GY54">
        <f>IF((HA$1+50)&gt;GY$1,NA(),INDEX('Data Entry'!$Q$5:$Q$10004,(HA$1+50)-4))</f>
        <v/>
      </c>
      <c r="GZ54">
        <f>IF(ISNA(GX54),NA(),Capability!$K$14)</f>
        <v/>
      </c>
      <c r="HA54">
        <f>IF(ISNA(GX54),NA(),Capability!$J$14)</f>
        <v/>
      </c>
      <c r="HB54">
        <f>IF(ISNA(GX54),NA(),Capability!$L$14)</f>
        <v/>
      </c>
      <c r="HC54">
        <f>IF(OR(ISNA(GY54),ISNA(GY53)),NA(),ABS(GY54-GY53))</f>
        <v/>
      </c>
      <c r="HD54">
        <f>IF(ISNA(GX54),NA(),Capability!$N$14)</f>
        <v/>
      </c>
      <c r="HE54">
        <f>IF(ISNA(GX54),NA(),IF(OR(Capability!$Q$14="",Settings!$F$7&lt;&gt;"Y"),NA(),Capability!$Q$14))</f>
        <v/>
      </c>
      <c r="HF54">
        <f>IF(ISNA(GX54),NA(),IF(OR(Capability!$P$14="",Settings!$F$7&lt;&gt;"Y"),NA(),Capability!$P$14))</f>
        <v/>
      </c>
    </row>
    <row r="55">
      <c r="A55" s="35" t="inlineStr">
        <is>
          <t>Sigma (within)</t>
        </is>
      </c>
      <c r="B55" s="23">
        <f>Capability!H6</f>
        <v/>
      </c>
      <c r="CB55">
        <f>IF((CE$1+51)&gt;CC$1,NA(),(CE$1+51)-4)</f>
        <v/>
      </c>
      <c r="CC55">
        <f>IF((CE$1+51)&gt;CC$1,NA(),INDEX('Data Entry'!$H$5:$H$10004,(CE$1+51)-4))</f>
        <v/>
      </c>
      <c r="CD55">
        <f>IF(ISNA(CB55),NA(),Capability!$K$5)</f>
        <v/>
      </c>
      <c r="CE55">
        <f>IF(ISNA(CB55),NA(),Capability!$J$5)</f>
        <v/>
      </c>
      <c r="CF55">
        <f>IF(ISNA(CB55),NA(),Capability!$L$5)</f>
        <v/>
      </c>
      <c r="CG55">
        <f>IF(OR(ISNA(CC55),ISNA(CC54)),NA(),ABS(CC55-CC54))</f>
        <v/>
      </c>
      <c r="CH55">
        <f>IF(ISNA(CB55),NA(),Capability!$N$5)</f>
        <v/>
      </c>
      <c r="CI55">
        <f>IF(ISNA(CB55),NA(),IF(OR(Capability!$Q$5="",Settings!$F$7&lt;&gt;"Y"),NA(),Capability!$Q$5))</f>
        <v/>
      </c>
      <c r="CJ55">
        <f>IF(ISNA(CB55),NA(),IF(OR(Capability!$P$5="",Settings!$F$7&lt;&gt;"Y"),NA(),Capability!$P$5))</f>
        <v/>
      </c>
      <c r="CP55">
        <f>IF((CS$1+51)&gt;CQ$1,NA(),(CS$1+51)-4)</f>
        <v/>
      </c>
      <c r="CQ55">
        <f>IF((CS$1+51)&gt;CQ$1,NA(),INDEX('Data Entry'!$I$5:$I$10004,(CS$1+51)-4))</f>
        <v/>
      </c>
      <c r="CR55">
        <f>IF(ISNA(CP55),NA(),Capability!$K$6)</f>
        <v/>
      </c>
      <c r="CS55">
        <f>IF(ISNA(CP55),NA(),Capability!$J$6)</f>
        <v/>
      </c>
      <c r="CT55">
        <f>IF(ISNA(CP55),NA(),Capability!$L$6)</f>
        <v/>
      </c>
      <c r="CU55">
        <f>IF(OR(ISNA(CQ55),ISNA(CQ54)),NA(),ABS(CQ55-CQ54))</f>
        <v/>
      </c>
      <c r="CV55">
        <f>IF(ISNA(CP55),NA(),Capability!$N$6)</f>
        <v/>
      </c>
      <c r="CW55">
        <f>IF(ISNA(CP55),NA(),IF(OR(Capability!$Q$6="",Settings!$F$7&lt;&gt;"Y"),NA(),Capability!$Q$6))</f>
        <v/>
      </c>
      <c r="CX55">
        <f>IF(ISNA(CP55),NA(),IF(OR(Capability!$P$6="",Settings!$F$7&lt;&gt;"Y"),NA(),Capability!$P$6))</f>
        <v/>
      </c>
      <c r="DD55">
        <f>IF((DG$1+51)&gt;DE$1,NA(),(DG$1+51)-4)</f>
        <v/>
      </c>
      <c r="DE55">
        <f>IF((DG$1+51)&gt;DE$1,NA(),INDEX('Data Entry'!$J$5:$J$10004,(DG$1+51)-4))</f>
        <v/>
      </c>
      <c r="DF55">
        <f>IF(ISNA(DD55),NA(),Capability!$K$7)</f>
        <v/>
      </c>
      <c r="DG55">
        <f>IF(ISNA(DD55),NA(),Capability!$J$7)</f>
        <v/>
      </c>
      <c r="DH55">
        <f>IF(ISNA(DD55),NA(),Capability!$L$7)</f>
        <v/>
      </c>
      <c r="DI55">
        <f>IF(OR(ISNA(DE55),ISNA(DE54)),NA(),ABS(DE55-DE54))</f>
        <v/>
      </c>
      <c r="DJ55">
        <f>IF(ISNA(DD55),NA(),Capability!$N$7)</f>
        <v/>
      </c>
      <c r="DK55">
        <f>IF(ISNA(DD55),NA(),IF(OR(Capability!$Q$7="",Settings!$F$7&lt;&gt;"Y"),NA(),Capability!$Q$7))</f>
        <v/>
      </c>
      <c r="DL55">
        <f>IF(ISNA(DD55),NA(),IF(OR(Capability!$P$7="",Settings!$F$7&lt;&gt;"Y"),NA(),Capability!$P$7))</f>
        <v/>
      </c>
      <c r="DR55">
        <f>IF((DU$1+51)&gt;DS$1,NA(),(DU$1+51)-4)</f>
        <v/>
      </c>
      <c r="DS55">
        <f>IF((DU$1+51)&gt;DS$1,NA(),INDEX('Data Entry'!$K$5:$K$10004,(DU$1+51)-4))</f>
        <v/>
      </c>
      <c r="DT55">
        <f>IF(ISNA(DR55),NA(),Capability!$K$8)</f>
        <v/>
      </c>
      <c r="DU55">
        <f>IF(ISNA(DR55),NA(),Capability!$J$8)</f>
        <v/>
      </c>
      <c r="DV55">
        <f>IF(ISNA(DR55),NA(),Capability!$L$8)</f>
        <v/>
      </c>
      <c r="DW55">
        <f>IF(OR(ISNA(DS55),ISNA(DS54)),NA(),ABS(DS55-DS54))</f>
        <v/>
      </c>
      <c r="DX55">
        <f>IF(ISNA(DR55),NA(),Capability!$N$8)</f>
        <v/>
      </c>
      <c r="DY55">
        <f>IF(ISNA(DR55),NA(),IF(OR(Capability!$Q$8="",Settings!$F$7&lt;&gt;"Y"),NA(),Capability!$Q$8))</f>
        <v/>
      </c>
      <c r="DZ55">
        <f>IF(ISNA(DR55),NA(),IF(OR(Capability!$P$8="",Settings!$F$7&lt;&gt;"Y"),NA(),Capability!$P$8))</f>
        <v/>
      </c>
      <c r="EF55">
        <f>IF((EI$1+51)&gt;EG$1,NA(),(EI$1+51)-4)</f>
        <v/>
      </c>
      <c r="EG55">
        <f>IF((EI$1+51)&gt;EG$1,NA(),INDEX('Data Entry'!$L$5:$L$10004,(EI$1+51)-4))</f>
        <v/>
      </c>
      <c r="EH55">
        <f>IF(ISNA(EF55),NA(),Capability!$K$9)</f>
        <v/>
      </c>
      <c r="EI55">
        <f>IF(ISNA(EF55),NA(),Capability!$J$9)</f>
        <v/>
      </c>
      <c r="EJ55">
        <f>IF(ISNA(EF55),NA(),Capability!$L$9)</f>
        <v/>
      </c>
      <c r="EK55">
        <f>IF(OR(ISNA(EG55),ISNA(EG54)),NA(),ABS(EG55-EG54))</f>
        <v/>
      </c>
      <c r="EL55">
        <f>IF(ISNA(EF55),NA(),Capability!$N$9)</f>
        <v/>
      </c>
      <c r="EM55">
        <f>IF(ISNA(EF55),NA(),IF(OR(Capability!$Q$9="",Settings!$F$7&lt;&gt;"Y"),NA(),Capability!$Q$9))</f>
        <v/>
      </c>
      <c r="EN55">
        <f>IF(ISNA(EF55),NA(),IF(OR(Capability!$P$9="",Settings!$F$7&lt;&gt;"Y"),NA(),Capability!$P$9))</f>
        <v/>
      </c>
      <c r="ET55">
        <f>IF((EW$1+51)&gt;EU$1,NA(),(EW$1+51)-4)</f>
        <v/>
      </c>
      <c r="EU55">
        <f>IF((EW$1+51)&gt;EU$1,NA(),INDEX('Data Entry'!$M$5:$M$10004,(EW$1+51)-4))</f>
        <v/>
      </c>
      <c r="EV55">
        <f>IF(ISNA(ET55),NA(),Capability!$K$10)</f>
        <v/>
      </c>
      <c r="EW55">
        <f>IF(ISNA(ET55),NA(),Capability!$J$10)</f>
        <v/>
      </c>
      <c r="EX55">
        <f>IF(ISNA(ET55),NA(),Capability!$L$10)</f>
        <v/>
      </c>
      <c r="EY55">
        <f>IF(OR(ISNA(EU55),ISNA(EU54)),NA(),ABS(EU55-EU54))</f>
        <v/>
      </c>
      <c r="EZ55">
        <f>IF(ISNA(ET55),NA(),Capability!$N$10)</f>
        <v/>
      </c>
      <c r="FA55">
        <f>IF(ISNA(ET55),NA(),IF(OR(Capability!$Q$10="",Settings!$F$7&lt;&gt;"Y"),NA(),Capability!$Q$10))</f>
        <v/>
      </c>
      <c r="FB55">
        <f>IF(ISNA(ET55),NA(),IF(OR(Capability!$P$10="",Settings!$F$7&lt;&gt;"Y"),NA(),Capability!$P$10))</f>
        <v/>
      </c>
      <c r="FH55">
        <f>IF((FK$1+51)&gt;FI$1,NA(),(FK$1+51)-4)</f>
        <v/>
      </c>
      <c r="FI55">
        <f>IF((FK$1+51)&gt;FI$1,NA(),INDEX('Data Entry'!$N$5:$N$10004,(FK$1+51)-4))</f>
        <v/>
      </c>
      <c r="FJ55">
        <f>IF(ISNA(FH55),NA(),Capability!$K$11)</f>
        <v/>
      </c>
      <c r="FK55">
        <f>IF(ISNA(FH55),NA(),Capability!$J$11)</f>
        <v/>
      </c>
      <c r="FL55">
        <f>IF(ISNA(FH55),NA(),Capability!$L$11)</f>
        <v/>
      </c>
      <c r="FM55">
        <f>IF(OR(ISNA(FI55),ISNA(FI54)),NA(),ABS(FI55-FI54))</f>
        <v/>
      </c>
      <c r="FN55">
        <f>IF(ISNA(FH55),NA(),Capability!$N$11)</f>
        <v/>
      </c>
      <c r="FO55">
        <f>IF(ISNA(FH55),NA(),IF(OR(Capability!$Q$11="",Settings!$F$7&lt;&gt;"Y"),NA(),Capability!$Q$11))</f>
        <v/>
      </c>
      <c r="FP55">
        <f>IF(ISNA(FH55),NA(),IF(OR(Capability!$P$11="",Settings!$F$7&lt;&gt;"Y"),NA(),Capability!$P$11))</f>
        <v/>
      </c>
      <c r="FV55">
        <f>IF((FY$1+51)&gt;FW$1,NA(),(FY$1+51)-4)</f>
        <v/>
      </c>
      <c r="FW55">
        <f>IF((FY$1+51)&gt;FW$1,NA(),INDEX('Data Entry'!$O$5:$O$10004,(FY$1+51)-4))</f>
        <v/>
      </c>
      <c r="FX55">
        <f>IF(ISNA(FV55),NA(),Capability!$K$12)</f>
        <v/>
      </c>
      <c r="FY55">
        <f>IF(ISNA(FV55),NA(),Capability!$J$12)</f>
        <v/>
      </c>
      <c r="FZ55">
        <f>IF(ISNA(FV55),NA(),Capability!$L$12)</f>
        <v/>
      </c>
      <c r="GA55">
        <f>IF(OR(ISNA(FW55),ISNA(FW54)),NA(),ABS(FW55-FW54))</f>
        <v/>
      </c>
      <c r="GB55">
        <f>IF(ISNA(FV55),NA(),Capability!$N$12)</f>
        <v/>
      </c>
      <c r="GC55">
        <f>IF(ISNA(FV55),NA(),IF(OR(Capability!$Q$12="",Settings!$F$7&lt;&gt;"Y"),NA(),Capability!$Q$12))</f>
        <v/>
      </c>
      <c r="GD55">
        <f>IF(ISNA(FV55),NA(),IF(OR(Capability!$P$12="",Settings!$F$7&lt;&gt;"Y"),NA(),Capability!$P$12))</f>
        <v/>
      </c>
      <c r="GJ55">
        <f>IF((GM$1+51)&gt;GK$1,NA(),(GM$1+51)-4)</f>
        <v/>
      </c>
      <c r="GK55">
        <f>IF((GM$1+51)&gt;GK$1,NA(),INDEX('Data Entry'!$P$5:$P$10004,(GM$1+51)-4))</f>
        <v/>
      </c>
      <c r="GL55">
        <f>IF(ISNA(GJ55),NA(),Capability!$K$13)</f>
        <v/>
      </c>
      <c r="GM55">
        <f>IF(ISNA(GJ55),NA(),Capability!$J$13)</f>
        <v/>
      </c>
      <c r="GN55">
        <f>IF(ISNA(GJ55),NA(),Capability!$L$13)</f>
        <v/>
      </c>
      <c r="GO55">
        <f>IF(OR(ISNA(GK55),ISNA(GK54)),NA(),ABS(GK55-GK54))</f>
        <v/>
      </c>
      <c r="GP55">
        <f>IF(ISNA(GJ55),NA(),Capability!$N$13)</f>
        <v/>
      </c>
      <c r="GQ55">
        <f>IF(ISNA(GJ55),NA(),IF(OR(Capability!$Q$13="",Settings!$F$7&lt;&gt;"Y"),NA(),Capability!$Q$13))</f>
        <v/>
      </c>
      <c r="GR55">
        <f>IF(ISNA(GJ55),NA(),IF(OR(Capability!$P$13="",Settings!$F$7&lt;&gt;"Y"),NA(),Capability!$P$13))</f>
        <v/>
      </c>
      <c r="GX55">
        <f>IF((HA$1+51)&gt;GY$1,NA(),(HA$1+51)-4)</f>
        <v/>
      </c>
      <c r="GY55">
        <f>IF((HA$1+51)&gt;GY$1,NA(),INDEX('Data Entry'!$Q$5:$Q$10004,(HA$1+51)-4))</f>
        <v/>
      </c>
      <c r="GZ55">
        <f>IF(ISNA(GX55),NA(),Capability!$K$14)</f>
        <v/>
      </c>
      <c r="HA55">
        <f>IF(ISNA(GX55),NA(),Capability!$J$14)</f>
        <v/>
      </c>
      <c r="HB55">
        <f>IF(ISNA(GX55),NA(),Capability!$L$14)</f>
        <v/>
      </c>
      <c r="HC55">
        <f>IF(OR(ISNA(GY55),ISNA(GY54)),NA(),ABS(GY55-GY54))</f>
        <v/>
      </c>
      <c r="HD55">
        <f>IF(ISNA(GX55),NA(),Capability!$N$14)</f>
        <v/>
      </c>
      <c r="HE55">
        <f>IF(ISNA(GX55),NA(),IF(OR(Capability!$Q$14="",Settings!$F$7&lt;&gt;"Y"),NA(),Capability!$Q$14))</f>
        <v/>
      </c>
      <c r="HF55">
        <f>IF(ISNA(GX55),NA(),IF(OR(Capability!$P$14="",Settings!$F$7&lt;&gt;"Y"),NA(),Capability!$P$14))</f>
        <v/>
      </c>
    </row>
    <row r="56">
      <c r="A56" s="37" t="inlineStr">
        <is>
          <t>CONTROL</t>
        </is>
      </c>
      <c r="B56" s="28" t="n"/>
      <c r="CB56">
        <f>IF((CE$1+52)&gt;CC$1,NA(),(CE$1+52)-4)</f>
        <v/>
      </c>
      <c r="CC56">
        <f>IF((CE$1+52)&gt;CC$1,NA(),INDEX('Data Entry'!$H$5:$H$10004,(CE$1+52)-4))</f>
        <v/>
      </c>
      <c r="CD56">
        <f>IF(ISNA(CB56),NA(),Capability!$K$5)</f>
        <v/>
      </c>
      <c r="CE56">
        <f>IF(ISNA(CB56),NA(),Capability!$J$5)</f>
        <v/>
      </c>
      <c r="CF56">
        <f>IF(ISNA(CB56),NA(),Capability!$L$5)</f>
        <v/>
      </c>
      <c r="CG56">
        <f>IF(OR(ISNA(CC56),ISNA(CC55)),NA(),ABS(CC56-CC55))</f>
        <v/>
      </c>
      <c r="CH56">
        <f>IF(ISNA(CB56),NA(),Capability!$N$5)</f>
        <v/>
      </c>
      <c r="CI56">
        <f>IF(ISNA(CB56),NA(),IF(OR(Capability!$Q$5="",Settings!$F$7&lt;&gt;"Y"),NA(),Capability!$Q$5))</f>
        <v/>
      </c>
      <c r="CJ56">
        <f>IF(ISNA(CB56),NA(),IF(OR(Capability!$P$5="",Settings!$F$7&lt;&gt;"Y"),NA(),Capability!$P$5))</f>
        <v/>
      </c>
      <c r="CP56">
        <f>IF((CS$1+52)&gt;CQ$1,NA(),(CS$1+52)-4)</f>
        <v/>
      </c>
      <c r="CQ56">
        <f>IF((CS$1+52)&gt;CQ$1,NA(),INDEX('Data Entry'!$I$5:$I$10004,(CS$1+52)-4))</f>
        <v/>
      </c>
      <c r="CR56">
        <f>IF(ISNA(CP56),NA(),Capability!$K$6)</f>
        <v/>
      </c>
      <c r="CS56">
        <f>IF(ISNA(CP56),NA(),Capability!$J$6)</f>
        <v/>
      </c>
      <c r="CT56">
        <f>IF(ISNA(CP56),NA(),Capability!$L$6)</f>
        <v/>
      </c>
      <c r="CU56">
        <f>IF(OR(ISNA(CQ56),ISNA(CQ55)),NA(),ABS(CQ56-CQ55))</f>
        <v/>
      </c>
      <c r="CV56">
        <f>IF(ISNA(CP56),NA(),Capability!$N$6)</f>
        <v/>
      </c>
      <c r="CW56">
        <f>IF(ISNA(CP56),NA(),IF(OR(Capability!$Q$6="",Settings!$F$7&lt;&gt;"Y"),NA(),Capability!$Q$6))</f>
        <v/>
      </c>
      <c r="CX56">
        <f>IF(ISNA(CP56),NA(),IF(OR(Capability!$P$6="",Settings!$F$7&lt;&gt;"Y"),NA(),Capability!$P$6))</f>
        <v/>
      </c>
      <c r="DD56">
        <f>IF((DG$1+52)&gt;DE$1,NA(),(DG$1+52)-4)</f>
        <v/>
      </c>
      <c r="DE56">
        <f>IF((DG$1+52)&gt;DE$1,NA(),INDEX('Data Entry'!$J$5:$J$10004,(DG$1+52)-4))</f>
        <v/>
      </c>
      <c r="DF56">
        <f>IF(ISNA(DD56),NA(),Capability!$K$7)</f>
        <v/>
      </c>
      <c r="DG56">
        <f>IF(ISNA(DD56),NA(),Capability!$J$7)</f>
        <v/>
      </c>
      <c r="DH56">
        <f>IF(ISNA(DD56),NA(),Capability!$L$7)</f>
        <v/>
      </c>
      <c r="DI56">
        <f>IF(OR(ISNA(DE56),ISNA(DE55)),NA(),ABS(DE56-DE55))</f>
        <v/>
      </c>
      <c r="DJ56">
        <f>IF(ISNA(DD56),NA(),Capability!$N$7)</f>
        <v/>
      </c>
      <c r="DK56">
        <f>IF(ISNA(DD56),NA(),IF(OR(Capability!$Q$7="",Settings!$F$7&lt;&gt;"Y"),NA(),Capability!$Q$7))</f>
        <v/>
      </c>
      <c r="DL56">
        <f>IF(ISNA(DD56),NA(),IF(OR(Capability!$P$7="",Settings!$F$7&lt;&gt;"Y"),NA(),Capability!$P$7))</f>
        <v/>
      </c>
      <c r="DR56">
        <f>IF((DU$1+52)&gt;DS$1,NA(),(DU$1+52)-4)</f>
        <v/>
      </c>
      <c r="DS56">
        <f>IF((DU$1+52)&gt;DS$1,NA(),INDEX('Data Entry'!$K$5:$K$10004,(DU$1+52)-4))</f>
        <v/>
      </c>
      <c r="DT56">
        <f>IF(ISNA(DR56),NA(),Capability!$K$8)</f>
        <v/>
      </c>
      <c r="DU56">
        <f>IF(ISNA(DR56),NA(),Capability!$J$8)</f>
        <v/>
      </c>
      <c r="DV56">
        <f>IF(ISNA(DR56),NA(),Capability!$L$8)</f>
        <v/>
      </c>
      <c r="DW56">
        <f>IF(OR(ISNA(DS56),ISNA(DS55)),NA(),ABS(DS56-DS55))</f>
        <v/>
      </c>
      <c r="DX56">
        <f>IF(ISNA(DR56),NA(),Capability!$N$8)</f>
        <v/>
      </c>
      <c r="DY56">
        <f>IF(ISNA(DR56),NA(),IF(OR(Capability!$Q$8="",Settings!$F$7&lt;&gt;"Y"),NA(),Capability!$Q$8))</f>
        <v/>
      </c>
      <c r="DZ56">
        <f>IF(ISNA(DR56),NA(),IF(OR(Capability!$P$8="",Settings!$F$7&lt;&gt;"Y"),NA(),Capability!$P$8))</f>
        <v/>
      </c>
      <c r="EF56">
        <f>IF((EI$1+52)&gt;EG$1,NA(),(EI$1+52)-4)</f>
        <v/>
      </c>
      <c r="EG56">
        <f>IF((EI$1+52)&gt;EG$1,NA(),INDEX('Data Entry'!$L$5:$L$10004,(EI$1+52)-4))</f>
        <v/>
      </c>
      <c r="EH56">
        <f>IF(ISNA(EF56),NA(),Capability!$K$9)</f>
        <v/>
      </c>
      <c r="EI56">
        <f>IF(ISNA(EF56),NA(),Capability!$J$9)</f>
        <v/>
      </c>
      <c r="EJ56">
        <f>IF(ISNA(EF56),NA(),Capability!$L$9)</f>
        <v/>
      </c>
      <c r="EK56">
        <f>IF(OR(ISNA(EG56),ISNA(EG55)),NA(),ABS(EG56-EG55))</f>
        <v/>
      </c>
      <c r="EL56">
        <f>IF(ISNA(EF56),NA(),Capability!$N$9)</f>
        <v/>
      </c>
      <c r="EM56">
        <f>IF(ISNA(EF56),NA(),IF(OR(Capability!$Q$9="",Settings!$F$7&lt;&gt;"Y"),NA(),Capability!$Q$9))</f>
        <v/>
      </c>
      <c r="EN56">
        <f>IF(ISNA(EF56),NA(),IF(OR(Capability!$P$9="",Settings!$F$7&lt;&gt;"Y"),NA(),Capability!$P$9))</f>
        <v/>
      </c>
      <c r="ET56">
        <f>IF((EW$1+52)&gt;EU$1,NA(),(EW$1+52)-4)</f>
        <v/>
      </c>
      <c r="EU56">
        <f>IF((EW$1+52)&gt;EU$1,NA(),INDEX('Data Entry'!$M$5:$M$10004,(EW$1+52)-4))</f>
        <v/>
      </c>
      <c r="EV56">
        <f>IF(ISNA(ET56),NA(),Capability!$K$10)</f>
        <v/>
      </c>
      <c r="EW56">
        <f>IF(ISNA(ET56),NA(),Capability!$J$10)</f>
        <v/>
      </c>
      <c r="EX56">
        <f>IF(ISNA(ET56),NA(),Capability!$L$10)</f>
        <v/>
      </c>
      <c r="EY56">
        <f>IF(OR(ISNA(EU56),ISNA(EU55)),NA(),ABS(EU56-EU55))</f>
        <v/>
      </c>
      <c r="EZ56">
        <f>IF(ISNA(ET56),NA(),Capability!$N$10)</f>
        <v/>
      </c>
      <c r="FA56">
        <f>IF(ISNA(ET56),NA(),IF(OR(Capability!$Q$10="",Settings!$F$7&lt;&gt;"Y"),NA(),Capability!$Q$10))</f>
        <v/>
      </c>
      <c r="FB56">
        <f>IF(ISNA(ET56),NA(),IF(OR(Capability!$P$10="",Settings!$F$7&lt;&gt;"Y"),NA(),Capability!$P$10))</f>
        <v/>
      </c>
      <c r="FH56">
        <f>IF((FK$1+52)&gt;FI$1,NA(),(FK$1+52)-4)</f>
        <v/>
      </c>
      <c r="FI56">
        <f>IF((FK$1+52)&gt;FI$1,NA(),INDEX('Data Entry'!$N$5:$N$10004,(FK$1+52)-4))</f>
        <v/>
      </c>
      <c r="FJ56">
        <f>IF(ISNA(FH56),NA(),Capability!$K$11)</f>
        <v/>
      </c>
      <c r="FK56">
        <f>IF(ISNA(FH56),NA(),Capability!$J$11)</f>
        <v/>
      </c>
      <c r="FL56">
        <f>IF(ISNA(FH56),NA(),Capability!$L$11)</f>
        <v/>
      </c>
      <c r="FM56">
        <f>IF(OR(ISNA(FI56),ISNA(FI55)),NA(),ABS(FI56-FI55))</f>
        <v/>
      </c>
      <c r="FN56">
        <f>IF(ISNA(FH56),NA(),Capability!$N$11)</f>
        <v/>
      </c>
      <c r="FO56">
        <f>IF(ISNA(FH56),NA(),IF(OR(Capability!$Q$11="",Settings!$F$7&lt;&gt;"Y"),NA(),Capability!$Q$11))</f>
        <v/>
      </c>
      <c r="FP56">
        <f>IF(ISNA(FH56),NA(),IF(OR(Capability!$P$11="",Settings!$F$7&lt;&gt;"Y"),NA(),Capability!$P$11))</f>
        <v/>
      </c>
      <c r="FV56">
        <f>IF((FY$1+52)&gt;FW$1,NA(),(FY$1+52)-4)</f>
        <v/>
      </c>
      <c r="FW56">
        <f>IF((FY$1+52)&gt;FW$1,NA(),INDEX('Data Entry'!$O$5:$O$10004,(FY$1+52)-4))</f>
        <v/>
      </c>
      <c r="FX56">
        <f>IF(ISNA(FV56),NA(),Capability!$K$12)</f>
        <v/>
      </c>
      <c r="FY56">
        <f>IF(ISNA(FV56),NA(),Capability!$J$12)</f>
        <v/>
      </c>
      <c r="FZ56">
        <f>IF(ISNA(FV56),NA(),Capability!$L$12)</f>
        <v/>
      </c>
      <c r="GA56">
        <f>IF(OR(ISNA(FW56),ISNA(FW55)),NA(),ABS(FW56-FW55))</f>
        <v/>
      </c>
      <c r="GB56">
        <f>IF(ISNA(FV56),NA(),Capability!$N$12)</f>
        <v/>
      </c>
      <c r="GC56">
        <f>IF(ISNA(FV56),NA(),IF(OR(Capability!$Q$12="",Settings!$F$7&lt;&gt;"Y"),NA(),Capability!$Q$12))</f>
        <v/>
      </c>
      <c r="GD56">
        <f>IF(ISNA(FV56),NA(),IF(OR(Capability!$P$12="",Settings!$F$7&lt;&gt;"Y"),NA(),Capability!$P$12))</f>
        <v/>
      </c>
      <c r="GJ56">
        <f>IF((GM$1+52)&gt;GK$1,NA(),(GM$1+52)-4)</f>
        <v/>
      </c>
      <c r="GK56">
        <f>IF((GM$1+52)&gt;GK$1,NA(),INDEX('Data Entry'!$P$5:$P$10004,(GM$1+52)-4))</f>
        <v/>
      </c>
      <c r="GL56">
        <f>IF(ISNA(GJ56),NA(),Capability!$K$13)</f>
        <v/>
      </c>
      <c r="GM56">
        <f>IF(ISNA(GJ56),NA(),Capability!$J$13)</f>
        <v/>
      </c>
      <c r="GN56">
        <f>IF(ISNA(GJ56),NA(),Capability!$L$13)</f>
        <v/>
      </c>
      <c r="GO56">
        <f>IF(OR(ISNA(GK56),ISNA(GK55)),NA(),ABS(GK56-GK55))</f>
        <v/>
      </c>
      <c r="GP56">
        <f>IF(ISNA(GJ56),NA(),Capability!$N$13)</f>
        <v/>
      </c>
      <c r="GQ56">
        <f>IF(ISNA(GJ56),NA(),IF(OR(Capability!$Q$13="",Settings!$F$7&lt;&gt;"Y"),NA(),Capability!$Q$13))</f>
        <v/>
      </c>
      <c r="GR56">
        <f>IF(ISNA(GJ56),NA(),IF(OR(Capability!$P$13="",Settings!$F$7&lt;&gt;"Y"),NA(),Capability!$P$13))</f>
        <v/>
      </c>
      <c r="GX56">
        <f>IF((HA$1+52)&gt;GY$1,NA(),(HA$1+52)-4)</f>
        <v/>
      </c>
      <c r="GY56">
        <f>IF((HA$1+52)&gt;GY$1,NA(),INDEX('Data Entry'!$Q$5:$Q$10004,(HA$1+52)-4))</f>
        <v/>
      </c>
      <c r="GZ56">
        <f>IF(ISNA(GX56),NA(),Capability!$K$14)</f>
        <v/>
      </c>
      <c r="HA56">
        <f>IF(ISNA(GX56),NA(),Capability!$J$14)</f>
        <v/>
      </c>
      <c r="HB56">
        <f>IF(ISNA(GX56),NA(),Capability!$L$14)</f>
        <v/>
      </c>
      <c r="HC56">
        <f>IF(OR(ISNA(GY56),ISNA(GY55)),NA(),ABS(GY56-GY55))</f>
        <v/>
      </c>
      <c r="HD56">
        <f>IF(ISNA(GX56),NA(),Capability!$N$14)</f>
        <v/>
      </c>
      <c r="HE56">
        <f>IF(ISNA(GX56),NA(),IF(OR(Capability!$Q$14="",Settings!$F$7&lt;&gt;"Y"),NA(),Capability!$Q$14))</f>
        <v/>
      </c>
      <c r="HF56">
        <f>IF(ISNA(GX56),NA(),IF(OR(Capability!$P$14="",Settings!$F$7&lt;&gt;"Y"),NA(),Capability!$P$14))</f>
        <v/>
      </c>
    </row>
    <row r="57">
      <c r="A57" s="35" t="inlineStr">
        <is>
          <t>UCL</t>
        </is>
      </c>
      <c r="B57" s="23">
        <f>Capability!J6</f>
        <v/>
      </c>
      <c r="CB57">
        <f>IF((CE$1+53)&gt;CC$1,NA(),(CE$1+53)-4)</f>
        <v/>
      </c>
      <c r="CC57">
        <f>IF((CE$1+53)&gt;CC$1,NA(),INDEX('Data Entry'!$H$5:$H$10004,(CE$1+53)-4))</f>
        <v/>
      </c>
      <c r="CD57">
        <f>IF(ISNA(CB57),NA(),Capability!$K$5)</f>
        <v/>
      </c>
      <c r="CE57">
        <f>IF(ISNA(CB57),NA(),Capability!$J$5)</f>
        <v/>
      </c>
      <c r="CF57">
        <f>IF(ISNA(CB57),NA(),Capability!$L$5)</f>
        <v/>
      </c>
      <c r="CG57">
        <f>IF(OR(ISNA(CC57),ISNA(CC56)),NA(),ABS(CC57-CC56))</f>
        <v/>
      </c>
      <c r="CH57">
        <f>IF(ISNA(CB57),NA(),Capability!$N$5)</f>
        <v/>
      </c>
      <c r="CI57">
        <f>IF(ISNA(CB57),NA(),IF(OR(Capability!$Q$5="",Settings!$F$7&lt;&gt;"Y"),NA(),Capability!$Q$5))</f>
        <v/>
      </c>
      <c r="CJ57">
        <f>IF(ISNA(CB57),NA(),IF(OR(Capability!$P$5="",Settings!$F$7&lt;&gt;"Y"),NA(),Capability!$P$5))</f>
        <v/>
      </c>
      <c r="CP57">
        <f>IF((CS$1+53)&gt;CQ$1,NA(),(CS$1+53)-4)</f>
        <v/>
      </c>
      <c r="CQ57">
        <f>IF((CS$1+53)&gt;CQ$1,NA(),INDEX('Data Entry'!$I$5:$I$10004,(CS$1+53)-4))</f>
        <v/>
      </c>
      <c r="CR57">
        <f>IF(ISNA(CP57),NA(),Capability!$K$6)</f>
        <v/>
      </c>
      <c r="CS57">
        <f>IF(ISNA(CP57),NA(),Capability!$J$6)</f>
        <v/>
      </c>
      <c r="CT57">
        <f>IF(ISNA(CP57),NA(),Capability!$L$6)</f>
        <v/>
      </c>
      <c r="CU57">
        <f>IF(OR(ISNA(CQ57),ISNA(CQ56)),NA(),ABS(CQ57-CQ56))</f>
        <v/>
      </c>
      <c r="CV57">
        <f>IF(ISNA(CP57),NA(),Capability!$N$6)</f>
        <v/>
      </c>
      <c r="CW57">
        <f>IF(ISNA(CP57),NA(),IF(OR(Capability!$Q$6="",Settings!$F$7&lt;&gt;"Y"),NA(),Capability!$Q$6))</f>
        <v/>
      </c>
      <c r="CX57">
        <f>IF(ISNA(CP57),NA(),IF(OR(Capability!$P$6="",Settings!$F$7&lt;&gt;"Y"),NA(),Capability!$P$6))</f>
        <v/>
      </c>
      <c r="DD57">
        <f>IF((DG$1+53)&gt;DE$1,NA(),(DG$1+53)-4)</f>
        <v/>
      </c>
      <c r="DE57">
        <f>IF((DG$1+53)&gt;DE$1,NA(),INDEX('Data Entry'!$J$5:$J$10004,(DG$1+53)-4))</f>
        <v/>
      </c>
      <c r="DF57">
        <f>IF(ISNA(DD57),NA(),Capability!$K$7)</f>
        <v/>
      </c>
      <c r="DG57">
        <f>IF(ISNA(DD57),NA(),Capability!$J$7)</f>
        <v/>
      </c>
      <c r="DH57">
        <f>IF(ISNA(DD57),NA(),Capability!$L$7)</f>
        <v/>
      </c>
      <c r="DI57">
        <f>IF(OR(ISNA(DE57),ISNA(DE56)),NA(),ABS(DE57-DE56))</f>
        <v/>
      </c>
      <c r="DJ57">
        <f>IF(ISNA(DD57),NA(),Capability!$N$7)</f>
        <v/>
      </c>
      <c r="DK57">
        <f>IF(ISNA(DD57),NA(),IF(OR(Capability!$Q$7="",Settings!$F$7&lt;&gt;"Y"),NA(),Capability!$Q$7))</f>
        <v/>
      </c>
      <c r="DL57">
        <f>IF(ISNA(DD57),NA(),IF(OR(Capability!$P$7="",Settings!$F$7&lt;&gt;"Y"),NA(),Capability!$P$7))</f>
        <v/>
      </c>
      <c r="DR57">
        <f>IF((DU$1+53)&gt;DS$1,NA(),(DU$1+53)-4)</f>
        <v/>
      </c>
      <c r="DS57">
        <f>IF((DU$1+53)&gt;DS$1,NA(),INDEX('Data Entry'!$K$5:$K$10004,(DU$1+53)-4))</f>
        <v/>
      </c>
      <c r="DT57">
        <f>IF(ISNA(DR57),NA(),Capability!$K$8)</f>
        <v/>
      </c>
      <c r="DU57">
        <f>IF(ISNA(DR57),NA(),Capability!$J$8)</f>
        <v/>
      </c>
      <c r="DV57">
        <f>IF(ISNA(DR57),NA(),Capability!$L$8)</f>
        <v/>
      </c>
      <c r="DW57">
        <f>IF(OR(ISNA(DS57),ISNA(DS56)),NA(),ABS(DS57-DS56))</f>
        <v/>
      </c>
      <c r="DX57">
        <f>IF(ISNA(DR57),NA(),Capability!$N$8)</f>
        <v/>
      </c>
      <c r="DY57">
        <f>IF(ISNA(DR57),NA(),IF(OR(Capability!$Q$8="",Settings!$F$7&lt;&gt;"Y"),NA(),Capability!$Q$8))</f>
        <v/>
      </c>
      <c r="DZ57">
        <f>IF(ISNA(DR57),NA(),IF(OR(Capability!$P$8="",Settings!$F$7&lt;&gt;"Y"),NA(),Capability!$P$8))</f>
        <v/>
      </c>
      <c r="EF57">
        <f>IF((EI$1+53)&gt;EG$1,NA(),(EI$1+53)-4)</f>
        <v/>
      </c>
      <c r="EG57">
        <f>IF((EI$1+53)&gt;EG$1,NA(),INDEX('Data Entry'!$L$5:$L$10004,(EI$1+53)-4))</f>
        <v/>
      </c>
      <c r="EH57">
        <f>IF(ISNA(EF57),NA(),Capability!$K$9)</f>
        <v/>
      </c>
      <c r="EI57">
        <f>IF(ISNA(EF57),NA(),Capability!$J$9)</f>
        <v/>
      </c>
      <c r="EJ57">
        <f>IF(ISNA(EF57),NA(),Capability!$L$9)</f>
        <v/>
      </c>
      <c r="EK57">
        <f>IF(OR(ISNA(EG57),ISNA(EG56)),NA(),ABS(EG57-EG56))</f>
        <v/>
      </c>
      <c r="EL57">
        <f>IF(ISNA(EF57),NA(),Capability!$N$9)</f>
        <v/>
      </c>
      <c r="EM57">
        <f>IF(ISNA(EF57),NA(),IF(OR(Capability!$Q$9="",Settings!$F$7&lt;&gt;"Y"),NA(),Capability!$Q$9))</f>
        <v/>
      </c>
      <c r="EN57">
        <f>IF(ISNA(EF57),NA(),IF(OR(Capability!$P$9="",Settings!$F$7&lt;&gt;"Y"),NA(),Capability!$P$9))</f>
        <v/>
      </c>
      <c r="ET57">
        <f>IF((EW$1+53)&gt;EU$1,NA(),(EW$1+53)-4)</f>
        <v/>
      </c>
      <c r="EU57">
        <f>IF((EW$1+53)&gt;EU$1,NA(),INDEX('Data Entry'!$M$5:$M$10004,(EW$1+53)-4))</f>
        <v/>
      </c>
      <c r="EV57">
        <f>IF(ISNA(ET57),NA(),Capability!$K$10)</f>
        <v/>
      </c>
      <c r="EW57">
        <f>IF(ISNA(ET57),NA(),Capability!$J$10)</f>
        <v/>
      </c>
      <c r="EX57">
        <f>IF(ISNA(ET57),NA(),Capability!$L$10)</f>
        <v/>
      </c>
      <c r="EY57">
        <f>IF(OR(ISNA(EU57),ISNA(EU56)),NA(),ABS(EU57-EU56))</f>
        <v/>
      </c>
      <c r="EZ57">
        <f>IF(ISNA(ET57),NA(),Capability!$N$10)</f>
        <v/>
      </c>
      <c r="FA57">
        <f>IF(ISNA(ET57),NA(),IF(OR(Capability!$Q$10="",Settings!$F$7&lt;&gt;"Y"),NA(),Capability!$Q$10))</f>
        <v/>
      </c>
      <c r="FB57">
        <f>IF(ISNA(ET57),NA(),IF(OR(Capability!$P$10="",Settings!$F$7&lt;&gt;"Y"),NA(),Capability!$P$10))</f>
        <v/>
      </c>
      <c r="FH57">
        <f>IF((FK$1+53)&gt;FI$1,NA(),(FK$1+53)-4)</f>
        <v/>
      </c>
      <c r="FI57">
        <f>IF((FK$1+53)&gt;FI$1,NA(),INDEX('Data Entry'!$N$5:$N$10004,(FK$1+53)-4))</f>
        <v/>
      </c>
      <c r="FJ57">
        <f>IF(ISNA(FH57),NA(),Capability!$K$11)</f>
        <v/>
      </c>
      <c r="FK57">
        <f>IF(ISNA(FH57),NA(),Capability!$J$11)</f>
        <v/>
      </c>
      <c r="FL57">
        <f>IF(ISNA(FH57),NA(),Capability!$L$11)</f>
        <v/>
      </c>
      <c r="FM57">
        <f>IF(OR(ISNA(FI57),ISNA(FI56)),NA(),ABS(FI57-FI56))</f>
        <v/>
      </c>
      <c r="FN57">
        <f>IF(ISNA(FH57),NA(),Capability!$N$11)</f>
        <v/>
      </c>
      <c r="FO57">
        <f>IF(ISNA(FH57),NA(),IF(OR(Capability!$Q$11="",Settings!$F$7&lt;&gt;"Y"),NA(),Capability!$Q$11))</f>
        <v/>
      </c>
      <c r="FP57">
        <f>IF(ISNA(FH57),NA(),IF(OR(Capability!$P$11="",Settings!$F$7&lt;&gt;"Y"),NA(),Capability!$P$11))</f>
        <v/>
      </c>
      <c r="FV57">
        <f>IF((FY$1+53)&gt;FW$1,NA(),(FY$1+53)-4)</f>
        <v/>
      </c>
      <c r="FW57">
        <f>IF((FY$1+53)&gt;FW$1,NA(),INDEX('Data Entry'!$O$5:$O$10004,(FY$1+53)-4))</f>
        <v/>
      </c>
      <c r="FX57">
        <f>IF(ISNA(FV57),NA(),Capability!$K$12)</f>
        <v/>
      </c>
      <c r="FY57">
        <f>IF(ISNA(FV57),NA(),Capability!$J$12)</f>
        <v/>
      </c>
      <c r="FZ57">
        <f>IF(ISNA(FV57),NA(),Capability!$L$12)</f>
        <v/>
      </c>
      <c r="GA57">
        <f>IF(OR(ISNA(FW57),ISNA(FW56)),NA(),ABS(FW57-FW56))</f>
        <v/>
      </c>
      <c r="GB57">
        <f>IF(ISNA(FV57),NA(),Capability!$N$12)</f>
        <v/>
      </c>
      <c r="GC57">
        <f>IF(ISNA(FV57),NA(),IF(OR(Capability!$Q$12="",Settings!$F$7&lt;&gt;"Y"),NA(),Capability!$Q$12))</f>
        <v/>
      </c>
      <c r="GD57">
        <f>IF(ISNA(FV57),NA(),IF(OR(Capability!$P$12="",Settings!$F$7&lt;&gt;"Y"),NA(),Capability!$P$12))</f>
        <v/>
      </c>
      <c r="GJ57">
        <f>IF((GM$1+53)&gt;GK$1,NA(),(GM$1+53)-4)</f>
        <v/>
      </c>
      <c r="GK57">
        <f>IF((GM$1+53)&gt;GK$1,NA(),INDEX('Data Entry'!$P$5:$P$10004,(GM$1+53)-4))</f>
        <v/>
      </c>
      <c r="GL57">
        <f>IF(ISNA(GJ57),NA(),Capability!$K$13)</f>
        <v/>
      </c>
      <c r="GM57">
        <f>IF(ISNA(GJ57),NA(),Capability!$J$13)</f>
        <v/>
      </c>
      <c r="GN57">
        <f>IF(ISNA(GJ57),NA(),Capability!$L$13)</f>
        <v/>
      </c>
      <c r="GO57">
        <f>IF(OR(ISNA(GK57),ISNA(GK56)),NA(),ABS(GK57-GK56))</f>
        <v/>
      </c>
      <c r="GP57">
        <f>IF(ISNA(GJ57),NA(),Capability!$N$13)</f>
        <v/>
      </c>
      <c r="GQ57">
        <f>IF(ISNA(GJ57),NA(),IF(OR(Capability!$Q$13="",Settings!$F$7&lt;&gt;"Y"),NA(),Capability!$Q$13))</f>
        <v/>
      </c>
      <c r="GR57">
        <f>IF(ISNA(GJ57),NA(),IF(OR(Capability!$P$13="",Settings!$F$7&lt;&gt;"Y"),NA(),Capability!$P$13))</f>
        <v/>
      </c>
      <c r="GX57">
        <f>IF((HA$1+53)&gt;GY$1,NA(),(HA$1+53)-4)</f>
        <v/>
      </c>
      <c r="GY57">
        <f>IF((HA$1+53)&gt;GY$1,NA(),INDEX('Data Entry'!$Q$5:$Q$10004,(HA$1+53)-4))</f>
        <v/>
      </c>
      <c r="GZ57">
        <f>IF(ISNA(GX57),NA(),Capability!$K$14)</f>
        <v/>
      </c>
      <c r="HA57">
        <f>IF(ISNA(GX57),NA(),Capability!$J$14)</f>
        <v/>
      </c>
      <c r="HB57">
        <f>IF(ISNA(GX57),NA(),Capability!$L$14)</f>
        <v/>
      </c>
      <c r="HC57">
        <f>IF(OR(ISNA(GY57),ISNA(GY56)),NA(),ABS(GY57-GY56))</f>
        <v/>
      </c>
      <c r="HD57">
        <f>IF(ISNA(GX57),NA(),Capability!$N$14)</f>
        <v/>
      </c>
      <c r="HE57">
        <f>IF(ISNA(GX57),NA(),IF(OR(Capability!$Q$14="",Settings!$F$7&lt;&gt;"Y"),NA(),Capability!$Q$14))</f>
        <v/>
      </c>
      <c r="HF57">
        <f>IF(ISNA(GX57),NA(),IF(OR(Capability!$P$14="",Settings!$F$7&lt;&gt;"Y"),NA(),Capability!$P$14))</f>
        <v/>
      </c>
    </row>
    <row r="58">
      <c r="A58" s="35" t="inlineStr">
        <is>
          <t>CL</t>
        </is>
      </c>
      <c r="B58" s="23">
        <f>Capability!K6</f>
        <v/>
      </c>
      <c r="CB58">
        <f>IF((CE$1+54)&gt;CC$1,NA(),(CE$1+54)-4)</f>
        <v/>
      </c>
      <c r="CC58">
        <f>IF((CE$1+54)&gt;CC$1,NA(),INDEX('Data Entry'!$H$5:$H$10004,(CE$1+54)-4))</f>
        <v/>
      </c>
      <c r="CD58">
        <f>IF(ISNA(CB58),NA(),Capability!$K$5)</f>
        <v/>
      </c>
      <c r="CE58">
        <f>IF(ISNA(CB58),NA(),Capability!$J$5)</f>
        <v/>
      </c>
      <c r="CF58">
        <f>IF(ISNA(CB58),NA(),Capability!$L$5)</f>
        <v/>
      </c>
      <c r="CG58">
        <f>IF(OR(ISNA(CC58),ISNA(CC57)),NA(),ABS(CC58-CC57))</f>
        <v/>
      </c>
      <c r="CH58">
        <f>IF(ISNA(CB58),NA(),Capability!$N$5)</f>
        <v/>
      </c>
      <c r="CI58">
        <f>IF(ISNA(CB58),NA(),IF(OR(Capability!$Q$5="",Settings!$F$7&lt;&gt;"Y"),NA(),Capability!$Q$5))</f>
        <v/>
      </c>
      <c r="CJ58">
        <f>IF(ISNA(CB58),NA(),IF(OR(Capability!$P$5="",Settings!$F$7&lt;&gt;"Y"),NA(),Capability!$P$5))</f>
        <v/>
      </c>
      <c r="CP58">
        <f>IF((CS$1+54)&gt;CQ$1,NA(),(CS$1+54)-4)</f>
        <v/>
      </c>
      <c r="CQ58">
        <f>IF((CS$1+54)&gt;CQ$1,NA(),INDEX('Data Entry'!$I$5:$I$10004,(CS$1+54)-4))</f>
        <v/>
      </c>
      <c r="CR58">
        <f>IF(ISNA(CP58),NA(),Capability!$K$6)</f>
        <v/>
      </c>
      <c r="CS58">
        <f>IF(ISNA(CP58),NA(),Capability!$J$6)</f>
        <v/>
      </c>
      <c r="CT58">
        <f>IF(ISNA(CP58),NA(),Capability!$L$6)</f>
        <v/>
      </c>
      <c r="CU58">
        <f>IF(OR(ISNA(CQ58),ISNA(CQ57)),NA(),ABS(CQ58-CQ57))</f>
        <v/>
      </c>
      <c r="CV58">
        <f>IF(ISNA(CP58),NA(),Capability!$N$6)</f>
        <v/>
      </c>
      <c r="CW58">
        <f>IF(ISNA(CP58),NA(),IF(OR(Capability!$Q$6="",Settings!$F$7&lt;&gt;"Y"),NA(),Capability!$Q$6))</f>
        <v/>
      </c>
      <c r="CX58">
        <f>IF(ISNA(CP58),NA(),IF(OR(Capability!$P$6="",Settings!$F$7&lt;&gt;"Y"),NA(),Capability!$P$6))</f>
        <v/>
      </c>
      <c r="DD58">
        <f>IF((DG$1+54)&gt;DE$1,NA(),(DG$1+54)-4)</f>
        <v/>
      </c>
      <c r="DE58">
        <f>IF((DG$1+54)&gt;DE$1,NA(),INDEX('Data Entry'!$J$5:$J$10004,(DG$1+54)-4))</f>
        <v/>
      </c>
      <c r="DF58">
        <f>IF(ISNA(DD58),NA(),Capability!$K$7)</f>
        <v/>
      </c>
      <c r="DG58">
        <f>IF(ISNA(DD58),NA(),Capability!$J$7)</f>
        <v/>
      </c>
      <c r="DH58">
        <f>IF(ISNA(DD58),NA(),Capability!$L$7)</f>
        <v/>
      </c>
      <c r="DI58">
        <f>IF(OR(ISNA(DE58),ISNA(DE57)),NA(),ABS(DE58-DE57))</f>
        <v/>
      </c>
      <c r="DJ58">
        <f>IF(ISNA(DD58),NA(),Capability!$N$7)</f>
        <v/>
      </c>
      <c r="DK58">
        <f>IF(ISNA(DD58),NA(),IF(OR(Capability!$Q$7="",Settings!$F$7&lt;&gt;"Y"),NA(),Capability!$Q$7))</f>
        <v/>
      </c>
      <c r="DL58">
        <f>IF(ISNA(DD58),NA(),IF(OR(Capability!$P$7="",Settings!$F$7&lt;&gt;"Y"),NA(),Capability!$P$7))</f>
        <v/>
      </c>
      <c r="DR58">
        <f>IF((DU$1+54)&gt;DS$1,NA(),(DU$1+54)-4)</f>
        <v/>
      </c>
      <c r="DS58">
        <f>IF((DU$1+54)&gt;DS$1,NA(),INDEX('Data Entry'!$K$5:$K$10004,(DU$1+54)-4))</f>
        <v/>
      </c>
      <c r="DT58">
        <f>IF(ISNA(DR58),NA(),Capability!$K$8)</f>
        <v/>
      </c>
      <c r="DU58">
        <f>IF(ISNA(DR58),NA(),Capability!$J$8)</f>
        <v/>
      </c>
      <c r="DV58">
        <f>IF(ISNA(DR58),NA(),Capability!$L$8)</f>
        <v/>
      </c>
      <c r="DW58">
        <f>IF(OR(ISNA(DS58),ISNA(DS57)),NA(),ABS(DS58-DS57))</f>
        <v/>
      </c>
      <c r="DX58">
        <f>IF(ISNA(DR58),NA(),Capability!$N$8)</f>
        <v/>
      </c>
      <c r="DY58">
        <f>IF(ISNA(DR58),NA(),IF(OR(Capability!$Q$8="",Settings!$F$7&lt;&gt;"Y"),NA(),Capability!$Q$8))</f>
        <v/>
      </c>
      <c r="DZ58">
        <f>IF(ISNA(DR58),NA(),IF(OR(Capability!$P$8="",Settings!$F$7&lt;&gt;"Y"),NA(),Capability!$P$8))</f>
        <v/>
      </c>
      <c r="EF58">
        <f>IF((EI$1+54)&gt;EG$1,NA(),(EI$1+54)-4)</f>
        <v/>
      </c>
      <c r="EG58">
        <f>IF((EI$1+54)&gt;EG$1,NA(),INDEX('Data Entry'!$L$5:$L$10004,(EI$1+54)-4))</f>
        <v/>
      </c>
      <c r="EH58">
        <f>IF(ISNA(EF58),NA(),Capability!$K$9)</f>
        <v/>
      </c>
      <c r="EI58">
        <f>IF(ISNA(EF58),NA(),Capability!$J$9)</f>
        <v/>
      </c>
      <c r="EJ58">
        <f>IF(ISNA(EF58),NA(),Capability!$L$9)</f>
        <v/>
      </c>
      <c r="EK58">
        <f>IF(OR(ISNA(EG58),ISNA(EG57)),NA(),ABS(EG58-EG57))</f>
        <v/>
      </c>
      <c r="EL58">
        <f>IF(ISNA(EF58),NA(),Capability!$N$9)</f>
        <v/>
      </c>
      <c r="EM58">
        <f>IF(ISNA(EF58),NA(),IF(OR(Capability!$Q$9="",Settings!$F$7&lt;&gt;"Y"),NA(),Capability!$Q$9))</f>
        <v/>
      </c>
      <c r="EN58">
        <f>IF(ISNA(EF58),NA(),IF(OR(Capability!$P$9="",Settings!$F$7&lt;&gt;"Y"),NA(),Capability!$P$9))</f>
        <v/>
      </c>
      <c r="ET58">
        <f>IF((EW$1+54)&gt;EU$1,NA(),(EW$1+54)-4)</f>
        <v/>
      </c>
      <c r="EU58">
        <f>IF((EW$1+54)&gt;EU$1,NA(),INDEX('Data Entry'!$M$5:$M$10004,(EW$1+54)-4))</f>
        <v/>
      </c>
      <c r="EV58">
        <f>IF(ISNA(ET58),NA(),Capability!$K$10)</f>
        <v/>
      </c>
      <c r="EW58">
        <f>IF(ISNA(ET58),NA(),Capability!$J$10)</f>
        <v/>
      </c>
      <c r="EX58">
        <f>IF(ISNA(ET58),NA(),Capability!$L$10)</f>
        <v/>
      </c>
      <c r="EY58">
        <f>IF(OR(ISNA(EU58),ISNA(EU57)),NA(),ABS(EU58-EU57))</f>
        <v/>
      </c>
      <c r="EZ58">
        <f>IF(ISNA(ET58),NA(),Capability!$N$10)</f>
        <v/>
      </c>
      <c r="FA58">
        <f>IF(ISNA(ET58),NA(),IF(OR(Capability!$Q$10="",Settings!$F$7&lt;&gt;"Y"),NA(),Capability!$Q$10))</f>
        <v/>
      </c>
      <c r="FB58">
        <f>IF(ISNA(ET58),NA(),IF(OR(Capability!$P$10="",Settings!$F$7&lt;&gt;"Y"),NA(),Capability!$P$10))</f>
        <v/>
      </c>
      <c r="FH58">
        <f>IF((FK$1+54)&gt;FI$1,NA(),(FK$1+54)-4)</f>
        <v/>
      </c>
      <c r="FI58">
        <f>IF((FK$1+54)&gt;FI$1,NA(),INDEX('Data Entry'!$N$5:$N$10004,(FK$1+54)-4))</f>
        <v/>
      </c>
      <c r="FJ58">
        <f>IF(ISNA(FH58),NA(),Capability!$K$11)</f>
        <v/>
      </c>
      <c r="FK58">
        <f>IF(ISNA(FH58),NA(),Capability!$J$11)</f>
        <v/>
      </c>
      <c r="FL58">
        <f>IF(ISNA(FH58),NA(),Capability!$L$11)</f>
        <v/>
      </c>
      <c r="FM58">
        <f>IF(OR(ISNA(FI58),ISNA(FI57)),NA(),ABS(FI58-FI57))</f>
        <v/>
      </c>
      <c r="FN58">
        <f>IF(ISNA(FH58),NA(),Capability!$N$11)</f>
        <v/>
      </c>
      <c r="FO58">
        <f>IF(ISNA(FH58),NA(),IF(OR(Capability!$Q$11="",Settings!$F$7&lt;&gt;"Y"),NA(),Capability!$Q$11))</f>
        <v/>
      </c>
      <c r="FP58">
        <f>IF(ISNA(FH58),NA(),IF(OR(Capability!$P$11="",Settings!$F$7&lt;&gt;"Y"),NA(),Capability!$P$11))</f>
        <v/>
      </c>
      <c r="FV58">
        <f>IF((FY$1+54)&gt;FW$1,NA(),(FY$1+54)-4)</f>
        <v/>
      </c>
      <c r="FW58">
        <f>IF((FY$1+54)&gt;FW$1,NA(),INDEX('Data Entry'!$O$5:$O$10004,(FY$1+54)-4))</f>
        <v/>
      </c>
      <c r="FX58">
        <f>IF(ISNA(FV58),NA(),Capability!$K$12)</f>
        <v/>
      </c>
      <c r="FY58">
        <f>IF(ISNA(FV58),NA(),Capability!$J$12)</f>
        <v/>
      </c>
      <c r="FZ58">
        <f>IF(ISNA(FV58),NA(),Capability!$L$12)</f>
        <v/>
      </c>
      <c r="GA58">
        <f>IF(OR(ISNA(FW58),ISNA(FW57)),NA(),ABS(FW58-FW57))</f>
        <v/>
      </c>
      <c r="GB58">
        <f>IF(ISNA(FV58),NA(),Capability!$N$12)</f>
        <v/>
      </c>
      <c r="GC58">
        <f>IF(ISNA(FV58),NA(),IF(OR(Capability!$Q$12="",Settings!$F$7&lt;&gt;"Y"),NA(),Capability!$Q$12))</f>
        <v/>
      </c>
      <c r="GD58">
        <f>IF(ISNA(FV58),NA(),IF(OR(Capability!$P$12="",Settings!$F$7&lt;&gt;"Y"),NA(),Capability!$P$12))</f>
        <v/>
      </c>
      <c r="GJ58">
        <f>IF((GM$1+54)&gt;GK$1,NA(),(GM$1+54)-4)</f>
        <v/>
      </c>
      <c r="GK58">
        <f>IF((GM$1+54)&gt;GK$1,NA(),INDEX('Data Entry'!$P$5:$P$10004,(GM$1+54)-4))</f>
        <v/>
      </c>
      <c r="GL58">
        <f>IF(ISNA(GJ58),NA(),Capability!$K$13)</f>
        <v/>
      </c>
      <c r="GM58">
        <f>IF(ISNA(GJ58),NA(),Capability!$J$13)</f>
        <v/>
      </c>
      <c r="GN58">
        <f>IF(ISNA(GJ58),NA(),Capability!$L$13)</f>
        <v/>
      </c>
      <c r="GO58">
        <f>IF(OR(ISNA(GK58),ISNA(GK57)),NA(),ABS(GK58-GK57))</f>
        <v/>
      </c>
      <c r="GP58">
        <f>IF(ISNA(GJ58),NA(),Capability!$N$13)</f>
        <v/>
      </c>
      <c r="GQ58">
        <f>IF(ISNA(GJ58),NA(),IF(OR(Capability!$Q$13="",Settings!$F$7&lt;&gt;"Y"),NA(),Capability!$Q$13))</f>
        <v/>
      </c>
      <c r="GR58">
        <f>IF(ISNA(GJ58),NA(),IF(OR(Capability!$P$13="",Settings!$F$7&lt;&gt;"Y"),NA(),Capability!$P$13))</f>
        <v/>
      </c>
      <c r="GX58">
        <f>IF((HA$1+54)&gt;GY$1,NA(),(HA$1+54)-4)</f>
        <v/>
      </c>
      <c r="GY58">
        <f>IF((HA$1+54)&gt;GY$1,NA(),INDEX('Data Entry'!$Q$5:$Q$10004,(HA$1+54)-4))</f>
        <v/>
      </c>
      <c r="GZ58">
        <f>IF(ISNA(GX58),NA(),Capability!$K$14)</f>
        <v/>
      </c>
      <c r="HA58">
        <f>IF(ISNA(GX58),NA(),Capability!$J$14)</f>
        <v/>
      </c>
      <c r="HB58">
        <f>IF(ISNA(GX58),NA(),Capability!$L$14)</f>
        <v/>
      </c>
      <c r="HC58">
        <f>IF(OR(ISNA(GY58),ISNA(GY57)),NA(),ABS(GY58-GY57))</f>
        <v/>
      </c>
      <c r="HD58">
        <f>IF(ISNA(GX58),NA(),Capability!$N$14)</f>
        <v/>
      </c>
      <c r="HE58">
        <f>IF(ISNA(GX58),NA(),IF(OR(Capability!$Q$14="",Settings!$F$7&lt;&gt;"Y"),NA(),Capability!$Q$14))</f>
        <v/>
      </c>
      <c r="HF58">
        <f>IF(ISNA(GX58),NA(),IF(OR(Capability!$P$14="",Settings!$F$7&lt;&gt;"Y"),NA(),Capability!$P$14))</f>
        <v/>
      </c>
    </row>
    <row r="59">
      <c r="A59" s="35" t="inlineStr">
        <is>
          <t>LCL</t>
        </is>
      </c>
      <c r="B59" s="23">
        <f>Capability!L6</f>
        <v/>
      </c>
      <c r="CB59">
        <f>IF((CE$1+55)&gt;CC$1,NA(),(CE$1+55)-4)</f>
        <v/>
      </c>
      <c r="CC59">
        <f>IF((CE$1+55)&gt;CC$1,NA(),INDEX('Data Entry'!$H$5:$H$10004,(CE$1+55)-4))</f>
        <v/>
      </c>
      <c r="CD59">
        <f>IF(ISNA(CB59),NA(),Capability!$K$5)</f>
        <v/>
      </c>
      <c r="CE59">
        <f>IF(ISNA(CB59),NA(),Capability!$J$5)</f>
        <v/>
      </c>
      <c r="CF59">
        <f>IF(ISNA(CB59),NA(),Capability!$L$5)</f>
        <v/>
      </c>
      <c r="CG59">
        <f>IF(OR(ISNA(CC59),ISNA(CC58)),NA(),ABS(CC59-CC58))</f>
        <v/>
      </c>
      <c r="CH59">
        <f>IF(ISNA(CB59),NA(),Capability!$N$5)</f>
        <v/>
      </c>
      <c r="CI59">
        <f>IF(ISNA(CB59),NA(),IF(OR(Capability!$Q$5="",Settings!$F$7&lt;&gt;"Y"),NA(),Capability!$Q$5))</f>
        <v/>
      </c>
      <c r="CJ59">
        <f>IF(ISNA(CB59),NA(),IF(OR(Capability!$P$5="",Settings!$F$7&lt;&gt;"Y"),NA(),Capability!$P$5))</f>
        <v/>
      </c>
      <c r="CP59">
        <f>IF((CS$1+55)&gt;CQ$1,NA(),(CS$1+55)-4)</f>
        <v/>
      </c>
      <c r="CQ59">
        <f>IF((CS$1+55)&gt;CQ$1,NA(),INDEX('Data Entry'!$I$5:$I$10004,(CS$1+55)-4))</f>
        <v/>
      </c>
      <c r="CR59">
        <f>IF(ISNA(CP59),NA(),Capability!$K$6)</f>
        <v/>
      </c>
      <c r="CS59">
        <f>IF(ISNA(CP59),NA(),Capability!$J$6)</f>
        <v/>
      </c>
      <c r="CT59">
        <f>IF(ISNA(CP59),NA(),Capability!$L$6)</f>
        <v/>
      </c>
      <c r="CU59">
        <f>IF(OR(ISNA(CQ59),ISNA(CQ58)),NA(),ABS(CQ59-CQ58))</f>
        <v/>
      </c>
      <c r="CV59">
        <f>IF(ISNA(CP59),NA(),Capability!$N$6)</f>
        <v/>
      </c>
      <c r="CW59">
        <f>IF(ISNA(CP59),NA(),IF(OR(Capability!$Q$6="",Settings!$F$7&lt;&gt;"Y"),NA(),Capability!$Q$6))</f>
        <v/>
      </c>
      <c r="CX59">
        <f>IF(ISNA(CP59),NA(),IF(OR(Capability!$P$6="",Settings!$F$7&lt;&gt;"Y"),NA(),Capability!$P$6))</f>
        <v/>
      </c>
      <c r="DD59">
        <f>IF((DG$1+55)&gt;DE$1,NA(),(DG$1+55)-4)</f>
        <v/>
      </c>
      <c r="DE59">
        <f>IF((DG$1+55)&gt;DE$1,NA(),INDEX('Data Entry'!$J$5:$J$10004,(DG$1+55)-4))</f>
        <v/>
      </c>
      <c r="DF59">
        <f>IF(ISNA(DD59),NA(),Capability!$K$7)</f>
        <v/>
      </c>
      <c r="DG59">
        <f>IF(ISNA(DD59),NA(),Capability!$J$7)</f>
        <v/>
      </c>
      <c r="DH59">
        <f>IF(ISNA(DD59),NA(),Capability!$L$7)</f>
        <v/>
      </c>
      <c r="DI59">
        <f>IF(OR(ISNA(DE59),ISNA(DE58)),NA(),ABS(DE59-DE58))</f>
        <v/>
      </c>
      <c r="DJ59">
        <f>IF(ISNA(DD59),NA(),Capability!$N$7)</f>
        <v/>
      </c>
      <c r="DK59">
        <f>IF(ISNA(DD59),NA(),IF(OR(Capability!$Q$7="",Settings!$F$7&lt;&gt;"Y"),NA(),Capability!$Q$7))</f>
        <v/>
      </c>
      <c r="DL59">
        <f>IF(ISNA(DD59),NA(),IF(OR(Capability!$P$7="",Settings!$F$7&lt;&gt;"Y"),NA(),Capability!$P$7))</f>
        <v/>
      </c>
      <c r="DR59">
        <f>IF((DU$1+55)&gt;DS$1,NA(),(DU$1+55)-4)</f>
        <v/>
      </c>
      <c r="DS59">
        <f>IF((DU$1+55)&gt;DS$1,NA(),INDEX('Data Entry'!$K$5:$K$10004,(DU$1+55)-4))</f>
        <v/>
      </c>
      <c r="DT59">
        <f>IF(ISNA(DR59),NA(),Capability!$K$8)</f>
        <v/>
      </c>
      <c r="DU59">
        <f>IF(ISNA(DR59),NA(),Capability!$J$8)</f>
        <v/>
      </c>
      <c r="DV59">
        <f>IF(ISNA(DR59),NA(),Capability!$L$8)</f>
        <v/>
      </c>
      <c r="DW59">
        <f>IF(OR(ISNA(DS59),ISNA(DS58)),NA(),ABS(DS59-DS58))</f>
        <v/>
      </c>
      <c r="DX59">
        <f>IF(ISNA(DR59),NA(),Capability!$N$8)</f>
        <v/>
      </c>
      <c r="DY59">
        <f>IF(ISNA(DR59),NA(),IF(OR(Capability!$Q$8="",Settings!$F$7&lt;&gt;"Y"),NA(),Capability!$Q$8))</f>
        <v/>
      </c>
      <c r="DZ59">
        <f>IF(ISNA(DR59),NA(),IF(OR(Capability!$P$8="",Settings!$F$7&lt;&gt;"Y"),NA(),Capability!$P$8))</f>
        <v/>
      </c>
      <c r="EF59">
        <f>IF((EI$1+55)&gt;EG$1,NA(),(EI$1+55)-4)</f>
        <v/>
      </c>
      <c r="EG59">
        <f>IF((EI$1+55)&gt;EG$1,NA(),INDEX('Data Entry'!$L$5:$L$10004,(EI$1+55)-4))</f>
        <v/>
      </c>
      <c r="EH59">
        <f>IF(ISNA(EF59),NA(),Capability!$K$9)</f>
        <v/>
      </c>
      <c r="EI59">
        <f>IF(ISNA(EF59),NA(),Capability!$J$9)</f>
        <v/>
      </c>
      <c r="EJ59">
        <f>IF(ISNA(EF59),NA(),Capability!$L$9)</f>
        <v/>
      </c>
      <c r="EK59">
        <f>IF(OR(ISNA(EG59),ISNA(EG58)),NA(),ABS(EG59-EG58))</f>
        <v/>
      </c>
      <c r="EL59">
        <f>IF(ISNA(EF59),NA(),Capability!$N$9)</f>
        <v/>
      </c>
      <c r="EM59">
        <f>IF(ISNA(EF59),NA(),IF(OR(Capability!$Q$9="",Settings!$F$7&lt;&gt;"Y"),NA(),Capability!$Q$9))</f>
        <v/>
      </c>
      <c r="EN59">
        <f>IF(ISNA(EF59),NA(),IF(OR(Capability!$P$9="",Settings!$F$7&lt;&gt;"Y"),NA(),Capability!$P$9))</f>
        <v/>
      </c>
      <c r="ET59">
        <f>IF((EW$1+55)&gt;EU$1,NA(),(EW$1+55)-4)</f>
        <v/>
      </c>
      <c r="EU59">
        <f>IF((EW$1+55)&gt;EU$1,NA(),INDEX('Data Entry'!$M$5:$M$10004,(EW$1+55)-4))</f>
        <v/>
      </c>
      <c r="EV59">
        <f>IF(ISNA(ET59),NA(),Capability!$K$10)</f>
        <v/>
      </c>
      <c r="EW59">
        <f>IF(ISNA(ET59),NA(),Capability!$J$10)</f>
        <v/>
      </c>
      <c r="EX59">
        <f>IF(ISNA(ET59),NA(),Capability!$L$10)</f>
        <v/>
      </c>
      <c r="EY59">
        <f>IF(OR(ISNA(EU59),ISNA(EU58)),NA(),ABS(EU59-EU58))</f>
        <v/>
      </c>
      <c r="EZ59">
        <f>IF(ISNA(ET59),NA(),Capability!$N$10)</f>
        <v/>
      </c>
      <c r="FA59">
        <f>IF(ISNA(ET59),NA(),IF(OR(Capability!$Q$10="",Settings!$F$7&lt;&gt;"Y"),NA(),Capability!$Q$10))</f>
        <v/>
      </c>
      <c r="FB59">
        <f>IF(ISNA(ET59),NA(),IF(OR(Capability!$P$10="",Settings!$F$7&lt;&gt;"Y"),NA(),Capability!$P$10))</f>
        <v/>
      </c>
      <c r="FH59">
        <f>IF((FK$1+55)&gt;FI$1,NA(),(FK$1+55)-4)</f>
        <v/>
      </c>
      <c r="FI59">
        <f>IF((FK$1+55)&gt;FI$1,NA(),INDEX('Data Entry'!$N$5:$N$10004,(FK$1+55)-4))</f>
        <v/>
      </c>
      <c r="FJ59">
        <f>IF(ISNA(FH59),NA(),Capability!$K$11)</f>
        <v/>
      </c>
      <c r="FK59">
        <f>IF(ISNA(FH59),NA(),Capability!$J$11)</f>
        <v/>
      </c>
      <c r="FL59">
        <f>IF(ISNA(FH59),NA(),Capability!$L$11)</f>
        <v/>
      </c>
      <c r="FM59">
        <f>IF(OR(ISNA(FI59),ISNA(FI58)),NA(),ABS(FI59-FI58))</f>
        <v/>
      </c>
      <c r="FN59">
        <f>IF(ISNA(FH59),NA(),Capability!$N$11)</f>
        <v/>
      </c>
      <c r="FO59">
        <f>IF(ISNA(FH59),NA(),IF(OR(Capability!$Q$11="",Settings!$F$7&lt;&gt;"Y"),NA(),Capability!$Q$11))</f>
        <v/>
      </c>
      <c r="FP59">
        <f>IF(ISNA(FH59),NA(),IF(OR(Capability!$P$11="",Settings!$F$7&lt;&gt;"Y"),NA(),Capability!$P$11))</f>
        <v/>
      </c>
      <c r="FV59">
        <f>IF((FY$1+55)&gt;FW$1,NA(),(FY$1+55)-4)</f>
        <v/>
      </c>
      <c r="FW59">
        <f>IF((FY$1+55)&gt;FW$1,NA(),INDEX('Data Entry'!$O$5:$O$10004,(FY$1+55)-4))</f>
        <v/>
      </c>
      <c r="FX59">
        <f>IF(ISNA(FV59),NA(),Capability!$K$12)</f>
        <v/>
      </c>
      <c r="FY59">
        <f>IF(ISNA(FV59),NA(),Capability!$J$12)</f>
        <v/>
      </c>
      <c r="FZ59">
        <f>IF(ISNA(FV59),NA(),Capability!$L$12)</f>
        <v/>
      </c>
      <c r="GA59">
        <f>IF(OR(ISNA(FW59),ISNA(FW58)),NA(),ABS(FW59-FW58))</f>
        <v/>
      </c>
      <c r="GB59">
        <f>IF(ISNA(FV59),NA(),Capability!$N$12)</f>
        <v/>
      </c>
      <c r="GC59">
        <f>IF(ISNA(FV59),NA(),IF(OR(Capability!$Q$12="",Settings!$F$7&lt;&gt;"Y"),NA(),Capability!$Q$12))</f>
        <v/>
      </c>
      <c r="GD59">
        <f>IF(ISNA(FV59),NA(),IF(OR(Capability!$P$12="",Settings!$F$7&lt;&gt;"Y"),NA(),Capability!$P$12))</f>
        <v/>
      </c>
      <c r="GJ59">
        <f>IF((GM$1+55)&gt;GK$1,NA(),(GM$1+55)-4)</f>
        <v/>
      </c>
      <c r="GK59">
        <f>IF((GM$1+55)&gt;GK$1,NA(),INDEX('Data Entry'!$P$5:$P$10004,(GM$1+55)-4))</f>
        <v/>
      </c>
      <c r="GL59">
        <f>IF(ISNA(GJ59),NA(),Capability!$K$13)</f>
        <v/>
      </c>
      <c r="GM59">
        <f>IF(ISNA(GJ59),NA(),Capability!$J$13)</f>
        <v/>
      </c>
      <c r="GN59">
        <f>IF(ISNA(GJ59),NA(),Capability!$L$13)</f>
        <v/>
      </c>
      <c r="GO59">
        <f>IF(OR(ISNA(GK59),ISNA(GK58)),NA(),ABS(GK59-GK58))</f>
        <v/>
      </c>
      <c r="GP59">
        <f>IF(ISNA(GJ59),NA(),Capability!$N$13)</f>
        <v/>
      </c>
      <c r="GQ59">
        <f>IF(ISNA(GJ59),NA(),IF(OR(Capability!$Q$13="",Settings!$F$7&lt;&gt;"Y"),NA(),Capability!$Q$13))</f>
        <v/>
      </c>
      <c r="GR59">
        <f>IF(ISNA(GJ59),NA(),IF(OR(Capability!$P$13="",Settings!$F$7&lt;&gt;"Y"),NA(),Capability!$P$13))</f>
        <v/>
      </c>
      <c r="GX59">
        <f>IF((HA$1+55)&gt;GY$1,NA(),(HA$1+55)-4)</f>
        <v/>
      </c>
      <c r="GY59">
        <f>IF((HA$1+55)&gt;GY$1,NA(),INDEX('Data Entry'!$Q$5:$Q$10004,(HA$1+55)-4))</f>
        <v/>
      </c>
      <c r="GZ59">
        <f>IF(ISNA(GX59),NA(),Capability!$K$14)</f>
        <v/>
      </c>
      <c r="HA59">
        <f>IF(ISNA(GX59),NA(),Capability!$J$14)</f>
        <v/>
      </c>
      <c r="HB59">
        <f>IF(ISNA(GX59),NA(),Capability!$L$14)</f>
        <v/>
      </c>
      <c r="HC59">
        <f>IF(OR(ISNA(GY59),ISNA(GY58)),NA(),ABS(GY59-GY58))</f>
        <v/>
      </c>
      <c r="HD59">
        <f>IF(ISNA(GX59),NA(),Capability!$N$14)</f>
        <v/>
      </c>
      <c r="HE59">
        <f>IF(ISNA(GX59),NA(),IF(OR(Capability!$Q$14="",Settings!$F$7&lt;&gt;"Y"),NA(),Capability!$Q$14))</f>
        <v/>
      </c>
      <c r="HF59">
        <f>IF(ISNA(GX59),NA(),IF(OR(Capability!$P$14="",Settings!$F$7&lt;&gt;"Y"),NA(),Capability!$P$14))</f>
        <v/>
      </c>
    </row>
    <row r="60">
      <c r="A60" s="35" t="inlineStr">
        <is>
          <t>mR-bar</t>
        </is>
      </c>
      <c r="B60" s="23">
        <f>Capability!M6</f>
        <v/>
      </c>
      <c r="CB60">
        <f>IF((CE$1+56)&gt;CC$1,NA(),(CE$1+56)-4)</f>
        <v/>
      </c>
      <c r="CC60">
        <f>IF((CE$1+56)&gt;CC$1,NA(),INDEX('Data Entry'!$H$5:$H$10004,(CE$1+56)-4))</f>
        <v/>
      </c>
      <c r="CD60">
        <f>IF(ISNA(CB60),NA(),Capability!$K$5)</f>
        <v/>
      </c>
      <c r="CE60">
        <f>IF(ISNA(CB60),NA(),Capability!$J$5)</f>
        <v/>
      </c>
      <c r="CF60">
        <f>IF(ISNA(CB60),NA(),Capability!$L$5)</f>
        <v/>
      </c>
      <c r="CG60">
        <f>IF(OR(ISNA(CC60),ISNA(CC59)),NA(),ABS(CC60-CC59))</f>
        <v/>
      </c>
      <c r="CH60">
        <f>IF(ISNA(CB60),NA(),Capability!$N$5)</f>
        <v/>
      </c>
      <c r="CI60">
        <f>IF(ISNA(CB60),NA(),IF(OR(Capability!$Q$5="",Settings!$F$7&lt;&gt;"Y"),NA(),Capability!$Q$5))</f>
        <v/>
      </c>
      <c r="CJ60">
        <f>IF(ISNA(CB60),NA(),IF(OR(Capability!$P$5="",Settings!$F$7&lt;&gt;"Y"),NA(),Capability!$P$5))</f>
        <v/>
      </c>
      <c r="CP60">
        <f>IF((CS$1+56)&gt;CQ$1,NA(),(CS$1+56)-4)</f>
        <v/>
      </c>
      <c r="CQ60">
        <f>IF((CS$1+56)&gt;CQ$1,NA(),INDEX('Data Entry'!$I$5:$I$10004,(CS$1+56)-4))</f>
        <v/>
      </c>
      <c r="CR60">
        <f>IF(ISNA(CP60),NA(),Capability!$K$6)</f>
        <v/>
      </c>
      <c r="CS60">
        <f>IF(ISNA(CP60),NA(),Capability!$J$6)</f>
        <v/>
      </c>
      <c r="CT60">
        <f>IF(ISNA(CP60),NA(),Capability!$L$6)</f>
        <v/>
      </c>
      <c r="CU60">
        <f>IF(OR(ISNA(CQ60),ISNA(CQ59)),NA(),ABS(CQ60-CQ59))</f>
        <v/>
      </c>
      <c r="CV60">
        <f>IF(ISNA(CP60),NA(),Capability!$N$6)</f>
        <v/>
      </c>
      <c r="CW60">
        <f>IF(ISNA(CP60),NA(),IF(OR(Capability!$Q$6="",Settings!$F$7&lt;&gt;"Y"),NA(),Capability!$Q$6))</f>
        <v/>
      </c>
      <c r="CX60">
        <f>IF(ISNA(CP60),NA(),IF(OR(Capability!$P$6="",Settings!$F$7&lt;&gt;"Y"),NA(),Capability!$P$6))</f>
        <v/>
      </c>
      <c r="DD60">
        <f>IF((DG$1+56)&gt;DE$1,NA(),(DG$1+56)-4)</f>
        <v/>
      </c>
      <c r="DE60">
        <f>IF((DG$1+56)&gt;DE$1,NA(),INDEX('Data Entry'!$J$5:$J$10004,(DG$1+56)-4))</f>
        <v/>
      </c>
      <c r="DF60">
        <f>IF(ISNA(DD60),NA(),Capability!$K$7)</f>
        <v/>
      </c>
      <c r="DG60">
        <f>IF(ISNA(DD60),NA(),Capability!$J$7)</f>
        <v/>
      </c>
      <c r="DH60">
        <f>IF(ISNA(DD60),NA(),Capability!$L$7)</f>
        <v/>
      </c>
      <c r="DI60">
        <f>IF(OR(ISNA(DE60),ISNA(DE59)),NA(),ABS(DE60-DE59))</f>
        <v/>
      </c>
      <c r="DJ60">
        <f>IF(ISNA(DD60),NA(),Capability!$N$7)</f>
        <v/>
      </c>
      <c r="DK60">
        <f>IF(ISNA(DD60),NA(),IF(OR(Capability!$Q$7="",Settings!$F$7&lt;&gt;"Y"),NA(),Capability!$Q$7))</f>
        <v/>
      </c>
      <c r="DL60">
        <f>IF(ISNA(DD60),NA(),IF(OR(Capability!$P$7="",Settings!$F$7&lt;&gt;"Y"),NA(),Capability!$P$7))</f>
        <v/>
      </c>
      <c r="DR60">
        <f>IF((DU$1+56)&gt;DS$1,NA(),(DU$1+56)-4)</f>
        <v/>
      </c>
      <c r="DS60">
        <f>IF((DU$1+56)&gt;DS$1,NA(),INDEX('Data Entry'!$K$5:$K$10004,(DU$1+56)-4))</f>
        <v/>
      </c>
      <c r="DT60">
        <f>IF(ISNA(DR60),NA(),Capability!$K$8)</f>
        <v/>
      </c>
      <c r="DU60">
        <f>IF(ISNA(DR60),NA(),Capability!$J$8)</f>
        <v/>
      </c>
      <c r="DV60">
        <f>IF(ISNA(DR60),NA(),Capability!$L$8)</f>
        <v/>
      </c>
      <c r="DW60">
        <f>IF(OR(ISNA(DS60),ISNA(DS59)),NA(),ABS(DS60-DS59))</f>
        <v/>
      </c>
      <c r="DX60">
        <f>IF(ISNA(DR60),NA(),Capability!$N$8)</f>
        <v/>
      </c>
      <c r="DY60">
        <f>IF(ISNA(DR60),NA(),IF(OR(Capability!$Q$8="",Settings!$F$7&lt;&gt;"Y"),NA(),Capability!$Q$8))</f>
        <v/>
      </c>
      <c r="DZ60">
        <f>IF(ISNA(DR60),NA(),IF(OR(Capability!$P$8="",Settings!$F$7&lt;&gt;"Y"),NA(),Capability!$P$8))</f>
        <v/>
      </c>
      <c r="EF60">
        <f>IF((EI$1+56)&gt;EG$1,NA(),(EI$1+56)-4)</f>
        <v/>
      </c>
      <c r="EG60">
        <f>IF((EI$1+56)&gt;EG$1,NA(),INDEX('Data Entry'!$L$5:$L$10004,(EI$1+56)-4))</f>
        <v/>
      </c>
      <c r="EH60">
        <f>IF(ISNA(EF60),NA(),Capability!$K$9)</f>
        <v/>
      </c>
      <c r="EI60">
        <f>IF(ISNA(EF60),NA(),Capability!$J$9)</f>
        <v/>
      </c>
      <c r="EJ60">
        <f>IF(ISNA(EF60),NA(),Capability!$L$9)</f>
        <v/>
      </c>
      <c r="EK60">
        <f>IF(OR(ISNA(EG60),ISNA(EG59)),NA(),ABS(EG60-EG59))</f>
        <v/>
      </c>
      <c r="EL60">
        <f>IF(ISNA(EF60),NA(),Capability!$N$9)</f>
        <v/>
      </c>
      <c r="EM60">
        <f>IF(ISNA(EF60),NA(),IF(OR(Capability!$Q$9="",Settings!$F$7&lt;&gt;"Y"),NA(),Capability!$Q$9))</f>
        <v/>
      </c>
      <c r="EN60">
        <f>IF(ISNA(EF60),NA(),IF(OR(Capability!$P$9="",Settings!$F$7&lt;&gt;"Y"),NA(),Capability!$P$9))</f>
        <v/>
      </c>
      <c r="ET60">
        <f>IF((EW$1+56)&gt;EU$1,NA(),(EW$1+56)-4)</f>
        <v/>
      </c>
      <c r="EU60">
        <f>IF((EW$1+56)&gt;EU$1,NA(),INDEX('Data Entry'!$M$5:$M$10004,(EW$1+56)-4))</f>
        <v/>
      </c>
      <c r="EV60">
        <f>IF(ISNA(ET60),NA(),Capability!$K$10)</f>
        <v/>
      </c>
      <c r="EW60">
        <f>IF(ISNA(ET60),NA(),Capability!$J$10)</f>
        <v/>
      </c>
      <c r="EX60">
        <f>IF(ISNA(ET60),NA(),Capability!$L$10)</f>
        <v/>
      </c>
      <c r="EY60">
        <f>IF(OR(ISNA(EU60),ISNA(EU59)),NA(),ABS(EU60-EU59))</f>
        <v/>
      </c>
      <c r="EZ60">
        <f>IF(ISNA(ET60),NA(),Capability!$N$10)</f>
        <v/>
      </c>
      <c r="FA60">
        <f>IF(ISNA(ET60),NA(),IF(OR(Capability!$Q$10="",Settings!$F$7&lt;&gt;"Y"),NA(),Capability!$Q$10))</f>
        <v/>
      </c>
      <c r="FB60">
        <f>IF(ISNA(ET60),NA(),IF(OR(Capability!$P$10="",Settings!$F$7&lt;&gt;"Y"),NA(),Capability!$P$10))</f>
        <v/>
      </c>
      <c r="FH60">
        <f>IF((FK$1+56)&gt;FI$1,NA(),(FK$1+56)-4)</f>
        <v/>
      </c>
      <c r="FI60">
        <f>IF((FK$1+56)&gt;FI$1,NA(),INDEX('Data Entry'!$N$5:$N$10004,(FK$1+56)-4))</f>
        <v/>
      </c>
      <c r="FJ60">
        <f>IF(ISNA(FH60),NA(),Capability!$K$11)</f>
        <v/>
      </c>
      <c r="FK60">
        <f>IF(ISNA(FH60),NA(),Capability!$J$11)</f>
        <v/>
      </c>
      <c r="FL60">
        <f>IF(ISNA(FH60),NA(),Capability!$L$11)</f>
        <v/>
      </c>
      <c r="FM60">
        <f>IF(OR(ISNA(FI60),ISNA(FI59)),NA(),ABS(FI60-FI59))</f>
        <v/>
      </c>
      <c r="FN60">
        <f>IF(ISNA(FH60),NA(),Capability!$N$11)</f>
        <v/>
      </c>
      <c r="FO60">
        <f>IF(ISNA(FH60),NA(),IF(OR(Capability!$Q$11="",Settings!$F$7&lt;&gt;"Y"),NA(),Capability!$Q$11))</f>
        <v/>
      </c>
      <c r="FP60">
        <f>IF(ISNA(FH60),NA(),IF(OR(Capability!$P$11="",Settings!$F$7&lt;&gt;"Y"),NA(),Capability!$P$11))</f>
        <v/>
      </c>
      <c r="FV60">
        <f>IF((FY$1+56)&gt;FW$1,NA(),(FY$1+56)-4)</f>
        <v/>
      </c>
      <c r="FW60">
        <f>IF((FY$1+56)&gt;FW$1,NA(),INDEX('Data Entry'!$O$5:$O$10004,(FY$1+56)-4))</f>
        <v/>
      </c>
      <c r="FX60">
        <f>IF(ISNA(FV60),NA(),Capability!$K$12)</f>
        <v/>
      </c>
      <c r="FY60">
        <f>IF(ISNA(FV60),NA(),Capability!$J$12)</f>
        <v/>
      </c>
      <c r="FZ60">
        <f>IF(ISNA(FV60),NA(),Capability!$L$12)</f>
        <v/>
      </c>
      <c r="GA60">
        <f>IF(OR(ISNA(FW60),ISNA(FW59)),NA(),ABS(FW60-FW59))</f>
        <v/>
      </c>
      <c r="GB60">
        <f>IF(ISNA(FV60),NA(),Capability!$N$12)</f>
        <v/>
      </c>
      <c r="GC60">
        <f>IF(ISNA(FV60),NA(),IF(OR(Capability!$Q$12="",Settings!$F$7&lt;&gt;"Y"),NA(),Capability!$Q$12))</f>
        <v/>
      </c>
      <c r="GD60">
        <f>IF(ISNA(FV60),NA(),IF(OR(Capability!$P$12="",Settings!$F$7&lt;&gt;"Y"),NA(),Capability!$P$12))</f>
        <v/>
      </c>
      <c r="GJ60">
        <f>IF((GM$1+56)&gt;GK$1,NA(),(GM$1+56)-4)</f>
        <v/>
      </c>
      <c r="GK60">
        <f>IF((GM$1+56)&gt;GK$1,NA(),INDEX('Data Entry'!$P$5:$P$10004,(GM$1+56)-4))</f>
        <v/>
      </c>
      <c r="GL60">
        <f>IF(ISNA(GJ60),NA(),Capability!$K$13)</f>
        <v/>
      </c>
      <c r="GM60">
        <f>IF(ISNA(GJ60),NA(),Capability!$J$13)</f>
        <v/>
      </c>
      <c r="GN60">
        <f>IF(ISNA(GJ60),NA(),Capability!$L$13)</f>
        <v/>
      </c>
      <c r="GO60">
        <f>IF(OR(ISNA(GK60),ISNA(GK59)),NA(),ABS(GK60-GK59))</f>
        <v/>
      </c>
      <c r="GP60">
        <f>IF(ISNA(GJ60),NA(),Capability!$N$13)</f>
        <v/>
      </c>
      <c r="GQ60">
        <f>IF(ISNA(GJ60),NA(),IF(OR(Capability!$Q$13="",Settings!$F$7&lt;&gt;"Y"),NA(),Capability!$Q$13))</f>
        <v/>
      </c>
      <c r="GR60">
        <f>IF(ISNA(GJ60),NA(),IF(OR(Capability!$P$13="",Settings!$F$7&lt;&gt;"Y"),NA(),Capability!$P$13))</f>
        <v/>
      </c>
      <c r="GX60">
        <f>IF((HA$1+56)&gt;GY$1,NA(),(HA$1+56)-4)</f>
        <v/>
      </c>
      <c r="GY60">
        <f>IF((HA$1+56)&gt;GY$1,NA(),INDEX('Data Entry'!$Q$5:$Q$10004,(HA$1+56)-4))</f>
        <v/>
      </c>
      <c r="GZ60">
        <f>IF(ISNA(GX60),NA(),Capability!$K$14)</f>
        <v/>
      </c>
      <c r="HA60">
        <f>IF(ISNA(GX60),NA(),Capability!$J$14)</f>
        <v/>
      </c>
      <c r="HB60">
        <f>IF(ISNA(GX60),NA(),Capability!$L$14)</f>
        <v/>
      </c>
      <c r="HC60">
        <f>IF(OR(ISNA(GY60),ISNA(GY59)),NA(),ABS(GY60-GY59))</f>
        <v/>
      </c>
      <c r="HD60">
        <f>IF(ISNA(GX60),NA(),Capability!$N$14)</f>
        <v/>
      </c>
      <c r="HE60">
        <f>IF(ISNA(GX60),NA(),IF(OR(Capability!$Q$14="",Settings!$F$7&lt;&gt;"Y"),NA(),Capability!$Q$14))</f>
        <v/>
      </c>
      <c r="HF60">
        <f>IF(ISNA(GX60),NA(),IF(OR(Capability!$P$14="",Settings!$F$7&lt;&gt;"Y"),NA(),Capability!$P$14))</f>
        <v/>
      </c>
    </row>
    <row r="61">
      <c r="A61" s="35" t="inlineStr">
        <is>
          <t>mR UCL</t>
        </is>
      </c>
      <c r="B61" s="23">
        <f>Capability!N6</f>
        <v/>
      </c>
      <c r="CB61">
        <f>IF((CE$1+57)&gt;CC$1,NA(),(CE$1+57)-4)</f>
        <v/>
      </c>
      <c r="CC61">
        <f>IF((CE$1+57)&gt;CC$1,NA(),INDEX('Data Entry'!$H$5:$H$10004,(CE$1+57)-4))</f>
        <v/>
      </c>
      <c r="CD61">
        <f>IF(ISNA(CB61),NA(),Capability!$K$5)</f>
        <v/>
      </c>
      <c r="CE61">
        <f>IF(ISNA(CB61),NA(),Capability!$J$5)</f>
        <v/>
      </c>
      <c r="CF61">
        <f>IF(ISNA(CB61),NA(),Capability!$L$5)</f>
        <v/>
      </c>
      <c r="CG61">
        <f>IF(OR(ISNA(CC61),ISNA(CC60)),NA(),ABS(CC61-CC60))</f>
        <v/>
      </c>
      <c r="CH61">
        <f>IF(ISNA(CB61),NA(),Capability!$N$5)</f>
        <v/>
      </c>
      <c r="CI61">
        <f>IF(ISNA(CB61),NA(),IF(OR(Capability!$Q$5="",Settings!$F$7&lt;&gt;"Y"),NA(),Capability!$Q$5))</f>
        <v/>
      </c>
      <c r="CJ61">
        <f>IF(ISNA(CB61),NA(),IF(OR(Capability!$P$5="",Settings!$F$7&lt;&gt;"Y"),NA(),Capability!$P$5))</f>
        <v/>
      </c>
      <c r="CP61">
        <f>IF((CS$1+57)&gt;CQ$1,NA(),(CS$1+57)-4)</f>
        <v/>
      </c>
      <c r="CQ61">
        <f>IF((CS$1+57)&gt;CQ$1,NA(),INDEX('Data Entry'!$I$5:$I$10004,(CS$1+57)-4))</f>
        <v/>
      </c>
      <c r="CR61">
        <f>IF(ISNA(CP61),NA(),Capability!$K$6)</f>
        <v/>
      </c>
      <c r="CS61">
        <f>IF(ISNA(CP61),NA(),Capability!$J$6)</f>
        <v/>
      </c>
      <c r="CT61">
        <f>IF(ISNA(CP61),NA(),Capability!$L$6)</f>
        <v/>
      </c>
      <c r="CU61">
        <f>IF(OR(ISNA(CQ61),ISNA(CQ60)),NA(),ABS(CQ61-CQ60))</f>
        <v/>
      </c>
      <c r="CV61">
        <f>IF(ISNA(CP61),NA(),Capability!$N$6)</f>
        <v/>
      </c>
      <c r="CW61">
        <f>IF(ISNA(CP61),NA(),IF(OR(Capability!$Q$6="",Settings!$F$7&lt;&gt;"Y"),NA(),Capability!$Q$6))</f>
        <v/>
      </c>
      <c r="CX61">
        <f>IF(ISNA(CP61),NA(),IF(OR(Capability!$P$6="",Settings!$F$7&lt;&gt;"Y"),NA(),Capability!$P$6))</f>
        <v/>
      </c>
      <c r="DD61">
        <f>IF((DG$1+57)&gt;DE$1,NA(),(DG$1+57)-4)</f>
        <v/>
      </c>
      <c r="DE61">
        <f>IF((DG$1+57)&gt;DE$1,NA(),INDEX('Data Entry'!$J$5:$J$10004,(DG$1+57)-4))</f>
        <v/>
      </c>
      <c r="DF61">
        <f>IF(ISNA(DD61),NA(),Capability!$K$7)</f>
        <v/>
      </c>
      <c r="DG61">
        <f>IF(ISNA(DD61),NA(),Capability!$J$7)</f>
        <v/>
      </c>
      <c r="DH61">
        <f>IF(ISNA(DD61),NA(),Capability!$L$7)</f>
        <v/>
      </c>
      <c r="DI61">
        <f>IF(OR(ISNA(DE61),ISNA(DE60)),NA(),ABS(DE61-DE60))</f>
        <v/>
      </c>
      <c r="DJ61">
        <f>IF(ISNA(DD61),NA(),Capability!$N$7)</f>
        <v/>
      </c>
      <c r="DK61">
        <f>IF(ISNA(DD61),NA(),IF(OR(Capability!$Q$7="",Settings!$F$7&lt;&gt;"Y"),NA(),Capability!$Q$7))</f>
        <v/>
      </c>
      <c r="DL61">
        <f>IF(ISNA(DD61),NA(),IF(OR(Capability!$P$7="",Settings!$F$7&lt;&gt;"Y"),NA(),Capability!$P$7))</f>
        <v/>
      </c>
      <c r="DR61">
        <f>IF((DU$1+57)&gt;DS$1,NA(),(DU$1+57)-4)</f>
        <v/>
      </c>
      <c r="DS61">
        <f>IF((DU$1+57)&gt;DS$1,NA(),INDEX('Data Entry'!$K$5:$K$10004,(DU$1+57)-4))</f>
        <v/>
      </c>
      <c r="DT61">
        <f>IF(ISNA(DR61),NA(),Capability!$K$8)</f>
        <v/>
      </c>
      <c r="DU61">
        <f>IF(ISNA(DR61),NA(),Capability!$J$8)</f>
        <v/>
      </c>
      <c r="DV61">
        <f>IF(ISNA(DR61),NA(),Capability!$L$8)</f>
        <v/>
      </c>
      <c r="DW61">
        <f>IF(OR(ISNA(DS61),ISNA(DS60)),NA(),ABS(DS61-DS60))</f>
        <v/>
      </c>
      <c r="DX61">
        <f>IF(ISNA(DR61),NA(),Capability!$N$8)</f>
        <v/>
      </c>
      <c r="DY61">
        <f>IF(ISNA(DR61),NA(),IF(OR(Capability!$Q$8="",Settings!$F$7&lt;&gt;"Y"),NA(),Capability!$Q$8))</f>
        <v/>
      </c>
      <c r="DZ61">
        <f>IF(ISNA(DR61),NA(),IF(OR(Capability!$P$8="",Settings!$F$7&lt;&gt;"Y"),NA(),Capability!$P$8))</f>
        <v/>
      </c>
      <c r="EF61">
        <f>IF((EI$1+57)&gt;EG$1,NA(),(EI$1+57)-4)</f>
        <v/>
      </c>
      <c r="EG61">
        <f>IF((EI$1+57)&gt;EG$1,NA(),INDEX('Data Entry'!$L$5:$L$10004,(EI$1+57)-4))</f>
        <v/>
      </c>
      <c r="EH61">
        <f>IF(ISNA(EF61),NA(),Capability!$K$9)</f>
        <v/>
      </c>
      <c r="EI61">
        <f>IF(ISNA(EF61),NA(),Capability!$J$9)</f>
        <v/>
      </c>
      <c r="EJ61">
        <f>IF(ISNA(EF61),NA(),Capability!$L$9)</f>
        <v/>
      </c>
      <c r="EK61">
        <f>IF(OR(ISNA(EG61),ISNA(EG60)),NA(),ABS(EG61-EG60))</f>
        <v/>
      </c>
      <c r="EL61">
        <f>IF(ISNA(EF61),NA(),Capability!$N$9)</f>
        <v/>
      </c>
      <c r="EM61">
        <f>IF(ISNA(EF61),NA(),IF(OR(Capability!$Q$9="",Settings!$F$7&lt;&gt;"Y"),NA(),Capability!$Q$9))</f>
        <v/>
      </c>
      <c r="EN61">
        <f>IF(ISNA(EF61),NA(),IF(OR(Capability!$P$9="",Settings!$F$7&lt;&gt;"Y"),NA(),Capability!$P$9))</f>
        <v/>
      </c>
      <c r="ET61">
        <f>IF((EW$1+57)&gt;EU$1,NA(),(EW$1+57)-4)</f>
        <v/>
      </c>
      <c r="EU61">
        <f>IF((EW$1+57)&gt;EU$1,NA(),INDEX('Data Entry'!$M$5:$M$10004,(EW$1+57)-4))</f>
        <v/>
      </c>
      <c r="EV61">
        <f>IF(ISNA(ET61),NA(),Capability!$K$10)</f>
        <v/>
      </c>
      <c r="EW61">
        <f>IF(ISNA(ET61),NA(),Capability!$J$10)</f>
        <v/>
      </c>
      <c r="EX61">
        <f>IF(ISNA(ET61),NA(),Capability!$L$10)</f>
        <v/>
      </c>
      <c r="EY61">
        <f>IF(OR(ISNA(EU61),ISNA(EU60)),NA(),ABS(EU61-EU60))</f>
        <v/>
      </c>
      <c r="EZ61">
        <f>IF(ISNA(ET61),NA(),Capability!$N$10)</f>
        <v/>
      </c>
      <c r="FA61">
        <f>IF(ISNA(ET61),NA(),IF(OR(Capability!$Q$10="",Settings!$F$7&lt;&gt;"Y"),NA(),Capability!$Q$10))</f>
        <v/>
      </c>
      <c r="FB61">
        <f>IF(ISNA(ET61),NA(),IF(OR(Capability!$P$10="",Settings!$F$7&lt;&gt;"Y"),NA(),Capability!$P$10))</f>
        <v/>
      </c>
      <c r="FH61">
        <f>IF((FK$1+57)&gt;FI$1,NA(),(FK$1+57)-4)</f>
        <v/>
      </c>
      <c r="FI61">
        <f>IF((FK$1+57)&gt;FI$1,NA(),INDEX('Data Entry'!$N$5:$N$10004,(FK$1+57)-4))</f>
        <v/>
      </c>
      <c r="FJ61">
        <f>IF(ISNA(FH61),NA(),Capability!$K$11)</f>
        <v/>
      </c>
      <c r="FK61">
        <f>IF(ISNA(FH61),NA(),Capability!$J$11)</f>
        <v/>
      </c>
      <c r="FL61">
        <f>IF(ISNA(FH61),NA(),Capability!$L$11)</f>
        <v/>
      </c>
      <c r="FM61">
        <f>IF(OR(ISNA(FI61),ISNA(FI60)),NA(),ABS(FI61-FI60))</f>
        <v/>
      </c>
      <c r="FN61">
        <f>IF(ISNA(FH61),NA(),Capability!$N$11)</f>
        <v/>
      </c>
      <c r="FO61">
        <f>IF(ISNA(FH61),NA(),IF(OR(Capability!$Q$11="",Settings!$F$7&lt;&gt;"Y"),NA(),Capability!$Q$11))</f>
        <v/>
      </c>
      <c r="FP61">
        <f>IF(ISNA(FH61),NA(),IF(OR(Capability!$P$11="",Settings!$F$7&lt;&gt;"Y"),NA(),Capability!$P$11))</f>
        <v/>
      </c>
      <c r="FV61">
        <f>IF((FY$1+57)&gt;FW$1,NA(),(FY$1+57)-4)</f>
        <v/>
      </c>
      <c r="FW61">
        <f>IF((FY$1+57)&gt;FW$1,NA(),INDEX('Data Entry'!$O$5:$O$10004,(FY$1+57)-4))</f>
        <v/>
      </c>
      <c r="FX61">
        <f>IF(ISNA(FV61),NA(),Capability!$K$12)</f>
        <v/>
      </c>
      <c r="FY61">
        <f>IF(ISNA(FV61),NA(),Capability!$J$12)</f>
        <v/>
      </c>
      <c r="FZ61">
        <f>IF(ISNA(FV61),NA(),Capability!$L$12)</f>
        <v/>
      </c>
      <c r="GA61">
        <f>IF(OR(ISNA(FW61),ISNA(FW60)),NA(),ABS(FW61-FW60))</f>
        <v/>
      </c>
      <c r="GB61">
        <f>IF(ISNA(FV61),NA(),Capability!$N$12)</f>
        <v/>
      </c>
      <c r="GC61">
        <f>IF(ISNA(FV61),NA(),IF(OR(Capability!$Q$12="",Settings!$F$7&lt;&gt;"Y"),NA(),Capability!$Q$12))</f>
        <v/>
      </c>
      <c r="GD61">
        <f>IF(ISNA(FV61),NA(),IF(OR(Capability!$P$12="",Settings!$F$7&lt;&gt;"Y"),NA(),Capability!$P$12))</f>
        <v/>
      </c>
      <c r="GJ61">
        <f>IF((GM$1+57)&gt;GK$1,NA(),(GM$1+57)-4)</f>
        <v/>
      </c>
      <c r="GK61">
        <f>IF((GM$1+57)&gt;GK$1,NA(),INDEX('Data Entry'!$P$5:$P$10004,(GM$1+57)-4))</f>
        <v/>
      </c>
      <c r="GL61">
        <f>IF(ISNA(GJ61),NA(),Capability!$K$13)</f>
        <v/>
      </c>
      <c r="GM61">
        <f>IF(ISNA(GJ61),NA(),Capability!$J$13)</f>
        <v/>
      </c>
      <c r="GN61">
        <f>IF(ISNA(GJ61),NA(),Capability!$L$13)</f>
        <v/>
      </c>
      <c r="GO61">
        <f>IF(OR(ISNA(GK61),ISNA(GK60)),NA(),ABS(GK61-GK60))</f>
        <v/>
      </c>
      <c r="GP61">
        <f>IF(ISNA(GJ61),NA(),Capability!$N$13)</f>
        <v/>
      </c>
      <c r="GQ61">
        <f>IF(ISNA(GJ61),NA(),IF(OR(Capability!$Q$13="",Settings!$F$7&lt;&gt;"Y"),NA(),Capability!$Q$13))</f>
        <v/>
      </c>
      <c r="GR61">
        <f>IF(ISNA(GJ61),NA(),IF(OR(Capability!$P$13="",Settings!$F$7&lt;&gt;"Y"),NA(),Capability!$P$13))</f>
        <v/>
      </c>
      <c r="GX61">
        <f>IF((HA$1+57)&gt;GY$1,NA(),(HA$1+57)-4)</f>
        <v/>
      </c>
      <c r="GY61">
        <f>IF((HA$1+57)&gt;GY$1,NA(),INDEX('Data Entry'!$Q$5:$Q$10004,(HA$1+57)-4))</f>
        <v/>
      </c>
      <c r="GZ61">
        <f>IF(ISNA(GX61),NA(),Capability!$K$14)</f>
        <v/>
      </c>
      <c r="HA61">
        <f>IF(ISNA(GX61),NA(),Capability!$J$14)</f>
        <v/>
      </c>
      <c r="HB61">
        <f>IF(ISNA(GX61),NA(),Capability!$L$14)</f>
        <v/>
      </c>
      <c r="HC61">
        <f>IF(OR(ISNA(GY61),ISNA(GY60)),NA(),ABS(GY61-GY60))</f>
        <v/>
      </c>
      <c r="HD61">
        <f>IF(ISNA(GX61),NA(),Capability!$N$14)</f>
        <v/>
      </c>
      <c r="HE61">
        <f>IF(ISNA(GX61),NA(),IF(OR(Capability!$Q$14="",Settings!$F$7&lt;&gt;"Y"),NA(),Capability!$Q$14))</f>
        <v/>
      </c>
      <c r="HF61">
        <f>IF(ISNA(GX61),NA(),IF(OR(Capability!$P$14="",Settings!$F$7&lt;&gt;"Y"),NA(),Capability!$P$14))</f>
        <v/>
      </c>
    </row>
    <row r="62">
      <c r="A62" s="37" t="inlineStr">
        <is>
          <t>SPECIFICATION</t>
        </is>
      </c>
      <c r="B62" s="28" t="n"/>
      <c r="CB62">
        <f>IF((CE$1+58)&gt;CC$1,NA(),(CE$1+58)-4)</f>
        <v/>
      </c>
      <c r="CC62">
        <f>IF((CE$1+58)&gt;CC$1,NA(),INDEX('Data Entry'!$H$5:$H$10004,(CE$1+58)-4))</f>
        <v/>
      </c>
      <c r="CD62">
        <f>IF(ISNA(CB62),NA(),Capability!$K$5)</f>
        <v/>
      </c>
      <c r="CE62">
        <f>IF(ISNA(CB62),NA(),Capability!$J$5)</f>
        <v/>
      </c>
      <c r="CF62">
        <f>IF(ISNA(CB62),NA(),Capability!$L$5)</f>
        <v/>
      </c>
      <c r="CG62">
        <f>IF(OR(ISNA(CC62),ISNA(CC61)),NA(),ABS(CC62-CC61))</f>
        <v/>
      </c>
      <c r="CH62">
        <f>IF(ISNA(CB62),NA(),Capability!$N$5)</f>
        <v/>
      </c>
      <c r="CI62">
        <f>IF(ISNA(CB62),NA(),IF(OR(Capability!$Q$5="",Settings!$F$7&lt;&gt;"Y"),NA(),Capability!$Q$5))</f>
        <v/>
      </c>
      <c r="CJ62">
        <f>IF(ISNA(CB62),NA(),IF(OR(Capability!$P$5="",Settings!$F$7&lt;&gt;"Y"),NA(),Capability!$P$5))</f>
        <v/>
      </c>
      <c r="CP62">
        <f>IF((CS$1+58)&gt;CQ$1,NA(),(CS$1+58)-4)</f>
        <v/>
      </c>
      <c r="CQ62">
        <f>IF((CS$1+58)&gt;CQ$1,NA(),INDEX('Data Entry'!$I$5:$I$10004,(CS$1+58)-4))</f>
        <v/>
      </c>
      <c r="CR62">
        <f>IF(ISNA(CP62),NA(),Capability!$K$6)</f>
        <v/>
      </c>
      <c r="CS62">
        <f>IF(ISNA(CP62),NA(),Capability!$J$6)</f>
        <v/>
      </c>
      <c r="CT62">
        <f>IF(ISNA(CP62),NA(),Capability!$L$6)</f>
        <v/>
      </c>
      <c r="CU62">
        <f>IF(OR(ISNA(CQ62),ISNA(CQ61)),NA(),ABS(CQ62-CQ61))</f>
        <v/>
      </c>
      <c r="CV62">
        <f>IF(ISNA(CP62),NA(),Capability!$N$6)</f>
        <v/>
      </c>
      <c r="CW62">
        <f>IF(ISNA(CP62),NA(),IF(OR(Capability!$Q$6="",Settings!$F$7&lt;&gt;"Y"),NA(),Capability!$Q$6))</f>
        <v/>
      </c>
      <c r="CX62">
        <f>IF(ISNA(CP62),NA(),IF(OR(Capability!$P$6="",Settings!$F$7&lt;&gt;"Y"),NA(),Capability!$P$6))</f>
        <v/>
      </c>
      <c r="DD62">
        <f>IF((DG$1+58)&gt;DE$1,NA(),(DG$1+58)-4)</f>
        <v/>
      </c>
      <c r="DE62">
        <f>IF((DG$1+58)&gt;DE$1,NA(),INDEX('Data Entry'!$J$5:$J$10004,(DG$1+58)-4))</f>
        <v/>
      </c>
      <c r="DF62">
        <f>IF(ISNA(DD62),NA(),Capability!$K$7)</f>
        <v/>
      </c>
      <c r="DG62">
        <f>IF(ISNA(DD62),NA(),Capability!$J$7)</f>
        <v/>
      </c>
      <c r="DH62">
        <f>IF(ISNA(DD62),NA(),Capability!$L$7)</f>
        <v/>
      </c>
      <c r="DI62">
        <f>IF(OR(ISNA(DE62),ISNA(DE61)),NA(),ABS(DE62-DE61))</f>
        <v/>
      </c>
      <c r="DJ62">
        <f>IF(ISNA(DD62),NA(),Capability!$N$7)</f>
        <v/>
      </c>
      <c r="DK62">
        <f>IF(ISNA(DD62),NA(),IF(OR(Capability!$Q$7="",Settings!$F$7&lt;&gt;"Y"),NA(),Capability!$Q$7))</f>
        <v/>
      </c>
      <c r="DL62">
        <f>IF(ISNA(DD62),NA(),IF(OR(Capability!$P$7="",Settings!$F$7&lt;&gt;"Y"),NA(),Capability!$P$7))</f>
        <v/>
      </c>
      <c r="DR62">
        <f>IF((DU$1+58)&gt;DS$1,NA(),(DU$1+58)-4)</f>
        <v/>
      </c>
      <c r="DS62">
        <f>IF((DU$1+58)&gt;DS$1,NA(),INDEX('Data Entry'!$K$5:$K$10004,(DU$1+58)-4))</f>
        <v/>
      </c>
      <c r="DT62">
        <f>IF(ISNA(DR62),NA(),Capability!$K$8)</f>
        <v/>
      </c>
      <c r="DU62">
        <f>IF(ISNA(DR62),NA(),Capability!$J$8)</f>
        <v/>
      </c>
      <c r="DV62">
        <f>IF(ISNA(DR62),NA(),Capability!$L$8)</f>
        <v/>
      </c>
      <c r="DW62">
        <f>IF(OR(ISNA(DS62),ISNA(DS61)),NA(),ABS(DS62-DS61))</f>
        <v/>
      </c>
      <c r="DX62">
        <f>IF(ISNA(DR62),NA(),Capability!$N$8)</f>
        <v/>
      </c>
      <c r="DY62">
        <f>IF(ISNA(DR62),NA(),IF(OR(Capability!$Q$8="",Settings!$F$7&lt;&gt;"Y"),NA(),Capability!$Q$8))</f>
        <v/>
      </c>
      <c r="DZ62">
        <f>IF(ISNA(DR62),NA(),IF(OR(Capability!$P$8="",Settings!$F$7&lt;&gt;"Y"),NA(),Capability!$P$8))</f>
        <v/>
      </c>
      <c r="EF62">
        <f>IF((EI$1+58)&gt;EG$1,NA(),(EI$1+58)-4)</f>
        <v/>
      </c>
      <c r="EG62">
        <f>IF((EI$1+58)&gt;EG$1,NA(),INDEX('Data Entry'!$L$5:$L$10004,(EI$1+58)-4))</f>
        <v/>
      </c>
      <c r="EH62">
        <f>IF(ISNA(EF62),NA(),Capability!$K$9)</f>
        <v/>
      </c>
      <c r="EI62">
        <f>IF(ISNA(EF62),NA(),Capability!$J$9)</f>
        <v/>
      </c>
      <c r="EJ62">
        <f>IF(ISNA(EF62),NA(),Capability!$L$9)</f>
        <v/>
      </c>
      <c r="EK62">
        <f>IF(OR(ISNA(EG62),ISNA(EG61)),NA(),ABS(EG62-EG61))</f>
        <v/>
      </c>
      <c r="EL62">
        <f>IF(ISNA(EF62),NA(),Capability!$N$9)</f>
        <v/>
      </c>
      <c r="EM62">
        <f>IF(ISNA(EF62),NA(),IF(OR(Capability!$Q$9="",Settings!$F$7&lt;&gt;"Y"),NA(),Capability!$Q$9))</f>
        <v/>
      </c>
      <c r="EN62">
        <f>IF(ISNA(EF62),NA(),IF(OR(Capability!$P$9="",Settings!$F$7&lt;&gt;"Y"),NA(),Capability!$P$9))</f>
        <v/>
      </c>
      <c r="ET62">
        <f>IF((EW$1+58)&gt;EU$1,NA(),(EW$1+58)-4)</f>
        <v/>
      </c>
      <c r="EU62">
        <f>IF((EW$1+58)&gt;EU$1,NA(),INDEX('Data Entry'!$M$5:$M$10004,(EW$1+58)-4))</f>
        <v/>
      </c>
      <c r="EV62">
        <f>IF(ISNA(ET62),NA(),Capability!$K$10)</f>
        <v/>
      </c>
      <c r="EW62">
        <f>IF(ISNA(ET62),NA(),Capability!$J$10)</f>
        <v/>
      </c>
      <c r="EX62">
        <f>IF(ISNA(ET62),NA(),Capability!$L$10)</f>
        <v/>
      </c>
      <c r="EY62">
        <f>IF(OR(ISNA(EU62),ISNA(EU61)),NA(),ABS(EU62-EU61))</f>
        <v/>
      </c>
      <c r="EZ62">
        <f>IF(ISNA(ET62),NA(),Capability!$N$10)</f>
        <v/>
      </c>
      <c r="FA62">
        <f>IF(ISNA(ET62),NA(),IF(OR(Capability!$Q$10="",Settings!$F$7&lt;&gt;"Y"),NA(),Capability!$Q$10))</f>
        <v/>
      </c>
      <c r="FB62">
        <f>IF(ISNA(ET62),NA(),IF(OR(Capability!$P$10="",Settings!$F$7&lt;&gt;"Y"),NA(),Capability!$P$10))</f>
        <v/>
      </c>
      <c r="FH62">
        <f>IF((FK$1+58)&gt;FI$1,NA(),(FK$1+58)-4)</f>
        <v/>
      </c>
      <c r="FI62">
        <f>IF((FK$1+58)&gt;FI$1,NA(),INDEX('Data Entry'!$N$5:$N$10004,(FK$1+58)-4))</f>
        <v/>
      </c>
      <c r="FJ62">
        <f>IF(ISNA(FH62),NA(),Capability!$K$11)</f>
        <v/>
      </c>
      <c r="FK62">
        <f>IF(ISNA(FH62),NA(),Capability!$J$11)</f>
        <v/>
      </c>
      <c r="FL62">
        <f>IF(ISNA(FH62),NA(),Capability!$L$11)</f>
        <v/>
      </c>
      <c r="FM62">
        <f>IF(OR(ISNA(FI62),ISNA(FI61)),NA(),ABS(FI62-FI61))</f>
        <v/>
      </c>
      <c r="FN62">
        <f>IF(ISNA(FH62),NA(),Capability!$N$11)</f>
        <v/>
      </c>
      <c r="FO62">
        <f>IF(ISNA(FH62),NA(),IF(OR(Capability!$Q$11="",Settings!$F$7&lt;&gt;"Y"),NA(),Capability!$Q$11))</f>
        <v/>
      </c>
      <c r="FP62">
        <f>IF(ISNA(FH62),NA(),IF(OR(Capability!$P$11="",Settings!$F$7&lt;&gt;"Y"),NA(),Capability!$P$11))</f>
        <v/>
      </c>
      <c r="FV62">
        <f>IF((FY$1+58)&gt;FW$1,NA(),(FY$1+58)-4)</f>
        <v/>
      </c>
      <c r="FW62">
        <f>IF((FY$1+58)&gt;FW$1,NA(),INDEX('Data Entry'!$O$5:$O$10004,(FY$1+58)-4))</f>
        <v/>
      </c>
      <c r="FX62">
        <f>IF(ISNA(FV62),NA(),Capability!$K$12)</f>
        <v/>
      </c>
      <c r="FY62">
        <f>IF(ISNA(FV62),NA(),Capability!$J$12)</f>
        <v/>
      </c>
      <c r="FZ62">
        <f>IF(ISNA(FV62),NA(),Capability!$L$12)</f>
        <v/>
      </c>
      <c r="GA62">
        <f>IF(OR(ISNA(FW62),ISNA(FW61)),NA(),ABS(FW62-FW61))</f>
        <v/>
      </c>
      <c r="GB62">
        <f>IF(ISNA(FV62),NA(),Capability!$N$12)</f>
        <v/>
      </c>
      <c r="GC62">
        <f>IF(ISNA(FV62),NA(),IF(OR(Capability!$Q$12="",Settings!$F$7&lt;&gt;"Y"),NA(),Capability!$Q$12))</f>
        <v/>
      </c>
      <c r="GD62">
        <f>IF(ISNA(FV62),NA(),IF(OR(Capability!$P$12="",Settings!$F$7&lt;&gt;"Y"),NA(),Capability!$P$12))</f>
        <v/>
      </c>
      <c r="GJ62">
        <f>IF((GM$1+58)&gt;GK$1,NA(),(GM$1+58)-4)</f>
        <v/>
      </c>
      <c r="GK62">
        <f>IF((GM$1+58)&gt;GK$1,NA(),INDEX('Data Entry'!$P$5:$P$10004,(GM$1+58)-4))</f>
        <v/>
      </c>
      <c r="GL62">
        <f>IF(ISNA(GJ62),NA(),Capability!$K$13)</f>
        <v/>
      </c>
      <c r="GM62">
        <f>IF(ISNA(GJ62),NA(),Capability!$J$13)</f>
        <v/>
      </c>
      <c r="GN62">
        <f>IF(ISNA(GJ62),NA(),Capability!$L$13)</f>
        <v/>
      </c>
      <c r="GO62">
        <f>IF(OR(ISNA(GK62),ISNA(GK61)),NA(),ABS(GK62-GK61))</f>
        <v/>
      </c>
      <c r="GP62">
        <f>IF(ISNA(GJ62),NA(),Capability!$N$13)</f>
        <v/>
      </c>
      <c r="GQ62">
        <f>IF(ISNA(GJ62),NA(),IF(OR(Capability!$Q$13="",Settings!$F$7&lt;&gt;"Y"),NA(),Capability!$Q$13))</f>
        <v/>
      </c>
      <c r="GR62">
        <f>IF(ISNA(GJ62),NA(),IF(OR(Capability!$P$13="",Settings!$F$7&lt;&gt;"Y"),NA(),Capability!$P$13))</f>
        <v/>
      </c>
      <c r="GX62">
        <f>IF((HA$1+58)&gt;GY$1,NA(),(HA$1+58)-4)</f>
        <v/>
      </c>
      <c r="GY62">
        <f>IF((HA$1+58)&gt;GY$1,NA(),INDEX('Data Entry'!$Q$5:$Q$10004,(HA$1+58)-4))</f>
        <v/>
      </c>
      <c r="GZ62">
        <f>IF(ISNA(GX62),NA(),Capability!$K$14)</f>
        <v/>
      </c>
      <c r="HA62">
        <f>IF(ISNA(GX62),NA(),Capability!$J$14)</f>
        <v/>
      </c>
      <c r="HB62">
        <f>IF(ISNA(GX62),NA(),Capability!$L$14)</f>
        <v/>
      </c>
      <c r="HC62">
        <f>IF(OR(ISNA(GY62),ISNA(GY61)),NA(),ABS(GY62-GY61))</f>
        <v/>
      </c>
      <c r="HD62">
        <f>IF(ISNA(GX62),NA(),Capability!$N$14)</f>
        <v/>
      </c>
      <c r="HE62">
        <f>IF(ISNA(GX62),NA(),IF(OR(Capability!$Q$14="",Settings!$F$7&lt;&gt;"Y"),NA(),Capability!$Q$14))</f>
        <v/>
      </c>
      <c r="HF62">
        <f>IF(ISNA(GX62),NA(),IF(OR(Capability!$P$14="",Settings!$F$7&lt;&gt;"Y"),NA(),Capability!$P$14))</f>
        <v/>
      </c>
    </row>
    <row r="63">
      <c r="A63" s="35" t="inlineStr">
        <is>
          <t>USL</t>
        </is>
      </c>
      <c r="B63" s="23">
        <f>Capability!Q6</f>
        <v/>
      </c>
      <c r="CB63">
        <f>IF((CE$1+59)&gt;CC$1,NA(),(CE$1+59)-4)</f>
        <v/>
      </c>
      <c r="CC63">
        <f>IF((CE$1+59)&gt;CC$1,NA(),INDEX('Data Entry'!$H$5:$H$10004,(CE$1+59)-4))</f>
        <v/>
      </c>
      <c r="CD63">
        <f>IF(ISNA(CB63),NA(),Capability!$K$5)</f>
        <v/>
      </c>
      <c r="CE63">
        <f>IF(ISNA(CB63),NA(),Capability!$J$5)</f>
        <v/>
      </c>
      <c r="CF63">
        <f>IF(ISNA(CB63),NA(),Capability!$L$5)</f>
        <v/>
      </c>
      <c r="CG63">
        <f>IF(OR(ISNA(CC63),ISNA(CC62)),NA(),ABS(CC63-CC62))</f>
        <v/>
      </c>
      <c r="CH63">
        <f>IF(ISNA(CB63),NA(),Capability!$N$5)</f>
        <v/>
      </c>
      <c r="CI63">
        <f>IF(ISNA(CB63),NA(),IF(OR(Capability!$Q$5="",Settings!$F$7&lt;&gt;"Y"),NA(),Capability!$Q$5))</f>
        <v/>
      </c>
      <c r="CJ63">
        <f>IF(ISNA(CB63),NA(),IF(OR(Capability!$P$5="",Settings!$F$7&lt;&gt;"Y"),NA(),Capability!$P$5))</f>
        <v/>
      </c>
      <c r="CP63">
        <f>IF((CS$1+59)&gt;CQ$1,NA(),(CS$1+59)-4)</f>
        <v/>
      </c>
      <c r="CQ63">
        <f>IF((CS$1+59)&gt;CQ$1,NA(),INDEX('Data Entry'!$I$5:$I$10004,(CS$1+59)-4))</f>
        <v/>
      </c>
      <c r="CR63">
        <f>IF(ISNA(CP63),NA(),Capability!$K$6)</f>
        <v/>
      </c>
      <c r="CS63">
        <f>IF(ISNA(CP63),NA(),Capability!$J$6)</f>
        <v/>
      </c>
      <c r="CT63">
        <f>IF(ISNA(CP63),NA(),Capability!$L$6)</f>
        <v/>
      </c>
      <c r="CU63">
        <f>IF(OR(ISNA(CQ63),ISNA(CQ62)),NA(),ABS(CQ63-CQ62))</f>
        <v/>
      </c>
      <c r="CV63">
        <f>IF(ISNA(CP63),NA(),Capability!$N$6)</f>
        <v/>
      </c>
      <c r="CW63">
        <f>IF(ISNA(CP63),NA(),IF(OR(Capability!$Q$6="",Settings!$F$7&lt;&gt;"Y"),NA(),Capability!$Q$6))</f>
        <v/>
      </c>
      <c r="CX63">
        <f>IF(ISNA(CP63),NA(),IF(OR(Capability!$P$6="",Settings!$F$7&lt;&gt;"Y"),NA(),Capability!$P$6))</f>
        <v/>
      </c>
      <c r="DD63">
        <f>IF((DG$1+59)&gt;DE$1,NA(),(DG$1+59)-4)</f>
        <v/>
      </c>
      <c r="DE63">
        <f>IF((DG$1+59)&gt;DE$1,NA(),INDEX('Data Entry'!$J$5:$J$10004,(DG$1+59)-4))</f>
        <v/>
      </c>
      <c r="DF63">
        <f>IF(ISNA(DD63),NA(),Capability!$K$7)</f>
        <v/>
      </c>
      <c r="DG63">
        <f>IF(ISNA(DD63),NA(),Capability!$J$7)</f>
        <v/>
      </c>
      <c r="DH63">
        <f>IF(ISNA(DD63),NA(),Capability!$L$7)</f>
        <v/>
      </c>
      <c r="DI63">
        <f>IF(OR(ISNA(DE63),ISNA(DE62)),NA(),ABS(DE63-DE62))</f>
        <v/>
      </c>
      <c r="DJ63">
        <f>IF(ISNA(DD63),NA(),Capability!$N$7)</f>
        <v/>
      </c>
      <c r="DK63">
        <f>IF(ISNA(DD63),NA(),IF(OR(Capability!$Q$7="",Settings!$F$7&lt;&gt;"Y"),NA(),Capability!$Q$7))</f>
        <v/>
      </c>
      <c r="DL63">
        <f>IF(ISNA(DD63),NA(),IF(OR(Capability!$P$7="",Settings!$F$7&lt;&gt;"Y"),NA(),Capability!$P$7))</f>
        <v/>
      </c>
      <c r="DR63">
        <f>IF((DU$1+59)&gt;DS$1,NA(),(DU$1+59)-4)</f>
        <v/>
      </c>
      <c r="DS63">
        <f>IF((DU$1+59)&gt;DS$1,NA(),INDEX('Data Entry'!$K$5:$K$10004,(DU$1+59)-4))</f>
        <v/>
      </c>
      <c r="DT63">
        <f>IF(ISNA(DR63),NA(),Capability!$K$8)</f>
        <v/>
      </c>
      <c r="DU63">
        <f>IF(ISNA(DR63),NA(),Capability!$J$8)</f>
        <v/>
      </c>
      <c r="DV63">
        <f>IF(ISNA(DR63),NA(),Capability!$L$8)</f>
        <v/>
      </c>
      <c r="DW63">
        <f>IF(OR(ISNA(DS63),ISNA(DS62)),NA(),ABS(DS63-DS62))</f>
        <v/>
      </c>
      <c r="DX63">
        <f>IF(ISNA(DR63),NA(),Capability!$N$8)</f>
        <v/>
      </c>
      <c r="DY63">
        <f>IF(ISNA(DR63),NA(),IF(OR(Capability!$Q$8="",Settings!$F$7&lt;&gt;"Y"),NA(),Capability!$Q$8))</f>
        <v/>
      </c>
      <c r="DZ63">
        <f>IF(ISNA(DR63),NA(),IF(OR(Capability!$P$8="",Settings!$F$7&lt;&gt;"Y"),NA(),Capability!$P$8))</f>
        <v/>
      </c>
      <c r="EF63">
        <f>IF((EI$1+59)&gt;EG$1,NA(),(EI$1+59)-4)</f>
        <v/>
      </c>
      <c r="EG63">
        <f>IF((EI$1+59)&gt;EG$1,NA(),INDEX('Data Entry'!$L$5:$L$10004,(EI$1+59)-4))</f>
        <v/>
      </c>
      <c r="EH63">
        <f>IF(ISNA(EF63),NA(),Capability!$K$9)</f>
        <v/>
      </c>
      <c r="EI63">
        <f>IF(ISNA(EF63),NA(),Capability!$J$9)</f>
        <v/>
      </c>
      <c r="EJ63">
        <f>IF(ISNA(EF63),NA(),Capability!$L$9)</f>
        <v/>
      </c>
      <c r="EK63">
        <f>IF(OR(ISNA(EG63),ISNA(EG62)),NA(),ABS(EG63-EG62))</f>
        <v/>
      </c>
      <c r="EL63">
        <f>IF(ISNA(EF63),NA(),Capability!$N$9)</f>
        <v/>
      </c>
      <c r="EM63">
        <f>IF(ISNA(EF63),NA(),IF(OR(Capability!$Q$9="",Settings!$F$7&lt;&gt;"Y"),NA(),Capability!$Q$9))</f>
        <v/>
      </c>
      <c r="EN63">
        <f>IF(ISNA(EF63),NA(),IF(OR(Capability!$P$9="",Settings!$F$7&lt;&gt;"Y"),NA(),Capability!$P$9))</f>
        <v/>
      </c>
      <c r="ET63">
        <f>IF((EW$1+59)&gt;EU$1,NA(),(EW$1+59)-4)</f>
        <v/>
      </c>
      <c r="EU63">
        <f>IF((EW$1+59)&gt;EU$1,NA(),INDEX('Data Entry'!$M$5:$M$10004,(EW$1+59)-4))</f>
        <v/>
      </c>
      <c r="EV63">
        <f>IF(ISNA(ET63),NA(),Capability!$K$10)</f>
        <v/>
      </c>
      <c r="EW63">
        <f>IF(ISNA(ET63),NA(),Capability!$J$10)</f>
        <v/>
      </c>
      <c r="EX63">
        <f>IF(ISNA(ET63),NA(),Capability!$L$10)</f>
        <v/>
      </c>
      <c r="EY63">
        <f>IF(OR(ISNA(EU63),ISNA(EU62)),NA(),ABS(EU63-EU62))</f>
        <v/>
      </c>
      <c r="EZ63">
        <f>IF(ISNA(ET63),NA(),Capability!$N$10)</f>
        <v/>
      </c>
      <c r="FA63">
        <f>IF(ISNA(ET63),NA(),IF(OR(Capability!$Q$10="",Settings!$F$7&lt;&gt;"Y"),NA(),Capability!$Q$10))</f>
        <v/>
      </c>
      <c r="FB63">
        <f>IF(ISNA(ET63),NA(),IF(OR(Capability!$P$10="",Settings!$F$7&lt;&gt;"Y"),NA(),Capability!$P$10))</f>
        <v/>
      </c>
      <c r="FH63">
        <f>IF((FK$1+59)&gt;FI$1,NA(),(FK$1+59)-4)</f>
        <v/>
      </c>
      <c r="FI63">
        <f>IF((FK$1+59)&gt;FI$1,NA(),INDEX('Data Entry'!$N$5:$N$10004,(FK$1+59)-4))</f>
        <v/>
      </c>
      <c r="FJ63">
        <f>IF(ISNA(FH63),NA(),Capability!$K$11)</f>
        <v/>
      </c>
      <c r="FK63">
        <f>IF(ISNA(FH63),NA(),Capability!$J$11)</f>
        <v/>
      </c>
      <c r="FL63">
        <f>IF(ISNA(FH63),NA(),Capability!$L$11)</f>
        <v/>
      </c>
      <c r="FM63">
        <f>IF(OR(ISNA(FI63),ISNA(FI62)),NA(),ABS(FI63-FI62))</f>
        <v/>
      </c>
      <c r="FN63">
        <f>IF(ISNA(FH63),NA(),Capability!$N$11)</f>
        <v/>
      </c>
      <c r="FO63">
        <f>IF(ISNA(FH63),NA(),IF(OR(Capability!$Q$11="",Settings!$F$7&lt;&gt;"Y"),NA(),Capability!$Q$11))</f>
        <v/>
      </c>
      <c r="FP63">
        <f>IF(ISNA(FH63),NA(),IF(OR(Capability!$P$11="",Settings!$F$7&lt;&gt;"Y"),NA(),Capability!$P$11))</f>
        <v/>
      </c>
      <c r="FV63">
        <f>IF((FY$1+59)&gt;FW$1,NA(),(FY$1+59)-4)</f>
        <v/>
      </c>
      <c r="FW63">
        <f>IF((FY$1+59)&gt;FW$1,NA(),INDEX('Data Entry'!$O$5:$O$10004,(FY$1+59)-4))</f>
        <v/>
      </c>
      <c r="FX63">
        <f>IF(ISNA(FV63),NA(),Capability!$K$12)</f>
        <v/>
      </c>
      <c r="FY63">
        <f>IF(ISNA(FV63),NA(),Capability!$J$12)</f>
        <v/>
      </c>
      <c r="FZ63">
        <f>IF(ISNA(FV63),NA(),Capability!$L$12)</f>
        <v/>
      </c>
      <c r="GA63">
        <f>IF(OR(ISNA(FW63),ISNA(FW62)),NA(),ABS(FW63-FW62))</f>
        <v/>
      </c>
      <c r="GB63">
        <f>IF(ISNA(FV63),NA(),Capability!$N$12)</f>
        <v/>
      </c>
      <c r="GC63">
        <f>IF(ISNA(FV63),NA(),IF(OR(Capability!$Q$12="",Settings!$F$7&lt;&gt;"Y"),NA(),Capability!$Q$12))</f>
        <v/>
      </c>
      <c r="GD63">
        <f>IF(ISNA(FV63),NA(),IF(OR(Capability!$P$12="",Settings!$F$7&lt;&gt;"Y"),NA(),Capability!$P$12))</f>
        <v/>
      </c>
      <c r="GJ63">
        <f>IF((GM$1+59)&gt;GK$1,NA(),(GM$1+59)-4)</f>
        <v/>
      </c>
      <c r="GK63">
        <f>IF((GM$1+59)&gt;GK$1,NA(),INDEX('Data Entry'!$P$5:$P$10004,(GM$1+59)-4))</f>
        <v/>
      </c>
      <c r="GL63">
        <f>IF(ISNA(GJ63),NA(),Capability!$K$13)</f>
        <v/>
      </c>
      <c r="GM63">
        <f>IF(ISNA(GJ63),NA(),Capability!$J$13)</f>
        <v/>
      </c>
      <c r="GN63">
        <f>IF(ISNA(GJ63),NA(),Capability!$L$13)</f>
        <v/>
      </c>
      <c r="GO63">
        <f>IF(OR(ISNA(GK63),ISNA(GK62)),NA(),ABS(GK63-GK62))</f>
        <v/>
      </c>
      <c r="GP63">
        <f>IF(ISNA(GJ63),NA(),Capability!$N$13)</f>
        <v/>
      </c>
      <c r="GQ63">
        <f>IF(ISNA(GJ63),NA(),IF(OR(Capability!$Q$13="",Settings!$F$7&lt;&gt;"Y"),NA(),Capability!$Q$13))</f>
        <v/>
      </c>
      <c r="GR63">
        <f>IF(ISNA(GJ63),NA(),IF(OR(Capability!$P$13="",Settings!$F$7&lt;&gt;"Y"),NA(),Capability!$P$13))</f>
        <v/>
      </c>
      <c r="GX63">
        <f>IF((HA$1+59)&gt;GY$1,NA(),(HA$1+59)-4)</f>
        <v/>
      </c>
      <c r="GY63">
        <f>IF((HA$1+59)&gt;GY$1,NA(),INDEX('Data Entry'!$Q$5:$Q$10004,(HA$1+59)-4))</f>
        <v/>
      </c>
      <c r="GZ63">
        <f>IF(ISNA(GX63),NA(),Capability!$K$14)</f>
        <v/>
      </c>
      <c r="HA63">
        <f>IF(ISNA(GX63),NA(),Capability!$J$14)</f>
        <v/>
      </c>
      <c r="HB63">
        <f>IF(ISNA(GX63),NA(),Capability!$L$14)</f>
        <v/>
      </c>
      <c r="HC63">
        <f>IF(OR(ISNA(GY63),ISNA(GY62)),NA(),ABS(GY63-GY62))</f>
        <v/>
      </c>
      <c r="HD63">
        <f>IF(ISNA(GX63),NA(),Capability!$N$14)</f>
        <v/>
      </c>
      <c r="HE63">
        <f>IF(ISNA(GX63),NA(),IF(OR(Capability!$Q$14="",Settings!$F$7&lt;&gt;"Y"),NA(),Capability!$Q$14))</f>
        <v/>
      </c>
      <c r="HF63">
        <f>IF(ISNA(GX63),NA(),IF(OR(Capability!$P$14="",Settings!$F$7&lt;&gt;"Y"),NA(),Capability!$P$14))</f>
        <v/>
      </c>
    </row>
    <row r="64">
      <c r="A64" s="35" t="inlineStr">
        <is>
          <t>Nominal</t>
        </is>
      </c>
      <c r="B64" s="23">
        <f>Capability!O6</f>
        <v/>
      </c>
      <c r="CB64">
        <f>IF((CE$1+60)&gt;CC$1,NA(),(CE$1+60)-4)</f>
        <v/>
      </c>
      <c r="CC64">
        <f>IF((CE$1+60)&gt;CC$1,NA(),INDEX('Data Entry'!$H$5:$H$10004,(CE$1+60)-4))</f>
        <v/>
      </c>
      <c r="CD64">
        <f>IF(ISNA(CB64),NA(),Capability!$K$5)</f>
        <v/>
      </c>
      <c r="CE64">
        <f>IF(ISNA(CB64),NA(),Capability!$J$5)</f>
        <v/>
      </c>
      <c r="CF64">
        <f>IF(ISNA(CB64),NA(),Capability!$L$5)</f>
        <v/>
      </c>
      <c r="CG64">
        <f>IF(OR(ISNA(CC64),ISNA(CC63)),NA(),ABS(CC64-CC63))</f>
        <v/>
      </c>
      <c r="CH64">
        <f>IF(ISNA(CB64),NA(),Capability!$N$5)</f>
        <v/>
      </c>
      <c r="CI64">
        <f>IF(ISNA(CB64),NA(),IF(OR(Capability!$Q$5="",Settings!$F$7&lt;&gt;"Y"),NA(),Capability!$Q$5))</f>
        <v/>
      </c>
      <c r="CJ64">
        <f>IF(ISNA(CB64),NA(),IF(OR(Capability!$P$5="",Settings!$F$7&lt;&gt;"Y"),NA(),Capability!$P$5))</f>
        <v/>
      </c>
      <c r="CP64">
        <f>IF((CS$1+60)&gt;CQ$1,NA(),(CS$1+60)-4)</f>
        <v/>
      </c>
      <c r="CQ64">
        <f>IF((CS$1+60)&gt;CQ$1,NA(),INDEX('Data Entry'!$I$5:$I$10004,(CS$1+60)-4))</f>
        <v/>
      </c>
      <c r="CR64">
        <f>IF(ISNA(CP64),NA(),Capability!$K$6)</f>
        <v/>
      </c>
      <c r="CS64">
        <f>IF(ISNA(CP64),NA(),Capability!$J$6)</f>
        <v/>
      </c>
      <c r="CT64">
        <f>IF(ISNA(CP64),NA(),Capability!$L$6)</f>
        <v/>
      </c>
      <c r="CU64">
        <f>IF(OR(ISNA(CQ64),ISNA(CQ63)),NA(),ABS(CQ64-CQ63))</f>
        <v/>
      </c>
      <c r="CV64">
        <f>IF(ISNA(CP64),NA(),Capability!$N$6)</f>
        <v/>
      </c>
      <c r="CW64">
        <f>IF(ISNA(CP64),NA(),IF(OR(Capability!$Q$6="",Settings!$F$7&lt;&gt;"Y"),NA(),Capability!$Q$6))</f>
        <v/>
      </c>
      <c r="CX64">
        <f>IF(ISNA(CP64),NA(),IF(OR(Capability!$P$6="",Settings!$F$7&lt;&gt;"Y"),NA(),Capability!$P$6))</f>
        <v/>
      </c>
      <c r="DD64">
        <f>IF((DG$1+60)&gt;DE$1,NA(),(DG$1+60)-4)</f>
        <v/>
      </c>
      <c r="DE64">
        <f>IF((DG$1+60)&gt;DE$1,NA(),INDEX('Data Entry'!$J$5:$J$10004,(DG$1+60)-4))</f>
        <v/>
      </c>
      <c r="DF64">
        <f>IF(ISNA(DD64),NA(),Capability!$K$7)</f>
        <v/>
      </c>
      <c r="DG64">
        <f>IF(ISNA(DD64),NA(),Capability!$J$7)</f>
        <v/>
      </c>
      <c r="DH64">
        <f>IF(ISNA(DD64),NA(),Capability!$L$7)</f>
        <v/>
      </c>
      <c r="DI64">
        <f>IF(OR(ISNA(DE64),ISNA(DE63)),NA(),ABS(DE64-DE63))</f>
        <v/>
      </c>
      <c r="DJ64">
        <f>IF(ISNA(DD64),NA(),Capability!$N$7)</f>
        <v/>
      </c>
      <c r="DK64">
        <f>IF(ISNA(DD64),NA(),IF(OR(Capability!$Q$7="",Settings!$F$7&lt;&gt;"Y"),NA(),Capability!$Q$7))</f>
        <v/>
      </c>
      <c r="DL64">
        <f>IF(ISNA(DD64),NA(),IF(OR(Capability!$P$7="",Settings!$F$7&lt;&gt;"Y"),NA(),Capability!$P$7))</f>
        <v/>
      </c>
      <c r="DR64">
        <f>IF((DU$1+60)&gt;DS$1,NA(),(DU$1+60)-4)</f>
        <v/>
      </c>
      <c r="DS64">
        <f>IF((DU$1+60)&gt;DS$1,NA(),INDEX('Data Entry'!$K$5:$K$10004,(DU$1+60)-4))</f>
        <v/>
      </c>
      <c r="DT64">
        <f>IF(ISNA(DR64),NA(),Capability!$K$8)</f>
        <v/>
      </c>
      <c r="DU64">
        <f>IF(ISNA(DR64),NA(),Capability!$J$8)</f>
        <v/>
      </c>
      <c r="DV64">
        <f>IF(ISNA(DR64),NA(),Capability!$L$8)</f>
        <v/>
      </c>
      <c r="DW64">
        <f>IF(OR(ISNA(DS64),ISNA(DS63)),NA(),ABS(DS64-DS63))</f>
        <v/>
      </c>
      <c r="DX64">
        <f>IF(ISNA(DR64),NA(),Capability!$N$8)</f>
        <v/>
      </c>
      <c r="DY64">
        <f>IF(ISNA(DR64),NA(),IF(OR(Capability!$Q$8="",Settings!$F$7&lt;&gt;"Y"),NA(),Capability!$Q$8))</f>
        <v/>
      </c>
      <c r="DZ64">
        <f>IF(ISNA(DR64),NA(),IF(OR(Capability!$P$8="",Settings!$F$7&lt;&gt;"Y"),NA(),Capability!$P$8))</f>
        <v/>
      </c>
      <c r="EF64">
        <f>IF((EI$1+60)&gt;EG$1,NA(),(EI$1+60)-4)</f>
        <v/>
      </c>
      <c r="EG64">
        <f>IF((EI$1+60)&gt;EG$1,NA(),INDEX('Data Entry'!$L$5:$L$10004,(EI$1+60)-4))</f>
        <v/>
      </c>
      <c r="EH64">
        <f>IF(ISNA(EF64),NA(),Capability!$K$9)</f>
        <v/>
      </c>
      <c r="EI64">
        <f>IF(ISNA(EF64),NA(),Capability!$J$9)</f>
        <v/>
      </c>
      <c r="EJ64">
        <f>IF(ISNA(EF64),NA(),Capability!$L$9)</f>
        <v/>
      </c>
      <c r="EK64">
        <f>IF(OR(ISNA(EG64),ISNA(EG63)),NA(),ABS(EG64-EG63))</f>
        <v/>
      </c>
      <c r="EL64">
        <f>IF(ISNA(EF64),NA(),Capability!$N$9)</f>
        <v/>
      </c>
      <c r="EM64">
        <f>IF(ISNA(EF64),NA(),IF(OR(Capability!$Q$9="",Settings!$F$7&lt;&gt;"Y"),NA(),Capability!$Q$9))</f>
        <v/>
      </c>
      <c r="EN64">
        <f>IF(ISNA(EF64),NA(),IF(OR(Capability!$P$9="",Settings!$F$7&lt;&gt;"Y"),NA(),Capability!$P$9))</f>
        <v/>
      </c>
      <c r="ET64">
        <f>IF((EW$1+60)&gt;EU$1,NA(),(EW$1+60)-4)</f>
        <v/>
      </c>
      <c r="EU64">
        <f>IF((EW$1+60)&gt;EU$1,NA(),INDEX('Data Entry'!$M$5:$M$10004,(EW$1+60)-4))</f>
        <v/>
      </c>
      <c r="EV64">
        <f>IF(ISNA(ET64),NA(),Capability!$K$10)</f>
        <v/>
      </c>
      <c r="EW64">
        <f>IF(ISNA(ET64),NA(),Capability!$J$10)</f>
        <v/>
      </c>
      <c r="EX64">
        <f>IF(ISNA(ET64),NA(),Capability!$L$10)</f>
        <v/>
      </c>
      <c r="EY64">
        <f>IF(OR(ISNA(EU64),ISNA(EU63)),NA(),ABS(EU64-EU63))</f>
        <v/>
      </c>
      <c r="EZ64">
        <f>IF(ISNA(ET64),NA(),Capability!$N$10)</f>
        <v/>
      </c>
      <c r="FA64">
        <f>IF(ISNA(ET64),NA(),IF(OR(Capability!$Q$10="",Settings!$F$7&lt;&gt;"Y"),NA(),Capability!$Q$10))</f>
        <v/>
      </c>
      <c r="FB64">
        <f>IF(ISNA(ET64),NA(),IF(OR(Capability!$P$10="",Settings!$F$7&lt;&gt;"Y"),NA(),Capability!$P$10))</f>
        <v/>
      </c>
      <c r="FH64">
        <f>IF((FK$1+60)&gt;FI$1,NA(),(FK$1+60)-4)</f>
        <v/>
      </c>
      <c r="FI64">
        <f>IF((FK$1+60)&gt;FI$1,NA(),INDEX('Data Entry'!$N$5:$N$10004,(FK$1+60)-4))</f>
        <v/>
      </c>
      <c r="FJ64">
        <f>IF(ISNA(FH64),NA(),Capability!$K$11)</f>
        <v/>
      </c>
      <c r="FK64">
        <f>IF(ISNA(FH64),NA(),Capability!$J$11)</f>
        <v/>
      </c>
      <c r="FL64">
        <f>IF(ISNA(FH64),NA(),Capability!$L$11)</f>
        <v/>
      </c>
      <c r="FM64">
        <f>IF(OR(ISNA(FI64),ISNA(FI63)),NA(),ABS(FI64-FI63))</f>
        <v/>
      </c>
      <c r="FN64">
        <f>IF(ISNA(FH64),NA(),Capability!$N$11)</f>
        <v/>
      </c>
      <c r="FO64">
        <f>IF(ISNA(FH64),NA(),IF(OR(Capability!$Q$11="",Settings!$F$7&lt;&gt;"Y"),NA(),Capability!$Q$11))</f>
        <v/>
      </c>
      <c r="FP64">
        <f>IF(ISNA(FH64),NA(),IF(OR(Capability!$P$11="",Settings!$F$7&lt;&gt;"Y"),NA(),Capability!$P$11))</f>
        <v/>
      </c>
      <c r="FV64">
        <f>IF((FY$1+60)&gt;FW$1,NA(),(FY$1+60)-4)</f>
        <v/>
      </c>
      <c r="FW64">
        <f>IF((FY$1+60)&gt;FW$1,NA(),INDEX('Data Entry'!$O$5:$O$10004,(FY$1+60)-4))</f>
        <v/>
      </c>
      <c r="FX64">
        <f>IF(ISNA(FV64),NA(),Capability!$K$12)</f>
        <v/>
      </c>
      <c r="FY64">
        <f>IF(ISNA(FV64),NA(),Capability!$J$12)</f>
        <v/>
      </c>
      <c r="FZ64">
        <f>IF(ISNA(FV64),NA(),Capability!$L$12)</f>
        <v/>
      </c>
      <c r="GA64">
        <f>IF(OR(ISNA(FW64),ISNA(FW63)),NA(),ABS(FW64-FW63))</f>
        <v/>
      </c>
      <c r="GB64">
        <f>IF(ISNA(FV64),NA(),Capability!$N$12)</f>
        <v/>
      </c>
      <c r="GC64">
        <f>IF(ISNA(FV64),NA(),IF(OR(Capability!$Q$12="",Settings!$F$7&lt;&gt;"Y"),NA(),Capability!$Q$12))</f>
        <v/>
      </c>
      <c r="GD64">
        <f>IF(ISNA(FV64),NA(),IF(OR(Capability!$P$12="",Settings!$F$7&lt;&gt;"Y"),NA(),Capability!$P$12))</f>
        <v/>
      </c>
      <c r="GJ64">
        <f>IF((GM$1+60)&gt;GK$1,NA(),(GM$1+60)-4)</f>
        <v/>
      </c>
      <c r="GK64">
        <f>IF((GM$1+60)&gt;GK$1,NA(),INDEX('Data Entry'!$P$5:$P$10004,(GM$1+60)-4))</f>
        <v/>
      </c>
      <c r="GL64">
        <f>IF(ISNA(GJ64),NA(),Capability!$K$13)</f>
        <v/>
      </c>
      <c r="GM64">
        <f>IF(ISNA(GJ64),NA(),Capability!$J$13)</f>
        <v/>
      </c>
      <c r="GN64">
        <f>IF(ISNA(GJ64),NA(),Capability!$L$13)</f>
        <v/>
      </c>
      <c r="GO64">
        <f>IF(OR(ISNA(GK64),ISNA(GK63)),NA(),ABS(GK64-GK63))</f>
        <v/>
      </c>
      <c r="GP64">
        <f>IF(ISNA(GJ64),NA(),Capability!$N$13)</f>
        <v/>
      </c>
      <c r="GQ64">
        <f>IF(ISNA(GJ64),NA(),IF(OR(Capability!$Q$13="",Settings!$F$7&lt;&gt;"Y"),NA(),Capability!$Q$13))</f>
        <v/>
      </c>
      <c r="GR64">
        <f>IF(ISNA(GJ64),NA(),IF(OR(Capability!$P$13="",Settings!$F$7&lt;&gt;"Y"),NA(),Capability!$P$13))</f>
        <v/>
      </c>
      <c r="GX64">
        <f>IF((HA$1+60)&gt;GY$1,NA(),(HA$1+60)-4)</f>
        <v/>
      </c>
      <c r="GY64">
        <f>IF((HA$1+60)&gt;GY$1,NA(),INDEX('Data Entry'!$Q$5:$Q$10004,(HA$1+60)-4))</f>
        <v/>
      </c>
      <c r="GZ64">
        <f>IF(ISNA(GX64),NA(),Capability!$K$14)</f>
        <v/>
      </c>
      <c r="HA64">
        <f>IF(ISNA(GX64),NA(),Capability!$J$14)</f>
        <v/>
      </c>
      <c r="HB64">
        <f>IF(ISNA(GX64),NA(),Capability!$L$14)</f>
        <v/>
      </c>
      <c r="HC64">
        <f>IF(OR(ISNA(GY64),ISNA(GY63)),NA(),ABS(GY64-GY63))</f>
        <v/>
      </c>
      <c r="HD64">
        <f>IF(ISNA(GX64),NA(),Capability!$N$14)</f>
        <v/>
      </c>
      <c r="HE64">
        <f>IF(ISNA(GX64),NA(),IF(OR(Capability!$Q$14="",Settings!$F$7&lt;&gt;"Y"),NA(),Capability!$Q$14))</f>
        <v/>
      </c>
      <c r="HF64">
        <f>IF(ISNA(GX64),NA(),IF(OR(Capability!$P$14="",Settings!$F$7&lt;&gt;"Y"),NA(),Capability!$P$14))</f>
        <v/>
      </c>
    </row>
    <row r="65">
      <c r="A65" s="35" t="inlineStr">
        <is>
          <t>LSL</t>
        </is>
      </c>
      <c r="B65" s="23">
        <f>Capability!P6</f>
        <v/>
      </c>
      <c r="CB65">
        <f>IF((CE$1+61)&gt;CC$1,NA(),(CE$1+61)-4)</f>
        <v/>
      </c>
      <c r="CC65">
        <f>IF((CE$1+61)&gt;CC$1,NA(),INDEX('Data Entry'!$H$5:$H$10004,(CE$1+61)-4))</f>
        <v/>
      </c>
      <c r="CD65">
        <f>IF(ISNA(CB65),NA(),Capability!$K$5)</f>
        <v/>
      </c>
      <c r="CE65">
        <f>IF(ISNA(CB65),NA(),Capability!$J$5)</f>
        <v/>
      </c>
      <c r="CF65">
        <f>IF(ISNA(CB65),NA(),Capability!$L$5)</f>
        <v/>
      </c>
      <c r="CG65">
        <f>IF(OR(ISNA(CC65),ISNA(CC64)),NA(),ABS(CC65-CC64))</f>
        <v/>
      </c>
      <c r="CH65">
        <f>IF(ISNA(CB65),NA(),Capability!$N$5)</f>
        <v/>
      </c>
      <c r="CI65">
        <f>IF(ISNA(CB65),NA(),IF(OR(Capability!$Q$5="",Settings!$F$7&lt;&gt;"Y"),NA(),Capability!$Q$5))</f>
        <v/>
      </c>
      <c r="CJ65">
        <f>IF(ISNA(CB65),NA(),IF(OR(Capability!$P$5="",Settings!$F$7&lt;&gt;"Y"),NA(),Capability!$P$5))</f>
        <v/>
      </c>
      <c r="CP65">
        <f>IF((CS$1+61)&gt;CQ$1,NA(),(CS$1+61)-4)</f>
        <v/>
      </c>
      <c r="CQ65">
        <f>IF((CS$1+61)&gt;CQ$1,NA(),INDEX('Data Entry'!$I$5:$I$10004,(CS$1+61)-4))</f>
        <v/>
      </c>
      <c r="CR65">
        <f>IF(ISNA(CP65),NA(),Capability!$K$6)</f>
        <v/>
      </c>
      <c r="CS65">
        <f>IF(ISNA(CP65),NA(),Capability!$J$6)</f>
        <v/>
      </c>
      <c r="CT65">
        <f>IF(ISNA(CP65),NA(),Capability!$L$6)</f>
        <v/>
      </c>
      <c r="CU65">
        <f>IF(OR(ISNA(CQ65),ISNA(CQ64)),NA(),ABS(CQ65-CQ64))</f>
        <v/>
      </c>
      <c r="CV65">
        <f>IF(ISNA(CP65),NA(),Capability!$N$6)</f>
        <v/>
      </c>
      <c r="CW65">
        <f>IF(ISNA(CP65),NA(),IF(OR(Capability!$Q$6="",Settings!$F$7&lt;&gt;"Y"),NA(),Capability!$Q$6))</f>
        <v/>
      </c>
      <c r="CX65">
        <f>IF(ISNA(CP65),NA(),IF(OR(Capability!$P$6="",Settings!$F$7&lt;&gt;"Y"),NA(),Capability!$P$6))</f>
        <v/>
      </c>
      <c r="DD65">
        <f>IF((DG$1+61)&gt;DE$1,NA(),(DG$1+61)-4)</f>
        <v/>
      </c>
      <c r="DE65">
        <f>IF((DG$1+61)&gt;DE$1,NA(),INDEX('Data Entry'!$J$5:$J$10004,(DG$1+61)-4))</f>
        <v/>
      </c>
      <c r="DF65">
        <f>IF(ISNA(DD65),NA(),Capability!$K$7)</f>
        <v/>
      </c>
      <c r="DG65">
        <f>IF(ISNA(DD65),NA(),Capability!$J$7)</f>
        <v/>
      </c>
      <c r="DH65">
        <f>IF(ISNA(DD65),NA(),Capability!$L$7)</f>
        <v/>
      </c>
      <c r="DI65">
        <f>IF(OR(ISNA(DE65),ISNA(DE64)),NA(),ABS(DE65-DE64))</f>
        <v/>
      </c>
      <c r="DJ65">
        <f>IF(ISNA(DD65),NA(),Capability!$N$7)</f>
        <v/>
      </c>
      <c r="DK65">
        <f>IF(ISNA(DD65),NA(),IF(OR(Capability!$Q$7="",Settings!$F$7&lt;&gt;"Y"),NA(),Capability!$Q$7))</f>
        <v/>
      </c>
      <c r="DL65">
        <f>IF(ISNA(DD65),NA(),IF(OR(Capability!$P$7="",Settings!$F$7&lt;&gt;"Y"),NA(),Capability!$P$7))</f>
        <v/>
      </c>
      <c r="DR65">
        <f>IF((DU$1+61)&gt;DS$1,NA(),(DU$1+61)-4)</f>
        <v/>
      </c>
      <c r="DS65">
        <f>IF((DU$1+61)&gt;DS$1,NA(),INDEX('Data Entry'!$K$5:$K$10004,(DU$1+61)-4))</f>
        <v/>
      </c>
      <c r="DT65">
        <f>IF(ISNA(DR65),NA(),Capability!$K$8)</f>
        <v/>
      </c>
      <c r="DU65">
        <f>IF(ISNA(DR65),NA(),Capability!$J$8)</f>
        <v/>
      </c>
      <c r="DV65">
        <f>IF(ISNA(DR65),NA(),Capability!$L$8)</f>
        <v/>
      </c>
      <c r="DW65">
        <f>IF(OR(ISNA(DS65),ISNA(DS64)),NA(),ABS(DS65-DS64))</f>
        <v/>
      </c>
      <c r="DX65">
        <f>IF(ISNA(DR65),NA(),Capability!$N$8)</f>
        <v/>
      </c>
      <c r="DY65">
        <f>IF(ISNA(DR65),NA(),IF(OR(Capability!$Q$8="",Settings!$F$7&lt;&gt;"Y"),NA(),Capability!$Q$8))</f>
        <v/>
      </c>
      <c r="DZ65">
        <f>IF(ISNA(DR65),NA(),IF(OR(Capability!$P$8="",Settings!$F$7&lt;&gt;"Y"),NA(),Capability!$P$8))</f>
        <v/>
      </c>
      <c r="EF65">
        <f>IF((EI$1+61)&gt;EG$1,NA(),(EI$1+61)-4)</f>
        <v/>
      </c>
      <c r="EG65">
        <f>IF((EI$1+61)&gt;EG$1,NA(),INDEX('Data Entry'!$L$5:$L$10004,(EI$1+61)-4))</f>
        <v/>
      </c>
      <c r="EH65">
        <f>IF(ISNA(EF65),NA(),Capability!$K$9)</f>
        <v/>
      </c>
      <c r="EI65">
        <f>IF(ISNA(EF65),NA(),Capability!$J$9)</f>
        <v/>
      </c>
      <c r="EJ65">
        <f>IF(ISNA(EF65),NA(),Capability!$L$9)</f>
        <v/>
      </c>
      <c r="EK65">
        <f>IF(OR(ISNA(EG65),ISNA(EG64)),NA(),ABS(EG65-EG64))</f>
        <v/>
      </c>
      <c r="EL65">
        <f>IF(ISNA(EF65),NA(),Capability!$N$9)</f>
        <v/>
      </c>
      <c r="EM65">
        <f>IF(ISNA(EF65),NA(),IF(OR(Capability!$Q$9="",Settings!$F$7&lt;&gt;"Y"),NA(),Capability!$Q$9))</f>
        <v/>
      </c>
      <c r="EN65">
        <f>IF(ISNA(EF65),NA(),IF(OR(Capability!$P$9="",Settings!$F$7&lt;&gt;"Y"),NA(),Capability!$P$9))</f>
        <v/>
      </c>
      <c r="ET65">
        <f>IF((EW$1+61)&gt;EU$1,NA(),(EW$1+61)-4)</f>
        <v/>
      </c>
      <c r="EU65">
        <f>IF((EW$1+61)&gt;EU$1,NA(),INDEX('Data Entry'!$M$5:$M$10004,(EW$1+61)-4))</f>
        <v/>
      </c>
      <c r="EV65">
        <f>IF(ISNA(ET65),NA(),Capability!$K$10)</f>
        <v/>
      </c>
      <c r="EW65">
        <f>IF(ISNA(ET65),NA(),Capability!$J$10)</f>
        <v/>
      </c>
      <c r="EX65">
        <f>IF(ISNA(ET65),NA(),Capability!$L$10)</f>
        <v/>
      </c>
      <c r="EY65">
        <f>IF(OR(ISNA(EU65),ISNA(EU64)),NA(),ABS(EU65-EU64))</f>
        <v/>
      </c>
      <c r="EZ65">
        <f>IF(ISNA(ET65),NA(),Capability!$N$10)</f>
        <v/>
      </c>
      <c r="FA65">
        <f>IF(ISNA(ET65),NA(),IF(OR(Capability!$Q$10="",Settings!$F$7&lt;&gt;"Y"),NA(),Capability!$Q$10))</f>
        <v/>
      </c>
      <c r="FB65">
        <f>IF(ISNA(ET65),NA(),IF(OR(Capability!$P$10="",Settings!$F$7&lt;&gt;"Y"),NA(),Capability!$P$10))</f>
        <v/>
      </c>
      <c r="FH65">
        <f>IF((FK$1+61)&gt;FI$1,NA(),(FK$1+61)-4)</f>
        <v/>
      </c>
      <c r="FI65">
        <f>IF((FK$1+61)&gt;FI$1,NA(),INDEX('Data Entry'!$N$5:$N$10004,(FK$1+61)-4))</f>
        <v/>
      </c>
      <c r="FJ65">
        <f>IF(ISNA(FH65),NA(),Capability!$K$11)</f>
        <v/>
      </c>
      <c r="FK65">
        <f>IF(ISNA(FH65),NA(),Capability!$J$11)</f>
        <v/>
      </c>
      <c r="FL65">
        <f>IF(ISNA(FH65),NA(),Capability!$L$11)</f>
        <v/>
      </c>
      <c r="FM65">
        <f>IF(OR(ISNA(FI65),ISNA(FI64)),NA(),ABS(FI65-FI64))</f>
        <v/>
      </c>
      <c r="FN65">
        <f>IF(ISNA(FH65),NA(),Capability!$N$11)</f>
        <v/>
      </c>
      <c r="FO65">
        <f>IF(ISNA(FH65),NA(),IF(OR(Capability!$Q$11="",Settings!$F$7&lt;&gt;"Y"),NA(),Capability!$Q$11))</f>
        <v/>
      </c>
      <c r="FP65">
        <f>IF(ISNA(FH65),NA(),IF(OR(Capability!$P$11="",Settings!$F$7&lt;&gt;"Y"),NA(),Capability!$P$11))</f>
        <v/>
      </c>
      <c r="FV65">
        <f>IF((FY$1+61)&gt;FW$1,NA(),(FY$1+61)-4)</f>
        <v/>
      </c>
      <c r="FW65">
        <f>IF((FY$1+61)&gt;FW$1,NA(),INDEX('Data Entry'!$O$5:$O$10004,(FY$1+61)-4))</f>
        <v/>
      </c>
      <c r="FX65">
        <f>IF(ISNA(FV65),NA(),Capability!$K$12)</f>
        <v/>
      </c>
      <c r="FY65">
        <f>IF(ISNA(FV65),NA(),Capability!$J$12)</f>
        <v/>
      </c>
      <c r="FZ65">
        <f>IF(ISNA(FV65),NA(),Capability!$L$12)</f>
        <v/>
      </c>
      <c r="GA65">
        <f>IF(OR(ISNA(FW65),ISNA(FW64)),NA(),ABS(FW65-FW64))</f>
        <v/>
      </c>
      <c r="GB65">
        <f>IF(ISNA(FV65),NA(),Capability!$N$12)</f>
        <v/>
      </c>
      <c r="GC65">
        <f>IF(ISNA(FV65),NA(),IF(OR(Capability!$Q$12="",Settings!$F$7&lt;&gt;"Y"),NA(),Capability!$Q$12))</f>
        <v/>
      </c>
      <c r="GD65">
        <f>IF(ISNA(FV65),NA(),IF(OR(Capability!$P$12="",Settings!$F$7&lt;&gt;"Y"),NA(),Capability!$P$12))</f>
        <v/>
      </c>
      <c r="GJ65">
        <f>IF((GM$1+61)&gt;GK$1,NA(),(GM$1+61)-4)</f>
        <v/>
      </c>
      <c r="GK65">
        <f>IF((GM$1+61)&gt;GK$1,NA(),INDEX('Data Entry'!$P$5:$P$10004,(GM$1+61)-4))</f>
        <v/>
      </c>
      <c r="GL65">
        <f>IF(ISNA(GJ65),NA(),Capability!$K$13)</f>
        <v/>
      </c>
      <c r="GM65">
        <f>IF(ISNA(GJ65),NA(),Capability!$J$13)</f>
        <v/>
      </c>
      <c r="GN65">
        <f>IF(ISNA(GJ65),NA(),Capability!$L$13)</f>
        <v/>
      </c>
      <c r="GO65">
        <f>IF(OR(ISNA(GK65),ISNA(GK64)),NA(),ABS(GK65-GK64))</f>
        <v/>
      </c>
      <c r="GP65">
        <f>IF(ISNA(GJ65),NA(),Capability!$N$13)</f>
        <v/>
      </c>
      <c r="GQ65">
        <f>IF(ISNA(GJ65),NA(),IF(OR(Capability!$Q$13="",Settings!$F$7&lt;&gt;"Y"),NA(),Capability!$Q$13))</f>
        <v/>
      </c>
      <c r="GR65">
        <f>IF(ISNA(GJ65),NA(),IF(OR(Capability!$P$13="",Settings!$F$7&lt;&gt;"Y"),NA(),Capability!$P$13))</f>
        <v/>
      </c>
      <c r="GX65">
        <f>IF((HA$1+61)&gt;GY$1,NA(),(HA$1+61)-4)</f>
        <v/>
      </c>
      <c r="GY65">
        <f>IF((HA$1+61)&gt;GY$1,NA(),INDEX('Data Entry'!$Q$5:$Q$10004,(HA$1+61)-4))</f>
        <v/>
      </c>
      <c r="GZ65">
        <f>IF(ISNA(GX65),NA(),Capability!$K$14)</f>
        <v/>
      </c>
      <c r="HA65">
        <f>IF(ISNA(GX65),NA(),Capability!$J$14)</f>
        <v/>
      </c>
      <c r="HB65">
        <f>IF(ISNA(GX65),NA(),Capability!$L$14)</f>
        <v/>
      </c>
      <c r="HC65">
        <f>IF(OR(ISNA(GY65),ISNA(GY64)),NA(),ABS(GY65-GY64))</f>
        <v/>
      </c>
      <c r="HD65">
        <f>IF(ISNA(GX65),NA(),Capability!$N$14)</f>
        <v/>
      </c>
      <c r="HE65">
        <f>IF(ISNA(GX65),NA(),IF(OR(Capability!$Q$14="",Settings!$F$7&lt;&gt;"Y"),NA(),Capability!$Q$14))</f>
        <v/>
      </c>
      <c r="HF65">
        <f>IF(ISNA(GX65),NA(),IF(OR(Capability!$P$14="",Settings!$F$7&lt;&gt;"Y"),NA(),Capability!$P$14))</f>
        <v/>
      </c>
    </row>
    <row r="66">
      <c r="A66" s="37" t="inlineStr">
        <is>
          <t>CAPABILITY</t>
        </is>
      </c>
      <c r="B66" s="28" t="n"/>
      <c r="CB66">
        <f>IF((CE$1+62)&gt;CC$1,NA(),(CE$1+62)-4)</f>
        <v/>
      </c>
      <c r="CC66">
        <f>IF((CE$1+62)&gt;CC$1,NA(),INDEX('Data Entry'!$H$5:$H$10004,(CE$1+62)-4))</f>
        <v/>
      </c>
      <c r="CD66">
        <f>IF(ISNA(CB66),NA(),Capability!$K$5)</f>
        <v/>
      </c>
      <c r="CE66">
        <f>IF(ISNA(CB66),NA(),Capability!$J$5)</f>
        <v/>
      </c>
      <c r="CF66">
        <f>IF(ISNA(CB66),NA(),Capability!$L$5)</f>
        <v/>
      </c>
      <c r="CG66">
        <f>IF(OR(ISNA(CC66),ISNA(CC65)),NA(),ABS(CC66-CC65))</f>
        <v/>
      </c>
      <c r="CH66">
        <f>IF(ISNA(CB66),NA(),Capability!$N$5)</f>
        <v/>
      </c>
      <c r="CI66">
        <f>IF(ISNA(CB66),NA(),IF(OR(Capability!$Q$5="",Settings!$F$7&lt;&gt;"Y"),NA(),Capability!$Q$5))</f>
        <v/>
      </c>
      <c r="CJ66">
        <f>IF(ISNA(CB66),NA(),IF(OR(Capability!$P$5="",Settings!$F$7&lt;&gt;"Y"),NA(),Capability!$P$5))</f>
        <v/>
      </c>
      <c r="CP66">
        <f>IF((CS$1+62)&gt;CQ$1,NA(),(CS$1+62)-4)</f>
        <v/>
      </c>
      <c r="CQ66">
        <f>IF((CS$1+62)&gt;CQ$1,NA(),INDEX('Data Entry'!$I$5:$I$10004,(CS$1+62)-4))</f>
        <v/>
      </c>
      <c r="CR66">
        <f>IF(ISNA(CP66),NA(),Capability!$K$6)</f>
        <v/>
      </c>
      <c r="CS66">
        <f>IF(ISNA(CP66),NA(),Capability!$J$6)</f>
        <v/>
      </c>
      <c r="CT66">
        <f>IF(ISNA(CP66),NA(),Capability!$L$6)</f>
        <v/>
      </c>
      <c r="CU66">
        <f>IF(OR(ISNA(CQ66),ISNA(CQ65)),NA(),ABS(CQ66-CQ65))</f>
        <v/>
      </c>
      <c r="CV66">
        <f>IF(ISNA(CP66),NA(),Capability!$N$6)</f>
        <v/>
      </c>
      <c r="CW66">
        <f>IF(ISNA(CP66),NA(),IF(OR(Capability!$Q$6="",Settings!$F$7&lt;&gt;"Y"),NA(),Capability!$Q$6))</f>
        <v/>
      </c>
      <c r="CX66">
        <f>IF(ISNA(CP66),NA(),IF(OR(Capability!$P$6="",Settings!$F$7&lt;&gt;"Y"),NA(),Capability!$P$6))</f>
        <v/>
      </c>
      <c r="DD66">
        <f>IF((DG$1+62)&gt;DE$1,NA(),(DG$1+62)-4)</f>
        <v/>
      </c>
      <c r="DE66">
        <f>IF((DG$1+62)&gt;DE$1,NA(),INDEX('Data Entry'!$J$5:$J$10004,(DG$1+62)-4))</f>
        <v/>
      </c>
      <c r="DF66">
        <f>IF(ISNA(DD66),NA(),Capability!$K$7)</f>
        <v/>
      </c>
      <c r="DG66">
        <f>IF(ISNA(DD66),NA(),Capability!$J$7)</f>
        <v/>
      </c>
      <c r="DH66">
        <f>IF(ISNA(DD66),NA(),Capability!$L$7)</f>
        <v/>
      </c>
      <c r="DI66">
        <f>IF(OR(ISNA(DE66),ISNA(DE65)),NA(),ABS(DE66-DE65))</f>
        <v/>
      </c>
      <c r="DJ66">
        <f>IF(ISNA(DD66),NA(),Capability!$N$7)</f>
        <v/>
      </c>
      <c r="DK66">
        <f>IF(ISNA(DD66),NA(),IF(OR(Capability!$Q$7="",Settings!$F$7&lt;&gt;"Y"),NA(),Capability!$Q$7))</f>
        <v/>
      </c>
      <c r="DL66">
        <f>IF(ISNA(DD66),NA(),IF(OR(Capability!$P$7="",Settings!$F$7&lt;&gt;"Y"),NA(),Capability!$P$7))</f>
        <v/>
      </c>
      <c r="DR66">
        <f>IF((DU$1+62)&gt;DS$1,NA(),(DU$1+62)-4)</f>
        <v/>
      </c>
      <c r="DS66">
        <f>IF((DU$1+62)&gt;DS$1,NA(),INDEX('Data Entry'!$K$5:$K$10004,(DU$1+62)-4))</f>
        <v/>
      </c>
      <c r="DT66">
        <f>IF(ISNA(DR66),NA(),Capability!$K$8)</f>
        <v/>
      </c>
      <c r="DU66">
        <f>IF(ISNA(DR66),NA(),Capability!$J$8)</f>
        <v/>
      </c>
      <c r="DV66">
        <f>IF(ISNA(DR66),NA(),Capability!$L$8)</f>
        <v/>
      </c>
      <c r="DW66">
        <f>IF(OR(ISNA(DS66),ISNA(DS65)),NA(),ABS(DS66-DS65))</f>
        <v/>
      </c>
      <c r="DX66">
        <f>IF(ISNA(DR66),NA(),Capability!$N$8)</f>
        <v/>
      </c>
      <c r="DY66">
        <f>IF(ISNA(DR66),NA(),IF(OR(Capability!$Q$8="",Settings!$F$7&lt;&gt;"Y"),NA(),Capability!$Q$8))</f>
        <v/>
      </c>
      <c r="DZ66">
        <f>IF(ISNA(DR66),NA(),IF(OR(Capability!$P$8="",Settings!$F$7&lt;&gt;"Y"),NA(),Capability!$P$8))</f>
        <v/>
      </c>
      <c r="EF66">
        <f>IF((EI$1+62)&gt;EG$1,NA(),(EI$1+62)-4)</f>
        <v/>
      </c>
      <c r="EG66">
        <f>IF((EI$1+62)&gt;EG$1,NA(),INDEX('Data Entry'!$L$5:$L$10004,(EI$1+62)-4))</f>
        <v/>
      </c>
      <c r="EH66">
        <f>IF(ISNA(EF66),NA(),Capability!$K$9)</f>
        <v/>
      </c>
      <c r="EI66">
        <f>IF(ISNA(EF66),NA(),Capability!$J$9)</f>
        <v/>
      </c>
      <c r="EJ66">
        <f>IF(ISNA(EF66),NA(),Capability!$L$9)</f>
        <v/>
      </c>
      <c r="EK66">
        <f>IF(OR(ISNA(EG66),ISNA(EG65)),NA(),ABS(EG66-EG65))</f>
        <v/>
      </c>
      <c r="EL66">
        <f>IF(ISNA(EF66),NA(),Capability!$N$9)</f>
        <v/>
      </c>
      <c r="EM66">
        <f>IF(ISNA(EF66),NA(),IF(OR(Capability!$Q$9="",Settings!$F$7&lt;&gt;"Y"),NA(),Capability!$Q$9))</f>
        <v/>
      </c>
      <c r="EN66">
        <f>IF(ISNA(EF66),NA(),IF(OR(Capability!$P$9="",Settings!$F$7&lt;&gt;"Y"),NA(),Capability!$P$9))</f>
        <v/>
      </c>
      <c r="ET66">
        <f>IF((EW$1+62)&gt;EU$1,NA(),(EW$1+62)-4)</f>
        <v/>
      </c>
      <c r="EU66">
        <f>IF((EW$1+62)&gt;EU$1,NA(),INDEX('Data Entry'!$M$5:$M$10004,(EW$1+62)-4))</f>
        <v/>
      </c>
      <c r="EV66">
        <f>IF(ISNA(ET66),NA(),Capability!$K$10)</f>
        <v/>
      </c>
      <c r="EW66">
        <f>IF(ISNA(ET66),NA(),Capability!$J$10)</f>
        <v/>
      </c>
      <c r="EX66">
        <f>IF(ISNA(ET66),NA(),Capability!$L$10)</f>
        <v/>
      </c>
      <c r="EY66">
        <f>IF(OR(ISNA(EU66),ISNA(EU65)),NA(),ABS(EU66-EU65))</f>
        <v/>
      </c>
      <c r="EZ66">
        <f>IF(ISNA(ET66),NA(),Capability!$N$10)</f>
        <v/>
      </c>
      <c r="FA66">
        <f>IF(ISNA(ET66),NA(),IF(OR(Capability!$Q$10="",Settings!$F$7&lt;&gt;"Y"),NA(),Capability!$Q$10))</f>
        <v/>
      </c>
      <c r="FB66">
        <f>IF(ISNA(ET66),NA(),IF(OR(Capability!$P$10="",Settings!$F$7&lt;&gt;"Y"),NA(),Capability!$P$10))</f>
        <v/>
      </c>
      <c r="FH66">
        <f>IF((FK$1+62)&gt;FI$1,NA(),(FK$1+62)-4)</f>
        <v/>
      </c>
      <c r="FI66">
        <f>IF((FK$1+62)&gt;FI$1,NA(),INDEX('Data Entry'!$N$5:$N$10004,(FK$1+62)-4))</f>
        <v/>
      </c>
      <c r="FJ66">
        <f>IF(ISNA(FH66),NA(),Capability!$K$11)</f>
        <v/>
      </c>
      <c r="FK66">
        <f>IF(ISNA(FH66),NA(),Capability!$J$11)</f>
        <v/>
      </c>
      <c r="FL66">
        <f>IF(ISNA(FH66),NA(),Capability!$L$11)</f>
        <v/>
      </c>
      <c r="FM66">
        <f>IF(OR(ISNA(FI66),ISNA(FI65)),NA(),ABS(FI66-FI65))</f>
        <v/>
      </c>
      <c r="FN66">
        <f>IF(ISNA(FH66),NA(),Capability!$N$11)</f>
        <v/>
      </c>
      <c r="FO66">
        <f>IF(ISNA(FH66),NA(),IF(OR(Capability!$Q$11="",Settings!$F$7&lt;&gt;"Y"),NA(),Capability!$Q$11))</f>
        <v/>
      </c>
      <c r="FP66">
        <f>IF(ISNA(FH66),NA(),IF(OR(Capability!$P$11="",Settings!$F$7&lt;&gt;"Y"),NA(),Capability!$P$11))</f>
        <v/>
      </c>
      <c r="FV66">
        <f>IF((FY$1+62)&gt;FW$1,NA(),(FY$1+62)-4)</f>
        <v/>
      </c>
      <c r="FW66">
        <f>IF((FY$1+62)&gt;FW$1,NA(),INDEX('Data Entry'!$O$5:$O$10004,(FY$1+62)-4))</f>
        <v/>
      </c>
      <c r="FX66">
        <f>IF(ISNA(FV66),NA(),Capability!$K$12)</f>
        <v/>
      </c>
      <c r="FY66">
        <f>IF(ISNA(FV66),NA(),Capability!$J$12)</f>
        <v/>
      </c>
      <c r="FZ66">
        <f>IF(ISNA(FV66),NA(),Capability!$L$12)</f>
        <v/>
      </c>
      <c r="GA66">
        <f>IF(OR(ISNA(FW66),ISNA(FW65)),NA(),ABS(FW66-FW65))</f>
        <v/>
      </c>
      <c r="GB66">
        <f>IF(ISNA(FV66),NA(),Capability!$N$12)</f>
        <v/>
      </c>
      <c r="GC66">
        <f>IF(ISNA(FV66),NA(),IF(OR(Capability!$Q$12="",Settings!$F$7&lt;&gt;"Y"),NA(),Capability!$Q$12))</f>
        <v/>
      </c>
      <c r="GD66">
        <f>IF(ISNA(FV66),NA(),IF(OR(Capability!$P$12="",Settings!$F$7&lt;&gt;"Y"),NA(),Capability!$P$12))</f>
        <v/>
      </c>
      <c r="GJ66">
        <f>IF((GM$1+62)&gt;GK$1,NA(),(GM$1+62)-4)</f>
        <v/>
      </c>
      <c r="GK66">
        <f>IF((GM$1+62)&gt;GK$1,NA(),INDEX('Data Entry'!$P$5:$P$10004,(GM$1+62)-4))</f>
        <v/>
      </c>
      <c r="GL66">
        <f>IF(ISNA(GJ66),NA(),Capability!$K$13)</f>
        <v/>
      </c>
      <c r="GM66">
        <f>IF(ISNA(GJ66),NA(),Capability!$J$13)</f>
        <v/>
      </c>
      <c r="GN66">
        <f>IF(ISNA(GJ66),NA(),Capability!$L$13)</f>
        <v/>
      </c>
      <c r="GO66">
        <f>IF(OR(ISNA(GK66),ISNA(GK65)),NA(),ABS(GK66-GK65))</f>
        <v/>
      </c>
      <c r="GP66">
        <f>IF(ISNA(GJ66),NA(),Capability!$N$13)</f>
        <v/>
      </c>
      <c r="GQ66">
        <f>IF(ISNA(GJ66),NA(),IF(OR(Capability!$Q$13="",Settings!$F$7&lt;&gt;"Y"),NA(),Capability!$Q$13))</f>
        <v/>
      </c>
      <c r="GR66">
        <f>IF(ISNA(GJ66),NA(),IF(OR(Capability!$P$13="",Settings!$F$7&lt;&gt;"Y"),NA(),Capability!$P$13))</f>
        <v/>
      </c>
      <c r="GX66">
        <f>IF((HA$1+62)&gt;GY$1,NA(),(HA$1+62)-4)</f>
        <v/>
      </c>
      <c r="GY66">
        <f>IF((HA$1+62)&gt;GY$1,NA(),INDEX('Data Entry'!$Q$5:$Q$10004,(HA$1+62)-4))</f>
        <v/>
      </c>
      <c r="GZ66">
        <f>IF(ISNA(GX66),NA(),Capability!$K$14)</f>
        <v/>
      </c>
      <c r="HA66">
        <f>IF(ISNA(GX66),NA(),Capability!$J$14)</f>
        <v/>
      </c>
      <c r="HB66">
        <f>IF(ISNA(GX66),NA(),Capability!$L$14)</f>
        <v/>
      </c>
      <c r="HC66">
        <f>IF(OR(ISNA(GY66),ISNA(GY65)),NA(),ABS(GY66-GY65))</f>
        <v/>
      </c>
      <c r="HD66">
        <f>IF(ISNA(GX66),NA(),Capability!$N$14)</f>
        <v/>
      </c>
      <c r="HE66">
        <f>IF(ISNA(GX66),NA(),IF(OR(Capability!$Q$14="",Settings!$F$7&lt;&gt;"Y"),NA(),Capability!$Q$14))</f>
        <v/>
      </c>
      <c r="HF66">
        <f>IF(ISNA(GX66),NA(),IF(OR(Capability!$P$14="",Settings!$F$7&lt;&gt;"Y"),NA(),Capability!$P$14))</f>
        <v/>
      </c>
    </row>
    <row r="67">
      <c r="A67" s="35" t="inlineStr">
        <is>
          <t>Cp</t>
        </is>
      </c>
      <c r="B67" s="38">
        <f>Capability!S6</f>
        <v/>
      </c>
      <c r="CB67">
        <f>IF((CE$1+63)&gt;CC$1,NA(),(CE$1+63)-4)</f>
        <v/>
      </c>
      <c r="CC67">
        <f>IF((CE$1+63)&gt;CC$1,NA(),INDEX('Data Entry'!$H$5:$H$10004,(CE$1+63)-4))</f>
        <v/>
      </c>
      <c r="CD67">
        <f>IF(ISNA(CB67),NA(),Capability!$K$5)</f>
        <v/>
      </c>
      <c r="CE67">
        <f>IF(ISNA(CB67),NA(),Capability!$J$5)</f>
        <v/>
      </c>
      <c r="CF67">
        <f>IF(ISNA(CB67),NA(),Capability!$L$5)</f>
        <v/>
      </c>
      <c r="CG67">
        <f>IF(OR(ISNA(CC67),ISNA(CC66)),NA(),ABS(CC67-CC66))</f>
        <v/>
      </c>
      <c r="CH67">
        <f>IF(ISNA(CB67),NA(),Capability!$N$5)</f>
        <v/>
      </c>
      <c r="CI67">
        <f>IF(ISNA(CB67),NA(),IF(OR(Capability!$Q$5="",Settings!$F$7&lt;&gt;"Y"),NA(),Capability!$Q$5))</f>
        <v/>
      </c>
      <c r="CJ67">
        <f>IF(ISNA(CB67),NA(),IF(OR(Capability!$P$5="",Settings!$F$7&lt;&gt;"Y"),NA(),Capability!$P$5))</f>
        <v/>
      </c>
      <c r="CP67">
        <f>IF((CS$1+63)&gt;CQ$1,NA(),(CS$1+63)-4)</f>
        <v/>
      </c>
      <c r="CQ67">
        <f>IF((CS$1+63)&gt;CQ$1,NA(),INDEX('Data Entry'!$I$5:$I$10004,(CS$1+63)-4))</f>
        <v/>
      </c>
      <c r="CR67">
        <f>IF(ISNA(CP67),NA(),Capability!$K$6)</f>
        <v/>
      </c>
      <c r="CS67">
        <f>IF(ISNA(CP67),NA(),Capability!$J$6)</f>
        <v/>
      </c>
      <c r="CT67">
        <f>IF(ISNA(CP67),NA(),Capability!$L$6)</f>
        <v/>
      </c>
      <c r="CU67">
        <f>IF(OR(ISNA(CQ67),ISNA(CQ66)),NA(),ABS(CQ67-CQ66))</f>
        <v/>
      </c>
      <c r="CV67">
        <f>IF(ISNA(CP67),NA(),Capability!$N$6)</f>
        <v/>
      </c>
      <c r="CW67">
        <f>IF(ISNA(CP67),NA(),IF(OR(Capability!$Q$6="",Settings!$F$7&lt;&gt;"Y"),NA(),Capability!$Q$6))</f>
        <v/>
      </c>
      <c r="CX67">
        <f>IF(ISNA(CP67),NA(),IF(OR(Capability!$P$6="",Settings!$F$7&lt;&gt;"Y"),NA(),Capability!$P$6))</f>
        <v/>
      </c>
      <c r="DD67">
        <f>IF((DG$1+63)&gt;DE$1,NA(),(DG$1+63)-4)</f>
        <v/>
      </c>
      <c r="DE67">
        <f>IF((DG$1+63)&gt;DE$1,NA(),INDEX('Data Entry'!$J$5:$J$10004,(DG$1+63)-4))</f>
        <v/>
      </c>
      <c r="DF67">
        <f>IF(ISNA(DD67),NA(),Capability!$K$7)</f>
        <v/>
      </c>
      <c r="DG67">
        <f>IF(ISNA(DD67),NA(),Capability!$J$7)</f>
        <v/>
      </c>
      <c r="DH67">
        <f>IF(ISNA(DD67),NA(),Capability!$L$7)</f>
        <v/>
      </c>
      <c r="DI67">
        <f>IF(OR(ISNA(DE67),ISNA(DE66)),NA(),ABS(DE67-DE66))</f>
        <v/>
      </c>
      <c r="DJ67">
        <f>IF(ISNA(DD67),NA(),Capability!$N$7)</f>
        <v/>
      </c>
      <c r="DK67">
        <f>IF(ISNA(DD67),NA(),IF(OR(Capability!$Q$7="",Settings!$F$7&lt;&gt;"Y"),NA(),Capability!$Q$7))</f>
        <v/>
      </c>
      <c r="DL67">
        <f>IF(ISNA(DD67),NA(),IF(OR(Capability!$P$7="",Settings!$F$7&lt;&gt;"Y"),NA(),Capability!$P$7))</f>
        <v/>
      </c>
      <c r="DR67">
        <f>IF((DU$1+63)&gt;DS$1,NA(),(DU$1+63)-4)</f>
        <v/>
      </c>
      <c r="DS67">
        <f>IF((DU$1+63)&gt;DS$1,NA(),INDEX('Data Entry'!$K$5:$K$10004,(DU$1+63)-4))</f>
        <v/>
      </c>
      <c r="DT67">
        <f>IF(ISNA(DR67),NA(),Capability!$K$8)</f>
        <v/>
      </c>
      <c r="DU67">
        <f>IF(ISNA(DR67),NA(),Capability!$J$8)</f>
        <v/>
      </c>
      <c r="DV67">
        <f>IF(ISNA(DR67),NA(),Capability!$L$8)</f>
        <v/>
      </c>
      <c r="DW67">
        <f>IF(OR(ISNA(DS67),ISNA(DS66)),NA(),ABS(DS67-DS66))</f>
        <v/>
      </c>
      <c r="DX67">
        <f>IF(ISNA(DR67),NA(),Capability!$N$8)</f>
        <v/>
      </c>
      <c r="DY67">
        <f>IF(ISNA(DR67),NA(),IF(OR(Capability!$Q$8="",Settings!$F$7&lt;&gt;"Y"),NA(),Capability!$Q$8))</f>
        <v/>
      </c>
      <c r="DZ67">
        <f>IF(ISNA(DR67),NA(),IF(OR(Capability!$P$8="",Settings!$F$7&lt;&gt;"Y"),NA(),Capability!$P$8))</f>
        <v/>
      </c>
      <c r="EF67">
        <f>IF((EI$1+63)&gt;EG$1,NA(),(EI$1+63)-4)</f>
        <v/>
      </c>
      <c r="EG67">
        <f>IF((EI$1+63)&gt;EG$1,NA(),INDEX('Data Entry'!$L$5:$L$10004,(EI$1+63)-4))</f>
        <v/>
      </c>
      <c r="EH67">
        <f>IF(ISNA(EF67),NA(),Capability!$K$9)</f>
        <v/>
      </c>
      <c r="EI67">
        <f>IF(ISNA(EF67),NA(),Capability!$J$9)</f>
        <v/>
      </c>
      <c r="EJ67">
        <f>IF(ISNA(EF67),NA(),Capability!$L$9)</f>
        <v/>
      </c>
      <c r="EK67">
        <f>IF(OR(ISNA(EG67),ISNA(EG66)),NA(),ABS(EG67-EG66))</f>
        <v/>
      </c>
      <c r="EL67">
        <f>IF(ISNA(EF67),NA(),Capability!$N$9)</f>
        <v/>
      </c>
      <c r="EM67">
        <f>IF(ISNA(EF67),NA(),IF(OR(Capability!$Q$9="",Settings!$F$7&lt;&gt;"Y"),NA(),Capability!$Q$9))</f>
        <v/>
      </c>
      <c r="EN67">
        <f>IF(ISNA(EF67),NA(),IF(OR(Capability!$P$9="",Settings!$F$7&lt;&gt;"Y"),NA(),Capability!$P$9))</f>
        <v/>
      </c>
      <c r="ET67">
        <f>IF((EW$1+63)&gt;EU$1,NA(),(EW$1+63)-4)</f>
        <v/>
      </c>
      <c r="EU67">
        <f>IF((EW$1+63)&gt;EU$1,NA(),INDEX('Data Entry'!$M$5:$M$10004,(EW$1+63)-4))</f>
        <v/>
      </c>
      <c r="EV67">
        <f>IF(ISNA(ET67),NA(),Capability!$K$10)</f>
        <v/>
      </c>
      <c r="EW67">
        <f>IF(ISNA(ET67),NA(),Capability!$J$10)</f>
        <v/>
      </c>
      <c r="EX67">
        <f>IF(ISNA(ET67),NA(),Capability!$L$10)</f>
        <v/>
      </c>
      <c r="EY67">
        <f>IF(OR(ISNA(EU67),ISNA(EU66)),NA(),ABS(EU67-EU66))</f>
        <v/>
      </c>
      <c r="EZ67">
        <f>IF(ISNA(ET67),NA(),Capability!$N$10)</f>
        <v/>
      </c>
      <c r="FA67">
        <f>IF(ISNA(ET67),NA(),IF(OR(Capability!$Q$10="",Settings!$F$7&lt;&gt;"Y"),NA(),Capability!$Q$10))</f>
        <v/>
      </c>
      <c r="FB67">
        <f>IF(ISNA(ET67),NA(),IF(OR(Capability!$P$10="",Settings!$F$7&lt;&gt;"Y"),NA(),Capability!$P$10))</f>
        <v/>
      </c>
      <c r="FH67">
        <f>IF((FK$1+63)&gt;FI$1,NA(),(FK$1+63)-4)</f>
        <v/>
      </c>
      <c r="FI67">
        <f>IF((FK$1+63)&gt;FI$1,NA(),INDEX('Data Entry'!$N$5:$N$10004,(FK$1+63)-4))</f>
        <v/>
      </c>
      <c r="FJ67">
        <f>IF(ISNA(FH67),NA(),Capability!$K$11)</f>
        <v/>
      </c>
      <c r="FK67">
        <f>IF(ISNA(FH67),NA(),Capability!$J$11)</f>
        <v/>
      </c>
      <c r="FL67">
        <f>IF(ISNA(FH67),NA(),Capability!$L$11)</f>
        <v/>
      </c>
      <c r="FM67">
        <f>IF(OR(ISNA(FI67),ISNA(FI66)),NA(),ABS(FI67-FI66))</f>
        <v/>
      </c>
      <c r="FN67">
        <f>IF(ISNA(FH67),NA(),Capability!$N$11)</f>
        <v/>
      </c>
      <c r="FO67">
        <f>IF(ISNA(FH67),NA(),IF(OR(Capability!$Q$11="",Settings!$F$7&lt;&gt;"Y"),NA(),Capability!$Q$11))</f>
        <v/>
      </c>
      <c r="FP67">
        <f>IF(ISNA(FH67),NA(),IF(OR(Capability!$P$11="",Settings!$F$7&lt;&gt;"Y"),NA(),Capability!$P$11))</f>
        <v/>
      </c>
      <c r="FV67">
        <f>IF((FY$1+63)&gt;FW$1,NA(),(FY$1+63)-4)</f>
        <v/>
      </c>
      <c r="FW67">
        <f>IF((FY$1+63)&gt;FW$1,NA(),INDEX('Data Entry'!$O$5:$O$10004,(FY$1+63)-4))</f>
        <v/>
      </c>
      <c r="FX67">
        <f>IF(ISNA(FV67),NA(),Capability!$K$12)</f>
        <v/>
      </c>
      <c r="FY67">
        <f>IF(ISNA(FV67),NA(),Capability!$J$12)</f>
        <v/>
      </c>
      <c r="FZ67">
        <f>IF(ISNA(FV67),NA(),Capability!$L$12)</f>
        <v/>
      </c>
      <c r="GA67">
        <f>IF(OR(ISNA(FW67),ISNA(FW66)),NA(),ABS(FW67-FW66))</f>
        <v/>
      </c>
      <c r="GB67">
        <f>IF(ISNA(FV67),NA(),Capability!$N$12)</f>
        <v/>
      </c>
      <c r="GC67">
        <f>IF(ISNA(FV67),NA(),IF(OR(Capability!$Q$12="",Settings!$F$7&lt;&gt;"Y"),NA(),Capability!$Q$12))</f>
        <v/>
      </c>
      <c r="GD67">
        <f>IF(ISNA(FV67),NA(),IF(OR(Capability!$P$12="",Settings!$F$7&lt;&gt;"Y"),NA(),Capability!$P$12))</f>
        <v/>
      </c>
      <c r="GJ67">
        <f>IF((GM$1+63)&gt;GK$1,NA(),(GM$1+63)-4)</f>
        <v/>
      </c>
      <c r="GK67">
        <f>IF((GM$1+63)&gt;GK$1,NA(),INDEX('Data Entry'!$P$5:$P$10004,(GM$1+63)-4))</f>
        <v/>
      </c>
      <c r="GL67">
        <f>IF(ISNA(GJ67),NA(),Capability!$K$13)</f>
        <v/>
      </c>
      <c r="GM67">
        <f>IF(ISNA(GJ67),NA(),Capability!$J$13)</f>
        <v/>
      </c>
      <c r="GN67">
        <f>IF(ISNA(GJ67),NA(),Capability!$L$13)</f>
        <v/>
      </c>
      <c r="GO67">
        <f>IF(OR(ISNA(GK67),ISNA(GK66)),NA(),ABS(GK67-GK66))</f>
        <v/>
      </c>
      <c r="GP67">
        <f>IF(ISNA(GJ67),NA(),Capability!$N$13)</f>
        <v/>
      </c>
      <c r="GQ67">
        <f>IF(ISNA(GJ67),NA(),IF(OR(Capability!$Q$13="",Settings!$F$7&lt;&gt;"Y"),NA(),Capability!$Q$13))</f>
        <v/>
      </c>
      <c r="GR67">
        <f>IF(ISNA(GJ67),NA(),IF(OR(Capability!$P$13="",Settings!$F$7&lt;&gt;"Y"),NA(),Capability!$P$13))</f>
        <v/>
      </c>
      <c r="GX67">
        <f>IF((HA$1+63)&gt;GY$1,NA(),(HA$1+63)-4)</f>
        <v/>
      </c>
      <c r="GY67">
        <f>IF((HA$1+63)&gt;GY$1,NA(),INDEX('Data Entry'!$Q$5:$Q$10004,(HA$1+63)-4))</f>
        <v/>
      </c>
      <c r="GZ67">
        <f>IF(ISNA(GX67),NA(),Capability!$K$14)</f>
        <v/>
      </c>
      <c r="HA67">
        <f>IF(ISNA(GX67),NA(),Capability!$J$14)</f>
        <v/>
      </c>
      <c r="HB67">
        <f>IF(ISNA(GX67),NA(),Capability!$L$14)</f>
        <v/>
      </c>
      <c r="HC67">
        <f>IF(OR(ISNA(GY67),ISNA(GY66)),NA(),ABS(GY67-GY66))</f>
        <v/>
      </c>
      <c r="HD67">
        <f>IF(ISNA(GX67),NA(),Capability!$N$14)</f>
        <v/>
      </c>
      <c r="HE67">
        <f>IF(ISNA(GX67),NA(),IF(OR(Capability!$Q$14="",Settings!$F$7&lt;&gt;"Y"),NA(),Capability!$Q$14))</f>
        <v/>
      </c>
      <c r="HF67">
        <f>IF(ISNA(GX67),NA(),IF(OR(Capability!$P$14="",Settings!$F$7&lt;&gt;"Y"),NA(),Capability!$P$14))</f>
        <v/>
      </c>
    </row>
    <row r="68">
      <c r="A68" s="35" t="inlineStr">
        <is>
          <t>Cpk</t>
        </is>
      </c>
      <c r="B68" s="38">
        <f>Capability!T6</f>
        <v/>
      </c>
      <c r="CB68">
        <f>IF((CE$1+64)&gt;CC$1,NA(),(CE$1+64)-4)</f>
        <v/>
      </c>
      <c r="CC68">
        <f>IF((CE$1+64)&gt;CC$1,NA(),INDEX('Data Entry'!$H$5:$H$10004,(CE$1+64)-4))</f>
        <v/>
      </c>
      <c r="CD68">
        <f>IF(ISNA(CB68),NA(),Capability!$K$5)</f>
        <v/>
      </c>
      <c r="CE68">
        <f>IF(ISNA(CB68),NA(),Capability!$J$5)</f>
        <v/>
      </c>
      <c r="CF68">
        <f>IF(ISNA(CB68),NA(),Capability!$L$5)</f>
        <v/>
      </c>
      <c r="CG68">
        <f>IF(OR(ISNA(CC68),ISNA(CC67)),NA(),ABS(CC68-CC67))</f>
        <v/>
      </c>
      <c r="CH68">
        <f>IF(ISNA(CB68),NA(),Capability!$N$5)</f>
        <v/>
      </c>
      <c r="CI68">
        <f>IF(ISNA(CB68),NA(),IF(OR(Capability!$Q$5="",Settings!$F$7&lt;&gt;"Y"),NA(),Capability!$Q$5))</f>
        <v/>
      </c>
      <c r="CJ68">
        <f>IF(ISNA(CB68),NA(),IF(OR(Capability!$P$5="",Settings!$F$7&lt;&gt;"Y"),NA(),Capability!$P$5))</f>
        <v/>
      </c>
      <c r="CP68">
        <f>IF((CS$1+64)&gt;CQ$1,NA(),(CS$1+64)-4)</f>
        <v/>
      </c>
      <c r="CQ68">
        <f>IF((CS$1+64)&gt;CQ$1,NA(),INDEX('Data Entry'!$I$5:$I$10004,(CS$1+64)-4))</f>
        <v/>
      </c>
      <c r="CR68">
        <f>IF(ISNA(CP68),NA(),Capability!$K$6)</f>
        <v/>
      </c>
      <c r="CS68">
        <f>IF(ISNA(CP68),NA(),Capability!$J$6)</f>
        <v/>
      </c>
      <c r="CT68">
        <f>IF(ISNA(CP68),NA(),Capability!$L$6)</f>
        <v/>
      </c>
      <c r="CU68">
        <f>IF(OR(ISNA(CQ68),ISNA(CQ67)),NA(),ABS(CQ68-CQ67))</f>
        <v/>
      </c>
      <c r="CV68">
        <f>IF(ISNA(CP68),NA(),Capability!$N$6)</f>
        <v/>
      </c>
      <c r="CW68">
        <f>IF(ISNA(CP68),NA(),IF(OR(Capability!$Q$6="",Settings!$F$7&lt;&gt;"Y"),NA(),Capability!$Q$6))</f>
        <v/>
      </c>
      <c r="CX68">
        <f>IF(ISNA(CP68),NA(),IF(OR(Capability!$P$6="",Settings!$F$7&lt;&gt;"Y"),NA(),Capability!$P$6))</f>
        <v/>
      </c>
      <c r="DD68">
        <f>IF((DG$1+64)&gt;DE$1,NA(),(DG$1+64)-4)</f>
        <v/>
      </c>
      <c r="DE68">
        <f>IF((DG$1+64)&gt;DE$1,NA(),INDEX('Data Entry'!$J$5:$J$10004,(DG$1+64)-4))</f>
        <v/>
      </c>
      <c r="DF68">
        <f>IF(ISNA(DD68),NA(),Capability!$K$7)</f>
        <v/>
      </c>
      <c r="DG68">
        <f>IF(ISNA(DD68),NA(),Capability!$J$7)</f>
        <v/>
      </c>
      <c r="DH68">
        <f>IF(ISNA(DD68),NA(),Capability!$L$7)</f>
        <v/>
      </c>
      <c r="DI68">
        <f>IF(OR(ISNA(DE68),ISNA(DE67)),NA(),ABS(DE68-DE67))</f>
        <v/>
      </c>
      <c r="DJ68">
        <f>IF(ISNA(DD68),NA(),Capability!$N$7)</f>
        <v/>
      </c>
      <c r="DK68">
        <f>IF(ISNA(DD68),NA(),IF(OR(Capability!$Q$7="",Settings!$F$7&lt;&gt;"Y"),NA(),Capability!$Q$7))</f>
        <v/>
      </c>
      <c r="DL68">
        <f>IF(ISNA(DD68),NA(),IF(OR(Capability!$P$7="",Settings!$F$7&lt;&gt;"Y"),NA(),Capability!$P$7))</f>
        <v/>
      </c>
      <c r="DR68">
        <f>IF((DU$1+64)&gt;DS$1,NA(),(DU$1+64)-4)</f>
        <v/>
      </c>
      <c r="DS68">
        <f>IF((DU$1+64)&gt;DS$1,NA(),INDEX('Data Entry'!$K$5:$K$10004,(DU$1+64)-4))</f>
        <v/>
      </c>
      <c r="DT68">
        <f>IF(ISNA(DR68),NA(),Capability!$K$8)</f>
        <v/>
      </c>
      <c r="DU68">
        <f>IF(ISNA(DR68),NA(),Capability!$J$8)</f>
        <v/>
      </c>
      <c r="DV68">
        <f>IF(ISNA(DR68),NA(),Capability!$L$8)</f>
        <v/>
      </c>
      <c r="DW68">
        <f>IF(OR(ISNA(DS68),ISNA(DS67)),NA(),ABS(DS68-DS67))</f>
        <v/>
      </c>
      <c r="DX68">
        <f>IF(ISNA(DR68),NA(),Capability!$N$8)</f>
        <v/>
      </c>
      <c r="DY68">
        <f>IF(ISNA(DR68),NA(),IF(OR(Capability!$Q$8="",Settings!$F$7&lt;&gt;"Y"),NA(),Capability!$Q$8))</f>
        <v/>
      </c>
      <c r="DZ68">
        <f>IF(ISNA(DR68),NA(),IF(OR(Capability!$P$8="",Settings!$F$7&lt;&gt;"Y"),NA(),Capability!$P$8))</f>
        <v/>
      </c>
      <c r="EF68">
        <f>IF((EI$1+64)&gt;EG$1,NA(),(EI$1+64)-4)</f>
        <v/>
      </c>
      <c r="EG68">
        <f>IF((EI$1+64)&gt;EG$1,NA(),INDEX('Data Entry'!$L$5:$L$10004,(EI$1+64)-4))</f>
        <v/>
      </c>
      <c r="EH68">
        <f>IF(ISNA(EF68),NA(),Capability!$K$9)</f>
        <v/>
      </c>
      <c r="EI68">
        <f>IF(ISNA(EF68),NA(),Capability!$J$9)</f>
        <v/>
      </c>
      <c r="EJ68">
        <f>IF(ISNA(EF68),NA(),Capability!$L$9)</f>
        <v/>
      </c>
      <c r="EK68">
        <f>IF(OR(ISNA(EG68),ISNA(EG67)),NA(),ABS(EG68-EG67))</f>
        <v/>
      </c>
      <c r="EL68">
        <f>IF(ISNA(EF68),NA(),Capability!$N$9)</f>
        <v/>
      </c>
      <c r="EM68">
        <f>IF(ISNA(EF68),NA(),IF(OR(Capability!$Q$9="",Settings!$F$7&lt;&gt;"Y"),NA(),Capability!$Q$9))</f>
        <v/>
      </c>
      <c r="EN68">
        <f>IF(ISNA(EF68),NA(),IF(OR(Capability!$P$9="",Settings!$F$7&lt;&gt;"Y"),NA(),Capability!$P$9))</f>
        <v/>
      </c>
      <c r="ET68">
        <f>IF((EW$1+64)&gt;EU$1,NA(),(EW$1+64)-4)</f>
        <v/>
      </c>
      <c r="EU68">
        <f>IF((EW$1+64)&gt;EU$1,NA(),INDEX('Data Entry'!$M$5:$M$10004,(EW$1+64)-4))</f>
        <v/>
      </c>
      <c r="EV68">
        <f>IF(ISNA(ET68),NA(),Capability!$K$10)</f>
        <v/>
      </c>
      <c r="EW68">
        <f>IF(ISNA(ET68),NA(),Capability!$J$10)</f>
        <v/>
      </c>
      <c r="EX68">
        <f>IF(ISNA(ET68),NA(),Capability!$L$10)</f>
        <v/>
      </c>
      <c r="EY68">
        <f>IF(OR(ISNA(EU68),ISNA(EU67)),NA(),ABS(EU68-EU67))</f>
        <v/>
      </c>
      <c r="EZ68">
        <f>IF(ISNA(ET68),NA(),Capability!$N$10)</f>
        <v/>
      </c>
      <c r="FA68">
        <f>IF(ISNA(ET68),NA(),IF(OR(Capability!$Q$10="",Settings!$F$7&lt;&gt;"Y"),NA(),Capability!$Q$10))</f>
        <v/>
      </c>
      <c r="FB68">
        <f>IF(ISNA(ET68),NA(),IF(OR(Capability!$P$10="",Settings!$F$7&lt;&gt;"Y"),NA(),Capability!$P$10))</f>
        <v/>
      </c>
      <c r="FH68">
        <f>IF((FK$1+64)&gt;FI$1,NA(),(FK$1+64)-4)</f>
        <v/>
      </c>
      <c r="FI68">
        <f>IF((FK$1+64)&gt;FI$1,NA(),INDEX('Data Entry'!$N$5:$N$10004,(FK$1+64)-4))</f>
        <v/>
      </c>
      <c r="FJ68">
        <f>IF(ISNA(FH68),NA(),Capability!$K$11)</f>
        <v/>
      </c>
      <c r="FK68">
        <f>IF(ISNA(FH68),NA(),Capability!$J$11)</f>
        <v/>
      </c>
      <c r="FL68">
        <f>IF(ISNA(FH68),NA(),Capability!$L$11)</f>
        <v/>
      </c>
      <c r="FM68">
        <f>IF(OR(ISNA(FI68),ISNA(FI67)),NA(),ABS(FI68-FI67))</f>
        <v/>
      </c>
      <c r="FN68">
        <f>IF(ISNA(FH68),NA(),Capability!$N$11)</f>
        <v/>
      </c>
      <c r="FO68">
        <f>IF(ISNA(FH68),NA(),IF(OR(Capability!$Q$11="",Settings!$F$7&lt;&gt;"Y"),NA(),Capability!$Q$11))</f>
        <v/>
      </c>
      <c r="FP68">
        <f>IF(ISNA(FH68),NA(),IF(OR(Capability!$P$11="",Settings!$F$7&lt;&gt;"Y"),NA(),Capability!$P$11))</f>
        <v/>
      </c>
      <c r="FV68">
        <f>IF((FY$1+64)&gt;FW$1,NA(),(FY$1+64)-4)</f>
        <v/>
      </c>
      <c r="FW68">
        <f>IF((FY$1+64)&gt;FW$1,NA(),INDEX('Data Entry'!$O$5:$O$10004,(FY$1+64)-4))</f>
        <v/>
      </c>
      <c r="FX68">
        <f>IF(ISNA(FV68),NA(),Capability!$K$12)</f>
        <v/>
      </c>
      <c r="FY68">
        <f>IF(ISNA(FV68),NA(),Capability!$J$12)</f>
        <v/>
      </c>
      <c r="FZ68">
        <f>IF(ISNA(FV68),NA(),Capability!$L$12)</f>
        <v/>
      </c>
      <c r="GA68">
        <f>IF(OR(ISNA(FW68),ISNA(FW67)),NA(),ABS(FW68-FW67))</f>
        <v/>
      </c>
      <c r="GB68">
        <f>IF(ISNA(FV68),NA(),Capability!$N$12)</f>
        <v/>
      </c>
      <c r="GC68">
        <f>IF(ISNA(FV68),NA(),IF(OR(Capability!$Q$12="",Settings!$F$7&lt;&gt;"Y"),NA(),Capability!$Q$12))</f>
        <v/>
      </c>
      <c r="GD68">
        <f>IF(ISNA(FV68),NA(),IF(OR(Capability!$P$12="",Settings!$F$7&lt;&gt;"Y"),NA(),Capability!$P$12))</f>
        <v/>
      </c>
      <c r="GJ68">
        <f>IF((GM$1+64)&gt;GK$1,NA(),(GM$1+64)-4)</f>
        <v/>
      </c>
      <c r="GK68">
        <f>IF((GM$1+64)&gt;GK$1,NA(),INDEX('Data Entry'!$P$5:$P$10004,(GM$1+64)-4))</f>
        <v/>
      </c>
      <c r="GL68">
        <f>IF(ISNA(GJ68),NA(),Capability!$K$13)</f>
        <v/>
      </c>
      <c r="GM68">
        <f>IF(ISNA(GJ68),NA(),Capability!$J$13)</f>
        <v/>
      </c>
      <c r="GN68">
        <f>IF(ISNA(GJ68),NA(),Capability!$L$13)</f>
        <v/>
      </c>
      <c r="GO68">
        <f>IF(OR(ISNA(GK68),ISNA(GK67)),NA(),ABS(GK68-GK67))</f>
        <v/>
      </c>
      <c r="GP68">
        <f>IF(ISNA(GJ68),NA(),Capability!$N$13)</f>
        <v/>
      </c>
      <c r="GQ68">
        <f>IF(ISNA(GJ68),NA(),IF(OR(Capability!$Q$13="",Settings!$F$7&lt;&gt;"Y"),NA(),Capability!$Q$13))</f>
        <v/>
      </c>
      <c r="GR68">
        <f>IF(ISNA(GJ68),NA(),IF(OR(Capability!$P$13="",Settings!$F$7&lt;&gt;"Y"),NA(),Capability!$P$13))</f>
        <v/>
      </c>
      <c r="GX68">
        <f>IF((HA$1+64)&gt;GY$1,NA(),(HA$1+64)-4)</f>
        <v/>
      </c>
      <c r="GY68">
        <f>IF((HA$1+64)&gt;GY$1,NA(),INDEX('Data Entry'!$Q$5:$Q$10004,(HA$1+64)-4))</f>
        <v/>
      </c>
      <c r="GZ68">
        <f>IF(ISNA(GX68),NA(),Capability!$K$14)</f>
        <v/>
      </c>
      <c r="HA68">
        <f>IF(ISNA(GX68),NA(),Capability!$J$14)</f>
        <v/>
      </c>
      <c r="HB68">
        <f>IF(ISNA(GX68),NA(),Capability!$L$14)</f>
        <v/>
      </c>
      <c r="HC68">
        <f>IF(OR(ISNA(GY68),ISNA(GY67)),NA(),ABS(GY68-GY67))</f>
        <v/>
      </c>
      <c r="HD68">
        <f>IF(ISNA(GX68),NA(),Capability!$N$14)</f>
        <v/>
      </c>
      <c r="HE68">
        <f>IF(ISNA(GX68),NA(),IF(OR(Capability!$Q$14="",Settings!$F$7&lt;&gt;"Y"),NA(),Capability!$Q$14))</f>
        <v/>
      </c>
      <c r="HF68">
        <f>IF(ISNA(GX68),NA(),IF(OR(Capability!$P$14="",Settings!$F$7&lt;&gt;"Y"),NA(),Capability!$P$14))</f>
        <v/>
      </c>
    </row>
    <row r="69">
      <c r="A69" s="35" t="inlineStr">
        <is>
          <t>Pp</t>
        </is>
      </c>
      <c r="B69" s="38">
        <f>Capability!U6</f>
        <v/>
      </c>
      <c r="CB69">
        <f>IF((CE$1+65)&gt;CC$1,NA(),(CE$1+65)-4)</f>
        <v/>
      </c>
      <c r="CC69">
        <f>IF((CE$1+65)&gt;CC$1,NA(),INDEX('Data Entry'!$H$5:$H$10004,(CE$1+65)-4))</f>
        <v/>
      </c>
      <c r="CD69">
        <f>IF(ISNA(CB69),NA(),Capability!$K$5)</f>
        <v/>
      </c>
      <c r="CE69">
        <f>IF(ISNA(CB69),NA(),Capability!$J$5)</f>
        <v/>
      </c>
      <c r="CF69">
        <f>IF(ISNA(CB69),NA(),Capability!$L$5)</f>
        <v/>
      </c>
      <c r="CG69">
        <f>IF(OR(ISNA(CC69),ISNA(CC68)),NA(),ABS(CC69-CC68))</f>
        <v/>
      </c>
      <c r="CH69">
        <f>IF(ISNA(CB69),NA(),Capability!$N$5)</f>
        <v/>
      </c>
      <c r="CI69">
        <f>IF(ISNA(CB69),NA(),IF(OR(Capability!$Q$5="",Settings!$F$7&lt;&gt;"Y"),NA(),Capability!$Q$5))</f>
        <v/>
      </c>
      <c r="CJ69">
        <f>IF(ISNA(CB69),NA(),IF(OR(Capability!$P$5="",Settings!$F$7&lt;&gt;"Y"),NA(),Capability!$P$5))</f>
        <v/>
      </c>
      <c r="CP69">
        <f>IF((CS$1+65)&gt;CQ$1,NA(),(CS$1+65)-4)</f>
        <v/>
      </c>
      <c r="CQ69">
        <f>IF((CS$1+65)&gt;CQ$1,NA(),INDEX('Data Entry'!$I$5:$I$10004,(CS$1+65)-4))</f>
        <v/>
      </c>
      <c r="CR69">
        <f>IF(ISNA(CP69),NA(),Capability!$K$6)</f>
        <v/>
      </c>
      <c r="CS69">
        <f>IF(ISNA(CP69),NA(),Capability!$J$6)</f>
        <v/>
      </c>
      <c r="CT69">
        <f>IF(ISNA(CP69),NA(),Capability!$L$6)</f>
        <v/>
      </c>
      <c r="CU69">
        <f>IF(OR(ISNA(CQ69),ISNA(CQ68)),NA(),ABS(CQ69-CQ68))</f>
        <v/>
      </c>
      <c r="CV69">
        <f>IF(ISNA(CP69),NA(),Capability!$N$6)</f>
        <v/>
      </c>
      <c r="CW69">
        <f>IF(ISNA(CP69),NA(),IF(OR(Capability!$Q$6="",Settings!$F$7&lt;&gt;"Y"),NA(),Capability!$Q$6))</f>
        <v/>
      </c>
      <c r="CX69">
        <f>IF(ISNA(CP69),NA(),IF(OR(Capability!$P$6="",Settings!$F$7&lt;&gt;"Y"),NA(),Capability!$P$6))</f>
        <v/>
      </c>
      <c r="DD69">
        <f>IF((DG$1+65)&gt;DE$1,NA(),(DG$1+65)-4)</f>
        <v/>
      </c>
      <c r="DE69">
        <f>IF((DG$1+65)&gt;DE$1,NA(),INDEX('Data Entry'!$J$5:$J$10004,(DG$1+65)-4))</f>
        <v/>
      </c>
      <c r="DF69">
        <f>IF(ISNA(DD69),NA(),Capability!$K$7)</f>
        <v/>
      </c>
      <c r="DG69">
        <f>IF(ISNA(DD69),NA(),Capability!$J$7)</f>
        <v/>
      </c>
      <c r="DH69">
        <f>IF(ISNA(DD69),NA(),Capability!$L$7)</f>
        <v/>
      </c>
      <c r="DI69">
        <f>IF(OR(ISNA(DE69),ISNA(DE68)),NA(),ABS(DE69-DE68))</f>
        <v/>
      </c>
      <c r="DJ69">
        <f>IF(ISNA(DD69),NA(),Capability!$N$7)</f>
        <v/>
      </c>
      <c r="DK69">
        <f>IF(ISNA(DD69),NA(),IF(OR(Capability!$Q$7="",Settings!$F$7&lt;&gt;"Y"),NA(),Capability!$Q$7))</f>
        <v/>
      </c>
      <c r="DL69">
        <f>IF(ISNA(DD69),NA(),IF(OR(Capability!$P$7="",Settings!$F$7&lt;&gt;"Y"),NA(),Capability!$P$7))</f>
        <v/>
      </c>
      <c r="DR69">
        <f>IF((DU$1+65)&gt;DS$1,NA(),(DU$1+65)-4)</f>
        <v/>
      </c>
      <c r="DS69">
        <f>IF((DU$1+65)&gt;DS$1,NA(),INDEX('Data Entry'!$K$5:$K$10004,(DU$1+65)-4))</f>
        <v/>
      </c>
      <c r="DT69">
        <f>IF(ISNA(DR69),NA(),Capability!$K$8)</f>
        <v/>
      </c>
      <c r="DU69">
        <f>IF(ISNA(DR69),NA(),Capability!$J$8)</f>
        <v/>
      </c>
      <c r="DV69">
        <f>IF(ISNA(DR69),NA(),Capability!$L$8)</f>
        <v/>
      </c>
      <c r="DW69">
        <f>IF(OR(ISNA(DS69),ISNA(DS68)),NA(),ABS(DS69-DS68))</f>
        <v/>
      </c>
      <c r="DX69">
        <f>IF(ISNA(DR69),NA(),Capability!$N$8)</f>
        <v/>
      </c>
      <c r="DY69">
        <f>IF(ISNA(DR69),NA(),IF(OR(Capability!$Q$8="",Settings!$F$7&lt;&gt;"Y"),NA(),Capability!$Q$8))</f>
        <v/>
      </c>
      <c r="DZ69">
        <f>IF(ISNA(DR69),NA(),IF(OR(Capability!$P$8="",Settings!$F$7&lt;&gt;"Y"),NA(),Capability!$P$8))</f>
        <v/>
      </c>
      <c r="EF69">
        <f>IF((EI$1+65)&gt;EG$1,NA(),(EI$1+65)-4)</f>
        <v/>
      </c>
      <c r="EG69">
        <f>IF((EI$1+65)&gt;EG$1,NA(),INDEX('Data Entry'!$L$5:$L$10004,(EI$1+65)-4))</f>
        <v/>
      </c>
      <c r="EH69">
        <f>IF(ISNA(EF69),NA(),Capability!$K$9)</f>
        <v/>
      </c>
      <c r="EI69">
        <f>IF(ISNA(EF69),NA(),Capability!$J$9)</f>
        <v/>
      </c>
      <c r="EJ69">
        <f>IF(ISNA(EF69),NA(),Capability!$L$9)</f>
        <v/>
      </c>
      <c r="EK69">
        <f>IF(OR(ISNA(EG69),ISNA(EG68)),NA(),ABS(EG69-EG68))</f>
        <v/>
      </c>
      <c r="EL69">
        <f>IF(ISNA(EF69),NA(),Capability!$N$9)</f>
        <v/>
      </c>
      <c r="EM69">
        <f>IF(ISNA(EF69),NA(),IF(OR(Capability!$Q$9="",Settings!$F$7&lt;&gt;"Y"),NA(),Capability!$Q$9))</f>
        <v/>
      </c>
      <c r="EN69">
        <f>IF(ISNA(EF69),NA(),IF(OR(Capability!$P$9="",Settings!$F$7&lt;&gt;"Y"),NA(),Capability!$P$9))</f>
        <v/>
      </c>
      <c r="ET69">
        <f>IF((EW$1+65)&gt;EU$1,NA(),(EW$1+65)-4)</f>
        <v/>
      </c>
      <c r="EU69">
        <f>IF((EW$1+65)&gt;EU$1,NA(),INDEX('Data Entry'!$M$5:$M$10004,(EW$1+65)-4))</f>
        <v/>
      </c>
      <c r="EV69">
        <f>IF(ISNA(ET69),NA(),Capability!$K$10)</f>
        <v/>
      </c>
      <c r="EW69">
        <f>IF(ISNA(ET69),NA(),Capability!$J$10)</f>
        <v/>
      </c>
      <c r="EX69">
        <f>IF(ISNA(ET69),NA(),Capability!$L$10)</f>
        <v/>
      </c>
      <c r="EY69">
        <f>IF(OR(ISNA(EU69),ISNA(EU68)),NA(),ABS(EU69-EU68))</f>
        <v/>
      </c>
      <c r="EZ69">
        <f>IF(ISNA(ET69),NA(),Capability!$N$10)</f>
        <v/>
      </c>
      <c r="FA69">
        <f>IF(ISNA(ET69),NA(),IF(OR(Capability!$Q$10="",Settings!$F$7&lt;&gt;"Y"),NA(),Capability!$Q$10))</f>
        <v/>
      </c>
      <c r="FB69">
        <f>IF(ISNA(ET69),NA(),IF(OR(Capability!$P$10="",Settings!$F$7&lt;&gt;"Y"),NA(),Capability!$P$10))</f>
        <v/>
      </c>
      <c r="FH69">
        <f>IF((FK$1+65)&gt;FI$1,NA(),(FK$1+65)-4)</f>
        <v/>
      </c>
      <c r="FI69">
        <f>IF((FK$1+65)&gt;FI$1,NA(),INDEX('Data Entry'!$N$5:$N$10004,(FK$1+65)-4))</f>
        <v/>
      </c>
      <c r="FJ69">
        <f>IF(ISNA(FH69),NA(),Capability!$K$11)</f>
        <v/>
      </c>
      <c r="FK69">
        <f>IF(ISNA(FH69),NA(),Capability!$J$11)</f>
        <v/>
      </c>
      <c r="FL69">
        <f>IF(ISNA(FH69),NA(),Capability!$L$11)</f>
        <v/>
      </c>
      <c r="FM69">
        <f>IF(OR(ISNA(FI69),ISNA(FI68)),NA(),ABS(FI69-FI68))</f>
        <v/>
      </c>
      <c r="FN69">
        <f>IF(ISNA(FH69),NA(),Capability!$N$11)</f>
        <v/>
      </c>
      <c r="FO69">
        <f>IF(ISNA(FH69),NA(),IF(OR(Capability!$Q$11="",Settings!$F$7&lt;&gt;"Y"),NA(),Capability!$Q$11))</f>
        <v/>
      </c>
      <c r="FP69">
        <f>IF(ISNA(FH69),NA(),IF(OR(Capability!$P$11="",Settings!$F$7&lt;&gt;"Y"),NA(),Capability!$P$11))</f>
        <v/>
      </c>
      <c r="FV69">
        <f>IF((FY$1+65)&gt;FW$1,NA(),(FY$1+65)-4)</f>
        <v/>
      </c>
      <c r="FW69">
        <f>IF((FY$1+65)&gt;FW$1,NA(),INDEX('Data Entry'!$O$5:$O$10004,(FY$1+65)-4))</f>
        <v/>
      </c>
      <c r="FX69">
        <f>IF(ISNA(FV69),NA(),Capability!$K$12)</f>
        <v/>
      </c>
      <c r="FY69">
        <f>IF(ISNA(FV69),NA(),Capability!$J$12)</f>
        <v/>
      </c>
      <c r="FZ69">
        <f>IF(ISNA(FV69),NA(),Capability!$L$12)</f>
        <v/>
      </c>
      <c r="GA69">
        <f>IF(OR(ISNA(FW69),ISNA(FW68)),NA(),ABS(FW69-FW68))</f>
        <v/>
      </c>
      <c r="GB69">
        <f>IF(ISNA(FV69),NA(),Capability!$N$12)</f>
        <v/>
      </c>
      <c r="GC69">
        <f>IF(ISNA(FV69),NA(),IF(OR(Capability!$Q$12="",Settings!$F$7&lt;&gt;"Y"),NA(),Capability!$Q$12))</f>
        <v/>
      </c>
      <c r="GD69">
        <f>IF(ISNA(FV69),NA(),IF(OR(Capability!$P$12="",Settings!$F$7&lt;&gt;"Y"),NA(),Capability!$P$12))</f>
        <v/>
      </c>
      <c r="GJ69">
        <f>IF((GM$1+65)&gt;GK$1,NA(),(GM$1+65)-4)</f>
        <v/>
      </c>
      <c r="GK69">
        <f>IF((GM$1+65)&gt;GK$1,NA(),INDEX('Data Entry'!$P$5:$P$10004,(GM$1+65)-4))</f>
        <v/>
      </c>
      <c r="GL69">
        <f>IF(ISNA(GJ69),NA(),Capability!$K$13)</f>
        <v/>
      </c>
      <c r="GM69">
        <f>IF(ISNA(GJ69),NA(),Capability!$J$13)</f>
        <v/>
      </c>
      <c r="GN69">
        <f>IF(ISNA(GJ69),NA(),Capability!$L$13)</f>
        <v/>
      </c>
      <c r="GO69">
        <f>IF(OR(ISNA(GK69),ISNA(GK68)),NA(),ABS(GK69-GK68))</f>
        <v/>
      </c>
      <c r="GP69">
        <f>IF(ISNA(GJ69),NA(),Capability!$N$13)</f>
        <v/>
      </c>
      <c r="GQ69">
        <f>IF(ISNA(GJ69),NA(),IF(OR(Capability!$Q$13="",Settings!$F$7&lt;&gt;"Y"),NA(),Capability!$Q$13))</f>
        <v/>
      </c>
      <c r="GR69">
        <f>IF(ISNA(GJ69),NA(),IF(OR(Capability!$P$13="",Settings!$F$7&lt;&gt;"Y"),NA(),Capability!$P$13))</f>
        <v/>
      </c>
      <c r="GX69">
        <f>IF((HA$1+65)&gt;GY$1,NA(),(HA$1+65)-4)</f>
        <v/>
      </c>
      <c r="GY69">
        <f>IF((HA$1+65)&gt;GY$1,NA(),INDEX('Data Entry'!$Q$5:$Q$10004,(HA$1+65)-4))</f>
        <v/>
      </c>
      <c r="GZ69">
        <f>IF(ISNA(GX69),NA(),Capability!$K$14)</f>
        <v/>
      </c>
      <c r="HA69">
        <f>IF(ISNA(GX69),NA(),Capability!$J$14)</f>
        <v/>
      </c>
      <c r="HB69">
        <f>IF(ISNA(GX69),NA(),Capability!$L$14)</f>
        <v/>
      </c>
      <c r="HC69">
        <f>IF(OR(ISNA(GY69),ISNA(GY68)),NA(),ABS(GY69-GY68))</f>
        <v/>
      </c>
      <c r="HD69">
        <f>IF(ISNA(GX69),NA(),Capability!$N$14)</f>
        <v/>
      </c>
      <c r="HE69">
        <f>IF(ISNA(GX69),NA(),IF(OR(Capability!$Q$14="",Settings!$F$7&lt;&gt;"Y"),NA(),Capability!$Q$14))</f>
        <v/>
      </c>
      <c r="HF69">
        <f>IF(ISNA(GX69),NA(),IF(OR(Capability!$P$14="",Settings!$F$7&lt;&gt;"Y"),NA(),Capability!$P$14))</f>
        <v/>
      </c>
    </row>
    <row r="70">
      <c r="A70" s="35" t="inlineStr">
        <is>
          <t>Ppk</t>
        </is>
      </c>
      <c r="B70" s="38">
        <f>Capability!V6</f>
        <v/>
      </c>
      <c r="CB70">
        <f>IF((CE$1+66)&gt;CC$1,NA(),(CE$1+66)-4)</f>
        <v/>
      </c>
      <c r="CC70">
        <f>IF((CE$1+66)&gt;CC$1,NA(),INDEX('Data Entry'!$H$5:$H$10004,(CE$1+66)-4))</f>
        <v/>
      </c>
      <c r="CD70">
        <f>IF(ISNA(CB70),NA(),Capability!$K$5)</f>
        <v/>
      </c>
      <c r="CE70">
        <f>IF(ISNA(CB70),NA(),Capability!$J$5)</f>
        <v/>
      </c>
      <c r="CF70">
        <f>IF(ISNA(CB70),NA(),Capability!$L$5)</f>
        <v/>
      </c>
      <c r="CG70">
        <f>IF(OR(ISNA(CC70),ISNA(CC69)),NA(),ABS(CC70-CC69))</f>
        <v/>
      </c>
      <c r="CH70">
        <f>IF(ISNA(CB70),NA(),Capability!$N$5)</f>
        <v/>
      </c>
      <c r="CI70">
        <f>IF(ISNA(CB70),NA(),IF(OR(Capability!$Q$5="",Settings!$F$7&lt;&gt;"Y"),NA(),Capability!$Q$5))</f>
        <v/>
      </c>
      <c r="CJ70">
        <f>IF(ISNA(CB70),NA(),IF(OR(Capability!$P$5="",Settings!$F$7&lt;&gt;"Y"),NA(),Capability!$P$5))</f>
        <v/>
      </c>
      <c r="CP70">
        <f>IF((CS$1+66)&gt;CQ$1,NA(),(CS$1+66)-4)</f>
        <v/>
      </c>
      <c r="CQ70">
        <f>IF((CS$1+66)&gt;CQ$1,NA(),INDEX('Data Entry'!$I$5:$I$10004,(CS$1+66)-4))</f>
        <v/>
      </c>
      <c r="CR70">
        <f>IF(ISNA(CP70),NA(),Capability!$K$6)</f>
        <v/>
      </c>
      <c r="CS70">
        <f>IF(ISNA(CP70),NA(),Capability!$J$6)</f>
        <v/>
      </c>
      <c r="CT70">
        <f>IF(ISNA(CP70),NA(),Capability!$L$6)</f>
        <v/>
      </c>
      <c r="CU70">
        <f>IF(OR(ISNA(CQ70),ISNA(CQ69)),NA(),ABS(CQ70-CQ69))</f>
        <v/>
      </c>
      <c r="CV70">
        <f>IF(ISNA(CP70),NA(),Capability!$N$6)</f>
        <v/>
      </c>
      <c r="CW70">
        <f>IF(ISNA(CP70),NA(),IF(OR(Capability!$Q$6="",Settings!$F$7&lt;&gt;"Y"),NA(),Capability!$Q$6))</f>
        <v/>
      </c>
      <c r="CX70">
        <f>IF(ISNA(CP70),NA(),IF(OR(Capability!$P$6="",Settings!$F$7&lt;&gt;"Y"),NA(),Capability!$P$6))</f>
        <v/>
      </c>
      <c r="DD70">
        <f>IF((DG$1+66)&gt;DE$1,NA(),(DG$1+66)-4)</f>
        <v/>
      </c>
      <c r="DE70">
        <f>IF((DG$1+66)&gt;DE$1,NA(),INDEX('Data Entry'!$J$5:$J$10004,(DG$1+66)-4))</f>
        <v/>
      </c>
      <c r="DF70">
        <f>IF(ISNA(DD70),NA(),Capability!$K$7)</f>
        <v/>
      </c>
      <c r="DG70">
        <f>IF(ISNA(DD70),NA(),Capability!$J$7)</f>
        <v/>
      </c>
      <c r="DH70">
        <f>IF(ISNA(DD70),NA(),Capability!$L$7)</f>
        <v/>
      </c>
      <c r="DI70">
        <f>IF(OR(ISNA(DE70),ISNA(DE69)),NA(),ABS(DE70-DE69))</f>
        <v/>
      </c>
      <c r="DJ70">
        <f>IF(ISNA(DD70),NA(),Capability!$N$7)</f>
        <v/>
      </c>
      <c r="DK70">
        <f>IF(ISNA(DD70),NA(),IF(OR(Capability!$Q$7="",Settings!$F$7&lt;&gt;"Y"),NA(),Capability!$Q$7))</f>
        <v/>
      </c>
      <c r="DL70">
        <f>IF(ISNA(DD70),NA(),IF(OR(Capability!$P$7="",Settings!$F$7&lt;&gt;"Y"),NA(),Capability!$P$7))</f>
        <v/>
      </c>
      <c r="DR70">
        <f>IF((DU$1+66)&gt;DS$1,NA(),(DU$1+66)-4)</f>
        <v/>
      </c>
      <c r="DS70">
        <f>IF((DU$1+66)&gt;DS$1,NA(),INDEX('Data Entry'!$K$5:$K$10004,(DU$1+66)-4))</f>
        <v/>
      </c>
      <c r="DT70">
        <f>IF(ISNA(DR70),NA(),Capability!$K$8)</f>
        <v/>
      </c>
      <c r="DU70">
        <f>IF(ISNA(DR70),NA(),Capability!$J$8)</f>
        <v/>
      </c>
      <c r="DV70">
        <f>IF(ISNA(DR70),NA(),Capability!$L$8)</f>
        <v/>
      </c>
      <c r="DW70">
        <f>IF(OR(ISNA(DS70),ISNA(DS69)),NA(),ABS(DS70-DS69))</f>
        <v/>
      </c>
      <c r="DX70">
        <f>IF(ISNA(DR70),NA(),Capability!$N$8)</f>
        <v/>
      </c>
      <c r="DY70">
        <f>IF(ISNA(DR70),NA(),IF(OR(Capability!$Q$8="",Settings!$F$7&lt;&gt;"Y"),NA(),Capability!$Q$8))</f>
        <v/>
      </c>
      <c r="DZ70">
        <f>IF(ISNA(DR70),NA(),IF(OR(Capability!$P$8="",Settings!$F$7&lt;&gt;"Y"),NA(),Capability!$P$8))</f>
        <v/>
      </c>
      <c r="EF70">
        <f>IF((EI$1+66)&gt;EG$1,NA(),(EI$1+66)-4)</f>
        <v/>
      </c>
      <c r="EG70">
        <f>IF((EI$1+66)&gt;EG$1,NA(),INDEX('Data Entry'!$L$5:$L$10004,(EI$1+66)-4))</f>
        <v/>
      </c>
      <c r="EH70">
        <f>IF(ISNA(EF70),NA(),Capability!$K$9)</f>
        <v/>
      </c>
      <c r="EI70">
        <f>IF(ISNA(EF70),NA(),Capability!$J$9)</f>
        <v/>
      </c>
      <c r="EJ70">
        <f>IF(ISNA(EF70),NA(),Capability!$L$9)</f>
        <v/>
      </c>
      <c r="EK70">
        <f>IF(OR(ISNA(EG70),ISNA(EG69)),NA(),ABS(EG70-EG69))</f>
        <v/>
      </c>
      <c r="EL70">
        <f>IF(ISNA(EF70),NA(),Capability!$N$9)</f>
        <v/>
      </c>
      <c r="EM70">
        <f>IF(ISNA(EF70),NA(),IF(OR(Capability!$Q$9="",Settings!$F$7&lt;&gt;"Y"),NA(),Capability!$Q$9))</f>
        <v/>
      </c>
      <c r="EN70">
        <f>IF(ISNA(EF70),NA(),IF(OR(Capability!$P$9="",Settings!$F$7&lt;&gt;"Y"),NA(),Capability!$P$9))</f>
        <v/>
      </c>
      <c r="ET70">
        <f>IF((EW$1+66)&gt;EU$1,NA(),(EW$1+66)-4)</f>
        <v/>
      </c>
      <c r="EU70">
        <f>IF((EW$1+66)&gt;EU$1,NA(),INDEX('Data Entry'!$M$5:$M$10004,(EW$1+66)-4))</f>
        <v/>
      </c>
      <c r="EV70">
        <f>IF(ISNA(ET70),NA(),Capability!$K$10)</f>
        <v/>
      </c>
      <c r="EW70">
        <f>IF(ISNA(ET70),NA(),Capability!$J$10)</f>
        <v/>
      </c>
      <c r="EX70">
        <f>IF(ISNA(ET70),NA(),Capability!$L$10)</f>
        <v/>
      </c>
      <c r="EY70">
        <f>IF(OR(ISNA(EU70),ISNA(EU69)),NA(),ABS(EU70-EU69))</f>
        <v/>
      </c>
      <c r="EZ70">
        <f>IF(ISNA(ET70),NA(),Capability!$N$10)</f>
        <v/>
      </c>
      <c r="FA70">
        <f>IF(ISNA(ET70),NA(),IF(OR(Capability!$Q$10="",Settings!$F$7&lt;&gt;"Y"),NA(),Capability!$Q$10))</f>
        <v/>
      </c>
      <c r="FB70">
        <f>IF(ISNA(ET70),NA(),IF(OR(Capability!$P$10="",Settings!$F$7&lt;&gt;"Y"),NA(),Capability!$P$10))</f>
        <v/>
      </c>
      <c r="FH70">
        <f>IF((FK$1+66)&gt;FI$1,NA(),(FK$1+66)-4)</f>
        <v/>
      </c>
      <c r="FI70">
        <f>IF((FK$1+66)&gt;FI$1,NA(),INDEX('Data Entry'!$N$5:$N$10004,(FK$1+66)-4))</f>
        <v/>
      </c>
      <c r="FJ70">
        <f>IF(ISNA(FH70),NA(),Capability!$K$11)</f>
        <v/>
      </c>
      <c r="FK70">
        <f>IF(ISNA(FH70),NA(),Capability!$J$11)</f>
        <v/>
      </c>
      <c r="FL70">
        <f>IF(ISNA(FH70),NA(),Capability!$L$11)</f>
        <v/>
      </c>
      <c r="FM70">
        <f>IF(OR(ISNA(FI70),ISNA(FI69)),NA(),ABS(FI70-FI69))</f>
        <v/>
      </c>
      <c r="FN70">
        <f>IF(ISNA(FH70),NA(),Capability!$N$11)</f>
        <v/>
      </c>
      <c r="FO70">
        <f>IF(ISNA(FH70),NA(),IF(OR(Capability!$Q$11="",Settings!$F$7&lt;&gt;"Y"),NA(),Capability!$Q$11))</f>
        <v/>
      </c>
      <c r="FP70">
        <f>IF(ISNA(FH70),NA(),IF(OR(Capability!$P$11="",Settings!$F$7&lt;&gt;"Y"),NA(),Capability!$P$11))</f>
        <v/>
      </c>
      <c r="FV70">
        <f>IF((FY$1+66)&gt;FW$1,NA(),(FY$1+66)-4)</f>
        <v/>
      </c>
      <c r="FW70">
        <f>IF((FY$1+66)&gt;FW$1,NA(),INDEX('Data Entry'!$O$5:$O$10004,(FY$1+66)-4))</f>
        <v/>
      </c>
      <c r="FX70">
        <f>IF(ISNA(FV70),NA(),Capability!$K$12)</f>
        <v/>
      </c>
      <c r="FY70">
        <f>IF(ISNA(FV70),NA(),Capability!$J$12)</f>
        <v/>
      </c>
      <c r="FZ70">
        <f>IF(ISNA(FV70),NA(),Capability!$L$12)</f>
        <v/>
      </c>
      <c r="GA70">
        <f>IF(OR(ISNA(FW70),ISNA(FW69)),NA(),ABS(FW70-FW69))</f>
        <v/>
      </c>
      <c r="GB70">
        <f>IF(ISNA(FV70),NA(),Capability!$N$12)</f>
        <v/>
      </c>
      <c r="GC70">
        <f>IF(ISNA(FV70),NA(),IF(OR(Capability!$Q$12="",Settings!$F$7&lt;&gt;"Y"),NA(),Capability!$Q$12))</f>
        <v/>
      </c>
      <c r="GD70">
        <f>IF(ISNA(FV70),NA(),IF(OR(Capability!$P$12="",Settings!$F$7&lt;&gt;"Y"),NA(),Capability!$P$12))</f>
        <v/>
      </c>
      <c r="GJ70">
        <f>IF((GM$1+66)&gt;GK$1,NA(),(GM$1+66)-4)</f>
        <v/>
      </c>
      <c r="GK70">
        <f>IF((GM$1+66)&gt;GK$1,NA(),INDEX('Data Entry'!$P$5:$P$10004,(GM$1+66)-4))</f>
        <v/>
      </c>
      <c r="GL70">
        <f>IF(ISNA(GJ70),NA(),Capability!$K$13)</f>
        <v/>
      </c>
      <c r="GM70">
        <f>IF(ISNA(GJ70),NA(),Capability!$J$13)</f>
        <v/>
      </c>
      <c r="GN70">
        <f>IF(ISNA(GJ70),NA(),Capability!$L$13)</f>
        <v/>
      </c>
      <c r="GO70">
        <f>IF(OR(ISNA(GK70),ISNA(GK69)),NA(),ABS(GK70-GK69))</f>
        <v/>
      </c>
      <c r="GP70">
        <f>IF(ISNA(GJ70),NA(),Capability!$N$13)</f>
        <v/>
      </c>
      <c r="GQ70">
        <f>IF(ISNA(GJ70),NA(),IF(OR(Capability!$Q$13="",Settings!$F$7&lt;&gt;"Y"),NA(),Capability!$Q$13))</f>
        <v/>
      </c>
      <c r="GR70">
        <f>IF(ISNA(GJ70),NA(),IF(OR(Capability!$P$13="",Settings!$F$7&lt;&gt;"Y"),NA(),Capability!$P$13))</f>
        <v/>
      </c>
      <c r="GX70">
        <f>IF((HA$1+66)&gt;GY$1,NA(),(HA$1+66)-4)</f>
        <v/>
      </c>
      <c r="GY70">
        <f>IF((HA$1+66)&gt;GY$1,NA(),INDEX('Data Entry'!$Q$5:$Q$10004,(HA$1+66)-4))</f>
        <v/>
      </c>
      <c r="GZ70">
        <f>IF(ISNA(GX70),NA(),Capability!$K$14)</f>
        <v/>
      </c>
      <c r="HA70">
        <f>IF(ISNA(GX70),NA(),Capability!$J$14)</f>
        <v/>
      </c>
      <c r="HB70">
        <f>IF(ISNA(GX70),NA(),Capability!$L$14)</f>
        <v/>
      </c>
      <c r="HC70">
        <f>IF(OR(ISNA(GY70),ISNA(GY69)),NA(),ABS(GY70-GY69))</f>
        <v/>
      </c>
      <c r="HD70">
        <f>IF(ISNA(GX70),NA(),Capability!$N$14)</f>
        <v/>
      </c>
      <c r="HE70">
        <f>IF(ISNA(GX70),NA(),IF(OR(Capability!$Q$14="",Settings!$F$7&lt;&gt;"Y"),NA(),Capability!$Q$14))</f>
        <v/>
      </c>
      <c r="HF70">
        <f>IF(ISNA(GX70),NA(),IF(OR(Capability!$P$14="",Settings!$F$7&lt;&gt;"Y"),NA(),Capability!$P$14))</f>
        <v/>
      </c>
    </row>
    <row r="71">
      <c r="A71" s="35" t="inlineStr">
        <is>
          <t>In control?</t>
        </is>
      </c>
      <c r="B71" s="36">
        <f>Capability!W6</f>
        <v/>
      </c>
      <c r="CB71">
        <f>IF((CE$1+67)&gt;CC$1,NA(),(CE$1+67)-4)</f>
        <v/>
      </c>
      <c r="CC71">
        <f>IF((CE$1+67)&gt;CC$1,NA(),INDEX('Data Entry'!$H$5:$H$10004,(CE$1+67)-4))</f>
        <v/>
      </c>
      <c r="CD71">
        <f>IF(ISNA(CB71),NA(),Capability!$K$5)</f>
        <v/>
      </c>
      <c r="CE71">
        <f>IF(ISNA(CB71),NA(),Capability!$J$5)</f>
        <v/>
      </c>
      <c r="CF71">
        <f>IF(ISNA(CB71),NA(),Capability!$L$5)</f>
        <v/>
      </c>
      <c r="CG71">
        <f>IF(OR(ISNA(CC71),ISNA(CC70)),NA(),ABS(CC71-CC70))</f>
        <v/>
      </c>
      <c r="CH71">
        <f>IF(ISNA(CB71),NA(),Capability!$N$5)</f>
        <v/>
      </c>
      <c r="CI71">
        <f>IF(ISNA(CB71),NA(),IF(OR(Capability!$Q$5="",Settings!$F$7&lt;&gt;"Y"),NA(),Capability!$Q$5))</f>
        <v/>
      </c>
      <c r="CJ71">
        <f>IF(ISNA(CB71),NA(),IF(OR(Capability!$P$5="",Settings!$F$7&lt;&gt;"Y"),NA(),Capability!$P$5))</f>
        <v/>
      </c>
      <c r="CP71">
        <f>IF((CS$1+67)&gt;CQ$1,NA(),(CS$1+67)-4)</f>
        <v/>
      </c>
      <c r="CQ71">
        <f>IF((CS$1+67)&gt;CQ$1,NA(),INDEX('Data Entry'!$I$5:$I$10004,(CS$1+67)-4))</f>
        <v/>
      </c>
      <c r="CR71">
        <f>IF(ISNA(CP71),NA(),Capability!$K$6)</f>
        <v/>
      </c>
      <c r="CS71">
        <f>IF(ISNA(CP71),NA(),Capability!$J$6)</f>
        <v/>
      </c>
      <c r="CT71">
        <f>IF(ISNA(CP71),NA(),Capability!$L$6)</f>
        <v/>
      </c>
      <c r="CU71">
        <f>IF(OR(ISNA(CQ71),ISNA(CQ70)),NA(),ABS(CQ71-CQ70))</f>
        <v/>
      </c>
      <c r="CV71">
        <f>IF(ISNA(CP71),NA(),Capability!$N$6)</f>
        <v/>
      </c>
      <c r="CW71">
        <f>IF(ISNA(CP71),NA(),IF(OR(Capability!$Q$6="",Settings!$F$7&lt;&gt;"Y"),NA(),Capability!$Q$6))</f>
        <v/>
      </c>
      <c r="CX71">
        <f>IF(ISNA(CP71),NA(),IF(OR(Capability!$P$6="",Settings!$F$7&lt;&gt;"Y"),NA(),Capability!$P$6))</f>
        <v/>
      </c>
      <c r="DD71">
        <f>IF((DG$1+67)&gt;DE$1,NA(),(DG$1+67)-4)</f>
        <v/>
      </c>
      <c r="DE71">
        <f>IF((DG$1+67)&gt;DE$1,NA(),INDEX('Data Entry'!$J$5:$J$10004,(DG$1+67)-4))</f>
        <v/>
      </c>
      <c r="DF71">
        <f>IF(ISNA(DD71),NA(),Capability!$K$7)</f>
        <v/>
      </c>
      <c r="DG71">
        <f>IF(ISNA(DD71),NA(),Capability!$J$7)</f>
        <v/>
      </c>
      <c r="DH71">
        <f>IF(ISNA(DD71),NA(),Capability!$L$7)</f>
        <v/>
      </c>
      <c r="DI71">
        <f>IF(OR(ISNA(DE71),ISNA(DE70)),NA(),ABS(DE71-DE70))</f>
        <v/>
      </c>
      <c r="DJ71">
        <f>IF(ISNA(DD71),NA(),Capability!$N$7)</f>
        <v/>
      </c>
      <c r="DK71">
        <f>IF(ISNA(DD71),NA(),IF(OR(Capability!$Q$7="",Settings!$F$7&lt;&gt;"Y"),NA(),Capability!$Q$7))</f>
        <v/>
      </c>
      <c r="DL71">
        <f>IF(ISNA(DD71),NA(),IF(OR(Capability!$P$7="",Settings!$F$7&lt;&gt;"Y"),NA(),Capability!$P$7))</f>
        <v/>
      </c>
      <c r="DR71">
        <f>IF((DU$1+67)&gt;DS$1,NA(),(DU$1+67)-4)</f>
        <v/>
      </c>
      <c r="DS71">
        <f>IF((DU$1+67)&gt;DS$1,NA(),INDEX('Data Entry'!$K$5:$K$10004,(DU$1+67)-4))</f>
        <v/>
      </c>
      <c r="DT71">
        <f>IF(ISNA(DR71),NA(),Capability!$K$8)</f>
        <v/>
      </c>
      <c r="DU71">
        <f>IF(ISNA(DR71),NA(),Capability!$J$8)</f>
        <v/>
      </c>
      <c r="DV71">
        <f>IF(ISNA(DR71),NA(),Capability!$L$8)</f>
        <v/>
      </c>
      <c r="DW71">
        <f>IF(OR(ISNA(DS71),ISNA(DS70)),NA(),ABS(DS71-DS70))</f>
        <v/>
      </c>
      <c r="DX71">
        <f>IF(ISNA(DR71),NA(),Capability!$N$8)</f>
        <v/>
      </c>
      <c r="DY71">
        <f>IF(ISNA(DR71),NA(),IF(OR(Capability!$Q$8="",Settings!$F$7&lt;&gt;"Y"),NA(),Capability!$Q$8))</f>
        <v/>
      </c>
      <c r="DZ71">
        <f>IF(ISNA(DR71),NA(),IF(OR(Capability!$P$8="",Settings!$F$7&lt;&gt;"Y"),NA(),Capability!$P$8))</f>
        <v/>
      </c>
      <c r="EF71">
        <f>IF((EI$1+67)&gt;EG$1,NA(),(EI$1+67)-4)</f>
        <v/>
      </c>
      <c r="EG71">
        <f>IF((EI$1+67)&gt;EG$1,NA(),INDEX('Data Entry'!$L$5:$L$10004,(EI$1+67)-4))</f>
        <v/>
      </c>
      <c r="EH71">
        <f>IF(ISNA(EF71),NA(),Capability!$K$9)</f>
        <v/>
      </c>
      <c r="EI71">
        <f>IF(ISNA(EF71),NA(),Capability!$J$9)</f>
        <v/>
      </c>
      <c r="EJ71">
        <f>IF(ISNA(EF71),NA(),Capability!$L$9)</f>
        <v/>
      </c>
      <c r="EK71">
        <f>IF(OR(ISNA(EG71),ISNA(EG70)),NA(),ABS(EG71-EG70))</f>
        <v/>
      </c>
      <c r="EL71">
        <f>IF(ISNA(EF71),NA(),Capability!$N$9)</f>
        <v/>
      </c>
      <c r="EM71">
        <f>IF(ISNA(EF71),NA(),IF(OR(Capability!$Q$9="",Settings!$F$7&lt;&gt;"Y"),NA(),Capability!$Q$9))</f>
        <v/>
      </c>
      <c r="EN71">
        <f>IF(ISNA(EF71),NA(),IF(OR(Capability!$P$9="",Settings!$F$7&lt;&gt;"Y"),NA(),Capability!$P$9))</f>
        <v/>
      </c>
      <c r="ET71">
        <f>IF((EW$1+67)&gt;EU$1,NA(),(EW$1+67)-4)</f>
        <v/>
      </c>
      <c r="EU71">
        <f>IF((EW$1+67)&gt;EU$1,NA(),INDEX('Data Entry'!$M$5:$M$10004,(EW$1+67)-4))</f>
        <v/>
      </c>
      <c r="EV71">
        <f>IF(ISNA(ET71),NA(),Capability!$K$10)</f>
        <v/>
      </c>
      <c r="EW71">
        <f>IF(ISNA(ET71),NA(),Capability!$J$10)</f>
        <v/>
      </c>
      <c r="EX71">
        <f>IF(ISNA(ET71),NA(),Capability!$L$10)</f>
        <v/>
      </c>
      <c r="EY71">
        <f>IF(OR(ISNA(EU71),ISNA(EU70)),NA(),ABS(EU71-EU70))</f>
        <v/>
      </c>
      <c r="EZ71">
        <f>IF(ISNA(ET71),NA(),Capability!$N$10)</f>
        <v/>
      </c>
      <c r="FA71">
        <f>IF(ISNA(ET71),NA(),IF(OR(Capability!$Q$10="",Settings!$F$7&lt;&gt;"Y"),NA(),Capability!$Q$10))</f>
        <v/>
      </c>
      <c r="FB71">
        <f>IF(ISNA(ET71),NA(),IF(OR(Capability!$P$10="",Settings!$F$7&lt;&gt;"Y"),NA(),Capability!$P$10))</f>
        <v/>
      </c>
      <c r="FH71">
        <f>IF((FK$1+67)&gt;FI$1,NA(),(FK$1+67)-4)</f>
        <v/>
      </c>
      <c r="FI71">
        <f>IF((FK$1+67)&gt;FI$1,NA(),INDEX('Data Entry'!$N$5:$N$10004,(FK$1+67)-4))</f>
        <v/>
      </c>
      <c r="FJ71">
        <f>IF(ISNA(FH71),NA(),Capability!$K$11)</f>
        <v/>
      </c>
      <c r="FK71">
        <f>IF(ISNA(FH71),NA(),Capability!$J$11)</f>
        <v/>
      </c>
      <c r="FL71">
        <f>IF(ISNA(FH71),NA(),Capability!$L$11)</f>
        <v/>
      </c>
      <c r="FM71">
        <f>IF(OR(ISNA(FI71),ISNA(FI70)),NA(),ABS(FI71-FI70))</f>
        <v/>
      </c>
      <c r="FN71">
        <f>IF(ISNA(FH71),NA(),Capability!$N$11)</f>
        <v/>
      </c>
      <c r="FO71">
        <f>IF(ISNA(FH71),NA(),IF(OR(Capability!$Q$11="",Settings!$F$7&lt;&gt;"Y"),NA(),Capability!$Q$11))</f>
        <v/>
      </c>
      <c r="FP71">
        <f>IF(ISNA(FH71),NA(),IF(OR(Capability!$P$11="",Settings!$F$7&lt;&gt;"Y"),NA(),Capability!$P$11))</f>
        <v/>
      </c>
      <c r="FV71">
        <f>IF((FY$1+67)&gt;FW$1,NA(),(FY$1+67)-4)</f>
        <v/>
      </c>
      <c r="FW71">
        <f>IF((FY$1+67)&gt;FW$1,NA(),INDEX('Data Entry'!$O$5:$O$10004,(FY$1+67)-4))</f>
        <v/>
      </c>
      <c r="FX71">
        <f>IF(ISNA(FV71),NA(),Capability!$K$12)</f>
        <v/>
      </c>
      <c r="FY71">
        <f>IF(ISNA(FV71),NA(),Capability!$J$12)</f>
        <v/>
      </c>
      <c r="FZ71">
        <f>IF(ISNA(FV71),NA(),Capability!$L$12)</f>
        <v/>
      </c>
      <c r="GA71">
        <f>IF(OR(ISNA(FW71),ISNA(FW70)),NA(),ABS(FW71-FW70))</f>
        <v/>
      </c>
      <c r="GB71">
        <f>IF(ISNA(FV71),NA(),Capability!$N$12)</f>
        <v/>
      </c>
      <c r="GC71">
        <f>IF(ISNA(FV71),NA(),IF(OR(Capability!$Q$12="",Settings!$F$7&lt;&gt;"Y"),NA(),Capability!$Q$12))</f>
        <v/>
      </c>
      <c r="GD71">
        <f>IF(ISNA(FV71),NA(),IF(OR(Capability!$P$12="",Settings!$F$7&lt;&gt;"Y"),NA(),Capability!$P$12))</f>
        <v/>
      </c>
      <c r="GJ71">
        <f>IF((GM$1+67)&gt;GK$1,NA(),(GM$1+67)-4)</f>
        <v/>
      </c>
      <c r="GK71">
        <f>IF((GM$1+67)&gt;GK$1,NA(),INDEX('Data Entry'!$P$5:$P$10004,(GM$1+67)-4))</f>
        <v/>
      </c>
      <c r="GL71">
        <f>IF(ISNA(GJ71),NA(),Capability!$K$13)</f>
        <v/>
      </c>
      <c r="GM71">
        <f>IF(ISNA(GJ71),NA(),Capability!$J$13)</f>
        <v/>
      </c>
      <c r="GN71">
        <f>IF(ISNA(GJ71),NA(),Capability!$L$13)</f>
        <v/>
      </c>
      <c r="GO71">
        <f>IF(OR(ISNA(GK71),ISNA(GK70)),NA(),ABS(GK71-GK70))</f>
        <v/>
      </c>
      <c r="GP71">
        <f>IF(ISNA(GJ71),NA(),Capability!$N$13)</f>
        <v/>
      </c>
      <c r="GQ71">
        <f>IF(ISNA(GJ71),NA(),IF(OR(Capability!$Q$13="",Settings!$F$7&lt;&gt;"Y"),NA(),Capability!$Q$13))</f>
        <v/>
      </c>
      <c r="GR71">
        <f>IF(ISNA(GJ71),NA(),IF(OR(Capability!$P$13="",Settings!$F$7&lt;&gt;"Y"),NA(),Capability!$P$13))</f>
        <v/>
      </c>
      <c r="GX71">
        <f>IF((HA$1+67)&gt;GY$1,NA(),(HA$1+67)-4)</f>
        <v/>
      </c>
      <c r="GY71">
        <f>IF((HA$1+67)&gt;GY$1,NA(),INDEX('Data Entry'!$Q$5:$Q$10004,(HA$1+67)-4))</f>
        <v/>
      </c>
      <c r="GZ71">
        <f>IF(ISNA(GX71),NA(),Capability!$K$14)</f>
        <v/>
      </c>
      <c r="HA71">
        <f>IF(ISNA(GX71),NA(),Capability!$J$14)</f>
        <v/>
      </c>
      <c r="HB71">
        <f>IF(ISNA(GX71),NA(),Capability!$L$14)</f>
        <v/>
      </c>
      <c r="HC71">
        <f>IF(OR(ISNA(GY71),ISNA(GY70)),NA(),ABS(GY71-GY70))</f>
        <v/>
      </c>
      <c r="HD71">
        <f>IF(ISNA(GX71),NA(),Capability!$N$14)</f>
        <v/>
      </c>
      <c r="HE71">
        <f>IF(ISNA(GX71),NA(),IF(OR(Capability!$Q$14="",Settings!$F$7&lt;&gt;"Y"),NA(),Capability!$Q$14))</f>
        <v/>
      </c>
      <c r="HF71">
        <f>IF(ISNA(GX71),NA(),IF(OR(Capability!$P$14="",Settings!$F$7&lt;&gt;"Y"),NA(),Capability!$P$14))</f>
        <v/>
      </c>
    </row>
    <row r="72">
      <c r="A72" s="35" t="inlineStr">
        <is>
          <t>In spec?</t>
        </is>
      </c>
      <c r="B72" s="36">
        <f>Capability!X6</f>
        <v/>
      </c>
      <c r="CB72">
        <f>IF((CE$1+68)&gt;CC$1,NA(),(CE$1+68)-4)</f>
        <v/>
      </c>
      <c r="CC72">
        <f>IF((CE$1+68)&gt;CC$1,NA(),INDEX('Data Entry'!$H$5:$H$10004,(CE$1+68)-4))</f>
        <v/>
      </c>
      <c r="CD72">
        <f>IF(ISNA(CB72),NA(),Capability!$K$5)</f>
        <v/>
      </c>
      <c r="CE72">
        <f>IF(ISNA(CB72),NA(),Capability!$J$5)</f>
        <v/>
      </c>
      <c r="CF72">
        <f>IF(ISNA(CB72),NA(),Capability!$L$5)</f>
        <v/>
      </c>
      <c r="CG72">
        <f>IF(OR(ISNA(CC72),ISNA(CC71)),NA(),ABS(CC72-CC71))</f>
        <v/>
      </c>
      <c r="CH72">
        <f>IF(ISNA(CB72),NA(),Capability!$N$5)</f>
        <v/>
      </c>
      <c r="CI72">
        <f>IF(ISNA(CB72),NA(),IF(OR(Capability!$Q$5="",Settings!$F$7&lt;&gt;"Y"),NA(),Capability!$Q$5))</f>
        <v/>
      </c>
      <c r="CJ72">
        <f>IF(ISNA(CB72),NA(),IF(OR(Capability!$P$5="",Settings!$F$7&lt;&gt;"Y"),NA(),Capability!$P$5))</f>
        <v/>
      </c>
      <c r="CP72">
        <f>IF((CS$1+68)&gt;CQ$1,NA(),(CS$1+68)-4)</f>
        <v/>
      </c>
      <c r="CQ72">
        <f>IF((CS$1+68)&gt;CQ$1,NA(),INDEX('Data Entry'!$I$5:$I$10004,(CS$1+68)-4))</f>
        <v/>
      </c>
      <c r="CR72">
        <f>IF(ISNA(CP72),NA(),Capability!$K$6)</f>
        <v/>
      </c>
      <c r="CS72">
        <f>IF(ISNA(CP72),NA(),Capability!$J$6)</f>
        <v/>
      </c>
      <c r="CT72">
        <f>IF(ISNA(CP72),NA(),Capability!$L$6)</f>
        <v/>
      </c>
      <c r="CU72">
        <f>IF(OR(ISNA(CQ72),ISNA(CQ71)),NA(),ABS(CQ72-CQ71))</f>
        <v/>
      </c>
      <c r="CV72">
        <f>IF(ISNA(CP72),NA(),Capability!$N$6)</f>
        <v/>
      </c>
      <c r="CW72">
        <f>IF(ISNA(CP72),NA(),IF(OR(Capability!$Q$6="",Settings!$F$7&lt;&gt;"Y"),NA(),Capability!$Q$6))</f>
        <v/>
      </c>
      <c r="CX72">
        <f>IF(ISNA(CP72),NA(),IF(OR(Capability!$P$6="",Settings!$F$7&lt;&gt;"Y"),NA(),Capability!$P$6))</f>
        <v/>
      </c>
      <c r="DD72">
        <f>IF((DG$1+68)&gt;DE$1,NA(),(DG$1+68)-4)</f>
        <v/>
      </c>
      <c r="DE72">
        <f>IF((DG$1+68)&gt;DE$1,NA(),INDEX('Data Entry'!$J$5:$J$10004,(DG$1+68)-4))</f>
        <v/>
      </c>
      <c r="DF72">
        <f>IF(ISNA(DD72),NA(),Capability!$K$7)</f>
        <v/>
      </c>
      <c r="DG72">
        <f>IF(ISNA(DD72),NA(),Capability!$J$7)</f>
        <v/>
      </c>
      <c r="DH72">
        <f>IF(ISNA(DD72),NA(),Capability!$L$7)</f>
        <v/>
      </c>
      <c r="DI72">
        <f>IF(OR(ISNA(DE72),ISNA(DE71)),NA(),ABS(DE72-DE71))</f>
        <v/>
      </c>
      <c r="DJ72">
        <f>IF(ISNA(DD72),NA(),Capability!$N$7)</f>
        <v/>
      </c>
      <c r="DK72">
        <f>IF(ISNA(DD72),NA(),IF(OR(Capability!$Q$7="",Settings!$F$7&lt;&gt;"Y"),NA(),Capability!$Q$7))</f>
        <v/>
      </c>
      <c r="DL72">
        <f>IF(ISNA(DD72),NA(),IF(OR(Capability!$P$7="",Settings!$F$7&lt;&gt;"Y"),NA(),Capability!$P$7))</f>
        <v/>
      </c>
      <c r="DR72">
        <f>IF((DU$1+68)&gt;DS$1,NA(),(DU$1+68)-4)</f>
        <v/>
      </c>
      <c r="DS72">
        <f>IF((DU$1+68)&gt;DS$1,NA(),INDEX('Data Entry'!$K$5:$K$10004,(DU$1+68)-4))</f>
        <v/>
      </c>
      <c r="DT72">
        <f>IF(ISNA(DR72),NA(),Capability!$K$8)</f>
        <v/>
      </c>
      <c r="DU72">
        <f>IF(ISNA(DR72),NA(),Capability!$J$8)</f>
        <v/>
      </c>
      <c r="DV72">
        <f>IF(ISNA(DR72),NA(),Capability!$L$8)</f>
        <v/>
      </c>
      <c r="DW72">
        <f>IF(OR(ISNA(DS72),ISNA(DS71)),NA(),ABS(DS72-DS71))</f>
        <v/>
      </c>
      <c r="DX72">
        <f>IF(ISNA(DR72),NA(),Capability!$N$8)</f>
        <v/>
      </c>
      <c r="DY72">
        <f>IF(ISNA(DR72),NA(),IF(OR(Capability!$Q$8="",Settings!$F$7&lt;&gt;"Y"),NA(),Capability!$Q$8))</f>
        <v/>
      </c>
      <c r="DZ72">
        <f>IF(ISNA(DR72),NA(),IF(OR(Capability!$P$8="",Settings!$F$7&lt;&gt;"Y"),NA(),Capability!$P$8))</f>
        <v/>
      </c>
      <c r="EF72">
        <f>IF((EI$1+68)&gt;EG$1,NA(),(EI$1+68)-4)</f>
        <v/>
      </c>
      <c r="EG72">
        <f>IF((EI$1+68)&gt;EG$1,NA(),INDEX('Data Entry'!$L$5:$L$10004,(EI$1+68)-4))</f>
        <v/>
      </c>
      <c r="EH72">
        <f>IF(ISNA(EF72),NA(),Capability!$K$9)</f>
        <v/>
      </c>
      <c r="EI72">
        <f>IF(ISNA(EF72),NA(),Capability!$J$9)</f>
        <v/>
      </c>
      <c r="EJ72">
        <f>IF(ISNA(EF72),NA(),Capability!$L$9)</f>
        <v/>
      </c>
      <c r="EK72">
        <f>IF(OR(ISNA(EG72),ISNA(EG71)),NA(),ABS(EG72-EG71))</f>
        <v/>
      </c>
      <c r="EL72">
        <f>IF(ISNA(EF72),NA(),Capability!$N$9)</f>
        <v/>
      </c>
      <c r="EM72">
        <f>IF(ISNA(EF72),NA(),IF(OR(Capability!$Q$9="",Settings!$F$7&lt;&gt;"Y"),NA(),Capability!$Q$9))</f>
        <v/>
      </c>
      <c r="EN72">
        <f>IF(ISNA(EF72),NA(),IF(OR(Capability!$P$9="",Settings!$F$7&lt;&gt;"Y"),NA(),Capability!$P$9))</f>
        <v/>
      </c>
      <c r="ET72">
        <f>IF((EW$1+68)&gt;EU$1,NA(),(EW$1+68)-4)</f>
        <v/>
      </c>
      <c r="EU72">
        <f>IF((EW$1+68)&gt;EU$1,NA(),INDEX('Data Entry'!$M$5:$M$10004,(EW$1+68)-4))</f>
        <v/>
      </c>
      <c r="EV72">
        <f>IF(ISNA(ET72),NA(),Capability!$K$10)</f>
        <v/>
      </c>
      <c r="EW72">
        <f>IF(ISNA(ET72),NA(),Capability!$J$10)</f>
        <v/>
      </c>
      <c r="EX72">
        <f>IF(ISNA(ET72),NA(),Capability!$L$10)</f>
        <v/>
      </c>
      <c r="EY72">
        <f>IF(OR(ISNA(EU72),ISNA(EU71)),NA(),ABS(EU72-EU71))</f>
        <v/>
      </c>
      <c r="EZ72">
        <f>IF(ISNA(ET72),NA(),Capability!$N$10)</f>
        <v/>
      </c>
      <c r="FA72">
        <f>IF(ISNA(ET72),NA(),IF(OR(Capability!$Q$10="",Settings!$F$7&lt;&gt;"Y"),NA(),Capability!$Q$10))</f>
        <v/>
      </c>
      <c r="FB72">
        <f>IF(ISNA(ET72),NA(),IF(OR(Capability!$P$10="",Settings!$F$7&lt;&gt;"Y"),NA(),Capability!$P$10))</f>
        <v/>
      </c>
      <c r="FH72">
        <f>IF((FK$1+68)&gt;FI$1,NA(),(FK$1+68)-4)</f>
        <v/>
      </c>
      <c r="FI72">
        <f>IF((FK$1+68)&gt;FI$1,NA(),INDEX('Data Entry'!$N$5:$N$10004,(FK$1+68)-4))</f>
        <v/>
      </c>
      <c r="FJ72">
        <f>IF(ISNA(FH72),NA(),Capability!$K$11)</f>
        <v/>
      </c>
      <c r="FK72">
        <f>IF(ISNA(FH72),NA(),Capability!$J$11)</f>
        <v/>
      </c>
      <c r="FL72">
        <f>IF(ISNA(FH72),NA(),Capability!$L$11)</f>
        <v/>
      </c>
      <c r="FM72">
        <f>IF(OR(ISNA(FI72),ISNA(FI71)),NA(),ABS(FI72-FI71))</f>
        <v/>
      </c>
      <c r="FN72">
        <f>IF(ISNA(FH72),NA(),Capability!$N$11)</f>
        <v/>
      </c>
      <c r="FO72">
        <f>IF(ISNA(FH72),NA(),IF(OR(Capability!$Q$11="",Settings!$F$7&lt;&gt;"Y"),NA(),Capability!$Q$11))</f>
        <v/>
      </c>
      <c r="FP72">
        <f>IF(ISNA(FH72),NA(),IF(OR(Capability!$P$11="",Settings!$F$7&lt;&gt;"Y"),NA(),Capability!$P$11))</f>
        <v/>
      </c>
      <c r="FV72">
        <f>IF((FY$1+68)&gt;FW$1,NA(),(FY$1+68)-4)</f>
        <v/>
      </c>
      <c r="FW72">
        <f>IF((FY$1+68)&gt;FW$1,NA(),INDEX('Data Entry'!$O$5:$O$10004,(FY$1+68)-4))</f>
        <v/>
      </c>
      <c r="FX72">
        <f>IF(ISNA(FV72),NA(),Capability!$K$12)</f>
        <v/>
      </c>
      <c r="FY72">
        <f>IF(ISNA(FV72),NA(),Capability!$J$12)</f>
        <v/>
      </c>
      <c r="FZ72">
        <f>IF(ISNA(FV72),NA(),Capability!$L$12)</f>
        <v/>
      </c>
      <c r="GA72">
        <f>IF(OR(ISNA(FW72),ISNA(FW71)),NA(),ABS(FW72-FW71))</f>
        <v/>
      </c>
      <c r="GB72">
        <f>IF(ISNA(FV72),NA(),Capability!$N$12)</f>
        <v/>
      </c>
      <c r="GC72">
        <f>IF(ISNA(FV72),NA(),IF(OR(Capability!$Q$12="",Settings!$F$7&lt;&gt;"Y"),NA(),Capability!$Q$12))</f>
        <v/>
      </c>
      <c r="GD72">
        <f>IF(ISNA(FV72),NA(),IF(OR(Capability!$P$12="",Settings!$F$7&lt;&gt;"Y"),NA(),Capability!$P$12))</f>
        <v/>
      </c>
      <c r="GJ72">
        <f>IF((GM$1+68)&gt;GK$1,NA(),(GM$1+68)-4)</f>
        <v/>
      </c>
      <c r="GK72">
        <f>IF((GM$1+68)&gt;GK$1,NA(),INDEX('Data Entry'!$P$5:$P$10004,(GM$1+68)-4))</f>
        <v/>
      </c>
      <c r="GL72">
        <f>IF(ISNA(GJ72),NA(),Capability!$K$13)</f>
        <v/>
      </c>
      <c r="GM72">
        <f>IF(ISNA(GJ72),NA(),Capability!$J$13)</f>
        <v/>
      </c>
      <c r="GN72">
        <f>IF(ISNA(GJ72),NA(),Capability!$L$13)</f>
        <v/>
      </c>
      <c r="GO72">
        <f>IF(OR(ISNA(GK72),ISNA(GK71)),NA(),ABS(GK72-GK71))</f>
        <v/>
      </c>
      <c r="GP72">
        <f>IF(ISNA(GJ72),NA(),Capability!$N$13)</f>
        <v/>
      </c>
      <c r="GQ72">
        <f>IF(ISNA(GJ72),NA(),IF(OR(Capability!$Q$13="",Settings!$F$7&lt;&gt;"Y"),NA(),Capability!$Q$13))</f>
        <v/>
      </c>
      <c r="GR72">
        <f>IF(ISNA(GJ72),NA(),IF(OR(Capability!$P$13="",Settings!$F$7&lt;&gt;"Y"),NA(),Capability!$P$13))</f>
        <v/>
      </c>
      <c r="GX72">
        <f>IF((HA$1+68)&gt;GY$1,NA(),(HA$1+68)-4)</f>
        <v/>
      </c>
      <c r="GY72">
        <f>IF((HA$1+68)&gt;GY$1,NA(),INDEX('Data Entry'!$Q$5:$Q$10004,(HA$1+68)-4))</f>
        <v/>
      </c>
      <c r="GZ72">
        <f>IF(ISNA(GX72),NA(),Capability!$K$14)</f>
        <v/>
      </c>
      <c r="HA72">
        <f>IF(ISNA(GX72),NA(),Capability!$J$14)</f>
        <v/>
      </c>
      <c r="HB72">
        <f>IF(ISNA(GX72),NA(),Capability!$L$14)</f>
        <v/>
      </c>
      <c r="HC72">
        <f>IF(OR(ISNA(GY72),ISNA(GY71)),NA(),ABS(GY72-GY71))</f>
        <v/>
      </c>
      <c r="HD72">
        <f>IF(ISNA(GX72),NA(),Capability!$N$14)</f>
        <v/>
      </c>
      <c r="HE72">
        <f>IF(ISNA(GX72),NA(),IF(OR(Capability!$Q$14="",Settings!$F$7&lt;&gt;"Y"),NA(),Capability!$Q$14))</f>
        <v/>
      </c>
      <c r="HF72">
        <f>IF(ISNA(GX72),NA(),IF(OR(Capability!$P$14="",Settings!$F$7&lt;&gt;"Y"),NA(),Capability!$P$14))</f>
        <v/>
      </c>
    </row>
    <row r="73">
      <c r="A73" s="35" t="inlineStr">
        <is>
          <t>Verdict</t>
        </is>
      </c>
      <c r="B73" s="36">
        <f>Capability!Y6</f>
        <v/>
      </c>
      <c r="CB73">
        <f>IF((CE$1+69)&gt;CC$1,NA(),(CE$1+69)-4)</f>
        <v/>
      </c>
      <c r="CC73">
        <f>IF((CE$1+69)&gt;CC$1,NA(),INDEX('Data Entry'!$H$5:$H$10004,(CE$1+69)-4))</f>
        <v/>
      </c>
      <c r="CD73">
        <f>IF(ISNA(CB73),NA(),Capability!$K$5)</f>
        <v/>
      </c>
      <c r="CE73">
        <f>IF(ISNA(CB73),NA(),Capability!$J$5)</f>
        <v/>
      </c>
      <c r="CF73">
        <f>IF(ISNA(CB73),NA(),Capability!$L$5)</f>
        <v/>
      </c>
      <c r="CG73">
        <f>IF(OR(ISNA(CC73),ISNA(CC72)),NA(),ABS(CC73-CC72))</f>
        <v/>
      </c>
      <c r="CH73">
        <f>IF(ISNA(CB73),NA(),Capability!$N$5)</f>
        <v/>
      </c>
      <c r="CI73">
        <f>IF(ISNA(CB73),NA(),IF(OR(Capability!$Q$5="",Settings!$F$7&lt;&gt;"Y"),NA(),Capability!$Q$5))</f>
        <v/>
      </c>
      <c r="CJ73">
        <f>IF(ISNA(CB73),NA(),IF(OR(Capability!$P$5="",Settings!$F$7&lt;&gt;"Y"),NA(),Capability!$P$5))</f>
        <v/>
      </c>
      <c r="CP73">
        <f>IF((CS$1+69)&gt;CQ$1,NA(),(CS$1+69)-4)</f>
        <v/>
      </c>
      <c r="CQ73">
        <f>IF((CS$1+69)&gt;CQ$1,NA(),INDEX('Data Entry'!$I$5:$I$10004,(CS$1+69)-4))</f>
        <v/>
      </c>
      <c r="CR73">
        <f>IF(ISNA(CP73),NA(),Capability!$K$6)</f>
        <v/>
      </c>
      <c r="CS73">
        <f>IF(ISNA(CP73),NA(),Capability!$J$6)</f>
        <v/>
      </c>
      <c r="CT73">
        <f>IF(ISNA(CP73),NA(),Capability!$L$6)</f>
        <v/>
      </c>
      <c r="CU73">
        <f>IF(OR(ISNA(CQ73),ISNA(CQ72)),NA(),ABS(CQ73-CQ72))</f>
        <v/>
      </c>
      <c r="CV73">
        <f>IF(ISNA(CP73),NA(),Capability!$N$6)</f>
        <v/>
      </c>
      <c r="CW73">
        <f>IF(ISNA(CP73),NA(),IF(OR(Capability!$Q$6="",Settings!$F$7&lt;&gt;"Y"),NA(),Capability!$Q$6))</f>
        <v/>
      </c>
      <c r="CX73">
        <f>IF(ISNA(CP73),NA(),IF(OR(Capability!$P$6="",Settings!$F$7&lt;&gt;"Y"),NA(),Capability!$P$6))</f>
        <v/>
      </c>
      <c r="DD73">
        <f>IF((DG$1+69)&gt;DE$1,NA(),(DG$1+69)-4)</f>
        <v/>
      </c>
      <c r="DE73">
        <f>IF((DG$1+69)&gt;DE$1,NA(),INDEX('Data Entry'!$J$5:$J$10004,(DG$1+69)-4))</f>
        <v/>
      </c>
      <c r="DF73">
        <f>IF(ISNA(DD73),NA(),Capability!$K$7)</f>
        <v/>
      </c>
      <c r="DG73">
        <f>IF(ISNA(DD73),NA(),Capability!$J$7)</f>
        <v/>
      </c>
      <c r="DH73">
        <f>IF(ISNA(DD73),NA(),Capability!$L$7)</f>
        <v/>
      </c>
      <c r="DI73">
        <f>IF(OR(ISNA(DE73),ISNA(DE72)),NA(),ABS(DE73-DE72))</f>
        <v/>
      </c>
      <c r="DJ73">
        <f>IF(ISNA(DD73),NA(),Capability!$N$7)</f>
        <v/>
      </c>
      <c r="DK73">
        <f>IF(ISNA(DD73),NA(),IF(OR(Capability!$Q$7="",Settings!$F$7&lt;&gt;"Y"),NA(),Capability!$Q$7))</f>
        <v/>
      </c>
      <c r="DL73">
        <f>IF(ISNA(DD73),NA(),IF(OR(Capability!$P$7="",Settings!$F$7&lt;&gt;"Y"),NA(),Capability!$P$7))</f>
        <v/>
      </c>
      <c r="DR73">
        <f>IF((DU$1+69)&gt;DS$1,NA(),(DU$1+69)-4)</f>
        <v/>
      </c>
      <c r="DS73">
        <f>IF((DU$1+69)&gt;DS$1,NA(),INDEX('Data Entry'!$K$5:$K$10004,(DU$1+69)-4))</f>
        <v/>
      </c>
      <c r="DT73">
        <f>IF(ISNA(DR73),NA(),Capability!$K$8)</f>
        <v/>
      </c>
      <c r="DU73">
        <f>IF(ISNA(DR73),NA(),Capability!$J$8)</f>
        <v/>
      </c>
      <c r="DV73">
        <f>IF(ISNA(DR73),NA(),Capability!$L$8)</f>
        <v/>
      </c>
      <c r="DW73">
        <f>IF(OR(ISNA(DS73),ISNA(DS72)),NA(),ABS(DS73-DS72))</f>
        <v/>
      </c>
      <c r="DX73">
        <f>IF(ISNA(DR73),NA(),Capability!$N$8)</f>
        <v/>
      </c>
      <c r="DY73">
        <f>IF(ISNA(DR73),NA(),IF(OR(Capability!$Q$8="",Settings!$F$7&lt;&gt;"Y"),NA(),Capability!$Q$8))</f>
        <v/>
      </c>
      <c r="DZ73">
        <f>IF(ISNA(DR73),NA(),IF(OR(Capability!$P$8="",Settings!$F$7&lt;&gt;"Y"),NA(),Capability!$P$8))</f>
        <v/>
      </c>
      <c r="EF73">
        <f>IF((EI$1+69)&gt;EG$1,NA(),(EI$1+69)-4)</f>
        <v/>
      </c>
      <c r="EG73">
        <f>IF((EI$1+69)&gt;EG$1,NA(),INDEX('Data Entry'!$L$5:$L$10004,(EI$1+69)-4))</f>
        <v/>
      </c>
      <c r="EH73">
        <f>IF(ISNA(EF73),NA(),Capability!$K$9)</f>
        <v/>
      </c>
      <c r="EI73">
        <f>IF(ISNA(EF73),NA(),Capability!$J$9)</f>
        <v/>
      </c>
      <c r="EJ73">
        <f>IF(ISNA(EF73),NA(),Capability!$L$9)</f>
        <v/>
      </c>
      <c r="EK73">
        <f>IF(OR(ISNA(EG73),ISNA(EG72)),NA(),ABS(EG73-EG72))</f>
        <v/>
      </c>
      <c r="EL73">
        <f>IF(ISNA(EF73),NA(),Capability!$N$9)</f>
        <v/>
      </c>
      <c r="EM73">
        <f>IF(ISNA(EF73),NA(),IF(OR(Capability!$Q$9="",Settings!$F$7&lt;&gt;"Y"),NA(),Capability!$Q$9))</f>
        <v/>
      </c>
      <c r="EN73">
        <f>IF(ISNA(EF73),NA(),IF(OR(Capability!$P$9="",Settings!$F$7&lt;&gt;"Y"),NA(),Capability!$P$9))</f>
        <v/>
      </c>
      <c r="ET73">
        <f>IF((EW$1+69)&gt;EU$1,NA(),(EW$1+69)-4)</f>
        <v/>
      </c>
      <c r="EU73">
        <f>IF((EW$1+69)&gt;EU$1,NA(),INDEX('Data Entry'!$M$5:$M$10004,(EW$1+69)-4))</f>
        <v/>
      </c>
      <c r="EV73">
        <f>IF(ISNA(ET73),NA(),Capability!$K$10)</f>
        <v/>
      </c>
      <c r="EW73">
        <f>IF(ISNA(ET73),NA(),Capability!$J$10)</f>
        <v/>
      </c>
      <c r="EX73">
        <f>IF(ISNA(ET73),NA(),Capability!$L$10)</f>
        <v/>
      </c>
      <c r="EY73">
        <f>IF(OR(ISNA(EU73),ISNA(EU72)),NA(),ABS(EU73-EU72))</f>
        <v/>
      </c>
      <c r="EZ73">
        <f>IF(ISNA(ET73),NA(),Capability!$N$10)</f>
        <v/>
      </c>
      <c r="FA73">
        <f>IF(ISNA(ET73),NA(),IF(OR(Capability!$Q$10="",Settings!$F$7&lt;&gt;"Y"),NA(),Capability!$Q$10))</f>
        <v/>
      </c>
      <c r="FB73">
        <f>IF(ISNA(ET73),NA(),IF(OR(Capability!$P$10="",Settings!$F$7&lt;&gt;"Y"),NA(),Capability!$P$10))</f>
        <v/>
      </c>
      <c r="FH73">
        <f>IF((FK$1+69)&gt;FI$1,NA(),(FK$1+69)-4)</f>
        <v/>
      </c>
      <c r="FI73">
        <f>IF((FK$1+69)&gt;FI$1,NA(),INDEX('Data Entry'!$N$5:$N$10004,(FK$1+69)-4))</f>
        <v/>
      </c>
      <c r="FJ73">
        <f>IF(ISNA(FH73),NA(),Capability!$K$11)</f>
        <v/>
      </c>
      <c r="FK73">
        <f>IF(ISNA(FH73),NA(),Capability!$J$11)</f>
        <v/>
      </c>
      <c r="FL73">
        <f>IF(ISNA(FH73),NA(),Capability!$L$11)</f>
        <v/>
      </c>
      <c r="FM73">
        <f>IF(OR(ISNA(FI73),ISNA(FI72)),NA(),ABS(FI73-FI72))</f>
        <v/>
      </c>
      <c r="FN73">
        <f>IF(ISNA(FH73),NA(),Capability!$N$11)</f>
        <v/>
      </c>
      <c r="FO73">
        <f>IF(ISNA(FH73),NA(),IF(OR(Capability!$Q$11="",Settings!$F$7&lt;&gt;"Y"),NA(),Capability!$Q$11))</f>
        <v/>
      </c>
      <c r="FP73">
        <f>IF(ISNA(FH73),NA(),IF(OR(Capability!$P$11="",Settings!$F$7&lt;&gt;"Y"),NA(),Capability!$P$11))</f>
        <v/>
      </c>
      <c r="FV73">
        <f>IF((FY$1+69)&gt;FW$1,NA(),(FY$1+69)-4)</f>
        <v/>
      </c>
      <c r="FW73">
        <f>IF((FY$1+69)&gt;FW$1,NA(),INDEX('Data Entry'!$O$5:$O$10004,(FY$1+69)-4))</f>
        <v/>
      </c>
      <c r="FX73">
        <f>IF(ISNA(FV73),NA(),Capability!$K$12)</f>
        <v/>
      </c>
      <c r="FY73">
        <f>IF(ISNA(FV73),NA(),Capability!$J$12)</f>
        <v/>
      </c>
      <c r="FZ73">
        <f>IF(ISNA(FV73),NA(),Capability!$L$12)</f>
        <v/>
      </c>
      <c r="GA73">
        <f>IF(OR(ISNA(FW73),ISNA(FW72)),NA(),ABS(FW73-FW72))</f>
        <v/>
      </c>
      <c r="GB73">
        <f>IF(ISNA(FV73),NA(),Capability!$N$12)</f>
        <v/>
      </c>
      <c r="GC73">
        <f>IF(ISNA(FV73),NA(),IF(OR(Capability!$Q$12="",Settings!$F$7&lt;&gt;"Y"),NA(),Capability!$Q$12))</f>
        <v/>
      </c>
      <c r="GD73">
        <f>IF(ISNA(FV73),NA(),IF(OR(Capability!$P$12="",Settings!$F$7&lt;&gt;"Y"),NA(),Capability!$P$12))</f>
        <v/>
      </c>
      <c r="GJ73">
        <f>IF((GM$1+69)&gt;GK$1,NA(),(GM$1+69)-4)</f>
        <v/>
      </c>
      <c r="GK73">
        <f>IF((GM$1+69)&gt;GK$1,NA(),INDEX('Data Entry'!$P$5:$P$10004,(GM$1+69)-4))</f>
        <v/>
      </c>
      <c r="GL73">
        <f>IF(ISNA(GJ73),NA(),Capability!$K$13)</f>
        <v/>
      </c>
      <c r="GM73">
        <f>IF(ISNA(GJ73),NA(),Capability!$J$13)</f>
        <v/>
      </c>
      <c r="GN73">
        <f>IF(ISNA(GJ73),NA(),Capability!$L$13)</f>
        <v/>
      </c>
      <c r="GO73">
        <f>IF(OR(ISNA(GK73),ISNA(GK72)),NA(),ABS(GK73-GK72))</f>
        <v/>
      </c>
      <c r="GP73">
        <f>IF(ISNA(GJ73),NA(),Capability!$N$13)</f>
        <v/>
      </c>
      <c r="GQ73">
        <f>IF(ISNA(GJ73),NA(),IF(OR(Capability!$Q$13="",Settings!$F$7&lt;&gt;"Y"),NA(),Capability!$Q$13))</f>
        <v/>
      </c>
      <c r="GR73">
        <f>IF(ISNA(GJ73),NA(),IF(OR(Capability!$P$13="",Settings!$F$7&lt;&gt;"Y"),NA(),Capability!$P$13))</f>
        <v/>
      </c>
      <c r="GX73">
        <f>IF((HA$1+69)&gt;GY$1,NA(),(HA$1+69)-4)</f>
        <v/>
      </c>
      <c r="GY73">
        <f>IF((HA$1+69)&gt;GY$1,NA(),INDEX('Data Entry'!$Q$5:$Q$10004,(HA$1+69)-4))</f>
        <v/>
      </c>
      <c r="GZ73">
        <f>IF(ISNA(GX73),NA(),Capability!$K$14)</f>
        <v/>
      </c>
      <c r="HA73">
        <f>IF(ISNA(GX73),NA(),Capability!$J$14)</f>
        <v/>
      </c>
      <c r="HB73">
        <f>IF(ISNA(GX73),NA(),Capability!$L$14)</f>
        <v/>
      </c>
      <c r="HC73">
        <f>IF(OR(ISNA(GY73),ISNA(GY72)),NA(),ABS(GY73-GY72))</f>
        <v/>
      </c>
      <c r="HD73">
        <f>IF(ISNA(GX73),NA(),Capability!$N$14)</f>
        <v/>
      </c>
      <c r="HE73">
        <f>IF(ISNA(GX73),NA(),IF(OR(Capability!$Q$14="",Settings!$F$7&lt;&gt;"Y"),NA(),Capability!$Q$14))</f>
        <v/>
      </c>
      <c r="HF73">
        <f>IF(ISNA(GX73),NA(),IF(OR(Capability!$P$14="",Settings!$F$7&lt;&gt;"Y"),NA(),Capability!$P$14))</f>
        <v/>
      </c>
    </row>
    <row r="74">
      <c r="CB74">
        <f>IF((CE$1+70)&gt;CC$1,NA(),(CE$1+70)-4)</f>
        <v/>
      </c>
      <c r="CC74">
        <f>IF((CE$1+70)&gt;CC$1,NA(),INDEX('Data Entry'!$H$5:$H$10004,(CE$1+70)-4))</f>
        <v/>
      </c>
      <c r="CD74">
        <f>IF(ISNA(CB74),NA(),Capability!$K$5)</f>
        <v/>
      </c>
      <c r="CE74">
        <f>IF(ISNA(CB74),NA(),Capability!$J$5)</f>
        <v/>
      </c>
      <c r="CF74">
        <f>IF(ISNA(CB74),NA(),Capability!$L$5)</f>
        <v/>
      </c>
      <c r="CG74">
        <f>IF(OR(ISNA(CC74),ISNA(CC73)),NA(),ABS(CC74-CC73))</f>
        <v/>
      </c>
      <c r="CH74">
        <f>IF(ISNA(CB74),NA(),Capability!$N$5)</f>
        <v/>
      </c>
      <c r="CI74">
        <f>IF(ISNA(CB74),NA(),IF(OR(Capability!$Q$5="",Settings!$F$7&lt;&gt;"Y"),NA(),Capability!$Q$5))</f>
        <v/>
      </c>
      <c r="CJ74">
        <f>IF(ISNA(CB74),NA(),IF(OR(Capability!$P$5="",Settings!$F$7&lt;&gt;"Y"),NA(),Capability!$P$5))</f>
        <v/>
      </c>
      <c r="CP74">
        <f>IF((CS$1+70)&gt;CQ$1,NA(),(CS$1+70)-4)</f>
        <v/>
      </c>
      <c r="CQ74">
        <f>IF((CS$1+70)&gt;CQ$1,NA(),INDEX('Data Entry'!$I$5:$I$10004,(CS$1+70)-4))</f>
        <v/>
      </c>
      <c r="CR74">
        <f>IF(ISNA(CP74),NA(),Capability!$K$6)</f>
        <v/>
      </c>
      <c r="CS74">
        <f>IF(ISNA(CP74),NA(),Capability!$J$6)</f>
        <v/>
      </c>
      <c r="CT74">
        <f>IF(ISNA(CP74),NA(),Capability!$L$6)</f>
        <v/>
      </c>
      <c r="CU74">
        <f>IF(OR(ISNA(CQ74),ISNA(CQ73)),NA(),ABS(CQ74-CQ73))</f>
        <v/>
      </c>
      <c r="CV74">
        <f>IF(ISNA(CP74),NA(),Capability!$N$6)</f>
        <v/>
      </c>
      <c r="CW74">
        <f>IF(ISNA(CP74),NA(),IF(OR(Capability!$Q$6="",Settings!$F$7&lt;&gt;"Y"),NA(),Capability!$Q$6))</f>
        <v/>
      </c>
      <c r="CX74">
        <f>IF(ISNA(CP74),NA(),IF(OR(Capability!$P$6="",Settings!$F$7&lt;&gt;"Y"),NA(),Capability!$P$6))</f>
        <v/>
      </c>
      <c r="DD74">
        <f>IF((DG$1+70)&gt;DE$1,NA(),(DG$1+70)-4)</f>
        <v/>
      </c>
      <c r="DE74">
        <f>IF((DG$1+70)&gt;DE$1,NA(),INDEX('Data Entry'!$J$5:$J$10004,(DG$1+70)-4))</f>
        <v/>
      </c>
      <c r="DF74">
        <f>IF(ISNA(DD74),NA(),Capability!$K$7)</f>
        <v/>
      </c>
      <c r="DG74">
        <f>IF(ISNA(DD74),NA(),Capability!$J$7)</f>
        <v/>
      </c>
      <c r="DH74">
        <f>IF(ISNA(DD74),NA(),Capability!$L$7)</f>
        <v/>
      </c>
      <c r="DI74">
        <f>IF(OR(ISNA(DE74),ISNA(DE73)),NA(),ABS(DE74-DE73))</f>
        <v/>
      </c>
      <c r="DJ74">
        <f>IF(ISNA(DD74),NA(),Capability!$N$7)</f>
        <v/>
      </c>
      <c r="DK74">
        <f>IF(ISNA(DD74),NA(),IF(OR(Capability!$Q$7="",Settings!$F$7&lt;&gt;"Y"),NA(),Capability!$Q$7))</f>
        <v/>
      </c>
      <c r="DL74">
        <f>IF(ISNA(DD74),NA(),IF(OR(Capability!$P$7="",Settings!$F$7&lt;&gt;"Y"),NA(),Capability!$P$7))</f>
        <v/>
      </c>
      <c r="DR74">
        <f>IF((DU$1+70)&gt;DS$1,NA(),(DU$1+70)-4)</f>
        <v/>
      </c>
      <c r="DS74">
        <f>IF((DU$1+70)&gt;DS$1,NA(),INDEX('Data Entry'!$K$5:$K$10004,(DU$1+70)-4))</f>
        <v/>
      </c>
      <c r="DT74">
        <f>IF(ISNA(DR74),NA(),Capability!$K$8)</f>
        <v/>
      </c>
      <c r="DU74">
        <f>IF(ISNA(DR74),NA(),Capability!$J$8)</f>
        <v/>
      </c>
      <c r="DV74">
        <f>IF(ISNA(DR74),NA(),Capability!$L$8)</f>
        <v/>
      </c>
      <c r="DW74">
        <f>IF(OR(ISNA(DS74),ISNA(DS73)),NA(),ABS(DS74-DS73))</f>
        <v/>
      </c>
      <c r="DX74">
        <f>IF(ISNA(DR74),NA(),Capability!$N$8)</f>
        <v/>
      </c>
      <c r="DY74">
        <f>IF(ISNA(DR74),NA(),IF(OR(Capability!$Q$8="",Settings!$F$7&lt;&gt;"Y"),NA(),Capability!$Q$8))</f>
        <v/>
      </c>
      <c r="DZ74">
        <f>IF(ISNA(DR74),NA(),IF(OR(Capability!$P$8="",Settings!$F$7&lt;&gt;"Y"),NA(),Capability!$P$8))</f>
        <v/>
      </c>
      <c r="EF74">
        <f>IF((EI$1+70)&gt;EG$1,NA(),(EI$1+70)-4)</f>
        <v/>
      </c>
      <c r="EG74">
        <f>IF((EI$1+70)&gt;EG$1,NA(),INDEX('Data Entry'!$L$5:$L$10004,(EI$1+70)-4))</f>
        <v/>
      </c>
      <c r="EH74">
        <f>IF(ISNA(EF74),NA(),Capability!$K$9)</f>
        <v/>
      </c>
      <c r="EI74">
        <f>IF(ISNA(EF74),NA(),Capability!$J$9)</f>
        <v/>
      </c>
      <c r="EJ74">
        <f>IF(ISNA(EF74),NA(),Capability!$L$9)</f>
        <v/>
      </c>
      <c r="EK74">
        <f>IF(OR(ISNA(EG74),ISNA(EG73)),NA(),ABS(EG74-EG73))</f>
        <v/>
      </c>
      <c r="EL74">
        <f>IF(ISNA(EF74),NA(),Capability!$N$9)</f>
        <v/>
      </c>
      <c r="EM74">
        <f>IF(ISNA(EF74),NA(),IF(OR(Capability!$Q$9="",Settings!$F$7&lt;&gt;"Y"),NA(),Capability!$Q$9))</f>
        <v/>
      </c>
      <c r="EN74">
        <f>IF(ISNA(EF74),NA(),IF(OR(Capability!$P$9="",Settings!$F$7&lt;&gt;"Y"),NA(),Capability!$P$9))</f>
        <v/>
      </c>
      <c r="ET74">
        <f>IF((EW$1+70)&gt;EU$1,NA(),(EW$1+70)-4)</f>
        <v/>
      </c>
      <c r="EU74">
        <f>IF((EW$1+70)&gt;EU$1,NA(),INDEX('Data Entry'!$M$5:$M$10004,(EW$1+70)-4))</f>
        <v/>
      </c>
      <c r="EV74">
        <f>IF(ISNA(ET74),NA(),Capability!$K$10)</f>
        <v/>
      </c>
      <c r="EW74">
        <f>IF(ISNA(ET74),NA(),Capability!$J$10)</f>
        <v/>
      </c>
      <c r="EX74">
        <f>IF(ISNA(ET74),NA(),Capability!$L$10)</f>
        <v/>
      </c>
      <c r="EY74">
        <f>IF(OR(ISNA(EU74),ISNA(EU73)),NA(),ABS(EU74-EU73))</f>
        <v/>
      </c>
      <c r="EZ74">
        <f>IF(ISNA(ET74),NA(),Capability!$N$10)</f>
        <v/>
      </c>
      <c r="FA74">
        <f>IF(ISNA(ET74),NA(),IF(OR(Capability!$Q$10="",Settings!$F$7&lt;&gt;"Y"),NA(),Capability!$Q$10))</f>
        <v/>
      </c>
      <c r="FB74">
        <f>IF(ISNA(ET74),NA(),IF(OR(Capability!$P$10="",Settings!$F$7&lt;&gt;"Y"),NA(),Capability!$P$10))</f>
        <v/>
      </c>
      <c r="FH74">
        <f>IF((FK$1+70)&gt;FI$1,NA(),(FK$1+70)-4)</f>
        <v/>
      </c>
      <c r="FI74">
        <f>IF((FK$1+70)&gt;FI$1,NA(),INDEX('Data Entry'!$N$5:$N$10004,(FK$1+70)-4))</f>
        <v/>
      </c>
      <c r="FJ74">
        <f>IF(ISNA(FH74),NA(),Capability!$K$11)</f>
        <v/>
      </c>
      <c r="FK74">
        <f>IF(ISNA(FH74),NA(),Capability!$J$11)</f>
        <v/>
      </c>
      <c r="FL74">
        <f>IF(ISNA(FH74),NA(),Capability!$L$11)</f>
        <v/>
      </c>
      <c r="FM74">
        <f>IF(OR(ISNA(FI74),ISNA(FI73)),NA(),ABS(FI74-FI73))</f>
        <v/>
      </c>
      <c r="FN74">
        <f>IF(ISNA(FH74),NA(),Capability!$N$11)</f>
        <v/>
      </c>
      <c r="FO74">
        <f>IF(ISNA(FH74),NA(),IF(OR(Capability!$Q$11="",Settings!$F$7&lt;&gt;"Y"),NA(),Capability!$Q$11))</f>
        <v/>
      </c>
      <c r="FP74">
        <f>IF(ISNA(FH74),NA(),IF(OR(Capability!$P$11="",Settings!$F$7&lt;&gt;"Y"),NA(),Capability!$P$11))</f>
        <v/>
      </c>
      <c r="FV74">
        <f>IF((FY$1+70)&gt;FW$1,NA(),(FY$1+70)-4)</f>
        <v/>
      </c>
      <c r="FW74">
        <f>IF((FY$1+70)&gt;FW$1,NA(),INDEX('Data Entry'!$O$5:$O$10004,(FY$1+70)-4))</f>
        <v/>
      </c>
      <c r="FX74">
        <f>IF(ISNA(FV74),NA(),Capability!$K$12)</f>
        <v/>
      </c>
      <c r="FY74">
        <f>IF(ISNA(FV74),NA(),Capability!$J$12)</f>
        <v/>
      </c>
      <c r="FZ74">
        <f>IF(ISNA(FV74),NA(),Capability!$L$12)</f>
        <v/>
      </c>
      <c r="GA74">
        <f>IF(OR(ISNA(FW74),ISNA(FW73)),NA(),ABS(FW74-FW73))</f>
        <v/>
      </c>
      <c r="GB74">
        <f>IF(ISNA(FV74),NA(),Capability!$N$12)</f>
        <v/>
      </c>
      <c r="GC74">
        <f>IF(ISNA(FV74),NA(),IF(OR(Capability!$Q$12="",Settings!$F$7&lt;&gt;"Y"),NA(),Capability!$Q$12))</f>
        <v/>
      </c>
      <c r="GD74">
        <f>IF(ISNA(FV74),NA(),IF(OR(Capability!$P$12="",Settings!$F$7&lt;&gt;"Y"),NA(),Capability!$P$12))</f>
        <v/>
      </c>
      <c r="GJ74">
        <f>IF((GM$1+70)&gt;GK$1,NA(),(GM$1+70)-4)</f>
        <v/>
      </c>
      <c r="GK74">
        <f>IF((GM$1+70)&gt;GK$1,NA(),INDEX('Data Entry'!$P$5:$P$10004,(GM$1+70)-4))</f>
        <v/>
      </c>
      <c r="GL74">
        <f>IF(ISNA(GJ74),NA(),Capability!$K$13)</f>
        <v/>
      </c>
      <c r="GM74">
        <f>IF(ISNA(GJ74),NA(),Capability!$J$13)</f>
        <v/>
      </c>
      <c r="GN74">
        <f>IF(ISNA(GJ74),NA(),Capability!$L$13)</f>
        <v/>
      </c>
      <c r="GO74">
        <f>IF(OR(ISNA(GK74),ISNA(GK73)),NA(),ABS(GK74-GK73))</f>
        <v/>
      </c>
      <c r="GP74">
        <f>IF(ISNA(GJ74),NA(),Capability!$N$13)</f>
        <v/>
      </c>
      <c r="GQ74">
        <f>IF(ISNA(GJ74),NA(),IF(OR(Capability!$Q$13="",Settings!$F$7&lt;&gt;"Y"),NA(),Capability!$Q$13))</f>
        <v/>
      </c>
      <c r="GR74">
        <f>IF(ISNA(GJ74),NA(),IF(OR(Capability!$P$13="",Settings!$F$7&lt;&gt;"Y"),NA(),Capability!$P$13))</f>
        <v/>
      </c>
      <c r="GX74">
        <f>IF((HA$1+70)&gt;GY$1,NA(),(HA$1+70)-4)</f>
        <v/>
      </c>
      <c r="GY74">
        <f>IF((HA$1+70)&gt;GY$1,NA(),INDEX('Data Entry'!$Q$5:$Q$10004,(HA$1+70)-4))</f>
        <v/>
      </c>
      <c r="GZ74">
        <f>IF(ISNA(GX74),NA(),Capability!$K$14)</f>
        <v/>
      </c>
      <c r="HA74">
        <f>IF(ISNA(GX74),NA(),Capability!$J$14)</f>
        <v/>
      </c>
      <c r="HB74">
        <f>IF(ISNA(GX74),NA(),Capability!$L$14)</f>
        <v/>
      </c>
      <c r="HC74">
        <f>IF(OR(ISNA(GY74),ISNA(GY73)),NA(),ABS(GY74-GY73))</f>
        <v/>
      </c>
      <c r="HD74">
        <f>IF(ISNA(GX74),NA(),Capability!$N$14)</f>
        <v/>
      </c>
      <c r="HE74">
        <f>IF(ISNA(GX74),NA(),IF(OR(Capability!$Q$14="",Settings!$F$7&lt;&gt;"Y"),NA(),Capability!$Q$14))</f>
        <v/>
      </c>
      <c r="HF74">
        <f>IF(ISNA(GX74),NA(),IF(OR(Capability!$P$14="",Settings!$F$7&lt;&gt;"Y"),NA(),Capability!$P$14))</f>
        <v/>
      </c>
    </row>
    <row r="75">
      <c r="CB75">
        <f>IF((CE$1+71)&gt;CC$1,NA(),(CE$1+71)-4)</f>
        <v/>
      </c>
      <c r="CC75">
        <f>IF((CE$1+71)&gt;CC$1,NA(),INDEX('Data Entry'!$H$5:$H$10004,(CE$1+71)-4))</f>
        <v/>
      </c>
      <c r="CD75">
        <f>IF(ISNA(CB75),NA(),Capability!$K$5)</f>
        <v/>
      </c>
      <c r="CE75">
        <f>IF(ISNA(CB75),NA(),Capability!$J$5)</f>
        <v/>
      </c>
      <c r="CF75">
        <f>IF(ISNA(CB75),NA(),Capability!$L$5)</f>
        <v/>
      </c>
      <c r="CG75">
        <f>IF(OR(ISNA(CC75),ISNA(CC74)),NA(),ABS(CC75-CC74))</f>
        <v/>
      </c>
      <c r="CH75">
        <f>IF(ISNA(CB75),NA(),Capability!$N$5)</f>
        <v/>
      </c>
      <c r="CI75">
        <f>IF(ISNA(CB75),NA(),IF(OR(Capability!$Q$5="",Settings!$F$7&lt;&gt;"Y"),NA(),Capability!$Q$5))</f>
        <v/>
      </c>
      <c r="CJ75">
        <f>IF(ISNA(CB75),NA(),IF(OR(Capability!$P$5="",Settings!$F$7&lt;&gt;"Y"),NA(),Capability!$P$5))</f>
        <v/>
      </c>
      <c r="CP75">
        <f>IF((CS$1+71)&gt;CQ$1,NA(),(CS$1+71)-4)</f>
        <v/>
      </c>
      <c r="CQ75">
        <f>IF((CS$1+71)&gt;CQ$1,NA(),INDEX('Data Entry'!$I$5:$I$10004,(CS$1+71)-4))</f>
        <v/>
      </c>
      <c r="CR75">
        <f>IF(ISNA(CP75),NA(),Capability!$K$6)</f>
        <v/>
      </c>
      <c r="CS75">
        <f>IF(ISNA(CP75),NA(),Capability!$J$6)</f>
        <v/>
      </c>
      <c r="CT75">
        <f>IF(ISNA(CP75),NA(),Capability!$L$6)</f>
        <v/>
      </c>
      <c r="CU75">
        <f>IF(OR(ISNA(CQ75),ISNA(CQ74)),NA(),ABS(CQ75-CQ74))</f>
        <v/>
      </c>
      <c r="CV75">
        <f>IF(ISNA(CP75),NA(),Capability!$N$6)</f>
        <v/>
      </c>
      <c r="CW75">
        <f>IF(ISNA(CP75),NA(),IF(OR(Capability!$Q$6="",Settings!$F$7&lt;&gt;"Y"),NA(),Capability!$Q$6))</f>
        <v/>
      </c>
      <c r="CX75">
        <f>IF(ISNA(CP75),NA(),IF(OR(Capability!$P$6="",Settings!$F$7&lt;&gt;"Y"),NA(),Capability!$P$6))</f>
        <v/>
      </c>
      <c r="DD75">
        <f>IF((DG$1+71)&gt;DE$1,NA(),(DG$1+71)-4)</f>
        <v/>
      </c>
      <c r="DE75">
        <f>IF((DG$1+71)&gt;DE$1,NA(),INDEX('Data Entry'!$J$5:$J$10004,(DG$1+71)-4))</f>
        <v/>
      </c>
      <c r="DF75">
        <f>IF(ISNA(DD75),NA(),Capability!$K$7)</f>
        <v/>
      </c>
      <c r="DG75">
        <f>IF(ISNA(DD75),NA(),Capability!$J$7)</f>
        <v/>
      </c>
      <c r="DH75">
        <f>IF(ISNA(DD75),NA(),Capability!$L$7)</f>
        <v/>
      </c>
      <c r="DI75">
        <f>IF(OR(ISNA(DE75),ISNA(DE74)),NA(),ABS(DE75-DE74))</f>
        <v/>
      </c>
      <c r="DJ75">
        <f>IF(ISNA(DD75),NA(),Capability!$N$7)</f>
        <v/>
      </c>
      <c r="DK75">
        <f>IF(ISNA(DD75),NA(),IF(OR(Capability!$Q$7="",Settings!$F$7&lt;&gt;"Y"),NA(),Capability!$Q$7))</f>
        <v/>
      </c>
      <c r="DL75">
        <f>IF(ISNA(DD75),NA(),IF(OR(Capability!$P$7="",Settings!$F$7&lt;&gt;"Y"),NA(),Capability!$P$7))</f>
        <v/>
      </c>
      <c r="DR75">
        <f>IF((DU$1+71)&gt;DS$1,NA(),(DU$1+71)-4)</f>
        <v/>
      </c>
      <c r="DS75">
        <f>IF((DU$1+71)&gt;DS$1,NA(),INDEX('Data Entry'!$K$5:$K$10004,(DU$1+71)-4))</f>
        <v/>
      </c>
      <c r="DT75">
        <f>IF(ISNA(DR75),NA(),Capability!$K$8)</f>
        <v/>
      </c>
      <c r="DU75">
        <f>IF(ISNA(DR75),NA(),Capability!$J$8)</f>
        <v/>
      </c>
      <c r="DV75">
        <f>IF(ISNA(DR75),NA(),Capability!$L$8)</f>
        <v/>
      </c>
      <c r="DW75">
        <f>IF(OR(ISNA(DS75),ISNA(DS74)),NA(),ABS(DS75-DS74))</f>
        <v/>
      </c>
      <c r="DX75">
        <f>IF(ISNA(DR75),NA(),Capability!$N$8)</f>
        <v/>
      </c>
      <c r="DY75">
        <f>IF(ISNA(DR75),NA(),IF(OR(Capability!$Q$8="",Settings!$F$7&lt;&gt;"Y"),NA(),Capability!$Q$8))</f>
        <v/>
      </c>
      <c r="DZ75">
        <f>IF(ISNA(DR75),NA(),IF(OR(Capability!$P$8="",Settings!$F$7&lt;&gt;"Y"),NA(),Capability!$P$8))</f>
        <v/>
      </c>
      <c r="EF75">
        <f>IF((EI$1+71)&gt;EG$1,NA(),(EI$1+71)-4)</f>
        <v/>
      </c>
      <c r="EG75">
        <f>IF((EI$1+71)&gt;EG$1,NA(),INDEX('Data Entry'!$L$5:$L$10004,(EI$1+71)-4))</f>
        <v/>
      </c>
      <c r="EH75">
        <f>IF(ISNA(EF75),NA(),Capability!$K$9)</f>
        <v/>
      </c>
      <c r="EI75">
        <f>IF(ISNA(EF75),NA(),Capability!$J$9)</f>
        <v/>
      </c>
      <c r="EJ75">
        <f>IF(ISNA(EF75),NA(),Capability!$L$9)</f>
        <v/>
      </c>
      <c r="EK75">
        <f>IF(OR(ISNA(EG75),ISNA(EG74)),NA(),ABS(EG75-EG74))</f>
        <v/>
      </c>
      <c r="EL75">
        <f>IF(ISNA(EF75),NA(),Capability!$N$9)</f>
        <v/>
      </c>
      <c r="EM75">
        <f>IF(ISNA(EF75),NA(),IF(OR(Capability!$Q$9="",Settings!$F$7&lt;&gt;"Y"),NA(),Capability!$Q$9))</f>
        <v/>
      </c>
      <c r="EN75">
        <f>IF(ISNA(EF75),NA(),IF(OR(Capability!$P$9="",Settings!$F$7&lt;&gt;"Y"),NA(),Capability!$P$9))</f>
        <v/>
      </c>
      <c r="ET75">
        <f>IF((EW$1+71)&gt;EU$1,NA(),(EW$1+71)-4)</f>
        <v/>
      </c>
      <c r="EU75">
        <f>IF((EW$1+71)&gt;EU$1,NA(),INDEX('Data Entry'!$M$5:$M$10004,(EW$1+71)-4))</f>
        <v/>
      </c>
      <c r="EV75">
        <f>IF(ISNA(ET75),NA(),Capability!$K$10)</f>
        <v/>
      </c>
      <c r="EW75">
        <f>IF(ISNA(ET75),NA(),Capability!$J$10)</f>
        <v/>
      </c>
      <c r="EX75">
        <f>IF(ISNA(ET75),NA(),Capability!$L$10)</f>
        <v/>
      </c>
      <c r="EY75">
        <f>IF(OR(ISNA(EU75),ISNA(EU74)),NA(),ABS(EU75-EU74))</f>
        <v/>
      </c>
      <c r="EZ75">
        <f>IF(ISNA(ET75),NA(),Capability!$N$10)</f>
        <v/>
      </c>
      <c r="FA75">
        <f>IF(ISNA(ET75),NA(),IF(OR(Capability!$Q$10="",Settings!$F$7&lt;&gt;"Y"),NA(),Capability!$Q$10))</f>
        <v/>
      </c>
      <c r="FB75">
        <f>IF(ISNA(ET75),NA(),IF(OR(Capability!$P$10="",Settings!$F$7&lt;&gt;"Y"),NA(),Capability!$P$10))</f>
        <v/>
      </c>
      <c r="FH75">
        <f>IF((FK$1+71)&gt;FI$1,NA(),(FK$1+71)-4)</f>
        <v/>
      </c>
      <c r="FI75">
        <f>IF((FK$1+71)&gt;FI$1,NA(),INDEX('Data Entry'!$N$5:$N$10004,(FK$1+71)-4))</f>
        <v/>
      </c>
      <c r="FJ75">
        <f>IF(ISNA(FH75),NA(),Capability!$K$11)</f>
        <v/>
      </c>
      <c r="FK75">
        <f>IF(ISNA(FH75),NA(),Capability!$J$11)</f>
        <v/>
      </c>
      <c r="FL75">
        <f>IF(ISNA(FH75),NA(),Capability!$L$11)</f>
        <v/>
      </c>
      <c r="FM75">
        <f>IF(OR(ISNA(FI75),ISNA(FI74)),NA(),ABS(FI75-FI74))</f>
        <v/>
      </c>
      <c r="FN75">
        <f>IF(ISNA(FH75),NA(),Capability!$N$11)</f>
        <v/>
      </c>
      <c r="FO75">
        <f>IF(ISNA(FH75),NA(),IF(OR(Capability!$Q$11="",Settings!$F$7&lt;&gt;"Y"),NA(),Capability!$Q$11))</f>
        <v/>
      </c>
      <c r="FP75">
        <f>IF(ISNA(FH75),NA(),IF(OR(Capability!$P$11="",Settings!$F$7&lt;&gt;"Y"),NA(),Capability!$P$11))</f>
        <v/>
      </c>
      <c r="FV75">
        <f>IF((FY$1+71)&gt;FW$1,NA(),(FY$1+71)-4)</f>
        <v/>
      </c>
      <c r="FW75">
        <f>IF((FY$1+71)&gt;FW$1,NA(),INDEX('Data Entry'!$O$5:$O$10004,(FY$1+71)-4))</f>
        <v/>
      </c>
      <c r="FX75">
        <f>IF(ISNA(FV75),NA(),Capability!$K$12)</f>
        <v/>
      </c>
      <c r="FY75">
        <f>IF(ISNA(FV75),NA(),Capability!$J$12)</f>
        <v/>
      </c>
      <c r="FZ75">
        <f>IF(ISNA(FV75),NA(),Capability!$L$12)</f>
        <v/>
      </c>
      <c r="GA75">
        <f>IF(OR(ISNA(FW75),ISNA(FW74)),NA(),ABS(FW75-FW74))</f>
        <v/>
      </c>
      <c r="GB75">
        <f>IF(ISNA(FV75),NA(),Capability!$N$12)</f>
        <v/>
      </c>
      <c r="GC75">
        <f>IF(ISNA(FV75),NA(),IF(OR(Capability!$Q$12="",Settings!$F$7&lt;&gt;"Y"),NA(),Capability!$Q$12))</f>
        <v/>
      </c>
      <c r="GD75">
        <f>IF(ISNA(FV75),NA(),IF(OR(Capability!$P$12="",Settings!$F$7&lt;&gt;"Y"),NA(),Capability!$P$12))</f>
        <v/>
      </c>
      <c r="GJ75">
        <f>IF((GM$1+71)&gt;GK$1,NA(),(GM$1+71)-4)</f>
        <v/>
      </c>
      <c r="GK75">
        <f>IF((GM$1+71)&gt;GK$1,NA(),INDEX('Data Entry'!$P$5:$P$10004,(GM$1+71)-4))</f>
        <v/>
      </c>
      <c r="GL75">
        <f>IF(ISNA(GJ75),NA(),Capability!$K$13)</f>
        <v/>
      </c>
      <c r="GM75">
        <f>IF(ISNA(GJ75),NA(),Capability!$J$13)</f>
        <v/>
      </c>
      <c r="GN75">
        <f>IF(ISNA(GJ75),NA(),Capability!$L$13)</f>
        <v/>
      </c>
      <c r="GO75">
        <f>IF(OR(ISNA(GK75),ISNA(GK74)),NA(),ABS(GK75-GK74))</f>
        <v/>
      </c>
      <c r="GP75">
        <f>IF(ISNA(GJ75),NA(),Capability!$N$13)</f>
        <v/>
      </c>
      <c r="GQ75">
        <f>IF(ISNA(GJ75),NA(),IF(OR(Capability!$Q$13="",Settings!$F$7&lt;&gt;"Y"),NA(),Capability!$Q$13))</f>
        <v/>
      </c>
      <c r="GR75">
        <f>IF(ISNA(GJ75),NA(),IF(OR(Capability!$P$13="",Settings!$F$7&lt;&gt;"Y"),NA(),Capability!$P$13))</f>
        <v/>
      </c>
      <c r="GX75">
        <f>IF((HA$1+71)&gt;GY$1,NA(),(HA$1+71)-4)</f>
        <v/>
      </c>
      <c r="GY75">
        <f>IF((HA$1+71)&gt;GY$1,NA(),INDEX('Data Entry'!$Q$5:$Q$10004,(HA$1+71)-4))</f>
        <v/>
      </c>
      <c r="GZ75">
        <f>IF(ISNA(GX75),NA(),Capability!$K$14)</f>
        <v/>
      </c>
      <c r="HA75">
        <f>IF(ISNA(GX75),NA(),Capability!$J$14)</f>
        <v/>
      </c>
      <c r="HB75">
        <f>IF(ISNA(GX75),NA(),Capability!$L$14)</f>
        <v/>
      </c>
      <c r="HC75">
        <f>IF(OR(ISNA(GY75),ISNA(GY74)),NA(),ABS(GY75-GY74))</f>
        <v/>
      </c>
      <c r="HD75">
        <f>IF(ISNA(GX75),NA(),Capability!$N$14)</f>
        <v/>
      </c>
      <c r="HE75">
        <f>IF(ISNA(GX75),NA(),IF(OR(Capability!$Q$14="",Settings!$F$7&lt;&gt;"Y"),NA(),Capability!$Q$14))</f>
        <v/>
      </c>
      <c r="HF75">
        <f>IF(ISNA(GX75),NA(),IF(OR(Capability!$P$14="",Settings!$F$7&lt;&gt;"Y"),NA(),Capability!$P$14))</f>
        <v/>
      </c>
    </row>
    <row r="76">
      <c r="CB76">
        <f>IF((CE$1+72)&gt;CC$1,NA(),(CE$1+72)-4)</f>
        <v/>
      </c>
      <c r="CC76">
        <f>IF((CE$1+72)&gt;CC$1,NA(),INDEX('Data Entry'!$H$5:$H$10004,(CE$1+72)-4))</f>
        <v/>
      </c>
      <c r="CD76">
        <f>IF(ISNA(CB76),NA(),Capability!$K$5)</f>
        <v/>
      </c>
      <c r="CE76">
        <f>IF(ISNA(CB76),NA(),Capability!$J$5)</f>
        <v/>
      </c>
      <c r="CF76">
        <f>IF(ISNA(CB76),NA(),Capability!$L$5)</f>
        <v/>
      </c>
      <c r="CG76">
        <f>IF(OR(ISNA(CC76),ISNA(CC75)),NA(),ABS(CC76-CC75))</f>
        <v/>
      </c>
      <c r="CH76">
        <f>IF(ISNA(CB76),NA(),Capability!$N$5)</f>
        <v/>
      </c>
      <c r="CI76">
        <f>IF(ISNA(CB76),NA(),IF(OR(Capability!$Q$5="",Settings!$F$7&lt;&gt;"Y"),NA(),Capability!$Q$5))</f>
        <v/>
      </c>
      <c r="CJ76">
        <f>IF(ISNA(CB76),NA(),IF(OR(Capability!$P$5="",Settings!$F$7&lt;&gt;"Y"),NA(),Capability!$P$5))</f>
        <v/>
      </c>
      <c r="CP76">
        <f>IF((CS$1+72)&gt;CQ$1,NA(),(CS$1+72)-4)</f>
        <v/>
      </c>
      <c r="CQ76">
        <f>IF((CS$1+72)&gt;CQ$1,NA(),INDEX('Data Entry'!$I$5:$I$10004,(CS$1+72)-4))</f>
        <v/>
      </c>
      <c r="CR76">
        <f>IF(ISNA(CP76),NA(),Capability!$K$6)</f>
        <v/>
      </c>
      <c r="CS76">
        <f>IF(ISNA(CP76),NA(),Capability!$J$6)</f>
        <v/>
      </c>
      <c r="CT76">
        <f>IF(ISNA(CP76),NA(),Capability!$L$6)</f>
        <v/>
      </c>
      <c r="CU76">
        <f>IF(OR(ISNA(CQ76),ISNA(CQ75)),NA(),ABS(CQ76-CQ75))</f>
        <v/>
      </c>
      <c r="CV76">
        <f>IF(ISNA(CP76),NA(),Capability!$N$6)</f>
        <v/>
      </c>
      <c r="CW76">
        <f>IF(ISNA(CP76),NA(),IF(OR(Capability!$Q$6="",Settings!$F$7&lt;&gt;"Y"),NA(),Capability!$Q$6))</f>
        <v/>
      </c>
      <c r="CX76">
        <f>IF(ISNA(CP76),NA(),IF(OR(Capability!$P$6="",Settings!$F$7&lt;&gt;"Y"),NA(),Capability!$P$6))</f>
        <v/>
      </c>
      <c r="DD76">
        <f>IF((DG$1+72)&gt;DE$1,NA(),(DG$1+72)-4)</f>
        <v/>
      </c>
      <c r="DE76">
        <f>IF((DG$1+72)&gt;DE$1,NA(),INDEX('Data Entry'!$J$5:$J$10004,(DG$1+72)-4))</f>
        <v/>
      </c>
      <c r="DF76">
        <f>IF(ISNA(DD76),NA(),Capability!$K$7)</f>
        <v/>
      </c>
      <c r="DG76">
        <f>IF(ISNA(DD76),NA(),Capability!$J$7)</f>
        <v/>
      </c>
      <c r="DH76">
        <f>IF(ISNA(DD76),NA(),Capability!$L$7)</f>
        <v/>
      </c>
      <c r="DI76">
        <f>IF(OR(ISNA(DE76),ISNA(DE75)),NA(),ABS(DE76-DE75))</f>
        <v/>
      </c>
      <c r="DJ76">
        <f>IF(ISNA(DD76),NA(),Capability!$N$7)</f>
        <v/>
      </c>
      <c r="DK76">
        <f>IF(ISNA(DD76),NA(),IF(OR(Capability!$Q$7="",Settings!$F$7&lt;&gt;"Y"),NA(),Capability!$Q$7))</f>
        <v/>
      </c>
      <c r="DL76">
        <f>IF(ISNA(DD76),NA(),IF(OR(Capability!$P$7="",Settings!$F$7&lt;&gt;"Y"),NA(),Capability!$P$7))</f>
        <v/>
      </c>
      <c r="DR76">
        <f>IF((DU$1+72)&gt;DS$1,NA(),(DU$1+72)-4)</f>
        <v/>
      </c>
      <c r="DS76">
        <f>IF((DU$1+72)&gt;DS$1,NA(),INDEX('Data Entry'!$K$5:$K$10004,(DU$1+72)-4))</f>
        <v/>
      </c>
      <c r="DT76">
        <f>IF(ISNA(DR76),NA(),Capability!$K$8)</f>
        <v/>
      </c>
      <c r="DU76">
        <f>IF(ISNA(DR76),NA(),Capability!$J$8)</f>
        <v/>
      </c>
      <c r="DV76">
        <f>IF(ISNA(DR76),NA(),Capability!$L$8)</f>
        <v/>
      </c>
      <c r="DW76">
        <f>IF(OR(ISNA(DS76),ISNA(DS75)),NA(),ABS(DS76-DS75))</f>
        <v/>
      </c>
      <c r="DX76">
        <f>IF(ISNA(DR76),NA(),Capability!$N$8)</f>
        <v/>
      </c>
      <c r="DY76">
        <f>IF(ISNA(DR76),NA(),IF(OR(Capability!$Q$8="",Settings!$F$7&lt;&gt;"Y"),NA(),Capability!$Q$8))</f>
        <v/>
      </c>
      <c r="DZ76">
        <f>IF(ISNA(DR76),NA(),IF(OR(Capability!$P$8="",Settings!$F$7&lt;&gt;"Y"),NA(),Capability!$P$8))</f>
        <v/>
      </c>
      <c r="EF76">
        <f>IF((EI$1+72)&gt;EG$1,NA(),(EI$1+72)-4)</f>
        <v/>
      </c>
      <c r="EG76">
        <f>IF((EI$1+72)&gt;EG$1,NA(),INDEX('Data Entry'!$L$5:$L$10004,(EI$1+72)-4))</f>
        <v/>
      </c>
      <c r="EH76">
        <f>IF(ISNA(EF76),NA(),Capability!$K$9)</f>
        <v/>
      </c>
      <c r="EI76">
        <f>IF(ISNA(EF76),NA(),Capability!$J$9)</f>
        <v/>
      </c>
      <c r="EJ76">
        <f>IF(ISNA(EF76),NA(),Capability!$L$9)</f>
        <v/>
      </c>
      <c r="EK76">
        <f>IF(OR(ISNA(EG76),ISNA(EG75)),NA(),ABS(EG76-EG75))</f>
        <v/>
      </c>
      <c r="EL76">
        <f>IF(ISNA(EF76),NA(),Capability!$N$9)</f>
        <v/>
      </c>
      <c r="EM76">
        <f>IF(ISNA(EF76),NA(),IF(OR(Capability!$Q$9="",Settings!$F$7&lt;&gt;"Y"),NA(),Capability!$Q$9))</f>
        <v/>
      </c>
      <c r="EN76">
        <f>IF(ISNA(EF76),NA(),IF(OR(Capability!$P$9="",Settings!$F$7&lt;&gt;"Y"),NA(),Capability!$P$9))</f>
        <v/>
      </c>
      <c r="ET76">
        <f>IF((EW$1+72)&gt;EU$1,NA(),(EW$1+72)-4)</f>
        <v/>
      </c>
      <c r="EU76">
        <f>IF((EW$1+72)&gt;EU$1,NA(),INDEX('Data Entry'!$M$5:$M$10004,(EW$1+72)-4))</f>
        <v/>
      </c>
      <c r="EV76">
        <f>IF(ISNA(ET76),NA(),Capability!$K$10)</f>
        <v/>
      </c>
      <c r="EW76">
        <f>IF(ISNA(ET76),NA(),Capability!$J$10)</f>
        <v/>
      </c>
      <c r="EX76">
        <f>IF(ISNA(ET76),NA(),Capability!$L$10)</f>
        <v/>
      </c>
      <c r="EY76">
        <f>IF(OR(ISNA(EU76),ISNA(EU75)),NA(),ABS(EU76-EU75))</f>
        <v/>
      </c>
      <c r="EZ76">
        <f>IF(ISNA(ET76),NA(),Capability!$N$10)</f>
        <v/>
      </c>
      <c r="FA76">
        <f>IF(ISNA(ET76),NA(),IF(OR(Capability!$Q$10="",Settings!$F$7&lt;&gt;"Y"),NA(),Capability!$Q$10))</f>
        <v/>
      </c>
      <c r="FB76">
        <f>IF(ISNA(ET76),NA(),IF(OR(Capability!$P$10="",Settings!$F$7&lt;&gt;"Y"),NA(),Capability!$P$10))</f>
        <v/>
      </c>
      <c r="FH76">
        <f>IF((FK$1+72)&gt;FI$1,NA(),(FK$1+72)-4)</f>
        <v/>
      </c>
      <c r="FI76">
        <f>IF((FK$1+72)&gt;FI$1,NA(),INDEX('Data Entry'!$N$5:$N$10004,(FK$1+72)-4))</f>
        <v/>
      </c>
      <c r="FJ76">
        <f>IF(ISNA(FH76),NA(),Capability!$K$11)</f>
        <v/>
      </c>
      <c r="FK76">
        <f>IF(ISNA(FH76),NA(),Capability!$J$11)</f>
        <v/>
      </c>
      <c r="FL76">
        <f>IF(ISNA(FH76),NA(),Capability!$L$11)</f>
        <v/>
      </c>
      <c r="FM76">
        <f>IF(OR(ISNA(FI76),ISNA(FI75)),NA(),ABS(FI76-FI75))</f>
        <v/>
      </c>
      <c r="FN76">
        <f>IF(ISNA(FH76),NA(),Capability!$N$11)</f>
        <v/>
      </c>
      <c r="FO76">
        <f>IF(ISNA(FH76),NA(),IF(OR(Capability!$Q$11="",Settings!$F$7&lt;&gt;"Y"),NA(),Capability!$Q$11))</f>
        <v/>
      </c>
      <c r="FP76">
        <f>IF(ISNA(FH76),NA(),IF(OR(Capability!$P$11="",Settings!$F$7&lt;&gt;"Y"),NA(),Capability!$P$11))</f>
        <v/>
      </c>
      <c r="FV76">
        <f>IF((FY$1+72)&gt;FW$1,NA(),(FY$1+72)-4)</f>
        <v/>
      </c>
      <c r="FW76">
        <f>IF((FY$1+72)&gt;FW$1,NA(),INDEX('Data Entry'!$O$5:$O$10004,(FY$1+72)-4))</f>
        <v/>
      </c>
      <c r="FX76">
        <f>IF(ISNA(FV76),NA(),Capability!$K$12)</f>
        <v/>
      </c>
      <c r="FY76">
        <f>IF(ISNA(FV76),NA(),Capability!$J$12)</f>
        <v/>
      </c>
      <c r="FZ76">
        <f>IF(ISNA(FV76),NA(),Capability!$L$12)</f>
        <v/>
      </c>
      <c r="GA76">
        <f>IF(OR(ISNA(FW76),ISNA(FW75)),NA(),ABS(FW76-FW75))</f>
        <v/>
      </c>
      <c r="GB76">
        <f>IF(ISNA(FV76),NA(),Capability!$N$12)</f>
        <v/>
      </c>
      <c r="GC76">
        <f>IF(ISNA(FV76),NA(),IF(OR(Capability!$Q$12="",Settings!$F$7&lt;&gt;"Y"),NA(),Capability!$Q$12))</f>
        <v/>
      </c>
      <c r="GD76">
        <f>IF(ISNA(FV76),NA(),IF(OR(Capability!$P$12="",Settings!$F$7&lt;&gt;"Y"),NA(),Capability!$P$12))</f>
        <v/>
      </c>
      <c r="GJ76">
        <f>IF((GM$1+72)&gt;GK$1,NA(),(GM$1+72)-4)</f>
        <v/>
      </c>
      <c r="GK76">
        <f>IF((GM$1+72)&gt;GK$1,NA(),INDEX('Data Entry'!$P$5:$P$10004,(GM$1+72)-4))</f>
        <v/>
      </c>
      <c r="GL76">
        <f>IF(ISNA(GJ76),NA(),Capability!$K$13)</f>
        <v/>
      </c>
      <c r="GM76">
        <f>IF(ISNA(GJ76),NA(),Capability!$J$13)</f>
        <v/>
      </c>
      <c r="GN76">
        <f>IF(ISNA(GJ76),NA(),Capability!$L$13)</f>
        <v/>
      </c>
      <c r="GO76">
        <f>IF(OR(ISNA(GK76),ISNA(GK75)),NA(),ABS(GK76-GK75))</f>
        <v/>
      </c>
      <c r="GP76">
        <f>IF(ISNA(GJ76),NA(),Capability!$N$13)</f>
        <v/>
      </c>
      <c r="GQ76">
        <f>IF(ISNA(GJ76),NA(),IF(OR(Capability!$Q$13="",Settings!$F$7&lt;&gt;"Y"),NA(),Capability!$Q$13))</f>
        <v/>
      </c>
      <c r="GR76">
        <f>IF(ISNA(GJ76),NA(),IF(OR(Capability!$P$13="",Settings!$F$7&lt;&gt;"Y"),NA(),Capability!$P$13))</f>
        <v/>
      </c>
      <c r="GX76">
        <f>IF((HA$1+72)&gt;GY$1,NA(),(HA$1+72)-4)</f>
        <v/>
      </c>
      <c r="GY76">
        <f>IF((HA$1+72)&gt;GY$1,NA(),INDEX('Data Entry'!$Q$5:$Q$10004,(HA$1+72)-4))</f>
        <v/>
      </c>
      <c r="GZ76">
        <f>IF(ISNA(GX76),NA(),Capability!$K$14)</f>
        <v/>
      </c>
      <c r="HA76">
        <f>IF(ISNA(GX76),NA(),Capability!$J$14)</f>
        <v/>
      </c>
      <c r="HB76">
        <f>IF(ISNA(GX76),NA(),Capability!$L$14)</f>
        <v/>
      </c>
      <c r="HC76">
        <f>IF(OR(ISNA(GY76),ISNA(GY75)),NA(),ABS(GY76-GY75))</f>
        <v/>
      </c>
      <c r="HD76">
        <f>IF(ISNA(GX76),NA(),Capability!$N$14)</f>
        <v/>
      </c>
      <c r="HE76">
        <f>IF(ISNA(GX76),NA(),IF(OR(Capability!$Q$14="",Settings!$F$7&lt;&gt;"Y"),NA(),Capability!$Q$14))</f>
        <v/>
      </c>
      <c r="HF76">
        <f>IF(ISNA(GX76),NA(),IF(OR(Capability!$P$14="",Settings!$F$7&lt;&gt;"Y"),NA(),Capability!$P$14))</f>
        <v/>
      </c>
    </row>
    <row r="77">
      <c r="CB77">
        <f>IF((CE$1+73)&gt;CC$1,NA(),(CE$1+73)-4)</f>
        <v/>
      </c>
      <c r="CC77">
        <f>IF((CE$1+73)&gt;CC$1,NA(),INDEX('Data Entry'!$H$5:$H$10004,(CE$1+73)-4))</f>
        <v/>
      </c>
      <c r="CD77">
        <f>IF(ISNA(CB77),NA(),Capability!$K$5)</f>
        <v/>
      </c>
      <c r="CE77">
        <f>IF(ISNA(CB77),NA(),Capability!$J$5)</f>
        <v/>
      </c>
      <c r="CF77">
        <f>IF(ISNA(CB77),NA(),Capability!$L$5)</f>
        <v/>
      </c>
      <c r="CG77">
        <f>IF(OR(ISNA(CC77),ISNA(CC76)),NA(),ABS(CC77-CC76))</f>
        <v/>
      </c>
      <c r="CH77">
        <f>IF(ISNA(CB77),NA(),Capability!$N$5)</f>
        <v/>
      </c>
      <c r="CI77">
        <f>IF(ISNA(CB77),NA(),IF(OR(Capability!$Q$5="",Settings!$F$7&lt;&gt;"Y"),NA(),Capability!$Q$5))</f>
        <v/>
      </c>
      <c r="CJ77">
        <f>IF(ISNA(CB77),NA(),IF(OR(Capability!$P$5="",Settings!$F$7&lt;&gt;"Y"),NA(),Capability!$P$5))</f>
        <v/>
      </c>
      <c r="CP77">
        <f>IF((CS$1+73)&gt;CQ$1,NA(),(CS$1+73)-4)</f>
        <v/>
      </c>
      <c r="CQ77">
        <f>IF((CS$1+73)&gt;CQ$1,NA(),INDEX('Data Entry'!$I$5:$I$10004,(CS$1+73)-4))</f>
        <v/>
      </c>
      <c r="CR77">
        <f>IF(ISNA(CP77),NA(),Capability!$K$6)</f>
        <v/>
      </c>
      <c r="CS77">
        <f>IF(ISNA(CP77),NA(),Capability!$J$6)</f>
        <v/>
      </c>
      <c r="CT77">
        <f>IF(ISNA(CP77),NA(),Capability!$L$6)</f>
        <v/>
      </c>
      <c r="CU77">
        <f>IF(OR(ISNA(CQ77),ISNA(CQ76)),NA(),ABS(CQ77-CQ76))</f>
        <v/>
      </c>
      <c r="CV77">
        <f>IF(ISNA(CP77),NA(),Capability!$N$6)</f>
        <v/>
      </c>
      <c r="CW77">
        <f>IF(ISNA(CP77),NA(),IF(OR(Capability!$Q$6="",Settings!$F$7&lt;&gt;"Y"),NA(),Capability!$Q$6))</f>
        <v/>
      </c>
      <c r="CX77">
        <f>IF(ISNA(CP77),NA(),IF(OR(Capability!$P$6="",Settings!$F$7&lt;&gt;"Y"),NA(),Capability!$P$6))</f>
        <v/>
      </c>
      <c r="DD77">
        <f>IF((DG$1+73)&gt;DE$1,NA(),(DG$1+73)-4)</f>
        <v/>
      </c>
      <c r="DE77">
        <f>IF((DG$1+73)&gt;DE$1,NA(),INDEX('Data Entry'!$J$5:$J$10004,(DG$1+73)-4))</f>
        <v/>
      </c>
      <c r="DF77">
        <f>IF(ISNA(DD77),NA(),Capability!$K$7)</f>
        <v/>
      </c>
      <c r="DG77">
        <f>IF(ISNA(DD77),NA(),Capability!$J$7)</f>
        <v/>
      </c>
      <c r="DH77">
        <f>IF(ISNA(DD77),NA(),Capability!$L$7)</f>
        <v/>
      </c>
      <c r="DI77">
        <f>IF(OR(ISNA(DE77),ISNA(DE76)),NA(),ABS(DE77-DE76))</f>
        <v/>
      </c>
      <c r="DJ77">
        <f>IF(ISNA(DD77),NA(),Capability!$N$7)</f>
        <v/>
      </c>
      <c r="DK77">
        <f>IF(ISNA(DD77),NA(),IF(OR(Capability!$Q$7="",Settings!$F$7&lt;&gt;"Y"),NA(),Capability!$Q$7))</f>
        <v/>
      </c>
      <c r="DL77">
        <f>IF(ISNA(DD77),NA(),IF(OR(Capability!$P$7="",Settings!$F$7&lt;&gt;"Y"),NA(),Capability!$P$7))</f>
        <v/>
      </c>
      <c r="DR77">
        <f>IF((DU$1+73)&gt;DS$1,NA(),(DU$1+73)-4)</f>
        <v/>
      </c>
      <c r="DS77">
        <f>IF((DU$1+73)&gt;DS$1,NA(),INDEX('Data Entry'!$K$5:$K$10004,(DU$1+73)-4))</f>
        <v/>
      </c>
      <c r="DT77">
        <f>IF(ISNA(DR77),NA(),Capability!$K$8)</f>
        <v/>
      </c>
      <c r="DU77">
        <f>IF(ISNA(DR77),NA(),Capability!$J$8)</f>
        <v/>
      </c>
      <c r="DV77">
        <f>IF(ISNA(DR77),NA(),Capability!$L$8)</f>
        <v/>
      </c>
      <c r="DW77">
        <f>IF(OR(ISNA(DS77),ISNA(DS76)),NA(),ABS(DS77-DS76))</f>
        <v/>
      </c>
      <c r="DX77">
        <f>IF(ISNA(DR77),NA(),Capability!$N$8)</f>
        <v/>
      </c>
      <c r="DY77">
        <f>IF(ISNA(DR77),NA(),IF(OR(Capability!$Q$8="",Settings!$F$7&lt;&gt;"Y"),NA(),Capability!$Q$8))</f>
        <v/>
      </c>
      <c r="DZ77">
        <f>IF(ISNA(DR77),NA(),IF(OR(Capability!$P$8="",Settings!$F$7&lt;&gt;"Y"),NA(),Capability!$P$8))</f>
        <v/>
      </c>
      <c r="EF77">
        <f>IF((EI$1+73)&gt;EG$1,NA(),(EI$1+73)-4)</f>
        <v/>
      </c>
      <c r="EG77">
        <f>IF((EI$1+73)&gt;EG$1,NA(),INDEX('Data Entry'!$L$5:$L$10004,(EI$1+73)-4))</f>
        <v/>
      </c>
      <c r="EH77">
        <f>IF(ISNA(EF77),NA(),Capability!$K$9)</f>
        <v/>
      </c>
      <c r="EI77">
        <f>IF(ISNA(EF77),NA(),Capability!$J$9)</f>
        <v/>
      </c>
      <c r="EJ77">
        <f>IF(ISNA(EF77),NA(),Capability!$L$9)</f>
        <v/>
      </c>
      <c r="EK77">
        <f>IF(OR(ISNA(EG77),ISNA(EG76)),NA(),ABS(EG77-EG76))</f>
        <v/>
      </c>
      <c r="EL77">
        <f>IF(ISNA(EF77),NA(),Capability!$N$9)</f>
        <v/>
      </c>
      <c r="EM77">
        <f>IF(ISNA(EF77),NA(),IF(OR(Capability!$Q$9="",Settings!$F$7&lt;&gt;"Y"),NA(),Capability!$Q$9))</f>
        <v/>
      </c>
      <c r="EN77">
        <f>IF(ISNA(EF77),NA(),IF(OR(Capability!$P$9="",Settings!$F$7&lt;&gt;"Y"),NA(),Capability!$P$9))</f>
        <v/>
      </c>
      <c r="ET77">
        <f>IF((EW$1+73)&gt;EU$1,NA(),(EW$1+73)-4)</f>
        <v/>
      </c>
      <c r="EU77">
        <f>IF((EW$1+73)&gt;EU$1,NA(),INDEX('Data Entry'!$M$5:$M$10004,(EW$1+73)-4))</f>
        <v/>
      </c>
      <c r="EV77">
        <f>IF(ISNA(ET77),NA(),Capability!$K$10)</f>
        <v/>
      </c>
      <c r="EW77">
        <f>IF(ISNA(ET77),NA(),Capability!$J$10)</f>
        <v/>
      </c>
      <c r="EX77">
        <f>IF(ISNA(ET77),NA(),Capability!$L$10)</f>
        <v/>
      </c>
      <c r="EY77">
        <f>IF(OR(ISNA(EU77),ISNA(EU76)),NA(),ABS(EU77-EU76))</f>
        <v/>
      </c>
      <c r="EZ77">
        <f>IF(ISNA(ET77),NA(),Capability!$N$10)</f>
        <v/>
      </c>
      <c r="FA77">
        <f>IF(ISNA(ET77),NA(),IF(OR(Capability!$Q$10="",Settings!$F$7&lt;&gt;"Y"),NA(),Capability!$Q$10))</f>
        <v/>
      </c>
      <c r="FB77">
        <f>IF(ISNA(ET77),NA(),IF(OR(Capability!$P$10="",Settings!$F$7&lt;&gt;"Y"),NA(),Capability!$P$10))</f>
        <v/>
      </c>
      <c r="FH77">
        <f>IF((FK$1+73)&gt;FI$1,NA(),(FK$1+73)-4)</f>
        <v/>
      </c>
      <c r="FI77">
        <f>IF((FK$1+73)&gt;FI$1,NA(),INDEX('Data Entry'!$N$5:$N$10004,(FK$1+73)-4))</f>
        <v/>
      </c>
      <c r="FJ77">
        <f>IF(ISNA(FH77),NA(),Capability!$K$11)</f>
        <v/>
      </c>
      <c r="FK77">
        <f>IF(ISNA(FH77),NA(),Capability!$J$11)</f>
        <v/>
      </c>
      <c r="FL77">
        <f>IF(ISNA(FH77),NA(),Capability!$L$11)</f>
        <v/>
      </c>
      <c r="FM77">
        <f>IF(OR(ISNA(FI77),ISNA(FI76)),NA(),ABS(FI77-FI76))</f>
        <v/>
      </c>
      <c r="FN77">
        <f>IF(ISNA(FH77),NA(),Capability!$N$11)</f>
        <v/>
      </c>
      <c r="FO77">
        <f>IF(ISNA(FH77),NA(),IF(OR(Capability!$Q$11="",Settings!$F$7&lt;&gt;"Y"),NA(),Capability!$Q$11))</f>
        <v/>
      </c>
      <c r="FP77">
        <f>IF(ISNA(FH77),NA(),IF(OR(Capability!$P$11="",Settings!$F$7&lt;&gt;"Y"),NA(),Capability!$P$11))</f>
        <v/>
      </c>
      <c r="FV77">
        <f>IF((FY$1+73)&gt;FW$1,NA(),(FY$1+73)-4)</f>
        <v/>
      </c>
      <c r="FW77">
        <f>IF((FY$1+73)&gt;FW$1,NA(),INDEX('Data Entry'!$O$5:$O$10004,(FY$1+73)-4))</f>
        <v/>
      </c>
      <c r="FX77">
        <f>IF(ISNA(FV77),NA(),Capability!$K$12)</f>
        <v/>
      </c>
      <c r="FY77">
        <f>IF(ISNA(FV77),NA(),Capability!$J$12)</f>
        <v/>
      </c>
      <c r="FZ77">
        <f>IF(ISNA(FV77),NA(),Capability!$L$12)</f>
        <v/>
      </c>
      <c r="GA77">
        <f>IF(OR(ISNA(FW77),ISNA(FW76)),NA(),ABS(FW77-FW76))</f>
        <v/>
      </c>
      <c r="GB77">
        <f>IF(ISNA(FV77),NA(),Capability!$N$12)</f>
        <v/>
      </c>
      <c r="GC77">
        <f>IF(ISNA(FV77),NA(),IF(OR(Capability!$Q$12="",Settings!$F$7&lt;&gt;"Y"),NA(),Capability!$Q$12))</f>
        <v/>
      </c>
      <c r="GD77">
        <f>IF(ISNA(FV77),NA(),IF(OR(Capability!$P$12="",Settings!$F$7&lt;&gt;"Y"),NA(),Capability!$P$12))</f>
        <v/>
      </c>
      <c r="GJ77">
        <f>IF((GM$1+73)&gt;GK$1,NA(),(GM$1+73)-4)</f>
        <v/>
      </c>
      <c r="GK77">
        <f>IF((GM$1+73)&gt;GK$1,NA(),INDEX('Data Entry'!$P$5:$P$10004,(GM$1+73)-4))</f>
        <v/>
      </c>
      <c r="GL77">
        <f>IF(ISNA(GJ77),NA(),Capability!$K$13)</f>
        <v/>
      </c>
      <c r="GM77">
        <f>IF(ISNA(GJ77),NA(),Capability!$J$13)</f>
        <v/>
      </c>
      <c r="GN77">
        <f>IF(ISNA(GJ77),NA(),Capability!$L$13)</f>
        <v/>
      </c>
      <c r="GO77">
        <f>IF(OR(ISNA(GK77),ISNA(GK76)),NA(),ABS(GK77-GK76))</f>
        <v/>
      </c>
      <c r="GP77">
        <f>IF(ISNA(GJ77),NA(),Capability!$N$13)</f>
        <v/>
      </c>
      <c r="GQ77">
        <f>IF(ISNA(GJ77),NA(),IF(OR(Capability!$Q$13="",Settings!$F$7&lt;&gt;"Y"),NA(),Capability!$Q$13))</f>
        <v/>
      </c>
      <c r="GR77">
        <f>IF(ISNA(GJ77),NA(),IF(OR(Capability!$P$13="",Settings!$F$7&lt;&gt;"Y"),NA(),Capability!$P$13))</f>
        <v/>
      </c>
      <c r="GX77">
        <f>IF((HA$1+73)&gt;GY$1,NA(),(HA$1+73)-4)</f>
        <v/>
      </c>
      <c r="GY77">
        <f>IF((HA$1+73)&gt;GY$1,NA(),INDEX('Data Entry'!$Q$5:$Q$10004,(HA$1+73)-4))</f>
        <v/>
      </c>
      <c r="GZ77">
        <f>IF(ISNA(GX77),NA(),Capability!$K$14)</f>
        <v/>
      </c>
      <c r="HA77">
        <f>IF(ISNA(GX77),NA(),Capability!$J$14)</f>
        <v/>
      </c>
      <c r="HB77">
        <f>IF(ISNA(GX77),NA(),Capability!$L$14)</f>
        <v/>
      </c>
      <c r="HC77">
        <f>IF(OR(ISNA(GY77),ISNA(GY76)),NA(),ABS(GY77-GY76))</f>
        <v/>
      </c>
      <c r="HD77">
        <f>IF(ISNA(GX77),NA(),Capability!$N$14)</f>
        <v/>
      </c>
      <c r="HE77">
        <f>IF(ISNA(GX77),NA(),IF(OR(Capability!$Q$14="",Settings!$F$7&lt;&gt;"Y"),NA(),Capability!$Q$14))</f>
        <v/>
      </c>
      <c r="HF77">
        <f>IF(ISNA(GX77),NA(),IF(OR(Capability!$P$14="",Settings!$F$7&lt;&gt;"Y"),NA(),Capability!$P$14))</f>
        <v/>
      </c>
    </row>
    <row r="78">
      <c r="CB78">
        <f>IF((CE$1+74)&gt;CC$1,NA(),(CE$1+74)-4)</f>
        <v/>
      </c>
      <c r="CC78">
        <f>IF((CE$1+74)&gt;CC$1,NA(),INDEX('Data Entry'!$H$5:$H$10004,(CE$1+74)-4))</f>
        <v/>
      </c>
      <c r="CD78">
        <f>IF(ISNA(CB78),NA(),Capability!$K$5)</f>
        <v/>
      </c>
      <c r="CE78">
        <f>IF(ISNA(CB78),NA(),Capability!$J$5)</f>
        <v/>
      </c>
      <c r="CF78">
        <f>IF(ISNA(CB78),NA(),Capability!$L$5)</f>
        <v/>
      </c>
      <c r="CG78">
        <f>IF(OR(ISNA(CC78),ISNA(CC77)),NA(),ABS(CC78-CC77))</f>
        <v/>
      </c>
      <c r="CH78">
        <f>IF(ISNA(CB78),NA(),Capability!$N$5)</f>
        <v/>
      </c>
      <c r="CI78">
        <f>IF(ISNA(CB78),NA(),IF(OR(Capability!$Q$5="",Settings!$F$7&lt;&gt;"Y"),NA(),Capability!$Q$5))</f>
        <v/>
      </c>
      <c r="CJ78">
        <f>IF(ISNA(CB78),NA(),IF(OR(Capability!$P$5="",Settings!$F$7&lt;&gt;"Y"),NA(),Capability!$P$5))</f>
        <v/>
      </c>
      <c r="CP78">
        <f>IF((CS$1+74)&gt;CQ$1,NA(),(CS$1+74)-4)</f>
        <v/>
      </c>
      <c r="CQ78">
        <f>IF((CS$1+74)&gt;CQ$1,NA(),INDEX('Data Entry'!$I$5:$I$10004,(CS$1+74)-4))</f>
        <v/>
      </c>
      <c r="CR78">
        <f>IF(ISNA(CP78),NA(),Capability!$K$6)</f>
        <v/>
      </c>
      <c r="CS78">
        <f>IF(ISNA(CP78),NA(),Capability!$J$6)</f>
        <v/>
      </c>
      <c r="CT78">
        <f>IF(ISNA(CP78),NA(),Capability!$L$6)</f>
        <v/>
      </c>
      <c r="CU78">
        <f>IF(OR(ISNA(CQ78),ISNA(CQ77)),NA(),ABS(CQ78-CQ77))</f>
        <v/>
      </c>
      <c r="CV78">
        <f>IF(ISNA(CP78),NA(),Capability!$N$6)</f>
        <v/>
      </c>
      <c r="CW78">
        <f>IF(ISNA(CP78),NA(),IF(OR(Capability!$Q$6="",Settings!$F$7&lt;&gt;"Y"),NA(),Capability!$Q$6))</f>
        <v/>
      </c>
      <c r="CX78">
        <f>IF(ISNA(CP78),NA(),IF(OR(Capability!$P$6="",Settings!$F$7&lt;&gt;"Y"),NA(),Capability!$P$6))</f>
        <v/>
      </c>
      <c r="DD78">
        <f>IF((DG$1+74)&gt;DE$1,NA(),(DG$1+74)-4)</f>
        <v/>
      </c>
      <c r="DE78">
        <f>IF((DG$1+74)&gt;DE$1,NA(),INDEX('Data Entry'!$J$5:$J$10004,(DG$1+74)-4))</f>
        <v/>
      </c>
      <c r="DF78">
        <f>IF(ISNA(DD78),NA(),Capability!$K$7)</f>
        <v/>
      </c>
      <c r="DG78">
        <f>IF(ISNA(DD78),NA(),Capability!$J$7)</f>
        <v/>
      </c>
      <c r="DH78">
        <f>IF(ISNA(DD78),NA(),Capability!$L$7)</f>
        <v/>
      </c>
      <c r="DI78">
        <f>IF(OR(ISNA(DE78),ISNA(DE77)),NA(),ABS(DE78-DE77))</f>
        <v/>
      </c>
      <c r="DJ78">
        <f>IF(ISNA(DD78),NA(),Capability!$N$7)</f>
        <v/>
      </c>
      <c r="DK78">
        <f>IF(ISNA(DD78),NA(),IF(OR(Capability!$Q$7="",Settings!$F$7&lt;&gt;"Y"),NA(),Capability!$Q$7))</f>
        <v/>
      </c>
      <c r="DL78">
        <f>IF(ISNA(DD78),NA(),IF(OR(Capability!$P$7="",Settings!$F$7&lt;&gt;"Y"),NA(),Capability!$P$7))</f>
        <v/>
      </c>
      <c r="DR78">
        <f>IF((DU$1+74)&gt;DS$1,NA(),(DU$1+74)-4)</f>
        <v/>
      </c>
      <c r="DS78">
        <f>IF((DU$1+74)&gt;DS$1,NA(),INDEX('Data Entry'!$K$5:$K$10004,(DU$1+74)-4))</f>
        <v/>
      </c>
      <c r="DT78">
        <f>IF(ISNA(DR78),NA(),Capability!$K$8)</f>
        <v/>
      </c>
      <c r="DU78">
        <f>IF(ISNA(DR78),NA(),Capability!$J$8)</f>
        <v/>
      </c>
      <c r="DV78">
        <f>IF(ISNA(DR78),NA(),Capability!$L$8)</f>
        <v/>
      </c>
      <c r="DW78">
        <f>IF(OR(ISNA(DS78),ISNA(DS77)),NA(),ABS(DS78-DS77))</f>
        <v/>
      </c>
      <c r="DX78">
        <f>IF(ISNA(DR78),NA(),Capability!$N$8)</f>
        <v/>
      </c>
      <c r="DY78">
        <f>IF(ISNA(DR78),NA(),IF(OR(Capability!$Q$8="",Settings!$F$7&lt;&gt;"Y"),NA(),Capability!$Q$8))</f>
        <v/>
      </c>
      <c r="DZ78">
        <f>IF(ISNA(DR78),NA(),IF(OR(Capability!$P$8="",Settings!$F$7&lt;&gt;"Y"),NA(),Capability!$P$8))</f>
        <v/>
      </c>
      <c r="EF78">
        <f>IF((EI$1+74)&gt;EG$1,NA(),(EI$1+74)-4)</f>
        <v/>
      </c>
      <c r="EG78">
        <f>IF((EI$1+74)&gt;EG$1,NA(),INDEX('Data Entry'!$L$5:$L$10004,(EI$1+74)-4))</f>
        <v/>
      </c>
      <c r="EH78">
        <f>IF(ISNA(EF78),NA(),Capability!$K$9)</f>
        <v/>
      </c>
      <c r="EI78">
        <f>IF(ISNA(EF78),NA(),Capability!$J$9)</f>
        <v/>
      </c>
      <c r="EJ78">
        <f>IF(ISNA(EF78),NA(),Capability!$L$9)</f>
        <v/>
      </c>
      <c r="EK78">
        <f>IF(OR(ISNA(EG78),ISNA(EG77)),NA(),ABS(EG78-EG77))</f>
        <v/>
      </c>
      <c r="EL78">
        <f>IF(ISNA(EF78),NA(),Capability!$N$9)</f>
        <v/>
      </c>
      <c r="EM78">
        <f>IF(ISNA(EF78),NA(),IF(OR(Capability!$Q$9="",Settings!$F$7&lt;&gt;"Y"),NA(),Capability!$Q$9))</f>
        <v/>
      </c>
      <c r="EN78">
        <f>IF(ISNA(EF78),NA(),IF(OR(Capability!$P$9="",Settings!$F$7&lt;&gt;"Y"),NA(),Capability!$P$9))</f>
        <v/>
      </c>
      <c r="ET78">
        <f>IF((EW$1+74)&gt;EU$1,NA(),(EW$1+74)-4)</f>
        <v/>
      </c>
      <c r="EU78">
        <f>IF((EW$1+74)&gt;EU$1,NA(),INDEX('Data Entry'!$M$5:$M$10004,(EW$1+74)-4))</f>
        <v/>
      </c>
      <c r="EV78">
        <f>IF(ISNA(ET78),NA(),Capability!$K$10)</f>
        <v/>
      </c>
      <c r="EW78">
        <f>IF(ISNA(ET78),NA(),Capability!$J$10)</f>
        <v/>
      </c>
      <c r="EX78">
        <f>IF(ISNA(ET78),NA(),Capability!$L$10)</f>
        <v/>
      </c>
      <c r="EY78">
        <f>IF(OR(ISNA(EU78),ISNA(EU77)),NA(),ABS(EU78-EU77))</f>
        <v/>
      </c>
      <c r="EZ78">
        <f>IF(ISNA(ET78),NA(),Capability!$N$10)</f>
        <v/>
      </c>
      <c r="FA78">
        <f>IF(ISNA(ET78),NA(),IF(OR(Capability!$Q$10="",Settings!$F$7&lt;&gt;"Y"),NA(),Capability!$Q$10))</f>
        <v/>
      </c>
      <c r="FB78">
        <f>IF(ISNA(ET78),NA(),IF(OR(Capability!$P$10="",Settings!$F$7&lt;&gt;"Y"),NA(),Capability!$P$10))</f>
        <v/>
      </c>
      <c r="FH78">
        <f>IF((FK$1+74)&gt;FI$1,NA(),(FK$1+74)-4)</f>
        <v/>
      </c>
      <c r="FI78">
        <f>IF((FK$1+74)&gt;FI$1,NA(),INDEX('Data Entry'!$N$5:$N$10004,(FK$1+74)-4))</f>
        <v/>
      </c>
      <c r="FJ78">
        <f>IF(ISNA(FH78),NA(),Capability!$K$11)</f>
        <v/>
      </c>
      <c r="FK78">
        <f>IF(ISNA(FH78),NA(),Capability!$J$11)</f>
        <v/>
      </c>
      <c r="FL78">
        <f>IF(ISNA(FH78),NA(),Capability!$L$11)</f>
        <v/>
      </c>
      <c r="FM78">
        <f>IF(OR(ISNA(FI78),ISNA(FI77)),NA(),ABS(FI78-FI77))</f>
        <v/>
      </c>
      <c r="FN78">
        <f>IF(ISNA(FH78),NA(),Capability!$N$11)</f>
        <v/>
      </c>
      <c r="FO78">
        <f>IF(ISNA(FH78),NA(),IF(OR(Capability!$Q$11="",Settings!$F$7&lt;&gt;"Y"),NA(),Capability!$Q$11))</f>
        <v/>
      </c>
      <c r="FP78">
        <f>IF(ISNA(FH78),NA(),IF(OR(Capability!$P$11="",Settings!$F$7&lt;&gt;"Y"),NA(),Capability!$P$11))</f>
        <v/>
      </c>
      <c r="FV78">
        <f>IF((FY$1+74)&gt;FW$1,NA(),(FY$1+74)-4)</f>
        <v/>
      </c>
      <c r="FW78">
        <f>IF((FY$1+74)&gt;FW$1,NA(),INDEX('Data Entry'!$O$5:$O$10004,(FY$1+74)-4))</f>
        <v/>
      </c>
      <c r="FX78">
        <f>IF(ISNA(FV78),NA(),Capability!$K$12)</f>
        <v/>
      </c>
      <c r="FY78">
        <f>IF(ISNA(FV78),NA(),Capability!$J$12)</f>
        <v/>
      </c>
      <c r="FZ78">
        <f>IF(ISNA(FV78),NA(),Capability!$L$12)</f>
        <v/>
      </c>
      <c r="GA78">
        <f>IF(OR(ISNA(FW78),ISNA(FW77)),NA(),ABS(FW78-FW77))</f>
        <v/>
      </c>
      <c r="GB78">
        <f>IF(ISNA(FV78),NA(),Capability!$N$12)</f>
        <v/>
      </c>
      <c r="GC78">
        <f>IF(ISNA(FV78),NA(),IF(OR(Capability!$Q$12="",Settings!$F$7&lt;&gt;"Y"),NA(),Capability!$Q$12))</f>
        <v/>
      </c>
      <c r="GD78">
        <f>IF(ISNA(FV78),NA(),IF(OR(Capability!$P$12="",Settings!$F$7&lt;&gt;"Y"),NA(),Capability!$P$12))</f>
        <v/>
      </c>
      <c r="GJ78">
        <f>IF((GM$1+74)&gt;GK$1,NA(),(GM$1+74)-4)</f>
        <v/>
      </c>
      <c r="GK78">
        <f>IF((GM$1+74)&gt;GK$1,NA(),INDEX('Data Entry'!$P$5:$P$10004,(GM$1+74)-4))</f>
        <v/>
      </c>
      <c r="GL78">
        <f>IF(ISNA(GJ78),NA(),Capability!$K$13)</f>
        <v/>
      </c>
      <c r="GM78">
        <f>IF(ISNA(GJ78),NA(),Capability!$J$13)</f>
        <v/>
      </c>
      <c r="GN78">
        <f>IF(ISNA(GJ78),NA(),Capability!$L$13)</f>
        <v/>
      </c>
      <c r="GO78">
        <f>IF(OR(ISNA(GK78),ISNA(GK77)),NA(),ABS(GK78-GK77))</f>
        <v/>
      </c>
      <c r="GP78">
        <f>IF(ISNA(GJ78),NA(),Capability!$N$13)</f>
        <v/>
      </c>
      <c r="GQ78">
        <f>IF(ISNA(GJ78),NA(),IF(OR(Capability!$Q$13="",Settings!$F$7&lt;&gt;"Y"),NA(),Capability!$Q$13))</f>
        <v/>
      </c>
      <c r="GR78">
        <f>IF(ISNA(GJ78),NA(),IF(OR(Capability!$P$13="",Settings!$F$7&lt;&gt;"Y"),NA(),Capability!$P$13))</f>
        <v/>
      </c>
      <c r="GX78">
        <f>IF((HA$1+74)&gt;GY$1,NA(),(HA$1+74)-4)</f>
        <v/>
      </c>
      <c r="GY78">
        <f>IF((HA$1+74)&gt;GY$1,NA(),INDEX('Data Entry'!$Q$5:$Q$10004,(HA$1+74)-4))</f>
        <v/>
      </c>
      <c r="GZ78">
        <f>IF(ISNA(GX78),NA(),Capability!$K$14)</f>
        <v/>
      </c>
      <c r="HA78">
        <f>IF(ISNA(GX78),NA(),Capability!$J$14)</f>
        <v/>
      </c>
      <c r="HB78">
        <f>IF(ISNA(GX78),NA(),Capability!$L$14)</f>
        <v/>
      </c>
      <c r="HC78">
        <f>IF(OR(ISNA(GY78),ISNA(GY77)),NA(),ABS(GY78-GY77))</f>
        <v/>
      </c>
      <c r="HD78">
        <f>IF(ISNA(GX78),NA(),Capability!$N$14)</f>
        <v/>
      </c>
      <c r="HE78">
        <f>IF(ISNA(GX78),NA(),IF(OR(Capability!$Q$14="",Settings!$F$7&lt;&gt;"Y"),NA(),Capability!$Q$14))</f>
        <v/>
      </c>
      <c r="HF78">
        <f>IF(ISNA(GX78),NA(),IF(OR(Capability!$P$14="",Settings!$F$7&lt;&gt;"Y"),NA(),Capability!$P$14))</f>
        <v/>
      </c>
    </row>
    <row r="79">
      <c r="CB79">
        <f>IF((CE$1+75)&gt;CC$1,NA(),(CE$1+75)-4)</f>
        <v/>
      </c>
      <c r="CC79">
        <f>IF((CE$1+75)&gt;CC$1,NA(),INDEX('Data Entry'!$H$5:$H$10004,(CE$1+75)-4))</f>
        <v/>
      </c>
      <c r="CD79">
        <f>IF(ISNA(CB79),NA(),Capability!$K$5)</f>
        <v/>
      </c>
      <c r="CE79">
        <f>IF(ISNA(CB79),NA(),Capability!$J$5)</f>
        <v/>
      </c>
      <c r="CF79">
        <f>IF(ISNA(CB79),NA(),Capability!$L$5)</f>
        <v/>
      </c>
      <c r="CG79">
        <f>IF(OR(ISNA(CC79),ISNA(CC78)),NA(),ABS(CC79-CC78))</f>
        <v/>
      </c>
      <c r="CH79">
        <f>IF(ISNA(CB79),NA(),Capability!$N$5)</f>
        <v/>
      </c>
      <c r="CI79">
        <f>IF(ISNA(CB79),NA(),IF(OR(Capability!$Q$5="",Settings!$F$7&lt;&gt;"Y"),NA(),Capability!$Q$5))</f>
        <v/>
      </c>
      <c r="CJ79">
        <f>IF(ISNA(CB79),NA(),IF(OR(Capability!$P$5="",Settings!$F$7&lt;&gt;"Y"),NA(),Capability!$P$5))</f>
        <v/>
      </c>
      <c r="CP79">
        <f>IF((CS$1+75)&gt;CQ$1,NA(),(CS$1+75)-4)</f>
        <v/>
      </c>
      <c r="CQ79">
        <f>IF((CS$1+75)&gt;CQ$1,NA(),INDEX('Data Entry'!$I$5:$I$10004,(CS$1+75)-4))</f>
        <v/>
      </c>
      <c r="CR79">
        <f>IF(ISNA(CP79),NA(),Capability!$K$6)</f>
        <v/>
      </c>
      <c r="CS79">
        <f>IF(ISNA(CP79),NA(),Capability!$J$6)</f>
        <v/>
      </c>
      <c r="CT79">
        <f>IF(ISNA(CP79),NA(),Capability!$L$6)</f>
        <v/>
      </c>
      <c r="CU79">
        <f>IF(OR(ISNA(CQ79),ISNA(CQ78)),NA(),ABS(CQ79-CQ78))</f>
        <v/>
      </c>
      <c r="CV79">
        <f>IF(ISNA(CP79),NA(),Capability!$N$6)</f>
        <v/>
      </c>
      <c r="CW79">
        <f>IF(ISNA(CP79),NA(),IF(OR(Capability!$Q$6="",Settings!$F$7&lt;&gt;"Y"),NA(),Capability!$Q$6))</f>
        <v/>
      </c>
      <c r="CX79">
        <f>IF(ISNA(CP79),NA(),IF(OR(Capability!$P$6="",Settings!$F$7&lt;&gt;"Y"),NA(),Capability!$P$6))</f>
        <v/>
      </c>
      <c r="DD79">
        <f>IF((DG$1+75)&gt;DE$1,NA(),(DG$1+75)-4)</f>
        <v/>
      </c>
      <c r="DE79">
        <f>IF((DG$1+75)&gt;DE$1,NA(),INDEX('Data Entry'!$J$5:$J$10004,(DG$1+75)-4))</f>
        <v/>
      </c>
      <c r="DF79">
        <f>IF(ISNA(DD79),NA(),Capability!$K$7)</f>
        <v/>
      </c>
      <c r="DG79">
        <f>IF(ISNA(DD79),NA(),Capability!$J$7)</f>
        <v/>
      </c>
      <c r="DH79">
        <f>IF(ISNA(DD79),NA(),Capability!$L$7)</f>
        <v/>
      </c>
      <c r="DI79">
        <f>IF(OR(ISNA(DE79),ISNA(DE78)),NA(),ABS(DE79-DE78))</f>
        <v/>
      </c>
      <c r="DJ79">
        <f>IF(ISNA(DD79),NA(),Capability!$N$7)</f>
        <v/>
      </c>
      <c r="DK79">
        <f>IF(ISNA(DD79),NA(),IF(OR(Capability!$Q$7="",Settings!$F$7&lt;&gt;"Y"),NA(),Capability!$Q$7))</f>
        <v/>
      </c>
      <c r="DL79">
        <f>IF(ISNA(DD79),NA(),IF(OR(Capability!$P$7="",Settings!$F$7&lt;&gt;"Y"),NA(),Capability!$P$7))</f>
        <v/>
      </c>
      <c r="DR79">
        <f>IF((DU$1+75)&gt;DS$1,NA(),(DU$1+75)-4)</f>
        <v/>
      </c>
      <c r="DS79">
        <f>IF((DU$1+75)&gt;DS$1,NA(),INDEX('Data Entry'!$K$5:$K$10004,(DU$1+75)-4))</f>
        <v/>
      </c>
      <c r="DT79">
        <f>IF(ISNA(DR79),NA(),Capability!$K$8)</f>
        <v/>
      </c>
      <c r="DU79">
        <f>IF(ISNA(DR79),NA(),Capability!$J$8)</f>
        <v/>
      </c>
      <c r="DV79">
        <f>IF(ISNA(DR79),NA(),Capability!$L$8)</f>
        <v/>
      </c>
      <c r="DW79">
        <f>IF(OR(ISNA(DS79),ISNA(DS78)),NA(),ABS(DS79-DS78))</f>
        <v/>
      </c>
      <c r="DX79">
        <f>IF(ISNA(DR79),NA(),Capability!$N$8)</f>
        <v/>
      </c>
      <c r="DY79">
        <f>IF(ISNA(DR79),NA(),IF(OR(Capability!$Q$8="",Settings!$F$7&lt;&gt;"Y"),NA(),Capability!$Q$8))</f>
        <v/>
      </c>
      <c r="DZ79">
        <f>IF(ISNA(DR79),NA(),IF(OR(Capability!$P$8="",Settings!$F$7&lt;&gt;"Y"),NA(),Capability!$P$8))</f>
        <v/>
      </c>
      <c r="EF79">
        <f>IF((EI$1+75)&gt;EG$1,NA(),(EI$1+75)-4)</f>
        <v/>
      </c>
      <c r="EG79">
        <f>IF((EI$1+75)&gt;EG$1,NA(),INDEX('Data Entry'!$L$5:$L$10004,(EI$1+75)-4))</f>
        <v/>
      </c>
      <c r="EH79">
        <f>IF(ISNA(EF79),NA(),Capability!$K$9)</f>
        <v/>
      </c>
      <c r="EI79">
        <f>IF(ISNA(EF79),NA(),Capability!$J$9)</f>
        <v/>
      </c>
      <c r="EJ79">
        <f>IF(ISNA(EF79),NA(),Capability!$L$9)</f>
        <v/>
      </c>
      <c r="EK79">
        <f>IF(OR(ISNA(EG79),ISNA(EG78)),NA(),ABS(EG79-EG78))</f>
        <v/>
      </c>
      <c r="EL79">
        <f>IF(ISNA(EF79),NA(),Capability!$N$9)</f>
        <v/>
      </c>
      <c r="EM79">
        <f>IF(ISNA(EF79),NA(),IF(OR(Capability!$Q$9="",Settings!$F$7&lt;&gt;"Y"),NA(),Capability!$Q$9))</f>
        <v/>
      </c>
      <c r="EN79">
        <f>IF(ISNA(EF79),NA(),IF(OR(Capability!$P$9="",Settings!$F$7&lt;&gt;"Y"),NA(),Capability!$P$9))</f>
        <v/>
      </c>
      <c r="ET79">
        <f>IF((EW$1+75)&gt;EU$1,NA(),(EW$1+75)-4)</f>
        <v/>
      </c>
      <c r="EU79">
        <f>IF((EW$1+75)&gt;EU$1,NA(),INDEX('Data Entry'!$M$5:$M$10004,(EW$1+75)-4))</f>
        <v/>
      </c>
      <c r="EV79">
        <f>IF(ISNA(ET79),NA(),Capability!$K$10)</f>
        <v/>
      </c>
      <c r="EW79">
        <f>IF(ISNA(ET79),NA(),Capability!$J$10)</f>
        <v/>
      </c>
      <c r="EX79">
        <f>IF(ISNA(ET79),NA(),Capability!$L$10)</f>
        <v/>
      </c>
      <c r="EY79">
        <f>IF(OR(ISNA(EU79),ISNA(EU78)),NA(),ABS(EU79-EU78))</f>
        <v/>
      </c>
      <c r="EZ79">
        <f>IF(ISNA(ET79),NA(),Capability!$N$10)</f>
        <v/>
      </c>
      <c r="FA79">
        <f>IF(ISNA(ET79),NA(),IF(OR(Capability!$Q$10="",Settings!$F$7&lt;&gt;"Y"),NA(),Capability!$Q$10))</f>
        <v/>
      </c>
      <c r="FB79">
        <f>IF(ISNA(ET79),NA(),IF(OR(Capability!$P$10="",Settings!$F$7&lt;&gt;"Y"),NA(),Capability!$P$10))</f>
        <v/>
      </c>
      <c r="FH79">
        <f>IF((FK$1+75)&gt;FI$1,NA(),(FK$1+75)-4)</f>
        <v/>
      </c>
      <c r="FI79">
        <f>IF((FK$1+75)&gt;FI$1,NA(),INDEX('Data Entry'!$N$5:$N$10004,(FK$1+75)-4))</f>
        <v/>
      </c>
      <c r="FJ79">
        <f>IF(ISNA(FH79),NA(),Capability!$K$11)</f>
        <v/>
      </c>
      <c r="FK79">
        <f>IF(ISNA(FH79),NA(),Capability!$J$11)</f>
        <v/>
      </c>
      <c r="FL79">
        <f>IF(ISNA(FH79),NA(),Capability!$L$11)</f>
        <v/>
      </c>
      <c r="FM79">
        <f>IF(OR(ISNA(FI79),ISNA(FI78)),NA(),ABS(FI79-FI78))</f>
        <v/>
      </c>
      <c r="FN79">
        <f>IF(ISNA(FH79),NA(),Capability!$N$11)</f>
        <v/>
      </c>
      <c r="FO79">
        <f>IF(ISNA(FH79),NA(),IF(OR(Capability!$Q$11="",Settings!$F$7&lt;&gt;"Y"),NA(),Capability!$Q$11))</f>
        <v/>
      </c>
      <c r="FP79">
        <f>IF(ISNA(FH79),NA(),IF(OR(Capability!$P$11="",Settings!$F$7&lt;&gt;"Y"),NA(),Capability!$P$11))</f>
        <v/>
      </c>
      <c r="FV79">
        <f>IF((FY$1+75)&gt;FW$1,NA(),(FY$1+75)-4)</f>
        <v/>
      </c>
      <c r="FW79">
        <f>IF((FY$1+75)&gt;FW$1,NA(),INDEX('Data Entry'!$O$5:$O$10004,(FY$1+75)-4))</f>
        <v/>
      </c>
      <c r="FX79">
        <f>IF(ISNA(FV79),NA(),Capability!$K$12)</f>
        <v/>
      </c>
      <c r="FY79">
        <f>IF(ISNA(FV79),NA(),Capability!$J$12)</f>
        <v/>
      </c>
      <c r="FZ79">
        <f>IF(ISNA(FV79),NA(),Capability!$L$12)</f>
        <v/>
      </c>
      <c r="GA79">
        <f>IF(OR(ISNA(FW79),ISNA(FW78)),NA(),ABS(FW79-FW78))</f>
        <v/>
      </c>
      <c r="GB79">
        <f>IF(ISNA(FV79),NA(),Capability!$N$12)</f>
        <v/>
      </c>
      <c r="GC79">
        <f>IF(ISNA(FV79),NA(),IF(OR(Capability!$Q$12="",Settings!$F$7&lt;&gt;"Y"),NA(),Capability!$Q$12))</f>
        <v/>
      </c>
      <c r="GD79">
        <f>IF(ISNA(FV79),NA(),IF(OR(Capability!$P$12="",Settings!$F$7&lt;&gt;"Y"),NA(),Capability!$P$12))</f>
        <v/>
      </c>
      <c r="GJ79">
        <f>IF((GM$1+75)&gt;GK$1,NA(),(GM$1+75)-4)</f>
        <v/>
      </c>
      <c r="GK79">
        <f>IF((GM$1+75)&gt;GK$1,NA(),INDEX('Data Entry'!$P$5:$P$10004,(GM$1+75)-4))</f>
        <v/>
      </c>
      <c r="GL79">
        <f>IF(ISNA(GJ79),NA(),Capability!$K$13)</f>
        <v/>
      </c>
      <c r="GM79">
        <f>IF(ISNA(GJ79),NA(),Capability!$J$13)</f>
        <v/>
      </c>
      <c r="GN79">
        <f>IF(ISNA(GJ79),NA(),Capability!$L$13)</f>
        <v/>
      </c>
      <c r="GO79">
        <f>IF(OR(ISNA(GK79),ISNA(GK78)),NA(),ABS(GK79-GK78))</f>
        <v/>
      </c>
      <c r="GP79">
        <f>IF(ISNA(GJ79),NA(),Capability!$N$13)</f>
        <v/>
      </c>
      <c r="GQ79">
        <f>IF(ISNA(GJ79),NA(),IF(OR(Capability!$Q$13="",Settings!$F$7&lt;&gt;"Y"),NA(),Capability!$Q$13))</f>
        <v/>
      </c>
      <c r="GR79">
        <f>IF(ISNA(GJ79),NA(),IF(OR(Capability!$P$13="",Settings!$F$7&lt;&gt;"Y"),NA(),Capability!$P$13))</f>
        <v/>
      </c>
      <c r="GX79">
        <f>IF((HA$1+75)&gt;GY$1,NA(),(HA$1+75)-4)</f>
        <v/>
      </c>
      <c r="GY79">
        <f>IF((HA$1+75)&gt;GY$1,NA(),INDEX('Data Entry'!$Q$5:$Q$10004,(HA$1+75)-4))</f>
        <v/>
      </c>
      <c r="GZ79">
        <f>IF(ISNA(GX79),NA(),Capability!$K$14)</f>
        <v/>
      </c>
      <c r="HA79">
        <f>IF(ISNA(GX79),NA(),Capability!$J$14)</f>
        <v/>
      </c>
      <c r="HB79">
        <f>IF(ISNA(GX79),NA(),Capability!$L$14)</f>
        <v/>
      </c>
      <c r="HC79">
        <f>IF(OR(ISNA(GY79),ISNA(GY78)),NA(),ABS(GY79-GY78))</f>
        <v/>
      </c>
      <c r="HD79">
        <f>IF(ISNA(GX79),NA(),Capability!$N$14)</f>
        <v/>
      </c>
      <c r="HE79">
        <f>IF(ISNA(GX79),NA(),IF(OR(Capability!$Q$14="",Settings!$F$7&lt;&gt;"Y"),NA(),Capability!$Q$14))</f>
        <v/>
      </c>
      <c r="HF79">
        <f>IF(ISNA(GX79),NA(),IF(OR(Capability!$P$14="",Settings!$F$7&lt;&gt;"Y"),NA(),Capability!$P$14))</f>
        <v/>
      </c>
    </row>
    <row r="80">
      <c r="CB80">
        <f>IF((CE$1+76)&gt;CC$1,NA(),(CE$1+76)-4)</f>
        <v/>
      </c>
      <c r="CC80">
        <f>IF((CE$1+76)&gt;CC$1,NA(),INDEX('Data Entry'!$H$5:$H$10004,(CE$1+76)-4))</f>
        <v/>
      </c>
      <c r="CD80">
        <f>IF(ISNA(CB80),NA(),Capability!$K$5)</f>
        <v/>
      </c>
      <c r="CE80">
        <f>IF(ISNA(CB80),NA(),Capability!$J$5)</f>
        <v/>
      </c>
      <c r="CF80">
        <f>IF(ISNA(CB80),NA(),Capability!$L$5)</f>
        <v/>
      </c>
      <c r="CG80">
        <f>IF(OR(ISNA(CC80),ISNA(CC79)),NA(),ABS(CC80-CC79))</f>
        <v/>
      </c>
      <c r="CH80">
        <f>IF(ISNA(CB80),NA(),Capability!$N$5)</f>
        <v/>
      </c>
      <c r="CI80">
        <f>IF(ISNA(CB80),NA(),IF(OR(Capability!$Q$5="",Settings!$F$7&lt;&gt;"Y"),NA(),Capability!$Q$5))</f>
        <v/>
      </c>
      <c r="CJ80">
        <f>IF(ISNA(CB80),NA(),IF(OR(Capability!$P$5="",Settings!$F$7&lt;&gt;"Y"),NA(),Capability!$P$5))</f>
        <v/>
      </c>
      <c r="CP80">
        <f>IF((CS$1+76)&gt;CQ$1,NA(),(CS$1+76)-4)</f>
        <v/>
      </c>
      <c r="CQ80">
        <f>IF((CS$1+76)&gt;CQ$1,NA(),INDEX('Data Entry'!$I$5:$I$10004,(CS$1+76)-4))</f>
        <v/>
      </c>
      <c r="CR80">
        <f>IF(ISNA(CP80),NA(),Capability!$K$6)</f>
        <v/>
      </c>
      <c r="CS80">
        <f>IF(ISNA(CP80),NA(),Capability!$J$6)</f>
        <v/>
      </c>
      <c r="CT80">
        <f>IF(ISNA(CP80),NA(),Capability!$L$6)</f>
        <v/>
      </c>
      <c r="CU80">
        <f>IF(OR(ISNA(CQ80),ISNA(CQ79)),NA(),ABS(CQ80-CQ79))</f>
        <v/>
      </c>
      <c r="CV80">
        <f>IF(ISNA(CP80),NA(),Capability!$N$6)</f>
        <v/>
      </c>
      <c r="CW80">
        <f>IF(ISNA(CP80),NA(),IF(OR(Capability!$Q$6="",Settings!$F$7&lt;&gt;"Y"),NA(),Capability!$Q$6))</f>
        <v/>
      </c>
      <c r="CX80">
        <f>IF(ISNA(CP80),NA(),IF(OR(Capability!$P$6="",Settings!$F$7&lt;&gt;"Y"),NA(),Capability!$P$6))</f>
        <v/>
      </c>
      <c r="DD80">
        <f>IF((DG$1+76)&gt;DE$1,NA(),(DG$1+76)-4)</f>
        <v/>
      </c>
      <c r="DE80">
        <f>IF((DG$1+76)&gt;DE$1,NA(),INDEX('Data Entry'!$J$5:$J$10004,(DG$1+76)-4))</f>
        <v/>
      </c>
      <c r="DF80">
        <f>IF(ISNA(DD80),NA(),Capability!$K$7)</f>
        <v/>
      </c>
      <c r="DG80">
        <f>IF(ISNA(DD80),NA(),Capability!$J$7)</f>
        <v/>
      </c>
      <c r="DH80">
        <f>IF(ISNA(DD80),NA(),Capability!$L$7)</f>
        <v/>
      </c>
      <c r="DI80">
        <f>IF(OR(ISNA(DE80),ISNA(DE79)),NA(),ABS(DE80-DE79))</f>
        <v/>
      </c>
      <c r="DJ80">
        <f>IF(ISNA(DD80),NA(),Capability!$N$7)</f>
        <v/>
      </c>
      <c r="DK80">
        <f>IF(ISNA(DD80),NA(),IF(OR(Capability!$Q$7="",Settings!$F$7&lt;&gt;"Y"),NA(),Capability!$Q$7))</f>
        <v/>
      </c>
      <c r="DL80">
        <f>IF(ISNA(DD80),NA(),IF(OR(Capability!$P$7="",Settings!$F$7&lt;&gt;"Y"),NA(),Capability!$P$7))</f>
        <v/>
      </c>
      <c r="DR80">
        <f>IF((DU$1+76)&gt;DS$1,NA(),(DU$1+76)-4)</f>
        <v/>
      </c>
      <c r="DS80">
        <f>IF((DU$1+76)&gt;DS$1,NA(),INDEX('Data Entry'!$K$5:$K$10004,(DU$1+76)-4))</f>
        <v/>
      </c>
      <c r="DT80">
        <f>IF(ISNA(DR80),NA(),Capability!$K$8)</f>
        <v/>
      </c>
      <c r="DU80">
        <f>IF(ISNA(DR80),NA(),Capability!$J$8)</f>
        <v/>
      </c>
      <c r="DV80">
        <f>IF(ISNA(DR80),NA(),Capability!$L$8)</f>
        <v/>
      </c>
      <c r="DW80">
        <f>IF(OR(ISNA(DS80),ISNA(DS79)),NA(),ABS(DS80-DS79))</f>
        <v/>
      </c>
      <c r="DX80">
        <f>IF(ISNA(DR80),NA(),Capability!$N$8)</f>
        <v/>
      </c>
      <c r="DY80">
        <f>IF(ISNA(DR80),NA(),IF(OR(Capability!$Q$8="",Settings!$F$7&lt;&gt;"Y"),NA(),Capability!$Q$8))</f>
        <v/>
      </c>
      <c r="DZ80">
        <f>IF(ISNA(DR80),NA(),IF(OR(Capability!$P$8="",Settings!$F$7&lt;&gt;"Y"),NA(),Capability!$P$8))</f>
        <v/>
      </c>
      <c r="EF80">
        <f>IF((EI$1+76)&gt;EG$1,NA(),(EI$1+76)-4)</f>
        <v/>
      </c>
      <c r="EG80">
        <f>IF((EI$1+76)&gt;EG$1,NA(),INDEX('Data Entry'!$L$5:$L$10004,(EI$1+76)-4))</f>
        <v/>
      </c>
      <c r="EH80">
        <f>IF(ISNA(EF80),NA(),Capability!$K$9)</f>
        <v/>
      </c>
      <c r="EI80">
        <f>IF(ISNA(EF80),NA(),Capability!$J$9)</f>
        <v/>
      </c>
      <c r="EJ80">
        <f>IF(ISNA(EF80),NA(),Capability!$L$9)</f>
        <v/>
      </c>
      <c r="EK80">
        <f>IF(OR(ISNA(EG80),ISNA(EG79)),NA(),ABS(EG80-EG79))</f>
        <v/>
      </c>
      <c r="EL80">
        <f>IF(ISNA(EF80),NA(),Capability!$N$9)</f>
        <v/>
      </c>
      <c r="EM80">
        <f>IF(ISNA(EF80),NA(),IF(OR(Capability!$Q$9="",Settings!$F$7&lt;&gt;"Y"),NA(),Capability!$Q$9))</f>
        <v/>
      </c>
      <c r="EN80">
        <f>IF(ISNA(EF80),NA(),IF(OR(Capability!$P$9="",Settings!$F$7&lt;&gt;"Y"),NA(),Capability!$P$9))</f>
        <v/>
      </c>
      <c r="ET80">
        <f>IF((EW$1+76)&gt;EU$1,NA(),(EW$1+76)-4)</f>
        <v/>
      </c>
      <c r="EU80">
        <f>IF((EW$1+76)&gt;EU$1,NA(),INDEX('Data Entry'!$M$5:$M$10004,(EW$1+76)-4))</f>
        <v/>
      </c>
      <c r="EV80">
        <f>IF(ISNA(ET80),NA(),Capability!$K$10)</f>
        <v/>
      </c>
      <c r="EW80">
        <f>IF(ISNA(ET80),NA(),Capability!$J$10)</f>
        <v/>
      </c>
      <c r="EX80">
        <f>IF(ISNA(ET80),NA(),Capability!$L$10)</f>
        <v/>
      </c>
      <c r="EY80">
        <f>IF(OR(ISNA(EU80),ISNA(EU79)),NA(),ABS(EU80-EU79))</f>
        <v/>
      </c>
      <c r="EZ80">
        <f>IF(ISNA(ET80),NA(),Capability!$N$10)</f>
        <v/>
      </c>
      <c r="FA80">
        <f>IF(ISNA(ET80),NA(),IF(OR(Capability!$Q$10="",Settings!$F$7&lt;&gt;"Y"),NA(),Capability!$Q$10))</f>
        <v/>
      </c>
      <c r="FB80">
        <f>IF(ISNA(ET80),NA(),IF(OR(Capability!$P$10="",Settings!$F$7&lt;&gt;"Y"),NA(),Capability!$P$10))</f>
        <v/>
      </c>
      <c r="FH80">
        <f>IF((FK$1+76)&gt;FI$1,NA(),(FK$1+76)-4)</f>
        <v/>
      </c>
      <c r="FI80">
        <f>IF((FK$1+76)&gt;FI$1,NA(),INDEX('Data Entry'!$N$5:$N$10004,(FK$1+76)-4))</f>
        <v/>
      </c>
      <c r="FJ80">
        <f>IF(ISNA(FH80),NA(),Capability!$K$11)</f>
        <v/>
      </c>
      <c r="FK80">
        <f>IF(ISNA(FH80),NA(),Capability!$J$11)</f>
        <v/>
      </c>
      <c r="FL80">
        <f>IF(ISNA(FH80),NA(),Capability!$L$11)</f>
        <v/>
      </c>
      <c r="FM80">
        <f>IF(OR(ISNA(FI80),ISNA(FI79)),NA(),ABS(FI80-FI79))</f>
        <v/>
      </c>
      <c r="FN80">
        <f>IF(ISNA(FH80),NA(),Capability!$N$11)</f>
        <v/>
      </c>
      <c r="FO80">
        <f>IF(ISNA(FH80),NA(),IF(OR(Capability!$Q$11="",Settings!$F$7&lt;&gt;"Y"),NA(),Capability!$Q$11))</f>
        <v/>
      </c>
      <c r="FP80">
        <f>IF(ISNA(FH80),NA(),IF(OR(Capability!$P$11="",Settings!$F$7&lt;&gt;"Y"),NA(),Capability!$P$11))</f>
        <v/>
      </c>
      <c r="FV80">
        <f>IF((FY$1+76)&gt;FW$1,NA(),(FY$1+76)-4)</f>
        <v/>
      </c>
      <c r="FW80">
        <f>IF((FY$1+76)&gt;FW$1,NA(),INDEX('Data Entry'!$O$5:$O$10004,(FY$1+76)-4))</f>
        <v/>
      </c>
      <c r="FX80">
        <f>IF(ISNA(FV80),NA(),Capability!$K$12)</f>
        <v/>
      </c>
      <c r="FY80">
        <f>IF(ISNA(FV80),NA(),Capability!$J$12)</f>
        <v/>
      </c>
      <c r="FZ80">
        <f>IF(ISNA(FV80),NA(),Capability!$L$12)</f>
        <v/>
      </c>
      <c r="GA80">
        <f>IF(OR(ISNA(FW80),ISNA(FW79)),NA(),ABS(FW80-FW79))</f>
        <v/>
      </c>
      <c r="GB80">
        <f>IF(ISNA(FV80),NA(),Capability!$N$12)</f>
        <v/>
      </c>
      <c r="GC80">
        <f>IF(ISNA(FV80),NA(),IF(OR(Capability!$Q$12="",Settings!$F$7&lt;&gt;"Y"),NA(),Capability!$Q$12))</f>
        <v/>
      </c>
      <c r="GD80">
        <f>IF(ISNA(FV80),NA(),IF(OR(Capability!$P$12="",Settings!$F$7&lt;&gt;"Y"),NA(),Capability!$P$12))</f>
        <v/>
      </c>
      <c r="GJ80">
        <f>IF((GM$1+76)&gt;GK$1,NA(),(GM$1+76)-4)</f>
        <v/>
      </c>
      <c r="GK80">
        <f>IF((GM$1+76)&gt;GK$1,NA(),INDEX('Data Entry'!$P$5:$P$10004,(GM$1+76)-4))</f>
        <v/>
      </c>
      <c r="GL80">
        <f>IF(ISNA(GJ80),NA(),Capability!$K$13)</f>
        <v/>
      </c>
      <c r="GM80">
        <f>IF(ISNA(GJ80),NA(),Capability!$J$13)</f>
        <v/>
      </c>
      <c r="GN80">
        <f>IF(ISNA(GJ80),NA(),Capability!$L$13)</f>
        <v/>
      </c>
      <c r="GO80">
        <f>IF(OR(ISNA(GK80),ISNA(GK79)),NA(),ABS(GK80-GK79))</f>
        <v/>
      </c>
      <c r="GP80">
        <f>IF(ISNA(GJ80),NA(),Capability!$N$13)</f>
        <v/>
      </c>
      <c r="GQ80">
        <f>IF(ISNA(GJ80),NA(),IF(OR(Capability!$Q$13="",Settings!$F$7&lt;&gt;"Y"),NA(),Capability!$Q$13))</f>
        <v/>
      </c>
      <c r="GR80">
        <f>IF(ISNA(GJ80),NA(),IF(OR(Capability!$P$13="",Settings!$F$7&lt;&gt;"Y"),NA(),Capability!$P$13))</f>
        <v/>
      </c>
      <c r="GX80">
        <f>IF((HA$1+76)&gt;GY$1,NA(),(HA$1+76)-4)</f>
        <v/>
      </c>
      <c r="GY80">
        <f>IF((HA$1+76)&gt;GY$1,NA(),INDEX('Data Entry'!$Q$5:$Q$10004,(HA$1+76)-4))</f>
        <v/>
      </c>
      <c r="GZ80">
        <f>IF(ISNA(GX80),NA(),Capability!$K$14)</f>
        <v/>
      </c>
      <c r="HA80">
        <f>IF(ISNA(GX80),NA(),Capability!$J$14)</f>
        <v/>
      </c>
      <c r="HB80">
        <f>IF(ISNA(GX80),NA(),Capability!$L$14)</f>
        <v/>
      </c>
      <c r="HC80">
        <f>IF(OR(ISNA(GY80),ISNA(GY79)),NA(),ABS(GY80-GY79))</f>
        <v/>
      </c>
      <c r="HD80">
        <f>IF(ISNA(GX80),NA(),Capability!$N$14)</f>
        <v/>
      </c>
      <c r="HE80">
        <f>IF(ISNA(GX80),NA(),IF(OR(Capability!$Q$14="",Settings!$F$7&lt;&gt;"Y"),NA(),Capability!$Q$14))</f>
        <v/>
      </c>
      <c r="HF80">
        <f>IF(ISNA(GX80),NA(),IF(OR(Capability!$P$14="",Settings!$F$7&lt;&gt;"Y"),NA(),Capability!$P$14))</f>
        <v/>
      </c>
    </row>
    <row r="81">
      <c r="CB81">
        <f>IF((CE$1+77)&gt;CC$1,NA(),(CE$1+77)-4)</f>
        <v/>
      </c>
      <c r="CC81">
        <f>IF((CE$1+77)&gt;CC$1,NA(),INDEX('Data Entry'!$H$5:$H$10004,(CE$1+77)-4))</f>
        <v/>
      </c>
      <c r="CD81">
        <f>IF(ISNA(CB81),NA(),Capability!$K$5)</f>
        <v/>
      </c>
      <c r="CE81">
        <f>IF(ISNA(CB81),NA(),Capability!$J$5)</f>
        <v/>
      </c>
      <c r="CF81">
        <f>IF(ISNA(CB81),NA(),Capability!$L$5)</f>
        <v/>
      </c>
      <c r="CG81">
        <f>IF(OR(ISNA(CC81),ISNA(CC80)),NA(),ABS(CC81-CC80))</f>
        <v/>
      </c>
      <c r="CH81">
        <f>IF(ISNA(CB81),NA(),Capability!$N$5)</f>
        <v/>
      </c>
      <c r="CI81">
        <f>IF(ISNA(CB81),NA(),IF(OR(Capability!$Q$5="",Settings!$F$7&lt;&gt;"Y"),NA(),Capability!$Q$5))</f>
        <v/>
      </c>
      <c r="CJ81">
        <f>IF(ISNA(CB81),NA(),IF(OR(Capability!$P$5="",Settings!$F$7&lt;&gt;"Y"),NA(),Capability!$P$5))</f>
        <v/>
      </c>
      <c r="CP81">
        <f>IF((CS$1+77)&gt;CQ$1,NA(),(CS$1+77)-4)</f>
        <v/>
      </c>
      <c r="CQ81">
        <f>IF((CS$1+77)&gt;CQ$1,NA(),INDEX('Data Entry'!$I$5:$I$10004,(CS$1+77)-4))</f>
        <v/>
      </c>
      <c r="CR81">
        <f>IF(ISNA(CP81),NA(),Capability!$K$6)</f>
        <v/>
      </c>
      <c r="CS81">
        <f>IF(ISNA(CP81),NA(),Capability!$J$6)</f>
        <v/>
      </c>
      <c r="CT81">
        <f>IF(ISNA(CP81),NA(),Capability!$L$6)</f>
        <v/>
      </c>
      <c r="CU81">
        <f>IF(OR(ISNA(CQ81),ISNA(CQ80)),NA(),ABS(CQ81-CQ80))</f>
        <v/>
      </c>
      <c r="CV81">
        <f>IF(ISNA(CP81),NA(),Capability!$N$6)</f>
        <v/>
      </c>
      <c r="CW81">
        <f>IF(ISNA(CP81),NA(),IF(OR(Capability!$Q$6="",Settings!$F$7&lt;&gt;"Y"),NA(),Capability!$Q$6))</f>
        <v/>
      </c>
      <c r="CX81">
        <f>IF(ISNA(CP81),NA(),IF(OR(Capability!$P$6="",Settings!$F$7&lt;&gt;"Y"),NA(),Capability!$P$6))</f>
        <v/>
      </c>
      <c r="DD81">
        <f>IF((DG$1+77)&gt;DE$1,NA(),(DG$1+77)-4)</f>
        <v/>
      </c>
      <c r="DE81">
        <f>IF((DG$1+77)&gt;DE$1,NA(),INDEX('Data Entry'!$J$5:$J$10004,(DG$1+77)-4))</f>
        <v/>
      </c>
      <c r="DF81">
        <f>IF(ISNA(DD81),NA(),Capability!$K$7)</f>
        <v/>
      </c>
      <c r="DG81">
        <f>IF(ISNA(DD81),NA(),Capability!$J$7)</f>
        <v/>
      </c>
      <c r="DH81">
        <f>IF(ISNA(DD81),NA(),Capability!$L$7)</f>
        <v/>
      </c>
      <c r="DI81">
        <f>IF(OR(ISNA(DE81),ISNA(DE80)),NA(),ABS(DE81-DE80))</f>
        <v/>
      </c>
      <c r="DJ81">
        <f>IF(ISNA(DD81),NA(),Capability!$N$7)</f>
        <v/>
      </c>
      <c r="DK81">
        <f>IF(ISNA(DD81),NA(),IF(OR(Capability!$Q$7="",Settings!$F$7&lt;&gt;"Y"),NA(),Capability!$Q$7))</f>
        <v/>
      </c>
      <c r="DL81">
        <f>IF(ISNA(DD81),NA(),IF(OR(Capability!$P$7="",Settings!$F$7&lt;&gt;"Y"),NA(),Capability!$P$7))</f>
        <v/>
      </c>
      <c r="DR81">
        <f>IF((DU$1+77)&gt;DS$1,NA(),(DU$1+77)-4)</f>
        <v/>
      </c>
      <c r="DS81">
        <f>IF((DU$1+77)&gt;DS$1,NA(),INDEX('Data Entry'!$K$5:$K$10004,(DU$1+77)-4))</f>
        <v/>
      </c>
      <c r="DT81">
        <f>IF(ISNA(DR81),NA(),Capability!$K$8)</f>
        <v/>
      </c>
      <c r="DU81">
        <f>IF(ISNA(DR81),NA(),Capability!$J$8)</f>
        <v/>
      </c>
      <c r="DV81">
        <f>IF(ISNA(DR81),NA(),Capability!$L$8)</f>
        <v/>
      </c>
      <c r="DW81">
        <f>IF(OR(ISNA(DS81),ISNA(DS80)),NA(),ABS(DS81-DS80))</f>
        <v/>
      </c>
      <c r="DX81">
        <f>IF(ISNA(DR81),NA(),Capability!$N$8)</f>
        <v/>
      </c>
      <c r="DY81">
        <f>IF(ISNA(DR81),NA(),IF(OR(Capability!$Q$8="",Settings!$F$7&lt;&gt;"Y"),NA(),Capability!$Q$8))</f>
        <v/>
      </c>
      <c r="DZ81">
        <f>IF(ISNA(DR81),NA(),IF(OR(Capability!$P$8="",Settings!$F$7&lt;&gt;"Y"),NA(),Capability!$P$8))</f>
        <v/>
      </c>
      <c r="EF81">
        <f>IF((EI$1+77)&gt;EG$1,NA(),(EI$1+77)-4)</f>
        <v/>
      </c>
      <c r="EG81">
        <f>IF((EI$1+77)&gt;EG$1,NA(),INDEX('Data Entry'!$L$5:$L$10004,(EI$1+77)-4))</f>
        <v/>
      </c>
      <c r="EH81">
        <f>IF(ISNA(EF81),NA(),Capability!$K$9)</f>
        <v/>
      </c>
      <c r="EI81">
        <f>IF(ISNA(EF81),NA(),Capability!$J$9)</f>
        <v/>
      </c>
      <c r="EJ81">
        <f>IF(ISNA(EF81),NA(),Capability!$L$9)</f>
        <v/>
      </c>
      <c r="EK81">
        <f>IF(OR(ISNA(EG81),ISNA(EG80)),NA(),ABS(EG81-EG80))</f>
        <v/>
      </c>
      <c r="EL81">
        <f>IF(ISNA(EF81),NA(),Capability!$N$9)</f>
        <v/>
      </c>
      <c r="EM81">
        <f>IF(ISNA(EF81),NA(),IF(OR(Capability!$Q$9="",Settings!$F$7&lt;&gt;"Y"),NA(),Capability!$Q$9))</f>
        <v/>
      </c>
      <c r="EN81">
        <f>IF(ISNA(EF81),NA(),IF(OR(Capability!$P$9="",Settings!$F$7&lt;&gt;"Y"),NA(),Capability!$P$9))</f>
        <v/>
      </c>
      <c r="ET81">
        <f>IF((EW$1+77)&gt;EU$1,NA(),(EW$1+77)-4)</f>
        <v/>
      </c>
      <c r="EU81">
        <f>IF((EW$1+77)&gt;EU$1,NA(),INDEX('Data Entry'!$M$5:$M$10004,(EW$1+77)-4))</f>
        <v/>
      </c>
      <c r="EV81">
        <f>IF(ISNA(ET81),NA(),Capability!$K$10)</f>
        <v/>
      </c>
      <c r="EW81">
        <f>IF(ISNA(ET81),NA(),Capability!$J$10)</f>
        <v/>
      </c>
      <c r="EX81">
        <f>IF(ISNA(ET81),NA(),Capability!$L$10)</f>
        <v/>
      </c>
      <c r="EY81">
        <f>IF(OR(ISNA(EU81),ISNA(EU80)),NA(),ABS(EU81-EU80))</f>
        <v/>
      </c>
      <c r="EZ81">
        <f>IF(ISNA(ET81),NA(),Capability!$N$10)</f>
        <v/>
      </c>
      <c r="FA81">
        <f>IF(ISNA(ET81),NA(),IF(OR(Capability!$Q$10="",Settings!$F$7&lt;&gt;"Y"),NA(),Capability!$Q$10))</f>
        <v/>
      </c>
      <c r="FB81">
        <f>IF(ISNA(ET81),NA(),IF(OR(Capability!$P$10="",Settings!$F$7&lt;&gt;"Y"),NA(),Capability!$P$10))</f>
        <v/>
      </c>
      <c r="FH81">
        <f>IF((FK$1+77)&gt;FI$1,NA(),(FK$1+77)-4)</f>
        <v/>
      </c>
      <c r="FI81">
        <f>IF((FK$1+77)&gt;FI$1,NA(),INDEX('Data Entry'!$N$5:$N$10004,(FK$1+77)-4))</f>
        <v/>
      </c>
      <c r="FJ81">
        <f>IF(ISNA(FH81),NA(),Capability!$K$11)</f>
        <v/>
      </c>
      <c r="FK81">
        <f>IF(ISNA(FH81),NA(),Capability!$J$11)</f>
        <v/>
      </c>
      <c r="FL81">
        <f>IF(ISNA(FH81),NA(),Capability!$L$11)</f>
        <v/>
      </c>
      <c r="FM81">
        <f>IF(OR(ISNA(FI81),ISNA(FI80)),NA(),ABS(FI81-FI80))</f>
        <v/>
      </c>
      <c r="FN81">
        <f>IF(ISNA(FH81),NA(),Capability!$N$11)</f>
        <v/>
      </c>
      <c r="FO81">
        <f>IF(ISNA(FH81),NA(),IF(OR(Capability!$Q$11="",Settings!$F$7&lt;&gt;"Y"),NA(),Capability!$Q$11))</f>
        <v/>
      </c>
      <c r="FP81">
        <f>IF(ISNA(FH81),NA(),IF(OR(Capability!$P$11="",Settings!$F$7&lt;&gt;"Y"),NA(),Capability!$P$11))</f>
        <v/>
      </c>
      <c r="FV81">
        <f>IF((FY$1+77)&gt;FW$1,NA(),(FY$1+77)-4)</f>
        <v/>
      </c>
      <c r="FW81">
        <f>IF((FY$1+77)&gt;FW$1,NA(),INDEX('Data Entry'!$O$5:$O$10004,(FY$1+77)-4))</f>
        <v/>
      </c>
      <c r="FX81">
        <f>IF(ISNA(FV81),NA(),Capability!$K$12)</f>
        <v/>
      </c>
      <c r="FY81">
        <f>IF(ISNA(FV81),NA(),Capability!$J$12)</f>
        <v/>
      </c>
      <c r="FZ81">
        <f>IF(ISNA(FV81),NA(),Capability!$L$12)</f>
        <v/>
      </c>
      <c r="GA81">
        <f>IF(OR(ISNA(FW81),ISNA(FW80)),NA(),ABS(FW81-FW80))</f>
        <v/>
      </c>
      <c r="GB81">
        <f>IF(ISNA(FV81),NA(),Capability!$N$12)</f>
        <v/>
      </c>
      <c r="GC81">
        <f>IF(ISNA(FV81),NA(),IF(OR(Capability!$Q$12="",Settings!$F$7&lt;&gt;"Y"),NA(),Capability!$Q$12))</f>
        <v/>
      </c>
      <c r="GD81">
        <f>IF(ISNA(FV81),NA(),IF(OR(Capability!$P$12="",Settings!$F$7&lt;&gt;"Y"),NA(),Capability!$P$12))</f>
        <v/>
      </c>
      <c r="GJ81">
        <f>IF((GM$1+77)&gt;GK$1,NA(),(GM$1+77)-4)</f>
        <v/>
      </c>
      <c r="GK81">
        <f>IF((GM$1+77)&gt;GK$1,NA(),INDEX('Data Entry'!$P$5:$P$10004,(GM$1+77)-4))</f>
        <v/>
      </c>
      <c r="GL81">
        <f>IF(ISNA(GJ81),NA(),Capability!$K$13)</f>
        <v/>
      </c>
      <c r="GM81">
        <f>IF(ISNA(GJ81),NA(),Capability!$J$13)</f>
        <v/>
      </c>
      <c r="GN81">
        <f>IF(ISNA(GJ81),NA(),Capability!$L$13)</f>
        <v/>
      </c>
      <c r="GO81">
        <f>IF(OR(ISNA(GK81),ISNA(GK80)),NA(),ABS(GK81-GK80))</f>
        <v/>
      </c>
      <c r="GP81">
        <f>IF(ISNA(GJ81),NA(),Capability!$N$13)</f>
        <v/>
      </c>
      <c r="GQ81">
        <f>IF(ISNA(GJ81),NA(),IF(OR(Capability!$Q$13="",Settings!$F$7&lt;&gt;"Y"),NA(),Capability!$Q$13))</f>
        <v/>
      </c>
      <c r="GR81">
        <f>IF(ISNA(GJ81),NA(),IF(OR(Capability!$P$13="",Settings!$F$7&lt;&gt;"Y"),NA(),Capability!$P$13))</f>
        <v/>
      </c>
      <c r="GX81">
        <f>IF((HA$1+77)&gt;GY$1,NA(),(HA$1+77)-4)</f>
        <v/>
      </c>
      <c r="GY81">
        <f>IF((HA$1+77)&gt;GY$1,NA(),INDEX('Data Entry'!$Q$5:$Q$10004,(HA$1+77)-4))</f>
        <v/>
      </c>
      <c r="GZ81">
        <f>IF(ISNA(GX81),NA(),Capability!$K$14)</f>
        <v/>
      </c>
      <c r="HA81">
        <f>IF(ISNA(GX81),NA(),Capability!$J$14)</f>
        <v/>
      </c>
      <c r="HB81">
        <f>IF(ISNA(GX81),NA(),Capability!$L$14)</f>
        <v/>
      </c>
      <c r="HC81">
        <f>IF(OR(ISNA(GY81),ISNA(GY80)),NA(),ABS(GY81-GY80))</f>
        <v/>
      </c>
      <c r="HD81">
        <f>IF(ISNA(GX81),NA(),Capability!$N$14)</f>
        <v/>
      </c>
      <c r="HE81">
        <f>IF(ISNA(GX81),NA(),IF(OR(Capability!$Q$14="",Settings!$F$7&lt;&gt;"Y"),NA(),Capability!$Q$14))</f>
        <v/>
      </c>
      <c r="HF81">
        <f>IF(ISNA(GX81),NA(),IF(OR(Capability!$P$14="",Settings!$F$7&lt;&gt;"Y"),NA(),Capability!$P$14))</f>
        <v/>
      </c>
    </row>
    <row r="82">
      <c r="CB82">
        <f>IF((CE$1+78)&gt;CC$1,NA(),(CE$1+78)-4)</f>
        <v/>
      </c>
      <c r="CC82">
        <f>IF((CE$1+78)&gt;CC$1,NA(),INDEX('Data Entry'!$H$5:$H$10004,(CE$1+78)-4))</f>
        <v/>
      </c>
      <c r="CD82">
        <f>IF(ISNA(CB82),NA(),Capability!$K$5)</f>
        <v/>
      </c>
      <c r="CE82">
        <f>IF(ISNA(CB82),NA(),Capability!$J$5)</f>
        <v/>
      </c>
      <c r="CF82">
        <f>IF(ISNA(CB82),NA(),Capability!$L$5)</f>
        <v/>
      </c>
      <c r="CG82">
        <f>IF(OR(ISNA(CC82),ISNA(CC81)),NA(),ABS(CC82-CC81))</f>
        <v/>
      </c>
      <c r="CH82">
        <f>IF(ISNA(CB82),NA(),Capability!$N$5)</f>
        <v/>
      </c>
      <c r="CI82">
        <f>IF(ISNA(CB82),NA(),IF(OR(Capability!$Q$5="",Settings!$F$7&lt;&gt;"Y"),NA(),Capability!$Q$5))</f>
        <v/>
      </c>
      <c r="CJ82">
        <f>IF(ISNA(CB82),NA(),IF(OR(Capability!$P$5="",Settings!$F$7&lt;&gt;"Y"),NA(),Capability!$P$5))</f>
        <v/>
      </c>
      <c r="CP82">
        <f>IF((CS$1+78)&gt;CQ$1,NA(),(CS$1+78)-4)</f>
        <v/>
      </c>
      <c r="CQ82">
        <f>IF((CS$1+78)&gt;CQ$1,NA(),INDEX('Data Entry'!$I$5:$I$10004,(CS$1+78)-4))</f>
        <v/>
      </c>
      <c r="CR82">
        <f>IF(ISNA(CP82),NA(),Capability!$K$6)</f>
        <v/>
      </c>
      <c r="CS82">
        <f>IF(ISNA(CP82),NA(),Capability!$J$6)</f>
        <v/>
      </c>
      <c r="CT82">
        <f>IF(ISNA(CP82),NA(),Capability!$L$6)</f>
        <v/>
      </c>
      <c r="CU82">
        <f>IF(OR(ISNA(CQ82),ISNA(CQ81)),NA(),ABS(CQ82-CQ81))</f>
        <v/>
      </c>
      <c r="CV82">
        <f>IF(ISNA(CP82),NA(),Capability!$N$6)</f>
        <v/>
      </c>
      <c r="CW82">
        <f>IF(ISNA(CP82),NA(),IF(OR(Capability!$Q$6="",Settings!$F$7&lt;&gt;"Y"),NA(),Capability!$Q$6))</f>
        <v/>
      </c>
      <c r="CX82">
        <f>IF(ISNA(CP82),NA(),IF(OR(Capability!$P$6="",Settings!$F$7&lt;&gt;"Y"),NA(),Capability!$P$6))</f>
        <v/>
      </c>
      <c r="DD82">
        <f>IF((DG$1+78)&gt;DE$1,NA(),(DG$1+78)-4)</f>
        <v/>
      </c>
      <c r="DE82">
        <f>IF((DG$1+78)&gt;DE$1,NA(),INDEX('Data Entry'!$J$5:$J$10004,(DG$1+78)-4))</f>
        <v/>
      </c>
      <c r="DF82">
        <f>IF(ISNA(DD82),NA(),Capability!$K$7)</f>
        <v/>
      </c>
      <c r="DG82">
        <f>IF(ISNA(DD82),NA(),Capability!$J$7)</f>
        <v/>
      </c>
      <c r="DH82">
        <f>IF(ISNA(DD82),NA(),Capability!$L$7)</f>
        <v/>
      </c>
      <c r="DI82">
        <f>IF(OR(ISNA(DE82),ISNA(DE81)),NA(),ABS(DE82-DE81))</f>
        <v/>
      </c>
      <c r="DJ82">
        <f>IF(ISNA(DD82),NA(),Capability!$N$7)</f>
        <v/>
      </c>
      <c r="DK82">
        <f>IF(ISNA(DD82),NA(),IF(OR(Capability!$Q$7="",Settings!$F$7&lt;&gt;"Y"),NA(),Capability!$Q$7))</f>
        <v/>
      </c>
      <c r="DL82">
        <f>IF(ISNA(DD82),NA(),IF(OR(Capability!$P$7="",Settings!$F$7&lt;&gt;"Y"),NA(),Capability!$P$7))</f>
        <v/>
      </c>
      <c r="DR82">
        <f>IF((DU$1+78)&gt;DS$1,NA(),(DU$1+78)-4)</f>
        <v/>
      </c>
      <c r="DS82">
        <f>IF((DU$1+78)&gt;DS$1,NA(),INDEX('Data Entry'!$K$5:$K$10004,(DU$1+78)-4))</f>
        <v/>
      </c>
      <c r="DT82">
        <f>IF(ISNA(DR82),NA(),Capability!$K$8)</f>
        <v/>
      </c>
      <c r="DU82">
        <f>IF(ISNA(DR82),NA(),Capability!$J$8)</f>
        <v/>
      </c>
      <c r="DV82">
        <f>IF(ISNA(DR82),NA(),Capability!$L$8)</f>
        <v/>
      </c>
      <c r="DW82">
        <f>IF(OR(ISNA(DS82),ISNA(DS81)),NA(),ABS(DS82-DS81))</f>
        <v/>
      </c>
      <c r="DX82">
        <f>IF(ISNA(DR82),NA(),Capability!$N$8)</f>
        <v/>
      </c>
      <c r="DY82">
        <f>IF(ISNA(DR82),NA(),IF(OR(Capability!$Q$8="",Settings!$F$7&lt;&gt;"Y"),NA(),Capability!$Q$8))</f>
        <v/>
      </c>
      <c r="DZ82">
        <f>IF(ISNA(DR82),NA(),IF(OR(Capability!$P$8="",Settings!$F$7&lt;&gt;"Y"),NA(),Capability!$P$8))</f>
        <v/>
      </c>
      <c r="EF82">
        <f>IF((EI$1+78)&gt;EG$1,NA(),(EI$1+78)-4)</f>
        <v/>
      </c>
      <c r="EG82">
        <f>IF((EI$1+78)&gt;EG$1,NA(),INDEX('Data Entry'!$L$5:$L$10004,(EI$1+78)-4))</f>
        <v/>
      </c>
      <c r="EH82">
        <f>IF(ISNA(EF82),NA(),Capability!$K$9)</f>
        <v/>
      </c>
      <c r="EI82">
        <f>IF(ISNA(EF82),NA(),Capability!$J$9)</f>
        <v/>
      </c>
      <c r="EJ82">
        <f>IF(ISNA(EF82),NA(),Capability!$L$9)</f>
        <v/>
      </c>
      <c r="EK82">
        <f>IF(OR(ISNA(EG82),ISNA(EG81)),NA(),ABS(EG82-EG81))</f>
        <v/>
      </c>
      <c r="EL82">
        <f>IF(ISNA(EF82),NA(),Capability!$N$9)</f>
        <v/>
      </c>
      <c r="EM82">
        <f>IF(ISNA(EF82),NA(),IF(OR(Capability!$Q$9="",Settings!$F$7&lt;&gt;"Y"),NA(),Capability!$Q$9))</f>
        <v/>
      </c>
      <c r="EN82">
        <f>IF(ISNA(EF82),NA(),IF(OR(Capability!$P$9="",Settings!$F$7&lt;&gt;"Y"),NA(),Capability!$P$9))</f>
        <v/>
      </c>
      <c r="ET82">
        <f>IF((EW$1+78)&gt;EU$1,NA(),(EW$1+78)-4)</f>
        <v/>
      </c>
      <c r="EU82">
        <f>IF((EW$1+78)&gt;EU$1,NA(),INDEX('Data Entry'!$M$5:$M$10004,(EW$1+78)-4))</f>
        <v/>
      </c>
      <c r="EV82">
        <f>IF(ISNA(ET82),NA(),Capability!$K$10)</f>
        <v/>
      </c>
      <c r="EW82">
        <f>IF(ISNA(ET82),NA(),Capability!$J$10)</f>
        <v/>
      </c>
      <c r="EX82">
        <f>IF(ISNA(ET82),NA(),Capability!$L$10)</f>
        <v/>
      </c>
      <c r="EY82">
        <f>IF(OR(ISNA(EU82),ISNA(EU81)),NA(),ABS(EU82-EU81))</f>
        <v/>
      </c>
      <c r="EZ82">
        <f>IF(ISNA(ET82),NA(),Capability!$N$10)</f>
        <v/>
      </c>
      <c r="FA82">
        <f>IF(ISNA(ET82),NA(),IF(OR(Capability!$Q$10="",Settings!$F$7&lt;&gt;"Y"),NA(),Capability!$Q$10))</f>
        <v/>
      </c>
      <c r="FB82">
        <f>IF(ISNA(ET82),NA(),IF(OR(Capability!$P$10="",Settings!$F$7&lt;&gt;"Y"),NA(),Capability!$P$10))</f>
        <v/>
      </c>
      <c r="FH82">
        <f>IF((FK$1+78)&gt;FI$1,NA(),(FK$1+78)-4)</f>
        <v/>
      </c>
      <c r="FI82">
        <f>IF((FK$1+78)&gt;FI$1,NA(),INDEX('Data Entry'!$N$5:$N$10004,(FK$1+78)-4))</f>
        <v/>
      </c>
      <c r="FJ82">
        <f>IF(ISNA(FH82),NA(),Capability!$K$11)</f>
        <v/>
      </c>
      <c r="FK82">
        <f>IF(ISNA(FH82),NA(),Capability!$J$11)</f>
        <v/>
      </c>
      <c r="FL82">
        <f>IF(ISNA(FH82),NA(),Capability!$L$11)</f>
        <v/>
      </c>
      <c r="FM82">
        <f>IF(OR(ISNA(FI82),ISNA(FI81)),NA(),ABS(FI82-FI81))</f>
        <v/>
      </c>
      <c r="FN82">
        <f>IF(ISNA(FH82),NA(),Capability!$N$11)</f>
        <v/>
      </c>
      <c r="FO82">
        <f>IF(ISNA(FH82),NA(),IF(OR(Capability!$Q$11="",Settings!$F$7&lt;&gt;"Y"),NA(),Capability!$Q$11))</f>
        <v/>
      </c>
      <c r="FP82">
        <f>IF(ISNA(FH82),NA(),IF(OR(Capability!$P$11="",Settings!$F$7&lt;&gt;"Y"),NA(),Capability!$P$11))</f>
        <v/>
      </c>
      <c r="FV82">
        <f>IF((FY$1+78)&gt;FW$1,NA(),(FY$1+78)-4)</f>
        <v/>
      </c>
      <c r="FW82">
        <f>IF((FY$1+78)&gt;FW$1,NA(),INDEX('Data Entry'!$O$5:$O$10004,(FY$1+78)-4))</f>
        <v/>
      </c>
      <c r="FX82">
        <f>IF(ISNA(FV82),NA(),Capability!$K$12)</f>
        <v/>
      </c>
      <c r="FY82">
        <f>IF(ISNA(FV82),NA(),Capability!$J$12)</f>
        <v/>
      </c>
      <c r="FZ82">
        <f>IF(ISNA(FV82),NA(),Capability!$L$12)</f>
        <v/>
      </c>
      <c r="GA82">
        <f>IF(OR(ISNA(FW82),ISNA(FW81)),NA(),ABS(FW82-FW81))</f>
        <v/>
      </c>
      <c r="GB82">
        <f>IF(ISNA(FV82),NA(),Capability!$N$12)</f>
        <v/>
      </c>
      <c r="GC82">
        <f>IF(ISNA(FV82),NA(),IF(OR(Capability!$Q$12="",Settings!$F$7&lt;&gt;"Y"),NA(),Capability!$Q$12))</f>
        <v/>
      </c>
      <c r="GD82">
        <f>IF(ISNA(FV82),NA(),IF(OR(Capability!$P$12="",Settings!$F$7&lt;&gt;"Y"),NA(),Capability!$P$12))</f>
        <v/>
      </c>
      <c r="GJ82">
        <f>IF((GM$1+78)&gt;GK$1,NA(),(GM$1+78)-4)</f>
        <v/>
      </c>
      <c r="GK82">
        <f>IF((GM$1+78)&gt;GK$1,NA(),INDEX('Data Entry'!$P$5:$P$10004,(GM$1+78)-4))</f>
        <v/>
      </c>
      <c r="GL82">
        <f>IF(ISNA(GJ82),NA(),Capability!$K$13)</f>
        <v/>
      </c>
      <c r="GM82">
        <f>IF(ISNA(GJ82),NA(),Capability!$J$13)</f>
        <v/>
      </c>
      <c r="GN82">
        <f>IF(ISNA(GJ82),NA(),Capability!$L$13)</f>
        <v/>
      </c>
      <c r="GO82">
        <f>IF(OR(ISNA(GK82),ISNA(GK81)),NA(),ABS(GK82-GK81))</f>
        <v/>
      </c>
      <c r="GP82">
        <f>IF(ISNA(GJ82),NA(),Capability!$N$13)</f>
        <v/>
      </c>
      <c r="GQ82">
        <f>IF(ISNA(GJ82),NA(),IF(OR(Capability!$Q$13="",Settings!$F$7&lt;&gt;"Y"),NA(),Capability!$Q$13))</f>
        <v/>
      </c>
      <c r="GR82">
        <f>IF(ISNA(GJ82),NA(),IF(OR(Capability!$P$13="",Settings!$F$7&lt;&gt;"Y"),NA(),Capability!$P$13))</f>
        <v/>
      </c>
      <c r="GX82">
        <f>IF((HA$1+78)&gt;GY$1,NA(),(HA$1+78)-4)</f>
        <v/>
      </c>
      <c r="GY82">
        <f>IF((HA$1+78)&gt;GY$1,NA(),INDEX('Data Entry'!$Q$5:$Q$10004,(HA$1+78)-4))</f>
        <v/>
      </c>
      <c r="GZ82">
        <f>IF(ISNA(GX82),NA(),Capability!$K$14)</f>
        <v/>
      </c>
      <c r="HA82">
        <f>IF(ISNA(GX82),NA(),Capability!$J$14)</f>
        <v/>
      </c>
      <c r="HB82">
        <f>IF(ISNA(GX82),NA(),Capability!$L$14)</f>
        <v/>
      </c>
      <c r="HC82">
        <f>IF(OR(ISNA(GY82),ISNA(GY81)),NA(),ABS(GY82-GY81))</f>
        <v/>
      </c>
      <c r="HD82">
        <f>IF(ISNA(GX82),NA(),Capability!$N$14)</f>
        <v/>
      </c>
      <c r="HE82">
        <f>IF(ISNA(GX82),NA(),IF(OR(Capability!$Q$14="",Settings!$F$7&lt;&gt;"Y"),NA(),Capability!$Q$14))</f>
        <v/>
      </c>
      <c r="HF82">
        <f>IF(ISNA(GX82),NA(),IF(OR(Capability!$P$14="",Settings!$F$7&lt;&gt;"Y"),NA(),Capability!$P$14))</f>
        <v/>
      </c>
    </row>
    <row r="83">
      <c r="CB83">
        <f>IF((CE$1+79)&gt;CC$1,NA(),(CE$1+79)-4)</f>
        <v/>
      </c>
      <c r="CC83">
        <f>IF((CE$1+79)&gt;CC$1,NA(),INDEX('Data Entry'!$H$5:$H$10004,(CE$1+79)-4))</f>
        <v/>
      </c>
      <c r="CD83">
        <f>IF(ISNA(CB83),NA(),Capability!$K$5)</f>
        <v/>
      </c>
      <c r="CE83">
        <f>IF(ISNA(CB83),NA(),Capability!$J$5)</f>
        <v/>
      </c>
      <c r="CF83">
        <f>IF(ISNA(CB83),NA(),Capability!$L$5)</f>
        <v/>
      </c>
      <c r="CG83">
        <f>IF(OR(ISNA(CC83),ISNA(CC82)),NA(),ABS(CC83-CC82))</f>
        <v/>
      </c>
      <c r="CH83">
        <f>IF(ISNA(CB83),NA(),Capability!$N$5)</f>
        <v/>
      </c>
      <c r="CI83">
        <f>IF(ISNA(CB83),NA(),IF(OR(Capability!$Q$5="",Settings!$F$7&lt;&gt;"Y"),NA(),Capability!$Q$5))</f>
        <v/>
      </c>
      <c r="CJ83">
        <f>IF(ISNA(CB83),NA(),IF(OR(Capability!$P$5="",Settings!$F$7&lt;&gt;"Y"),NA(),Capability!$P$5))</f>
        <v/>
      </c>
      <c r="CP83">
        <f>IF((CS$1+79)&gt;CQ$1,NA(),(CS$1+79)-4)</f>
        <v/>
      </c>
      <c r="CQ83">
        <f>IF((CS$1+79)&gt;CQ$1,NA(),INDEX('Data Entry'!$I$5:$I$10004,(CS$1+79)-4))</f>
        <v/>
      </c>
      <c r="CR83">
        <f>IF(ISNA(CP83),NA(),Capability!$K$6)</f>
        <v/>
      </c>
      <c r="CS83">
        <f>IF(ISNA(CP83),NA(),Capability!$J$6)</f>
        <v/>
      </c>
      <c r="CT83">
        <f>IF(ISNA(CP83),NA(),Capability!$L$6)</f>
        <v/>
      </c>
      <c r="CU83">
        <f>IF(OR(ISNA(CQ83),ISNA(CQ82)),NA(),ABS(CQ83-CQ82))</f>
        <v/>
      </c>
      <c r="CV83">
        <f>IF(ISNA(CP83),NA(),Capability!$N$6)</f>
        <v/>
      </c>
      <c r="CW83">
        <f>IF(ISNA(CP83),NA(),IF(OR(Capability!$Q$6="",Settings!$F$7&lt;&gt;"Y"),NA(),Capability!$Q$6))</f>
        <v/>
      </c>
      <c r="CX83">
        <f>IF(ISNA(CP83),NA(),IF(OR(Capability!$P$6="",Settings!$F$7&lt;&gt;"Y"),NA(),Capability!$P$6))</f>
        <v/>
      </c>
      <c r="DD83">
        <f>IF((DG$1+79)&gt;DE$1,NA(),(DG$1+79)-4)</f>
        <v/>
      </c>
      <c r="DE83">
        <f>IF((DG$1+79)&gt;DE$1,NA(),INDEX('Data Entry'!$J$5:$J$10004,(DG$1+79)-4))</f>
        <v/>
      </c>
      <c r="DF83">
        <f>IF(ISNA(DD83),NA(),Capability!$K$7)</f>
        <v/>
      </c>
      <c r="DG83">
        <f>IF(ISNA(DD83),NA(),Capability!$J$7)</f>
        <v/>
      </c>
      <c r="DH83">
        <f>IF(ISNA(DD83),NA(),Capability!$L$7)</f>
        <v/>
      </c>
      <c r="DI83">
        <f>IF(OR(ISNA(DE83),ISNA(DE82)),NA(),ABS(DE83-DE82))</f>
        <v/>
      </c>
      <c r="DJ83">
        <f>IF(ISNA(DD83),NA(),Capability!$N$7)</f>
        <v/>
      </c>
      <c r="DK83">
        <f>IF(ISNA(DD83),NA(),IF(OR(Capability!$Q$7="",Settings!$F$7&lt;&gt;"Y"),NA(),Capability!$Q$7))</f>
        <v/>
      </c>
      <c r="DL83">
        <f>IF(ISNA(DD83),NA(),IF(OR(Capability!$P$7="",Settings!$F$7&lt;&gt;"Y"),NA(),Capability!$P$7))</f>
        <v/>
      </c>
      <c r="DR83">
        <f>IF((DU$1+79)&gt;DS$1,NA(),(DU$1+79)-4)</f>
        <v/>
      </c>
      <c r="DS83">
        <f>IF((DU$1+79)&gt;DS$1,NA(),INDEX('Data Entry'!$K$5:$K$10004,(DU$1+79)-4))</f>
        <v/>
      </c>
      <c r="DT83">
        <f>IF(ISNA(DR83),NA(),Capability!$K$8)</f>
        <v/>
      </c>
      <c r="DU83">
        <f>IF(ISNA(DR83),NA(),Capability!$J$8)</f>
        <v/>
      </c>
      <c r="DV83">
        <f>IF(ISNA(DR83),NA(),Capability!$L$8)</f>
        <v/>
      </c>
      <c r="DW83">
        <f>IF(OR(ISNA(DS83),ISNA(DS82)),NA(),ABS(DS83-DS82))</f>
        <v/>
      </c>
      <c r="DX83">
        <f>IF(ISNA(DR83),NA(),Capability!$N$8)</f>
        <v/>
      </c>
      <c r="DY83">
        <f>IF(ISNA(DR83),NA(),IF(OR(Capability!$Q$8="",Settings!$F$7&lt;&gt;"Y"),NA(),Capability!$Q$8))</f>
        <v/>
      </c>
      <c r="DZ83">
        <f>IF(ISNA(DR83),NA(),IF(OR(Capability!$P$8="",Settings!$F$7&lt;&gt;"Y"),NA(),Capability!$P$8))</f>
        <v/>
      </c>
      <c r="EF83">
        <f>IF((EI$1+79)&gt;EG$1,NA(),(EI$1+79)-4)</f>
        <v/>
      </c>
      <c r="EG83">
        <f>IF((EI$1+79)&gt;EG$1,NA(),INDEX('Data Entry'!$L$5:$L$10004,(EI$1+79)-4))</f>
        <v/>
      </c>
      <c r="EH83">
        <f>IF(ISNA(EF83),NA(),Capability!$K$9)</f>
        <v/>
      </c>
      <c r="EI83">
        <f>IF(ISNA(EF83),NA(),Capability!$J$9)</f>
        <v/>
      </c>
      <c r="EJ83">
        <f>IF(ISNA(EF83),NA(),Capability!$L$9)</f>
        <v/>
      </c>
      <c r="EK83">
        <f>IF(OR(ISNA(EG83),ISNA(EG82)),NA(),ABS(EG83-EG82))</f>
        <v/>
      </c>
      <c r="EL83">
        <f>IF(ISNA(EF83),NA(),Capability!$N$9)</f>
        <v/>
      </c>
      <c r="EM83">
        <f>IF(ISNA(EF83),NA(),IF(OR(Capability!$Q$9="",Settings!$F$7&lt;&gt;"Y"),NA(),Capability!$Q$9))</f>
        <v/>
      </c>
      <c r="EN83">
        <f>IF(ISNA(EF83),NA(),IF(OR(Capability!$P$9="",Settings!$F$7&lt;&gt;"Y"),NA(),Capability!$P$9))</f>
        <v/>
      </c>
      <c r="ET83">
        <f>IF((EW$1+79)&gt;EU$1,NA(),(EW$1+79)-4)</f>
        <v/>
      </c>
      <c r="EU83">
        <f>IF((EW$1+79)&gt;EU$1,NA(),INDEX('Data Entry'!$M$5:$M$10004,(EW$1+79)-4))</f>
        <v/>
      </c>
      <c r="EV83">
        <f>IF(ISNA(ET83),NA(),Capability!$K$10)</f>
        <v/>
      </c>
      <c r="EW83">
        <f>IF(ISNA(ET83),NA(),Capability!$J$10)</f>
        <v/>
      </c>
      <c r="EX83">
        <f>IF(ISNA(ET83),NA(),Capability!$L$10)</f>
        <v/>
      </c>
      <c r="EY83">
        <f>IF(OR(ISNA(EU83),ISNA(EU82)),NA(),ABS(EU83-EU82))</f>
        <v/>
      </c>
      <c r="EZ83">
        <f>IF(ISNA(ET83),NA(),Capability!$N$10)</f>
        <v/>
      </c>
      <c r="FA83">
        <f>IF(ISNA(ET83),NA(),IF(OR(Capability!$Q$10="",Settings!$F$7&lt;&gt;"Y"),NA(),Capability!$Q$10))</f>
        <v/>
      </c>
      <c r="FB83">
        <f>IF(ISNA(ET83),NA(),IF(OR(Capability!$P$10="",Settings!$F$7&lt;&gt;"Y"),NA(),Capability!$P$10))</f>
        <v/>
      </c>
      <c r="FH83">
        <f>IF((FK$1+79)&gt;FI$1,NA(),(FK$1+79)-4)</f>
        <v/>
      </c>
      <c r="FI83">
        <f>IF((FK$1+79)&gt;FI$1,NA(),INDEX('Data Entry'!$N$5:$N$10004,(FK$1+79)-4))</f>
        <v/>
      </c>
      <c r="FJ83">
        <f>IF(ISNA(FH83),NA(),Capability!$K$11)</f>
        <v/>
      </c>
      <c r="FK83">
        <f>IF(ISNA(FH83),NA(),Capability!$J$11)</f>
        <v/>
      </c>
      <c r="FL83">
        <f>IF(ISNA(FH83),NA(),Capability!$L$11)</f>
        <v/>
      </c>
      <c r="FM83">
        <f>IF(OR(ISNA(FI83),ISNA(FI82)),NA(),ABS(FI83-FI82))</f>
        <v/>
      </c>
      <c r="FN83">
        <f>IF(ISNA(FH83),NA(),Capability!$N$11)</f>
        <v/>
      </c>
      <c r="FO83">
        <f>IF(ISNA(FH83),NA(),IF(OR(Capability!$Q$11="",Settings!$F$7&lt;&gt;"Y"),NA(),Capability!$Q$11))</f>
        <v/>
      </c>
      <c r="FP83">
        <f>IF(ISNA(FH83),NA(),IF(OR(Capability!$P$11="",Settings!$F$7&lt;&gt;"Y"),NA(),Capability!$P$11))</f>
        <v/>
      </c>
      <c r="FV83">
        <f>IF((FY$1+79)&gt;FW$1,NA(),(FY$1+79)-4)</f>
        <v/>
      </c>
      <c r="FW83">
        <f>IF((FY$1+79)&gt;FW$1,NA(),INDEX('Data Entry'!$O$5:$O$10004,(FY$1+79)-4))</f>
        <v/>
      </c>
      <c r="FX83">
        <f>IF(ISNA(FV83),NA(),Capability!$K$12)</f>
        <v/>
      </c>
      <c r="FY83">
        <f>IF(ISNA(FV83),NA(),Capability!$J$12)</f>
        <v/>
      </c>
      <c r="FZ83">
        <f>IF(ISNA(FV83),NA(),Capability!$L$12)</f>
        <v/>
      </c>
      <c r="GA83">
        <f>IF(OR(ISNA(FW83),ISNA(FW82)),NA(),ABS(FW83-FW82))</f>
        <v/>
      </c>
      <c r="GB83">
        <f>IF(ISNA(FV83),NA(),Capability!$N$12)</f>
        <v/>
      </c>
      <c r="GC83">
        <f>IF(ISNA(FV83),NA(),IF(OR(Capability!$Q$12="",Settings!$F$7&lt;&gt;"Y"),NA(),Capability!$Q$12))</f>
        <v/>
      </c>
      <c r="GD83">
        <f>IF(ISNA(FV83),NA(),IF(OR(Capability!$P$12="",Settings!$F$7&lt;&gt;"Y"),NA(),Capability!$P$12))</f>
        <v/>
      </c>
      <c r="GJ83">
        <f>IF((GM$1+79)&gt;GK$1,NA(),(GM$1+79)-4)</f>
        <v/>
      </c>
      <c r="GK83">
        <f>IF((GM$1+79)&gt;GK$1,NA(),INDEX('Data Entry'!$P$5:$P$10004,(GM$1+79)-4))</f>
        <v/>
      </c>
      <c r="GL83">
        <f>IF(ISNA(GJ83),NA(),Capability!$K$13)</f>
        <v/>
      </c>
      <c r="GM83">
        <f>IF(ISNA(GJ83),NA(),Capability!$J$13)</f>
        <v/>
      </c>
      <c r="GN83">
        <f>IF(ISNA(GJ83),NA(),Capability!$L$13)</f>
        <v/>
      </c>
      <c r="GO83">
        <f>IF(OR(ISNA(GK83),ISNA(GK82)),NA(),ABS(GK83-GK82))</f>
        <v/>
      </c>
      <c r="GP83">
        <f>IF(ISNA(GJ83),NA(),Capability!$N$13)</f>
        <v/>
      </c>
      <c r="GQ83">
        <f>IF(ISNA(GJ83),NA(),IF(OR(Capability!$Q$13="",Settings!$F$7&lt;&gt;"Y"),NA(),Capability!$Q$13))</f>
        <v/>
      </c>
      <c r="GR83">
        <f>IF(ISNA(GJ83),NA(),IF(OR(Capability!$P$13="",Settings!$F$7&lt;&gt;"Y"),NA(),Capability!$P$13))</f>
        <v/>
      </c>
      <c r="GX83">
        <f>IF((HA$1+79)&gt;GY$1,NA(),(HA$1+79)-4)</f>
        <v/>
      </c>
      <c r="GY83">
        <f>IF((HA$1+79)&gt;GY$1,NA(),INDEX('Data Entry'!$Q$5:$Q$10004,(HA$1+79)-4))</f>
        <v/>
      </c>
      <c r="GZ83">
        <f>IF(ISNA(GX83),NA(),Capability!$K$14)</f>
        <v/>
      </c>
      <c r="HA83">
        <f>IF(ISNA(GX83),NA(),Capability!$J$14)</f>
        <v/>
      </c>
      <c r="HB83">
        <f>IF(ISNA(GX83),NA(),Capability!$L$14)</f>
        <v/>
      </c>
      <c r="HC83">
        <f>IF(OR(ISNA(GY83),ISNA(GY82)),NA(),ABS(GY83-GY82))</f>
        <v/>
      </c>
      <c r="HD83">
        <f>IF(ISNA(GX83),NA(),Capability!$N$14)</f>
        <v/>
      </c>
      <c r="HE83">
        <f>IF(ISNA(GX83),NA(),IF(OR(Capability!$Q$14="",Settings!$F$7&lt;&gt;"Y"),NA(),Capability!$Q$14))</f>
        <v/>
      </c>
      <c r="HF83">
        <f>IF(ISNA(GX83),NA(),IF(OR(Capability!$P$14="",Settings!$F$7&lt;&gt;"Y"),NA(),Capability!$P$14))</f>
        <v/>
      </c>
    </row>
    <row r="84">
      <c r="A84" s="34">
        <f>"FEATURE 3: "&amp;IF(Settings!B19="","(unnamed)",Settings!B19)</f>
        <v/>
      </c>
      <c r="B84" s="9" t="n"/>
      <c r="CB84">
        <f>IF((CE$1+80)&gt;CC$1,NA(),(CE$1+80)-4)</f>
        <v/>
      </c>
      <c r="CC84">
        <f>IF((CE$1+80)&gt;CC$1,NA(),INDEX('Data Entry'!$H$5:$H$10004,(CE$1+80)-4))</f>
        <v/>
      </c>
      <c r="CD84">
        <f>IF(ISNA(CB84),NA(),Capability!$K$5)</f>
        <v/>
      </c>
      <c r="CE84">
        <f>IF(ISNA(CB84),NA(),Capability!$J$5)</f>
        <v/>
      </c>
      <c r="CF84">
        <f>IF(ISNA(CB84),NA(),Capability!$L$5)</f>
        <v/>
      </c>
      <c r="CG84">
        <f>IF(OR(ISNA(CC84),ISNA(CC83)),NA(),ABS(CC84-CC83))</f>
        <v/>
      </c>
      <c r="CH84">
        <f>IF(ISNA(CB84),NA(),Capability!$N$5)</f>
        <v/>
      </c>
      <c r="CI84">
        <f>IF(ISNA(CB84),NA(),IF(OR(Capability!$Q$5="",Settings!$F$7&lt;&gt;"Y"),NA(),Capability!$Q$5))</f>
        <v/>
      </c>
      <c r="CJ84">
        <f>IF(ISNA(CB84),NA(),IF(OR(Capability!$P$5="",Settings!$F$7&lt;&gt;"Y"),NA(),Capability!$P$5))</f>
        <v/>
      </c>
      <c r="CP84">
        <f>IF((CS$1+80)&gt;CQ$1,NA(),(CS$1+80)-4)</f>
        <v/>
      </c>
      <c r="CQ84">
        <f>IF((CS$1+80)&gt;CQ$1,NA(),INDEX('Data Entry'!$I$5:$I$10004,(CS$1+80)-4))</f>
        <v/>
      </c>
      <c r="CR84">
        <f>IF(ISNA(CP84),NA(),Capability!$K$6)</f>
        <v/>
      </c>
      <c r="CS84">
        <f>IF(ISNA(CP84),NA(),Capability!$J$6)</f>
        <v/>
      </c>
      <c r="CT84">
        <f>IF(ISNA(CP84),NA(),Capability!$L$6)</f>
        <v/>
      </c>
      <c r="CU84">
        <f>IF(OR(ISNA(CQ84),ISNA(CQ83)),NA(),ABS(CQ84-CQ83))</f>
        <v/>
      </c>
      <c r="CV84">
        <f>IF(ISNA(CP84),NA(),Capability!$N$6)</f>
        <v/>
      </c>
      <c r="CW84">
        <f>IF(ISNA(CP84),NA(),IF(OR(Capability!$Q$6="",Settings!$F$7&lt;&gt;"Y"),NA(),Capability!$Q$6))</f>
        <v/>
      </c>
      <c r="CX84">
        <f>IF(ISNA(CP84),NA(),IF(OR(Capability!$P$6="",Settings!$F$7&lt;&gt;"Y"),NA(),Capability!$P$6))</f>
        <v/>
      </c>
      <c r="DD84">
        <f>IF((DG$1+80)&gt;DE$1,NA(),(DG$1+80)-4)</f>
        <v/>
      </c>
      <c r="DE84">
        <f>IF((DG$1+80)&gt;DE$1,NA(),INDEX('Data Entry'!$J$5:$J$10004,(DG$1+80)-4))</f>
        <v/>
      </c>
      <c r="DF84">
        <f>IF(ISNA(DD84),NA(),Capability!$K$7)</f>
        <v/>
      </c>
      <c r="DG84">
        <f>IF(ISNA(DD84),NA(),Capability!$J$7)</f>
        <v/>
      </c>
      <c r="DH84">
        <f>IF(ISNA(DD84),NA(),Capability!$L$7)</f>
        <v/>
      </c>
      <c r="DI84">
        <f>IF(OR(ISNA(DE84),ISNA(DE83)),NA(),ABS(DE84-DE83))</f>
        <v/>
      </c>
      <c r="DJ84">
        <f>IF(ISNA(DD84),NA(),Capability!$N$7)</f>
        <v/>
      </c>
      <c r="DK84">
        <f>IF(ISNA(DD84),NA(),IF(OR(Capability!$Q$7="",Settings!$F$7&lt;&gt;"Y"),NA(),Capability!$Q$7))</f>
        <v/>
      </c>
      <c r="DL84">
        <f>IF(ISNA(DD84),NA(),IF(OR(Capability!$P$7="",Settings!$F$7&lt;&gt;"Y"),NA(),Capability!$P$7))</f>
        <v/>
      </c>
      <c r="DR84">
        <f>IF((DU$1+80)&gt;DS$1,NA(),(DU$1+80)-4)</f>
        <v/>
      </c>
      <c r="DS84">
        <f>IF((DU$1+80)&gt;DS$1,NA(),INDEX('Data Entry'!$K$5:$K$10004,(DU$1+80)-4))</f>
        <v/>
      </c>
      <c r="DT84">
        <f>IF(ISNA(DR84),NA(),Capability!$K$8)</f>
        <v/>
      </c>
      <c r="DU84">
        <f>IF(ISNA(DR84),NA(),Capability!$J$8)</f>
        <v/>
      </c>
      <c r="DV84">
        <f>IF(ISNA(DR84),NA(),Capability!$L$8)</f>
        <v/>
      </c>
      <c r="DW84">
        <f>IF(OR(ISNA(DS84),ISNA(DS83)),NA(),ABS(DS84-DS83))</f>
        <v/>
      </c>
      <c r="DX84">
        <f>IF(ISNA(DR84),NA(),Capability!$N$8)</f>
        <v/>
      </c>
      <c r="DY84">
        <f>IF(ISNA(DR84),NA(),IF(OR(Capability!$Q$8="",Settings!$F$7&lt;&gt;"Y"),NA(),Capability!$Q$8))</f>
        <v/>
      </c>
      <c r="DZ84">
        <f>IF(ISNA(DR84),NA(),IF(OR(Capability!$P$8="",Settings!$F$7&lt;&gt;"Y"),NA(),Capability!$P$8))</f>
        <v/>
      </c>
      <c r="EF84">
        <f>IF((EI$1+80)&gt;EG$1,NA(),(EI$1+80)-4)</f>
        <v/>
      </c>
      <c r="EG84">
        <f>IF((EI$1+80)&gt;EG$1,NA(),INDEX('Data Entry'!$L$5:$L$10004,(EI$1+80)-4))</f>
        <v/>
      </c>
      <c r="EH84">
        <f>IF(ISNA(EF84),NA(),Capability!$K$9)</f>
        <v/>
      </c>
      <c r="EI84">
        <f>IF(ISNA(EF84),NA(),Capability!$J$9)</f>
        <v/>
      </c>
      <c r="EJ84">
        <f>IF(ISNA(EF84),NA(),Capability!$L$9)</f>
        <v/>
      </c>
      <c r="EK84">
        <f>IF(OR(ISNA(EG84),ISNA(EG83)),NA(),ABS(EG84-EG83))</f>
        <v/>
      </c>
      <c r="EL84">
        <f>IF(ISNA(EF84),NA(),Capability!$N$9)</f>
        <v/>
      </c>
      <c r="EM84">
        <f>IF(ISNA(EF84),NA(),IF(OR(Capability!$Q$9="",Settings!$F$7&lt;&gt;"Y"),NA(),Capability!$Q$9))</f>
        <v/>
      </c>
      <c r="EN84">
        <f>IF(ISNA(EF84),NA(),IF(OR(Capability!$P$9="",Settings!$F$7&lt;&gt;"Y"),NA(),Capability!$P$9))</f>
        <v/>
      </c>
      <c r="ET84">
        <f>IF((EW$1+80)&gt;EU$1,NA(),(EW$1+80)-4)</f>
        <v/>
      </c>
      <c r="EU84">
        <f>IF((EW$1+80)&gt;EU$1,NA(),INDEX('Data Entry'!$M$5:$M$10004,(EW$1+80)-4))</f>
        <v/>
      </c>
      <c r="EV84">
        <f>IF(ISNA(ET84),NA(),Capability!$K$10)</f>
        <v/>
      </c>
      <c r="EW84">
        <f>IF(ISNA(ET84),NA(),Capability!$J$10)</f>
        <v/>
      </c>
      <c r="EX84">
        <f>IF(ISNA(ET84),NA(),Capability!$L$10)</f>
        <v/>
      </c>
      <c r="EY84">
        <f>IF(OR(ISNA(EU84),ISNA(EU83)),NA(),ABS(EU84-EU83))</f>
        <v/>
      </c>
      <c r="EZ84">
        <f>IF(ISNA(ET84),NA(),Capability!$N$10)</f>
        <v/>
      </c>
      <c r="FA84">
        <f>IF(ISNA(ET84),NA(),IF(OR(Capability!$Q$10="",Settings!$F$7&lt;&gt;"Y"),NA(),Capability!$Q$10))</f>
        <v/>
      </c>
      <c r="FB84">
        <f>IF(ISNA(ET84),NA(),IF(OR(Capability!$P$10="",Settings!$F$7&lt;&gt;"Y"),NA(),Capability!$P$10))</f>
        <v/>
      </c>
      <c r="FH84">
        <f>IF((FK$1+80)&gt;FI$1,NA(),(FK$1+80)-4)</f>
        <v/>
      </c>
      <c r="FI84">
        <f>IF((FK$1+80)&gt;FI$1,NA(),INDEX('Data Entry'!$N$5:$N$10004,(FK$1+80)-4))</f>
        <v/>
      </c>
      <c r="FJ84">
        <f>IF(ISNA(FH84),NA(),Capability!$K$11)</f>
        <v/>
      </c>
      <c r="FK84">
        <f>IF(ISNA(FH84),NA(),Capability!$J$11)</f>
        <v/>
      </c>
      <c r="FL84">
        <f>IF(ISNA(FH84),NA(),Capability!$L$11)</f>
        <v/>
      </c>
      <c r="FM84">
        <f>IF(OR(ISNA(FI84),ISNA(FI83)),NA(),ABS(FI84-FI83))</f>
        <v/>
      </c>
      <c r="FN84">
        <f>IF(ISNA(FH84),NA(),Capability!$N$11)</f>
        <v/>
      </c>
      <c r="FO84">
        <f>IF(ISNA(FH84),NA(),IF(OR(Capability!$Q$11="",Settings!$F$7&lt;&gt;"Y"),NA(),Capability!$Q$11))</f>
        <v/>
      </c>
      <c r="FP84">
        <f>IF(ISNA(FH84),NA(),IF(OR(Capability!$P$11="",Settings!$F$7&lt;&gt;"Y"),NA(),Capability!$P$11))</f>
        <v/>
      </c>
      <c r="FV84">
        <f>IF((FY$1+80)&gt;FW$1,NA(),(FY$1+80)-4)</f>
        <v/>
      </c>
      <c r="FW84">
        <f>IF((FY$1+80)&gt;FW$1,NA(),INDEX('Data Entry'!$O$5:$O$10004,(FY$1+80)-4))</f>
        <v/>
      </c>
      <c r="FX84">
        <f>IF(ISNA(FV84),NA(),Capability!$K$12)</f>
        <v/>
      </c>
      <c r="FY84">
        <f>IF(ISNA(FV84),NA(),Capability!$J$12)</f>
        <v/>
      </c>
      <c r="FZ84">
        <f>IF(ISNA(FV84),NA(),Capability!$L$12)</f>
        <v/>
      </c>
      <c r="GA84">
        <f>IF(OR(ISNA(FW84),ISNA(FW83)),NA(),ABS(FW84-FW83))</f>
        <v/>
      </c>
      <c r="GB84">
        <f>IF(ISNA(FV84),NA(),Capability!$N$12)</f>
        <v/>
      </c>
      <c r="GC84">
        <f>IF(ISNA(FV84),NA(),IF(OR(Capability!$Q$12="",Settings!$F$7&lt;&gt;"Y"),NA(),Capability!$Q$12))</f>
        <v/>
      </c>
      <c r="GD84">
        <f>IF(ISNA(FV84),NA(),IF(OR(Capability!$P$12="",Settings!$F$7&lt;&gt;"Y"),NA(),Capability!$P$12))</f>
        <v/>
      </c>
      <c r="GJ84">
        <f>IF((GM$1+80)&gt;GK$1,NA(),(GM$1+80)-4)</f>
        <v/>
      </c>
      <c r="GK84">
        <f>IF((GM$1+80)&gt;GK$1,NA(),INDEX('Data Entry'!$P$5:$P$10004,(GM$1+80)-4))</f>
        <v/>
      </c>
      <c r="GL84">
        <f>IF(ISNA(GJ84),NA(),Capability!$K$13)</f>
        <v/>
      </c>
      <c r="GM84">
        <f>IF(ISNA(GJ84),NA(),Capability!$J$13)</f>
        <v/>
      </c>
      <c r="GN84">
        <f>IF(ISNA(GJ84),NA(),Capability!$L$13)</f>
        <v/>
      </c>
      <c r="GO84">
        <f>IF(OR(ISNA(GK84),ISNA(GK83)),NA(),ABS(GK84-GK83))</f>
        <v/>
      </c>
      <c r="GP84">
        <f>IF(ISNA(GJ84),NA(),Capability!$N$13)</f>
        <v/>
      </c>
      <c r="GQ84">
        <f>IF(ISNA(GJ84),NA(),IF(OR(Capability!$Q$13="",Settings!$F$7&lt;&gt;"Y"),NA(),Capability!$Q$13))</f>
        <v/>
      </c>
      <c r="GR84">
        <f>IF(ISNA(GJ84),NA(),IF(OR(Capability!$P$13="",Settings!$F$7&lt;&gt;"Y"),NA(),Capability!$P$13))</f>
        <v/>
      </c>
      <c r="GX84">
        <f>IF((HA$1+80)&gt;GY$1,NA(),(HA$1+80)-4)</f>
        <v/>
      </c>
      <c r="GY84">
        <f>IF((HA$1+80)&gt;GY$1,NA(),INDEX('Data Entry'!$Q$5:$Q$10004,(HA$1+80)-4))</f>
        <v/>
      </c>
      <c r="GZ84">
        <f>IF(ISNA(GX84),NA(),Capability!$K$14)</f>
        <v/>
      </c>
      <c r="HA84">
        <f>IF(ISNA(GX84),NA(),Capability!$J$14)</f>
        <v/>
      </c>
      <c r="HB84">
        <f>IF(ISNA(GX84),NA(),Capability!$L$14)</f>
        <v/>
      </c>
      <c r="HC84">
        <f>IF(OR(ISNA(GY84),ISNA(GY83)),NA(),ABS(GY84-GY83))</f>
        <v/>
      </c>
      <c r="HD84">
        <f>IF(ISNA(GX84),NA(),Capability!$N$14)</f>
        <v/>
      </c>
      <c r="HE84">
        <f>IF(ISNA(GX84),NA(),IF(OR(Capability!$Q$14="",Settings!$F$7&lt;&gt;"Y"),NA(),Capability!$Q$14))</f>
        <v/>
      </c>
      <c r="HF84">
        <f>IF(ISNA(GX84),NA(),IF(OR(Capability!$P$14="",Settings!$F$7&lt;&gt;"Y"),NA(),Capability!$P$14))</f>
        <v/>
      </c>
    </row>
    <row r="85">
      <c r="A85" s="35" t="inlineStr">
        <is>
          <t>Feature</t>
        </is>
      </c>
      <c r="B85" s="36">
        <f>Capability!A7</f>
        <v/>
      </c>
      <c r="CB85">
        <f>IF((CE$1+81)&gt;CC$1,NA(),(CE$1+81)-4)</f>
        <v/>
      </c>
      <c r="CC85">
        <f>IF((CE$1+81)&gt;CC$1,NA(),INDEX('Data Entry'!$H$5:$H$10004,(CE$1+81)-4))</f>
        <v/>
      </c>
      <c r="CD85">
        <f>IF(ISNA(CB85),NA(),Capability!$K$5)</f>
        <v/>
      </c>
      <c r="CE85">
        <f>IF(ISNA(CB85),NA(),Capability!$J$5)</f>
        <v/>
      </c>
      <c r="CF85">
        <f>IF(ISNA(CB85),NA(),Capability!$L$5)</f>
        <v/>
      </c>
      <c r="CG85">
        <f>IF(OR(ISNA(CC85),ISNA(CC84)),NA(),ABS(CC85-CC84))</f>
        <v/>
      </c>
      <c r="CH85">
        <f>IF(ISNA(CB85),NA(),Capability!$N$5)</f>
        <v/>
      </c>
      <c r="CI85">
        <f>IF(ISNA(CB85),NA(),IF(OR(Capability!$Q$5="",Settings!$F$7&lt;&gt;"Y"),NA(),Capability!$Q$5))</f>
        <v/>
      </c>
      <c r="CJ85">
        <f>IF(ISNA(CB85),NA(),IF(OR(Capability!$P$5="",Settings!$F$7&lt;&gt;"Y"),NA(),Capability!$P$5))</f>
        <v/>
      </c>
      <c r="CP85">
        <f>IF((CS$1+81)&gt;CQ$1,NA(),(CS$1+81)-4)</f>
        <v/>
      </c>
      <c r="CQ85">
        <f>IF((CS$1+81)&gt;CQ$1,NA(),INDEX('Data Entry'!$I$5:$I$10004,(CS$1+81)-4))</f>
        <v/>
      </c>
      <c r="CR85">
        <f>IF(ISNA(CP85),NA(),Capability!$K$6)</f>
        <v/>
      </c>
      <c r="CS85">
        <f>IF(ISNA(CP85),NA(),Capability!$J$6)</f>
        <v/>
      </c>
      <c r="CT85">
        <f>IF(ISNA(CP85),NA(),Capability!$L$6)</f>
        <v/>
      </c>
      <c r="CU85">
        <f>IF(OR(ISNA(CQ85),ISNA(CQ84)),NA(),ABS(CQ85-CQ84))</f>
        <v/>
      </c>
      <c r="CV85">
        <f>IF(ISNA(CP85),NA(),Capability!$N$6)</f>
        <v/>
      </c>
      <c r="CW85">
        <f>IF(ISNA(CP85),NA(),IF(OR(Capability!$Q$6="",Settings!$F$7&lt;&gt;"Y"),NA(),Capability!$Q$6))</f>
        <v/>
      </c>
      <c r="CX85">
        <f>IF(ISNA(CP85),NA(),IF(OR(Capability!$P$6="",Settings!$F$7&lt;&gt;"Y"),NA(),Capability!$P$6))</f>
        <v/>
      </c>
      <c r="DD85">
        <f>IF((DG$1+81)&gt;DE$1,NA(),(DG$1+81)-4)</f>
        <v/>
      </c>
      <c r="DE85">
        <f>IF((DG$1+81)&gt;DE$1,NA(),INDEX('Data Entry'!$J$5:$J$10004,(DG$1+81)-4))</f>
        <v/>
      </c>
      <c r="DF85">
        <f>IF(ISNA(DD85),NA(),Capability!$K$7)</f>
        <v/>
      </c>
      <c r="DG85">
        <f>IF(ISNA(DD85),NA(),Capability!$J$7)</f>
        <v/>
      </c>
      <c r="DH85">
        <f>IF(ISNA(DD85),NA(),Capability!$L$7)</f>
        <v/>
      </c>
      <c r="DI85">
        <f>IF(OR(ISNA(DE85),ISNA(DE84)),NA(),ABS(DE85-DE84))</f>
        <v/>
      </c>
      <c r="DJ85">
        <f>IF(ISNA(DD85),NA(),Capability!$N$7)</f>
        <v/>
      </c>
      <c r="DK85">
        <f>IF(ISNA(DD85),NA(),IF(OR(Capability!$Q$7="",Settings!$F$7&lt;&gt;"Y"),NA(),Capability!$Q$7))</f>
        <v/>
      </c>
      <c r="DL85">
        <f>IF(ISNA(DD85),NA(),IF(OR(Capability!$P$7="",Settings!$F$7&lt;&gt;"Y"),NA(),Capability!$P$7))</f>
        <v/>
      </c>
      <c r="DR85">
        <f>IF((DU$1+81)&gt;DS$1,NA(),(DU$1+81)-4)</f>
        <v/>
      </c>
      <c r="DS85">
        <f>IF((DU$1+81)&gt;DS$1,NA(),INDEX('Data Entry'!$K$5:$K$10004,(DU$1+81)-4))</f>
        <v/>
      </c>
      <c r="DT85">
        <f>IF(ISNA(DR85),NA(),Capability!$K$8)</f>
        <v/>
      </c>
      <c r="DU85">
        <f>IF(ISNA(DR85),NA(),Capability!$J$8)</f>
        <v/>
      </c>
      <c r="DV85">
        <f>IF(ISNA(DR85),NA(),Capability!$L$8)</f>
        <v/>
      </c>
      <c r="DW85">
        <f>IF(OR(ISNA(DS85),ISNA(DS84)),NA(),ABS(DS85-DS84))</f>
        <v/>
      </c>
      <c r="DX85">
        <f>IF(ISNA(DR85),NA(),Capability!$N$8)</f>
        <v/>
      </c>
      <c r="DY85">
        <f>IF(ISNA(DR85),NA(),IF(OR(Capability!$Q$8="",Settings!$F$7&lt;&gt;"Y"),NA(),Capability!$Q$8))</f>
        <v/>
      </c>
      <c r="DZ85">
        <f>IF(ISNA(DR85),NA(),IF(OR(Capability!$P$8="",Settings!$F$7&lt;&gt;"Y"),NA(),Capability!$P$8))</f>
        <v/>
      </c>
      <c r="EF85">
        <f>IF((EI$1+81)&gt;EG$1,NA(),(EI$1+81)-4)</f>
        <v/>
      </c>
      <c r="EG85">
        <f>IF((EI$1+81)&gt;EG$1,NA(),INDEX('Data Entry'!$L$5:$L$10004,(EI$1+81)-4))</f>
        <v/>
      </c>
      <c r="EH85">
        <f>IF(ISNA(EF85),NA(),Capability!$K$9)</f>
        <v/>
      </c>
      <c r="EI85">
        <f>IF(ISNA(EF85),NA(),Capability!$J$9)</f>
        <v/>
      </c>
      <c r="EJ85">
        <f>IF(ISNA(EF85),NA(),Capability!$L$9)</f>
        <v/>
      </c>
      <c r="EK85">
        <f>IF(OR(ISNA(EG85),ISNA(EG84)),NA(),ABS(EG85-EG84))</f>
        <v/>
      </c>
      <c r="EL85">
        <f>IF(ISNA(EF85),NA(),Capability!$N$9)</f>
        <v/>
      </c>
      <c r="EM85">
        <f>IF(ISNA(EF85),NA(),IF(OR(Capability!$Q$9="",Settings!$F$7&lt;&gt;"Y"),NA(),Capability!$Q$9))</f>
        <v/>
      </c>
      <c r="EN85">
        <f>IF(ISNA(EF85),NA(),IF(OR(Capability!$P$9="",Settings!$F$7&lt;&gt;"Y"),NA(),Capability!$P$9))</f>
        <v/>
      </c>
      <c r="ET85">
        <f>IF((EW$1+81)&gt;EU$1,NA(),(EW$1+81)-4)</f>
        <v/>
      </c>
      <c r="EU85">
        <f>IF((EW$1+81)&gt;EU$1,NA(),INDEX('Data Entry'!$M$5:$M$10004,(EW$1+81)-4))</f>
        <v/>
      </c>
      <c r="EV85">
        <f>IF(ISNA(ET85),NA(),Capability!$K$10)</f>
        <v/>
      </c>
      <c r="EW85">
        <f>IF(ISNA(ET85),NA(),Capability!$J$10)</f>
        <v/>
      </c>
      <c r="EX85">
        <f>IF(ISNA(ET85),NA(),Capability!$L$10)</f>
        <v/>
      </c>
      <c r="EY85">
        <f>IF(OR(ISNA(EU85),ISNA(EU84)),NA(),ABS(EU85-EU84))</f>
        <v/>
      </c>
      <c r="EZ85">
        <f>IF(ISNA(ET85),NA(),Capability!$N$10)</f>
        <v/>
      </c>
      <c r="FA85">
        <f>IF(ISNA(ET85),NA(),IF(OR(Capability!$Q$10="",Settings!$F$7&lt;&gt;"Y"),NA(),Capability!$Q$10))</f>
        <v/>
      </c>
      <c r="FB85">
        <f>IF(ISNA(ET85),NA(),IF(OR(Capability!$P$10="",Settings!$F$7&lt;&gt;"Y"),NA(),Capability!$P$10))</f>
        <v/>
      </c>
      <c r="FH85">
        <f>IF((FK$1+81)&gt;FI$1,NA(),(FK$1+81)-4)</f>
        <v/>
      </c>
      <c r="FI85">
        <f>IF((FK$1+81)&gt;FI$1,NA(),INDEX('Data Entry'!$N$5:$N$10004,(FK$1+81)-4))</f>
        <v/>
      </c>
      <c r="FJ85">
        <f>IF(ISNA(FH85),NA(),Capability!$K$11)</f>
        <v/>
      </c>
      <c r="FK85">
        <f>IF(ISNA(FH85),NA(),Capability!$J$11)</f>
        <v/>
      </c>
      <c r="FL85">
        <f>IF(ISNA(FH85),NA(),Capability!$L$11)</f>
        <v/>
      </c>
      <c r="FM85">
        <f>IF(OR(ISNA(FI85),ISNA(FI84)),NA(),ABS(FI85-FI84))</f>
        <v/>
      </c>
      <c r="FN85">
        <f>IF(ISNA(FH85),NA(),Capability!$N$11)</f>
        <v/>
      </c>
      <c r="FO85">
        <f>IF(ISNA(FH85),NA(),IF(OR(Capability!$Q$11="",Settings!$F$7&lt;&gt;"Y"),NA(),Capability!$Q$11))</f>
        <v/>
      </c>
      <c r="FP85">
        <f>IF(ISNA(FH85),NA(),IF(OR(Capability!$P$11="",Settings!$F$7&lt;&gt;"Y"),NA(),Capability!$P$11))</f>
        <v/>
      </c>
      <c r="FV85">
        <f>IF((FY$1+81)&gt;FW$1,NA(),(FY$1+81)-4)</f>
        <v/>
      </c>
      <c r="FW85">
        <f>IF((FY$1+81)&gt;FW$1,NA(),INDEX('Data Entry'!$O$5:$O$10004,(FY$1+81)-4))</f>
        <v/>
      </c>
      <c r="FX85">
        <f>IF(ISNA(FV85),NA(),Capability!$K$12)</f>
        <v/>
      </c>
      <c r="FY85">
        <f>IF(ISNA(FV85),NA(),Capability!$J$12)</f>
        <v/>
      </c>
      <c r="FZ85">
        <f>IF(ISNA(FV85),NA(),Capability!$L$12)</f>
        <v/>
      </c>
      <c r="GA85">
        <f>IF(OR(ISNA(FW85),ISNA(FW84)),NA(),ABS(FW85-FW84))</f>
        <v/>
      </c>
      <c r="GB85">
        <f>IF(ISNA(FV85),NA(),Capability!$N$12)</f>
        <v/>
      </c>
      <c r="GC85">
        <f>IF(ISNA(FV85),NA(),IF(OR(Capability!$Q$12="",Settings!$F$7&lt;&gt;"Y"),NA(),Capability!$Q$12))</f>
        <v/>
      </c>
      <c r="GD85">
        <f>IF(ISNA(FV85),NA(),IF(OR(Capability!$P$12="",Settings!$F$7&lt;&gt;"Y"),NA(),Capability!$P$12))</f>
        <v/>
      </c>
      <c r="GJ85">
        <f>IF((GM$1+81)&gt;GK$1,NA(),(GM$1+81)-4)</f>
        <v/>
      </c>
      <c r="GK85">
        <f>IF((GM$1+81)&gt;GK$1,NA(),INDEX('Data Entry'!$P$5:$P$10004,(GM$1+81)-4))</f>
        <v/>
      </c>
      <c r="GL85">
        <f>IF(ISNA(GJ85),NA(),Capability!$K$13)</f>
        <v/>
      </c>
      <c r="GM85">
        <f>IF(ISNA(GJ85),NA(),Capability!$J$13)</f>
        <v/>
      </c>
      <c r="GN85">
        <f>IF(ISNA(GJ85),NA(),Capability!$L$13)</f>
        <v/>
      </c>
      <c r="GO85">
        <f>IF(OR(ISNA(GK85),ISNA(GK84)),NA(),ABS(GK85-GK84))</f>
        <v/>
      </c>
      <c r="GP85">
        <f>IF(ISNA(GJ85),NA(),Capability!$N$13)</f>
        <v/>
      </c>
      <c r="GQ85">
        <f>IF(ISNA(GJ85),NA(),IF(OR(Capability!$Q$13="",Settings!$F$7&lt;&gt;"Y"),NA(),Capability!$Q$13))</f>
        <v/>
      </c>
      <c r="GR85">
        <f>IF(ISNA(GJ85),NA(),IF(OR(Capability!$P$13="",Settings!$F$7&lt;&gt;"Y"),NA(),Capability!$P$13))</f>
        <v/>
      </c>
      <c r="GX85">
        <f>IF((HA$1+81)&gt;GY$1,NA(),(HA$1+81)-4)</f>
        <v/>
      </c>
      <c r="GY85">
        <f>IF((HA$1+81)&gt;GY$1,NA(),INDEX('Data Entry'!$Q$5:$Q$10004,(HA$1+81)-4))</f>
        <v/>
      </c>
      <c r="GZ85">
        <f>IF(ISNA(GX85),NA(),Capability!$K$14)</f>
        <v/>
      </c>
      <c r="HA85">
        <f>IF(ISNA(GX85),NA(),Capability!$J$14)</f>
        <v/>
      </c>
      <c r="HB85">
        <f>IF(ISNA(GX85),NA(),Capability!$L$14)</f>
        <v/>
      </c>
      <c r="HC85">
        <f>IF(OR(ISNA(GY85),ISNA(GY84)),NA(),ABS(GY85-GY84))</f>
        <v/>
      </c>
      <c r="HD85">
        <f>IF(ISNA(GX85),NA(),Capability!$N$14)</f>
        <v/>
      </c>
      <c r="HE85">
        <f>IF(ISNA(GX85),NA(),IF(OR(Capability!$Q$14="",Settings!$F$7&lt;&gt;"Y"),NA(),Capability!$Q$14))</f>
        <v/>
      </c>
      <c r="HF85">
        <f>IF(ISNA(GX85),NA(),IF(OR(Capability!$P$14="",Settings!$F$7&lt;&gt;"Y"),NA(),Capability!$P$14))</f>
        <v/>
      </c>
    </row>
    <row r="86">
      <c r="A86" s="35" t="inlineStr">
        <is>
          <t>Unit</t>
        </is>
      </c>
      <c r="B86" s="36">
        <f>Settings!F19</f>
        <v/>
      </c>
      <c r="CB86">
        <f>IF((CE$1+82)&gt;CC$1,NA(),(CE$1+82)-4)</f>
        <v/>
      </c>
      <c r="CC86">
        <f>IF((CE$1+82)&gt;CC$1,NA(),INDEX('Data Entry'!$H$5:$H$10004,(CE$1+82)-4))</f>
        <v/>
      </c>
      <c r="CD86">
        <f>IF(ISNA(CB86),NA(),Capability!$K$5)</f>
        <v/>
      </c>
      <c r="CE86">
        <f>IF(ISNA(CB86),NA(),Capability!$J$5)</f>
        <v/>
      </c>
      <c r="CF86">
        <f>IF(ISNA(CB86),NA(),Capability!$L$5)</f>
        <v/>
      </c>
      <c r="CG86">
        <f>IF(OR(ISNA(CC86),ISNA(CC85)),NA(),ABS(CC86-CC85))</f>
        <v/>
      </c>
      <c r="CH86">
        <f>IF(ISNA(CB86),NA(),Capability!$N$5)</f>
        <v/>
      </c>
      <c r="CI86">
        <f>IF(ISNA(CB86),NA(),IF(OR(Capability!$Q$5="",Settings!$F$7&lt;&gt;"Y"),NA(),Capability!$Q$5))</f>
        <v/>
      </c>
      <c r="CJ86">
        <f>IF(ISNA(CB86),NA(),IF(OR(Capability!$P$5="",Settings!$F$7&lt;&gt;"Y"),NA(),Capability!$P$5))</f>
        <v/>
      </c>
      <c r="CP86">
        <f>IF((CS$1+82)&gt;CQ$1,NA(),(CS$1+82)-4)</f>
        <v/>
      </c>
      <c r="CQ86">
        <f>IF((CS$1+82)&gt;CQ$1,NA(),INDEX('Data Entry'!$I$5:$I$10004,(CS$1+82)-4))</f>
        <v/>
      </c>
      <c r="CR86">
        <f>IF(ISNA(CP86),NA(),Capability!$K$6)</f>
        <v/>
      </c>
      <c r="CS86">
        <f>IF(ISNA(CP86),NA(),Capability!$J$6)</f>
        <v/>
      </c>
      <c r="CT86">
        <f>IF(ISNA(CP86),NA(),Capability!$L$6)</f>
        <v/>
      </c>
      <c r="CU86">
        <f>IF(OR(ISNA(CQ86),ISNA(CQ85)),NA(),ABS(CQ86-CQ85))</f>
        <v/>
      </c>
      <c r="CV86">
        <f>IF(ISNA(CP86),NA(),Capability!$N$6)</f>
        <v/>
      </c>
      <c r="CW86">
        <f>IF(ISNA(CP86),NA(),IF(OR(Capability!$Q$6="",Settings!$F$7&lt;&gt;"Y"),NA(),Capability!$Q$6))</f>
        <v/>
      </c>
      <c r="CX86">
        <f>IF(ISNA(CP86),NA(),IF(OR(Capability!$P$6="",Settings!$F$7&lt;&gt;"Y"),NA(),Capability!$P$6))</f>
        <v/>
      </c>
      <c r="DD86">
        <f>IF((DG$1+82)&gt;DE$1,NA(),(DG$1+82)-4)</f>
        <v/>
      </c>
      <c r="DE86">
        <f>IF((DG$1+82)&gt;DE$1,NA(),INDEX('Data Entry'!$J$5:$J$10004,(DG$1+82)-4))</f>
        <v/>
      </c>
      <c r="DF86">
        <f>IF(ISNA(DD86),NA(),Capability!$K$7)</f>
        <v/>
      </c>
      <c r="DG86">
        <f>IF(ISNA(DD86),NA(),Capability!$J$7)</f>
        <v/>
      </c>
      <c r="DH86">
        <f>IF(ISNA(DD86),NA(),Capability!$L$7)</f>
        <v/>
      </c>
      <c r="DI86">
        <f>IF(OR(ISNA(DE86),ISNA(DE85)),NA(),ABS(DE86-DE85))</f>
        <v/>
      </c>
      <c r="DJ86">
        <f>IF(ISNA(DD86),NA(),Capability!$N$7)</f>
        <v/>
      </c>
      <c r="DK86">
        <f>IF(ISNA(DD86),NA(),IF(OR(Capability!$Q$7="",Settings!$F$7&lt;&gt;"Y"),NA(),Capability!$Q$7))</f>
        <v/>
      </c>
      <c r="DL86">
        <f>IF(ISNA(DD86),NA(),IF(OR(Capability!$P$7="",Settings!$F$7&lt;&gt;"Y"),NA(),Capability!$P$7))</f>
        <v/>
      </c>
      <c r="DR86">
        <f>IF((DU$1+82)&gt;DS$1,NA(),(DU$1+82)-4)</f>
        <v/>
      </c>
      <c r="DS86">
        <f>IF((DU$1+82)&gt;DS$1,NA(),INDEX('Data Entry'!$K$5:$K$10004,(DU$1+82)-4))</f>
        <v/>
      </c>
      <c r="DT86">
        <f>IF(ISNA(DR86),NA(),Capability!$K$8)</f>
        <v/>
      </c>
      <c r="DU86">
        <f>IF(ISNA(DR86),NA(),Capability!$J$8)</f>
        <v/>
      </c>
      <c r="DV86">
        <f>IF(ISNA(DR86),NA(),Capability!$L$8)</f>
        <v/>
      </c>
      <c r="DW86">
        <f>IF(OR(ISNA(DS86),ISNA(DS85)),NA(),ABS(DS86-DS85))</f>
        <v/>
      </c>
      <c r="DX86">
        <f>IF(ISNA(DR86),NA(),Capability!$N$8)</f>
        <v/>
      </c>
      <c r="DY86">
        <f>IF(ISNA(DR86),NA(),IF(OR(Capability!$Q$8="",Settings!$F$7&lt;&gt;"Y"),NA(),Capability!$Q$8))</f>
        <v/>
      </c>
      <c r="DZ86">
        <f>IF(ISNA(DR86),NA(),IF(OR(Capability!$P$8="",Settings!$F$7&lt;&gt;"Y"),NA(),Capability!$P$8))</f>
        <v/>
      </c>
      <c r="EF86">
        <f>IF((EI$1+82)&gt;EG$1,NA(),(EI$1+82)-4)</f>
        <v/>
      </c>
      <c r="EG86">
        <f>IF((EI$1+82)&gt;EG$1,NA(),INDEX('Data Entry'!$L$5:$L$10004,(EI$1+82)-4))</f>
        <v/>
      </c>
      <c r="EH86">
        <f>IF(ISNA(EF86),NA(),Capability!$K$9)</f>
        <v/>
      </c>
      <c r="EI86">
        <f>IF(ISNA(EF86),NA(),Capability!$J$9)</f>
        <v/>
      </c>
      <c r="EJ86">
        <f>IF(ISNA(EF86),NA(),Capability!$L$9)</f>
        <v/>
      </c>
      <c r="EK86">
        <f>IF(OR(ISNA(EG86),ISNA(EG85)),NA(),ABS(EG86-EG85))</f>
        <v/>
      </c>
      <c r="EL86">
        <f>IF(ISNA(EF86),NA(),Capability!$N$9)</f>
        <v/>
      </c>
      <c r="EM86">
        <f>IF(ISNA(EF86),NA(),IF(OR(Capability!$Q$9="",Settings!$F$7&lt;&gt;"Y"),NA(),Capability!$Q$9))</f>
        <v/>
      </c>
      <c r="EN86">
        <f>IF(ISNA(EF86),NA(),IF(OR(Capability!$P$9="",Settings!$F$7&lt;&gt;"Y"),NA(),Capability!$P$9))</f>
        <v/>
      </c>
      <c r="ET86">
        <f>IF((EW$1+82)&gt;EU$1,NA(),(EW$1+82)-4)</f>
        <v/>
      </c>
      <c r="EU86">
        <f>IF((EW$1+82)&gt;EU$1,NA(),INDEX('Data Entry'!$M$5:$M$10004,(EW$1+82)-4))</f>
        <v/>
      </c>
      <c r="EV86">
        <f>IF(ISNA(ET86),NA(),Capability!$K$10)</f>
        <v/>
      </c>
      <c r="EW86">
        <f>IF(ISNA(ET86),NA(),Capability!$J$10)</f>
        <v/>
      </c>
      <c r="EX86">
        <f>IF(ISNA(ET86),NA(),Capability!$L$10)</f>
        <v/>
      </c>
      <c r="EY86">
        <f>IF(OR(ISNA(EU86),ISNA(EU85)),NA(),ABS(EU86-EU85))</f>
        <v/>
      </c>
      <c r="EZ86">
        <f>IF(ISNA(ET86),NA(),Capability!$N$10)</f>
        <v/>
      </c>
      <c r="FA86">
        <f>IF(ISNA(ET86),NA(),IF(OR(Capability!$Q$10="",Settings!$F$7&lt;&gt;"Y"),NA(),Capability!$Q$10))</f>
        <v/>
      </c>
      <c r="FB86">
        <f>IF(ISNA(ET86),NA(),IF(OR(Capability!$P$10="",Settings!$F$7&lt;&gt;"Y"),NA(),Capability!$P$10))</f>
        <v/>
      </c>
      <c r="FH86">
        <f>IF((FK$1+82)&gt;FI$1,NA(),(FK$1+82)-4)</f>
        <v/>
      </c>
      <c r="FI86">
        <f>IF((FK$1+82)&gt;FI$1,NA(),INDEX('Data Entry'!$N$5:$N$10004,(FK$1+82)-4))</f>
        <v/>
      </c>
      <c r="FJ86">
        <f>IF(ISNA(FH86),NA(),Capability!$K$11)</f>
        <v/>
      </c>
      <c r="FK86">
        <f>IF(ISNA(FH86),NA(),Capability!$J$11)</f>
        <v/>
      </c>
      <c r="FL86">
        <f>IF(ISNA(FH86),NA(),Capability!$L$11)</f>
        <v/>
      </c>
      <c r="FM86">
        <f>IF(OR(ISNA(FI86),ISNA(FI85)),NA(),ABS(FI86-FI85))</f>
        <v/>
      </c>
      <c r="FN86">
        <f>IF(ISNA(FH86),NA(),Capability!$N$11)</f>
        <v/>
      </c>
      <c r="FO86">
        <f>IF(ISNA(FH86),NA(),IF(OR(Capability!$Q$11="",Settings!$F$7&lt;&gt;"Y"),NA(),Capability!$Q$11))</f>
        <v/>
      </c>
      <c r="FP86">
        <f>IF(ISNA(FH86),NA(),IF(OR(Capability!$P$11="",Settings!$F$7&lt;&gt;"Y"),NA(),Capability!$P$11))</f>
        <v/>
      </c>
      <c r="FV86">
        <f>IF((FY$1+82)&gt;FW$1,NA(),(FY$1+82)-4)</f>
        <v/>
      </c>
      <c r="FW86">
        <f>IF((FY$1+82)&gt;FW$1,NA(),INDEX('Data Entry'!$O$5:$O$10004,(FY$1+82)-4))</f>
        <v/>
      </c>
      <c r="FX86">
        <f>IF(ISNA(FV86),NA(),Capability!$K$12)</f>
        <v/>
      </c>
      <c r="FY86">
        <f>IF(ISNA(FV86),NA(),Capability!$J$12)</f>
        <v/>
      </c>
      <c r="FZ86">
        <f>IF(ISNA(FV86),NA(),Capability!$L$12)</f>
        <v/>
      </c>
      <c r="GA86">
        <f>IF(OR(ISNA(FW86),ISNA(FW85)),NA(),ABS(FW86-FW85))</f>
        <v/>
      </c>
      <c r="GB86">
        <f>IF(ISNA(FV86),NA(),Capability!$N$12)</f>
        <v/>
      </c>
      <c r="GC86">
        <f>IF(ISNA(FV86),NA(),IF(OR(Capability!$Q$12="",Settings!$F$7&lt;&gt;"Y"),NA(),Capability!$Q$12))</f>
        <v/>
      </c>
      <c r="GD86">
        <f>IF(ISNA(FV86),NA(),IF(OR(Capability!$P$12="",Settings!$F$7&lt;&gt;"Y"),NA(),Capability!$P$12))</f>
        <v/>
      </c>
      <c r="GJ86">
        <f>IF((GM$1+82)&gt;GK$1,NA(),(GM$1+82)-4)</f>
        <v/>
      </c>
      <c r="GK86">
        <f>IF((GM$1+82)&gt;GK$1,NA(),INDEX('Data Entry'!$P$5:$P$10004,(GM$1+82)-4))</f>
        <v/>
      </c>
      <c r="GL86">
        <f>IF(ISNA(GJ86),NA(),Capability!$K$13)</f>
        <v/>
      </c>
      <c r="GM86">
        <f>IF(ISNA(GJ86),NA(),Capability!$J$13)</f>
        <v/>
      </c>
      <c r="GN86">
        <f>IF(ISNA(GJ86),NA(),Capability!$L$13)</f>
        <v/>
      </c>
      <c r="GO86">
        <f>IF(OR(ISNA(GK86),ISNA(GK85)),NA(),ABS(GK86-GK85))</f>
        <v/>
      </c>
      <c r="GP86">
        <f>IF(ISNA(GJ86),NA(),Capability!$N$13)</f>
        <v/>
      </c>
      <c r="GQ86">
        <f>IF(ISNA(GJ86),NA(),IF(OR(Capability!$Q$13="",Settings!$F$7&lt;&gt;"Y"),NA(),Capability!$Q$13))</f>
        <v/>
      </c>
      <c r="GR86">
        <f>IF(ISNA(GJ86),NA(),IF(OR(Capability!$P$13="",Settings!$F$7&lt;&gt;"Y"),NA(),Capability!$P$13))</f>
        <v/>
      </c>
      <c r="GX86">
        <f>IF((HA$1+82)&gt;GY$1,NA(),(HA$1+82)-4)</f>
        <v/>
      </c>
      <c r="GY86">
        <f>IF((HA$1+82)&gt;GY$1,NA(),INDEX('Data Entry'!$Q$5:$Q$10004,(HA$1+82)-4))</f>
        <v/>
      </c>
      <c r="GZ86">
        <f>IF(ISNA(GX86),NA(),Capability!$K$14)</f>
        <v/>
      </c>
      <c r="HA86">
        <f>IF(ISNA(GX86),NA(),Capability!$J$14)</f>
        <v/>
      </c>
      <c r="HB86">
        <f>IF(ISNA(GX86),NA(),Capability!$L$14)</f>
        <v/>
      </c>
      <c r="HC86">
        <f>IF(OR(ISNA(GY86),ISNA(GY85)),NA(),ABS(GY86-GY85))</f>
        <v/>
      </c>
      <c r="HD86">
        <f>IF(ISNA(GX86),NA(),Capability!$N$14)</f>
        <v/>
      </c>
      <c r="HE86">
        <f>IF(ISNA(GX86),NA(),IF(OR(Capability!$Q$14="",Settings!$F$7&lt;&gt;"Y"),NA(),Capability!$Q$14))</f>
        <v/>
      </c>
      <c r="HF86">
        <f>IF(ISNA(GX86),NA(),IF(OR(Capability!$P$14="",Settings!$F$7&lt;&gt;"Y"),NA(),Capability!$P$14))</f>
        <v/>
      </c>
    </row>
    <row r="87">
      <c r="A87" s="35" t="inlineStr">
        <is>
          <t>Samples (n)</t>
        </is>
      </c>
      <c r="B87" s="22">
        <f>Capability!B7</f>
        <v/>
      </c>
      <c r="CB87">
        <f>IF((CE$1+83)&gt;CC$1,NA(),(CE$1+83)-4)</f>
        <v/>
      </c>
      <c r="CC87">
        <f>IF((CE$1+83)&gt;CC$1,NA(),INDEX('Data Entry'!$H$5:$H$10004,(CE$1+83)-4))</f>
        <v/>
      </c>
      <c r="CD87">
        <f>IF(ISNA(CB87),NA(),Capability!$K$5)</f>
        <v/>
      </c>
      <c r="CE87">
        <f>IF(ISNA(CB87),NA(),Capability!$J$5)</f>
        <v/>
      </c>
      <c r="CF87">
        <f>IF(ISNA(CB87),NA(),Capability!$L$5)</f>
        <v/>
      </c>
      <c r="CG87">
        <f>IF(OR(ISNA(CC87),ISNA(CC86)),NA(),ABS(CC87-CC86))</f>
        <v/>
      </c>
      <c r="CH87">
        <f>IF(ISNA(CB87),NA(),Capability!$N$5)</f>
        <v/>
      </c>
      <c r="CI87">
        <f>IF(ISNA(CB87),NA(),IF(OR(Capability!$Q$5="",Settings!$F$7&lt;&gt;"Y"),NA(),Capability!$Q$5))</f>
        <v/>
      </c>
      <c r="CJ87">
        <f>IF(ISNA(CB87),NA(),IF(OR(Capability!$P$5="",Settings!$F$7&lt;&gt;"Y"),NA(),Capability!$P$5))</f>
        <v/>
      </c>
      <c r="CP87">
        <f>IF((CS$1+83)&gt;CQ$1,NA(),(CS$1+83)-4)</f>
        <v/>
      </c>
      <c r="CQ87">
        <f>IF((CS$1+83)&gt;CQ$1,NA(),INDEX('Data Entry'!$I$5:$I$10004,(CS$1+83)-4))</f>
        <v/>
      </c>
      <c r="CR87">
        <f>IF(ISNA(CP87),NA(),Capability!$K$6)</f>
        <v/>
      </c>
      <c r="CS87">
        <f>IF(ISNA(CP87),NA(),Capability!$J$6)</f>
        <v/>
      </c>
      <c r="CT87">
        <f>IF(ISNA(CP87),NA(),Capability!$L$6)</f>
        <v/>
      </c>
      <c r="CU87">
        <f>IF(OR(ISNA(CQ87),ISNA(CQ86)),NA(),ABS(CQ87-CQ86))</f>
        <v/>
      </c>
      <c r="CV87">
        <f>IF(ISNA(CP87),NA(),Capability!$N$6)</f>
        <v/>
      </c>
      <c r="CW87">
        <f>IF(ISNA(CP87),NA(),IF(OR(Capability!$Q$6="",Settings!$F$7&lt;&gt;"Y"),NA(),Capability!$Q$6))</f>
        <v/>
      </c>
      <c r="CX87">
        <f>IF(ISNA(CP87),NA(),IF(OR(Capability!$P$6="",Settings!$F$7&lt;&gt;"Y"),NA(),Capability!$P$6))</f>
        <v/>
      </c>
      <c r="DD87">
        <f>IF((DG$1+83)&gt;DE$1,NA(),(DG$1+83)-4)</f>
        <v/>
      </c>
      <c r="DE87">
        <f>IF((DG$1+83)&gt;DE$1,NA(),INDEX('Data Entry'!$J$5:$J$10004,(DG$1+83)-4))</f>
        <v/>
      </c>
      <c r="DF87">
        <f>IF(ISNA(DD87),NA(),Capability!$K$7)</f>
        <v/>
      </c>
      <c r="DG87">
        <f>IF(ISNA(DD87),NA(),Capability!$J$7)</f>
        <v/>
      </c>
      <c r="DH87">
        <f>IF(ISNA(DD87),NA(),Capability!$L$7)</f>
        <v/>
      </c>
      <c r="DI87">
        <f>IF(OR(ISNA(DE87),ISNA(DE86)),NA(),ABS(DE87-DE86))</f>
        <v/>
      </c>
      <c r="DJ87">
        <f>IF(ISNA(DD87),NA(),Capability!$N$7)</f>
        <v/>
      </c>
      <c r="DK87">
        <f>IF(ISNA(DD87),NA(),IF(OR(Capability!$Q$7="",Settings!$F$7&lt;&gt;"Y"),NA(),Capability!$Q$7))</f>
        <v/>
      </c>
      <c r="DL87">
        <f>IF(ISNA(DD87),NA(),IF(OR(Capability!$P$7="",Settings!$F$7&lt;&gt;"Y"),NA(),Capability!$P$7))</f>
        <v/>
      </c>
      <c r="DR87">
        <f>IF((DU$1+83)&gt;DS$1,NA(),(DU$1+83)-4)</f>
        <v/>
      </c>
      <c r="DS87">
        <f>IF((DU$1+83)&gt;DS$1,NA(),INDEX('Data Entry'!$K$5:$K$10004,(DU$1+83)-4))</f>
        <v/>
      </c>
      <c r="DT87">
        <f>IF(ISNA(DR87),NA(),Capability!$K$8)</f>
        <v/>
      </c>
      <c r="DU87">
        <f>IF(ISNA(DR87),NA(),Capability!$J$8)</f>
        <v/>
      </c>
      <c r="DV87">
        <f>IF(ISNA(DR87),NA(),Capability!$L$8)</f>
        <v/>
      </c>
      <c r="DW87">
        <f>IF(OR(ISNA(DS87),ISNA(DS86)),NA(),ABS(DS87-DS86))</f>
        <v/>
      </c>
      <c r="DX87">
        <f>IF(ISNA(DR87),NA(),Capability!$N$8)</f>
        <v/>
      </c>
      <c r="DY87">
        <f>IF(ISNA(DR87),NA(),IF(OR(Capability!$Q$8="",Settings!$F$7&lt;&gt;"Y"),NA(),Capability!$Q$8))</f>
        <v/>
      </c>
      <c r="DZ87">
        <f>IF(ISNA(DR87),NA(),IF(OR(Capability!$P$8="",Settings!$F$7&lt;&gt;"Y"),NA(),Capability!$P$8))</f>
        <v/>
      </c>
      <c r="EF87">
        <f>IF((EI$1+83)&gt;EG$1,NA(),(EI$1+83)-4)</f>
        <v/>
      </c>
      <c r="EG87">
        <f>IF((EI$1+83)&gt;EG$1,NA(),INDEX('Data Entry'!$L$5:$L$10004,(EI$1+83)-4))</f>
        <v/>
      </c>
      <c r="EH87">
        <f>IF(ISNA(EF87),NA(),Capability!$K$9)</f>
        <v/>
      </c>
      <c r="EI87">
        <f>IF(ISNA(EF87),NA(),Capability!$J$9)</f>
        <v/>
      </c>
      <c r="EJ87">
        <f>IF(ISNA(EF87),NA(),Capability!$L$9)</f>
        <v/>
      </c>
      <c r="EK87">
        <f>IF(OR(ISNA(EG87),ISNA(EG86)),NA(),ABS(EG87-EG86))</f>
        <v/>
      </c>
      <c r="EL87">
        <f>IF(ISNA(EF87),NA(),Capability!$N$9)</f>
        <v/>
      </c>
      <c r="EM87">
        <f>IF(ISNA(EF87),NA(),IF(OR(Capability!$Q$9="",Settings!$F$7&lt;&gt;"Y"),NA(),Capability!$Q$9))</f>
        <v/>
      </c>
      <c r="EN87">
        <f>IF(ISNA(EF87),NA(),IF(OR(Capability!$P$9="",Settings!$F$7&lt;&gt;"Y"),NA(),Capability!$P$9))</f>
        <v/>
      </c>
      <c r="ET87">
        <f>IF((EW$1+83)&gt;EU$1,NA(),(EW$1+83)-4)</f>
        <v/>
      </c>
      <c r="EU87">
        <f>IF((EW$1+83)&gt;EU$1,NA(),INDEX('Data Entry'!$M$5:$M$10004,(EW$1+83)-4))</f>
        <v/>
      </c>
      <c r="EV87">
        <f>IF(ISNA(ET87),NA(),Capability!$K$10)</f>
        <v/>
      </c>
      <c r="EW87">
        <f>IF(ISNA(ET87),NA(),Capability!$J$10)</f>
        <v/>
      </c>
      <c r="EX87">
        <f>IF(ISNA(ET87),NA(),Capability!$L$10)</f>
        <v/>
      </c>
      <c r="EY87">
        <f>IF(OR(ISNA(EU87),ISNA(EU86)),NA(),ABS(EU87-EU86))</f>
        <v/>
      </c>
      <c r="EZ87">
        <f>IF(ISNA(ET87),NA(),Capability!$N$10)</f>
        <v/>
      </c>
      <c r="FA87">
        <f>IF(ISNA(ET87),NA(),IF(OR(Capability!$Q$10="",Settings!$F$7&lt;&gt;"Y"),NA(),Capability!$Q$10))</f>
        <v/>
      </c>
      <c r="FB87">
        <f>IF(ISNA(ET87),NA(),IF(OR(Capability!$P$10="",Settings!$F$7&lt;&gt;"Y"),NA(),Capability!$P$10))</f>
        <v/>
      </c>
      <c r="FH87">
        <f>IF((FK$1+83)&gt;FI$1,NA(),(FK$1+83)-4)</f>
        <v/>
      </c>
      <c r="FI87">
        <f>IF((FK$1+83)&gt;FI$1,NA(),INDEX('Data Entry'!$N$5:$N$10004,(FK$1+83)-4))</f>
        <v/>
      </c>
      <c r="FJ87">
        <f>IF(ISNA(FH87),NA(),Capability!$K$11)</f>
        <v/>
      </c>
      <c r="FK87">
        <f>IF(ISNA(FH87),NA(),Capability!$J$11)</f>
        <v/>
      </c>
      <c r="FL87">
        <f>IF(ISNA(FH87),NA(),Capability!$L$11)</f>
        <v/>
      </c>
      <c r="FM87">
        <f>IF(OR(ISNA(FI87),ISNA(FI86)),NA(),ABS(FI87-FI86))</f>
        <v/>
      </c>
      <c r="FN87">
        <f>IF(ISNA(FH87),NA(),Capability!$N$11)</f>
        <v/>
      </c>
      <c r="FO87">
        <f>IF(ISNA(FH87),NA(),IF(OR(Capability!$Q$11="",Settings!$F$7&lt;&gt;"Y"),NA(),Capability!$Q$11))</f>
        <v/>
      </c>
      <c r="FP87">
        <f>IF(ISNA(FH87),NA(),IF(OR(Capability!$P$11="",Settings!$F$7&lt;&gt;"Y"),NA(),Capability!$P$11))</f>
        <v/>
      </c>
      <c r="FV87">
        <f>IF((FY$1+83)&gt;FW$1,NA(),(FY$1+83)-4)</f>
        <v/>
      </c>
      <c r="FW87">
        <f>IF((FY$1+83)&gt;FW$1,NA(),INDEX('Data Entry'!$O$5:$O$10004,(FY$1+83)-4))</f>
        <v/>
      </c>
      <c r="FX87">
        <f>IF(ISNA(FV87),NA(),Capability!$K$12)</f>
        <v/>
      </c>
      <c r="FY87">
        <f>IF(ISNA(FV87),NA(),Capability!$J$12)</f>
        <v/>
      </c>
      <c r="FZ87">
        <f>IF(ISNA(FV87),NA(),Capability!$L$12)</f>
        <v/>
      </c>
      <c r="GA87">
        <f>IF(OR(ISNA(FW87),ISNA(FW86)),NA(),ABS(FW87-FW86))</f>
        <v/>
      </c>
      <c r="GB87">
        <f>IF(ISNA(FV87),NA(),Capability!$N$12)</f>
        <v/>
      </c>
      <c r="GC87">
        <f>IF(ISNA(FV87),NA(),IF(OR(Capability!$Q$12="",Settings!$F$7&lt;&gt;"Y"),NA(),Capability!$Q$12))</f>
        <v/>
      </c>
      <c r="GD87">
        <f>IF(ISNA(FV87),NA(),IF(OR(Capability!$P$12="",Settings!$F$7&lt;&gt;"Y"),NA(),Capability!$P$12))</f>
        <v/>
      </c>
      <c r="GJ87">
        <f>IF((GM$1+83)&gt;GK$1,NA(),(GM$1+83)-4)</f>
        <v/>
      </c>
      <c r="GK87">
        <f>IF((GM$1+83)&gt;GK$1,NA(),INDEX('Data Entry'!$P$5:$P$10004,(GM$1+83)-4))</f>
        <v/>
      </c>
      <c r="GL87">
        <f>IF(ISNA(GJ87),NA(),Capability!$K$13)</f>
        <v/>
      </c>
      <c r="GM87">
        <f>IF(ISNA(GJ87),NA(),Capability!$J$13)</f>
        <v/>
      </c>
      <c r="GN87">
        <f>IF(ISNA(GJ87),NA(),Capability!$L$13)</f>
        <v/>
      </c>
      <c r="GO87">
        <f>IF(OR(ISNA(GK87),ISNA(GK86)),NA(),ABS(GK87-GK86))</f>
        <v/>
      </c>
      <c r="GP87">
        <f>IF(ISNA(GJ87),NA(),Capability!$N$13)</f>
        <v/>
      </c>
      <c r="GQ87">
        <f>IF(ISNA(GJ87),NA(),IF(OR(Capability!$Q$13="",Settings!$F$7&lt;&gt;"Y"),NA(),Capability!$Q$13))</f>
        <v/>
      </c>
      <c r="GR87">
        <f>IF(ISNA(GJ87),NA(),IF(OR(Capability!$P$13="",Settings!$F$7&lt;&gt;"Y"),NA(),Capability!$P$13))</f>
        <v/>
      </c>
      <c r="GX87">
        <f>IF((HA$1+83)&gt;GY$1,NA(),(HA$1+83)-4)</f>
        <v/>
      </c>
      <c r="GY87">
        <f>IF((HA$1+83)&gt;GY$1,NA(),INDEX('Data Entry'!$Q$5:$Q$10004,(HA$1+83)-4))</f>
        <v/>
      </c>
      <c r="GZ87">
        <f>IF(ISNA(GX87),NA(),Capability!$K$14)</f>
        <v/>
      </c>
      <c r="HA87">
        <f>IF(ISNA(GX87),NA(),Capability!$J$14)</f>
        <v/>
      </c>
      <c r="HB87">
        <f>IF(ISNA(GX87),NA(),Capability!$L$14)</f>
        <v/>
      </c>
      <c r="HC87">
        <f>IF(OR(ISNA(GY87),ISNA(GY86)),NA(),ABS(GY87-GY86))</f>
        <v/>
      </c>
      <c r="HD87">
        <f>IF(ISNA(GX87),NA(),Capability!$N$14)</f>
        <v/>
      </c>
      <c r="HE87">
        <f>IF(ISNA(GX87),NA(),IF(OR(Capability!$Q$14="",Settings!$F$7&lt;&gt;"Y"),NA(),Capability!$Q$14))</f>
        <v/>
      </c>
      <c r="HF87">
        <f>IF(ISNA(GX87),NA(),IF(OR(Capability!$P$14="",Settings!$F$7&lt;&gt;"Y"),NA(),Capability!$P$14))</f>
        <v/>
      </c>
    </row>
    <row r="88">
      <c r="A88" s="37" t="inlineStr">
        <is>
          <t>DATA RANGE</t>
        </is>
      </c>
      <c r="B88" s="28" t="n"/>
      <c r="CB88">
        <f>IF((CE$1+84)&gt;CC$1,NA(),(CE$1+84)-4)</f>
        <v/>
      </c>
      <c r="CC88">
        <f>IF((CE$1+84)&gt;CC$1,NA(),INDEX('Data Entry'!$H$5:$H$10004,(CE$1+84)-4))</f>
        <v/>
      </c>
      <c r="CD88">
        <f>IF(ISNA(CB88),NA(),Capability!$K$5)</f>
        <v/>
      </c>
      <c r="CE88">
        <f>IF(ISNA(CB88),NA(),Capability!$J$5)</f>
        <v/>
      </c>
      <c r="CF88">
        <f>IF(ISNA(CB88),NA(),Capability!$L$5)</f>
        <v/>
      </c>
      <c r="CG88">
        <f>IF(OR(ISNA(CC88),ISNA(CC87)),NA(),ABS(CC88-CC87))</f>
        <v/>
      </c>
      <c r="CH88">
        <f>IF(ISNA(CB88),NA(),Capability!$N$5)</f>
        <v/>
      </c>
      <c r="CI88">
        <f>IF(ISNA(CB88),NA(),IF(OR(Capability!$Q$5="",Settings!$F$7&lt;&gt;"Y"),NA(),Capability!$Q$5))</f>
        <v/>
      </c>
      <c r="CJ88">
        <f>IF(ISNA(CB88),NA(),IF(OR(Capability!$P$5="",Settings!$F$7&lt;&gt;"Y"),NA(),Capability!$P$5))</f>
        <v/>
      </c>
      <c r="CP88">
        <f>IF((CS$1+84)&gt;CQ$1,NA(),(CS$1+84)-4)</f>
        <v/>
      </c>
      <c r="CQ88">
        <f>IF((CS$1+84)&gt;CQ$1,NA(),INDEX('Data Entry'!$I$5:$I$10004,(CS$1+84)-4))</f>
        <v/>
      </c>
      <c r="CR88">
        <f>IF(ISNA(CP88),NA(),Capability!$K$6)</f>
        <v/>
      </c>
      <c r="CS88">
        <f>IF(ISNA(CP88),NA(),Capability!$J$6)</f>
        <v/>
      </c>
      <c r="CT88">
        <f>IF(ISNA(CP88),NA(),Capability!$L$6)</f>
        <v/>
      </c>
      <c r="CU88">
        <f>IF(OR(ISNA(CQ88),ISNA(CQ87)),NA(),ABS(CQ88-CQ87))</f>
        <v/>
      </c>
      <c r="CV88">
        <f>IF(ISNA(CP88),NA(),Capability!$N$6)</f>
        <v/>
      </c>
      <c r="CW88">
        <f>IF(ISNA(CP88),NA(),IF(OR(Capability!$Q$6="",Settings!$F$7&lt;&gt;"Y"),NA(),Capability!$Q$6))</f>
        <v/>
      </c>
      <c r="CX88">
        <f>IF(ISNA(CP88),NA(),IF(OR(Capability!$P$6="",Settings!$F$7&lt;&gt;"Y"),NA(),Capability!$P$6))</f>
        <v/>
      </c>
      <c r="DD88">
        <f>IF((DG$1+84)&gt;DE$1,NA(),(DG$1+84)-4)</f>
        <v/>
      </c>
      <c r="DE88">
        <f>IF((DG$1+84)&gt;DE$1,NA(),INDEX('Data Entry'!$J$5:$J$10004,(DG$1+84)-4))</f>
        <v/>
      </c>
      <c r="DF88">
        <f>IF(ISNA(DD88),NA(),Capability!$K$7)</f>
        <v/>
      </c>
      <c r="DG88">
        <f>IF(ISNA(DD88),NA(),Capability!$J$7)</f>
        <v/>
      </c>
      <c r="DH88">
        <f>IF(ISNA(DD88),NA(),Capability!$L$7)</f>
        <v/>
      </c>
      <c r="DI88">
        <f>IF(OR(ISNA(DE88),ISNA(DE87)),NA(),ABS(DE88-DE87))</f>
        <v/>
      </c>
      <c r="DJ88">
        <f>IF(ISNA(DD88),NA(),Capability!$N$7)</f>
        <v/>
      </c>
      <c r="DK88">
        <f>IF(ISNA(DD88),NA(),IF(OR(Capability!$Q$7="",Settings!$F$7&lt;&gt;"Y"),NA(),Capability!$Q$7))</f>
        <v/>
      </c>
      <c r="DL88">
        <f>IF(ISNA(DD88),NA(),IF(OR(Capability!$P$7="",Settings!$F$7&lt;&gt;"Y"),NA(),Capability!$P$7))</f>
        <v/>
      </c>
      <c r="DR88">
        <f>IF((DU$1+84)&gt;DS$1,NA(),(DU$1+84)-4)</f>
        <v/>
      </c>
      <c r="DS88">
        <f>IF((DU$1+84)&gt;DS$1,NA(),INDEX('Data Entry'!$K$5:$K$10004,(DU$1+84)-4))</f>
        <v/>
      </c>
      <c r="DT88">
        <f>IF(ISNA(DR88),NA(),Capability!$K$8)</f>
        <v/>
      </c>
      <c r="DU88">
        <f>IF(ISNA(DR88),NA(),Capability!$J$8)</f>
        <v/>
      </c>
      <c r="DV88">
        <f>IF(ISNA(DR88),NA(),Capability!$L$8)</f>
        <v/>
      </c>
      <c r="DW88">
        <f>IF(OR(ISNA(DS88),ISNA(DS87)),NA(),ABS(DS88-DS87))</f>
        <v/>
      </c>
      <c r="DX88">
        <f>IF(ISNA(DR88),NA(),Capability!$N$8)</f>
        <v/>
      </c>
      <c r="DY88">
        <f>IF(ISNA(DR88),NA(),IF(OR(Capability!$Q$8="",Settings!$F$7&lt;&gt;"Y"),NA(),Capability!$Q$8))</f>
        <v/>
      </c>
      <c r="DZ88">
        <f>IF(ISNA(DR88),NA(),IF(OR(Capability!$P$8="",Settings!$F$7&lt;&gt;"Y"),NA(),Capability!$P$8))</f>
        <v/>
      </c>
      <c r="EF88">
        <f>IF((EI$1+84)&gt;EG$1,NA(),(EI$1+84)-4)</f>
        <v/>
      </c>
      <c r="EG88">
        <f>IF((EI$1+84)&gt;EG$1,NA(),INDEX('Data Entry'!$L$5:$L$10004,(EI$1+84)-4))</f>
        <v/>
      </c>
      <c r="EH88">
        <f>IF(ISNA(EF88),NA(),Capability!$K$9)</f>
        <v/>
      </c>
      <c r="EI88">
        <f>IF(ISNA(EF88),NA(),Capability!$J$9)</f>
        <v/>
      </c>
      <c r="EJ88">
        <f>IF(ISNA(EF88),NA(),Capability!$L$9)</f>
        <v/>
      </c>
      <c r="EK88">
        <f>IF(OR(ISNA(EG88),ISNA(EG87)),NA(),ABS(EG88-EG87))</f>
        <v/>
      </c>
      <c r="EL88">
        <f>IF(ISNA(EF88),NA(),Capability!$N$9)</f>
        <v/>
      </c>
      <c r="EM88">
        <f>IF(ISNA(EF88),NA(),IF(OR(Capability!$Q$9="",Settings!$F$7&lt;&gt;"Y"),NA(),Capability!$Q$9))</f>
        <v/>
      </c>
      <c r="EN88">
        <f>IF(ISNA(EF88),NA(),IF(OR(Capability!$P$9="",Settings!$F$7&lt;&gt;"Y"),NA(),Capability!$P$9))</f>
        <v/>
      </c>
      <c r="ET88">
        <f>IF((EW$1+84)&gt;EU$1,NA(),(EW$1+84)-4)</f>
        <v/>
      </c>
      <c r="EU88">
        <f>IF((EW$1+84)&gt;EU$1,NA(),INDEX('Data Entry'!$M$5:$M$10004,(EW$1+84)-4))</f>
        <v/>
      </c>
      <c r="EV88">
        <f>IF(ISNA(ET88),NA(),Capability!$K$10)</f>
        <v/>
      </c>
      <c r="EW88">
        <f>IF(ISNA(ET88),NA(),Capability!$J$10)</f>
        <v/>
      </c>
      <c r="EX88">
        <f>IF(ISNA(ET88),NA(),Capability!$L$10)</f>
        <v/>
      </c>
      <c r="EY88">
        <f>IF(OR(ISNA(EU88),ISNA(EU87)),NA(),ABS(EU88-EU87))</f>
        <v/>
      </c>
      <c r="EZ88">
        <f>IF(ISNA(ET88),NA(),Capability!$N$10)</f>
        <v/>
      </c>
      <c r="FA88">
        <f>IF(ISNA(ET88),NA(),IF(OR(Capability!$Q$10="",Settings!$F$7&lt;&gt;"Y"),NA(),Capability!$Q$10))</f>
        <v/>
      </c>
      <c r="FB88">
        <f>IF(ISNA(ET88),NA(),IF(OR(Capability!$P$10="",Settings!$F$7&lt;&gt;"Y"),NA(),Capability!$P$10))</f>
        <v/>
      </c>
      <c r="FH88">
        <f>IF((FK$1+84)&gt;FI$1,NA(),(FK$1+84)-4)</f>
        <v/>
      </c>
      <c r="FI88">
        <f>IF((FK$1+84)&gt;FI$1,NA(),INDEX('Data Entry'!$N$5:$N$10004,(FK$1+84)-4))</f>
        <v/>
      </c>
      <c r="FJ88">
        <f>IF(ISNA(FH88),NA(),Capability!$K$11)</f>
        <v/>
      </c>
      <c r="FK88">
        <f>IF(ISNA(FH88),NA(),Capability!$J$11)</f>
        <v/>
      </c>
      <c r="FL88">
        <f>IF(ISNA(FH88),NA(),Capability!$L$11)</f>
        <v/>
      </c>
      <c r="FM88">
        <f>IF(OR(ISNA(FI88),ISNA(FI87)),NA(),ABS(FI88-FI87))</f>
        <v/>
      </c>
      <c r="FN88">
        <f>IF(ISNA(FH88),NA(),Capability!$N$11)</f>
        <v/>
      </c>
      <c r="FO88">
        <f>IF(ISNA(FH88),NA(),IF(OR(Capability!$Q$11="",Settings!$F$7&lt;&gt;"Y"),NA(),Capability!$Q$11))</f>
        <v/>
      </c>
      <c r="FP88">
        <f>IF(ISNA(FH88),NA(),IF(OR(Capability!$P$11="",Settings!$F$7&lt;&gt;"Y"),NA(),Capability!$P$11))</f>
        <v/>
      </c>
      <c r="FV88">
        <f>IF((FY$1+84)&gt;FW$1,NA(),(FY$1+84)-4)</f>
        <v/>
      </c>
      <c r="FW88">
        <f>IF((FY$1+84)&gt;FW$1,NA(),INDEX('Data Entry'!$O$5:$O$10004,(FY$1+84)-4))</f>
        <v/>
      </c>
      <c r="FX88">
        <f>IF(ISNA(FV88),NA(),Capability!$K$12)</f>
        <v/>
      </c>
      <c r="FY88">
        <f>IF(ISNA(FV88),NA(),Capability!$J$12)</f>
        <v/>
      </c>
      <c r="FZ88">
        <f>IF(ISNA(FV88),NA(),Capability!$L$12)</f>
        <v/>
      </c>
      <c r="GA88">
        <f>IF(OR(ISNA(FW88),ISNA(FW87)),NA(),ABS(FW88-FW87))</f>
        <v/>
      </c>
      <c r="GB88">
        <f>IF(ISNA(FV88),NA(),Capability!$N$12)</f>
        <v/>
      </c>
      <c r="GC88">
        <f>IF(ISNA(FV88),NA(),IF(OR(Capability!$Q$12="",Settings!$F$7&lt;&gt;"Y"),NA(),Capability!$Q$12))</f>
        <v/>
      </c>
      <c r="GD88">
        <f>IF(ISNA(FV88),NA(),IF(OR(Capability!$P$12="",Settings!$F$7&lt;&gt;"Y"),NA(),Capability!$P$12))</f>
        <v/>
      </c>
      <c r="GJ88">
        <f>IF((GM$1+84)&gt;GK$1,NA(),(GM$1+84)-4)</f>
        <v/>
      </c>
      <c r="GK88">
        <f>IF((GM$1+84)&gt;GK$1,NA(),INDEX('Data Entry'!$P$5:$P$10004,(GM$1+84)-4))</f>
        <v/>
      </c>
      <c r="GL88">
        <f>IF(ISNA(GJ88),NA(),Capability!$K$13)</f>
        <v/>
      </c>
      <c r="GM88">
        <f>IF(ISNA(GJ88),NA(),Capability!$J$13)</f>
        <v/>
      </c>
      <c r="GN88">
        <f>IF(ISNA(GJ88),NA(),Capability!$L$13)</f>
        <v/>
      </c>
      <c r="GO88">
        <f>IF(OR(ISNA(GK88),ISNA(GK87)),NA(),ABS(GK88-GK87))</f>
        <v/>
      </c>
      <c r="GP88">
        <f>IF(ISNA(GJ88),NA(),Capability!$N$13)</f>
        <v/>
      </c>
      <c r="GQ88">
        <f>IF(ISNA(GJ88),NA(),IF(OR(Capability!$Q$13="",Settings!$F$7&lt;&gt;"Y"),NA(),Capability!$Q$13))</f>
        <v/>
      </c>
      <c r="GR88">
        <f>IF(ISNA(GJ88),NA(),IF(OR(Capability!$P$13="",Settings!$F$7&lt;&gt;"Y"),NA(),Capability!$P$13))</f>
        <v/>
      </c>
      <c r="GX88">
        <f>IF((HA$1+84)&gt;GY$1,NA(),(HA$1+84)-4)</f>
        <v/>
      </c>
      <c r="GY88">
        <f>IF((HA$1+84)&gt;GY$1,NA(),INDEX('Data Entry'!$Q$5:$Q$10004,(HA$1+84)-4))</f>
        <v/>
      </c>
      <c r="GZ88">
        <f>IF(ISNA(GX88),NA(),Capability!$K$14)</f>
        <v/>
      </c>
      <c r="HA88">
        <f>IF(ISNA(GX88),NA(),Capability!$J$14)</f>
        <v/>
      </c>
      <c r="HB88">
        <f>IF(ISNA(GX88),NA(),Capability!$L$14)</f>
        <v/>
      </c>
      <c r="HC88">
        <f>IF(OR(ISNA(GY88),ISNA(GY87)),NA(),ABS(GY88-GY87))</f>
        <v/>
      </c>
      <c r="HD88">
        <f>IF(ISNA(GX88),NA(),Capability!$N$14)</f>
        <v/>
      </c>
      <c r="HE88">
        <f>IF(ISNA(GX88),NA(),IF(OR(Capability!$Q$14="",Settings!$F$7&lt;&gt;"Y"),NA(),Capability!$Q$14))</f>
        <v/>
      </c>
      <c r="HF88">
        <f>IF(ISNA(GX88),NA(),IF(OR(Capability!$P$14="",Settings!$F$7&lt;&gt;"Y"),NA(),Capability!$P$14))</f>
        <v/>
      </c>
    </row>
    <row r="89">
      <c r="A89" s="35" t="inlineStr">
        <is>
          <t>Min</t>
        </is>
      </c>
      <c r="B89" s="23">
        <f>Capability!E7</f>
        <v/>
      </c>
      <c r="CB89">
        <f>IF((CE$1+85)&gt;CC$1,NA(),(CE$1+85)-4)</f>
        <v/>
      </c>
      <c r="CC89">
        <f>IF((CE$1+85)&gt;CC$1,NA(),INDEX('Data Entry'!$H$5:$H$10004,(CE$1+85)-4))</f>
        <v/>
      </c>
      <c r="CD89">
        <f>IF(ISNA(CB89),NA(),Capability!$K$5)</f>
        <v/>
      </c>
      <c r="CE89">
        <f>IF(ISNA(CB89),NA(),Capability!$J$5)</f>
        <v/>
      </c>
      <c r="CF89">
        <f>IF(ISNA(CB89),NA(),Capability!$L$5)</f>
        <v/>
      </c>
      <c r="CG89">
        <f>IF(OR(ISNA(CC89),ISNA(CC88)),NA(),ABS(CC89-CC88))</f>
        <v/>
      </c>
      <c r="CH89">
        <f>IF(ISNA(CB89),NA(),Capability!$N$5)</f>
        <v/>
      </c>
      <c r="CI89">
        <f>IF(ISNA(CB89),NA(),IF(OR(Capability!$Q$5="",Settings!$F$7&lt;&gt;"Y"),NA(),Capability!$Q$5))</f>
        <v/>
      </c>
      <c r="CJ89">
        <f>IF(ISNA(CB89),NA(),IF(OR(Capability!$P$5="",Settings!$F$7&lt;&gt;"Y"),NA(),Capability!$P$5))</f>
        <v/>
      </c>
      <c r="CP89">
        <f>IF((CS$1+85)&gt;CQ$1,NA(),(CS$1+85)-4)</f>
        <v/>
      </c>
      <c r="CQ89">
        <f>IF((CS$1+85)&gt;CQ$1,NA(),INDEX('Data Entry'!$I$5:$I$10004,(CS$1+85)-4))</f>
        <v/>
      </c>
      <c r="CR89">
        <f>IF(ISNA(CP89),NA(),Capability!$K$6)</f>
        <v/>
      </c>
      <c r="CS89">
        <f>IF(ISNA(CP89),NA(),Capability!$J$6)</f>
        <v/>
      </c>
      <c r="CT89">
        <f>IF(ISNA(CP89),NA(),Capability!$L$6)</f>
        <v/>
      </c>
      <c r="CU89">
        <f>IF(OR(ISNA(CQ89),ISNA(CQ88)),NA(),ABS(CQ89-CQ88))</f>
        <v/>
      </c>
      <c r="CV89">
        <f>IF(ISNA(CP89),NA(),Capability!$N$6)</f>
        <v/>
      </c>
      <c r="CW89">
        <f>IF(ISNA(CP89),NA(),IF(OR(Capability!$Q$6="",Settings!$F$7&lt;&gt;"Y"),NA(),Capability!$Q$6))</f>
        <v/>
      </c>
      <c r="CX89">
        <f>IF(ISNA(CP89),NA(),IF(OR(Capability!$P$6="",Settings!$F$7&lt;&gt;"Y"),NA(),Capability!$P$6))</f>
        <v/>
      </c>
      <c r="DD89">
        <f>IF((DG$1+85)&gt;DE$1,NA(),(DG$1+85)-4)</f>
        <v/>
      </c>
      <c r="DE89">
        <f>IF((DG$1+85)&gt;DE$1,NA(),INDEX('Data Entry'!$J$5:$J$10004,(DG$1+85)-4))</f>
        <v/>
      </c>
      <c r="DF89">
        <f>IF(ISNA(DD89),NA(),Capability!$K$7)</f>
        <v/>
      </c>
      <c r="DG89">
        <f>IF(ISNA(DD89),NA(),Capability!$J$7)</f>
        <v/>
      </c>
      <c r="DH89">
        <f>IF(ISNA(DD89),NA(),Capability!$L$7)</f>
        <v/>
      </c>
      <c r="DI89">
        <f>IF(OR(ISNA(DE89),ISNA(DE88)),NA(),ABS(DE89-DE88))</f>
        <v/>
      </c>
      <c r="DJ89">
        <f>IF(ISNA(DD89),NA(),Capability!$N$7)</f>
        <v/>
      </c>
      <c r="DK89">
        <f>IF(ISNA(DD89),NA(),IF(OR(Capability!$Q$7="",Settings!$F$7&lt;&gt;"Y"),NA(),Capability!$Q$7))</f>
        <v/>
      </c>
      <c r="DL89">
        <f>IF(ISNA(DD89),NA(),IF(OR(Capability!$P$7="",Settings!$F$7&lt;&gt;"Y"),NA(),Capability!$P$7))</f>
        <v/>
      </c>
      <c r="DR89">
        <f>IF((DU$1+85)&gt;DS$1,NA(),(DU$1+85)-4)</f>
        <v/>
      </c>
      <c r="DS89">
        <f>IF((DU$1+85)&gt;DS$1,NA(),INDEX('Data Entry'!$K$5:$K$10004,(DU$1+85)-4))</f>
        <v/>
      </c>
      <c r="DT89">
        <f>IF(ISNA(DR89),NA(),Capability!$K$8)</f>
        <v/>
      </c>
      <c r="DU89">
        <f>IF(ISNA(DR89),NA(),Capability!$J$8)</f>
        <v/>
      </c>
      <c r="DV89">
        <f>IF(ISNA(DR89),NA(),Capability!$L$8)</f>
        <v/>
      </c>
      <c r="DW89">
        <f>IF(OR(ISNA(DS89),ISNA(DS88)),NA(),ABS(DS89-DS88))</f>
        <v/>
      </c>
      <c r="DX89">
        <f>IF(ISNA(DR89),NA(),Capability!$N$8)</f>
        <v/>
      </c>
      <c r="DY89">
        <f>IF(ISNA(DR89),NA(),IF(OR(Capability!$Q$8="",Settings!$F$7&lt;&gt;"Y"),NA(),Capability!$Q$8))</f>
        <v/>
      </c>
      <c r="DZ89">
        <f>IF(ISNA(DR89),NA(),IF(OR(Capability!$P$8="",Settings!$F$7&lt;&gt;"Y"),NA(),Capability!$P$8))</f>
        <v/>
      </c>
      <c r="EF89">
        <f>IF((EI$1+85)&gt;EG$1,NA(),(EI$1+85)-4)</f>
        <v/>
      </c>
      <c r="EG89">
        <f>IF((EI$1+85)&gt;EG$1,NA(),INDEX('Data Entry'!$L$5:$L$10004,(EI$1+85)-4))</f>
        <v/>
      </c>
      <c r="EH89">
        <f>IF(ISNA(EF89),NA(),Capability!$K$9)</f>
        <v/>
      </c>
      <c r="EI89">
        <f>IF(ISNA(EF89),NA(),Capability!$J$9)</f>
        <v/>
      </c>
      <c r="EJ89">
        <f>IF(ISNA(EF89),NA(),Capability!$L$9)</f>
        <v/>
      </c>
      <c r="EK89">
        <f>IF(OR(ISNA(EG89),ISNA(EG88)),NA(),ABS(EG89-EG88))</f>
        <v/>
      </c>
      <c r="EL89">
        <f>IF(ISNA(EF89),NA(),Capability!$N$9)</f>
        <v/>
      </c>
      <c r="EM89">
        <f>IF(ISNA(EF89),NA(),IF(OR(Capability!$Q$9="",Settings!$F$7&lt;&gt;"Y"),NA(),Capability!$Q$9))</f>
        <v/>
      </c>
      <c r="EN89">
        <f>IF(ISNA(EF89),NA(),IF(OR(Capability!$P$9="",Settings!$F$7&lt;&gt;"Y"),NA(),Capability!$P$9))</f>
        <v/>
      </c>
      <c r="ET89">
        <f>IF((EW$1+85)&gt;EU$1,NA(),(EW$1+85)-4)</f>
        <v/>
      </c>
      <c r="EU89">
        <f>IF((EW$1+85)&gt;EU$1,NA(),INDEX('Data Entry'!$M$5:$M$10004,(EW$1+85)-4))</f>
        <v/>
      </c>
      <c r="EV89">
        <f>IF(ISNA(ET89),NA(),Capability!$K$10)</f>
        <v/>
      </c>
      <c r="EW89">
        <f>IF(ISNA(ET89),NA(),Capability!$J$10)</f>
        <v/>
      </c>
      <c r="EX89">
        <f>IF(ISNA(ET89),NA(),Capability!$L$10)</f>
        <v/>
      </c>
      <c r="EY89">
        <f>IF(OR(ISNA(EU89),ISNA(EU88)),NA(),ABS(EU89-EU88))</f>
        <v/>
      </c>
      <c r="EZ89">
        <f>IF(ISNA(ET89),NA(),Capability!$N$10)</f>
        <v/>
      </c>
      <c r="FA89">
        <f>IF(ISNA(ET89),NA(),IF(OR(Capability!$Q$10="",Settings!$F$7&lt;&gt;"Y"),NA(),Capability!$Q$10))</f>
        <v/>
      </c>
      <c r="FB89">
        <f>IF(ISNA(ET89),NA(),IF(OR(Capability!$P$10="",Settings!$F$7&lt;&gt;"Y"),NA(),Capability!$P$10))</f>
        <v/>
      </c>
      <c r="FH89">
        <f>IF((FK$1+85)&gt;FI$1,NA(),(FK$1+85)-4)</f>
        <v/>
      </c>
      <c r="FI89">
        <f>IF((FK$1+85)&gt;FI$1,NA(),INDEX('Data Entry'!$N$5:$N$10004,(FK$1+85)-4))</f>
        <v/>
      </c>
      <c r="FJ89">
        <f>IF(ISNA(FH89),NA(),Capability!$K$11)</f>
        <v/>
      </c>
      <c r="FK89">
        <f>IF(ISNA(FH89),NA(),Capability!$J$11)</f>
        <v/>
      </c>
      <c r="FL89">
        <f>IF(ISNA(FH89),NA(),Capability!$L$11)</f>
        <v/>
      </c>
      <c r="FM89">
        <f>IF(OR(ISNA(FI89),ISNA(FI88)),NA(),ABS(FI89-FI88))</f>
        <v/>
      </c>
      <c r="FN89">
        <f>IF(ISNA(FH89),NA(),Capability!$N$11)</f>
        <v/>
      </c>
      <c r="FO89">
        <f>IF(ISNA(FH89),NA(),IF(OR(Capability!$Q$11="",Settings!$F$7&lt;&gt;"Y"),NA(),Capability!$Q$11))</f>
        <v/>
      </c>
      <c r="FP89">
        <f>IF(ISNA(FH89),NA(),IF(OR(Capability!$P$11="",Settings!$F$7&lt;&gt;"Y"),NA(),Capability!$P$11))</f>
        <v/>
      </c>
      <c r="FV89">
        <f>IF((FY$1+85)&gt;FW$1,NA(),(FY$1+85)-4)</f>
        <v/>
      </c>
      <c r="FW89">
        <f>IF((FY$1+85)&gt;FW$1,NA(),INDEX('Data Entry'!$O$5:$O$10004,(FY$1+85)-4))</f>
        <v/>
      </c>
      <c r="FX89">
        <f>IF(ISNA(FV89),NA(),Capability!$K$12)</f>
        <v/>
      </c>
      <c r="FY89">
        <f>IF(ISNA(FV89),NA(),Capability!$J$12)</f>
        <v/>
      </c>
      <c r="FZ89">
        <f>IF(ISNA(FV89),NA(),Capability!$L$12)</f>
        <v/>
      </c>
      <c r="GA89">
        <f>IF(OR(ISNA(FW89),ISNA(FW88)),NA(),ABS(FW89-FW88))</f>
        <v/>
      </c>
      <c r="GB89">
        <f>IF(ISNA(FV89),NA(),Capability!$N$12)</f>
        <v/>
      </c>
      <c r="GC89">
        <f>IF(ISNA(FV89),NA(),IF(OR(Capability!$Q$12="",Settings!$F$7&lt;&gt;"Y"),NA(),Capability!$Q$12))</f>
        <v/>
      </c>
      <c r="GD89">
        <f>IF(ISNA(FV89),NA(),IF(OR(Capability!$P$12="",Settings!$F$7&lt;&gt;"Y"),NA(),Capability!$P$12))</f>
        <v/>
      </c>
      <c r="GJ89">
        <f>IF((GM$1+85)&gt;GK$1,NA(),(GM$1+85)-4)</f>
        <v/>
      </c>
      <c r="GK89">
        <f>IF((GM$1+85)&gt;GK$1,NA(),INDEX('Data Entry'!$P$5:$P$10004,(GM$1+85)-4))</f>
        <v/>
      </c>
      <c r="GL89">
        <f>IF(ISNA(GJ89),NA(),Capability!$K$13)</f>
        <v/>
      </c>
      <c r="GM89">
        <f>IF(ISNA(GJ89),NA(),Capability!$J$13)</f>
        <v/>
      </c>
      <c r="GN89">
        <f>IF(ISNA(GJ89),NA(),Capability!$L$13)</f>
        <v/>
      </c>
      <c r="GO89">
        <f>IF(OR(ISNA(GK89),ISNA(GK88)),NA(),ABS(GK89-GK88))</f>
        <v/>
      </c>
      <c r="GP89">
        <f>IF(ISNA(GJ89),NA(),Capability!$N$13)</f>
        <v/>
      </c>
      <c r="GQ89">
        <f>IF(ISNA(GJ89),NA(),IF(OR(Capability!$Q$13="",Settings!$F$7&lt;&gt;"Y"),NA(),Capability!$Q$13))</f>
        <v/>
      </c>
      <c r="GR89">
        <f>IF(ISNA(GJ89),NA(),IF(OR(Capability!$P$13="",Settings!$F$7&lt;&gt;"Y"),NA(),Capability!$P$13))</f>
        <v/>
      </c>
      <c r="GX89">
        <f>IF((HA$1+85)&gt;GY$1,NA(),(HA$1+85)-4)</f>
        <v/>
      </c>
      <c r="GY89">
        <f>IF((HA$1+85)&gt;GY$1,NA(),INDEX('Data Entry'!$Q$5:$Q$10004,(HA$1+85)-4))</f>
        <v/>
      </c>
      <c r="GZ89">
        <f>IF(ISNA(GX89),NA(),Capability!$K$14)</f>
        <v/>
      </c>
      <c r="HA89">
        <f>IF(ISNA(GX89),NA(),Capability!$J$14)</f>
        <v/>
      </c>
      <c r="HB89">
        <f>IF(ISNA(GX89),NA(),Capability!$L$14)</f>
        <v/>
      </c>
      <c r="HC89">
        <f>IF(OR(ISNA(GY89),ISNA(GY88)),NA(),ABS(GY89-GY88))</f>
        <v/>
      </c>
      <c r="HD89">
        <f>IF(ISNA(GX89),NA(),Capability!$N$14)</f>
        <v/>
      </c>
      <c r="HE89">
        <f>IF(ISNA(GX89),NA(),IF(OR(Capability!$Q$14="",Settings!$F$7&lt;&gt;"Y"),NA(),Capability!$Q$14))</f>
        <v/>
      </c>
      <c r="HF89">
        <f>IF(ISNA(GX89),NA(),IF(OR(Capability!$P$14="",Settings!$F$7&lt;&gt;"Y"),NA(),Capability!$P$14))</f>
        <v/>
      </c>
    </row>
    <row r="90">
      <c r="A90" s="35" t="inlineStr">
        <is>
          <t>Max</t>
        </is>
      </c>
      <c r="B90" s="23">
        <f>Capability!F7</f>
        <v/>
      </c>
      <c r="CB90">
        <f>IF((CE$1+86)&gt;CC$1,NA(),(CE$1+86)-4)</f>
        <v/>
      </c>
      <c r="CC90">
        <f>IF((CE$1+86)&gt;CC$1,NA(),INDEX('Data Entry'!$H$5:$H$10004,(CE$1+86)-4))</f>
        <v/>
      </c>
      <c r="CD90">
        <f>IF(ISNA(CB90),NA(),Capability!$K$5)</f>
        <v/>
      </c>
      <c r="CE90">
        <f>IF(ISNA(CB90),NA(),Capability!$J$5)</f>
        <v/>
      </c>
      <c r="CF90">
        <f>IF(ISNA(CB90),NA(),Capability!$L$5)</f>
        <v/>
      </c>
      <c r="CG90">
        <f>IF(OR(ISNA(CC90),ISNA(CC89)),NA(),ABS(CC90-CC89))</f>
        <v/>
      </c>
      <c r="CH90">
        <f>IF(ISNA(CB90),NA(),Capability!$N$5)</f>
        <v/>
      </c>
      <c r="CI90">
        <f>IF(ISNA(CB90),NA(),IF(OR(Capability!$Q$5="",Settings!$F$7&lt;&gt;"Y"),NA(),Capability!$Q$5))</f>
        <v/>
      </c>
      <c r="CJ90">
        <f>IF(ISNA(CB90),NA(),IF(OR(Capability!$P$5="",Settings!$F$7&lt;&gt;"Y"),NA(),Capability!$P$5))</f>
        <v/>
      </c>
      <c r="CP90">
        <f>IF((CS$1+86)&gt;CQ$1,NA(),(CS$1+86)-4)</f>
        <v/>
      </c>
      <c r="CQ90">
        <f>IF((CS$1+86)&gt;CQ$1,NA(),INDEX('Data Entry'!$I$5:$I$10004,(CS$1+86)-4))</f>
        <v/>
      </c>
      <c r="CR90">
        <f>IF(ISNA(CP90),NA(),Capability!$K$6)</f>
        <v/>
      </c>
      <c r="CS90">
        <f>IF(ISNA(CP90),NA(),Capability!$J$6)</f>
        <v/>
      </c>
      <c r="CT90">
        <f>IF(ISNA(CP90),NA(),Capability!$L$6)</f>
        <v/>
      </c>
      <c r="CU90">
        <f>IF(OR(ISNA(CQ90),ISNA(CQ89)),NA(),ABS(CQ90-CQ89))</f>
        <v/>
      </c>
      <c r="CV90">
        <f>IF(ISNA(CP90),NA(),Capability!$N$6)</f>
        <v/>
      </c>
      <c r="CW90">
        <f>IF(ISNA(CP90),NA(),IF(OR(Capability!$Q$6="",Settings!$F$7&lt;&gt;"Y"),NA(),Capability!$Q$6))</f>
        <v/>
      </c>
      <c r="CX90">
        <f>IF(ISNA(CP90),NA(),IF(OR(Capability!$P$6="",Settings!$F$7&lt;&gt;"Y"),NA(),Capability!$P$6))</f>
        <v/>
      </c>
      <c r="DD90">
        <f>IF((DG$1+86)&gt;DE$1,NA(),(DG$1+86)-4)</f>
        <v/>
      </c>
      <c r="DE90">
        <f>IF((DG$1+86)&gt;DE$1,NA(),INDEX('Data Entry'!$J$5:$J$10004,(DG$1+86)-4))</f>
        <v/>
      </c>
      <c r="DF90">
        <f>IF(ISNA(DD90),NA(),Capability!$K$7)</f>
        <v/>
      </c>
      <c r="DG90">
        <f>IF(ISNA(DD90),NA(),Capability!$J$7)</f>
        <v/>
      </c>
      <c r="DH90">
        <f>IF(ISNA(DD90),NA(),Capability!$L$7)</f>
        <v/>
      </c>
      <c r="DI90">
        <f>IF(OR(ISNA(DE90),ISNA(DE89)),NA(),ABS(DE90-DE89))</f>
        <v/>
      </c>
      <c r="DJ90">
        <f>IF(ISNA(DD90),NA(),Capability!$N$7)</f>
        <v/>
      </c>
      <c r="DK90">
        <f>IF(ISNA(DD90),NA(),IF(OR(Capability!$Q$7="",Settings!$F$7&lt;&gt;"Y"),NA(),Capability!$Q$7))</f>
        <v/>
      </c>
      <c r="DL90">
        <f>IF(ISNA(DD90),NA(),IF(OR(Capability!$P$7="",Settings!$F$7&lt;&gt;"Y"),NA(),Capability!$P$7))</f>
        <v/>
      </c>
      <c r="DR90">
        <f>IF((DU$1+86)&gt;DS$1,NA(),(DU$1+86)-4)</f>
        <v/>
      </c>
      <c r="DS90">
        <f>IF((DU$1+86)&gt;DS$1,NA(),INDEX('Data Entry'!$K$5:$K$10004,(DU$1+86)-4))</f>
        <v/>
      </c>
      <c r="DT90">
        <f>IF(ISNA(DR90),NA(),Capability!$K$8)</f>
        <v/>
      </c>
      <c r="DU90">
        <f>IF(ISNA(DR90),NA(),Capability!$J$8)</f>
        <v/>
      </c>
      <c r="DV90">
        <f>IF(ISNA(DR90),NA(),Capability!$L$8)</f>
        <v/>
      </c>
      <c r="DW90">
        <f>IF(OR(ISNA(DS90),ISNA(DS89)),NA(),ABS(DS90-DS89))</f>
        <v/>
      </c>
      <c r="DX90">
        <f>IF(ISNA(DR90),NA(),Capability!$N$8)</f>
        <v/>
      </c>
      <c r="DY90">
        <f>IF(ISNA(DR90),NA(),IF(OR(Capability!$Q$8="",Settings!$F$7&lt;&gt;"Y"),NA(),Capability!$Q$8))</f>
        <v/>
      </c>
      <c r="DZ90">
        <f>IF(ISNA(DR90),NA(),IF(OR(Capability!$P$8="",Settings!$F$7&lt;&gt;"Y"),NA(),Capability!$P$8))</f>
        <v/>
      </c>
      <c r="EF90">
        <f>IF((EI$1+86)&gt;EG$1,NA(),(EI$1+86)-4)</f>
        <v/>
      </c>
      <c r="EG90">
        <f>IF((EI$1+86)&gt;EG$1,NA(),INDEX('Data Entry'!$L$5:$L$10004,(EI$1+86)-4))</f>
        <v/>
      </c>
      <c r="EH90">
        <f>IF(ISNA(EF90),NA(),Capability!$K$9)</f>
        <v/>
      </c>
      <c r="EI90">
        <f>IF(ISNA(EF90),NA(),Capability!$J$9)</f>
        <v/>
      </c>
      <c r="EJ90">
        <f>IF(ISNA(EF90),NA(),Capability!$L$9)</f>
        <v/>
      </c>
      <c r="EK90">
        <f>IF(OR(ISNA(EG90),ISNA(EG89)),NA(),ABS(EG90-EG89))</f>
        <v/>
      </c>
      <c r="EL90">
        <f>IF(ISNA(EF90),NA(),Capability!$N$9)</f>
        <v/>
      </c>
      <c r="EM90">
        <f>IF(ISNA(EF90),NA(),IF(OR(Capability!$Q$9="",Settings!$F$7&lt;&gt;"Y"),NA(),Capability!$Q$9))</f>
        <v/>
      </c>
      <c r="EN90">
        <f>IF(ISNA(EF90),NA(),IF(OR(Capability!$P$9="",Settings!$F$7&lt;&gt;"Y"),NA(),Capability!$P$9))</f>
        <v/>
      </c>
      <c r="ET90">
        <f>IF((EW$1+86)&gt;EU$1,NA(),(EW$1+86)-4)</f>
        <v/>
      </c>
      <c r="EU90">
        <f>IF((EW$1+86)&gt;EU$1,NA(),INDEX('Data Entry'!$M$5:$M$10004,(EW$1+86)-4))</f>
        <v/>
      </c>
      <c r="EV90">
        <f>IF(ISNA(ET90),NA(),Capability!$K$10)</f>
        <v/>
      </c>
      <c r="EW90">
        <f>IF(ISNA(ET90),NA(),Capability!$J$10)</f>
        <v/>
      </c>
      <c r="EX90">
        <f>IF(ISNA(ET90),NA(),Capability!$L$10)</f>
        <v/>
      </c>
      <c r="EY90">
        <f>IF(OR(ISNA(EU90),ISNA(EU89)),NA(),ABS(EU90-EU89))</f>
        <v/>
      </c>
      <c r="EZ90">
        <f>IF(ISNA(ET90),NA(),Capability!$N$10)</f>
        <v/>
      </c>
      <c r="FA90">
        <f>IF(ISNA(ET90),NA(),IF(OR(Capability!$Q$10="",Settings!$F$7&lt;&gt;"Y"),NA(),Capability!$Q$10))</f>
        <v/>
      </c>
      <c r="FB90">
        <f>IF(ISNA(ET90),NA(),IF(OR(Capability!$P$10="",Settings!$F$7&lt;&gt;"Y"),NA(),Capability!$P$10))</f>
        <v/>
      </c>
      <c r="FH90">
        <f>IF((FK$1+86)&gt;FI$1,NA(),(FK$1+86)-4)</f>
        <v/>
      </c>
      <c r="FI90">
        <f>IF((FK$1+86)&gt;FI$1,NA(),INDEX('Data Entry'!$N$5:$N$10004,(FK$1+86)-4))</f>
        <v/>
      </c>
      <c r="FJ90">
        <f>IF(ISNA(FH90),NA(),Capability!$K$11)</f>
        <v/>
      </c>
      <c r="FK90">
        <f>IF(ISNA(FH90),NA(),Capability!$J$11)</f>
        <v/>
      </c>
      <c r="FL90">
        <f>IF(ISNA(FH90),NA(),Capability!$L$11)</f>
        <v/>
      </c>
      <c r="FM90">
        <f>IF(OR(ISNA(FI90),ISNA(FI89)),NA(),ABS(FI90-FI89))</f>
        <v/>
      </c>
      <c r="FN90">
        <f>IF(ISNA(FH90),NA(),Capability!$N$11)</f>
        <v/>
      </c>
      <c r="FO90">
        <f>IF(ISNA(FH90),NA(),IF(OR(Capability!$Q$11="",Settings!$F$7&lt;&gt;"Y"),NA(),Capability!$Q$11))</f>
        <v/>
      </c>
      <c r="FP90">
        <f>IF(ISNA(FH90),NA(),IF(OR(Capability!$P$11="",Settings!$F$7&lt;&gt;"Y"),NA(),Capability!$P$11))</f>
        <v/>
      </c>
      <c r="FV90">
        <f>IF((FY$1+86)&gt;FW$1,NA(),(FY$1+86)-4)</f>
        <v/>
      </c>
      <c r="FW90">
        <f>IF((FY$1+86)&gt;FW$1,NA(),INDEX('Data Entry'!$O$5:$O$10004,(FY$1+86)-4))</f>
        <v/>
      </c>
      <c r="FX90">
        <f>IF(ISNA(FV90),NA(),Capability!$K$12)</f>
        <v/>
      </c>
      <c r="FY90">
        <f>IF(ISNA(FV90),NA(),Capability!$J$12)</f>
        <v/>
      </c>
      <c r="FZ90">
        <f>IF(ISNA(FV90),NA(),Capability!$L$12)</f>
        <v/>
      </c>
      <c r="GA90">
        <f>IF(OR(ISNA(FW90),ISNA(FW89)),NA(),ABS(FW90-FW89))</f>
        <v/>
      </c>
      <c r="GB90">
        <f>IF(ISNA(FV90),NA(),Capability!$N$12)</f>
        <v/>
      </c>
      <c r="GC90">
        <f>IF(ISNA(FV90),NA(),IF(OR(Capability!$Q$12="",Settings!$F$7&lt;&gt;"Y"),NA(),Capability!$Q$12))</f>
        <v/>
      </c>
      <c r="GD90">
        <f>IF(ISNA(FV90),NA(),IF(OR(Capability!$P$12="",Settings!$F$7&lt;&gt;"Y"),NA(),Capability!$P$12))</f>
        <v/>
      </c>
      <c r="GJ90">
        <f>IF((GM$1+86)&gt;GK$1,NA(),(GM$1+86)-4)</f>
        <v/>
      </c>
      <c r="GK90">
        <f>IF((GM$1+86)&gt;GK$1,NA(),INDEX('Data Entry'!$P$5:$P$10004,(GM$1+86)-4))</f>
        <v/>
      </c>
      <c r="GL90">
        <f>IF(ISNA(GJ90),NA(),Capability!$K$13)</f>
        <v/>
      </c>
      <c r="GM90">
        <f>IF(ISNA(GJ90),NA(),Capability!$J$13)</f>
        <v/>
      </c>
      <c r="GN90">
        <f>IF(ISNA(GJ90),NA(),Capability!$L$13)</f>
        <v/>
      </c>
      <c r="GO90">
        <f>IF(OR(ISNA(GK90),ISNA(GK89)),NA(),ABS(GK90-GK89))</f>
        <v/>
      </c>
      <c r="GP90">
        <f>IF(ISNA(GJ90),NA(),Capability!$N$13)</f>
        <v/>
      </c>
      <c r="GQ90">
        <f>IF(ISNA(GJ90),NA(),IF(OR(Capability!$Q$13="",Settings!$F$7&lt;&gt;"Y"),NA(),Capability!$Q$13))</f>
        <v/>
      </c>
      <c r="GR90">
        <f>IF(ISNA(GJ90),NA(),IF(OR(Capability!$P$13="",Settings!$F$7&lt;&gt;"Y"),NA(),Capability!$P$13))</f>
        <v/>
      </c>
      <c r="GX90">
        <f>IF((HA$1+86)&gt;GY$1,NA(),(HA$1+86)-4)</f>
        <v/>
      </c>
      <c r="GY90">
        <f>IF((HA$1+86)&gt;GY$1,NA(),INDEX('Data Entry'!$Q$5:$Q$10004,(HA$1+86)-4))</f>
        <v/>
      </c>
      <c r="GZ90">
        <f>IF(ISNA(GX90),NA(),Capability!$K$14)</f>
        <v/>
      </c>
      <c r="HA90">
        <f>IF(ISNA(GX90),NA(),Capability!$J$14)</f>
        <v/>
      </c>
      <c r="HB90">
        <f>IF(ISNA(GX90),NA(),Capability!$L$14)</f>
        <v/>
      </c>
      <c r="HC90">
        <f>IF(OR(ISNA(GY90),ISNA(GY89)),NA(),ABS(GY90-GY89))</f>
        <v/>
      </c>
      <c r="HD90">
        <f>IF(ISNA(GX90),NA(),Capability!$N$14)</f>
        <v/>
      </c>
      <c r="HE90">
        <f>IF(ISNA(GX90),NA(),IF(OR(Capability!$Q$14="",Settings!$F$7&lt;&gt;"Y"),NA(),Capability!$Q$14))</f>
        <v/>
      </c>
      <c r="HF90">
        <f>IF(ISNA(GX90),NA(),IF(OR(Capability!$P$14="",Settings!$F$7&lt;&gt;"Y"),NA(),Capability!$P$14))</f>
        <v/>
      </c>
    </row>
    <row r="91">
      <c r="A91" s="35" t="inlineStr">
        <is>
          <t>Range</t>
        </is>
      </c>
      <c r="B91" s="23">
        <f>Capability!G7</f>
        <v/>
      </c>
      <c r="CB91">
        <f>IF((CE$1+87)&gt;CC$1,NA(),(CE$1+87)-4)</f>
        <v/>
      </c>
      <c r="CC91">
        <f>IF((CE$1+87)&gt;CC$1,NA(),INDEX('Data Entry'!$H$5:$H$10004,(CE$1+87)-4))</f>
        <v/>
      </c>
      <c r="CD91">
        <f>IF(ISNA(CB91),NA(),Capability!$K$5)</f>
        <v/>
      </c>
      <c r="CE91">
        <f>IF(ISNA(CB91),NA(),Capability!$J$5)</f>
        <v/>
      </c>
      <c r="CF91">
        <f>IF(ISNA(CB91),NA(),Capability!$L$5)</f>
        <v/>
      </c>
      <c r="CG91">
        <f>IF(OR(ISNA(CC91),ISNA(CC90)),NA(),ABS(CC91-CC90))</f>
        <v/>
      </c>
      <c r="CH91">
        <f>IF(ISNA(CB91),NA(),Capability!$N$5)</f>
        <v/>
      </c>
      <c r="CI91">
        <f>IF(ISNA(CB91),NA(),IF(OR(Capability!$Q$5="",Settings!$F$7&lt;&gt;"Y"),NA(),Capability!$Q$5))</f>
        <v/>
      </c>
      <c r="CJ91">
        <f>IF(ISNA(CB91),NA(),IF(OR(Capability!$P$5="",Settings!$F$7&lt;&gt;"Y"),NA(),Capability!$P$5))</f>
        <v/>
      </c>
      <c r="CP91">
        <f>IF((CS$1+87)&gt;CQ$1,NA(),(CS$1+87)-4)</f>
        <v/>
      </c>
      <c r="CQ91">
        <f>IF((CS$1+87)&gt;CQ$1,NA(),INDEX('Data Entry'!$I$5:$I$10004,(CS$1+87)-4))</f>
        <v/>
      </c>
      <c r="CR91">
        <f>IF(ISNA(CP91),NA(),Capability!$K$6)</f>
        <v/>
      </c>
      <c r="CS91">
        <f>IF(ISNA(CP91),NA(),Capability!$J$6)</f>
        <v/>
      </c>
      <c r="CT91">
        <f>IF(ISNA(CP91),NA(),Capability!$L$6)</f>
        <v/>
      </c>
      <c r="CU91">
        <f>IF(OR(ISNA(CQ91),ISNA(CQ90)),NA(),ABS(CQ91-CQ90))</f>
        <v/>
      </c>
      <c r="CV91">
        <f>IF(ISNA(CP91),NA(),Capability!$N$6)</f>
        <v/>
      </c>
      <c r="CW91">
        <f>IF(ISNA(CP91),NA(),IF(OR(Capability!$Q$6="",Settings!$F$7&lt;&gt;"Y"),NA(),Capability!$Q$6))</f>
        <v/>
      </c>
      <c r="CX91">
        <f>IF(ISNA(CP91),NA(),IF(OR(Capability!$P$6="",Settings!$F$7&lt;&gt;"Y"),NA(),Capability!$P$6))</f>
        <v/>
      </c>
      <c r="DD91">
        <f>IF((DG$1+87)&gt;DE$1,NA(),(DG$1+87)-4)</f>
        <v/>
      </c>
      <c r="DE91">
        <f>IF((DG$1+87)&gt;DE$1,NA(),INDEX('Data Entry'!$J$5:$J$10004,(DG$1+87)-4))</f>
        <v/>
      </c>
      <c r="DF91">
        <f>IF(ISNA(DD91),NA(),Capability!$K$7)</f>
        <v/>
      </c>
      <c r="DG91">
        <f>IF(ISNA(DD91),NA(),Capability!$J$7)</f>
        <v/>
      </c>
      <c r="DH91">
        <f>IF(ISNA(DD91),NA(),Capability!$L$7)</f>
        <v/>
      </c>
      <c r="DI91">
        <f>IF(OR(ISNA(DE91),ISNA(DE90)),NA(),ABS(DE91-DE90))</f>
        <v/>
      </c>
      <c r="DJ91">
        <f>IF(ISNA(DD91),NA(),Capability!$N$7)</f>
        <v/>
      </c>
      <c r="DK91">
        <f>IF(ISNA(DD91),NA(),IF(OR(Capability!$Q$7="",Settings!$F$7&lt;&gt;"Y"),NA(),Capability!$Q$7))</f>
        <v/>
      </c>
      <c r="DL91">
        <f>IF(ISNA(DD91),NA(),IF(OR(Capability!$P$7="",Settings!$F$7&lt;&gt;"Y"),NA(),Capability!$P$7))</f>
        <v/>
      </c>
      <c r="DR91">
        <f>IF((DU$1+87)&gt;DS$1,NA(),(DU$1+87)-4)</f>
        <v/>
      </c>
      <c r="DS91">
        <f>IF((DU$1+87)&gt;DS$1,NA(),INDEX('Data Entry'!$K$5:$K$10004,(DU$1+87)-4))</f>
        <v/>
      </c>
      <c r="DT91">
        <f>IF(ISNA(DR91),NA(),Capability!$K$8)</f>
        <v/>
      </c>
      <c r="DU91">
        <f>IF(ISNA(DR91),NA(),Capability!$J$8)</f>
        <v/>
      </c>
      <c r="DV91">
        <f>IF(ISNA(DR91),NA(),Capability!$L$8)</f>
        <v/>
      </c>
      <c r="DW91">
        <f>IF(OR(ISNA(DS91),ISNA(DS90)),NA(),ABS(DS91-DS90))</f>
        <v/>
      </c>
      <c r="DX91">
        <f>IF(ISNA(DR91),NA(),Capability!$N$8)</f>
        <v/>
      </c>
      <c r="DY91">
        <f>IF(ISNA(DR91),NA(),IF(OR(Capability!$Q$8="",Settings!$F$7&lt;&gt;"Y"),NA(),Capability!$Q$8))</f>
        <v/>
      </c>
      <c r="DZ91">
        <f>IF(ISNA(DR91),NA(),IF(OR(Capability!$P$8="",Settings!$F$7&lt;&gt;"Y"),NA(),Capability!$P$8))</f>
        <v/>
      </c>
      <c r="EF91">
        <f>IF((EI$1+87)&gt;EG$1,NA(),(EI$1+87)-4)</f>
        <v/>
      </c>
      <c r="EG91">
        <f>IF((EI$1+87)&gt;EG$1,NA(),INDEX('Data Entry'!$L$5:$L$10004,(EI$1+87)-4))</f>
        <v/>
      </c>
      <c r="EH91">
        <f>IF(ISNA(EF91),NA(),Capability!$K$9)</f>
        <v/>
      </c>
      <c r="EI91">
        <f>IF(ISNA(EF91),NA(),Capability!$J$9)</f>
        <v/>
      </c>
      <c r="EJ91">
        <f>IF(ISNA(EF91),NA(),Capability!$L$9)</f>
        <v/>
      </c>
      <c r="EK91">
        <f>IF(OR(ISNA(EG91),ISNA(EG90)),NA(),ABS(EG91-EG90))</f>
        <v/>
      </c>
      <c r="EL91">
        <f>IF(ISNA(EF91),NA(),Capability!$N$9)</f>
        <v/>
      </c>
      <c r="EM91">
        <f>IF(ISNA(EF91),NA(),IF(OR(Capability!$Q$9="",Settings!$F$7&lt;&gt;"Y"),NA(),Capability!$Q$9))</f>
        <v/>
      </c>
      <c r="EN91">
        <f>IF(ISNA(EF91),NA(),IF(OR(Capability!$P$9="",Settings!$F$7&lt;&gt;"Y"),NA(),Capability!$P$9))</f>
        <v/>
      </c>
      <c r="ET91">
        <f>IF((EW$1+87)&gt;EU$1,NA(),(EW$1+87)-4)</f>
        <v/>
      </c>
      <c r="EU91">
        <f>IF((EW$1+87)&gt;EU$1,NA(),INDEX('Data Entry'!$M$5:$M$10004,(EW$1+87)-4))</f>
        <v/>
      </c>
      <c r="EV91">
        <f>IF(ISNA(ET91),NA(),Capability!$K$10)</f>
        <v/>
      </c>
      <c r="EW91">
        <f>IF(ISNA(ET91),NA(),Capability!$J$10)</f>
        <v/>
      </c>
      <c r="EX91">
        <f>IF(ISNA(ET91),NA(),Capability!$L$10)</f>
        <v/>
      </c>
      <c r="EY91">
        <f>IF(OR(ISNA(EU91),ISNA(EU90)),NA(),ABS(EU91-EU90))</f>
        <v/>
      </c>
      <c r="EZ91">
        <f>IF(ISNA(ET91),NA(),Capability!$N$10)</f>
        <v/>
      </c>
      <c r="FA91">
        <f>IF(ISNA(ET91),NA(),IF(OR(Capability!$Q$10="",Settings!$F$7&lt;&gt;"Y"),NA(),Capability!$Q$10))</f>
        <v/>
      </c>
      <c r="FB91">
        <f>IF(ISNA(ET91),NA(),IF(OR(Capability!$P$10="",Settings!$F$7&lt;&gt;"Y"),NA(),Capability!$P$10))</f>
        <v/>
      </c>
      <c r="FH91">
        <f>IF((FK$1+87)&gt;FI$1,NA(),(FK$1+87)-4)</f>
        <v/>
      </c>
      <c r="FI91">
        <f>IF((FK$1+87)&gt;FI$1,NA(),INDEX('Data Entry'!$N$5:$N$10004,(FK$1+87)-4))</f>
        <v/>
      </c>
      <c r="FJ91">
        <f>IF(ISNA(FH91),NA(),Capability!$K$11)</f>
        <v/>
      </c>
      <c r="FK91">
        <f>IF(ISNA(FH91),NA(),Capability!$J$11)</f>
        <v/>
      </c>
      <c r="FL91">
        <f>IF(ISNA(FH91),NA(),Capability!$L$11)</f>
        <v/>
      </c>
      <c r="FM91">
        <f>IF(OR(ISNA(FI91),ISNA(FI90)),NA(),ABS(FI91-FI90))</f>
        <v/>
      </c>
      <c r="FN91">
        <f>IF(ISNA(FH91),NA(),Capability!$N$11)</f>
        <v/>
      </c>
      <c r="FO91">
        <f>IF(ISNA(FH91),NA(),IF(OR(Capability!$Q$11="",Settings!$F$7&lt;&gt;"Y"),NA(),Capability!$Q$11))</f>
        <v/>
      </c>
      <c r="FP91">
        <f>IF(ISNA(FH91),NA(),IF(OR(Capability!$P$11="",Settings!$F$7&lt;&gt;"Y"),NA(),Capability!$P$11))</f>
        <v/>
      </c>
      <c r="FV91">
        <f>IF((FY$1+87)&gt;FW$1,NA(),(FY$1+87)-4)</f>
        <v/>
      </c>
      <c r="FW91">
        <f>IF((FY$1+87)&gt;FW$1,NA(),INDEX('Data Entry'!$O$5:$O$10004,(FY$1+87)-4))</f>
        <v/>
      </c>
      <c r="FX91">
        <f>IF(ISNA(FV91),NA(),Capability!$K$12)</f>
        <v/>
      </c>
      <c r="FY91">
        <f>IF(ISNA(FV91),NA(),Capability!$J$12)</f>
        <v/>
      </c>
      <c r="FZ91">
        <f>IF(ISNA(FV91),NA(),Capability!$L$12)</f>
        <v/>
      </c>
      <c r="GA91">
        <f>IF(OR(ISNA(FW91),ISNA(FW90)),NA(),ABS(FW91-FW90))</f>
        <v/>
      </c>
      <c r="GB91">
        <f>IF(ISNA(FV91),NA(),Capability!$N$12)</f>
        <v/>
      </c>
      <c r="GC91">
        <f>IF(ISNA(FV91),NA(),IF(OR(Capability!$Q$12="",Settings!$F$7&lt;&gt;"Y"),NA(),Capability!$Q$12))</f>
        <v/>
      </c>
      <c r="GD91">
        <f>IF(ISNA(FV91),NA(),IF(OR(Capability!$P$12="",Settings!$F$7&lt;&gt;"Y"),NA(),Capability!$P$12))</f>
        <v/>
      </c>
      <c r="GJ91">
        <f>IF((GM$1+87)&gt;GK$1,NA(),(GM$1+87)-4)</f>
        <v/>
      </c>
      <c r="GK91">
        <f>IF((GM$1+87)&gt;GK$1,NA(),INDEX('Data Entry'!$P$5:$P$10004,(GM$1+87)-4))</f>
        <v/>
      </c>
      <c r="GL91">
        <f>IF(ISNA(GJ91),NA(),Capability!$K$13)</f>
        <v/>
      </c>
      <c r="GM91">
        <f>IF(ISNA(GJ91),NA(),Capability!$J$13)</f>
        <v/>
      </c>
      <c r="GN91">
        <f>IF(ISNA(GJ91),NA(),Capability!$L$13)</f>
        <v/>
      </c>
      <c r="GO91">
        <f>IF(OR(ISNA(GK91),ISNA(GK90)),NA(),ABS(GK91-GK90))</f>
        <v/>
      </c>
      <c r="GP91">
        <f>IF(ISNA(GJ91),NA(),Capability!$N$13)</f>
        <v/>
      </c>
      <c r="GQ91">
        <f>IF(ISNA(GJ91),NA(),IF(OR(Capability!$Q$13="",Settings!$F$7&lt;&gt;"Y"),NA(),Capability!$Q$13))</f>
        <v/>
      </c>
      <c r="GR91">
        <f>IF(ISNA(GJ91),NA(),IF(OR(Capability!$P$13="",Settings!$F$7&lt;&gt;"Y"),NA(),Capability!$P$13))</f>
        <v/>
      </c>
      <c r="GX91">
        <f>IF((HA$1+87)&gt;GY$1,NA(),(HA$1+87)-4)</f>
        <v/>
      </c>
      <c r="GY91">
        <f>IF((HA$1+87)&gt;GY$1,NA(),INDEX('Data Entry'!$Q$5:$Q$10004,(HA$1+87)-4))</f>
        <v/>
      </c>
      <c r="GZ91">
        <f>IF(ISNA(GX91),NA(),Capability!$K$14)</f>
        <v/>
      </c>
      <c r="HA91">
        <f>IF(ISNA(GX91),NA(),Capability!$J$14)</f>
        <v/>
      </c>
      <c r="HB91">
        <f>IF(ISNA(GX91),NA(),Capability!$L$14)</f>
        <v/>
      </c>
      <c r="HC91">
        <f>IF(OR(ISNA(GY91),ISNA(GY90)),NA(),ABS(GY91-GY90))</f>
        <v/>
      </c>
      <c r="HD91">
        <f>IF(ISNA(GX91),NA(),Capability!$N$14)</f>
        <v/>
      </c>
      <c r="HE91">
        <f>IF(ISNA(GX91),NA(),IF(OR(Capability!$Q$14="",Settings!$F$7&lt;&gt;"Y"),NA(),Capability!$Q$14))</f>
        <v/>
      </c>
      <c r="HF91">
        <f>IF(ISNA(GX91),NA(),IF(OR(Capability!$P$14="",Settings!$F$7&lt;&gt;"Y"),NA(),Capability!$P$14))</f>
        <v/>
      </c>
    </row>
    <row r="92">
      <c r="A92" s="35" t="inlineStr">
        <is>
          <t>Mean</t>
        </is>
      </c>
      <c r="B92" s="23">
        <f>Capability!C7</f>
        <v/>
      </c>
      <c r="CB92">
        <f>IF((CE$1+88)&gt;CC$1,NA(),(CE$1+88)-4)</f>
        <v/>
      </c>
      <c r="CC92">
        <f>IF((CE$1+88)&gt;CC$1,NA(),INDEX('Data Entry'!$H$5:$H$10004,(CE$1+88)-4))</f>
        <v/>
      </c>
      <c r="CD92">
        <f>IF(ISNA(CB92),NA(),Capability!$K$5)</f>
        <v/>
      </c>
      <c r="CE92">
        <f>IF(ISNA(CB92),NA(),Capability!$J$5)</f>
        <v/>
      </c>
      <c r="CF92">
        <f>IF(ISNA(CB92),NA(),Capability!$L$5)</f>
        <v/>
      </c>
      <c r="CG92">
        <f>IF(OR(ISNA(CC92),ISNA(CC91)),NA(),ABS(CC92-CC91))</f>
        <v/>
      </c>
      <c r="CH92">
        <f>IF(ISNA(CB92),NA(),Capability!$N$5)</f>
        <v/>
      </c>
      <c r="CI92">
        <f>IF(ISNA(CB92),NA(),IF(OR(Capability!$Q$5="",Settings!$F$7&lt;&gt;"Y"),NA(),Capability!$Q$5))</f>
        <v/>
      </c>
      <c r="CJ92">
        <f>IF(ISNA(CB92),NA(),IF(OR(Capability!$P$5="",Settings!$F$7&lt;&gt;"Y"),NA(),Capability!$P$5))</f>
        <v/>
      </c>
      <c r="CP92">
        <f>IF((CS$1+88)&gt;CQ$1,NA(),(CS$1+88)-4)</f>
        <v/>
      </c>
      <c r="CQ92">
        <f>IF((CS$1+88)&gt;CQ$1,NA(),INDEX('Data Entry'!$I$5:$I$10004,(CS$1+88)-4))</f>
        <v/>
      </c>
      <c r="CR92">
        <f>IF(ISNA(CP92),NA(),Capability!$K$6)</f>
        <v/>
      </c>
      <c r="CS92">
        <f>IF(ISNA(CP92),NA(),Capability!$J$6)</f>
        <v/>
      </c>
      <c r="CT92">
        <f>IF(ISNA(CP92),NA(),Capability!$L$6)</f>
        <v/>
      </c>
      <c r="CU92">
        <f>IF(OR(ISNA(CQ92),ISNA(CQ91)),NA(),ABS(CQ92-CQ91))</f>
        <v/>
      </c>
      <c r="CV92">
        <f>IF(ISNA(CP92),NA(),Capability!$N$6)</f>
        <v/>
      </c>
      <c r="CW92">
        <f>IF(ISNA(CP92),NA(),IF(OR(Capability!$Q$6="",Settings!$F$7&lt;&gt;"Y"),NA(),Capability!$Q$6))</f>
        <v/>
      </c>
      <c r="CX92">
        <f>IF(ISNA(CP92),NA(),IF(OR(Capability!$P$6="",Settings!$F$7&lt;&gt;"Y"),NA(),Capability!$P$6))</f>
        <v/>
      </c>
      <c r="DD92">
        <f>IF((DG$1+88)&gt;DE$1,NA(),(DG$1+88)-4)</f>
        <v/>
      </c>
      <c r="DE92">
        <f>IF((DG$1+88)&gt;DE$1,NA(),INDEX('Data Entry'!$J$5:$J$10004,(DG$1+88)-4))</f>
        <v/>
      </c>
      <c r="DF92">
        <f>IF(ISNA(DD92),NA(),Capability!$K$7)</f>
        <v/>
      </c>
      <c r="DG92">
        <f>IF(ISNA(DD92),NA(),Capability!$J$7)</f>
        <v/>
      </c>
      <c r="DH92">
        <f>IF(ISNA(DD92),NA(),Capability!$L$7)</f>
        <v/>
      </c>
      <c r="DI92">
        <f>IF(OR(ISNA(DE92),ISNA(DE91)),NA(),ABS(DE92-DE91))</f>
        <v/>
      </c>
      <c r="DJ92">
        <f>IF(ISNA(DD92),NA(),Capability!$N$7)</f>
        <v/>
      </c>
      <c r="DK92">
        <f>IF(ISNA(DD92),NA(),IF(OR(Capability!$Q$7="",Settings!$F$7&lt;&gt;"Y"),NA(),Capability!$Q$7))</f>
        <v/>
      </c>
      <c r="DL92">
        <f>IF(ISNA(DD92),NA(),IF(OR(Capability!$P$7="",Settings!$F$7&lt;&gt;"Y"),NA(),Capability!$P$7))</f>
        <v/>
      </c>
      <c r="DR92">
        <f>IF((DU$1+88)&gt;DS$1,NA(),(DU$1+88)-4)</f>
        <v/>
      </c>
      <c r="DS92">
        <f>IF((DU$1+88)&gt;DS$1,NA(),INDEX('Data Entry'!$K$5:$K$10004,(DU$1+88)-4))</f>
        <v/>
      </c>
      <c r="DT92">
        <f>IF(ISNA(DR92),NA(),Capability!$K$8)</f>
        <v/>
      </c>
      <c r="DU92">
        <f>IF(ISNA(DR92),NA(),Capability!$J$8)</f>
        <v/>
      </c>
      <c r="DV92">
        <f>IF(ISNA(DR92),NA(),Capability!$L$8)</f>
        <v/>
      </c>
      <c r="DW92">
        <f>IF(OR(ISNA(DS92),ISNA(DS91)),NA(),ABS(DS92-DS91))</f>
        <v/>
      </c>
      <c r="DX92">
        <f>IF(ISNA(DR92),NA(),Capability!$N$8)</f>
        <v/>
      </c>
      <c r="DY92">
        <f>IF(ISNA(DR92),NA(),IF(OR(Capability!$Q$8="",Settings!$F$7&lt;&gt;"Y"),NA(),Capability!$Q$8))</f>
        <v/>
      </c>
      <c r="DZ92">
        <f>IF(ISNA(DR92),NA(),IF(OR(Capability!$P$8="",Settings!$F$7&lt;&gt;"Y"),NA(),Capability!$P$8))</f>
        <v/>
      </c>
      <c r="EF92">
        <f>IF((EI$1+88)&gt;EG$1,NA(),(EI$1+88)-4)</f>
        <v/>
      </c>
      <c r="EG92">
        <f>IF((EI$1+88)&gt;EG$1,NA(),INDEX('Data Entry'!$L$5:$L$10004,(EI$1+88)-4))</f>
        <v/>
      </c>
      <c r="EH92">
        <f>IF(ISNA(EF92),NA(),Capability!$K$9)</f>
        <v/>
      </c>
      <c r="EI92">
        <f>IF(ISNA(EF92),NA(),Capability!$J$9)</f>
        <v/>
      </c>
      <c r="EJ92">
        <f>IF(ISNA(EF92),NA(),Capability!$L$9)</f>
        <v/>
      </c>
      <c r="EK92">
        <f>IF(OR(ISNA(EG92),ISNA(EG91)),NA(),ABS(EG92-EG91))</f>
        <v/>
      </c>
      <c r="EL92">
        <f>IF(ISNA(EF92),NA(),Capability!$N$9)</f>
        <v/>
      </c>
      <c r="EM92">
        <f>IF(ISNA(EF92),NA(),IF(OR(Capability!$Q$9="",Settings!$F$7&lt;&gt;"Y"),NA(),Capability!$Q$9))</f>
        <v/>
      </c>
      <c r="EN92">
        <f>IF(ISNA(EF92),NA(),IF(OR(Capability!$P$9="",Settings!$F$7&lt;&gt;"Y"),NA(),Capability!$P$9))</f>
        <v/>
      </c>
      <c r="ET92">
        <f>IF((EW$1+88)&gt;EU$1,NA(),(EW$1+88)-4)</f>
        <v/>
      </c>
      <c r="EU92">
        <f>IF((EW$1+88)&gt;EU$1,NA(),INDEX('Data Entry'!$M$5:$M$10004,(EW$1+88)-4))</f>
        <v/>
      </c>
      <c r="EV92">
        <f>IF(ISNA(ET92),NA(),Capability!$K$10)</f>
        <v/>
      </c>
      <c r="EW92">
        <f>IF(ISNA(ET92),NA(),Capability!$J$10)</f>
        <v/>
      </c>
      <c r="EX92">
        <f>IF(ISNA(ET92),NA(),Capability!$L$10)</f>
        <v/>
      </c>
      <c r="EY92">
        <f>IF(OR(ISNA(EU92),ISNA(EU91)),NA(),ABS(EU92-EU91))</f>
        <v/>
      </c>
      <c r="EZ92">
        <f>IF(ISNA(ET92),NA(),Capability!$N$10)</f>
        <v/>
      </c>
      <c r="FA92">
        <f>IF(ISNA(ET92),NA(),IF(OR(Capability!$Q$10="",Settings!$F$7&lt;&gt;"Y"),NA(),Capability!$Q$10))</f>
        <v/>
      </c>
      <c r="FB92">
        <f>IF(ISNA(ET92),NA(),IF(OR(Capability!$P$10="",Settings!$F$7&lt;&gt;"Y"),NA(),Capability!$P$10))</f>
        <v/>
      </c>
      <c r="FH92">
        <f>IF((FK$1+88)&gt;FI$1,NA(),(FK$1+88)-4)</f>
        <v/>
      </c>
      <c r="FI92">
        <f>IF((FK$1+88)&gt;FI$1,NA(),INDEX('Data Entry'!$N$5:$N$10004,(FK$1+88)-4))</f>
        <v/>
      </c>
      <c r="FJ92">
        <f>IF(ISNA(FH92),NA(),Capability!$K$11)</f>
        <v/>
      </c>
      <c r="FK92">
        <f>IF(ISNA(FH92),NA(),Capability!$J$11)</f>
        <v/>
      </c>
      <c r="FL92">
        <f>IF(ISNA(FH92),NA(),Capability!$L$11)</f>
        <v/>
      </c>
      <c r="FM92">
        <f>IF(OR(ISNA(FI92),ISNA(FI91)),NA(),ABS(FI92-FI91))</f>
        <v/>
      </c>
      <c r="FN92">
        <f>IF(ISNA(FH92),NA(),Capability!$N$11)</f>
        <v/>
      </c>
      <c r="FO92">
        <f>IF(ISNA(FH92),NA(),IF(OR(Capability!$Q$11="",Settings!$F$7&lt;&gt;"Y"),NA(),Capability!$Q$11))</f>
        <v/>
      </c>
      <c r="FP92">
        <f>IF(ISNA(FH92),NA(),IF(OR(Capability!$P$11="",Settings!$F$7&lt;&gt;"Y"),NA(),Capability!$P$11))</f>
        <v/>
      </c>
      <c r="FV92">
        <f>IF((FY$1+88)&gt;FW$1,NA(),(FY$1+88)-4)</f>
        <v/>
      </c>
      <c r="FW92">
        <f>IF((FY$1+88)&gt;FW$1,NA(),INDEX('Data Entry'!$O$5:$O$10004,(FY$1+88)-4))</f>
        <v/>
      </c>
      <c r="FX92">
        <f>IF(ISNA(FV92),NA(),Capability!$K$12)</f>
        <v/>
      </c>
      <c r="FY92">
        <f>IF(ISNA(FV92),NA(),Capability!$J$12)</f>
        <v/>
      </c>
      <c r="FZ92">
        <f>IF(ISNA(FV92),NA(),Capability!$L$12)</f>
        <v/>
      </c>
      <c r="GA92">
        <f>IF(OR(ISNA(FW92),ISNA(FW91)),NA(),ABS(FW92-FW91))</f>
        <v/>
      </c>
      <c r="GB92">
        <f>IF(ISNA(FV92),NA(),Capability!$N$12)</f>
        <v/>
      </c>
      <c r="GC92">
        <f>IF(ISNA(FV92),NA(),IF(OR(Capability!$Q$12="",Settings!$F$7&lt;&gt;"Y"),NA(),Capability!$Q$12))</f>
        <v/>
      </c>
      <c r="GD92">
        <f>IF(ISNA(FV92),NA(),IF(OR(Capability!$P$12="",Settings!$F$7&lt;&gt;"Y"),NA(),Capability!$P$12))</f>
        <v/>
      </c>
      <c r="GJ92">
        <f>IF((GM$1+88)&gt;GK$1,NA(),(GM$1+88)-4)</f>
        <v/>
      </c>
      <c r="GK92">
        <f>IF((GM$1+88)&gt;GK$1,NA(),INDEX('Data Entry'!$P$5:$P$10004,(GM$1+88)-4))</f>
        <v/>
      </c>
      <c r="GL92">
        <f>IF(ISNA(GJ92),NA(),Capability!$K$13)</f>
        <v/>
      </c>
      <c r="GM92">
        <f>IF(ISNA(GJ92),NA(),Capability!$J$13)</f>
        <v/>
      </c>
      <c r="GN92">
        <f>IF(ISNA(GJ92),NA(),Capability!$L$13)</f>
        <v/>
      </c>
      <c r="GO92">
        <f>IF(OR(ISNA(GK92),ISNA(GK91)),NA(),ABS(GK92-GK91))</f>
        <v/>
      </c>
      <c r="GP92">
        <f>IF(ISNA(GJ92),NA(),Capability!$N$13)</f>
        <v/>
      </c>
      <c r="GQ92">
        <f>IF(ISNA(GJ92),NA(),IF(OR(Capability!$Q$13="",Settings!$F$7&lt;&gt;"Y"),NA(),Capability!$Q$13))</f>
        <v/>
      </c>
      <c r="GR92">
        <f>IF(ISNA(GJ92),NA(),IF(OR(Capability!$P$13="",Settings!$F$7&lt;&gt;"Y"),NA(),Capability!$P$13))</f>
        <v/>
      </c>
      <c r="GX92">
        <f>IF((HA$1+88)&gt;GY$1,NA(),(HA$1+88)-4)</f>
        <v/>
      </c>
      <c r="GY92">
        <f>IF((HA$1+88)&gt;GY$1,NA(),INDEX('Data Entry'!$Q$5:$Q$10004,(HA$1+88)-4))</f>
        <v/>
      </c>
      <c r="GZ92">
        <f>IF(ISNA(GX92),NA(),Capability!$K$14)</f>
        <v/>
      </c>
      <c r="HA92">
        <f>IF(ISNA(GX92),NA(),Capability!$J$14)</f>
        <v/>
      </c>
      <c r="HB92">
        <f>IF(ISNA(GX92),NA(),Capability!$L$14)</f>
        <v/>
      </c>
      <c r="HC92">
        <f>IF(OR(ISNA(GY92),ISNA(GY91)),NA(),ABS(GY92-GY91))</f>
        <v/>
      </c>
      <c r="HD92">
        <f>IF(ISNA(GX92),NA(),Capability!$N$14)</f>
        <v/>
      </c>
      <c r="HE92">
        <f>IF(ISNA(GX92),NA(),IF(OR(Capability!$Q$14="",Settings!$F$7&lt;&gt;"Y"),NA(),Capability!$Q$14))</f>
        <v/>
      </c>
      <c r="HF92">
        <f>IF(ISNA(GX92),NA(),IF(OR(Capability!$P$14="",Settings!$F$7&lt;&gt;"Y"),NA(),Capability!$P$14))</f>
        <v/>
      </c>
    </row>
    <row r="93">
      <c r="A93" s="35" t="inlineStr">
        <is>
          <t>Median</t>
        </is>
      </c>
      <c r="B93" s="23">
        <f>Capability!D7</f>
        <v/>
      </c>
      <c r="CB93">
        <f>IF((CE$1+89)&gt;CC$1,NA(),(CE$1+89)-4)</f>
        <v/>
      </c>
      <c r="CC93">
        <f>IF((CE$1+89)&gt;CC$1,NA(),INDEX('Data Entry'!$H$5:$H$10004,(CE$1+89)-4))</f>
        <v/>
      </c>
      <c r="CD93">
        <f>IF(ISNA(CB93),NA(),Capability!$K$5)</f>
        <v/>
      </c>
      <c r="CE93">
        <f>IF(ISNA(CB93),NA(),Capability!$J$5)</f>
        <v/>
      </c>
      <c r="CF93">
        <f>IF(ISNA(CB93),NA(),Capability!$L$5)</f>
        <v/>
      </c>
      <c r="CG93">
        <f>IF(OR(ISNA(CC93),ISNA(CC92)),NA(),ABS(CC93-CC92))</f>
        <v/>
      </c>
      <c r="CH93">
        <f>IF(ISNA(CB93),NA(),Capability!$N$5)</f>
        <v/>
      </c>
      <c r="CI93">
        <f>IF(ISNA(CB93),NA(),IF(OR(Capability!$Q$5="",Settings!$F$7&lt;&gt;"Y"),NA(),Capability!$Q$5))</f>
        <v/>
      </c>
      <c r="CJ93">
        <f>IF(ISNA(CB93),NA(),IF(OR(Capability!$P$5="",Settings!$F$7&lt;&gt;"Y"),NA(),Capability!$P$5))</f>
        <v/>
      </c>
      <c r="CP93">
        <f>IF((CS$1+89)&gt;CQ$1,NA(),(CS$1+89)-4)</f>
        <v/>
      </c>
      <c r="CQ93">
        <f>IF((CS$1+89)&gt;CQ$1,NA(),INDEX('Data Entry'!$I$5:$I$10004,(CS$1+89)-4))</f>
        <v/>
      </c>
      <c r="CR93">
        <f>IF(ISNA(CP93),NA(),Capability!$K$6)</f>
        <v/>
      </c>
      <c r="CS93">
        <f>IF(ISNA(CP93),NA(),Capability!$J$6)</f>
        <v/>
      </c>
      <c r="CT93">
        <f>IF(ISNA(CP93),NA(),Capability!$L$6)</f>
        <v/>
      </c>
      <c r="CU93">
        <f>IF(OR(ISNA(CQ93),ISNA(CQ92)),NA(),ABS(CQ93-CQ92))</f>
        <v/>
      </c>
      <c r="CV93">
        <f>IF(ISNA(CP93),NA(),Capability!$N$6)</f>
        <v/>
      </c>
      <c r="CW93">
        <f>IF(ISNA(CP93),NA(),IF(OR(Capability!$Q$6="",Settings!$F$7&lt;&gt;"Y"),NA(),Capability!$Q$6))</f>
        <v/>
      </c>
      <c r="CX93">
        <f>IF(ISNA(CP93),NA(),IF(OR(Capability!$P$6="",Settings!$F$7&lt;&gt;"Y"),NA(),Capability!$P$6))</f>
        <v/>
      </c>
      <c r="DD93">
        <f>IF((DG$1+89)&gt;DE$1,NA(),(DG$1+89)-4)</f>
        <v/>
      </c>
      <c r="DE93">
        <f>IF((DG$1+89)&gt;DE$1,NA(),INDEX('Data Entry'!$J$5:$J$10004,(DG$1+89)-4))</f>
        <v/>
      </c>
      <c r="DF93">
        <f>IF(ISNA(DD93),NA(),Capability!$K$7)</f>
        <v/>
      </c>
      <c r="DG93">
        <f>IF(ISNA(DD93),NA(),Capability!$J$7)</f>
        <v/>
      </c>
      <c r="DH93">
        <f>IF(ISNA(DD93),NA(),Capability!$L$7)</f>
        <v/>
      </c>
      <c r="DI93">
        <f>IF(OR(ISNA(DE93),ISNA(DE92)),NA(),ABS(DE93-DE92))</f>
        <v/>
      </c>
      <c r="DJ93">
        <f>IF(ISNA(DD93),NA(),Capability!$N$7)</f>
        <v/>
      </c>
      <c r="DK93">
        <f>IF(ISNA(DD93),NA(),IF(OR(Capability!$Q$7="",Settings!$F$7&lt;&gt;"Y"),NA(),Capability!$Q$7))</f>
        <v/>
      </c>
      <c r="DL93">
        <f>IF(ISNA(DD93),NA(),IF(OR(Capability!$P$7="",Settings!$F$7&lt;&gt;"Y"),NA(),Capability!$P$7))</f>
        <v/>
      </c>
      <c r="DR93">
        <f>IF((DU$1+89)&gt;DS$1,NA(),(DU$1+89)-4)</f>
        <v/>
      </c>
      <c r="DS93">
        <f>IF((DU$1+89)&gt;DS$1,NA(),INDEX('Data Entry'!$K$5:$K$10004,(DU$1+89)-4))</f>
        <v/>
      </c>
      <c r="DT93">
        <f>IF(ISNA(DR93),NA(),Capability!$K$8)</f>
        <v/>
      </c>
      <c r="DU93">
        <f>IF(ISNA(DR93),NA(),Capability!$J$8)</f>
        <v/>
      </c>
      <c r="DV93">
        <f>IF(ISNA(DR93),NA(),Capability!$L$8)</f>
        <v/>
      </c>
      <c r="DW93">
        <f>IF(OR(ISNA(DS93),ISNA(DS92)),NA(),ABS(DS93-DS92))</f>
        <v/>
      </c>
      <c r="DX93">
        <f>IF(ISNA(DR93),NA(),Capability!$N$8)</f>
        <v/>
      </c>
      <c r="DY93">
        <f>IF(ISNA(DR93),NA(),IF(OR(Capability!$Q$8="",Settings!$F$7&lt;&gt;"Y"),NA(),Capability!$Q$8))</f>
        <v/>
      </c>
      <c r="DZ93">
        <f>IF(ISNA(DR93),NA(),IF(OR(Capability!$P$8="",Settings!$F$7&lt;&gt;"Y"),NA(),Capability!$P$8))</f>
        <v/>
      </c>
      <c r="EF93">
        <f>IF((EI$1+89)&gt;EG$1,NA(),(EI$1+89)-4)</f>
        <v/>
      </c>
      <c r="EG93">
        <f>IF((EI$1+89)&gt;EG$1,NA(),INDEX('Data Entry'!$L$5:$L$10004,(EI$1+89)-4))</f>
        <v/>
      </c>
      <c r="EH93">
        <f>IF(ISNA(EF93),NA(),Capability!$K$9)</f>
        <v/>
      </c>
      <c r="EI93">
        <f>IF(ISNA(EF93),NA(),Capability!$J$9)</f>
        <v/>
      </c>
      <c r="EJ93">
        <f>IF(ISNA(EF93),NA(),Capability!$L$9)</f>
        <v/>
      </c>
      <c r="EK93">
        <f>IF(OR(ISNA(EG93),ISNA(EG92)),NA(),ABS(EG93-EG92))</f>
        <v/>
      </c>
      <c r="EL93">
        <f>IF(ISNA(EF93),NA(),Capability!$N$9)</f>
        <v/>
      </c>
      <c r="EM93">
        <f>IF(ISNA(EF93),NA(),IF(OR(Capability!$Q$9="",Settings!$F$7&lt;&gt;"Y"),NA(),Capability!$Q$9))</f>
        <v/>
      </c>
      <c r="EN93">
        <f>IF(ISNA(EF93),NA(),IF(OR(Capability!$P$9="",Settings!$F$7&lt;&gt;"Y"),NA(),Capability!$P$9))</f>
        <v/>
      </c>
      <c r="ET93">
        <f>IF((EW$1+89)&gt;EU$1,NA(),(EW$1+89)-4)</f>
        <v/>
      </c>
      <c r="EU93">
        <f>IF((EW$1+89)&gt;EU$1,NA(),INDEX('Data Entry'!$M$5:$M$10004,(EW$1+89)-4))</f>
        <v/>
      </c>
      <c r="EV93">
        <f>IF(ISNA(ET93),NA(),Capability!$K$10)</f>
        <v/>
      </c>
      <c r="EW93">
        <f>IF(ISNA(ET93),NA(),Capability!$J$10)</f>
        <v/>
      </c>
      <c r="EX93">
        <f>IF(ISNA(ET93),NA(),Capability!$L$10)</f>
        <v/>
      </c>
      <c r="EY93">
        <f>IF(OR(ISNA(EU93),ISNA(EU92)),NA(),ABS(EU93-EU92))</f>
        <v/>
      </c>
      <c r="EZ93">
        <f>IF(ISNA(ET93),NA(),Capability!$N$10)</f>
        <v/>
      </c>
      <c r="FA93">
        <f>IF(ISNA(ET93),NA(),IF(OR(Capability!$Q$10="",Settings!$F$7&lt;&gt;"Y"),NA(),Capability!$Q$10))</f>
        <v/>
      </c>
      <c r="FB93">
        <f>IF(ISNA(ET93),NA(),IF(OR(Capability!$P$10="",Settings!$F$7&lt;&gt;"Y"),NA(),Capability!$P$10))</f>
        <v/>
      </c>
      <c r="FH93">
        <f>IF((FK$1+89)&gt;FI$1,NA(),(FK$1+89)-4)</f>
        <v/>
      </c>
      <c r="FI93">
        <f>IF((FK$1+89)&gt;FI$1,NA(),INDEX('Data Entry'!$N$5:$N$10004,(FK$1+89)-4))</f>
        <v/>
      </c>
      <c r="FJ93">
        <f>IF(ISNA(FH93),NA(),Capability!$K$11)</f>
        <v/>
      </c>
      <c r="FK93">
        <f>IF(ISNA(FH93),NA(),Capability!$J$11)</f>
        <v/>
      </c>
      <c r="FL93">
        <f>IF(ISNA(FH93),NA(),Capability!$L$11)</f>
        <v/>
      </c>
      <c r="FM93">
        <f>IF(OR(ISNA(FI93),ISNA(FI92)),NA(),ABS(FI93-FI92))</f>
        <v/>
      </c>
      <c r="FN93">
        <f>IF(ISNA(FH93),NA(),Capability!$N$11)</f>
        <v/>
      </c>
      <c r="FO93">
        <f>IF(ISNA(FH93),NA(),IF(OR(Capability!$Q$11="",Settings!$F$7&lt;&gt;"Y"),NA(),Capability!$Q$11))</f>
        <v/>
      </c>
      <c r="FP93">
        <f>IF(ISNA(FH93),NA(),IF(OR(Capability!$P$11="",Settings!$F$7&lt;&gt;"Y"),NA(),Capability!$P$11))</f>
        <v/>
      </c>
      <c r="FV93">
        <f>IF((FY$1+89)&gt;FW$1,NA(),(FY$1+89)-4)</f>
        <v/>
      </c>
      <c r="FW93">
        <f>IF((FY$1+89)&gt;FW$1,NA(),INDEX('Data Entry'!$O$5:$O$10004,(FY$1+89)-4))</f>
        <v/>
      </c>
      <c r="FX93">
        <f>IF(ISNA(FV93),NA(),Capability!$K$12)</f>
        <v/>
      </c>
      <c r="FY93">
        <f>IF(ISNA(FV93),NA(),Capability!$J$12)</f>
        <v/>
      </c>
      <c r="FZ93">
        <f>IF(ISNA(FV93),NA(),Capability!$L$12)</f>
        <v/>
      </c>
      <c r="GA93">
        <f>IF(OR(ISNA(FW93),ISNA(FW92)),NA(),ABS(FW93-FW92))</f>
        <v/>
      </c>
      <c r="GB93">
        <f>IF(ISNA(FV93),NA(),Capability!$N$12)</f>
        <v/>
      </c>
      <c r="GC93">
        <f>IF(ISNA(FV93),NA(),IF(OR(Capability!$Q$12="",Settings!$F$7&lt;&gt;"Y"),NA(),Capability!$Q$12))</f>
        <v/>
      </c>
      <c r="GD93">
        <f>IF(ISNA(FV93),NA(),IF(OR(Capability!$P$12="",Settings!$F$7&lt;&gt;"Y"),NA(),Capability!$P$12))</f>
        <v/>
      </c>
      <c r="GJ93">
        <f>IF((GM$1+89)&gt;GK$1,NA(),(GM$1+89)-4)</f>
        <v/>
      </c>
      <c r="GK93">
        <f>IF((GM$1+89)&gt;GK$1,NA(),INDEX('Data Entry'!$P$5:$P$10004,(GM$1+89)-4))</f>
        <v/>
      </c>
      <c r="GL93">
        <f>IF(ISNA(GJ93),NA(),Capability!$K$13)</f>
        <v/>
      </c>
      <c r="GM93">
        <f>IF(ISNA(GJ93),NA(),Capability!$J$13)</f>
        <v/>
      </c>
      <c r="GN93">
        <f>IF(ISNA(GJ93),NA(),Capability!$L$13)</f>
        <v/>
      </c>
      <c r="GO93">
        <f>IF(OR(ISNA(GK93),ISNA(GK92)),NA(),ABS(GK93-GK92))</f>
        <v/>
      </c>
      <c r="GP93">
        <f>IF(ISNA(GJ93),NA(),Capability!$N$13)</f>
        <v/>
      </c>
      <c r="GQ93">
        <f>IF(ISNA(GJ93),NA(),IF(OR(Capability!$Q$13="",Settings!$F$7&lt;&gt;"Y"),NA(),Capability!$Q$13))</f>
        <v/>
      </c>
      <c r="GR93">
        <f>IF(ISNA(GJ93),NA(),IF(OR(Capability!$P$13="",Settings!$F$7&lt;&gt;"Y"),NA(),Capability!$P$13))</f>
        <v/>
      </c>
      <c r="GX93">
        <f>IF((HA$1+89)&gt;GY$1,NA(),(HA$1+89)-4)</f>
        <v/>
      </c>
      <c r="GY93">
        <f>IF((HA$1+89)&gt;GY$1,NA(),INDEX('Data Entry'!$Q$5:$Q$10004,(HA$1+89)-4))</f>
        <v/>
      </c>
      <c r="GZ93">
        <f>IF(ISNA(GX93),NA(),Capability!$K$14)</f>
        <v/>
      </c>
      <c r="HA93">
        <f>IF(ISNA(GX93),NA(),Capability!$J$14)</f>
        <v/>
      </c>
      <c r="HB93">
        <f>IF(ISNA(GX93),NA(),Capability!$L$14)</f>
        <v/>
      </c>
      <c r="HC93">
        <f>IF(OR(ISNA(GY93),ISNA(GY92)),NA(),ABS(GY93-GY92))</f>
        <v/>
      </c>
      <c r="HD93">
        <f>IF(ISNA(GX93),NA(),Capability!$N$14)</f>
        <v/>
      </c>
      <c r="HE93">
        <f>IF(ISNA(GX93),NA(),IF(OR(Capability!$Q$14="",Settings!$F$7&lt;&gt;"Y"),NA(),Capability!$Q$14))</f>
        <v/>
      </c>
      <c r="HF93">
        <f>IF(ISNA(GX93),NA(),IF(OR(Capability!$P$14="",Settings!$F$7&lt;&gt;"Y"),NA(),Capability!$P$14))</f>
        <v/>
      </c>
    </row>
    <row r="94">
      <c r="A94" s="35" t="inlineStr">
        <is>
          <t>Std Dev (overall)</t>
        </is>
      </c>
      <c r="B94" s="23">
        <f>Capability!I7</f>
        <v/>
      </c>
      <c r="CB94">
        <f>IF((CE$1+90)&gt;CC$1,NA(),(CE$1+90)-4)</f>
        <v/>
      </c>
      <c r="CC94">
        <f>IF((CE$1+90)&gt;CC$1,NA(),INDEX('Data Entry'!$H$5:$H$10004,(CE$1+90)-4))</f>
        <v/>
      </c>
      <c r="CD94">
        <f>IF(ISNA(CB94),NA(),Capability!$K$5)</f>
        <v/>
      </c>
      <c r="CE94">
        <f>IF(ISNA(CB94),NA(),Capability!$J$5)</f>
        <v/>
      </c>
      <c r="CF94">
        <f>IF(ISNA(CB94),NA(),Capability!$L$5)</f>
        <v/>
      </c>
      <c r="CG94">
        <f>IF(OR(ISNA(CC94),ISNA(CC93)),NA(),ABS(CC94-CC93))</f>
        <v/>
      </c>
      <c r="CH94">
        <f>IF(ISNA(CB94),NA(),Capability!$N$5)</f>
        <v/>
      </c>
      <c r="CI94">
        <f>IF(ISNA(CB94),NA(),IF(OR(Capability!$Q$5="",Settings!$F$7&lt;&gt;"Y"),NA(),Capability!$Q$5))</f>
        <v/>
      </c>
      <c r="CJ94">
        <f>IF(ISNA(CB94),NA(),IF(OR(Capability!$P$5="",Settings!$F$7&lt;&gt;"Y"),NA(),Capability!$P$5))</f>
        <v/>
      </c>
      <c r="CP94">
        <f>IF((CS$1+90)&gt;CQ$1,NA(),(CS$1+90)-4)</f>
        <v/>
      </c>
      <c r="CQ94">
        <f>IF((CS$1+90)&gt;CQ$1,NA(),INDEX('Data Entry'!$I$5:$I$10004,(CS$1+90)-4))</f>
        <v/>
      </c>
      <c r="CR94">
        <f>IF(ISNA(CP94),NA(),Capability!$K$6)</f>
        <v/>
      </c>
      <c r="CS94">
        <f>IF(ISNA(CP94),NA(),Capability!$J$6)</f>
        <v/>
      </c>
      <c r="CT94">
        <f>IF(ISNA(CP94),NA(),Capability!$L$6)</f>
        <v/>
      </c>
      <c r="CU94">
        <f>IF(OR(ISNA(CQ94),ISNA(CQ93)),NA(),ABS(CQ94-CQ93))</f>
        <v/>
      </c>
      <c r="CV94">
        <f>IF(ISNA(CP94),NA(),Capability!$N$6)</f>
        <v/>
      </c>
      <c r="CW94">
        <f>IF(ISNA(CP94),NA(),IF(OR(Capability!$Q$6="",Settings!$F$7&lt;&gt;"Y"),NA(),Capability!$Q$6))</f>
        <v/>
      </c>
      <c r="CX94">
        <f>IF(ISNA(CP94),NA(),IF(OR(Capability!$P$6="",Settings!$F$7&lt;&gt;"Y"),NA(),Capability!$P$6))</f>
        <v/>
      </c>
      <c r="DD94">
        <f>IF((DG$1+90)&gt;DE$1,NA(),(DG$1+90)-4)</f>
        <v/>
      </c>
      <c r="DE94">
        <f>IF((DG$1+90)&gt;DE$1,NA(),INDEX('Data Entry'!$J$5:$J$10004,(DG$1+90)-4))</f>
        <v/>
      </c>
      <c r="DF94">
        <f>IF(ISNA(DD94),NA(),Capability!$K$7)</f>
        <v/>
      </c>
      <c r="DG94">
        <f>IF(ISNA(DD94),NA(),Capability!$J$7)</f>
        <v/>
      </c>
      <c r="DH94">
        <f>IF(ISNA(DD94),NA(),Capability!$L$7)</f>
        <v/>
      </c>
      <c r="DI94">
        <f>IF(OR(ISNA(DE94),ISNA(DE93)),NA(),ABS(DE94-DE93))</f>
        <v/>
      </c>
      <c r="DJ94">
        <f>IF(ISNA(DD94),NA(),Capability!$N$7)</f>
        <v/>
      </c>
      <c r="DK94">
        <f>IF(ISNA(DD94),NA(),IF(OR(Capability!$Q$7="",Settings!$F$7&lt;&gt;"Y"),NA(),Capability!$Q$7))</f>
        <v/>
      </c>
      <c r="DL94">
        <f>IF(ISNA(DD94),NA(),IF(OR(Capability!$P$7="",Settings!$F$7&lt;&gt;"Y"),NA(),Capability!$P$7))</f>
        <v/>
      </c>
      <c r="DR94">
        <f>IF((DU$1+90)&gt;DS$1,NA(),(DU$1+90)-4)</f>
        <v/>
      </c>
      <c r="DS94">
        <f>IF((DU$1+90)&gt;DS$1,NA(),INDEX('Data Entry'!$K$5:$K$10004,(DU$1+90)-4))</f>
        <v/>
      </c>
      <c r="DT94">
        <f>IF(ISNA(DR94),NA(),Capability!$K$8)</f>
        <v/>
      </c>
      <c r="DU94">
        <f>IF(ISNA(DR94),NA(),Capability!$J$8)</f>
        <v/>
      </c>
      <c r="DV94">
        <f>IF(ISNA(DR94),NA(),Capability!$L$8)</f>
        <v/>
      </c>
      <c r="DW94">
        <f>IF(OR(ISNA(DS94),ISNA(DS93)),NA(),ABS(DS94-DS93))</f>
        <v/>
      </c>
      <c r="DX94">
        <f>IF(ISNA(DR94),NA(),Capability!$N$8)</f>
        <v/>
      </c>
      <c r="DY94">
        <f>IF(ISNA(DR94),NA(),IF(OR(Capability!$Q$8="",Settings!$F$7&lt;&gt;"Y"),NA(),Capability!$Q$8))</f>
        <v/>
      </c>
      <c r="DZ94">
        <f>IF(ISNA(DR94),NA(),IF(OR(Capability!$P$8="",Settings!$F$7&lt;&gt;"Y"),NA(),Capability!$P$8))</f>
        <v/>
      </c>
      <c r="EF94">
        <f>IF((EI$1+90)&gt;EG$1,NA(),(EI$1+90)-4)</f>
        <v/>
      </c>
      <c r="EG94">
        <f>IF((EI$1+90)&gt;EG$1,NA(),INDEX('Data Entry'!$L$5:$L$10004,(EI$1+90)-4))</f>
        <v/>
      </c>
      <c r="EH94">
        <f>IF(ISNA(EF94),NA(),Capability!$K$9)</f>
        <v/>
      </c>
      <c r="EI94">
        <f>IF(ISNA(EF94),NA(),Capability!$J$9)</f>
        <v/>
      </c>
      <c r="EJ94">
        <f>IF(ISNA(EF94),NA(),Capability!$L$9)</f>
        <v/>
      </c>
      <c r="EK94">
        <f>IF(OR(ISNA(EG94),ISNA(EG93)),NA(),ABS(EG94-EG93))</f>
        <v/>
      </c>
      <c r="EL94">
        <f>IF(ISNA(EF94),NA(),Capability!$N$9)</f>
        <v/>
      </c>
      <c r="EM94">
        <f>IF(ISNA(EF94),NA(),IF(OR(Capability!$Q$9="",Settings!$F$7&lt;&gt;"Y"),NA(),Capability!$Q$9))</f>
        <v/>
      </c>
      <c r="EN94">
        <f>IF(ISNA(EF94),NA(),IF(OR(Capability!$P$9="",Settings!$F$7&lt;&gt;"Y"),NA(),Capability!$P$9))</f>
        <v/>
      </c>
      <c r="ET94">
        <f>IF((EW$1+90)&gt;EU$1,NA(),(EW$1+90)-4)</f>
        <v/>
      </c>
      <c r="EU94">
        <f>IF((EW$1+90)&gt;EU$1,NA(),INDEX('Data Entry'!$M$5:$M$10004,(EW$1+90)-4))</f>
        <v/>
      </c>
      <c r="EV94">
        <f>IF(ISNA(ET94),NA(),Capability!$K$10)</f>
        <v/>
      </c>
      <c r="EW94">
        <f>IF(ISNA(ET94),NA(),Capability!$J$10)</f>
        <v/>
      </c>
      <c r="EX94">
        <f>IF(ISNA(ET94),NA(),Capability!$L$10)</f>
        <v/>
      </c>
      <c r="EY94">
        <f>IF(OR(ISNA(EU94),ISNA(EU93)),NA(),ABS(EU94-EU93))</f>
        <v/>
      </c>
      <c r="EZ94">
        <f>IF(ISNA(ET94),NA(),Capability!$N$10)</f>
        <v/>
      </c>
      <c r="FA94">
        <f>IF(ISNA(ET94),NA(),IF(OR(Capability!$Q$10="",Settings!$F$7&lt;&gt;"Y"),NA(),Capability!$Q$10))</f>
        <v/>
      </c>
      <c r="FB94">
        <f>IF(ISNA(ET94),NA(),IF(OR(Capability!$P$10="",Settings!$F$7&lt;&gt;"Y"),NA(),Capability!$P$10))</f>
        <v/>
      </c>
      <c r="FH94">
        <f>IF((FK$1+90)&gt;FI$1,NA(),(FK$1+90)-4)</f>
        <v/>
      </c>
      <c r="FI94">
        <f>IF((FK$1+90)&gt;FI$1,NA(),INDEX('Data Entry'!$N$5:$N$10004,(FK$1+90)-4))</f>
        <v/>
      </c>
      <c r="FJ94">
        <f>IF(ISNA(FH94),NA(),Capability!$K$11)</f>
        <v/>
      </c>
      <c r="FK94">
        <f>IF(ISNA(FH94),NA(),Capability!$J$11)</f>
        <v/>
      </c>
      <c r="FL94">
        <f>IF(ISNA(FH94),NA(),Capability!$L$11)</f>
        <v/>
      </c>
      <c r="FM94">
        <f>IF(OR(ISNA(FI94),ISNA(FI93)),NA(),ABS(FI94-FI93))</f>
        <v/>
      </c>
      <c r="FN94">
        <f>IF(ISNA(FH94),NA(),Capability!$N$11)</f>
        <v/>
      </c>
      <c r="FO94">
        <f>IF(ISNA(FH94),NA(),IF(OR(Capability!$Q$11="",Settings!$F$7&lt;&gt;"Y"),NA(),Capability!$Q$11))</f>
        <v/>
      </c>
      <c r="FP94">
        <f>IF(ISNA(FH94),NA(),IF(OR(Capability!$P$11="",Settings!$F$7&lt;&gt;"Y"),NA(),Capability!$P$11))</f>
        <v/>
      </c>
      <c r="FV94">
        <f>IF((FY$1+90)&gt;FW$1,NA(),(FY$1+90)-4)</f>
        <v/>
      </c>
      <c r="FW94">
        <f>IF((FY$1+90)&gt;FW$1,NA(),INDEX('Data Entry'!$O$5:$O$10004,(FY$1+90)-4))</f>
        <v/>
      </c>
      <c r="FX94">
        <f>IF(ISNA(FV94),NA(),Capability!$K$12)</f>
        <v/>
      </c>
      <c r="FY94">
        <f>IF(ISNA(FV94),NA(),Capability!$J$12)</f>
        <v/>
      </c>
      <c r="FZ94">
        <f>IF(ISNA(FV94),NA(),Capability!$L$12)</f>
        <v/>
      </c>
      <c r="GA94">
        <f>IF(OR(ISNA(FW94),ISNA(FW93)),NA(),ABS(FW94-FW93))</f>
        <v/>
      </c>
      <c r="GB94">
        <f>IF(ISNA(FV94),NA(),Capability!$N$12)</f>
        <v/>
      </c>
      <c r="GC94">
        <f>IF(ISNA(FV94),NA(),IF(OR(Capability!$Q$12="",Settings!$F$7&lt;&gt;"Y"),NA(),Capability!$Q$12))</f>
        <v/>
      </c>
      <c r="GD94">
        <f>IF(ISNA(FV94),NA(),IF(OR(Capability!$P$12="",Settings!$F$7&lt;&gt;"Y"),NA(),Capability!$P$12))</f>
        <v/>
      </c>
      <c r="GJ94">
        <f>IF((GM$1+90)&gt;GK$1,NA(),(GM$1+90)-4)</f>
        <v/>
      </c>
      <c r="GK94">
        <f>IF((GM$1+90)&gt;GK$1,NA(),INDEX('Data Entry'!$P$5:$P$10004,(GM$1+90)-4))</f>
        <v/>
      </c>
      <c r="GL94">
        <f>IF(ISNA(GJ94),NA(),Capability!$K$13)</f>
        <v/>
      </c>
      <c r="GM94">
        <f>IF(ISNA(GJ94),NA(),Capability!$J$13)</f>
        <v/>
      </c>
      <c r="GN94">
        <f>IF(ISNA(GJ94),NA(),Capability!$L$13)</f>
        <v/>
      </c>
      <c r="GO94">
        <f>IF(OR(ISNA(GK94),ISNA(GK93)),NA(),ABS(GK94-GK93))</f>
        <v/>
      </c>
      <c r="GP94">
        <f>IF(ISNA(GJ94),NA(),Capability!$N$13)</f>
        <v/>
      </c>
      <c r="GQ94">
        <f>IF(ISNA(GJ94),NA(),IF(OR(Capability!$Q$13="",Settings!$F$7&lt;&gt;"Y"),NA(),Capability!$Q$13))</f>
        <v/>
      </c>
      <c r="GR94">
        <f>IF(ISNA(GJ94),NA(),IF(OR(Capability!$P$13="",Settings!$F$7&lt;&gt;"Y"),NA(),Capability!$P$13))</f>
        <v/>
      </c>
      <c r="GX94">
        <f>IF((HA$1+90)&gt;GY$1,NA(),(HA$1+90)-4)</f>
        <v/>
      </c>
      <c r="GY94">
        <f>IF((HA$1+90)&gt;GY$1,NA(),INDEX('Data Entry'!$Q$5:$Q$10004,(HA$1+90)-4))</f>
        <v/>
      </c>
      <c r="GZ94">
        <f>IF(ISNA(GX94),NA(),Capability!$K$14)</f>
        <v/>
      </c>
      <c r="HA94">
        <f>IF(ISNA(GX94),NA(),Capability!$J$14)</f>
        <v/>
      </c>
      <c r="HB94">
        <f>IF(ISNA(GX94),NA(),Capability!$L$14)</f>
        <v/>
      </c>
      <c r="HC94">
        <f>IF(OR(ISNA(GY94),ISNA(GY93)),NA(),ABS(GY94-GY93))</f>
        <v/>
      </c>
      <c r="HD94">
        <f>IF(ISNA(GX94),NA(),Capability!$N$14)</f>
        <v/>
      </c>
      <c r="HE94">
        <f>IF(ISNA(GX94),NA(),IF(OR(Capability!$Q$14="",Settings!$F$7&lt;&gt;"Y"),NA(),Capability!$Q$14))</f>
        <v/>
      </c>
      <c r="HF94">
        <f>IF(ISNA(GX94),NA(),IF(OR(Capability!$P$14="",Settings!$F$7&lt;&gt;"Y"),NA(),Capability!$P$14))</f>
        <v/>
      </c>
    </row>
    <row r="95">
      <c r="A95" s="35" t="inlineStr">
        <is>
          <t>Sigma (within)</t>
        </is>
      </c>
      <c r="B95" s="23">
        <f>Capability!H7</f>
        <v/>
      </c>
      <c r="CB95">
        <f>IF((CE$1+91)&gt;CC$1,NA(),(CE$1+91)-4)</f>
        <v/>
      </c>
      <c r="CC95">
        <f>IF((CE$1+91)&gt;CC$1,NA(),INDEX('Data Entry'!$H$5:$H$10004,(CE$1+91)-4))</f>
        <v/>
      </c>
      <c r="CD95">
        <f>IF(ISNA(CB95),NA(),Capability!$K$5)</f>
        <v/>
      </c>
      <c r="CE95">
        <f>IF(ISNA(CB95),NA(),Capability!$J$5)</f>
        <v/>
      </c>
      <c r="CF95">
        <f>IF(ISNA(CB95),NA(),Capability!$L$5)</f>
        <v/>
      </c>
      <c r="CG95">
        <f>IF(OR(ISNA(CC95),ISNA(CC94)),NA(),ABS(CC95-CC94))</f>
        <v/>
      </c>
      <c r="CH95">
        <f>IF(ISNA(CB95),NA(),Capability!$N$5)</f>
        <v/>
      </c>
      <c r="CI95">
        <f>IF(ISNA(CB95),NA(),IF(OR(Capability!$Q$5="",Settings!$F$7&lt;&gt;"Y"),NA(),Capability!$Q$5))</f>
        <v/>
      </c>
      <c r="CJ95">
        <f>IF(ISNA(CB95),NA(),IF(OR(Capability!$P$5="",Settings!$F$7&lt;&gt;"Y"),NA(),Capability!$P$5))</f>
        <v/>
      </c>
      <c r="CP95">
        <f>IF((CS$1+91)&gt;CQ$1,NA(),(CS$1+91)-4)</f>
        <v/>
      </c>
      <c r="CQ95">
        <f>IF((CS$1+91)&gt;CQ$1,NA(),INDEX('Data Entry'!$I$5:$I$10004,(CS$1+91)-4))</f>
        <v/>
      </c>
      <c r="CR95">
        <f>IF(ISNA(CP95),NA(),Capability!$K$6)</f>
        <v/>
      </c>
      <c r="CS95">
        <f>IF(ISNA(CP95),NA(),Capability!$J$6)</f>
        <v/>
      </c>
      <c r="CT95">
        <f>IF(ISNA(CP95),NA(),Capability!$L$6)</f>
        <v/>
      </c>
      <c r="CU95">
        <f>IF(OR(ISNA(CQ95),ISNA(CQ94)),NA(),ABS(CQ95-CQ94))</f>
        <v/>
      </c>
      <c r="CV95">
        <f>IF(ISNA(CP95),NA(),Capability!$N$6)</f>
        <v/>
      </c>
      <c r="CW95">
        <f>IF(ISNA(CP95),NA(),IF(OR(Capability!$Q$6="",Settings!$F$7&lt;&gt;"Y"),NA(),Capability!$Q$6))</f>
        <v/>
      </c>
      <c r="CX95">
        <f>IF(ISNA(CP95),NA(),IF(OR(Capability!$P$6="",Settings!$F$7&lt;&gt;"Y"),NA(),Capability!$P$6))</f>
        <v/>
      </c>
      <c r="DD95">
        <f>IF((DG$1+91)&gt;DE$1,NA(),(DG$1+91)-4)</f>
        <v/>
      </c>
      <c r="DE95">
        <f>IF((DG$1+91)&gt;DE$1,NA(),INDEX('Data Entry'!$J$5:$J$10004,(DG$1+91)-4))</f>
        <v/>
      </c>
      <c r="DF95">
        <f>IF(ISNA(DD95),NA(),Capability!$K$7)</f>
        <v/>
      </c>
      <c r="DG95">
        <f>IF(ISNA(DD95),NA(),Capability!$J$7)</f>
        <v/>
      </c>
      <c r="DH95">
        <f>IF(ISNA(DD95),NA(),Capability!$L$7)</f>
        <v/>
      </c>
      <c r="DI95">
        <f>IF(OR(ISNA(DE95),ISNA(DE94)),NA(),ABS(DE95-DE94))</f>
        <v/>
      </c>
      <c r="DJ95">
        <f>IF(ISNA(DD95),NA(),Capability!$N$7)</f>
        <v/>
      </c>
      <c r="DK95">
        <f>IF(ISNA(DD95),NA(),IF(OR(Capability!$Q$7="",Settings!$F$7&lt;&gt;"Y"),NA(),Capability!$Q$7))</f>
        <v/>
      </c>
      <c r="DL95">
        <f>IF(ISNA(DD95),NA(),IF(OR(Capability!$P$7="",Settings!$F$7&lt;&gt;"Y"),NA(),Capability!$P$7))</f>
        <v/>
      </c>
      <c r="DR95">
        <f>IF((DU$1+91)&gt;DS$1,NA(),(DU$1+91)-4)</f>
        <v/>
      </c>
      <c r="DS95">
        <f>IF((DU$1+91)&gt;DS$1,NA(),INDEX('Data Entry'!$K$5:$K$10004,(DU$1+91)-4))</f>
        <v/>
      </c>
      <c r="DT95">
        <f>IF(ISNA(DR95),NA(),Capability!$K$8)</f>
        <v/>
      </c>
      <c r="DU95">
        <f>IF(ISNA(DR95),NA(),Capability!$J$8)</f>
        <v/>
      </c>
      <c r="DV95">
        <f>IF(ISNA(DR95),NA(),Capability!$L$8)</f>
        <v/>
      </c>
      <c r="DW95">
        <f>IF(OR(ISNA(DS95),ISNA(DS94)),NA(),ABS(DS95-DS94))</f>
        <v/>
      </c>
      <c r="DX95">
        <f>IF(ISNA(DR95),NA(),Capability!$N$8)</f>
        <v/>
      </c>
      <c r="DY95">
        <f>IF(ISNA(DR95),NA(),IF(OR(Capability!$Q$8="",Settings!$F$7&lt;&gt;"Y"),NA(),Capability!$Q$8))</f>
        <v/>
      </c>
      <c r="DZ95">
        <f>IF(ISNA(DR95),NA(),IF(OR(Capability!$P$8="",Settings!$F$7&lt;&gt;"Y"),NA(),Capability!$P$8))</f>
        <v/>
      </c>
      <c r="EF95">
        <f>IF((EI$1+91)&gt;EG$1,NA(),(EI$1+91)-4)</f>
        <v/>
      </c>
      <c r="EG95">
        <f>IF((EI$1+91)&gt;EG$1,NA(),INDEX('Data Entry'!$L$5:$L$10004,(EI$1+91)-4))</f>
        <v/>
      </c>
      <c r="EH95">
        <f>IF(ISNA(EF95),NA(),Capability!$K$9)</f>
        <v/>
      </c>
      <c r="EI95">
        <f>IF(ISNA(EF95),NA(),Capability!$J$9)</f>
        <v/>
      </c>
      <c r="EJ95">
        <f>IF(ISNA(EF95),NA(),Capability!$L$9)</f>
        <v/>
      </c>
      <c r="EK95">
        <f>IF(OR(ISNA(EG95),ISNA(EG94)),NA(),ABS(EG95-EG94))</f>
        <v/>
      </c>
      <c r="EL95">
        <f>IF(ISNA(EF95),NA(),Capability!$N$9)</f>
        <v/>
      </c>
      <c r="EM95">
        <f>IF(ISNA(EF95),NA(),IF(OR(Capability!$Q$9="",Settings!$F$7&lt;&gt;"Y"),NA(),Capability!$Q$9))</f>
        <v/>
      </c>
      <c r="EN95">
        <f>IF(ISNA(EF95),NA(),IF(OR(Capability!$P$9="",Settings!$F$7&lt;&gt;"Y"),NA(),Capability!$P$9))</f>
        <v/>
      </c>
      <c r="ET95">
        <f>IF((EW$1+91)&gt;EU$1,NA(),(EW$1+91)-4)</f>
        <v/>
      </c>
      <c r="EU95">
        <f>IF((EW$1+91)&gt;EU$1,NA(),INDEX('Data Entry'!$M$5:$M$10004,(EW$1+91)-4))</f>
        <v/>
      </c>
      <c r="EV95">
        <f>IF(ISNA(ET95),NA(),Capability!$K$10)</f>
        <v/>
      </c>
      <c r="EW95">
        <f>IF(ISNA(ET95),NA(),Capability!$J$10)</f>
        <v/>
      </c>
      <c r="EX95">
        <f>IF(ISNA(ET95),NA(),Capability!$L$10)</f>
        <v/>
      </c>
      <c r="EY95">
        <f>IF(OR(ISNA(EU95),ISNA(EU94)),NA(),ABS(EU95-EU94))</f>
        <v/>
      </c>
      <c r="EZ95">
        <f>IF(ISNA(ET95),NA(),Capability!$N$10)</f>
        <v/>
      </c>
      <c r="FA95">
        <f>IF(ISNA(ET95),NA(),IF(OR(Capability!$Q$10="",Settings!$F$7&lt;&gt;"Y"),NA(),Capability!$Q$10))</f>
        <v/>
      </c>
      <c r="FB95">
        <f>IF(ISNA(ET95),NA(),IF(OR(Capability!$P$10="",Settings!$F$7&lt;&gt;"Y"),NA(),Capability!$P$10))</f>
        <v/>
      </c>
      <c r="FH95">
        <f>IF((FK$1+91)&gt;FI$1,NA(),(FK$1+91)-4)</f>
        <v/>
      </c>
      <c r="FI95">
        <f>IF((FK$1+91)&gt;FI$1,NA(),INDEX('Data Entry'!$N$5:$N$10004,(FK$1+91)-4))</f>
        <v/>
      </c>
      <c r="FJ95">
        <f>IF(ISNA(FH95),NA(),Capability!$K$11)</f>
        <v/>
      </c>
      <c r="FK95">
        <f>IF(ISNA(FH95),NA(),Capability!$J$11)</f>
        <v/>
      </c>
      <c r="FL95">
        <f>IF(ISNA(FH95),NA(),Capability!$L$11)</f>
        <v/>
      </c>
      <c r="FM95">
        <f>IF(OR(ISNA(FI95),ISNA(FI94)),NA(),ABS(FI95-FI94))</f>
        <v/>
      </c>
      <c r="FN95">
        <f>IF(ISNA(FH95),NA(),Capability!$N$11)</f>
        <v/>
      </c>
      <c r="FO95">
        <f>IF(ISNA(FH95),NA(),IF(OR(Capability!$Q$11="",Settings!$F$7&lt;&gt;"Y"),NA(),Capability!$Q$11))</f>
        <v/>
      </c>
      <c r="FP95">
        <f>IF(ISNA(FH95),NA(),IF(OR(Capability!$P$11="",Settings!$F$7&lt;&gt;"Y"),NA(),Capability!$P$11))</f>
        <v/>
      </c>
      <c r="FV95">
        <f>IF((FY$1+91)&gt;FW$1,NA(),(FY$1+91)-4)</f>
        <v/>
      </c>
      <c r="FW95">
        <f>IF((FY$1+91)&gt;FW$1,NA(),INDEX('Data Entry'!$O$5:$O$10004,(FY$1+91)-4))</f>
        <v/>
      </c>
      <c r="FX95">
        <f>IF(ISNA(FV95),NA(),Capability!$K$12)</f>
        <v/>
      </c>
      <c r="FY95">
        <f>IF(ISNA(FV95),NA(),Capability!$J$12)</f>
        <v/>
      </c>
      <c r="FZ95">
        <f>IF(ISNA(FV95),NA(),Capability!$L$12)</f>
        <v/>
      </c>
      <c r="GA95">
        <f>IF(OR(ISNA(FW95),ISNA(FW94)),NA(),ABS(FW95-FW94))</f>
        <v/>
      </c>
      <c r="GB95">
        <f>IF(ISNA(FV95),NA(),Capability!$N$12)</f>
        <v/>
      </c>
      <c r="GC95">
        <f>IF(ISNA(FV95),NA(),IF(OR(Capability!$Q$12="",Settings!$F$7&lt;&gt;"Y"),NA(),Capability!$Q$12))</f>
        <v/>
      </c>
      <c r="GD95">
        <f>IF(ISNA(FV95),NA(),IF(OR(Capability!$P$12="",Settings!$F$7&lt;&gt;"Y"),NA(),Capability!$P$12))</f>
        <v/>
      </c>
      <c r="GJ95">
        <f>IF((GM$1+91)&gt;GK$1,NA(),(GM$1+91)-4)</f>
        <v/>
      </c>
      <c r="GK95">
        <f>IF((GM$1+91)&gt;GK$1,NA(),INDEX('Data Entry'!$P$5:$P$10004,(GM$1+91)-4))</f>
        <v/>
      </c>
      <c r="GL95">
        <f>IF(ISNA(GJ95),NA(),Capability!$K$13)</f>
        <v/>
      </c>
      <c r="GM95">
        <f>IF(ISNA(GJ95),NA(),Capability!$J$13)</f>
        <v/>
      </c>
      <c r="GN95">
        <f>IF(ISNA(GJ95),NA(),Capability!$L$13)</f>
        <v/>
      </c>
      <c r="GO95">
        <f>IF(OR(ISNA(GK95),ISNA(GK94)),NA(),ABS(GK95-GK94))</f>
        <v/>
      </c>
      <c r="GP95">
        <f>IF(ISNA(GJ95),NA(),Capability!$N$13)</f>
        <v/>
      </c>
      <c r="GQ95">
        <f>IF(ISNA(GJ95),NA(),IF(OR(Capability!$Q$13="",Settings!$F$7&lt;&gt;"Y"),NA(),Capability!$Q$13))</f>
        <v/>
      </c>
      <c r="GR95">
        <f>IF(ISNA(GJ95),NA(),IF(OR(Capability!$P$13="",Settings!$F$7&lt;&gt;"Y"),NA(),Capability!$P$13))</f>
        <v/>
      </c>
      <c r="GX95">
        <f>IF((HA$1+91)&gt;GY$1,NA(),(HA$1+91)-4)</f>
        <v/>
      </c>
      <c r="GY95">
        <f>IF((HA$1+91)&gt;GY$1,NA(),INDEX('Data Entry'!$Q$5:$Q$10004,(HA$1+91)-4))</f>
        <v/>
      </c>
      <c r="GZ95">
        <f>IF(ISNA(GX95),NA(),Capability!$K$14)</f>
        <v/>
      </c>
      <c r="HA95">
        <f>IF(ISNA(GX95),NA(),Capability!$J$14)</f>
        <v/>
      </c>
      <c r="HB95">
        <f>IF(ISNA(GX95),NA(),Capability!$L$14)</f>
        <v/>
      </c>
      <c r="HC95">
        <f>IF(OR(ISNA(GY95),ISNA(GY94)),NA(),ABS(GY95-GY94))</f>
        <v/>
      </c>
      <c r="HD95">
        <f>IF(ISNA(GX95),NA(),Capability!$N$14)</f>
        <v/>
      </c>
      <c r="HE95">
        <f>IF(ISNA(GX95),NA(),IF(OR(Capability!$Q$14="",Settings!$F$7&lt;&gt;"Y"),NA(),Capability!$Q$14))</f>
        <v/>
      </c>
      <c r="HF95">
        <f>IF(ISNA(GX95),NA(),IF(OR(Capability!$P$14="",Settings!$F$7&lt;&gt;"Y"),NA(),Capability!$P$14))</f>
        <v/>
      </c>
    </row>
    <row r="96">
      <c r="A96" s="37" t="inlineStr">
        <is>
          <t>CONTROL</t>
        </is>
      </c>
      <c r="B96" s="28" t="n"/>
      <c r="CB96">
        <f>IF((CE$1+92)&gt;CC$1,NA(),(CE$1+92)-4)</f>
        <v/>
      </c>
      <c r="CC96">
        <f>IF((CE$1+92)&gt;CC$1,NA(),INDEX('Data Entry'!$H$5:$H$10004,(CE$1+92)-4))</f>
        <v/>
      </c>
      <c r="CD96">
        <f>IF(ISNA(CB96),NA(),Capability!$K$5)</f>
        <v/>
      </c>
      <c r="CE96">
        <f>IF(ISNA(CB96),NA(),Capability!$J$5)</f>
        <v/>
      </c>
      <c r="CF96">
        <f>IF(ISNA(CB96),NA(),Capability!$L$5)</f>
        <v/>
      </c>
      <c r="CG96">
        <f>IF(OR(ISNA(CC96),ISNA(CC95)),NA(),ABS(CC96-CC95))</f>
        <v/>
      </c>
      <c r="CH96">
        <f>IF(ISNA(CB96),NA(),Capability!$N$5)</f>
        <v/>
      </c>
      <c r="CI96">
        <f>IF(ISNA(CB96),NA(),IF(OR(Capability!$Q$5="",Settings!$F$7&lt;&gt;"Y"),NA(),Capability!$Q$5))</f>
        <v/>
      </c>
      <c r="CJ96">
        <f>IF(ISNA(CB96),NA(),IF(OR(Capability!$P$5="",Settings!$F$7&lt;&gt;"Y"),NA(),Capability!$P$5))</f>
        <v/>
      </c>
      <c r="CP96">
        <f>IF((CS$1+92)&gt;CQ$1,NA(),(CS$1+92)-4)</f>
        <v/>
      </c>
      <c r="CQ96">
        <f>IF((CS$1+92)&gt;CQ$1,NA(),INDEX('Data Entry'!$I$5:$I$10004,(CS$1+92)-4))</f>
        <v/>
      </c>
      <c r="CR96">
        <f>IF(ISNA(CP96),NA(),Capability!$K$6)</f>
        <v/>
      </c>
      <c r="CS96">
        <f>IF(ISNA(CP96),NA(),Capability!$J$6)</f>
        <v/>
      </c>
      <c r="CT96">
        <f>IF(ISNA(CP96),NA(),Capability!$L$6)</f>
        <v/>
      </c>
      <c r="CU96">
        <f>IF(OR(ISNA(CQ96),ISNA(CQ95)),NA(),ABS(CQ96-CQ95))</f>
        <v/>
      </c>
      <c r="CV96">
        <f>IF(ISNA(CP96),NA(),Capability!$N$6)</f>
        <v/>
      </c>
      <c r="CW96">
        <f>IF(ISNA(CP96),NA(),IF(OR(Capability!$Q$6="",Settings!$F$7&lt;&gt;"Y"),NA(),Capability!$Q$6))</f>
        <v/>
      </c>
      <c r="CX96">
        <f>IF(ISNA(CP96),NA(),IF(OR(Capability!$P$6="",Settings!$F$7&lt;&gt;"Y"),NA(),Capability!$P$6))</f>
        <v/>
      </c>
      <c r="DD96">
        <f>IF((DG$1+92)&gt;DE$1,NA(),(DG$1+92)-4)</f>
        <v/>
      </c>
      <c r="DE96">
        <f>IF((DG$1+92)&gt;DE$1,NA(),INDEX('Data Entry'!$J$5:$J$10004,(DG$1+92)-4))</f>
        <v/>
      </c>
      <c r="DF96">
        <f>IF(ISNA(DD96),NA(),Capability!$K$7)</f>
        <v/>
      </c>
      <c r="DG96">
        <f>IF(ISNA(DD96),NA(),Capability!$J$7)</f>
        <v/>
      </c>
      <c r="DH96">
        <f>IF(ISNA(DD96),NA(),Capability!$L$7)</f>
        <v/>
      </c>
      <c r="DI96">
        <f>IF(OR(ISNA(DE96),ISNA(DE95)),NA(),ABS(DE96-DE95))</f>
        <v/>
      </c>
      <c r="DJ96">
        <f>IF(ISNA(DD96),NA(),Capability!$N$7)</f>
        <v/>
      </c>
      <c r="DK96">
        <f>IF(ISNA(DD96),NA(),IF(OR(Capability!$Q$7="",Settings!$F$7&lt;&gt;"Y"),NA(),Capability!$Q$7))</f>
        <v/>
      </c>
      <c r="DL96">
        <f>IF(ISNA(DD96),NA(),IF(OR(Capability!$P$7="",Settings!$F$7&lt;&gt;"Y"),NA(),Capability!$P$7))</f>
        <v/>
      </c>
      <c r="DR96">
        <f>IF((DU$1+92)&gt;DS$1,NA(),(DU$1+92)-4)</f>
        <v/>
      </c>
      <c r="DS96">
        <f>IF((DU$1+92)&gt;DS$1,NA(),INDEX('Data Entry'!$K$5:$K$10004,(DU$1+92)-4))</f>
        <v/>
      </c>
      <c r="DT96">
        <f>IF(ISNA(DR96),NA(),Capability!$K$8)</f>
        <v/>
      </c>
      <c r="DU96">
        <f>IF(ISNA(DR96),NA(),Capability!$J$8)</f>
        <v/>
      </c>
      <c r="DV96">
        <f>IF(ISNA(DR96),NA(),Capability!$L$8)</f>
        <v/>
      </c>
      <c r="DW96">
        <f>IF(OR(ISNA(DS96),ISNA(DS95)),NA(),ABS(DS96-DS95))</f>
        <v/>
      </c>
      <c r="DX96">
        <f>IF(ISNA(DR96),NA(),Capability!$N$8)</f>
        <v/>
      </c>
      <c r="DY96">
        <f>IF(ISNA(DR96),NA(),IF(OR(Capability!$Q$8="",Settings!$F$7&lt;&gt;"Y"),NA(),Capability!$Q$8))</f>
        <v/>
      </c>
      <c r="DZ96">
        <f>IF(ISNA(DR96),NA(),IF(OR(Capability!$P$8="",Settings!$F$7&lt;&gt;"Y"),NA(),Capability!$P$8))</f>
        <v/>
      </c>
      <c r="EF96">
        <f>IF((EI$1+92)&gt;EG$1,NA(),(EI$1+92)-4)</f>
        <v/>
      </c>
      <c r="EG96">
        <f>IF((EI$1+92)&gt;EG$1,NA(),INDEX('Data Entry'!$L$5:$L$10004,(EI$1+92)-4))</f>
        <v/>
      </c>
      <c r="EH96">
        <f>IF(ISNA(EF96),NA(),Capability!$K$9)</f>
        <v/>
      </c>
      <c r="EI96">
        <f>IF(ISNA(EF96),NA(),Capability!$J$9)</f>
        <v/>
      </c>
      <c r="EJ96">
        <f>IF(ISNA(EF96),NA(),Capability!$L$9)</f>
        <v/>
      </c>
      <c r="EK96">
        <f>IF(OR(ISNA(EG96),ISNA(EG95)),NA(),ABS(EG96-EG95))</f>
        <v/>
      </c>
      <c r="EL96">
        <f>IF(ISNA(EF96),NA(),Capability!$N$9)</f>
        <v/>
      </c>
      <c r="EM96">
        <f>IF(ISNA(EF96),NA(),IF(OR(Capability!$Q$9="",Settings!$F$7&lt;&gt;"Y"),NA(),Capability!$Q$9))</f>
        <v/>
      </c>
      <c r="EN96">
        <f>IF(ISNA(EF96),NA(),IF(OR(Capability!$P$9="",Settings!$F$7&lt;&gt;"Y"),NA(),Capability!$P$9))</f>
        <v/>
      </c>
      <c r="ET96">
        <f>IF((EW$1+92)&gt;EU$1,NA(),(EW$1+92)-4)</f>
        <v/>
      </c>
      <c r="EU96">
        <f>IF((EW$1+92)&gt;EU$1,NA(),INDEX('Data Entry'!$M$5:$M$10004,(EW$1+92)-4))</f>
        <v/>
      </c>
      <c r="EV96">
        <f>IF(ISNA(ET96),NA(),Capability!$K$10)</f>
        <v/>
      </c>
      <c r="EW96">
        <f>IF(ISNA(ET96),NA(),Capability!$J$10)</f>
        <v/>
      </c>
      <c r="EX96">
        <f>IF(ISNA(ET96),NA(),Capability!$L$10)</f>
        <v/>
      </c>
      <c r="EY96">
        <f>IF(OR(ISNA(EU96),ISNA(EU95)),NA(),ABS(EU96-EU95))</f>
        <v/>
      </c>
      <c r="EZ96">
        <f>IF(ISNA(ET96),NA(),Capability!$N$10)</f>
        <v/>
      </c>
      <c r="FA96">
        <f>IF(ISNA(ET96),NA(),IF(OR(Capability!$Q$10="",Settings!$F$7&lt;&gt;"Y"),NA(),Capability!$Q$10))</f>
        <v/>
      </c>
      <c r="FB96">
        <f>IF(ISNA(ET96),NA(),IF(OR(Capability!$P$10="",Settings!$F$7&lt;&gt;"Y"),NA(),Capability!$P$10))</f>
        <v/>
      </c>
      <c r="FH96">
        <f>IF((FK$1+92)&gt;FI$1,NA(),(FK$1+92)-4)</f>
        <v/>
      </c>
      <c r="FI96">
        <f>IF((FK$1+92)&gt;FI$1,NA(),INDEX('Data Entry'!$N$5:$N$10004,(FK$1+92)-4))</f>
        <v/>
      </c>
      <c r="FJ96">
        <f>IF(ISNA(FH96),NA(),Capability!$K$11)</f>
        <v/>
      </c>
      <c r="FK96">
        <f>IF(ISNA(FH96),NA(),Capability!$J$11)</f>
        <v/>
      </c>
      <c r="FL96">
        <f>IF(ISNA(FH96),NA(),Capability!$L$11)</f>
        <v/>
      </c>
      <c r="FM96">
        <f>IF(OR(ISNA(FI96),ISNA(FI95)),NA(),ABS(FI96-FI95))</f>
        <v/>
      </c>
      <c r="FN96">
        <f>IF(ISNA(FH96),NA(),Capability!$N$11)</f>
        <v/>
      </c>
      <c r="FO96">
        <f>IF(ISNA(FH96),NA(),IF(OR(Capability!$Q$11="",Settings!$F$7&lt;&gt;"Y"),NA(),Capability!$Q$11))</f>
        <v/>
      </c>
      <c r="FP96">
        <f>IF(ISNA(FH96),NA(),IF(OR(Capability!$P$11="",Settings!$F$7&lt;&gt;"Y"),NA(),Capability!$P$11))</f>
        <v/>
      </c>
      <c r="FV96">
        <f>IF((FY$1+92)&gt;FW$1,NA(),(FY$1+92)-4)</f>
        <v/>
      </c>
      <c r="FW96">
        <f>IF((FY$1+92)&gt;FW$1,NA(),INDEX('Data Entry'!$O$5:$O$10004,(FY$1+92)-4))</f>
        <v/>
      </c>
      <c r="FX96">
        <f>IF(ISNA(FV96),NA(),Capability!$K$12)</f>
        <v/>
      </c>
      <c r="FY96">
        <f>IF(ISNA(FV96),NA(),Capability!$J$12)</f>
        <v/>
      </c>
      <c r="FZ96">
        <f>IF(ISNA(FV96),NA(),Capability!$L$12)</f>
        <v/>
      </c>
      <c r="GA96">
        <f>IF(OR(ISNA(FW96),ISNA(FW95)),NA(),ABS(FW96-FW95))</f>
        <v/>
      </c>
      <c r="GB96">
        <f>IF(ISNA(FV96),NA(),Capability!$N$12)</f>
        <v/>
      </c>
      <c r="GC96">
        <f>IF(ISNA(FV96),NA(),IF(OR(Capability!$Q$12="",Settings!$F$7&lt;&gt;"Y"),NA(),Capability!$Q$12))</f>
        <v/>
      </c>
      <c r="GD96">
        <f>IF(ISNA(FV96),NA(),IF(OR(Capability!$P$12="",Settings!$F$7&lt;&gt;"Y"),NA(),Capability!$P$12))</f>
        <v/>
      </c>
      <c r="GJ96">
        <f>IF((GM$1+92)&gt;GK$1,NA(),(GM$1+92)-4)</f>
        <v/>
      </c>
      <c r="GK96">
        <f>IF((GM$1+92)&gt;GK$1,NA(),INDEX('Data Entry'!$P$5:$P$10004,(GM$1+92)-4))</f>
        <v/>
      </c>
      <c r="GL96">
        <f>IF(ISNA(GJ96),NA(),Capability!$K$13)</f>
        <v/>
      </c>
      <c r="GM96">
        <f>IF(ISNA(GJ96),NA(),Capability!$J$13)</f>
        <v/>
      </c>
      <c r="GN96">
        <f>IF(ISNA(GJ96),NA(),Capability!$L$13)</f>
        <v/>
      </c>
      <c r="GO96">
        <f>IF(OR(ISNA(GK96),ISNA(GK95)),NA(),ABS(GK96-GK95))</f>
        <v/>
      </c>
      <c r="GP96">
        <f>IF(ISNA(GJ96),NA(),Capability!$N$13)</f>
        <v/>
      </c>
      <c r="GQ96">
        <f>IF(ISNA(GJ96),NA(),IF(OR(Capability!$Q$13="",Settings!$F$7&lt;&gt;"Y"),NA(),Capability!$Q$13))</f>
        <v/>
      </c>
      <c r="GR96">
        <f>IF(ISNA(GJ96),NA(),IF(OR(Capability!$P$13="",Settings!$F$7&lt;&gt;"Y"),NA(),Capability!$P$13))</f>
        <v/>
      </c>
      <c r="GX96">
        <f>IF((HA$1+92)&gt;GY$1,NA(),(HA$1+92)-4)</f>
        <v/>
      </c>
      <c r="GY96">
        <f>IF((HA$1+92)&gt;GY$1,NA(),INDEX('Data Entry'!$Q$5:$Q$10004,(HA$1+92)-4))</f>
        <v/>
      </c>
      <c r="GZ96">
        <f>IF(ISNA(GX96),NA(),Capability!$K$14)</f>
        <v/>
      </c>
      <c r="HA96">
        <f>IF(ISNA(GX96),NA(),Capability!$J$14)</f>
        <v/>
      </c>
      <c r="HB96">
        <f>IF(ISNA(GX96),NA(),Capability!$L$14)</f>
        <v/>
      </c>
      <c r="HC96">
        <f>IF(OR(ISNA(GY96),ISNA(GY95)),NA(),ABS(GY96-GY95))</f>
        <v/>
      </c>
      <c r="HD96">
        <f>IF(ISNA(GX96),NA(),Capability!$N$14)</f>
        <v/>
      </c>
      <c r="HE96">
        <f>IF(ISNA(GX96),NA(),IF(OR(Capability!$Q$14="",Settings!$F$7&lt;&gt;"Y"),NA(),Capability!$Q$14))</f>
        <v/>
      </c>
      <c r="HF96">
        <f>IF(ISNA(GX96),NA(),IF(OR(Capability!$P$14="",Settings!$F$7&lt;&gt;"Y"),NA(),Capability!$P$14))</f>
        <v/>
      </c>
    </row>
    <row r="97">
      <c r="A97" s="35" t="inlineStr">
        <is>
          <t>UCL</t>
        </is>
      </c>
      <c r="B97" s="23">
        <f>Capability!J7</f>
        <v/>
      </c>
      <c r="CB97">
        <f>IF((CE$1+93)&gt;CC$1,NA(),(CE$1+93)-4)</f>
        <v/>
      </c>
      <c r="CC97">
        <f>IF((CE$1+93)&gt;CC$1,NA(),INDEX('Data Entry'!$H$5:$H$10004,(CE$1+93)-4))</f>
        <v/>
      </c>
      <c r="CD97">
        <f>IF(ISNA(CB97),NA(),Capability!$K$5)</f>
        <v/>
      </c>
      <c r="CE97">
        <f>IF(ISNA(CB97),NA(),Capability!$J$5)</f>
        <v/>
      </c>
      <c r="CF97">
        <f>IF(ISNA(CB97),NA(),Capability!$L$5)</f>
        <v/>
      </c>
      <c r="CG97">
        <f>IF(OR(ISNA(CC97),ISNA(CC96)),NA(),ABS(CC97-CC96))</f>
        <v/>
      </c>
      <c r="CH97">
        <f>IF(ISNA(CB97),NA(),Capability!$N$5)</f>
        <v/>
      </c>
      <c r="CI97">
        <f>IF(ISNA(CB97),NA(),IF(OR(Capability!$Q$5="",Settings!$F$7&lt;&gt;"Y"),NA(),Capability!$Q$5))</f>
        <v/>
      </c>
      <c r="CJ97">
        <f>IF(ISNA(CB97),NA(),IF(OR(Capability!$P$5="",Settings!$F$7&lt;&gt;"Y"),NA(),Capability!$P$5))</f>
        <v/>
      </c>
      <c r="CP97">
        <f>IF((CS$1+93)&gt;CQ$1,NA(),(CS$1+93)-4)</f>
        <v/>
      </c>
      <c r="CQ97">
        <f>IF((CS$1+93)&gt;CQ$1,NA(),INDEX('Data Entry'!$I$5:$I$10004,(CS$1+93)-4))</f>
        <v/>
      </c>
      <c r="CR97">
        <f>IF(ISNA(CP97),NA(),Capability!$K$6)</f>
        <v/>
      </c>
      <c r="CS97">
        <f>IF(ISNA(CP97),NA(),Capability!$J$6)</f>
        <v/>
      </c>
      <c r="CT97">
        <f>IF(ISNA(CP97),NA(),Capability!$L$6)</f>
        <v/>
      </c>
      <c r="CU97">
        <f>IF(OR(ISNA(CQ97),ISNA(CQ96)),NA(),ABS(CQ97-CQ96))</f>
        <v/>
      </c>
      <c r="CV97">
        <f>IF(ISNA(CP97),NA(),Capability!$N$6)</f>
        <v/>
      </c>
      <c r="CW97">
        <f>IF(ISNA(CP97),NA(),IF(OR(Capability!$Q$6="",Settings!$F$7&lt;&gt;"Y"),NA(),Capability!$Q$6))</f>
        <v/>
      </c>
      <c r="CX97">
        <f>IF(ISNA(CP97),NA(),IF(OR(Capability!$P$6="",Settings!$F$7&lt;&gt;"Y"),NA(),Capability!$P$6))</f>
        <v/>
      </c>
      <c r="DD97">
        <f>IF((DG$1+93)&gt;DE$1,NA(),(DG$1+93)-4)</f>
        <v/>
      </c>
      <c r="DE97">
        <f>IF((DG$1+93)&gt;DE$1,NA(),INDEX('Data Entry'!$J$5:$J$10004,(DG$1+93)-4))</f>
        <v/>
      </c>
      <c r="DF97">
        <f>IF(ISNA(DD97),NA(),Capability!$K$7)</f>
        <v/>
      </c>
      <c r="DG97">
        <f>IF(ISNA(DD97),NA(),Capability!$J$7)</f>
        <v/>
      </c>
      <c r="DH97">
        <f>IF(ISNA(DD97),NA(),Capability!$L$7)</f>
        <v/>
      </c>
      <c r="DI97">
        <f>IF(OR(ISNA(DE97),ISNA(DE96)),NA(),ABS(DE97-DE96))</f>
        <v/>
      </c>
      <c r="DJ97">
        <f>IF(ISNA(DD97),NA(),Capability!$N$7)</f>
        <v/>
      </c>
      <c r="DK97">
        <f>IF(ISNA(DD97),NA(),IF(OR(Capability!$Q$7="",Settings!$F$7&lt;&gt;"Y"),NA(),Capability!$Q$7))</f>
        <v/>
      </c>
      <c r="DL97">
        <f>IF(ISNA(DD97),NA(),IF(OR(Capability!$P$7="",Settings!$F$7&lt;&gt;"Y"),NA(),Capability!$P$7))</f>
        <v/>
      </c>
      <c r="DR97">
        <f>IF((DU$1+93)&gt;DS$1,NA(),(DU$1+93)-4)</f>
        <v/>
      </c>
      <c r="DS97">
        <f>IF((DU$1+93)&gt;DS$1,NA(),INDEX('Data Entry'!$K$5:$K$10004,(DU$1+93)-4))</f>
        <v/>
      </c>
      <c r="DT97">
        <f>IF(ISNA(DR97),NA(),Capability!$K$8)</f>
        <v/>
      </c>
      <c r="DU97">
        <f>IF(ISNA(DR97),NA(),Capability!$J$8)</f>
        <v/>
      </c>
      <c r="DV97">
        <f>IF(ISNA(DR97),NA(),Capability!$L$8)</f>
        <v/>
      </c>
      <c r="DW97">
        <f>IF(OR(ISNA(DS97),ISNA(DS96)),NA(),ABS(DS97-DS96))</f>
        <v/>
      </c>
      <c r="DX97">
        <f>IF(ISNA(DR97),NA(),Capability!$N$8)</f>
        <v/>
      </c>
      <c r="DY97">
        <f>IF(ISNA(DR97),NA(),IF(OR(Capability!$Q$8="",Settings!$F$7&lt;&gt;"Y"),NA(),Capability!$Q$8))</f>
        <v/>
      </c>
      <c r="DZ97">
        <f>IF(ISNA(DR97),NA(),IF(OR(Capability!$P$8="",Settings!$F$7&lt;&gt;"Y"),NA(),Capability!$P$8))</f>
        <v/>
      </c>
      <c r="EF97">
        <f>IF((EI$1+93)&gt;EG$1,NA(),(EI$1+93)-4)</f>
        <v/>
      </c>
      <c r="EG97">
        <f>IF((EI$1+93)&gt;EG$1,NA(),INDEX('Data Entry'!$L$5:$L$10004,(EI$1+93)-4))</f>
        <v/>
      </c>
      <c r="EH97">
        <f>IF(ISNA(EF97),NA(),Capability!$K$9)</f>
        <v/>
      </c>
      <c r="EI97">
        <f>IF(ISNA(EF97),NA(),Capability!$J$9)</f>
        <v/>
      </c>
      <c r="EJ97">
        <f>IF(ISNA(EF97),NA(),Capability!$L$9)</f>
        <v/>
      </c>
      <c r="EK97">
        <f>IF(OR(ISNA(EG97),ISNA(EG96)),NA(),ABS(EG97-EG96))</f>
        <v/>
      </c>
      <c r="EL97">
        <f>IF(ISNA(EF97),NA(),Capability!$N$9)</f>
        <v/>
      </c>
      <c r="EM97">
        <f>IF(ISNA(EF97),NA(),IF(OR(Capability!$Q$9="",Settings!$F$7&lt;&gt;"Y"),NA(),Capability!$Q$9))</f>
        <v/>
      </c>
      <c r="EN97">
        <f>IF(ISNA(EF97),NA(),IF(OR(Capability!$P$9="",Settings!$F$7&lt;&gt;"Y"),NA(),Capability!$P$9))</f>
        <v/>
      </c>
      <c r="ET97">
        <f>IF((EW$1+93)&gt;EU$1,NA(),(EW$1+93)-4)</f>
        <v/>
      </c>
      <c r="EU97">
        <f>IF((EW$1+93)&gt;EU$1,NA(),INDEX('Data Entry'!$M$5:$M$10004,(EW$1+93)-4))</f>
        <v/>
      </c>
      <c r="EV97">
        <f>IF(ISNA(ET97),NA(),Capability!$K$10)</f>
        <v/>
      </c>
      <c r="EW97">
        <f>IF(ISNA(ET97),NA(),Capability!$J$10)</f>
        <v/>
      </c>
      <c r="EX97">
        <f>IF(ISNA(ET97),NA(),Capability!$L$10)</f>
        <v/>
      </c>
      <c r="EY97">
        <f>IF(OR(ISNA(EU97),ISNA(EU96)),NA(),ABS(EU97-EU96))</f>
        <v/>
      </c>
      <c r="EZ97">
        <f>IF(ISNA(ET97),NA(),Capability!$N$10)</f>
        <v/>
      </c>
      <c r="FA97">
        <f>IF(ISNA(ET97),NA(),IF(OR(Capability!$Q$10="",Settings!$F$7&lt;&gt;"Y"),NA(),Capability!$Q$10))</f>
        <v/>
      </c>
      <c r="FB97">
        <f>IF(ISNA(ET97),NA(),IF(OR(Capability!$P$10="",Settings!$F$7&lt;&gt;"Y"),NA(),Capability!$P$10))</f>
        <v/>
      </c>
      <c r="FH97">
        <f>IF((FK$1+93)&gt;FI$1,NA(),(FK$1+93)-4)</f>
        <v/>
      </c>
      <c r="FI97">
        <f>IF((FK$1+93)&gt;FI$1,NA(),INDEX('Data Entry'!$N$5:$N$10004,(FK$1+93)-4))</f>
        <v/>
      </c>
      <c r="FJ97">
        <f>IF(ISNA(FH97),NA(),Capability!$K$11)</f>
        <v/>
      </c>
      <c r="FK97">
        <f>IF(ISNA(FH97),NA(),Capability!$J$11)</f>
        <v/>
      </c>
      <c r="FL97">
        <f>IF(ISNA(FH97),NA(),Capability!$L$11)</f>
        <v/>
      </c>
      <c r="FM97">
        <f>IF(OR(ISNA(FI97),ISNA(FI96)),NA(),ABS(FI97-FI96))</f>
        <v/>
      </c>
      <c r="FN97">
        <f>IF(ISNA(FH97),NA(),Capability!$N$11)</f>
        <v/>
      </c>
      <c r="FO97">
        <f>IF(ISNA(FH97),NA(),IF(OR(Capability!$Q$11="",Settings!$F$7&lt;&gt;"Y"),NA(),Capability!$Q$11))</f>
        <v/>
      </c>
      <c r="FP97">
        <f>IF(ISNA(FH97),NA(),IF(OR(Capability!$P$11="",Settings!$F$7&lt;&gt;"Y"),NA(),Capability!$P$11))</f>
        <v/>
      </c>
      <c r="FV97">
        <f>IF((FY$1+93)&gt;FW$1,NA(),(FY$1+93)-4)</f>
        <v/>
      </c>
      <c r="FW97">
        <f>IF((FY$1+93)&gt;FW$1,NA(),INDEX('Data Entry'!$O$5:$O$10004,(FY$1+93)-4))</f>
        <v/>
      </c>
      <c r="FX97">
        <f>IF(ISNA(FV97),NA(),Capability!$K$12)</f>
        <v/>
      </c>
      <c r="FY97">
        <f>IF(ISNA(FV97),NA(),Capability!$J$12)</f>
        <v/>
      </c>
      <c r="FZ97">
        <f>IF(ISNA(FV97),NA(),Capability!$L$12)</f>
        <v/>
      </c>
      <c r="GA97">
        <f>IF(OR(ISNA(FW97),ISNA(FW96)),NA(),ABS(FW97-FW96))</f>
        <v/>
      </c>
      <c r="GB97">
        <f>IF(ISNA(FV97),NA(),Capability!$N$12)</f>
        <v/>
      </c>
      <c r="GC97">
        <f>IF(ISNA(FV97),NA(),IF(OR(Capability!$Q$12="",Settings!$F$7&lt;&gt;"Y"),NA(),Capability!$Q$12))</f>
        <v/>
      </c>
      <c r="GD97">
        <f>IF(ISNA(FV97),NA(),IF(OR(Capability!$P$12="",Settings!$F$7&lt;&gt;"Y"),NA(),Capability!$P$12))</f>
        <v/>
      </c>
      <c r="GJ97">
        <f>IF((GM$1+93)&gt;GK$1,NA(),(GM$1+93)-4)</f>
        <v/>
      </c>
      <c r="GK97">
        <f>IF((GM$1+93)&gt;GK$1,NA(),INDEX('Data Entry'!$P$5:$P$10004,(GM$1+93)-4))</f>
        <v/>
      </c>
      <c r="GL97">
        <f>IF(ISNA(GJ97),NA(),Capability!$K$13)</f>
        <v/>
      </c>
      <c r="GM97">
        <f>IF(ISNA(GJ97),NA(),Capability!$J$13)</f>
        <v/>
      </c>
      <c r="GN97">
        <f>IF(ISNA(GJ97),NA(),Capability!$L$13)</f>
        <v/>
      </c>
      <c r="GO97">
        <f>IF(OR(ISNA(GK97),ISNA(GK96)),NA(),ABS(GK97-GK96))</f>
        <v/>
      </c>
      <c r="GP97">
        <f>IF(ISNA(GJ97),NA(),Capability!$N$13)</f>
        <v/>
      </c>
      <c r="GQ97">
        <f>IF(ISNA(GJ97),NA(),IF(OR(Capability!$Q$13="",Settings!$F$7&lt;&gt;"Y"),NA(),Capability!$Q$13))</f>
        <v/>
      </c>
      <c r="GR97">
        <f>IF(ISNA(GJ97),NA(),IF(OR(Capability!$P$13="",Settings!$F$7&lt;&gt;"Y"),NA(),Capability!$P$13))</f>
        <v/>
      </c>
      <c r="GX97">
        <f>IF((HA$1+93)&gt;GY$1,NA(),(HA$1+93)-4)</f>
        <v/>
      </c>
      <c r="GY97">
        <f>IF((HA$1+93)&gt;GY$1,NA(),INDEX('Data Entry'!$Q$5:$Q$10004,(HA$1+93)-4))</f>
        <v/>
      </c>
      <c r="GZ97">
        <f>IF(ISNA(GX97),NA(),Capability!$K$14)</f>
        <v/>
      </c>
      <c r="HA97">
        <f>IF(ISNA(GX97),NA(),Capability!$J$14)</f>
        <v/>
      </c>
      <c r="HB97">
        <f>IF(ISNA(GX97),NA(),Capability!$L$14)</f>
        <v/>
      </c>
      <c r="HC97">
        <f>IF(OR(ISNA(GY97),ISNA(GY96)),NA(),ABS(GY97-GY96))</f>
        <v/>
      </c>
      <c r="HD97">
        <f>IF(ISNA(GX97),NA(),Capability!$N$14)</f>
        <v/>
      </c>
      <c r="HE97">
        <f>IF(ISNA(GX97),NA(),IF(OR(Capability!$Q$14="",Settings!$F$7&lt;&gt;"Y"),NA(),Capability!$Q$14))</f>
        <v/>
      </c>
      <c r="HF97">
        <f>IF(ISNA(GX97),NA(),IF(OR(Capability!$P$14="",Settings!$F$7&lt;&gt;"Y"),NA(),Capability!$P$14))</f>
        <v/>
      </c>
    </row>
    <row r="98">
      <c r="A98" s="35" t="inlineStr">
        <is>
          <t>CL</t>
        </is>
      </c>
      <c r="B98" s="23">
        <f>Capability!K7</f>
        <v/>
      </c>
      <c r="CB98">
        <f>IF((CE$1+94)&gt;CC$1,NA(),(CE$1+94)-4)</f>
        <v/>
      </c>
      <c r="CC98">
        <f>IF((CE$1+94)&gt;CC$1,NA(),INDEX('Data Entry'!$H$5:$H$10004,(CE$1+94)-4))</f>
        <v/>
      </c>
      <c r="CD98">
        <f>IF(ISNA(CB98),NA(),Capability!$K$5)</f>
        <v/>
      </c>
      <c r="CE98">
        <f>IF(ISNA(CB98),NA(),Capability!$J$5)</f>
        <v/>
      </c>
      <c r="CF98">
        <f>IF(ISNA(CB98),NA(),Capability!$L$5)</f>
        <v/>
      </c>
      <c r="CG98">
        <f>IF(OR(ISNA(CC98),ISNA(CC97)),NA(),ABS(CC98-CC97))</f>
        <v/>
      </c>
      <c r="CH98">
        <f>IF(ISNA(CB98),NA(),Capability!$N$5)</f>
        <v/>
      </c>
      <c r="CI98">
        <f>IF(ISNA(CB98),NA(),IF(OR(Capability!$Q$5="",Settings!$F$7&lt;&gt;"Y"),NA(),Capability!$Q$5))</f>
        <v/>
      </c>
      <c r="CJ98">
        <f>IF(ISNA(CB98),NA(),IF(OR(Capability!$P$5="",Settings!$F$7&lt;&gt;"Y"),NA(),Capability!$P$5))</f>
        <v/>
      </c>
      <c r="CP98">
        <f>IF((CS$1+94)&gt;CQ$1,NA(),(CS$1+94)-4)</f>
        <v/>
      </c>
      <c r="CQ98">
        <f>IF((CS$1+94)&gt;CQ$1,NA(),INDEX('Data Entry'!$I$5:$I$10004,(CS$1+94)-4))</f>
        <v/>
      </c>
      <c r="CR98">
        <f>IF(ISNA(CP98),NA(),Capability!$K$6)</f>
        <v/>
      </c>
      <c r="CS98">
        <f>IF(ISNA(CP98),NA(),Capability!$J$6)</f>
        <v/>
      </c>
      <c r="CT98">
        <f>IF(ISNA(CP98),NA(),Capability!$L$6)</f>
        <v/>
      </c>
      <c r="CU98">
        <f>IF(OR(ISNA(CQ98),ISNA(CQ97)),NA(),ABS(CQ98-CQ97))</f>
        <v/>
      </c>
      <c r="CV98">
        <f>IF(ISNA(CP98),NA(),Capability!$N$6)</f>
        <v/>
      </c>
      <c r="CW98">
        <f>IF(ISNA(CP98),NA(),IF(OR(Capability!$Q$6="",Settings!$F$7&lt;&gt;"Y"),NA(),Capability!$Q$6))</f>
        <v/>
      </c>
      <c r="CX98">
        <f>IF(ISNA(CP98),NA(),IF(OR(Capability!$P$6="",Settings!$F$7&lt;&gt;"Y"),NA(),Capability!$P$6))</f>
        <v/>
      </c>
      <c r="DD98">
        <f>IF((DG$1+94)&gt;DE$1,NA(),(DG$1+94)-4)</f>
        <v/>
      </c>
      <c r="DE98">
        <f>IF((DG$1+94)&gt;DE$1,NA(),INDEX('Data Entry'!$J$5:$J$10004,(DG$1+94)-4))</f>
        <v/>
      </c>
      <c r="DF98">
        <f>IF(ISNA(DD98),NA(),Capability!$K$7)</f>
        <v/>
      </c>
      <c r="DG98">
        <f>IF(ISNA(DD98),NA(),Capability!$J$7)</f>
        <v/>
      </c>
      <c r="DH98">
        <f>IF(ISNA(DD98),NA(),Capability!$L$7)</f>
        <v/>
      </c>
      <c r="DI98">
        <f>IF(OR(ISNA(DE98),ISNA(DE97)),NA(),ABS(DE98-DE97))</f>
        <v/>
      </c>
      <c r="DJ98">
        <f>IF(ISNA(DD98),NA(),Capability!$N$7)</f>
        <v/>
      </c>
      <c r="DK98">
        <f>IF(ISNA(DD98),NA(),IF(OR(Capability!$Q$7="",Settings!$F$7&lt;&gt;"Y"),NA(),Capability!$Q$7))</f>
        <v/>
      </c>
      <c r="DL98">
        <f>IF(ISNA(DD98),NA(),IF(OR(Capability!$P$7="",Settings!$F$7&lt;&gt;"Y"),NA(),Capability!$P$7))</f>
        <v/>
      </c>
      <c r="DR98">
        <f>IF((DU$1+94)&gt;DS$1,NA(),(DU$1+94)-4)</f>
        <v/>
      </c>
      <c r="DS98">
        <f>IF((DU$1+94)&gt;DS$1,NA(),INDEX('Data Entry'!$K$5:$K$10004,(DU$1+94)-4))</f>
        <v/>
      </c>
      <c r="DT98">
        <f>IF(ISNA(DR98),NA(),Capability!$K$8)</f>
        <v/>
      </c>
      <c r="DU98">
        <f>IF(ISNA(DR98),NA(),Capability!$J$8)</f>
        <v/>
      </c>
      <c r="DV98">
        <f>IF(ISNA(DR98),NA(),Capability!$L$8)</f>
        <v/>
      </c>
      <c r="DW98">
        <f>IF(OR(ISNA(DS98),ISNA(DS97)),NA(),ABS(DS98-DS97))</f>
        <v/>
      </c>
      <c r="DX98">
        <f>IF(ISNA(DR98),NA(),Capability!$N$8)</f>
        <v/>
      </c>
      <c r="DY98">
        <f>IF(ISNA(DR98),NA(),IF(OR(Capability!$Q$8="",Settings!$F$7&lt;&gt;"Y"),NA(),Capability!$Q$8))</f>
        <v/>
      </c>
      <c r="DZ98">
        <f>IF(ISNA(DR98),NA(),IF(OR(Capability!$P$8="",Settings!$F$7&lt;&gt;"Y"),NA(),Capability!$P$8))</f>
        <v/>
      </c>
      <c r="EF98">
        <f>IF((EI$1+94)&gt;EG$1,NA(),(EI$1+94)-4)</f>
        <v/>
      </c>
      <c r="EG98">
        <f>IF((EI$1+94)&gt;EG$1,NA(),INDEX('Data Entry'!$L$5:$L$10004,(EI$1+94)-4))</f>
        <v/>
      </c>
      <c r="EH98">
        <f>IF(ISNA(EF98),NA(),Capability!$K$9)</f>
        <v/>
      </c>
      <c r="EI98">
        <f>IF(ISNA(EF98),NA(),Capability!$J$9)</f>
        <v/>
      </c>
      <c r="EJ98">
        <f>IF(ISNA(EF98),NA(),Capability!$L$9)</f>
        <v/>
      </c>
      <c r="EK98">
        <f>IF(OR(ISNA(EG98),ISNA(EG97)),NA(),ABS(EG98-EG97))</f>
        <v/>
      </c>
      <c r="EL98">
        <f>IF(ISNA(EF98),NA(),Capability!$N$9)</f>
        <v/>
      </c>
      <c r="EM98">
        <f>IF(ISNA(EF98),NA(),IF(OR(Capability!$Q$9="",Settings!$F$7&lt;&gt;"Y"),NA(),Capability!$Q$9))</f>
        <v/>
      </c>
      <c r="EN98">
        <f>IF(ISNA(EF98),NA(),IF(OR(Capability!$P$9="",Settings!$F$7&lt;&gt;"Y"),NA(),Capability!$P$9))</f>
        <v/>
      </c>
      <c r="ET98">
        <f>IF((EW$1+94)&gt;EU$1,NA(),(EW$1+94)-4)</f>
        <v/>
      </c>
      <c r="EU98">
        <f>IF((EW$1+94)&gt;EU$1,NA(),INDEX('Data Entry'!$M$5:$M$10004,(EW$1+94)-4))</f>
        <v/>
      </c>
      <c r="EV98">
        <f>IF(ISNA(ET98),NA(),Capability!$K$10)</f>
        <v/>
      </c>
      <c r="EW98">
        <f>IF(ISNA(ET98),NA(),Capability!$J$10)</f>
        <v/>
      </c>
      <c r="EX98">
        <f>IF(ISNA(ET98),NA(),Capability!$L$10)</f>
        <v/>
      </c>
      <c r="EY98">
        <f>IF(OR(ISNA(EU98),ISNA(EU97)),NA(),ABS(EU98-EU97))</f>
        <v/>
      </c>
      <c r="EZ98">
        <f>IF(ISNA(ET98),NA(),Capability!$N$10)</f>
        <v/>
      </c>
      <c r="FA98">
        <f>IF(ISNA(ET98),NA(),IF(OR(Capability!$Q$10="",Settings!$F$7&lt;&gt;"Y"),NA(),Capability!$Q$10))</f>
        <v/>
      </c>
      <c r="FB98">
        <f>IF(ISNA(ET98),NA(),IF(OR(Capability!$P$10="",Settings!$F$7&lt;&gt;"Y"),NA(),Capability!$P$10))</f>
        <v/>
      </c>
      <c r="FH98">
        <f>IF((FK$1+94)&gt;FI$1,NA(),(FK$1+94)-4)</f>
        <v/>
      </c>
      <c r="FI98">
        <f>IF((FK$1+94)&gt;FI$1,NA(),INDEX('Data Entry'!$N$5:$N$10004,(FK$1+94)-4))</f>
        <v/>
      </c>
      <c r="FJ98">
        <f>IF(ISNA(FH98),NA(),Capability!$K$11)</f>
        <v/>
      </c>
      <c r="FK98">
        <f>IF(ISNA(FH98),NA(),Capability!$J$11)</f>
        <v/>
      </c>
      <c r="FL98">
        <f>IF(ISNA(FH98),NA(),Capability!$L$11)</f>
        <v/>
      </c>
      <c r="FM98">
        <f>IF(OR(ISNA(FI98),ISNA(FI97)),NA(),ABS(FI98-FI97))</f>
        <v/>
      </c>
      <c r="FN98">
        <f>IF(ISNA(FH98),NA(),Capability!$N$11)</f>
        <v/>
      </c>
      <c r="FO98">
        <f>IF(ISNA(FH98),NA(),IF(OR(Capability!$Q$11="",Settings!$F$7&lt;&gt;"Y"),NA(),Capability!$Q$11))</f>
        <v/>
      </c>
      <c r="FP98">
        <f>IF(ISNA(FH98),NA(),IF(OR(Capability!$P$11="",Settings!$F$7&lt;&gt;"Y"),NA(),Capability!$P$11))</f>
        <v/>
      </c>
      <c r="FV98">
        <f>IF((FY$1+94)&gt;FW$1,NA(),(FY$1+94)-4)</f>
        <v/>
      </c>
      <c r="FW98">
        <f>IF((FY$1+94)&gt;FW$1,NA(),INDEX('Data Entry'!$O$5:$O$10004,(FY$1+94)-4))</f>
        <v/>
      </c>
      <c r="FX98">
        <f>IF(ISNA(FV98),NA(),Capability!$K$12)</f>
        <v/>
      </c>
      <c r="FY98">
        <f>IF(ISNA(FV98),NA(),Capability!$J$12)</f>
        <v/>
      </c>
      <c r="FZ98">
        <f>IF(ISNA(FV98),NA(),Capability!$L$12)</f>
        <v/>
      </c>
      <c r="GA98">
        <f>IF(OR(ISNA(FW98),ISNA(FW97)),NA(),ABS(FW98-FW97))</f>
        <v/>
      </c>
      <c r="GB98">
        <f>IF(ISNA(FV98),NA(),Capability!$N$12)</f>
        <v/>
      </c>
      <c r="GC98">
        <f>IF(ISNA(FV98),NA(),IF(OR(Capability!$Q$12="",Settings!$F$7&lt;&gt;"Y"),NA(),Capability!$Q$12))</f>
        <v/>
      </c>
      <c r="GD98">
        <f>IF(ISNA(FV98),NA(),IF(OR(Capability!$P$12="",Settings!$F$7&lt;&gt;"Y"),NA(),Capability!$P$12))</f>
        <v/>
      </c>
      <c r="GJ98">
        <f>IF((GM$1+94)&gt;GK$1,NA(),(GM$1+94)-4)</f>
        <v/>
      </c>
      <c r="GK98">
        <f>IF((GM$1+94)&gt;GK$1,NA(),INDEX('Data Entry'!$P$5:$P$10004,(GM$1+94)-4))</f>
        <v/>
      </c>
      <c r="GL98">
        <f>IF(ISNA(GJ98),NA(),Capability!$K$13)</f>
        <v/>
      </c>
      <c r="GM98">
        <f>IF(ISNA(GJ98),NA(),Capability!$J$13)</f>
        <v/>
      </c>
      <c r="GN98">
        <f>IF(ISNA(GJ98),NA(),Capability!$L$13)</f>
        <v/>
      </c>
      <c r="GO98">
        <f>IF(OR(ISNA(GK98),ISNA(GK97)),NA(),ABS(GK98-GK97))</f>
        <v/>
      </c>
      <c r="GP98">
        <f>IF(ISNA(GJ98),NA(),Capability!$N$13)</f>
        <v/>
      </c>
      <c r="GQ98">
        <f>IF(ISNA(GJ98),NA(),IF(OR(Capability!$Q$13="",Settings!$F$7&lt;&gt;"Y"),NA(),Capability!$Q$13))</f>
        <v/>
      </c>
      <c r="GR98">
        <f>IF(ISNA(GJ98),NA(),IF(OR(Capability!$P$13="",Settings!$F$7&lt;&gt;"Y"),NA(),Capability!$P$13))</f>
        <v/>
      </c>
      <c r="GX98">
        <f>IF((HA$1+94)&gt;GY$1,NA(),(HA$1+94)-4)</f>
        <v/>
      </c>
      <c r="GY98">
        <f>IF((HA$1+94)&gt;GY$1,NA(),INDEX('Data Entry'!$Q$5:$Q$10004,(HA$1+94)-4))</f>
        <v/>
      </c>
      <c r="GZ98">
        <f>IF(ISNA(GX98),NA(),Capability!$K$14)</f>
        <v/>
      </c>
      <c r="HA98">
        <f>IF(ISNA(GX98),NA(),Capability!$J$14)</f>
        <v/>
      </c>
      <c r="HB98">
        <f>IF(ISNA(GX98),NA(),Capability!$L$14)</f>
        <v/>
      </c>
      <c r="HC98">
        <f>IF(OR(ISNA(GY98),ISNA(GY97)),NA(),ABS(GY98-GY97))</f>
        <v/>
      </c>
      <c r="HD98">
        <f>IF(ISNA(GX98),NA(),Capability!$N$14)</f>
        <v/>
      </c>
      <c r="HE98">
        <f>IF(ISNA(GX98),NA(),IF(OR(Capability!$Q$14="",Settings!$F$7&lt;&gt;"Y"),NA(),Capability!$Q$14))</f>
        <v/>
      </c>
      <c r="HF98">
        <f>IF(ISNA(GX98),NA(),IF(OR(Capability!$P$14="",Settings!$F$7&lt;&gt;"Y"),NA(),Capability!$P$14))</f>
        <v/>
      </c>
    </row>
    <row r="99">
      <c r="A99" s="35" t="inlineStr">
        <is>
          <t>LCL</t>
        </is>
      </c>
      <c r="B99" s="23">
        <f>Capability!L7</f>
        <v/>
      </c>
      <c r="CB99">
        <f>IF((CE$1+95)&gt;CC$1,NA(),(CE$1+95)-4)</f>
        <v/>
      </c>
      <c r="CC99">
        <f>IF((CE$1+95)&gt;CC$1,NA(),INDEX('Data Entry'!$H$5:$H$10004,(CE$1+95)-4))</f>
        <v/>
      </c>
      <c r="CD99">
        <f>IF(ISNA(CB99),NA(),Capability!$K$5)</f>
        <v/>
      </c>
      <c r="CE99">
        <f>IF(ISNA(CB99),NA(),Capability!$J$5)</f>
        <v/>
      </c>
      <c r="CF99">
        <f>IF(ISNA(CB99),NA(),Capability!$L$5)</f>
        <v/>
      </c>
      <c r="CG99">
        <f>IF(OR(ISNA(CC99),ISNA(CC98)),NA(),ABS(CC99-CC98))</f>
        <v/>
      </c>
      <c r="CH99">
        <f>IF(ISNA(CB99),NA(),Capability!$N$5)</f>
        <v/>
      </c>
      <c r="CI99">
        <f>IF(ISNA(CB99),NA(),IF(OR(Capability!$Q$5="",Settings!$F$7&lt;&gt;"Y"),NA(),Capability!$Q$5))</f>
        <v/>
      </c>
      <c r="CJ99">
        <f>IF(ISNA(CB99),NA(),IF(OR(Capability!$P$5="",Settings!$F$7&lt;&gt;"Y"),NA(),Capability!$P$5))</f>
        <v/>
      </c>
      <c r="CP99">
        <f>IF((CS$1+95)&gt;CQ$1,NA(),(CS$1+95)-4)</f>
        <v/>
      </c>
      <c r="CQ99">
        <f>IF((CS$1+95)&gt;CQ$1,NA(),INDEX('Data Entry'!$I$5:$I$10004,(CS$1+95)-4))</f>
        <v/>
      </c>
      <c r="CR99">
        <f>IF(ISNA(CP99),NA(),Capability!$K$6)</f>
        <v/>
      </c>
      <c r="CS99">
        <f>IF(ISNA(CP99),NA(),Capability!$J$6)</f>
        <v/>
      </c>
      <c r="CT99">
        <f>IF(ISNA(CP99),NA(),Capability!$L$6)</f>
        <v/>
      </c>
      <c r="CU99">
        <f>IF(OR(ISNA(CQ99),ISNA(CQ98)),NA(),ABS(CQ99-CQ98))</f>
        <v/>
      </c>
      <c r="CV99">
        <f>IF(ISNA(CP99),NA(),Capability!$N$6)</f>
        <v/>
      </c>
      <c r="CW99">
        <f>IF(ISNA(CP99),NA(),IF(OR(Capability!$Q$6="",Settings!$F$7&lt;&gt;"Y"),NA(),Capability!$Q$6))</f>
        <v/>
      </c>
      <c r="CX99">
        <f>IF(ISNA(CP99),NA(),IF(OR(Capability!$P$6="",Settings!$F$7&lt;&gt;"Y"),NA(),Capability!$P$6))</f>
        <v/>
      </c>
      <c r="DD99">
        <f>IF((DG$1+95)&gt;DE$1,NA(),(DG$1+95)-4)</f>
        <v/>
      </c>
      <c r="DE99">
        <f>IF((DG$1+95)&gt;DE$1,NA(),INDEX('Data Entry'!$J$5:$J$10004,(DG$1+95)-4))</f>
        <v/>
      </c>
      <c r="DF99">
        <f>IF(ISNA(DD99),NA(),Capability!$K$7)</f>
        <v/>
      </c>
      <c r="DG99">
        <f>IF(ISNA(DD99),NA(),Capability!$J$7)</f>
        <v/>
      </c>
      <c r="DH99">
        <f>IF(ISNA(DD99),NA(),Capability!$L$7)</f>
        <v/>
      </c>
      <c r="DI99">
        <f>IF(OR(ISNA(DE99),ISNA(DE98)),NA(),ABS(DE99-DE98))</f>
        <v/>
      </c>
      <c r="DJ99">
        <f>IF(ISNA(DD99),NA(),Capability!$N$7)</f>
        <v/>
      </c>
      <c r="DK99">
        <f>IF(ISNA(DD99),NA(),IF(OR(Capability!$Q$7="",Settings!$F$7&lt;&gt;"Y"),NA(),Capability!$Q$7))</f>
        <v/>
      </c>
      <c r="DL99">
        <f>IF(ISNA(DD99),NA(),IF(OR(Capability!$P$7="",Settings!$F$7&lt;&gt;"Y"),NA(),Capability!$P$7))</f>
        <v/>
      </c>
      <c r="DR99">
        <f>IF((DU$1+95)&gt;DS$1,NA(),(DU$1+95)-4)</f>
        <v/>
      </c>
      <c r="DS99">
        <f>IF((DU$1+95)&gt;DS$1,NA(),INDEX('Data Entry'!$K$5:$K$10004,(DU$1+95)-4))</f>
        <v/>
      </c>
      <c r="DT99">
        <f>IF(ISNA(DR99),NA(),Capability!$K$8)</f>
        <v/>
      </c>
      <c r="DU99">
        <f>IF(ISNA(DR99),NA(),Capability!$J$8)</f>
        <v/>
      </c>
      <c r="DV99">
        <f>IF(ISNA(DR99),NA(),Capability!$L$8)</f>
        <v/>
      </c>
      <c r="DW99">
        <f>IF(OR(ISNA(DS99),ISNA(DS98)),NA(),ABS(DS99-DS98))</f>
        <v/>
      </c>
      <c r="DX99">
        <f>IF(ISNA(DR99),NA(),Capability!$N$8)</f>
        <v/>
      </c>
      <c r="DY99">
        <f>IF(ISNA(DR99),NA(),IF(OR(Capability!$Q$8="",Settings!$F$7&lt;&gt;"Y"),NA(),Capability!$Q$8))</f>
        <v/>
      </c>
      <c r="DZ99">
        <f>IF(ISNA(DR99),NA(),IF(OR(Capability!$P$8="",Settings!$F$7&lt;&gt;"Y"),NA(),Capability!$P$8))</f>
        <v/>
      </c>
      <c r="EF99">
        <f>IF((EI$1+95)&gt;EG$1,NA(),(EI$1+95)-4)</f>
        <v/>
      </c>
      <c r="EG99">
        <f>IF((EI$1+95)&gt;EG$1,NA(),INDEX('Data Entry'!$L$5:$L$10004,(EI$1+95)-4))</f>
        <v/>
      </c>
      <c r="EH99">
        <f>IF(ISNA(EF99),NA(),Capability!$K$9)</f>
        <v/>
      </c>
      <c r="EI99">
        <f>IF(ISNA(EF99),NA(),Capability!$J$9)</f>
        <v/>
      </c>
      <c r="EJ99">
        <f>IF(ISNA(EF99),NA(),Capability!$L$9)</f>
        <v/>
      </c>
      <c r="EK99">
        <f>IF(OR(ISNA(EG99),ISNA(EG98)),NA(),ABS(EG99-EG98))</f>
        <v/>
      </c>
      <c r="EL99">
        <f>IF(ISNA(EF99),NA(),Capability!$N$9)</f>
        <v/>
      </c>
      <c r="EM99">
        <f>IF(ISNA(EF99),NA(),IF(OR(Capability!$Q$9="",Settings!$F$7&lt;&gt;"Y"),NA(),Capability!$Q$9))</f>
        <v/>
      </c>
      <c r="EN99">
        <f>IF(ISNA(EF99),NA(),IF(OR(Capability!$P$9="",Settings!$F$7&lt;&gt;"Y"),NA(),Capability!$P$9))</f>
        <v/>
      </c>
      <c r="ET99">
        <f>IF((EW$1+95)&gt;EU$1,NA(),(EW$1+95)-4)</f>
        <v/>
      </c>
      <c r="EU99">
        <f>IF((EW$1+95)&gt;EU$1,NA(),INDEX('Data Entry'!$M$5:$M$10004,(EW$1+95)-4))</f>
        <v/>
      </c>
      <c r="EV99">
        <f>IF(ISNA(ET99),NA(),Capability!$K$10)</f>
        <v/>
      </c>
      <c r="EW99">
        <f>IF(ISNA(ET99),NA(),Capability!$J$10)</f>
        <v/>
      </c>
      <c r="EX99">
        <f>IF(ISNA(ET99),NA(),Capability!$L$10)</f>
        <v/>
      </c>
      <c r="EY99">
        <f>IF(OR(ISNA(EU99),ISNA(EU98)),NA(),ABS(EU99-EU98))</f>
        <v/>
      </c>
      <c r="EZ99">
        <f>IF(ISNA(ET99),NA(),Capability!$N$10)</f>
        <v/>
      </c>
      <c r="FA99">
        <f>IF(ISNA(ET99),NA(),IF(OR(Capability!$Q$10="",Settings!$F$7&lt;&gt;"Y"),NA(),Capability!$Q$10))</f>
        <v/>
      </c>
      <c r="FB99">
        <f>IF(ISNA(ET99),NA(),IF(OR(Capability!$P$10="",Settings!$F$7&lt;&gt;"Y"),NA(),Capability!$P$10))</f>
        <v/>
      </c>
      <c r="FH99">
        <f>IF((FK$1+95)&gt;FI$1,NA(),(FK$1+95)-4)</f>
        <v/>
      </c>
      <c r="FI99">
        <f>IF((FK$1+95)&gt;FI$1,NA(),INDEX('Data Entry'!$N$5:$N$10004,(FK$1+95)-4))</f>
        <v/>
      </c>
      <c r="FJ99">
        <f>IF(ISNA(FH99),NA(),Capability!$K$11)</f>
        <v/>
      </c>
      <c r="FK99">
        <f>IF(ISNA(FH99),NA(),Capability!$J$11)</f>
        <v/>
      </c>
      <c r="FL99">
        <f>IF(ISNA(FH99),NA(),Capability!$L$11)</f>
        <v/>
      </c>
      <c r="FM99">
        <f>IF(OR(ISNA(FI99),ISNA(FI98)),NA(),ABS(FI99-FI98))</f>
        <v/>
      </c>
      <c r="FN99">
        <f>IF(ISNA(FH99),NA(),Capability!$N$11)</f>
        <v/>
      </c>
      <c r="FO99">
        <f>IF(ISNA(FH99),NA(),IF(OR(Capability!$Q$11="",Settings!$F$7&lt;&gt;"Y"),NA(),Capability!$Q$11))</f>
        <v/>
      </c>
      <c r="FP99">
        <f>IF(ISNA(FH99),NA(),IF(OR(Capability!$P$11="",Settings!$F$7&lt;&gt;"Y"),NA(),Capability!$P$11))</f>
        <v/>
      </c>
      <c r="FV99">
        <f>IF((FY$1+95)&gt;FW$1,NA(),(FY$1+95)-4)</f>
        <v/>
      </c>
      <c r="FW99">
        <f>IF((FY$1+95)&gt;FW$1,NA(),INDEX('Data Entry'!$O$5:$O$10004,(FY$1+95)-4))</f>
        <v/>
      </c>
      <c r="FX99">
        <f>IF(ISNA(FV99),NA(),Capability!$K$12)</f>
        <v/>
      </c>
      <c r="FY99">
        <f>IF(ISNA(FV99),NA(),Capability!$J$12)</f>
        <v/>
      </c>
      <c r="FZ99">
        <f>IF(ISNA(FV99),NA(),Capability!$L$12)</f>
        <v/>
      </c>
      <c r="GA99">
        <f>IF(OR(ISNA(FW99),ISNA(FW98)),NA(),ABS(FW99-FW98))</f>
        <v/>
      </c>
      <c r="GB99">
        <f>IF(ISNA(FV99),NA(),Capability!$N$12)</f>
        <v/>
      </c>
      <c r="GC99">
        <f>IF(ISNA(FV99),NA(),IF(OR(Capability!$Q$12="",Settings!$F$7&lt;&gt;"Y"),NA(),Capability!$Q$12))</f>
        <v/>
      </c>
      <c r="GD99">
        <f>IF(ISNA(FV99),NA(),IF(OR(Capability!$P$12="",Settings!$F$7&lt;&gt;"Y"),NA(),Capability!$P$12))</f>
        <v/>
      </c>
      <c r="GJ99">
        <f>IF((GM$1+95)&gt;GK$1,NA(),(GM$1+95)-4)</f>
        <v/>
      </c>
      <c r="GK99">
        <f>IF((GM$1+95)&gt;GK$1,NA(),INDEX('Data Entry'!$P$5:$P$10004,(GM$1+95)-4))</f>
        <v/>
      </c>
      <c r="GL99">
        <f>IF(ISNA(GJ99),NA(),Capability!$K$13)</f>
        <v/>
      </c>
      <c r="GM99">
        <f>IF(ISNA(GJ99),NA(),Capability!$J$13)</f>
        <v/>
      </c>
      <c r="GN99">
        <f>IF(ISNA(GJ99),NA(),Capability!$L$13)</f>
        <v/>
      </c>
      <c r="GO99">
        <f>IF(OR(ISNA(GK99),ISNA(GK98)),NA(),ABS(GK99-GK98))</f>
        <v/>
      </c>
      <c r="GP99">
        <f>IF(ISNA(GJ99),NA(),Capability!$N$13)</f>
        <v/>
      </c>
      <c r="GQ99">
        <f>IF(ISNA(GJ99),NA(),IF(OR(Capability!$Q$13="",Settings!$F$7&lt;&gt;"Y"),NA(),Capability!$Q$13))</f>
        <v/>
      </c>
      <c r="GR99">
        <f>IF(ISNA(GJ99),NA(),IF(OR(Capability!$P$13="",Settings!$F$7&lt;&gt;"Y"),NA(),Capability!$P$13))</f>
        <v/>
      </c>
      <c r="GX99">
        <f>IF((HA$1+95)&gt;GY$1,NA(),(HA$1+95)-4)</f>
        <v/>
      </c>
      <c r="GY99">
        <f>IF((HA$1+95)&gt;GY$1,NA(),INDEX('Data Entry'!$Q$5:$Q$10004,(HA$1+95)-4))</f>
        <v/>
      </c>
      <c r="GZ99">
        <f>IF(ISNA(GX99),NA(),Capability!$K$14)</f>
        <v/>
      </c>
      <c r="HA99">
        <f>IF(ISNA(GX99),NA(),Capability!$J$14)</f>
        <v/>
      </c>
      <c r="HB99">
        <f>IF(ISNA(GX99),NA(),Capability!$L$14)</f>
        <v/>
      </c>
      <c r="HC99">
        <f>IF(OR(ISNA(GY99),ISNA(GY98)),NA(),ABS(GY99-GY98))</f>
        <v/>
      </c>
      <c r="HD99">
        <f>IF(ISNA(GX99),NA(),Capability!$N$14)</f>
        <v/>
      </c>
      <c r="HE99">
        <f>IF(ISNA(GX99),NA(),IF(OR(Capability!$Q$14="",Settings!$F$7&lt;&gt;"Y"),NA(),Capability!$Q$14))</f>
        <v/>
      </c>
      <c r="HF99">
        <f>IF(ISNA(GX99),NA(),IF(OR(Capability!$P$14="",Settings!$F$7&lt;&gt;"Y"),NA(),Capability!$P$14))</f>
        <v/>
      </c>
    </row>
    <row r="100">
      <c r="A100" s="35" t="inlineStr">
        <is>
          <t>mR-bar</t>
        </is>
      </c>
      <c r="B100" s="23">
        <f>Capability!M7</f>
        <v/>
      </c>
      <c r="CB100">
        <f>IF((CE$1+96)&gt;CC$1,NA(),(CE$1+96)-4)</f>
        <v/>
      </c>
      <c r="CC100">
        <f>IF((CE$1+96)&gt;CC$1,NA(),INDEX('Data Entry'!$H$5:$H$10004,(CE$1+96)-4))</f>
        <v/>
      </c>
      <c r="CD100">
        <f>IF(ISNA(CB100),NA(),Capability!$K$5)</f>
        <v/>
      </c>
      <c r="CE100">
        <f>IF(ISNA(CB100),NA(),Capability!$J$5)</f>
        <v/>
      </c>
      <c r="CF100">
        <f>IF(ISNA(CB100),NA(),Capability!$L$5)</f>
        <v/>
      </c>
      <c r="CG100">
        <f>IF(OR(ISNA(CC100),ISNA(CC99)),NA(),ABS(CC100-CC99))</f>
        <v/>
      </c>
      <c r="CH100">
        <f>IF(ISNA(CB100),NA(),Capability!$N$5)</f>
        <v/>
      </c>
      <c r="CI100">
        <f>IF(ISNA(CB100),NA(),IF(OR(Capability!$Q$5="",Settings!$F$7&lt;&gt;"Y"),NA(),Capability!$Q$5))</f>
        <v/>
      </c>
      <c r="CJ100">
        <f>IF(ISNA(CB100),NA(),IF(OR(Capability!$P$5="",Settings!$F$7&lt;&gt;"Y"),NA(),Capability!$P$5))</f>
        <v/>
      </c>
      <c r="CP100">
        <f>IF((CS$1+96)&gt;CQ$1,NA(),(CS$1+96)-4)</f>
        <v/>
      </c>
      <c r="CQ100">
        <f>IF((CS$1+96)&gt;CQ$1,NA(),INDEX('Data Entry'!$I$5:$I$10004,(CS$1+96)-4))</f>
        <v/>
      </c>
      <c r="CR100">
        <f>IF(ISNA(CP100),NA(),Capability!$K$6)</f>
        <v/>
      </c>
      <c r="CS100">
        <f>IF(ISNA(CP100),NA(),Capability!$J$6)</f>
        <v/>
      </c>
      <c r="CT100">
        <f>IF(ISNA(CP100),NA(),Capability!$L$6)</f>
        <v/>
      </c>
      <c r="CU100">
        <f>IF(OR(ISNA(CQ100),ISNA(CQ99)),NA(),ABS(CQ100-CQ99))</f>
        <v/>
      </c>
      <c r="CV100">
        <f>IF(ISNA(CP100),NA(),Capability!$N$6)</f>
        <v/>
      </c>
      <c r="CW100">
        <f>IF(ISNA(CP100),NA(),IF(OR(Capability!$Q$6="",Settings!$F$7&lt;&gt;"Y"),NA(),Capability!$Q$6))</f>
        <v/>
      </c>
      <c r="CX100">
        <f>IF(ISNA(CP100),NA(),IF(OR(Capability!$P$6="",Settings!$F$7&lt;&gt;"Y"),NA(),Capability!$P$6))</f>
        <v/>
      </c>
      <c r="DD100">
        <f>IF((DG$1+96)&gt;DE$1,NA(),(DG$1+96)-4)</f>
        <v/>
      </c>
      <c r="DE100">
        <f>IF((DG$1+96)&gt;DE$1,NA(),INDEX('Data Entry'!$J$5:$J$10004,(DG$1+96)-4))</f>
        <v/>
      </c>
      <c r="DF100">
        <f>IF(ISNA(DD100),NA(),Capability!$K$7)</f>
        <v/>
      </c>
      <c r="DG100">
        <f>IF(ISNA(DD100),NA(),Capability!$J$7)</f>
        <v/>
      </c>
      <c r="DH100">
        <f>IF(ISNA(DD100),NA(),Capability!$L$7)</f>
        <v/>
      </c>
      <c r="DI100">
        <f>IF(OR(ISNA(DE100),ISNA(DE99)),NA(),ABS(DE100-DE99))</f>
        <v/>
      </c>
      <c r="DJ100">
        <f>IF(ISNA(DD100),NA(),Capability!$N$7)</f>
        <v/>
      </c>
      <c r="DK100">
        <f>IF(ISNA(DD100),NA(),IF(OR(Capability!$Q$7="",Settings!$F$7&lt;&gt;"Y"),NA(),Capability!$Q$7))</f>
        <v/>
      </c>
      <c r="DL100">
        <f>IF(ISNA(DD100),NA(),IF(OR(Capability!$P$7="",Settings!$F$7&lt;&gt;"Y"),NA(),Capability!$P$7))</f>
        <v/>
      </c>
      <c r="DR100">
        <f>IF((DU$1+96)&gt;DS$1,NA(),(DU$1+96)-4)</f>
        <v/>
      </c>
      <c r="DS100">
        <f>IF((DU$1+96)&gt;DS$1,NA(),INDEX('Data Entry'!$K$5:$K$10004,(DU$1+96)-4))</f>
        <v/>
      </c>
      <c r="DT100">
        <f>IF(ISNA(DR100),NA(),Capability!$K$8)</f>
        <v/>
      </c>
      <c r="DU100">
        <f>IF(ISNA(DR100),NA(),Capability!$J$8)</f>
        <v/>
      </c>
      <c r="DV100">
        <f>IF(ISNA(DR100),NA(),Capability!$L$8)</f>
        <v/>
      </c>
      <c r="DW100">
        <f>IF(OR(ISNA(DS100),ISNA(DS99)),NA(),ABS(DS100-DS99))</f>
        <v/>
      </c>
      <c r="DX100">
        <f>IF(ISNA(DR100),NA(),Capability!$N$8)</f>
        <v/>
      </c>
      <c r="DY100">
        <f>IF(ISNA(DR100),NA(),IF(OR(Capability!$Q$8="",Settings!$F$7&lt;&gt;"Y"),NA(),Capability!$Q$8))</f>
        <v/>
      </c>
      <c r="DZ100">
        <f>IF(ISNA(DR100),NA(),IF(OR(Capability!$P$8="",Settings!$F$7&lt;&gt;"Y"),NA(),Capability!$P$8))</f>
        <v/>
      </c>
      <c r="EF100">
        <f>IF((EI$1+96)&gt;EG$1,NA(),(EI$1+96)-4)</f>
        <v/>
      </c>
      <c r="EG100">
        <f>IF((EI$1+96)&gt;EG$1,NA(),INDEX('Data Entry'!$L$5:$L$10004,(EI$1+96)-4))</f>
        <v/>
      </c>
      <c r="EH100">
        <f>IF(ISNA(EF100),NA(),Capability!$K$9)</f>
        <v/>
      </c>
      <c r="EI100">
        <f>IF(ISNA(EF100),NA(),Capability!$J$9)</f>
        <v/>
      </c>
      <c r="EJ100">
        <f>IF(ISNA(EF100),NA(),Capability!$L$9)</f>
        <v/>
      </c>
      <c r="EK100">
        <f>IF(OR(ISNA(EG100),ISNA(EG99)),NA(),ABS(EG100-EG99))</f>
        <v/>
      </c>
      <c r="EL100">
        <f>IF(ISNA(EF100),NA(),Capability!$N$9)</f>
        <v/>
      </c>
      <c r="EM100">
        <f>IF(ISNA(EF100),NA(),IF(OR(Capability!$Q$9="",Settings!$F$7&lt;&gt;"Y"),NA(),Capability!$Q$9))</f>
        <v/>
      </c>
      <c r="EN100">
        <f>IF(ISNA(EF100),NA(),IF(OR(Capability!$P$9="",Settings!$F$7&lt;&gt;"Y"),NA(),Capability!$P$9))</f>
        <v/>
      </c>
      <c r="ET100">
        <f>IF((EW$1+96)&gt;EU$1,NA(),(EW$1+96)-4)</f>
        <v/>
      </c>
      <c r="EU100">
        <f>IF((EW$1+96)&gt;EU$1,NA(),INDEX('Data Entry'!$M$5:$M$10004,(EW$1+96)-4))</f>
        <v/>
      </c>
      <c r="EV100">
        <f>IF(ISNA(ET100),NA(),Capability!$K$10)</f>
        <v/>
      </c>
      <c r="EW100">
        <f>IF(ISNA(ET100),NA(),Capability!$J$10)</f>
        <v/>
      </c>
      <c r="EX100">
        <f>IF(ISNA(ET100),NA(),Capability!$L$10)</f>
        <v/>
      </c>
      <c r="EY100">
        <f>IF(OR(ISNA(EU100),ISNA(EU99)),NA(),ABS(EU100-EU99))</f>
        <v/>
      </c>
      <c r="EZ100">
        <f>IF(ISNA(ET100),NA(),Capability!$N$10)</f>
        <v/>
      </c>
      <c r="FA100">
        <f>IF(ISNA(ET100),NA(),IF(OR(Capability!$Q$10="",Settings!$F$7&lt;&gt;"Y"),NA(),Capability!$Q$10))</f>
        <v/>
      </c>
      <c r="FB100">
        <f>IF(ISNA(ET100),NA(),IF(OR(Capability!$P$10="",Settings!$F$7&lt;&gt;"Y"),NA(),Capability!$P$10))</f>
        <v/>
      </c>
      <c r="FH100">
        <f>IF((FK$1+96)&gt;FI$1,NA(),(FK$1+96)-4)</f>
        <v/>
      </c>
      <c r="FI100">
        <f>IF((FK$1+96)&gt;FI$1,NA(),INDEX('Data Entry'!$N$5:$N$10004,(FK$1+96)-4))</f>
        <v/>
      </c>
      <c r="FJ100">
        <f>IF(ISNA(FH100),NA(),Capability!$K$11)</f>
        <v/>
      </c>
      <c r="FK100">
        <f>IF(ISNA(FH100),NA(),Capability!$J$11)</f>
        <v/>
      </c>
      <c r="FL100">
        <f>IF(ISNA(FH100),NA(),Capability!$L$11)</f>
        <v/>
      </c>
      <c r="FM100">
        <f>IF(OR(ISNA(FI100),ISNA(FI99)),NA(),ABS(FI100-FI99))</f>
        <v/>
      </c>
      <c r="FN100">
        <f>IF(ISNA(FH100),NA(),Capability!$N$11)</f>
        <v/>
      </c>
      <c r="FO100">
        <f>IF(ISNA(FH100),NA(),IF(OR(Capability!$Q$11="",Settings!$F$7&lt;&gt;"Y"),NA(),Capability!$Q$11))</f>
        <v/>
      </c>
      <c r="FP100">
        <f>IF(ISNA(FH100),NA(),IF(OR(Capability!$P$11="",Settings!$F$7&lt;&gt;"Y"),NA(),Capability!$P$11))</f>
        <v/>
      </c>
      <c r="FV100">
        <f>IF((FY$1+96)&gt;FW$1,NA(),(FY$1+96)-4)</f>
        <v/>
      </c>
      <c r="FW100">
        <f>IF((FY$1+96)&gt;FW$1,NA(),INDEX('Data Entry'!$O$5:$O$10004,(FY$1+96)-4))</f>
        <v/>
      </c>
      <c r="FX100">
        <f>IF(ISNA(FV100),NA(),Capability!$K$12)</f>
        <v/>
      </c>
      <c r="FY100">
        <f>IF(ISNA(FV100),NA(),Capability!$J$12)</f>
        <v/>
      </c>
      <c r="FZ100">
        <f>IF(ISNA(FV100),NA(),Capability!$L$12)</f>
        <v/>
      </c>
      <c r="GA100">
        <f>IF(OR(ISNA(FW100),ISNA(FW99)),NA(),ABS(FW100-FW99))</f>
        <v/>
      </c>
      <c r="GB100">
        <f>IF(ISNA(FV100),NA(),Capability!$N$12)</f>
        <v/>
      </c>
      <c r="GC100">
        <f>IF(ISNA(FV100),NA(),IF(OR(Capability!$Q$12="",Settings!$F$7&lt;&gt;"Y"),NA(),Capability!$Q$12))</f>
        <v/>
      </c>
      <c r="GD100">
        <f>IF(ISNA(FV100),NA(),IF(OR(Capability!$P$12="",Settings!$F$7&lt;&gt;"Y"),NA(),Capability!$P$12))</f>
        <v/>
      </c>
      <c r="GJ100">
        <f>IF((GM$1+96)&gt;GK$1,NA(),(GM$1+96)-4)</f>
        <v/>
      </c>
      <c r="GK100">
        <f>IF((GM$1+96)&gt;GK$1,NA(),INDEX('Data Entry'!$P$5:$P$10004,(GM$1+96)-4))</f>
        <v/>
      </c>
      <c r="GL100">
        <f>IF(ISNA(GJ100),NA(),Capability!$K$13)</f>
        <v/>
      </c>
      <c r="GM100">
        <f>IF(ISNA(GJ100),NA(),Capability!$J$13)</f>
        <v/>
      </c>
      <c r="GN100">
        <f>IF(ISNA(GJ100),NA(),Capability!$L$13)</f>
        <v/>
      </c>
      <c r="GO100">
        <f>IF(OR(ISNA(GK100),ISNA(GK99)),NA(),ABS(GK100-GK99))</f>
        <v/>
      </c>
      <c r="GP100">
        <f>IF(ISNA(GJ100),NA(),Capability!$N$13)</f>
        <v/>
      </c>
      <c r="GQ100">
        <f>IF(ISNA(GJ100),NA(),IF(OR(Capability!$Q$13="",Settings!$F$7&lt;&gt;"Y"),NA(),Capability!$Q$13))</f>
        <v/>
      </c>
      <c r="GR100">
        <f>IF(ISNA(GJ100),NA(),IF(OR(Capability!$P$13="",Settings!$F$7&lt;&gt;"Y"),NA(),Capability!$P$13))</f>
        <v/>
      </c>
      <c r="GX100">
        <f>IF((HA$1+96)&gt;GY$1,NA(),(HA$1+96)-4)</f>
        <v/>
      </c>
      <c r="GY100">
        <f>IF((HA$1+96)&gt;GY$1,NA(),INDEX('Data Entry'!$Q$5:$Q$10004,(HA$1+96)-4))</f>
        <v/>
      </c>
      <c r="GZ100">
        <f>IF(ISNA(GX100),NA(),Capability!$K$14)</f>
        <v/>
      </c>
      <c r="HA100">
        <f>IF(ISNA(GX100),NA(),Capability!$J$14)</f>
        <v/>
      </c>
      <c r="HB100">
        <f>IF(ISNA(GX100),NA(),Capability!$L$14)</f>
        <v/>
      </c>
      <c r="HC100">
        <f>IF(OR(ISNA(GY100),ISNA(GY99)),NA(),ABS(GY100-GY99))</f>
        <v/>
      </c>
      <c r="HD100">
        <f>IF(ISNA(GX100),NA(),Capability!$N$14)</f>
        <v/>
      </c>
      <c r="HE100">
        <f>IF(ISNA(GX100),NA(),IF(OR(Capability!$Q$14="",Settings!$F$7&lt;&gt;"Y"),NA(),Capability!$Q$14))</f>
        <v/>
      </c>
      <c r="HF100">
        <f>IF(ISNA(GX100),NA(),IF(OR(Capability!$P$14="",Settings!$F$7&lt;&gt;"Y"),NA(),Capability!$P$14))</f>
        <v/>
      </c>
    </row>
    <row r="101">
      <c r="A101" s="35" t="inlineStr">
        <is>
          <t>mR UCL</t>
        </is>
      </c>
      <c r="B101" s="23">
        <f>Capability!N7</f>
        <v/>
      </c>
      <c r="CB101">
        <f>IF((CE$1+97)&gt;CC$1,NA(),(CE$1+97)-4)</f>
        <v/>
      </c>
      <c r="CC101">
        <f>IF((CE$1+97)&gt;CC$1,NA(),INDEX('Data Entry'!$H$5:$H$10004,(CE$1+97)-4))</f>
        <v/>
      </c>
      <c r="CD101">
        <f>IF(ISNA(CB101),NA(),Capability!$K$5)</f>
        <v/>
      </c>
      <c r="CE101">
        <f>IF(ISNA(CB101),NA(),Capability!$J$5)</f>
        <v/>
      </c>
      <c r="CF101">
        <f>IF(ISNA(CB101),NA(),Capability!$L$5)</f>
        <v/>
      </c>
      <c r="CG101">
        <f>IF(OR(ISNA(CC101),ISNA(CC100)),NA(),ABS(CC101-CC100))</f>
        <v/>
      </c>
      <c r="CH101">
        <f>IF(ISNA(CB101),NA(),Capability!$N$5)</f>
        <v/>
      </c>
      <c r="CI101">
        <f>IF(ISNA(CB101),NA(),IF(OR(Capability!$Q$5="",Settings!$F$7&lt;&gt;"Y"),NA(),Capability!$Q$5))</f>
        <v/>
      </c>
      <c r="CJ101">
        <f>IF(ISNA(CB101),NA(),IF(OR(Capability!$P$5="",Settings!$F$7&lt;&gt;"Y"),NA(),Capability!$P$5))</f>
        <v/>
      </c>
      <c r="CP101">
        <f>IF((CS$1+97)&gt;CQ$1,NA(),(CS$1+97)-4)</f>
        <v/>
      </c>
      <c r="CQ101">
        <f>IF((CS$1+97)&gt;CQ$1,NA(),INDEX('Data Entry'!$I$5:$I$10004,(CS$1+97)-4))</f>
        <v/>
      </c>
      <c r="CR101">
        <f>IF(ISNA(CP101),NA(),Capability!$K$6)</f>
        <v/>
      </c>
      <c r="CS101">
        <f>IF(ISNA(CP101),NA(),Capability!$J$6)</f>
        <v/>
      </c>
      <c r="CT101">
        <f>IF(ISNA(CP101),NA(),Capability!$L$6)</f>
        <v/>
      </c>
      <c r="CU101">
        <f>IF(OR(ISNA(CQ101),ISNA(CQ100)),NA(),ABS(CQ101-CQ100))</f>
        <v/>
      </c>
      <c r="CV101">
        <f>IF(ISNA(CP101),NA(),Capability!$N$6)</f>
        <v/>
      </c>
      <c r="CW101">
        <f>IF(ISNA(CP101),NA(),IF(OR(Capability!$Q$6="",Settings!$F$7&lt;&gt;"Y"),NA(),Capability!$Q$6))</f>
        <v/>
      </c>
      <c r="CX101">
        <f>IF(ISNA(CP101),NA(),IF(OR(Capability!$P$6="",Settings!$F$7&lt;&gt;"Y"),NA(),Capability!$P$6))</f>
        <v/>
      </c>
      <c r="DD101">
        <f>IF((DG$1+97)&gt;DE$1,NA(),(DG$1+97)-4)</f>
        <v/>
      </c>
      <c r="DE101">
        <f>IF((DG$1+97)&gt;DE$1,NA(),INDEX('Data Entry'!$J$5:$J$10004,(DG$1+97)-4))</f>
        <v/>
      </c>
      <c r="DF101">
        <f>IF(ISNA(DD101),NA(),Capability!$K$7)</f>
        <v/>
      </c>
      <c r="DG101">
        <f>IF(ISNA(DD101),NA(),Capability!$J$7)</f>
        <v/>
      </c>
      <c r="DH101">
        <f>IF(ISNA(DD101),NA(),Capability!$L$7)</f>
        <v/>
      </c>
      <c r="DI101">
        <f>IF(OR(ISNA(DE101),ISNA(DE100)),NA(),ABS(DE101-DE100))</f>
        <v/>
      </c>
      <c r="DJ101">
        <f>IF(ISNA(DD101),NA(),Capability!$N$7)</f>
        <v/>
      </c>
      <c r="DK101">
        <f>IF(ISNA(DD101),NA(),IF(OR(Capability!$Q$7="",Settings!$F$7&lt;&gt;"Y"),NA(),Capability!$Q$7))</f>
        <v/>
      </c>
      <c r="DL101">
        <f>IF(ISNA(DD101),NA(),IF(OR(Capability!$P$7="",Settings!$F$7&lt;&gt;"Y"),NA(),Capability!$P$7))</f>
        <v/>
      </c>
      <c r="DR101">
        <f>IF((DU$1+97)&gt;DS$1,NA(),(DU$1+97)-4)</f>
        <v/>
      </c>
      <c r="DS101">
        <f>IF((DU$1+97)&gt;DS$1,NA(),INDEX('Data Entry'!$K$5:$K$10004,(DU$1+97)-4))</f>
        <v/>
      </c>
      <c r="DT101">
        <f>IF(ISNA(DR101),NA(),Capability!$K$8)</f>
        <v/>
      </c>
      <c r="DU101">
        <f>IF(ISNA(DR101),NA(),Capability!$J$8)</f>
        <v/>
      </c>
      <c r="DV101">
        <f>IF(ISNA(DR101),NA(),Capability!$L$8)</f>
        <v/>
      </c>
      <c r="DW101">
        <f>IF(OR(ISNA(DS101),ISNA(DS100)),NA(),ABS(DS101-DS100))</f>
        <v/>
      </c>
      <c r="DX101">
        <f>IF(ISNA(DR101),NA(),Capability!$N$8)</f>
        <v/>
      </c>
      <c r="DY101">
        <f>IF(ISNA(DR101),NA(),IF(OR(Capability!$Q$8="",Settings!$F$7&lt;&gt;"Y"),NA(),Capability!$Q$8))</f>
        <v/>
      </c>
      <c r="DZ101">
        <f>IF(ISNA(DR101),NA(),IF(OR(Capability!$P$8="",Settings!$F$7&lt;&gt;"Y"),NA(),Capability!$P$8))</f>
        <v/>
      </c>
      <c r="EF101">
        <f>IF((EI$1+97)&gt;EG$1,NA(),(EI$1+97)-4)</f>
        <v/>
      </c>
      <c r="EG101">
        <f>IF((EI$1+97)&gt;EG$1,NA(),INDEX('Data Entry'!$L$5:$L$10004,(EI$1+97)-4))</f>
        <v/>
      </c>
      <c r="EH101">
        <f>IF(ISNA(EF101),NA(),Capability!$K$9)</f>
        <v/>
      </c>
      <c r="EI101">
        <f>IF(ISNA(EF101),NA(),Capability!$J$9)</f>
        <v/>
      </c>
      <c r="EJ101">
        <f>IF(ISNA(EF101),NA(),Capability!$L$9)</f>
        <v/>
      </c>
      <c r="EK101">
        <f>IF(OR(ISNA(EG101),ISNA(EG100)),NA(),ABS(EG101-EG100))</f>
        <v/>
      </c>
      <c r="EL101">
        <f>IF(ISNA(EF101),NA(),Capability!$N$9)</f>
        <v/>
      </c>
      <c r="EM101">
        <f>IF(ISNA(EF101),NA(),IF(OR(Capability!$Q$9="",Settings!$F$7&lt;&gt;"Y"),NA(),Capability!$Q$9))</f>
        <v/>
      </c>
      <c r="EN101">
        <f>IF(ISNA(EF101),NA(),IF(OR(Capability!$P$9="",Settings!$F$7&lt;&gt;"Y"),NA(),Capability!$P$9))</f>
        <v/>
      </c>
      <c r="ET101">
        <f>IF((EW$1+97)&gt;EU$1,NA(),(EW$1+97)-4)</f>
        <v/>
      </c>
      <c r="EU101">
        <f>IF((EW$1+97)&gt;EU$1,NA(),INDEX('Data Entry'!$M$5:$M$10004,(EW$1+97)-4))</f>
        <v/>
      </c>
      <c r="EV101">
        <f>IF(ISNA(ET101),NA(),Capability!$K$10)</f>
        <v/>
      </c>
      <c r="EW101">
        <f>IF(ISNA(ET101),NA(),Capability!$J$10)</f>
        <v/>
      </c>
      <c r="EX101">
        <f>IF(ISNA(ET101),NA(),Capability!$L$10)</f>
        <v/>
      </c>
      <c r="EY101">
        <f>IF(OR(ISNA(EU101),ISNA(EU100)),NA(),ABS(EU101-EU100))</f>
        <v/>
      </c>
      <c r="EZ101">
        <f>IF(ISNA(ET101),NA(),Capability!$N$10)</f>
        <v/>
      </c>
      <c r="FA101">
        <f>IF(ISNA(ET101),NA(),IF(OR(Capability!$Q$10="",Settings!$F$7&lt;&gt;"Y"),NA(),Capability!$Q$10))</f>
        <v/>
      </c>
      <c r="FB101">
        <f>IF(ISNA(ET101),NA(),IF(OR(Capability!$P$10="",Settings!$F$7&lt;&gt;"Y"),NA(),Capability!$P$10))</f>
        <v/>
      </c>
      <c r="FH101">
        <f>IF((FK$1+97)&gt;FI$1,NA(),(FK$1+97)-4)</f>
        <v/>
      </c>
      <c r="FI101">
        <f>IF((FK$1+97)&gt;FI$1,NA(),INDEX('Data Entry'!$N$5:$N$10004,(FK$1+97)-4))</f>
        <v/>
      </c>
      <c r="FJ101">
        <f>IF(ISNA(FH101),NA(),Capability!$K$11)</f>
        <v/>
      </c>
      <c r="FK101">
        <f>IF(ISNA(FH101),NA(),Capability!$J$11)</f>
        <v/>
      </c>
      <c r="FL101">
        <f>IF(ISNA(FH101),NA(),Capability!$L$11)</f>
        <v/>
      </c>
      <c r="FM101">
        <f>IF(OR(ISNA(FI101),ISNA(FI100)),NA(),ABS(FI101-FI100))</f>
        <v/>
      </c>
      <c r="FN101">
        <f>IF(ISNA(FH101),NA(),Capability!$N$11)</f>
        <v/>
      </c>
      <c r="FO101">
        <f>IF(ISNA(FH101),NA(),IF(OR(Capability!$Q$11="",Settings!$F$7&lt;&gt;"Y"),NA(),Capability!$Q$11))</f>
        <v/>
      </c>
      <c r="FP101">
        <f>IF(ISNA(FH101),NA(),IF(OR(Capability!$P$11="",Settings!$F$7&lt;&gt;"Y"),NA(),Capability!$P$11))</f>
        <v/>
      </c>
      <c r="FV101">
        <f>IF((FY$1+97)&gt;FW$1,NA(),(FY$1+97)-4)</f>
        <v/>
      </c>
      <c r="FW101">
        <f>IF((FY$1+97)&gt;FW$1,NA(),INDEX('Data Entry'!$O$5:$O$10004,(FY$1+97)-4))</f>
        <v/>
      </c>
      <c r="FX101">
        <f>IF(ISNA(FV101),NA(),Capability!$K$12)</f>
        <v/>
      </c>
      <c r="FY101">
        <f>IF(ISNA(FV101),NA(),Capability!$J$12)</f>
        <v/>
      </c>
      <c r="FZ101">
        <f>IF(ISNA(FV101),NA(),Capability!$L$12)</f>
        <v/>
      </c>
      <c r="GA101">
        <f>IF(OR(ISNA(FW101),ISNA(FW100)),NA(),ABS(FW101-FW100))</f>
        <v/>
      </c>
      <c r="GB101">
        <f>IF(ISNA(FV101),NA(),Capability!$N$12)</f>
        <v/>
      </c>
      <c r="GC101">
        <f>IF(ISNA(FV101),NA(),IF(OR(Capability!$Q$12="",Settings!$F$7&lt;&gt;"Y"),NA(),Capability!$Q$12))</f>
        <v/>
      </c>
      <c r="GD101">
        <f>IF(ISNA(FV101),NA(),IF(OR(Capability!$P$12="",Settings!$F$7&lt;&gt;"Y"),NA(),Capability!$P$12))</f>
        <v/>
      </c>
      <c r="GJ101">
        <f>IF((GM$1+97)&gt;GK$1,NA(),(GM$1+97)-4)</f>
        <v/>
      </c>
      <c r="GK101">
        <f>IF((GM$1+97)&gt;GK$1,NA(),INDEX('Data Entry'!$P$5:$P$10004,(GM$1+97)-4))</f>
        <v/>
      </c>
      <c r="GL101">
        <f>IF(ISNA(GJ101),NA(),Capability!$K$13)</f>
        <v/>
      </c>
      <c r="GM101">
        <f>IF(ISNA(GJ101),NA(),Capability!$J$13)</f>
        <v/>
      </c>
      <c r="GN101">
        <f>IF(ISNA(GJ101),NA(),Capability!$L$13)</f>
        <v/>
      </c>
      <c r="GO101">
        <f>IF(OR(ISNA(GK101),ISNA(GK100)),NA(),ABS(GK101-GK100))</f>
        <v/>
      </c>
      <c r="GP101">
        <f>IF(ISNA(GJ101),NA(),Capability!$N$13)</f>
        <v/>
      </c>
      <c r="GQ101">
        <f>IF(ISNA(GJ101),NA(),IF(OR(Capability!$Q$13="",Settings!$F$7&lt;&gt;"Y"),NA(),Capability!$Q$13))</f>
        <v/>
      </c>
      <c r="GR101">
        <f>IF(ISNA(GJ101),NA(),IF(OR(Capability!$P$13="",Settings!$F$7&lt;&gt;"Y"),NA(),Capability!$P$13))</f>
        <v/>
      </c>
      <c r="GX101">
        <f>IF((HA$1+97)&gt;GY$1,NA(),(HA$1+97)-4)</f>
        <v/>
      </c>
      <c r="GY101">
        <f>IF((HA$1+97)&gt;GY$1,NA(),INDEX('Data Entry'!$Q$5:$Q$10004,(HA$1+97)-4))</f>
        <v/>
      </c>
      <c r="GZ101">
        <f>IF(ISNA(GX101),NA(),Capability!$K$14)</f>
        <v/>
      </c>
      <c r="HA101">
        <f>IF(ISNA(GX101),NA(),Capability!$J$14)</f>
        <v/>
      </c>
      <c r="HB101">
        <f>IF(ISNA(GX101),NA(),Capability!$L$14)</f>
        <v/>
      </c>
      <c r="HC101">
        <f>IF(OR(ISNA(GY101),ISNA(GY100)),NA(),ABS(GY101-GY100))</f>
        <v/>
      </c>
      <c r="HD101">
        <f>IF(ISNA(GX101),NA(),Capability!$N$14)</f>
        <v/>
      </c>
      <c r="HE101">
        <f>IF(ISNA(GX101),NA(),IF(OR(Capability!$Q$14="",Settings!$F$7&lt;&gt;"Y"),NA(),Capability!$Q$14))</f>
        <v/>
      </c>
      <c r="HF101">
        <f>IF(ISNA(GX101),NA(),IF(OR(Capability!$P$14="",Settings!$F$7&lt;&gt;"Y"),NA(),Capability!$P$14))</f>
        <v/>
      </c>
    </row>
    <row r="102">
      <c r="A102" s="37" t="inlineStr">
        <is>
          <t>SPECIFICATION</t>
        </is>
      </c>
      <c r="B102" s="28" t="n"/>
      <c r="CB102">
        <f>IF((CE$1+98)&gt;CC$1,NA(),(CE$1+98)-4)</f>
        <v/>
      </c>
      <c r="CC102">
        <f>IF((CE$1+98)&gt;CC$1,NA(),INDEX('Data Entry'!$H$5:$H$10004,(CE$1+98)-4))</f>
        <v/>
      </c>
      <c r="CD102">
        <f>IF(ISNA(CB102),NA(),Capability!$K$5)</f>
        <v/>
      </c>
      <c r="CE102">
        <f>IF(ISNA(CB102),NA(),Capability!$J$5)</f>
        <v/>
      </c>
      <c r="CF102">
        <f>IF(ISNA(CB102),NA(),Capability!$L$5)</f>
        <v/>
      </c>
      <c r="CG102">
        <f>IF(OR(ISNA(CC102),ISNA(CC101)),NA(),ABS(CC102-CC101))</f>
        <v/>
      </c>
      <c r="CH102">
        <f>IF(ISNA(CB102),NA(),Capability!$N$5)</f>
        <v/>
      </c>
      <c r="CI102">
        <f>IF(ISNA(CB102),NA(),IF(OR(Capability!$Q$5="",Settings!$F$7&lt;&gt;"Y"),NA(),Capability!$Q$5))</f>
        <v/>
      </c>
      <c r="CJ102">
        <f>IF(ISNA(CB102),NA(),IF(OR(Capability!$P$5="",Settings!$F$7&lt;&gt;"Y"),NA(),Capability!$P$5))</f>
        <v/>
      </c>
      <c r="CP102">
        <f>IF((CS$1+98)&gt;CQ$1,NA(),(CS$1+98)-4)</f>
        <v/>
      </c>
      <c r="CQ102">
        <f>IF((CS$1+98)&gt;CQ$1,NA(),INDEX('Data Entry'!$I$5:$I$10004,(CS$1+98)-4))</f>
        <v/>
      </c>
      <c r="CR102">
        <f>IF(ISNA(CP102),NA(),Capability!$K$6)</f>
        <v/>
      </c>
      <c r="CS102">
        <f>IF(ISNA(CP102),NA(),Capability!$J$6)</f>
        <v/>
      </c>
      <c r="CT102">
        <f>IF(ISNA(CP102),NA(),Capability!$L$6)</f>
        <v/>
      </c>
      <c r="CU102">
        <f>IF(OR(ISNA(CQ102),ISNA(CQ101)),NA(),ABS(CQ102-CQ101))</f>
        <v/>
      </c>
      <c r="CV102">
        <f>IF(ISNA(CP102),NA(),Capability!$N$6)</f>
        <v/>
      </c>
      <c r="CW102">
        <f>IF(ISNA(CP102),NA(),IF(OR(Capability!$Q$6="",Settings!$F$7&lt;&gt;"Y"),NA(),Capability!$Q$6))</f>
        <v/>
      </c>
      <c r="CX102">
        <f>IF(ISNA(CP102),NA(),IF(OR(Capability!$P$6="",Settings!$F$7&lt;&gt;"Y"),NA(),Capability!$P$6))</f>
        <v/>
      </c>
      <c r="DD102">
        <f>IF((DG$1+98)&gt;DE$1,NA(),(DG$1+98)-4)</f>
        <v/>
      </c>
      <c r="DE102">
        <f>IF((DG$1+98)&gt;DE$1,NA(),INDEX('Data Entry'!$J$5:$J$10004,(DG$1+98)-4))</f>
        <v/>
      </c>
      <c r="DF102">
        <f>IF(ISNA(DD102),NA(),Capability!$K$7)</f>
        <v/>
      </c>
      <c r="DG102">
        <f>IF(ISNA(DD102),NA(),Capability!$J$7)</f>
        <v/>
      </c>
      <c r="DH102">
        <f>IF(ISNA(DD102),NA(),Capability!$L$7)</f>
        <v/>
      </c>
      <c r="DI102">
        <f>IF(OR(ISNA(DE102),ISNA(DE101)),NA(),ABS(DE102-DE101))</f>
        <v/>
      </c>
      <c r="DJ102">
        <f>IF(ISNA(DD102),NA(),Capability!$N$7)</f>
        <v/>
      </c>
      <c r="DK102">
        <f>IF(ISNA(DD102),NA(),IF(OR(Capability!$Q$7="",Settings!$F$7&lt;&gt;"Y"),NA(),Capability!$Q$7))</f>
        <v/>
      </c>
      <c r="DL102">
        <f>IF(ISNA(DD102),NA(),IF(OR(Capability!$P$7="",Settings!$F$7&lt;&gt;"Y"),NA(),Capability!$P$7))</f>
        <v/>
      </c>
      <c r="DR102">
        <f>IF((DU$1+98)&gt;DS$1,NA(),(DU$1+98)-4)</f>
        <v/>
      </c>
      <c r="DS102">
        <f>IF((DU$1+98)&gt;DS$1,NA(),INDEX('Data Entry'!$K$5:$K$10004,(DU$1+98)-4))</f>
        <v/>
      </c>
      <c r="DT102">
        <f>IF(ISNA(DR102),NA(),Capability!$K$8)</f>
        <v/>
      </c>
      <c r="DU102">
        <f>IF(ISNA(DR102),NA(),Capability!$J$8)</f>
        <v/>
      </c>
      <c r="DV102">
        <f>IF(ISNA(DR102),NA(),Capability!$L$8)</f>
        <v/>
      </c>
      <c r="DW102">
        <f>IF(OR(ISNA(DS102),ISNA(DS101)),NA(),ABS(DS102-DS101))</f>
        <v/>
      </c>
      <c r="DX102">
        <f>IF(ISNA(DR102),NA(),Capability!$N$8)</f>
        <v/>
      </c>
      <c r="DY102">
        <f>IF(ISNA(DR102),NA(),IF(OR(Capability!$Q$8="",Settings!$F$7&lt;&gt;"Y"),NA(),Capability!$Q$8))</f>
        <v/>
      </c>
      <c r="DZ102">
        <f>IF(ISNA(DR102),NA(),IF(OR(Capability!$P$8="",Settings!$F$7&lt;&gt;"Y"),NA(),Capability!$P$8))</f>
        <v/>
      </c>
      <c r="EF102">
        <f>IF((EI$1+98)&gt;EG$1,NA(),(EI$1+98)-4)</f>
        <v/>
      </c>
      <c r="EG102">
        <f>IF((EI$1+98)&gt;EG$1,NA(),INDEX('Data Entry'!$L$5:$L$10004,(EI$1+98)-4))</f>
        <v/>
      </c>
      <c r="EH102">
        <f>IF(ISNA(EF102),NA(),Capability!$K$9)</f>
        <v/>
      </c>
      <c r="EI102">
        <f>IF(ISNA(EF102),NA(),Capability!$J$9)</f>
        <v/>
      </c>
      <c r="EJ102">
        <f>IF(ISNA(EF102),NA(),Capability!$L$9)</f>
        <v/>
      </c>
      <c r="EK102">
        <f>IF(OR(ISNA(EG102),ISNA(EG101)),NA(),ABS(EG102-EG101))</f>
        <v/>
      </c>
      <c r="EL102">
        <f>IF(ISNA(EF102),NA(),Capability!$N$9)</f>
        <v/>
      </c>
      <c r="EM102">
        <f>IF(ISNA(EF102),NA(),IF(OR(Capability!$Q$9="",Settings!$F$7&lt;&gt;"Y"),NA(),Capability!$Q$9))</f>
        <v/>
      </c>
      <c r="EN102">
        <f>IF(ISNA(EF102),NA(),IF(OR(Capability!$P$9="",Settings!$F$7&lt;&gt;"Y"),NA(),Capability!$P$9))</f>
        <v/>
      </c>
      <c r="ET102">
        <f>IF((EW$1+98)&gt;EU$1,NA(),(EW$1+98)-4)</f>
        <v/>
      </c>
      <c r="EU102">
        <f>IF((EW$1+98)&gt;EU$1,NA(),INDEX('Data Entry'!$M$5:$M$10004,(EW$1+98)-4))</f>
        <v/>
      </c>
      <c r="EV102">
        <f>IF(ISNA(ET102),NA(),Capability!$K$10)</f>
        <v/>
      </c>
      <c r="EW102">
        <f>IF(ISNA(ET102),NA(),Capability!$J$10)</f>
        <v/>
      </c>
      <c r="EX102">
        <f>IF(ISNA(ET102),NA(),Capability!$L$10)</f>
        <v/>
      </c>
      <c r="EY102">
        <f>IF(OR(ISNA(EU102),ISNA(EU101)),NA(),ABS(EU102-EU101))</f>
        <v/>
      </c>
      <c r="EZ102">
        <f>IF(ISNA(ET102),NA(),Capability!$N$10)</f>
        <v/>
      </c>
      <c r="FA102">
        <f>IF(ISNA(ET102),NA(),IF(OR(Capability!$Q$10="",Settings!$F$7&lt;&gt;"Y"),NA(),Capability!$Q$10))</f>
        <v/>
      </c>
      <c r="FB102">
        <f>IF(ISNA(ET102),NA(),IF(OR(Capability!$P$10="",Settings!$F$7&lt;&gt;"Y"),NA(),Capability!$P$10))</f>
        <v/>
      </c>
      <c r="FH102">
        <f>IF((FK$1+98)&gt;FI$1,NA(),(FK$1+98)-4)</f>
        <v/>
      </c>
      <c r="FI102">
        <f>IF((FK$1+98)&gt;FI$1,NA(),INDEX('Data Entry'!$N$5:$N$10004,(FK$1+98)-4))</f>
        <v/>
      </c>
      <c r="FJ102">
        <f>IF(ISNA(FH102),NA(),Capability!$K$11)</f>
        <v/>
      </c>
      <c r="FK102">
        <f>IF(ISNA(FH102),NA(),Capability!$J$11)</f>
        <v/>
      </c>
      <c r="FL102">
        <f>IF(ISNA(FH102),NA(),Capability!$L$11)</f>
        <v/>
      </c>
      <c r="FM102">
        <f>IF(OR(ISNA(FI102),ISNA(FI101)),NA(),ABS(FI102-FI101))</f>
        <v/>
      </c>
      <c r="FN102">
        <f>IF(ISNA(FH102),NA(),Capability!$N$11)</f>
        <v/>
      </c>
      <c r="FO102">
        <f>IF(ISNA(FH102),NA(),IF(OR(Capability!$Q$11="",Settings!$F$7&lt;&gt;"Y"),NA(),Capability!$Q$11))</f>
        <v/>
      </c>
      <c r="FP102">
        <f>IF(ISNA(FH102),NA(),IF(OR(Capability!$P$11="",Settings!$F$7&lt;&gt;"Y"),NA(),Capability!$P$11))</f>
        <v/>
      </c>
      <c r="FV102">
        <f>IF((FY$1+98)&gt;FW$1,NA(),(FY$1+98)-4)</f>
        <v/>
      </c>
      <c r="FW102">
        <f>IF((FY$1+98)&gt;FW$1,NA(),INDEX('Data Entry'!$O$5:$O$10004,(FY$1+98)-4))</f>
        <v/>
      </c>
      <c r="FX102">
        <f>IF(ISNA(FV102),NA(),Capability!$K$12)</f>
        <v/>
      </c>
      <c r="FY102">
        <f>IF(ISNA(FV102),NA(),Capability!$J$12)</f>
        <v/>
      </c>
      <c r="FZ102">
        <f>IF(ISNA(FV102),NA(),Capability!$L$12)</f>
        <v/>
      </c>
      <c r="GA102">
        <f>IF(OR(ISNA(FW102),ISNA(FW101)),NA(),ABS(FW102-FW101))</f>
        <v/>
      </c>
      <c r="GB102">
        <f>IF(ISNA(FV102),NA(),Capability!$N$12)</f>
        <v/>
      </c>
      <c r="GC102">
        <f>IF(ISNA(FV102),NA(),IF(OR(Capability!$Q$12="",Settings!$F$7&lt;&gt;"Y"),NA(),Capability!$Q$12))</f>
        <v/>
      </c>
      <c r="GD102">
        <f>IF(ISNA(FV102),NA(),IF(OR(Capability!$P$12="",Settings!$F$7&lt;&gt;"Y"),NA(),Capability!$P$12))</f>
        <v/>
      </c>
      <c r="GJ102">
        <f>IF((GM$1+98)&gt;GK$1,NA(),(GM$1+98)-4)</f>
        <v/>
      </c>
      <c r="GK102">
        <f>IF((GM$1+98)&gt;GK$1,NA(),INDEX('Data Entry'!$P$5:$P$10004,(GM$1+98)-4))</f>
        <v/>
      </c>
      <c r="GL102">
        <f>IF(ISNA(GJ102),NA(),Capability!$K$13)</f>
        <v/>
      </c>
      <c r="GM102">
        <f>IF(ISNA(GJ102),NA(),Capability!$J$13)</f>
        <v/>
      </c>
      <c r="GN102">
        <f>IF(ISNA(GJ102),NA(),Capability!$L$13)</f>
        <v/>
      </c>
      <c r="GO102">
        <f>IF(OR(ISNA(GK102),ISNA(GK101)),NA(),ABS(GK102-GK101))</f>
        <v/>
      </c>
      <c r="GP102">
        <f>IF(ISNA(GJ102),NA(),Capability!$N$13)</f>
        <v/>
      </c>
      <c r="GQ102">
        <f>IF(ISNA(GJ102),NA(),IF(OR(Capability!$Q$13="",Settings!$F$7&lt;&gt;"Y"),NA(),Capability!$Q$13))</f>
        <v/>
      </c>
      <c r="GR102">
        <f>IF(ISNA(GJ102),NA(),IF(OR(Capability!$P$13="",Settings!$F$7&lt;&gt;"Y"),NA(),Capability!$P$13))</f>
        <v/>
      </c>
      <c r="GX102">
        <f>IF((HA$1+98)&gt;GY$1,NA(),(HA$1+98)-4)</f>
        <v/>
      </c>
      <c r="GY102">
        <f>IF((HA$1+98)&gt;GY$1,NA(),INDEX('Data Entry'!$Q$5:$Q$10004,(HA$1+98)-4))</f>
        <v/>
      </c>
      <c r="GZ102">
        <f>IF(ISNA(GX102),NA(),Capability!$K$14)</f>
        <v/>
      </c>
      <c r="HA102">
        <f>IF(ISNA(GX102),NA(),Capability!$J$14)</f>
        <v/>
      </c>
      <c r="HB102">
        <f>IF(ISNA(GX102),NA(),Capability!$L$14)</f>
        <v/>
      </c>
      <c r="HC102">
        <f>IF(OR(ISNA(GY102),ISNA(GY101)),NA(),ABS(GY102-GY101))</f>
        <v/>
      </c>
      <c r="HD102">
        <f>IF(ISNA(GX102),NA(),Capability!$N$14)</f>
        <v/>
      </c>
      <c r="HE102">
        <f>IF(ISNA(GX102),NA(),IF(OR(Capability!$Q$14="",Settings!$F$7&lt;&gt;"Y"),NA(),Capability!$Q$14))</f>
        <v/>
      </c>
      <c r="HF102">
        <f>IF(ISNA(GX102),NA(),IF(OR(Capability!$P$14="",Settings!$F$7&lt;&gt;"Y"),NA(),Capability!$P$14))</f>
        <v/>
      </c>
    </row>
    <row r="103">
      <c r="A103" s="35" t="inlineStr">
        <is>
          <t>USL</t>
        </is>
      </c>
      <c r="B103" s="23">
        <f>Capability!Q7</f>
        <v/>
      </c>
      <c r="CB103">
        <f>IF((CE$1+99)&gt;CC$1,NA(),(CE$1+99)-4)</f>
        <v/>
      </c>
      <c r="CC103">
        <f>IF((CE$1+99)&gt;CC$1,NA(),INDEX('Data Entry'!$H$5:$H$10004,(CE$1+99)-4))</f>
        <v/>
      </c>
      <c r="CD103">
        <f>IF(ISNA(CB103),NA(),Capability!$K$5)</f>
        <v/>
      </c>
      <c r="CE103">
        <f>IF(ISNA(CB103),NA(),Capability!$J$5)</f>
        <v/>
      </c>
      <c r="CF103">
        <f>IF(ISNA(CB103),NA(),Capability!$L$5)</f>
        <v/>
      </c>
      <c r="CG103">
        <f>IF(OR(ISNA(CC103),ISNA(CC102)),NA(),ABS(CC103-CC102))</f>
        <v/>
      </c>
      <c r="CH103">
        <f>IF(ISNA(CB103),NA(),Capability!$N$5)</f>
        <v/>
      </c>
      <c r="CI103">
        <f>IF(ISNA(CB103),NA(),IF(OR(Capability!$Q$5="",Settings!$F$7&lt;&gt;"Y"),NA(),Capability!$Q$5))</f>
        <v/>
      </c>
      <c r="CJ103">
        <f>IF(ISNA(CB103),NA(),IF(OR(Capability!$P$5="",Settings!$F$7&lt;&gt;"Y"),NA(),Capability!$P$5))</f>
        <v/>
      </c>
      <c r="CP103">
        <f>IF((CS$1+99)&gt;CQ$1,NA(),(CS$1+99)-4)</f>
        <v/>
      </c>
      <c r="CQ103">
        <f>IF((CS$1+99)&gt;CQ$1,NA(),INDEX('Data Entry'!$I$5:$I$10004,(CS$1+99)-4))</f>
        <v/>
      </c>
      <c r="CR103">
        <f>IF(ISNA(CP103),NA(),Capability!$K$6)</f>
        <v/>
      </c>
      <c r="CS103">
        <f>IF(ISNA(CP103),NA(),Capability!$J$6)</f>
        <v/>
      </c>
      <c r="CT103">
        <f>IF(ISNA(CP103),NA(),Capability!$L$6)</f>
        <v/>
      </c>
      <c r="CU103">
        <f>IF(OR(ISNA(CQ103),ISNA(CQ102)),NA(),ABS(CQ103-CQ102))</f>
        <v/>
      </c>
      <c r="CV103">
        <f>IF(ISNA(CP103),NA(),Capability!$N$6)</f>
        <v/>
      </c>
      <c r="CW103">
        <f>IF(ISNA(CP103),NA(),IF(OR(Capability!$Q$6="",Settings!$F$7&lt;&gt;"Y"),NA(),Capability!$Q$6))</f>
        <v/>
      </c>
      <c r="CX103">
        <f>IF(ISNA(CP103),NA(),IF(OR(Capability!$P$6="",Settings!$F$7&lt;&gt;"Y"),NA(),Capability!$P$6))</f>
        <v/>
      </c>
      <c r="DD103">
        <f>IF((DG$1+99)&gt;DE$1,NA(),(DG$1+99)-4)</f>
        <v/>
      </c>
      <c r="DE103">
        <f>IF((DG$1+99)&gt;DE$1,NA(),INDEX('Data Entry'!$J$5:$J$10004,(DG$1+99)-4))</f>
        <v/>
      </c>
      <c r="DF103">
        <f>IF(ISNA(DD103),NA(),Capability!$K$7)</f>
        <v/>
      </c>
      <c r="DG103">
        <f>IF(ISNA(DD103),NA(),Capability!$J$7)</f>
        <v/>
      </c>
      <c r="DH103">
        <f>IF(ISNA(DD103),NA(),Capability!$L$7)</f>
        <v/>
      </c>
      <c r="DI103">
        <f>IF(OR(ISNA(DE103),ISNA(DE102)),NA(),ABS(DE103-DE102))</f>
        <v/>
      </c>
      <c r="DJ103">
        <f>IF(ISNA(DD103),NA(),Capability!$N$7)</f>
        <v/>
      </c>
      <c r="DK103">
        <f>IF(ISNA(DD103),NA(),IF(OR(Capability!$Q$7="",Settings!$F$7&lt;&gt;"Y"),NA(),Capability!$Q$7))</f>
        <v/>
      </c>
      <c r="DL103">
        <f>IF(ISNA(DD103),NA(),IF(OR(Capability!$P$7="",Settings!$F$7&lt;&gt;"Y"),NA(),Capability!$P$7))</f>
        <v/>
      </c>
      <c r="DR103">
        <f>IF((DU$1+99)&gt;DS$1,NA(),(DU$1+99)-4)</f>
        <v/>
      </c>
      <c r="DS103">
        <f>IF((DU$1+99)&gt;DS$1,NA(),INDEX('Data Entry'!$K$5:$K$10004,(DU$1+99)-4))</f>
        <v/>
      </c>
      <c r="DT103">
        <f>IF(ISNA(DR103),NA(),Capability!$K$8)</f>
        <v/>
      </c>
      <c r="DU103">
        <f>IF(ISNA(DR103),NA(),Capability!$J$8)</f>
        <v/>
      </c>
      <c r="DV103">
        <f>IF(ISNA(DR103),NA(),Capability!$L$8)</f>
        <v/>
      </c>
      <c r="DW103">
        <f>IF(OR(ISNA(DS103),ISNA(DS102)),NA(),ABS(DS103-DS102))</f>
        <v/>
      </c>
      <c r="DX103">
        <f>IF(ISNA(DR103),NA(),Capability!$N$8)</f>
        <v/>
      </c>
      <c r="DY103">
        <f>IF(ISNA(DR103),NA(),IF(OR(Capability!$Q$8="",Settings!$F$7&lt;&gt;"Y"),NA(),Capability!$Q$8))</f>
        <v/>
      </c>
      <c r="DZ103">
        <f>IF(ISNA(DR103),NA(),IF(OR(Capability!$P$8="",Settings!$F$7&lt;&gt;"Y"),NA(),Capability!$P$8))</f>
        <v/>
      </c>
      <c r="EF103">
        <f>IF((EI$1+99)&gt;EG$1,NA(),(EI$1+99)-4)</f>
        <v/>
      </c>
      <c r="EG103">
        <f>IF((EI$1+99)&gt;EG$1,NA(),INDEX('Data Entry'!$L$5:$L$10004,(EI$1+99)-4))</f>
        <v/>
      </c>
      <c r="EH103">
        <f>IF(ISNA(EF103),NA(),Capability!$K$9)</f>
        <v/>
      </c>
      <c r="EI103">
        <f>IF(ISNA(EF103),NA(),Capability!$J$9)</f>
        <v/>
      </c>
      <c r="EJ103">
        <f>IF(ISNA(EF103),NA(),Capability!$L$9)</f>
        <v/>
      </c>
      <c r="EK103">
        <f>IF(OR(ISNA(EG103),ISNA(EG102)),NA(),ABS(EG103-EG102))</f>
        <v/>
      </c>
      <c r="EL103">
        <f>IF(ISNA(EF103),NA(),Capability!$N$9)</f>
        <v/>
      </c>
      <c r="EM103">
        <f>IF(ISNA(EF103),NA(),IF(OR(Capability!$Q$9="",Settings!$F$7&lt;&gt;"Y"),NA(),Capability!$Q$9))</f>
        <v/>
      </c>
      <c r="EN103">
        <f>IF(ISNA(EF103),NA(),IF(OR(Capability!$P$9="",Settings!$F$7&lt;&gt;"Y"),NA(),Capability!$P$9))</f>
        <v/>
      </c>
      <c r="ET103">
        <f>IF((EW$1+99)&gt;EU$1,NA(),(EW$1+99)-4)</f>
        <v/>
      </c>
      <c r="EU103">
        <f>IF((EW$1+99)&gt;EU$1,NA(),INDEX('Data Entry'!$M$5:$M$10004,(EW$1+99)-4))</f>
        <v/>
      </c>
      <c r="EV103">
        <f>IF(ISNA(ET103),NA(),Capability!$K$10)</f>
        <v/>
      </c>
      <c r="EW103">
        <f>IF(ISNA(ET103),NA(),Capability!$J$10)</f>
        <v/>
      </c>
      <c r="EX103">
        <f>IF(ISNA(ET103),NA(),Capability!$L$10)</f>
        <v/>
      </c>
      <c r="EY103">
        <f>IF(OR(ISNA(EU103),ISNA(EU102)),NA(),ABS(EU103-EU102))</f>
        <v/>
      </c>
      <c r="EZ103">
        <f>IF(ISNA(ET103),NA(),Capability!$N$10)</f>
        <v/>
      </c>
      <c r="FA103">
        <f>IF(ISNA(ET103),NA(),IF(OR(Capability!$Q$10="",Settings!$F$7&lt;&gt;"Y"),NA(),Capability!$Q$10))</f>
        <v/>
      </c>
      <c r="FB103">
        <f>IF(ISNA(ET103),NA(),IF(OR(Capability!$P$10="",Settings!$F$7&lt;&gt;"Y"),NA(),Capability!$P$10))</f>
        <v/>
      </c>
      <c r="FH103">
        <f>IF((FK$1+99)&gt;FI$1,NA(),(FK$1+99)-4)</f>
        <v/>
      </c>
      <c r="FI103">
        <f>IF((FK$1+99)&gt;FI$1,NA(),INDEX('Data Entry'!$N$5:$N$10004,(FK$1+99)-4))</f>
        <v/>
      </c>
      <c r="FJ103">
        <f>IF(ISNA(FH103),NA(),Capability!$K$11)</f>
        <v/>
      </c>
      <c r="FK103">
        <f>IF(ISNA(FH103),NA(),Capability!$J$11)</f>
        <v/>
      </c>
      <c r="FL103">
        <f>IF(ISNA(FH103),NA(),Capability!$L$11)</f>
        <v/>
      </c>
      <c r="FM103">
        <f>IF(OR(ISNA(FI103),ISNA(FI102)),NA(),ABS(FI103-FI102))</f>
        <v/>
      </c>
      <c r="FN103">
        <f>IF(ISNA(FH103),NA(),Capability!$N$11)</f>
        <v/>
      </c>
      <c r="FO103">
        <f>IF(ISNA(FH103),NA(),IF(OR(Capability!$Q$11="",Settings!$F$7&lt;&gt;"Y"),NA(),Capability!$Q$11))</f>
        <v/>
      </c>
      <c r="FP103">
        <f>IF(ISNA(FH103),NA(),IF(OR(Capability!$P$11="",Settings!$F$7&lt;&gt;"Y"),NA(),Capability!$P$11))</f>
        <v/>
      </c>
      <c r="FV103">
        <f>IF((FY$1+99)&gt;FW$1,NA(),(FY$1+99)-4)</f>
        <v/>
      </c>
      <c r="FW103">
        <f>IF((FY$1+99)&gt;FW$1,NA(),INDEX('Data Entry'!$O$5:$O$10004,(FY$1+99)-4))</f>
        <v/>
      </c>
      <c r="FX103">
        <f>IF(ISNA(FV103),NA(),Capability!$K$12)</f>
        <v/>
      </c>
      <c r="FY103">
        <f>IF(ISNA(FV103),NA(),Capability!$J$12)</f>
        <v/>
      </c>
      <c r="FZ103">
        <f>IF(ISNA(FV103),NA(),Capability!$L$12)</f>
        <v/>
      </c>
      <c r="GA103">
        <f>IF(OR(ISNA(FW103),ISNA(FW102)),NA(),ABS(FW103-FW102))</f>
        <v/>
      </c>
      <c r="GB103">
        <f>IF(ISNA(FV103),NA(),Capability!$N$12)</f>
        <v/>
      </c>
      <c r="GC103">
        <f>IF(ISNA(FV103),NA(),IF(OR(Capability!$Q$12="",Settings!$F$7&lt;&gt;"Y"),NA(),Capability!$Q$12))</f>
        <v/>
      </c>
      <c r="GD103">
        <f>IF(ISNA(FV103),NA(),IF(OR(Capability!$P$12="",Settings!$F$7&lt;&gt;"Y"),NA(),Capability!$P$12))</f>
        <v/>
      </c>
      <c r="GJ103">
        <f>IF((GM$1+99)&gt;GK$1,NA(),(GM$1+99)-4)</f>
        <v/>
      </c>
      <c r="GK103">
        <f>IF((GM$1+99)&gt;GK$1,NA(),INDEX('Data Entry'!$P$5:$P$10004,(GM$1+99)-4))</f>
        <v/>
      </c>
      <c r="GL103">
        <f>IF(ISNA(GJ103),NA(),Capability!$K$13)</f>
        <v/>
      </c>
      <c r="GM103">
        <f>IF(ISNA(GJ103),NA(),Capability!$J$13)</f>
        <v/>
      </c>
      <c r="GN103">
        <f>IF(ISNA(GJ103),NA(),Capability!$L$13)</f>
        <v/>
      </c>
      <c r="GO103">
        <f>IF(OR(ISNA(GK103),ISNA(GK102)),NA(),ABS(GK103-GK102))</f>
        <v/>
      </c>
      <c r="GP103">
        <f>IF(ISNA(GJ103),NA(),Capability!$N$13)</f>
        <v/>
      </c>
      <c r="GQ103">
        <f>IF(ISNA(GJ103),NA(),IF(OR(Capability!$Q$13="",Settings!$F$7&lt;&gt;"Y"),NA(),Capability!$Q$13))</f>
        <v/>
      </c>
      <c r="GR103">
        <f>IF(ISNA(GJ103),NA(),IF(OR(Capability!$P$13="",Settings!$F$7&lt;&gt;"Y"),NA(),Capability!$P$13))</f>
        <v/>
      </c>
      <c r="GX103">
        <f>IF((HA$1+99)&gt;GY$1,NA(),(HA$1+99)-4)</f>
        <v/>
      </c>
      <c r="GY103">
        <f>IF((HA$1+99)&gt;GY$1,NA(),INDEX('Data Entry'!$Q$5:$Q$10004,(HA$1+99)-4))</f>
        <v/>
      </c>
      <c r="GZ103">
        <f>IF(ISNA(GX103),NA(),Capability!$K$14)</f>
        <v/>
      </c>
      <c r="HA103">
        <f>IF(ISNA(GX103),NA(),Capability!$J$14)</f>
        <v/>
      </c>
      <c r="HB103">
        <f>IF(ISNA(GX103),NA(),Capability!$L$14)</f>
        <v/>
      </c>
      <c r="HC103">
        <f>IF(OR(ISNA(GY103),ISNA(GY102)),NA(),ABS(GY103-GY102))</f>
        <v/>
      </c>
      <c r="HD103">
        <f>IF(ISNA(GX103),NA(),Capability!$N$14)</f>
        <v/>
      </c>
      <c r="HE103">
        <f>IF(ISNA(GX103),NA(),IF(OR(Capability!$Q$14="",Settings!$F$7&lt;&gt;"Y"),NA(),Capability!$Q$14))</f>
        <v/>
      </c>
      <c r="HF103">
        <f>IF(ISNA(GX103),NA(),IF(OR(Capability!$P$14="",Settings!$F$7&lt;&gt;"Y"),NA(),Capability!$P$14))</f>
        <v/>
      </c>
    </row>
    <row r="104">
      <c r="A104" s="35" t="inlineStr">
        <is>
          <t>Nominal</t>
        </is>
      </c>
      <c r="B104" s="23">
        <f>Capability!O7</f>
        <v/>
      </c>
      <c r="CB104">
        <f>IF((CE$1+100)&gt;CC$1,NA(),(CE$1+100)-4)</f>
        <v/>
      </c>
      <c r="CC104">
        <f>IF((CE$1+100)&gt;CC$1,NA(),INDEX('Data Entry'!$H$5:$H$10004,(CE$1+100)-4))</f>
        <v/>
      </c>
      <c r="CD104">
        <f>IF(ISNA(CB104),NA(),Capability!$K$5)</f>
        <v/>
      </c>
      <c r="CE104">
        <f>IF(ISNA(CB104),NA(),Capability!$J$5)</f>
        <v/>
      </c>
      <c r="CF104">
        <f>IF(ISNA(CB104),NA(),Capability!$L$5)</f>
        <v/>
      </c>
      <c r="CG104">
        <f>IF(OR(ISNA(CC104),ISNA(CC103)),NA(),ABS(CC104-CC103))</f>
        <v/>
      </c>
      <c r="CH104">
        <f>IF(ISNA(CB104),NA(),Capability!$N$5)</f>
        <v/>
      </c>
      <c r="CI104">
        <f>IF(ISNA(CB104),NA(),IF(OR(Capability!$Q$5="",Settings!$F$7&lt;&gt;"Y"),NA(),Capability!$Q$5))</f>
        <v/>
      </c>
      <c r="CJ104">
        <f>IF(ISNA(CB104),NA(),IF(OR(Capability!$P$5="",Settings!$F$7&lt;&gt;"Y"),NA(),Capability!$P$5))</f>
        <v/>
      </c>
      <c r="CP104">
        <f>IF((CS$1+100)&gt;CQ$1,NA(),(CS$1+100)-4)</f>
        <v/>
      </c>
      <c r="CQ104">
        <f>IF((CS$1+100)&gt;CQ$1,NA(),INDEX('Data Entry'!$I$5:$I$10004,(CS$1+100)-4))</f>
        <v/>
      </c>
      <c r="CR104">
        <f>IF(ISNA(CP104),NA(),Capability!$K$6)</f>
        <v/>
      </c>
      <c r="CS104">
        <f>IF(ISNA(CP104),NA(),Capability!$J$6)</f>
        <v/>
      </c>
      <c r="CT104">
        <f>IF(ISNA(CP104),NA(),Capability!$L$6)</f>
        <v/>
      </c>
      <c r="CU104">
        <f>IF(OR(ISNA(CQ104),ISNA(CQ103)),NA(),ABS(CQ104-CQ103))</f>
        <v/>
      </c>
      <c r="CV104">
        <f>IF(ISNA(CP104),NA(),Capability!$N$6)</f>
        <v/>
      </c>
      <c r="CW104">
        <f>IF(ISNA(CP104),NA(),IF(OR(Capability!$Q$6="",Settings!$F$7&lt;&gt;"Y"),NA(),Capability!$Q$6))</f>
        <v/>
      </c>
      <c r="CX104">
        <f>IF(ISNA(CP104),NA(),IF(OR(Capability!$P$6="",Settings!$F$7&lt;&gt;"Y"),NA(),Capability!$P$6))</f>
        <v/>
      </c>
      <c r="DD104">
        <f>IF((DG$1+100)&gt;DE$1,NA(),(DG$1+100)-4)</f>
        <v/>
      </c>
      <c r="DE104">
        <f>IF((DG$1+100)&gt;DE$1,NA(),INDEX('Data Entry'!$J$5:$J$10004,(DG$1+100)-4))</f>
        <v/>
      </c>
      <c r="DF104">
        <f>IF(ISNA(DD104),NA(),Capability!$K$7)</f>
        <v/>
      </c>
      <c r="DG104">
        <f>IF(ISNA(DD104),NA(),Capability!$J$7)</f>
        <v/>
      </c>
      <c r="DH104">
        <f>IF(ISNA(DD104),NA(),Capability!$L$7)</f>
        <v/>
      </c>
      <c r="DI104">
        <f>IF(OR(ISNA(DE104),ISNA(DE103)),NA(),ABS(DE104-DE103))</f>
        <v/>
      </c>
      <c r="DJ104">
        <f>IF(ISNA(DD104),NA(),Capability!$N$7)</f>
        <v/>
      </c>
      <c r="DK104">
        <f>IF(ISNA(DD104),NA(),IF(OR(Capability!$Q$7="",Settings!$F$7&lt;&gt;"Y"),NA(),Capability!$Q$7))</f>
        <v/>
      </c>
      <c r="DL104">
        <f>IF(ISNA(DD104),NA(),IF(OR(Capability!$P$7="",Settings!$F$7&lt;&gt;"Y"),NA(),Capability!$P$7))</f>
        <v/>
      </c>
      <c r="DR104">
        <f>IF((DU$1+100)&gt;DS$1,NA(),(DU$1+100)-4)</f>
        <v/>
      </c>
      <c r="DS104">
        <f>IF((DU$1+100)&gt;DS$1,NA(),INDEX('Data Entry'!$K$5:$K$10004,(DU$1+100)-4))</f>
        <v/>
      </c>
      <c r="DT104">
        <f>IF(ISNA(DR104),NA(),Capability!$K$8)</f>
        <v/>
      </c>
      <c r="DU104">
        <f>IF(ISNA(DR104),NA(),Capability!$J$8)</f>
        <v/>
      </c>
      <c r="DV104">
        <f>IF(ISNA(DR104),NA(),Capability!$L$8)</f>
        <v/>
      </c>
      <c r="DW104">
        <f>IF(OR(ISNA(DS104),ISNA(DS103)),NA(),ABS(DS104-DS103))</f>
        <v/>
      </c>
      <c r="DX104">
        <f>IF(ISNA(DR104),NA(),Capability!$N$8)</f>
        <v/>
      </c>
      <c r="DY104">
        <f>IF(ISNA(DR104),NA(),IF(OR(Capability!$Q$8="",Settings!$F$7&lt;&gt;"Y"),NA(),Capability!$Q$8))</f>
        <v/>
      </c>
      <c r="DZ104">
        <f>IF(ISNA(DR104),NA(),IF(OR(Capability!$P$8="",Settings!$F$7&lt;&gt;"Y"),NA(),Capability!$P$8))</f>
        <v/>
      </c>
      <c r="EF104">
        <f>IF((EI$1+100)&gt;EG$1,NA(),(EI$1+100)-4)</f>
        <v/>
      </c>
      <c r="EG104">
        <f>IF((EI$1+100)&gt;EG$1,NA(),INDEX('Data Entry'!$L$5:$L$10004,(EI$1+100)-4))</f>
        <v/>
      </c>
      <c r="EH104">
        <f>IF(ISNA(EF104),NA(),Capability!$K$9)</f>
        <v/>
      </c>
      <c r="EI104">
        <f>IF(ISNA(EF104),NA(),Capability!$J$9)</f>
        <v/>
      </c>
      <c r="EJ104">
        <f>IF(ISNA(EF104),NA(),Capability!$L$9)</f>
        <v/>
      </c>
      <c r="EK104">
        <f>IF(OR(ISNA(EG104),ISNA(EG103)),NA(),ABS(EG104-EG103))</f>
        <v/>
      </c>
      <c r="EL104">
        <f>IF(ISNA(EF104),NA(),Capability!$N$9)</f>
        <v/>
      </c>
      <c r="EM104">
        <f>IF(ISNA(EF104),NA(),IF(OR(Capability!$Q$9="",Settings!$F$7&lt;&gt;"Y"),NA(),Capability!$Q$9))</f>
        <v/>
      </c>
      <c r="EN104">
        <f>IF(ISNA(EF104),NA(),IF(OR(Capability!$P$9="",Settings!$F$7&lt;&gt;"Y"),NA(),Capability!$P$9))</f>
        <v/>
      </c>
      <c r="ET104">
        <f>IF((EW$1+100)&gt;EU$1,NA(),(EW$1+100)-4)</f>
        <v/>
      </c>
      <c r="EU104">
        <f>IF((EW$1+100)&gt;EU$1,NA(),INDEX('Data Entry'!$M$5:$M$10004,(EW$1+100)-4))</f>
        <v/>
      </c>
      <c r="EV104">
        <f>IF(ISNA(ET104),NA(),Capability!$K$10)</f>
        <v/>
      </c>
      <c r="EW104">
        <f>IF(ISNA(ET104),NA(),Capability!$J$10)</f>
        <v/>
      </c>
      <c r="EX104">
        <f>IF(ISNA(ET104),NA(),Capability!$L$10)</f>
        <v/>
      </c>
      <c r="EY104">
        <f>IF(OR(ISNA(EU104),ISNA(EU103)),NA(),ABS(EU104-EU103))</f>
        <v/>
      </c>
      <c r="EZ104">
        <f>IF(ISNA(ET104),NA(),Capability!$N$10)</f>
        <v/>
      </c>
      <c r="FA104">
        <f>IF(ISNA(ET104),NA(),IF(OR(Capability!$Q$10="",Settings!$F$7&lt;&gt;"Y"),NA(),Capability!$Q$10))</f>
        <v/>
      </c>
      <c r="FB104">
        <f>IF(ISNA(ET104),NA(),IF(OR(Capability!$P$10="",Settings!$F$7&lt;&gt;"Y"),NA(),Capability!$P$10))</f>
        <v/>
      </c>
      <c r="FH104">
        <f>IF((FK$1+100)&gt;FI$1,NA(),(FK$1+100)-4)</f>
        <v/>
      </c>
      <c r="FI104">
        <f>IF((FK$1+100)&gt;FI$1,NA(),INDEX('Data Entry'!$N$5:$N$10004,(FK$1+100)-4))</f>
        <v/>
      </c>
      <c r="FJ104">
        <f>IF(ISNA(FH104),NA(),Capability!$K$11)</f>
        <v/>
      </c>
      <c r="FK104">
        <f>IF(ISNA(FH104),NA(),Capability!$J$11)</f>
        <v/>
      </c>
      <c r="FL104">
        <f>IF(ISNA(FH104),NA(),Capability!$L$11)</f>
        <v/>
      </c>
      <c r="FM104">
        <f>IF(OR(ISNA(FI104),ISNA(FI103)),NA(),ABS(FI104-FI103))</f>
        <v/>
      </c>
      <c r="FN104">
        <f>IF(ISNA(FH104),NA(),Capability!$N$11)</f>
        <v/>
      </c>
      <c r="FO104">
        <f>IF(ISNA(FH104),NA(),IF(OR(Capability!$Q$11="",Settings!$F$7&lt;&gt;"Y"),NA(),Capability!$Q$11))</f>
        <v/>
      </c>
      <c r="FP104">
        <f>IF(ISNA(FH104),NA(),IF(OR(Capability!$P$11="",Settings!$F$7&lt;&gt;"Y"),NA(),Capability!$P$11))</f>
        <v/>
      </c>
      <c r="FV104">
        <f>IF((FY$1+100)&gt;FW$1,NA(),(FY$1+100)-4)</f>
        <v/>
      </c>
      <c r="FW104">
        <f>IF((FY$1+100)&gt;FW$1,NA(),INDEX('Data Entry'!$O$5:$O$10004,(FY$1+100)-4))</f>
        <v/>
      </c>
      <c r="FX104">
        <f>IF(ISNA(FV104),NA(),Capability!$K$12)</f>
        <v/>
      </c>
      <c r="FY104">
        <f>IF(ISNA(FV104),NA(),Capability!$J$12)</f>
        <v/>
      </c>
      <c r="FZ104">
        <f>IF(ISNA(FV104),NA(),Capability!$L$12)</f>
        <v/>
      </c>
      <c r="GA104">
        <f>IF(OR(ISNA(FW104),ISNA(FW103)),NA(),ABS(FW104-FW103))</f>
        <v/>
      </c>
      <c r="GB104">
        <f>IF(ISNA(FV104),NA(),Capability!$N$12)</f>
        <v/>
      </c>
      <c r="GC104">
        <f>IF(ISNA(FV104),NA(),IF(OR(Capability!$Q$12="",Settings!$F$7&lt;&gt;"Y"),NA(),Capability!$Q$12))</f>
        <v/>
      </c>
      <c r="GD104">
        <f>IF(ISNA(FV104),NA(),IF(OR(Capability!$P$12="",Settings!$F$7&lt;&gt;"Y"),NA(),Capability!$P$12))</f>
        <v/>
      </c>
      <c r="GJ104">
        <f>IF((GM$1+100)&gt;GK$1,NA(),(GM$1+100)-4)</f>
        <v/>
      </c>
      <c r="GK104">
        <f>IF((GM$1+100)&gt;GK$1,NA(),INDEX('Data Entry'!$P$5:$P$10004,(GM$1+100)-4))</f>
        <v/>
      </c>
      <c r="GL104">
        <f>IF(ISNA(GJ104),NA(),Capability!$K$13)</f>
        <v/>
      </c>
      <c r="GM104">
        <f>IF(ISNA(GJ104),NA(),Capability!$J$13)</f>
        <v/>
      </c>
      <c r="GN104">
        <f>IF(ISNA(GJ104),NA(),Capability!$L$13)</f>
        <v/>
      </c>
      <c r="GO104">
        <f>IF(OR(ISNA(GK104),ISNA(GK103)),NA(),ABS(GK104-GK103))</f>
        <v/>
      </c>
      <c r="GP104">
        <f>IF(ISNA(GJ104),NA(),Capability!$N$13)</f>
        <v/>
      </c>
      <c r="GQ104">
        <f>IF(ISNA(GJ104),NA(),IF(OR(Capability!$Q$13="",Settings!$F$7&lt;&gt;"Y"),NA(),Capability!$Q$13))</f>
        <v/>
      </c>
      <c r="GR104">
        <f>IF(ISNA(GJ104),NA(),IF(OR(Capability!$P$13="",Settings!$F$7&lt;&gt;"Y"),NA(),Capability!$P$13))</f>
        <v/>
      </c>
      <c r="GX104">
        <f>IF((HA$1+100)&gt;GY$1,NA(),(HA$1+100)-4)</f>
        <v/>
      </c>
      <c r="GY104">
        <f>IF((HA$1+100)&gt;GY$1,NA(),INDEX('Data Entry'!$Q$5:$Q$10004,(HA$1+100)-4))</f>
        <v/>
      </c>
      <c r="GZ104">
        <f>IF(ISNA(GX104),NA(),Capability!$K$14)</f>
        <v/>
      </c>
      <c r="HA104">
        <f>IF(ISNA(GX104),NA(),Capability!$J$14)</f>
        <v/>
      </c>
      <c r="HB104">
        <f>IF(ISNA(GX104),NA(),Capability!$L$14)</f>
        <v/>
      </c>
      <c r="HC104">
        <f>IF(OR(ISNA(GY104),ISNA(GY103)),NA(),ABS(GY104-GY103))</f>
        <v/>
      </c>
      <c r="HD104">
        <f>IF(ISNA(GX104),NA(),Capability!$N$14)</f>
        <v/>
      </c>
      <c r="HE104">
        <f>IF(ISNA(GX104),NA(),IF(OR(Capability!$Q$14="",Settings!$F$7&lt;&gt;"Y"),NA(),Capability!$Q$14))</f>
        <v/>
      </c>
      <c r="HF104">
        <f>IF(ISNA(GX104),NA(),IF(OR(Capability!$P$14="",Settings!$F$7&lt;&gt;"Y"),NA(),Capability!$P$14))</f>
        <v/>
      </c>
    </row>
    <row r="105">
      <c r="A105" s="35" t="inlineStr">
        <is>
          <t>LSL</t>
        </is>
      </c>
      <c r="B105" s="23">
        <f>Capability!P7</f>
        <v/>
      </c>
      <c r="CB105">
        <f>IF((CE$1+101)&gt;CC$1,NA(),(CE$1+101)-4)</f>
        <v/>
      </c>
      <c r="CC105">
        <f>IF((CE$1+101)&gt;CC$1,NA(),INDEX('Data Entry'!$H$5:$H$10004,(CE$1+101)-4))</f>
        <v/>
      </c>
      <c r="CD105">
        <f>IF(ISNA(CB105),NA(),Capability!$K$5)</f>
        <v/>
      </c>
      <c r="CE105">
        <f>IF(ISNA(CB105),NA(),Capability!$J$5)</f>
        <v/>
      </c>
      <c r="CF105">
        <f>IF(ISNA(CB105),NA(),Capability!$L$5)</f>
        <v/>
      </c>
      <c r="CG105">
        <f>IF(OR(ISNA(CC105),ISNA(CC104)),NA(),ABS(CC105-CC104))</f>
        <v/>
      </c>
      <c r="CH105">
        <f>IF(ISNA(CB105),NA(),Capability!$N$5)</f>
        <v/>
      </c>
      <c r="CI105">
        <f>IF(ISNA(CB105),NA(),IF(OR(Capability!$Q$5="",Settings!$F$7&lt;&gt;"Y"),NA(),Capability!$Q$5))</f>
        <v/>
      </c>
      <c r="CJ105">
        <f>IF(ISNA(CB105),NA(),IF(OR(Capability!$P$5="",Settings!$F$7&lt;&gt;"Y"),NA(),Capability!$P$5))</f>
        <v/>
      </c>
      <c r="CP105">
        <f>IF((CS$1+101)&gt;CQ$1,NA(),(CS$1+101)-4)</f>
        <v/>
      </c>
      <c r="CQ105">
        <f>IF((CS$1+101)&gt;CQ$1,NA(),INDEX('Data Entry'!$I$5:$I$10004,(CS$1+101)-4))</f>
        <v/>
      </c>
      <c r="CR105">
        <f>IF(ISNA(CP105),NA(),Capability!$K$6)</f>
        <v/>
      </c>
      <c r="CS105">
        <f>IF(ISNA(CP105),NA(),Capability!$J$6)</f>
        <v/>
      </c>
      <c r="CT105">
        <f>IF(ISNA(CP105),NA(),Capability!$L$6)</f>
        <v/>
      </c>
      <c r="CU105">
        <f>IF(OR(ISNA(CQ105),ISNA(CQ104)),NA(),ABS(CQ105-CQ104))</f>
        <v/>
      </c>
      <c r="CV105">
        <f>IF(ISNA(CP105),NA(),Capability!$N$6)</f>
        <v/>
      </c>
      <c r="CW105">
        <f>IF(ISNA(CP105),NA(),IF(OR(Capability!$Q$6="",Settings!$F$7&lt;&gt;"Y"),NA(),Capability!$Q$6))</f>
        <v/>
      </c>
      <c r="CX105">
        <f>IF(ISNA(CP105),NA(),IF(OR(Capability!$P$6="",Settings!$F$7&lt;&gt;"Y"),NA(),Capability!$P$6))</f>
        <v/>
      </c>
      <c r="DD105">
        <f>IF((DG$1+101)&gt;DE$1,NA(),(DG$1+101)-4)</f>
        <v/>
      </c>
      <c r="DE105">
        <f>IF((DG$1+101)&gt;DE$1,NA(),INDEX('Data Entry'!$J$5:$J$10004,(DG$1+101)-4))</f>
        <v/>
      </c>
      <c r="DF105">
        <f>IF(ISNA(DD105),NA(),Capability!$K$7)</f>
        <v/>
      </c>
      <c r="DG105">
        <f>IF(ISNA(DD105),NA(),Capability!$J$7)</f>
        <v/>
      </c>
      <c r="DH105">
        <f>IF(ISNA(DD105),NA(),Capability!$L$7)</f>
        <v/>
      </c>
      <c r="DI105">
        <f>IF(OR(ISNA(DE105),ISNA(DE104)),NA(),ABS(DE105-DE104))</f>
        <v/>
      </c>
      <c r="DJ105">
        <f>IF(ISNA(DD105),NA(),Capability!$N$7)</f>
        <v/>
      </c>
      <c r="DK105">
        <f>IF(ISNA(DD105),NA(),IF(OR(Capability!$Q$7="",Settings!$F$7&lt;&gt;"Y"),NA(),Capability!$Q$7))</f>
        <v/>
      </c>
      <c r="DL105">
        <f>IF(ISNA(DD105),NA(),IF(OR(Capability!$P$7="",Settings!$F$7&lt;&gt;"Y"),NA(),Capability!$P$7))</f>
        <v/>
      </c>
      <c r="DR105">
        <f>IF((DU$1+101)&gt;DS$1,NA(),(DU$1+101)-4)</f>
        <v/>
      </c>
      <c r="DS105">
        <f>IF((DU$1+101)&gt;DS$1,NA(),INDEX('Data Entry'!$K$5:$K$10004,(DU$1+101)-4))</f>
        <v/>
      </c>
      <c r="DT105">
        <f>IF(ISNA(DR105),NA(),Capability!$K$8)</f>
        <v/>
      </c>
      <c r="DU105">
        <f>IF(ISNA(DR105),NA(),Capability!$J$8)</f>
        <v/>
      </c>
      <c r="DV105">
        <f>IF(ISNA(DR105),NA(),Capability!$L$8)</f>
        <v/>
      </c>
      <c r="DW105">
        <f>IF(OR(ISNA(DS105),ISNA(DS104)),NA(),ABS(DS105-DS104))</f>
        <v/>
      </c>
      <c r="DX105">
        <f>IF(ISNA(DR105),NA(),Capability!$N$8)</f>
        <v/>
      </c>
      <c r="DY105">
        <f>IF(ISNA(DR105),NA(),IF(OR(Capability!$Q$8="",Settings!$F$7&lt;&gt;"Y"),NA(),Capability!$Q$8))</f>
        <v/>
      </c>
      <c r="DZ105">
        <f>IF(ISNA(DR105),NA(),IF(OR(Capability!$P$8="",Settings!$F$7&lt;&gt;"Y"),NA(),Capability!$P$8))</f>
        <v/>
      </c>
      <c r="EF105">
        <f>IF((EI$1+101)&gt;EG$1,NA(),(EI$1+101)-4)</f>
        <v/>
      </c>
      <c r="EG105">
        <f>IF((EI$1+101)&gt;EG$1,NA(),INDEX('Data Entry'!$L$5:$L$10004,(EI$1+101)-4))</f>
        <v/>
      </c>
      <c r="EH105">
        <f>IF(ISNA(EF105),NA(),Capability!$K$9)</f>
        <v/>
      </c>
      <c r="EI105">
        <f>IF(ISNA(EF105),NA(),Capability!$J$9)</f>
        <v/>
      </c>
      <c r="EJ105">
        <f>IF(ISNA(EF105),NA(),Capability!$L$9)</f>
        <v/>
      </c>
      <c r="EK105">
        <f>IF(OR(ISNA(EG105),ISNA(EG104)),NA(),ABS(EG105-EG104))</f>
        <v/>
      </c>
      <c r="EL105">
        <f>IF(ISNA(EF105),NA(),Capability!$N$9)</f>
        <v/>
      </c>
      <c r="EM105">
        <f>IF(ISNA(EF105),NA(),IF(OR(Capability!$Q$9="",Settings!$F$7&lt;&gt;"Y"),NA(),Capability!$Q$9))</f>
        <v/>
      </c>
      <c r="EN105">
        <f>IF(ISNA(EF105),NA(),IF(OR(Capability!$P$9="",Settings!$F$7&lt;&gt;"Y"),NA(),Capability!$P$9))</f>
        <v/>
      </c>
      <c r="ET105">
        <f>IF((EW$1+101)&gt;EU$1,NA(),(EW$1+101)-4)</f>
        <v/>
      </c>
      <c r="EU105">
        <f>IF((EW$1+101)&gt;EU$1,NA(),INDEX('Data Entry'!$M$5:$M$10004,(EW$1+101)-4))</f>
        <v/>
      </c>
      <c r="EV105">
        <f>IF(ISNA(ET105),NA(),Capability!$K$10)</f>
        <v/>
      </c>
      <c r="EW105">
        <f>IF(ISNA(ET105),NA(),Capability!$J$10)</f>
        <v/>
      </c>
      <c r="EX105">
        <f>IF(ISNA(ET105),NA(),Capability!$L$10)</f>
        <v/>
      </c>
      <c r="EY105">
        <f>IF(OR(ISNA(EU105),ISNA(EU104)),NA(),ABS(EU105-EU104))</f>
        <v/>
      </c>
      <c r="EZ105">
        <f>IF(ISNA(ET105),NA(),Capability!$N$10)</f>
        <v/>
      </c>
      <c r="FA105">
        <f>IF(ISNA(ET105),NA(),IF(OR(Capability!$Q$10="",Settings!$F$7&lt;&gt;"Y"),NA(),Capability!$Q$10))</f>
        <v/>
      </c>
      <c r="FB105">
        <f>IF(ISNA(ET105),NA(),IF(OR(Capability!$P$10="",Settings!$F$7&lt;&gt;"Y"),NA(),Capability!$P$10))</f>
        <v/>
      </c>
      <c r="FH105">
        <f>IF((FK$1+101)&gt;FI$1,NA(),(FK$1+101)-4)</f>
        <v/>
      </c>
      <c r="FI105">
        <f>IF((FK$1+101)&gt;FI$1,NA(),INDEX('Data Entry'!$N$5:$N$10004,(FK$1+101)-4))</f>
        <v/>
      </c>
      <c r="FJ105">
        <f>IF(ISNA(FH105),NA(),Capability!$K$11)</f>
        <v/>
      </c>
      <c r="FK105">
        <f>IF(ISNA(FH105),NA(),Capability!$J$11)</f>
        <v/>
      </c>
      <c r="FL105">
        <f>IF(ISNA(FH105),NA(),Capability!$L$11)</f>
        <v/>
      </c>
      <c r="FM105">
        <f>IF(OR(ISNA(FI105),ISNA(FI104)),NA(),ABS(FI105-FI104))</f>
        <v/>
      </c>
      <c r="FN105">
        <f>IF(ISNA(FH105),NA(),Capability!$N$11)</f>
        <v/>
      </c>
      <c r="FO105">
        <f>IF(ISNA(FH105),NA(),IF(OR(Capability!$Q$11="",Settings!$F$7&lt;&gt;"Y"),NA(),Capability!$Q$11))</f>
        <v/>
      </c>
      <c r="FP105">
        <f>IF(ISNA(FH105),NA(),IF(OR(Capability!$P$11="",Settings!$F$7&lt;&gt;"Y"),NA(),Capability!$P$11))</f>
        <v/>
      </c>
      <c r="FV105">
        <f>IF((FY$1+101)&gt;FW$1,NA(),(FY$1+101)-4)</f>
        <v/>
      </c>
      <c r="FW105">
        <f>IF((FY$1+101)&gt;FW$1,NA(),INDEX('Data Entry'!$O$5:$O$10004,(FY$1+101)-4))</f>
        <v/>
      </c>
      <c r="FX105">
        <f>IF(ISNA(FV105),NA(),Capability!$K$12)</f>
        <v/>
      </c>
      <c r="FY105">
        <f>IF(ISNA(FV105),NA(),Capability!$J$12)</f>
        <v/>
      </c>
      <c r="FZ105">
        <f>IF(ISNA(FV105),NA(),Capability!$L$12)</f>
        <v/>
      </c>
      <c r="GA105">
        <f>IF(OR(ISNA(FW105),ISNA(FW104)),NA(),ABS(FW105-FW104))</f>
        <v/>
      </c>
      <c r="GB105">
        <f>IF(ISNA(FV105),NA(),Capability!$N$12)</f>
        <v/>
      </c>
      <c r="GC105">
        <f>IF(ISNA(FV105),NA(),IF(OR(Capability!$Q$12="",Settings!$F$7&lt;&gt;"Y"),NA(),Capability!$Q$12))</f>
        <v/>
      </c>
      <c r="GD105">
        <f>IF(ISNA(FV105),NA(),IF(OR(Capability!$P$12="",Settings!$F$7&lt;&gt;"Y"),NA(),Capability!$P$12))</f>
        <v/>
      </c>
      <c r="GJ105">
        <f>IF((GM$1+101)&gt;GK$1,NA(),(GM$1+101)-4)</f>
        <v/>
      </c>
      <c r="GK105">
        <f>IF((GM$1+101)&gt;GK$1,NA(),INDEX('Data Entry'!$P$5:$P$10004,(GM$1+101)-4))</f>
        <v/>
      </c>
      <c r="GL105">
        <f>IF(ISNA(GJ105),NA(),Capability!$K$13)</f>
        <v/>
      </c>
      <c r="GM105">
        <f>IF(ISNA(GJ105),NA(),Capability!$J$13)</f>
        <v/>
      </c>
      <c r="GN105">
        <f>IF(ISNA(GJ105),NA(),Capability!$L$13)</f>
        <v/>
      </c>
      <c r="GO105">
        <f>IF(OR(ISNA(GK105),ISNA(GK104)),NA(),ABS(GK105-GK104))</f>
        <v/>
      </c>
      <c r="GP105">
        <f>IF(ISNA(GJ105),NA(),Capability!$N$13)</f>
        <v/>
      </c>
      <c r="GQ105">
        <f>IF(ISNA(GJ105),NA(),IF(OR(Capability!$Q$13="",Settings!$F$7&lt;&gt;"Y"),NA(),Capability!$Q$13))</f>
        <v/>
      </c>
      <c r="GR105">
        <f>IF(ISNA(GJ105),NA(),IF(OR(Capability!$P$13="",Settings!$F$7&lt;&gt;"Y"),NA(),Capability!$P$13))</f>
        <v/>
      </c>
      <c r="GX105">
        <f>IF((HA$1+101)&gt;GY$1,NA(),(HA$1+101)-4)</f>
        <v/>
      </c>
      <c r="GY105">
        <f>IF((HA$1+101)&gt;GY$1,NA(),INDEX('Data Entry'!$Q$5:$Q$10004,(HA$1+101)-4))</f>
        <v/>
      </c>
      <c r="GZ105">
        <f>IF(ISNA(GX105),NA(),Capability!$K$14)</f>
        <v/>
      </c>
      <c r="HA105">
        <f>IF(ISNA(GX105),NA(),Capability!$J$14)</f>
        <v/>
      </c>
      <c r="HB105">
        <f>IF(ISNA(GX105),NA(),Capability!$L$14)</f>
        <v/>
      </c>
      <c r="HC105">
        <f>IF(OR(ISNA(GY105),ISNA(GY104)),NA(),ABS(GY105-GY104))</f>
        <v/>
      </c>
      <c r="HD105">
        <f>IF(ISNA(GX105),NA(),Capability!$N$14)</f>
        <v/>
      </c>
      <c r="HE105">
        <f>IF(ISNA(GX105),NA(),IF(OR(Capability!$Q$14="",Settings!$F$7&lt;&gt;"Y"),NA(),Capability!$Q$14))</f>
        <v/>
      </c>
      <c r="HF105">
        <f>IF(ISNA(GX105),NA(),IF(OR(Capability!$P$14="",Settings!$F$7&lt;&gt;"Y"),NA(),Capability!$P$14))</f>
        <v/>
      </c>
    </row>
    <row r="106">
      <c r="A106" s="37" t="inlineStr">
        <is>
          <t>CAPABILITY</t>
        </is>
      </c>
      <c r="B106" s="28" t="n"/>
      <c r="CB106">
        <f>IF((CE$1+102)&gt;CC$1,NA(),(CE$1+102)-4)</f>
        <v/>
      </c>
      <c r="CC106">
        <f>IF((CE$1+102)&gt;CC$1,NA(),INDEX('Data Entry'!$H$5:$H$10004,(CE$1+102)-4))</f>
        <v/>
      </c>
      <c r="CD106">
        <f>IF(ISNA(CB106),NA(),Capability!$K$5)</f>
        <v/>
      </c>
      <c r="CE106">
        <f>IF(ISNA(CB106),NA(),Capability!$J$5)</f>
        <v/>
      </c>
      <c r="CF106">
        <f>IF(ISNA(CB106),NA(),Capability!$L$5)</f>
        <v/>
      </c>
      <c r="CG106">
        <f>IF(OR(ISNA(CC106),ISNA(CC105)),NA(),ABS(CC106-CC105))</f>
        <v/>
      </c>
      <c r="CH106">
        <f>IF(ISNA(CB106),NA(),Capability!$N$5)</f>
        <v/>
      </c>
      <c r="CI106">
        <f>IF(ISNA(CB106),NA(),IF(OR(Capability!$Q$5="",Settings!$F$7&lt;&gt;"Y"),NA(),Capability!$Q$5))</f>
        <v/>
      </c>
      <c r="CJ106">
        <f>IF(ISNA(CB106),NA(),IF(OR(Capability!$P$5="",Settings!$F$7&lt;&gt;"Y"),NA(),Capability!$P$5))</f>
        <v/>
      </c>
      <c r="CP106">
        <f>IF((CS$1+102)&gt;CQ$1,NA(),(CS$1+102)-4)</f>
        <v/>
      </c>
      <c r="CQ106">
        <f>IF((CS$1+102)&gt;CQ$1,NA(),INDEX('Data Entry'!$I$5:$I$10004,(CS$1+102)-4))</f>
        <v/>
      </c>
      <c r="CR106">
        <f>IF(ISNA(CP106),NA(),Capability!$K$6)</f>
        <v/>
      </c>
      <c r="CS106">
        <f>IF(ISNA(CP106),NA(),Capability!$J$6)</f>
        <v/>
      </c>
      <c r="CT106">
        <f>IF(ISNA(CP106),NA(),Capability!$L$6)</f>
        <v/>
      </c>
      <c r="CU106">
        <f>IF(OR(ISNA(CQ106),ISNA(CQ105)),NA(),ABS(CQ106-CQ105))</f>
        <v/>
      </c>
      <c r="CV106">
        <f>IF(ISNA(CP106),NA(),Capability!$N$6)</f>
        <v/>
      </c>
      <c r="CW106">
        <f>IF(ISNA(CP106),NA(),IF(OR(Capability!$Q$6="",Settings!$F$7&lt;&gt;"Y"),NA(),Capability!$Q$6))</f>
        <v/>
      </c>
      <c r="CX106">
        <f>IF(ISNA(CP106),NA(),IF(OR(Capability!$P$6="",Settings!$F$7&lt;&gt;"Y"),NA(),Capability!$P$6))</f>
        <v/>
      </c>
      <c r="DD106">
        <f>IF((DG$1+102)&gt;DE$1,NA(),(DG$1+102)-4)</f>
        <v/>
      </c>
      <c r="DE106">
        <f>IF((DG$1+102)&gt;DE$1,NA(),INDEX('Data Entry'!$J$5:$J$10004,(DG$1+102)-4))</f>
        <v/>
      </c>
      <c r="DF106">
        <f>IF(ISNA(DD106),NA(),Capability!$K$7)</f>
        <v/>
      </c>
      <c r="DG106">
        <f>IF(ISNA(DD106),NA(),Capability!$J$7)</f>
        <v/>
      </c>
      <c r="DH106">
        <f>IF(ISNA(DD106),NA(),Capability!$L$7)</f>
        <v/>
      </c>
      <c r="DI106">
        <f>IF(OR(ISNA(DE106),ISNA(DE105)),NA(),ABS(DE106-DE105))</f>
        <v/>
      </c>
      <c r="DJ106">
        <f>IF(ISNA(DD106),NA(),Capability!$N$7)</f>
        <v/>
      </c>
      <c r="DK106">
        <f>IF(ISNA(DD106),NA(),IF(OR(Capability!$Q$7="",Settings!$F$7&lt;&gt;"Y"),NA(),Capability!$Q$7))</f>
        <v/>
      </c>
      <c r="DL106">
        <f>IF(ISNA(DD106),NA(),IF(OR(Capability!$P$7="",Settings!$F$7&lt;&gt;"Y"),NA(),Capability!$P$7))</f>
        <v/>
      </c>
      <c r="DR106">
        <f>IF((DU$1+102)&gt;DS$1,NA(),(DU$1+102)-4)</f>
        <v/>
      </c>
      <c r="DS106">
        <f>IF((DU$1+102)&gt;DS$1,NA(),INDEX('Data Entry'!$K$5:$K$10004,(DU$1+102)-4))</f>
        <v/>
      </c>
      <c r="DT106">
        <f>IF(ISNA(DR106),NA(),Capability!$K$8)</f>
        <v/>
      </c>
      <c r="DU106">
        <f>IF(ISNA(DR106),NA(),Capability!$J$8)</f>
        <v/>
      </c>
      <c r="DV106">
        <f>IF(ISNA(DR106),NA(),Capability!$L$8)</f>
        <v/>
      </c>
      <c r="DW106">
        <f>IF(OR(ISNA(DS106),ISNA(DS105)),NA(),ABS(DS106-DS105))</f>
        <v/>
      </c>
      <c r="DX106">
        <f>IF(ISNA(DR106),NA(),Capability!$N$8)</f>
        <v/>
      </c>
      <c r="DY106">
        <f>IF(ISNA(DR106),NA(),IF(OR(Capability!$Q$8="",Settings!$F$7&lt;&gt;"Y"),NA(),Capability!$Q$8))</f>
        <v/>
      </c>
      <c r="DZ106">
        <f>IF(ISNA(DR106),NA(),IF(OR(Capability!$P$8="",Settings!$F$7&lt;&gt;"Y"),NA(),Capability!$P$8))</f>
        <v/>
      </c>
      <c r="EF106">
        <f>IF((EI$1+102)&gt;EG$1,NA(),(EI$1+102)-4)</f>
        <v/>
      </c>
      <c r="EG106">
        <f>IF((EI$1+102)&gt;EG$1,NA(),INDEX('Data Entry'!$L$5:$L$10004,(EI$1+102)-4))</f>
        <v/>
      </c>
      <c r="EH106">
        <f>IF(ISNA(EF106),NA(),Capability!$K$9)</f>
        <v/>
      </c>
      <c r="EI106">
        <f>IF(ISNA(EF106),NA(),Capability!$J$9)</f>
        <v/>
      </c>
      <c r="EJ106">
        <f>IF(ISNA(EF106),NA(),Capability!$L$9)</f>
        <v/>
      </c>
      <c r="EK106">
        <f>IF(OR(ISNA(EG106),ISNA(EG105)),NA(),ABS(EG106-EG105))</f>
        <v/>
      </c>
      <c r="EL106">
        <f>IF(ISNA(EF106),NA(),Capability!$N$9)</f>
        <v/>
      </c>
      <c r="EM106">
        <f>IF(ISNA(EF106),NA(),IF(OR(Capability!$Q$9="",Settings!$F$7&lt;&gt;"Y"),NA(),Capability!$Q$9))</f>
        <v/>
      </c>
      <c r="EN106">
        <f>IF(ISNA(EF106),NA(),IF(OR(Capability!$P$9="",Settings!$F$7&lt;&gt;"Y"),NA(),Capability!$P$9))</f>
        <v/>
      </c>
      <c r="ET106">
        <f>IF((EW$1+102)&gt;EU$1,NA(),(EW$1+102)-4)</f>
        <v/>
      </c>
      <c r="EU106">
        <f>IF((EW$1+102)&gt;EU$1,NA(),INDEX('Data Entry'!$M$5:$M$10004,(EW$1+102)-4))</f>
        <v/>
      </c>
      <c r="EV106">
        <f>IF(ISNA(ET106),NA(),Capability!$K$10)</f>
        <v/>
      </c>
      <c r="EW106">
        <f>IF(ISNA(ET106),NA(),Capability!$J$10)</f>
        <v/>
      </c>
      <c r="EX106">
        <f>IF(ISNA(ET106),NA(),Capability!$L$10)</f>
        <v/>
      </c>
      <c r="EY106">
        <f>IF(OR(ISNA(EU106),ISNA(EU105)),NA(),ABS(EU106-EU105))</f>
        <v/>
      </c>
      <c r="EZ106">
        <f>IF(ISNA(ET106),NA(),Capability!$N$10)</f>
        <v/>
      </c>
      <c r="FA106">
        <f>IF(ISNA(ET106),NA(),IF(OR(Capability!$Q$10="",Settings!$F$7&lt;&gt;"Y"),NA(),Capability!$Q$10))</f>
        <v/>
      </c>
      <c r="FB106">
        <f>IF(ISNA(ET106),NA(),IF(OR(Capability!$P$10="",Settings!$F$7&lt;&gt;"Y"),NA(),Capability!$P$10))</f>
        <v/>
      </c>
      <c r="FH106">
        <f>IF((FK$1+102)&gt;FI$1,NA(),(FK$1+102)-4)</f>
        <v/>
      </c>
      <c r="FI106">
        <f>IF((FK$1+102)&gt;FI$1,NA(),INDEX('Data Entry'!$N$5:$N$10004,(FK$1+102)-4))</f>
        <v/>
      </c>
      <c r="FJ106">
        <f>IF(ISNA(FH106),NA(),Capability!$K$11)</f>
        <v/>
      </c>
      <c r="FK106">
        <f>IF(ISNA(FH106),NA(),Capability!$J$11)</f>
        <v/>
      </c>
      <c r="FL106">
        <f>IF(ISNA(FH106),NA(),Capability!$L$11)</f>
        <v/>
      </c>
      <c r="FM106">
        <f>IF(OR(ISNA(FI106),ISNA(FI105)),NA(),ABS(FI106-FI105))</f>
        <v/>
      </c>
      <c r="FN106">
        <f>IF(ISNA(FH106),NA(),Capability!$N$11)</f>
        <v/>
      </c>
      <c r="FO106">
        <f>IF(ISNA(FH106),NA(),IF(OR(Capability!$Q$11="",Settings!$F$7&lt;&gt;"Y"),NA(),Capability!$Q$11))</f>
        <v/>
      </c>
      <c r="FP106">
        <f>IF(ISNA(FH106),NA(),IF(OR(Capability!$P$11="",Settings!$F$7&lt;&gt;"Y"),NA(),Capability!$P$11))</f>
        <v/>
      </c>
      <c r="FV106">
        <f>IF((FY$1+102)&gt;FW$1,NA(),(FY$1+102)-4)</f>
        <v/>
      </c>
      <c r="FW106">
        <f>IF((FY$1+102)&gt;FW$1,NA(),INDEX('Data Entry'!$O$5:$O$10004,(FY$1+102)-4))</f>
        <v/>
      </c>
      <c r="FX106">
        <f>IF(ISNA(FV106),NA(),Capability!$K$12)</f>
        <v/>
      </c>
      <c r="FY106">
        <f>IF(ISNA(FV106),NA(),Capability!$J$12)</f>
        <v/>
      </c>
      <c r="FZ106">
        <f>IF(ISNA(FV106),NA(),Capability!$L$12)</f>
        <v/>
      </c>
      <c r="GA106">
        <f>IF(OR(ISNA(FW106),ISNA(FW105)),NA(),ABS(FW106-FW105))</f>
        <v/>
      </c>
      <c r="GB106">
        <f>IF(ISNA(FV106),NA(),Capability!$N$12)</f>
        <v/>
      </c>
      <c r="GC106">
        <f>IF(ISNA(FV106),NA(),IF(OR(Capability!$Q$12="",Settings!$F$7&lt;&gt;"Y"),NA(),Capability!$Q$12))</f>
        <v/>
      </c>
      <c r="GD106">
        <f>IF(ISNA(FV106),NA(),IF(OR(Capability!$P$12="",Settings!$F$7&lt;&gt;"Y"),NA(),Capability!$P$12))</f>
        <v/>
      </c>
      <c r="GJ106">
        <f>IF((GM$1+102)&gt;GK$1,NA(),(GM$1+102)-4)</f>
        <v/>
      </c>
      <c r="GK106">
        <f>IF((GM$1+102)&gt;GK$1,NA(),INDEX('Data Entry'!$P$5:$P$10004,(GM$1+102)-4))</f>
        <v/>
      </c>
      <c r="GL106">
        <f>IF(ISNA(GJ106),NA(),Capability!$K$13)</f>
        <v/>
      </c>
      <c r="GM106">
        <f>IF(ISNA(GJ106),NA(),Capability!$J$13)</f>
        <v/>
      </c>
      <c r="GN106">
        <f>IF(ISNA(GJ106),NA(),Capability!$L$13)</f>
        <v/>
      </c>
      <c r="GO106">
        <f>IF(OR(ISNA(GK106),ISNA(GK105)),NA(),ABS(GK106-GK105))</f>
        <v/>
      </c>
      <c r="GP106">
        <f>IF(ISNA(GJ106),NA(),Capability!$N$13)</f>
        <v/>
      </c>
      <c r="GQ106">
        <f>IF(ISNA(GJ106),NA(),IF(OR(Capability!$Q$13="",Settings!$F$7&lt;&gt;"Y"),NA(),Capability!$Q$13))</f>
        <v/>
      </c>
      <c r="GR106">
        <f>IF(ISNA(GJ106),NA(),IF(OR(Capability!$P$13="",Settings!$F$7&lt;&gt;"Y"),NA(),Capability!$P$13))</f>
        <v/>
      </c>
      <c r="GX106">
        <f>IF((HA$1+102)&gt;GY$1,NA(),(HA$1+102)-4)</f>
        <v/>
      </c>
      <c r="GY106">
        <f>IF((HA$1+102)&gt;GY$1,NA(),INDEX('Data Entry'!$Q$5:$Q$10004,(HA$1+102)-4))</f>
        <v/>
      </c>
      <c r="GZ106">
        <f>IF(ISNA(GX106),NA(),Capability!$K$14)</f>
        <v/>
      </c>
      <c r="HA106">
        <f>IF(ISNA(GX106),NA(),Capability!$J$14)</f>
        <v/>
      </c>
      <c r="HB106">
        <f>IF(ISNA(GX106),NA(),Capability!$L$14)</f>
        <v/>
      </c>
      <c r="HC106">
        <f>IF(OR(ISNA(GY106),ISNA(GY105)),NA(),ABS(GY106-GY105))</f>
        <v/>
      </c>
      <c r="HD106">
        <f>IF(ISNA(GX106),NA(),Capability!$N$14)</f>
        <v/>
      </c>
      <c r="HE106">
        <f>IF(ISNA(GX106),NA(),IF(OR(Capability!$Q$14="",Settings!$F$7&lt;&gt;"Y"),NA(),Capability!$Q$14))</f>
        <v/>
      </c>
      <c r="HF106">
        <f>IF(ISNA(GX106),NA(),IF(OR(Capability!$P$14="",Settings!$F$7&lt;&gt;"Y"),NA(),Capability!$P$14))</f>
        <v/>
      </c>
    </row>
    <row r="107">
      <c r="A107" s="35" t="inlineStr">
        <is>
          <t>Cp</t>
        </is>
      </c>
      <c r="B107" s="38">
        <f>Capability!S7</f>
        <v/>
      </c>
      <c r="CB107">
        <f>IF((CE$1+103)&gt;CC$1,NA(),(CE$1+103)-4)</f>
        <v/>
      </c>
      <c r="CC107">
        <f>IF((CE$1+103)&gt;CC$1,NA(),INDEX('Data Entry'!$H$5:$H$10004,(CE$1+103)-4))</f>
        <v/>
      </c>
      <c r="CD107">
        <f>IF(ISNA(CB107),NA(),Capability!$K$5)</f>
        <v/>
      </c>
      <c r="CE107">
        <f>IF(ISNA(CB107),NA(),Capability!$J$5)</f>
        <v/>
      </c>
      <c r="CF107">
        <f>IF(ISNA(CB107),NA(),Capability!$L$5)</f>
        <v/>
      </c>
      <c r="CG107">
        <f>IF(OR(ISNA(CC107),ISNA(CC106)),NA(),ABS(CC107-CC106))</f>
        <v/>
      </c>
      <c r="CH107">
        <f>IF(ISNA(CB107),NA(),Capability!$N$5)</f>
        <v/>
      </c>
      <c r="CI107">
        <f>IF(ISNA(CB107),NA(),IF(OR(Capability!$Q$5="",Settings!$F$7&lt;&gt;"Y"),NA(),Capability!$Q$5))</f>
        <v/>
      </c>
      <c r="CJ107">
        <f>IF(ISNA(CB107),NA(),IF(OR(Capability!$P$5="",Settings!$F$7&lt;&gt;"Y"),NA(),Capability!$P$5))</f>
        <v/>
      </c>
      <c r="CP107">
        <f>IF((CS$1+103)&gt;CQ$1,NA(),(CS$1+103)-4)</f>
        <v/>
      </c>
      <c r="CQ107">
        <f>IF((CS$1+103)&gt;CQ$1,NA(),INDEX('Data Entry'!$I$5:$I$10004,(CS$1+103)-4))</f>
        <v/>
      </c>
      <c r="CR107">
        <f>IF(ISNA(CP107),NA(),Capability!$K$6)</f>
        <v/>
      </c>
      <c r="CS107">
        <f>IF(ISNA(CP107),NA(),Capability!$J$6)</f>
        <v/>
      </c>
      <c r="CT107">
        <f>IF(ISNA(CP107),NA(),Capability!$L$6)</f>
        <v/>
      </c>
      <c r="CU107">
        <f>IF(OR(ISNA(CQ107),ISNA(CQ106)),NA(),ABS(CQ107-CQ106))</f>
        <v/>
      </c>
      <c r="CV107">
        <f>IF(ISNA(CP107),NA(),Capability!$N$6)</f>
        <v/>
      </c>
      <c r="CW107">
        <f>IF(ISNA(CP107),NA(),IF(OR(Capability!$Q$6="",Settings!$F$7&lt;&gt;"Y"),NA(),Capability!$Q$6))</f>
        <v/>
      </c>
      <c r="CX107">
        <f>IF(ISNA(CP107),NA(),IF(OR(Capability!$P$6="",Settings!$F$7&lt;&gt;"Y"),NA(),Capability!$P$6))</f>
        <v/>
      </c>
      <c r="DD107">
        <f>IF((DG$1+103)&gt;DE$1,NA(),(DG$1+103)-4)</f>
        <v/>
      </c>
      <c r="DE107">
        <f>IF((DG$1+103)&gt;DE$1,NA(),INDEX('Data Entry'!$J$5:$J$10004,(DG$1+103)-4))</f>
        <v/>
      </c>
      <c r="DF107">
        <f>IF(ISNA(DD107),NA(),Capability!$K$7)</f>
        <v/>
      </c>
      <c r="DG107">
        <f>IF(ISNA(DD107),NA(),Capability!$J$7)</f>
        <v/>
      </c>
      <c r="DH107">
        <f>IF(ISNA(DD107),NA(),Capability!$L$7)</f>
        <v/>
      </c>
      <c r="DI107">
        <f>IF(OR(ISNA(DE107),ISNA(DE106)),NA(),ABS(DE107-DE106))</f>
        <v/>
      </c>
      <c r="DJ107">
        <f>IF(ISNA(DD107),NA(),Capability!$N$7)</f>
        <v/>
      </c>
      <c r="DK107">
        <f>IF(ISNA(DD107),NA(),IF(OR(Capability!$Q$7="",Settings!$F$7&lt;&gt;"Y"),NA(),Capability!$Q$7))</f>
        <v/>
      </c>
      <c r="DL107">
        <f>IF(ISNA(DD107),NA(),IF(OR(Capability!$P$7="",Settings!$F$7&lt;&gt;"Y"),NA(),Capability!$P$7))</f>
        <v/>
      </c>
      <c r="DR107">
        <f>IF((DU$1+103)&gt;DS$1,NA(),(DU$1+103)-4)</f>
        <v/>
      </c>
      <c r="DS107">
        <f>IF((DU$1+103)&gt;DS$1,NA(),INDEX('Data Entry'!$K$5:$K$10004,(DU$1+103)-4))</f>
        <v/>
      </c>
      <c r="DT107">
        <f>IF(ISNA(DR107),NA(),Capability!$K$8)</f>
        <v/>
      </c>
      <c r="DU107">
        <f>IF(ISNA(DR107),NA(),Capability!$J$8)</f>
        <v/>
      </c>
      <c r="DV107">
        <f>IF(ISNA(DR107),NA(),Capability!$L$8)</f>
        <v/>
      </c>
      <c r="DW107">
        <f>IF(OR(ISNA(DS107),ISNA(DS106)),NA(),ABS(DS107-DS106))</f>
        <v/>
      </c>
      <c r="DX107">
        <f>IF(ISNA(DR107),NA(),Capability!$N$8)</f>
        <v/>
      </c>
      <c r="DY107">
        <f>IF(ISNA(DR107),NA(),IF(OR(Capability!$Q$8="",Settings!$F$7&lt;&gt;"Y"),NA(),Capability!$Q$8))</f>
        <v/>
      </c>
      <c r="DZ107">
        <f>IF(ISNA(DR107),NA(),IF(OR(Capability!$P$8="",Settings!$F$7&lt;&gt;"Y"),NA(),Capability!$P$8))</f>
        <v/>
      </c>
      <c r="EF107">
        <f>IF((EI$1+103)&gt;EG$1,NA(),(EI$1+103)-4)</f>
        <v/>
      </c>
      <c r="EG107">
        <f>IF((EI$1+103)&gt;EG$1,NA(),INDEX('Data Entry'!$L$5:$L$10004,(EI$1+103)-4))</f>
        <v/>
      </c>
      <c r="EH107">
        <f>IF(ISNA(EF107),NA(),Capability!$K$9)</f>
        <v/>
      </c>
      <c r="EI107">
        <f>IF(ISNA(EF107),NA(),Capability!$J$9)</f>
        <v/>
      </c>
      <c r="EJ107">
        <f>IF(ISNA(EF107),NA(),Capability!$L$9)</f>
        <v/>
      </c>
      <c r="EK107">
        <f>IF(OR(ISNA(EG107),ISNA(EG106)),NA(),ABS(EG107-EG106))</f>
        <v/>
      </c>
      <c r="EL107">
        <f>IF(ISNA(EF107),NA(),Capability!$N$9)</f>
        <v/>
      </c>
      <c r="EM107">
        <f>IF(ISNA(EF107),NA(),IF(OR(Capability!$Q$9="",Settings!$F$7&lt;&gt;"Y"),NA(),Capability!$Q$9))</f>
        <v/>
      </c>
      <c r="EN107">
        <f>IF(ISNA(EF107),NA(),IF(OR(Capability!$P$9="",Settings!$F$7&lt;&gt;"Y"),NA(),Capability!$P$9))</f>
        <v/>
      </c>
      <c r="ET107">
        <f>IF((EW$1+103)&gt;EU$1,NA(),(EW$1+103)-4)</f>
        <v/>
      </c>
      <c r="EU107">
        <f>IF((EW$1+103)&gt;EU$1,NA(),INDEX('Data Entry'!$M$5:$M$10004,(EW$1+103)-4))</f>
        <v/>
      </c>
      <c r="EV107">
        <f>IF(ISNA(ET107),NA(),Capability!$K$10)</f>
        <v/>
      </c>
      <c r="EW107">
        <f>IF(ISNA(ET107),NA(),Capability!$J$10)</f>
        <v/>
      </c>
      <c r="EX107">
        <f>IF(ISNA(ET107),NA(),Capability!$L$10)</f>
        <v/>
      </c>
      <c r="EY107">
        <f>IF(OR(ISNA(EU107),ISNA(EU106)),NA(),ABS(EU107-EU106))</f>
        <v/>
      </c>
      <c r="EZ107">
        <f>IF(ISNA(ET107),NA(),Capability!$N$10)</f>
        <v/>
      </c>
      <c r="FA107">
        <f>IF(ISNA(ET107),NA(),IF(OR(Capability!$Q$10="",Settings!$F$7&lt;&gt;"Y"),NA(),Capability!$Q$10))</f>
        <v/>
      </c>
      <c r="FB107">
        <f>IF(ISNA(ET107),NA(),IF(OR(Capability!$P$10="",Settings!$F$7&lt;&gt;"Y"),NA(),Capability!$P$10))</f>
        <v/>
      </c>
      <c r="FH107">
        <f>IF((FK$1+103)&gt;FI$1,NA(),(FK$1+103)-4)</f>
        <v/>
      </c>
      <c r="FI107">
        <f>IF((FK$1+103)&gt;FI$1,NA(),INDEX('Data Entry'!$N$5:$N$10004,(FK$1+103)-4))</f>
        <v/>
      </c>
      <c r="FJ107">
        <f>IF(ISNA(FH107),NA(),Capability!$K$11)</f>
        <v/>
      </c>
      <c r="FK107">
        <f>IF(ISNA(FH107),NA(),Capability!$J$11)</f>
        <v/>
      </c>
      <c r="FL107">
        <f>IF(ISNA(FH107),NA(),Capability!$L$11)</f>
        <v/>
      </c>
      <c r="FM107">
        <f>IF(OR(ISNA(FI107),ISNA(FI106)),NA(),ABS(FI107-FI106))</f>
        <v/>
      </c>
      <c r="FN107">
        <f>IF(ISNA(FH107),NA(),Capability!$N$11)</f>
        <v/>
      </c>
      <c r="FO107">
        <f>IF(ISNA(FH107),NA(),IF(OR(Capability!$Q$11="",Settings!$F$7&lt;&gt;"Y"),NA(),Capability!$Q$11))</f>
        <v/>
      </c>
      <c r="FP107">
        <f>IF(ISNA(FH107),NA(),IF(OR(Capability!$P$11="",Settings!$F$7&lt;&gt;"Y"),NA(),Capability!$P$11))</f>
        <v/>
      </c>
      <c r="FV107">
        <f>IF((FY$1+103)&gt;FW$1,NA(),(FY$1+103)-4)</f>
        <v/>
      </c>
      <c r="FW107">
        <f>IF((FY$1+103)&gt;FW$1,NA(),INDEX('Data Entry'!$O$5:$O$10004,(FY$1+103)-4))</f>
        <v/>
      </c>
      <c r="FX107">
        <f>IF(ISNA(FV107),NA(),Capability!$K$12)</f>
        <v/>
      </c>
      <c r="FY107">
        <f>IF(ISNA(FV107),NA(),Capability!$J$12)</f>
        <v/>
      </c>
      <c r="FZ107">
        <f>IF(ISNA(FV107),NA(),Capability!$L$12)</f>
        <v/>
      </c>
      <c r="GA107">
        <f>IF(OR(ISNA(FW107),ISNA(FW106)),NA(),ABS(FW107-FW106))</f>
        <v/>
      </c>
      <c r="GB107">
        <f>IF(ISNA(FV107),NA(),Capability!$N$12)</f>
        <v/>
      </c>
      <c r="GC107">
        <f>IF(ISNA(FV107),NA(),IF(OR(Capability!$Q$12="",Settings!$F$7&lt;&gt;"Y"),NA(),Capability!$Q$12))</f>
        <v/>
      </c>
      <c r="GD107">
        <f>IF(ISNA(FV107),NA(),IF(OR(Capability!$P$12="",Settings!$F$7&lt;&gt;"Y"),NA(),Capability!$P$12))</f>
        <v/>
      </c>
      <c r="GJ107">
        <f>IF((GM$1+103)&gt;GK$1,NA(),(GM$1+103)-4)</f>
        <v/>
      </c>
      <c r="GK107">
        <f>IF((GM$1+103)&gt;GK$1,NA(),INDEX('Data Entry'!$P$5:$P$10004,(GM$1+103)-4))</f>
        <v/>
      </c>
      <c r="GL107">
        <f>IF(ISNA(GJ107),NA(),Capability!$K$13)</f>
        <v/>
      </c>
      <c r="GM107">
        <f>IF(ISNA(GJ107),NA(),Capability!$J$13)</f>
        <v/>
      </c>
      <c r="GN107">
        <f>IF(ISNA(GJ107),NA(),Capability!$L$13)</f>
        <v/>
      </c>
      <c r="GO107">
        <f>IF(OR(ISNA(GK107),ISNA(GK106)),NA(),ABS(GK107-GK106))</f>
        <v/>
      </c>
      <c r="GP107">
        <f>IF(ISNA(GJ107),NA(),Capability!$N$13)</f>
        <v/>
      </c>
      <c r="GQ107">
        <f>IF(ISNA(GJ107),NA(),IF(OR(Capability!$Q$13="",Settings!$F$7&lt;&gt;"Y"),NA(),Capability!$Q$13))</f>
        <v/>
      </c>
      <c r="GR107">
        <f>IF(ISNA(GJ107),NA(),IF(OR(Capability!$P$13="",Settings!$F$7&lt;&gt;"Y"),NA(),Capability!$P$13))</f>
        <v/>
      </c>
      <c r="GX107">
        <f>IF((HA$1+103)&gt;GY$1,NA(),(HA$1+103)-4)</f>
        <v/>
      </c>
      <c r="GY107">
        <f>IF((HA$1+103)&gt;GY$1,NA(),INDEX('Data Entry'!$Q$5:$Q$10004,(HA$1+103)-4))</f>
        <v/>
      </c>
      <c r="GZ107">
        <f>IF(ISNA(GX107),NA(),Capability!$K$14)</f>
        <v/>
      </c>
      <c r="HA107">
        <f>IF(ISNA(GX107),NA(),Capability!$J$14)</f>
        <v/>
      </c>
      <c r="HB107">
        <f>IF(ISNA(GX107),NA(),Capability!$L$14)</f>
        <v/>
      </c>
      <c r="HC107">
        <f>IF(OR(ISNA(GY107),ISNA(GY106)),NA(),ABS(GY107-GY106))</f>
        <v/>
      </c>
      <c r="HD107">
        <f>IF(ISNA(GX107),NA(),Capability!$N$14)</f>
        <v/>
      </c>
      <c r="HE107">
        <f>IF(ISNA(GX107),NA(),IF(OR(Capability!$Q$14="",Settings!$F$7&lt;&gt;"Y"),NA(),Capability!$Q$14))</f>
        <v/>
      </c>
      <c r="HF107">
        <f>IF(ISNA(GX107),NA(),IF(OR(Capability!$P$14="",Settings!$F$7&lt;&gt;"Y"),NA(),Capability!$P$14))</f>
        <v/>
      </c>
    </row>
    <row r="108">
      <c r="A108" s="35" t="inlineStr">
        <is>
          <t>Cpk</t>
        </is>
      </c>
      <c r="B108" s="38">
        <f>Capability!T7</f>
        <v/>
      </c>
      <c r="CB108">
        <f>IF((CE$1+104)&gt;CC$1,NA(),(CE$1+104)-4)</f>
        <v/>
      </c>
      <c r="CC108">
        <f>IF((CE$1+104)&gt;CC$1,NA(),INDEX('Data Entry'!$H$5:$H$10004,(CE$1+104)-4))</f>
        <v/>
      </c>
      <c r="CD108">
        <f>IF(ISNA(CB108),NA(),Capability!$K$5)</f>
        <v/>
      </c>
      <c r="CE108">
        <f>IF(ISNA(CB108),NA(),Capability!$J$5)</f>
        <v/>
      </c>
      <c r="CF108">
        <f>IF(ISNA(CB108),NA(),Capability!$L$5)</f>
        <v/>
      </c>
      <c r="CG108">
        <f>IF(OR(ISNA(CC108),ISNA(CC107)),NA(),ABS(CC108-CC107))</f>
        <v/>
      </c>
      <c r="CH108">
        <f>IF(ISNA(CB108),NA(),Capability!$N$5)</f>
        <v/>
      </c>
      <c r="CI108">
        <f>IF(ISNA(CB108),NA(),IF(OR(Capability!$Q$5="",Settings!$F$7&lt;&gt;"Y"),NA(),Capability!$Q$5))</f>
        <v/>
      </c>
      <c r="CJ108">
        <f>IF(ISNA(CB108),NA(),IF(OR(Capability!$P$5="",Settings!$F$7&lt;&gt;"Y"),NA(),Capability!$P$5))</f>
        <v/>
      </c>
      <c r="CP108">
        <f>IF((CS$1+104)&gt;CQ$1,NA(),(CS$1+104)-4)</f>
        <v/>
      </c>
      <c r="CQ108">
        <f>IF((CS$1+104)&gt;CQ$1,NA(),INDEX('Data Entry'!$I$5:$I$10004,(CS$1+104)-4))</f>
        <v/>
      </c>
      <c r="CR108">
        <f>IF(ISNA(CP108),NA(),Capability!$K$6)</f>
        <v/>
      </c>
      <c r="CS108">
        <f>IF(ISNA(CP108),NA(),Capability!$J$6)</f>
        <v/>
      </c>
      <c r="CT108">
        <f>IF(ISNA(CP108),NA(),Capability!$L$6)</f>
        <v/>
      </c>
      <c r="CU108">
        <f>IF(OR(ISNA(CQ108),ISNA(CQ107)),NA(),ABS(CQ108-CQ107))</f>
        <v/>
      </c>
      <c r="CV108">
        <f>IF(ISNA(CP108),NA(),Capability!$N$6)</f>
        <v/>
      </c>
      <c r="CW108">
        <f>IF(ISNA(CP108),NA(),IF(OR(Capability!$Q$6="",Settings!$F$7&lt;&gt;"Y"),NA(),Capability!$Q$6))</f>
        <v/>
      </c>
      <c r="CX108">
        <f>IF(ISNA(CP108),NA(),IF(OR(Capability!$P$6="",Settings!$F$7&lt;&gt;"Y"),NA(),Capability!$P$6))</f>
        <v/>
      </c>
      <c r="DD108">
        <f>IF((DG$1+104)&gt;DE$1,NA(),(DG$1+104)-4)</f>
        <v/>
      </c>
      <c r="DE108">
        <f>IF((DG$1+104)&gt;DE$1,NA(),INDEX('Data Entry'!$J$5:$J$10004,(DG$1+104)-4))</f>
        <v/>
      </c>
      <c r="DF108">
        <f>IF(ISNA(DD108),NA(),Capability!$K$7)</f>
        <v/>
      </c>
      <c r="DG108">
        <f>IF(ISNA(DD108),NA(),Capability!$J$7)</f>
        <v/>
      </c>
      <c r="DH108">
        <f>IF(ISNA(DD108),NA(),Capability!$L$7)</f>
        <v/>
      </c>
      <c r="DI108">
        <f>IF(OR(ISNA(DE108),ISNA(DE107)),NA(),ABS(DE108-DE107))</f>
        <v/>
      </c>
      <c r="DJ108">
        <f>IF(ISNA(DD108),NA(),Capability!$N$7)</f>
        <v/>
      </c>
      <c r="DK108">
        <f>IF(ISNA(DD108),NA(),IF(OR(Capability!$Q$7="",Settings!$F$7&lt;&gt;"Y"),NA(),Capability!$Q$7))</f>
        <v/>
      </c>
      <c r="DL108">
        <f>IF(ISNA(DD108),NA(),IF(OR(Capability!$P$7="",Settings!$F$7&lt;&gt;"Y"),NA(),Capability!$P$7))</f>
        <v/>
      </c>
      <c r="DR108">
        <f>IF((DU$1+104)&gt;DS$1,NA(),(DU$1+104)-4)</f>
        <v/>
      </c>
      <c r="DS108">
        <f>IF((DU$1+104)&gt;DS$1,NA(),INDEX('Data Entry'!$K$5:$K$10004,(DU$1+104)-4))</f>
        <v/>
      </c>
      <c r="DT108">
        <f>IF(ISNA(DR108),NA(),Capability!$K$8)</f>
        <v/>
      </c>
      <c r="DU108">
        <f>IF(ISNA(DR108),NA(),Capability!$J$8)</f>
        <v/>
      </c>
      <c r="DV108">
        <f>IF(ISNA(DR108),NA(),Capability!$L$8)</f>
        <v/>
      </c>
      <c r="DW108">
        <f>IF(OR(ISNA(DS108),ISNA(DS107)),NA(),ABS(DS108-DS107))</f>
        <v/>
      </c>
      <c r="DX108">
        <f>IF(ISNA(DR108),NA(),Capability!$N$8)</f>
        <v/>
      </c>
      <c r="DY108">
        <f>IF(ISNA(DR108),NA(),IF(OR(Capability!$Q$8="",Settings!$F$7&lt;&gt;"Y"),NA(),Capability!$Q$8))</f>
        <v/>
      </c>
      <c r="DZ108">
        <f>IF(ISNA(DR108),NA(),IF(OR(Capability!$P$8="",Settings!$F$7&lt;&gt;"Y"),NA(),Capability!$P$8))</f>
        <v/>
      </c>
      <c r="EF108">
        <f>IF((EI$1+104)&gt;EG$1,NA(),(EI$1+104)-4)</f>
        <v/>
      </c>
      <c r="EG108">
        <f>IF((EI$1+104)&gt;EG$1,NA(),INDEX('Data Entry'!$L$5:$L$10004,(EI$1+104)-4))</f>
        <v/>
      </c>
      <c r="EH108">
        <f>IF(ISNA(EF108),NA(),Capability!$K$9)</f>
        <v/>
      </c>
      <c r="EI108">
        <f>IF(ISNA(EF108),NA(),Capability!$J$9)</f>
        <v/>
      </c>
      <c r="EJ108">
        <f>IF(ISNA(EF108),NA(),Capability!$L$9)</f>
        <v/>
      </c>
      <c r="EK108">
        <f>IF(OR(ISNA(EG108),ISNA(EG107)),NA(),ABS(EG108-EG107))</f>
        <v/>
      </c>
      <c r="EL108">
        <f>IF(ISNA(EF108),NA(),Capability!$N$9)</f>
        <v/>
      </c>
      <c r="EM108">
        <f>IF(ISNA(EF108),NA(),IF(OR(Capability!$Q$9="",Settings!$F$7&lt;&gt;"Y"),NA(),Capability!$Q$9))</f>
        <v/>
      </c>
      <c r="EN108">
        <f>IF(ISNA(EF108),NA(),IF(OR(Capability!$P$9="",Settings!$F$7&lt;&gt;"Y"),NA(),Capability!$P$9))</f>
        <v/>
      </c>
      <c r="ET108">
        <f>IF((EW$1+104)&gt;EU$1,NA(),(EW$1+104)-4)</f>
        <v/>
      </c>
      <c r="EU108">
        <f>IF((EW$1+104)&gt;EU$1,NA(),INDEX('Data Entry'!$M$5:$M$10004,(EW$1+104)-4))</f>
        <v/>
      </c>
      <c r="EV108">
        <f>IF(ISNA(ET108),NA(),Capability!$K$10)</f>
        <v/>
      </c>
      <c r="EW108">
        <f>IF(ISNA(ET108),NA(),Capability!$J$10)</f>
        <v/>
      </c>
      <c r="EX108">
        <f>IF(ISNA(ET108),NA(),Capability!$L$10)</f>
        <v/>
      </c>
      <c r="EY108">
        <f>IF(OR(ISNA(EU108),ISNA(EU107)),NA(),ABS(EU108-EU107))</f>
        <v/>
      </c>
      <c r="EZ108">
        <f>IF(ISNA(ET108),NA(),Capability!$N$10)</f>
        <v/>
      </c>
      <c r="FA108">
        <f>IF(ISNA(ET108),NA(),IF(OR(Capability!$Q$10="",Settings!$F$7&lt;&gt;"Y"),NA(),Capability!$Q$10))</f>
        <v/>
      </c>
      <c r="FB108">
        <f>IF(ISNA(ET108),NA(),IF(OR(Capability!$P$10="",Settings!$F$7&lt;&gt;"Y"),NA(),Capability!$P$10))</f>
        <v/>
      </c>
      <c r="FH108">
        <f>IF((FK$1+104)&gt;FI$1,NA(),(FK$1+104)-4)</f>
        <v/>
      </c>
      <c r="FI108">
        <f>IF((FK$1+104)&gt;FI$1,NA(),INDEX('Data Entry'!$N$5:$N$10004,(FK$1+104)-4))</f>
        <v/>
      </c>
      <c r="FJ108">
        <f>IF(ISNA(FH108),NA(),Capability!$K$11)</f>
        <v/>
      </c>
      <c r="FK108">
        <f>IF(ISNA(FH108),NA(),Capability!$J$11)</f>
        <v/>
      </c>
      <c r="FL108">
        <f>IF(ISNA(FH108),NA(),Capability!$L$11)</f>
        <v/>
      </c>
      <c r="FM108">
        <f>IF(OR(ISNA(FI108),ISNA(FI107)),NA(),ABS(FI108-FI107))</f>
        <v/>
      </c>
      <c r="FN108">
        <f>IF(ISNA(FH108),NA(),Capability!$N$11)</f>
        <v/>
      </c>
      <c r="FO108">
        <f>IF(ISNA(FH108),NA(),IF(OR(Capability!$Q$11="",Settings!$F$7&lt;&gt;"Y"),NA(),Capability!$Q$11))</f>
        <v/>
      </c>
      <c r="FP108">
        <f>IF(ISNA(FH108),NA(),IF(OR(Capability!$P$11="",Settings!$F$7&lt;&gt;"Y"),NA(),Capability!$P$11))</f>
        <v/>
      </c>
      <c r="FV108">
        <f>IF((FY$1+104)&gt;FW$1,NA(),(FY$1+104)-4)</f>
        <v/>
      </c>
      <c r="FW108">
        <f>IF((FY$1+104)&gt;FW$1,NA(),INDEX('Data Entry'!$O$5:$O$10004,(FY$1+104)-4))</f>
        <v/>
      </c>
      <c r="FX108">
        <f>IF(ISNA(FV108),NA(),Capability!$K$12)</f>
        <v/>
      </c>
      <c r="FY108">
        <f>IF(ISNA(FV108),NA(),Capability!$J$12)</f>
        <v/>
      </c>
      <c r="FZ108">
        <f>IF(ISNA(FV108),NA(),Capability!$L$12)</f>
        <v/>
      </c>
      <c r="GA108">
        <f>IF(OR(ISNA(FW108),ISNA(FW107)),NA(),ABS(FW108-FW107))</f>
        <v/>
      </c>
      <c r="GB108">
        <f>IF(ISNA(FV108),NA(),Capability!$N$12)</f>
        <v/>
      </c>
      <c r="GC108">
        <f>IF(ISNA(FV108),NA(),IF(OR(Capability!$Q$12="",Settings!$F$7&lt;&gt;"Y"),NA(),Capability!$Q$12))</f>
        <v/>
      </c>
      <c r="GD108">
        <f>IF(ISNA(FV108),NA(),IF(OR(Capability!$P$12="",Settings!$F$7&lt;&gt;"Y"),NA(),Capability!$P$12))</f>
        <v/>
      </c>
      <c r="GJ108">
        <f>IF((GM$1+104)&gt;GK$1,NA(),(GM$1+104)-4)</f>
        <v/>
      </c>
      <c r="GK108">
        <f>IF((GM$1+104)&gt;GK$1,NA(),INDEX('Data Entry'!$P$5:$P$10004,(GM$1+104)-4))</f>
        <v/>
      </c>
      <c r="GL108">
        <f>IF(ISNA(GJ108),NA(),Capability!$K$13)</f>
        <v/>
      </c>
      <c r="GM108">
        <f>IF(ISNA(GJ108),NA(),Capability!$J$13)</f>
        <v/>
      </c>
      <c r="GN108">
        <f>IF(ISNA(GJ108),NA(),Capability!$L$13)</f>
        <v/>
      </c>
      <c r="GO108">
        <f>IF(OR(ISNA(GK108),ISNA(GK107)),NA(),ABS(GK108-GK107))</f>
        <v/>
      </c>
      <c r="GP108">
        <f>IF(ISNA(GJ108),NA(),Capability!$N$13)</f>
        <v/>
      </c>
      <c r="GQ108">
        <f>IF(ISNA(GJ108),NA(),IF(OR(Capability!$Q$13="",Settings!$F$7&lt;&gt;"Y"),NA(),Capability!$Q$13))</f>
        <v/>
      </c>
      <c r="GR108">
        <f>IF(ISNA(GJ108),NA(),IF(OR(Capability!$P$13="",Settings!$F$7&lt;&gt;"Y"),NA(),Capability!$P$13))</f>
        <v/>
      </c>
      <c r="GX108">
        <f>IF((HA$1+104)&gt;GY$1,NA(),(HA$1+104)-4)</f>
        <v/>
      </c>
      <c r="GY108">
        <f>IF((HA$1+104)&gt;GY$1,NA(),INDEX('Data Entry'!$Q$5:$Q$10004,(HA$1+104)-4))</f>
        <v/>
      </c>
      <c r="GZ108">
        <f>IF(ISNA(GX108),NA(),Capability!$K$14)</f>
        <v/>
      </c>
      <c r="HA108">
        <f>IF(ISNA(GX108),NA(),Capability!$J$14)</f>
        <v/>
      </c>
      <c r="HB108">
        <f>IF(ISNA(GX108),NA(),Capability!$L$14)</f>
        <v/>
      </c>
      <c r="HC108">
        <f>IF(OR(ISNA(GY108),ISNA(GY107)),NA(),ABS(GY108-GY107))</f>
        <v/>
      </c>
      <c r="HD108">
        <f>IF(ISNA(GX108),NA(),Capability!$N$14)</f>
        <v/>
      </c>
      <c r="HE108">
        <f>IF(ISNA(GX108),NA(),IF(OR(Capability!$Q$14="",Settings!$F$7&lt;&gt;"Y"),NA(),Capability!$Q$14))</f>
        <v/>
      </c>
      <c r="HF108">
        <f>IF(ISNA(GX108),NA(),IF(OR(Capability!$P$14="",Settings!$F$7&lt;&gt;"Y"),NA(),Capability!$P$14))</f>
        <v/>
      </c>
    </row>
    <row r="109">
      <c r="A109" s="35" t="inlineStr">
        <is>
          <t>Pp</t>
        </is>
      </c>
      <c r="B109" s="38">
        <f>Capability!U7</f>
        <v/>
      </c>
      <c r="CB109">
        <f>IF((CE$1+105)&gt;CC$1,NA(),(CE$1+105)-4)</f>
        <v/>
      </c>
      <c r="CC109">
        <f>IF((CE$1+105)&gt;CC$1,NA(),INDEX('Data Entry'!$H$5:$H$10004,(CE$1+105)-4))</f>
        <v/>
      </c>
      <c r="CD109">
        <f>IF(ISNA(CB109),NA(),Capability!$K$5)</f>
        <v/>
      </c>
      <c r="CE109">
        <f>IF(ISNA(CB109),NA(),Capability!$J$5)</f>
        <v/>
      </c>
      <c r="CF109">
        <f>IF(ISNA(CB109),NA(),Capability!$L$5)</f>
        <v/>
      </c>
      <c r="CG109">
        <f>IF(OR(ISNA(CC109),ISNA(CC108)),NA(),ABS(CC109-CC108))</f>
        <v/>
      </c>
      <c r="CH109">
        <f>IF(ISNA(CB109),NA(),Capability!$N$5)</f>
        <v/>
      </c>
      <c r="CI109">
        <f>IF(ISNA(CB109),NA(),IF(OR(Capability!$Q$5="",Settings!$F$7&lt;&gt;"Y"),NA(),Capability!$Q$5))</f>
        <v/>
      </c>
      <c r="CJ109">
        <f>IF(ISNA(CB109),NA(),IF(OR(Capability!$P$5="",Settings!$F$7&lt;&gt;"Y"),NA(),Capability!$P$5))</f>
        <v/>
      </c>
      <c r="CP109">
        <f>IF((CS$1+105)&gt;CQ$1,NA(),(CS$1+105)-4)</f>
        <v/>
      </c>
      <c r="CQ109">
        <f>IF((CS$1+105)&gt;CQ$1,NA(),INDEX('Data Entry'!$I$5:$I$10004,(CS$1+105)-4))</f>
        <v/>
      </c>
      <c r="CR109">
        <f>IF(ISNA(CP109),NA(),Capability!$K$6)</f>
        <v/>
      </c>
      <c r="CS109">
        <f>IF(ISNA(CP109),NA(),Capability!$J$6)</f>
        <v/>
      </c>
      <c r="CT109">
        <f>IF(ISNA(CP109),NA(),Capability!$L$6)</f>
        <v/>
      </c>
      <c r="CU109">
        <f>IF(OR(ISNA(CQ109),ISNA(CQ108)),NA(),ABS(CQ109-CQ108))</f>
        <v/>
      </c>
      <c r="CV109">
        <f>IF(ISNA(CP109),NA(),Capability!$N$6)</f>
        <v/>
      </c>
      <c r="CW109">
        <f>IF(ISNA(CP109),NA(),IF(OR(Capability!$Q$6="",Settings!$F$7&lt;&gt;"Y"),NA(),Capability!$Q$6))</f>
        <v/>
      </c>
      <c r="CX109">
        <f>IF(ISNA(CP109),NA(),IF(OR(Capability!$P$6="",Settings!$F$7&lt;&gt;"Y"),NA(),Capability!$P$6))</f>
        <v/>
      </c>
      <c r="DD109">
        <f>IF((DG$1+105)&gt;DE$1,NA(),(DG$1+105)-4)</f>
        <v/>
      </c>
      <c r="DE109">
        <f>IF((DG$1+105)&gt;DE$1,NA(),INDEX('Data Entry'!$J$5:$J$10004,(DG$1+105)-4))</f>
        <v/>
      </c>
      <c r="DF109">
        <f>IF(ISNA(DD109),NA(),Capability!$K$7)</f>
        <v/>
      </c>
      <c r="DG109">
        <f>IF(ISNA(DD109),NA(),Capability!$J$7)</f>
        <v/>
      </c>
      <c r="DH109">
        <f>IF(ISNA(DD109),NA(),Capability!$L$7)</f>
        <v/>
      </c>
      <c r="DI109">
        <f>IF(OR(ISNA(DE109),ISNA(DE108)),NA(),ABS(DE109-DE108))</f>
        <v/>
      </c>
      <c r="DJ109">
        <f>IF(ISNA(DD109),NA(),Capability!$N$7)</f>
        <v/>
      </c>
      <c r="DK109">
        <f>IF(ISNA(DD109),NA(),IF(OR(Capability!$Q$7="",Settings!$F$7&lt;&gt;"Y"),NA(),Capability!$Q$7))</f>
        <v/>
      </c>
      <c r="DL109">
        <f>IF(ISNA(DD109),NA(),IF(OR(Capability!$P$7="",Settings!$F$7&lt;&gt;"Y"),NA(),Capability!$P$7))</f>
        <v/>
      </c>
      <c r="DR109">
        <f>IF((DU$1+105)&gt;DS$1,NA(),(DU$1+105)-4)</f>
        <v/>
      </c>
      <c r="DS109">
        <f>IF((DU$1+105)&gt;DS$1,NA(),INDEX('Data Entry'!$K$5:$K$10004,(DU$1+105)-4))</f>
        <v/>
      </c>
      <c r="DT109">
        <f>IF(ISNA(DR109),NA(),Capability!$K$8)</f>
        <v/>
      </c>
      <c r="DU109">
        <f>IF(ISNA(DR109),NA(),Capability!$J$8)</f>
        <v/>
      </c>
      <c r="DV109">
        <f>IF(ISNA(DR109),NA(),Capability!$L$8)</f>
        <v/>
      </c>
      <c r="DW109">
        <f>IF(OR(ISNA(DS109),ISNA(DS108)),NA(),ABS(DS109-DS108))</f>
        <v/>
      </c>
      <c r="DX109">
        <f>IF(ISNA(DR109),NA(),Capability!$N$8)</f>
        <v/>
      </c>
      <c r="DY109">
        <f>IF(ISNA(DR109),NA(),IF(OR(Capability!$Q$8="",Settings!$F$7&lt;&gt;"Y"),NA(),Capability!$Q$8))</f>
        <v/>
      </c>
      <c r="DZ109">
        <f>IF(ISNA(DR109),NA(),IF(OR(Capability!$P$8="",Settings!$F$7&lt;&gt;"Y"),NA(),Capability!$P$8))</f>
        <v/>
      </c>
      <c r="EF109">
        <f>IF((EI$1+105)&gt;EG$1,NA(),(EI$1+105)-4)</f>
        <v/>
      </c>
      <c r="EG109">
        <f>IF((EI$1+105)&gt;EG$1,NA(),INDEX('Data Entry'!$L$5:$L$10004,(EI$1+105)-4))</f>
        <v/>
      </c>
      <c r="EH109">
        <f>IF(ISNA(EF109),NA(),Capability!$K$9)</f>
        <v/>
      </c>
      <c r="EI109">
        <f>IF(ISNA(EF109),NA(),Capability!$J$9)</f>
        <v/>
      </c>
      <c r="EJ109">
        <f>IF(ISNA(EF109),NA(),Capability!$L$9)</f>
        <v/>
      </c>
      <c r="EK109">
        <f>IF(OR(ISNA(EG109),ISNA(EG108)),NA(),ABS(EG109-EG108))</f>
        <v/>
      </c>
      <c r="EL109">
        <f>IF(ISNA(EF109),NA(),Capability!$N$9)</f>
        <v/>
      </c>
      <c r="EM109">
        <f>IF(ISNA(EF109),NA(),IF(OR(Capability!$Q$9="",Settings!$F$7&lt;&gt;"Y"),NA(),Capability!$Q$9))</f>
        <v/>
      </c>
      <c r="EN109">
        <f>IF(ISNA(EF109),NA(),IF(OR(Capability!$P$9="",Settings!$F$7&lt;&gt;"Y"),NA(),Capability!$P$9))</f>
        <v/>
      </c>
      <c r="ET109">
        <f>IF((EW$1+105)&gt;EU$1,NA(),(EW$1+105)-4)</f>
        <v/>
      </c>
      <c r="EU109">
        <f>IF((EW$1+105)&gt;EU$1,NA(),INDEX('Data Entry'!$M$5:$M$10004,(EW$1+105)-4))</f>
        <v/>
      </c>
      <c r="EV109">
        <f>IF(ISNA(ET109),NA(),Capability!$K$10)</f>
        <v/>
      </c>
      <c r="EW109">
        <f>IF(ISNA(ET109),NA(),Capability!$J$10)</f>
        <v/>
      </c>
      <c r="EX109">
        <f>IF(ISNA(ET109),NA(),Capability!$L$10)</f>
        <v/>
      </c>
      <c r="EY109">
        <f>IF(OR(ISNA(EU109),ISNA(EU108)),NA(),ABS(EU109-EU108))</f>
        <v/>
      </c>
      <c r="EZ109">
        <f>IF(ISNA(ET109),NA(),Capability!$N$10)</f>
        <v/>
      </c>
      <c r="FA109">
        <f>IF(ISNA(ET109),NA(),IF(OR(Capability!$Q$10="",Settings!$F$7&lt;&gt;"Y"),NA(),Capability!$Q$10))</f>
        <v/>
      </c>
      <c r="FB109">
        <f>IF(ISNA(ET109),NA(),IF(OR(Capability!$P$10="",Settings!$F$7&lt;&gt;"Y"),NA(),Capability!$P$10))</f>
        <v/>
      </c>
      <c r="FH109">
        <f>IF((FK$1+105)&gt;FI$1,NA(),(FK$1+105)-4)</f>
        <v/>
      </c>
      <c r="FI109">
        <f>IF((FK$1+105)&gt;FI$1,NA(),INDEX('Data Entry'!$N$5:$N$10004,(FK$1+105)-4))</f>
        <v/>
      </c>
      <c r="FJ109">
        <f>IF(ISNA(FH109),NA(),Capability!$K$11)</f>
        <v/>
      </c>
      <c r="FK109">
        <f>IF(ISNA(FH109),NA(),Capability!$J$11)</f>
        <v/>
      </c>
      <c r="FL109">
        <f>IF(ISNA(FH109),NA(),Capability!$L$11)</f>
        <v/>
      </c>
      <c r="FM109">
        <f>IF(OR(ISNA(FI109),ISNA(FI108)),NA(),ABS(FI109-FI108))</f>
        <v/>
      </c>
      <c r="FN109">
        <f>IF(ISNA(FH109),NA(),Capability!$N$11)</f>
        <v/>
      </c>
      <c r="FO109">
        <f>IF(ISNA(FH109),NA(),IF(OR(Capability!$Q$11="",Settings!$F$7&lt;&gt;"Y"),NA(),Capability!$Q$11))</f>
        <v/>
      </c>
      <c r="FP109">
        <f>IF(ISNA(FH109),NA(),IF(OR(Capability!$P$11="",Settings!$F$7&lt;&gt;"Y"),NA(),Capability!$P$11))</f>
        <v/>
      </c>
      <c r="FV109">
        <f>IF((FY$1+105)&gt;FW$1,NA(),(FY$1+105)-4)</f>
        <v/>
      </c>
      <c r="FW109">
        <f>IF((FY$1+105)&gt;FW$1,NA(),INDEX('Data Entry'!$O$5:$O$10004,(FY$1+105)-4))</f>
        <v/>
      </c>
      <c r="FX109">
        <f>IF(ISNA(FV109),NA(),Capability!$K$12)</f>
        <v/>
      </c>
      <c r="FY109">
        <f>IF(ISNA(FV109),NA(),Capability!$J$12)</f>
        <v/>
      </c>
      <c r="FZ109">
        <f>IF(ISNA(FV109),NA(),Capability!$L$12)</f>
        <v/>
      </c>
      <c r="GA109">
        <f>IF(OR(ISNA(FW109),ISNA(FW108)),NA(),ABS(FW109-FW108))</f>
        <v/>
      </c>
      <c r="GB109">
        <f>IF(ISNA(FV109),NA(),Capability!$N$12)</f>
        <v/>
      </c>
      <c r="GC109">
        <f>IF(ISNA(FV109),NA(),IF(OR(Capability!$Q$12="",Settings!$F$7&lt;&gt;"Y"),NA(),Capability!$Q$12))</f>
        <v/>
      </c>
      <c r="GD109">
        <f>IF(ISNA(FV109),NA(),IF(OR(Capability!$P$12="",Settings!$F$7&lt;&gt;"Y"),NA(),Capability!$P$12))</f>
        <v/>
      </c>
      <c r="GJ109">
        <f>IF((GM$1+105)&gt;GK$1,NA(),(GM$1+105)-4)</f>
        <v/>
      </c>
      <c r="GK109">
        <f>IF((GM$1+105)&gt;GK$1,NA(),INDEX('Data Entry'!$P$5:$P$10004,(GM$1+105)-4))</f>
        <v/>
      </c>
      <c r="GL109">
        <f>IF(ISNA(GJ109),NA(),Capability!$K$13)</f>
        <v/>
      </c>
      <c r="GM109">
        <f>IF(ISNA(GJ109),NA(),Capability!$J$13)</f>
        <v/>
      </c>
      <c r="GN109">
        <f>IF(ISNA(GJ109),NA(),Capability!$L$13)</f>
        <v/>
      </c>
      <c r="GO109">
        <f>IF(OR(ISNA(GK109),ISNA(GK108)),NA(),ABS(GK109-GK108))</f>
        <v/>
      </c>
      <c r="GP109">
        <f>IF(ISNA(GJ109),NA(),Capability!$N$13)</f>
        <v/>
      </c>
      <c r="GQ109">
        <f>IF(ISNA(GJ109),NA(),IF(OR(Capability!$Q$13="",Settings!$F$7&lt;&gt;"Y"),NA(),Capability!$Q$13))</f>
        <v/>
      </c>
      <c r="GR109">
        <f>IF(ISNA(GJ109),NA(),IF(OR(Capability!$P$13="",Settings!$F$7&lt;&gt;"Y"),NA(),Capability!$P$13))</f>
        <v/>
      </c>
      <c r="GX109">
        <f>IF((HA$1+105)&gt;GY$1,NA(),(HA$1+105)-4)</f>
        <v/>
      </c>
      <c r="GY109">
        <f>IF((HA$1+105)&gt;GY$1,NA(),INDEX('Data Entry'!$Q$5:$Q$10004,(HA$1+105)-4))</f>
        <v/>
      </c>
      <c r="GZ109">
        <f>IF(ISNA(GX109),NA(),Capability!$K$14)</f>
        <v/>
      </c>
      <c r="HA109">
        <f>IF(ISNA(GX109),NA(),Capability!$J$14)</f>
        <v/>
      </c>
      <c r="HB109">
        <f>IF(ISNA(GX109),NA(),Capability!$L$14)</f>
        <v/>
      </c>
      <c r="HC109">
        <f>IF(OR(ISNA(GY109),ISNA(GY108)),NA(),ABS(GY109-GY108))</f>
        <v/>
      </c>
      <c r="HD109">
        <f>IF(ISNA(GX109),NA(),Capability!$N$14)</f>
        <v/>
      </c>
      <c r="HE109">
        <f>IF(ISNA(GX109),NA(),IF(OR(Capability!$Q$14="",Settings!$F$7&lt;&gt;"Y"),NA(),Capability!$Q$14))</f>
        <v/>
      </c>
      <c r="HF109">
        <f>IF(ISNA(GX109),NA(),IF(OR(Capability!$P$14="",Settings!$F$7&lt;&gt;"Y"),NA(),Capability!$P$14))</f>
        <v/>
      </c>
    </row>
    <row r="110">
      <c r="A110" s="35" t="inlineStr">
        <is>
          <t>Ppk</t>
        </is>
      </c>
      <c r="B110" s="38">
        <f>Capability!V7</f>
        <v/>
      </c>
      <c r="CB110">
        <f>IF((CE$1+106)&gt;CC$1,NA(),(CE$1+106)-4)</f>
        <v/>
      </c>
      <c r="CC110">
        <f>IF((CE$1+106)&gt;CC$1,NA(),INDEX('Data Entry'!$H$5:$H$10004,(CE$1+106)-4))</f>
        <v/>
      </c>
      <c r="CD110">
        <f>IF(ISNA(CB110),NA(),Capability!$K$5)</f>
        <v/>
      </c>
      <c r="CE110">
        <f>IF(ISNA(CB110),NA(),Capability!$J$5)</f>
        <v/>
      </c>
      <c r="CF110">
        <f>IF(ISNA(CB110),NA(),Capability!$L$5)</f>
        <v/>
      </c>
      <c r="CG110">
        <f>IF(OR(ISNA(CC110),ISNA(CC109)),NA(),ABS(CC110-CC109))</f>
        <v/>
      </c>
      <c r="CH110">
        <f>IF(ISNA(CB110),NA(),Capability!$N$5)</f>
        <v/>
      </c>
      <c r="CI110">
        <f>IF(ISNA(CB110),NA(),IF(OR(Capability!$Q$5="",Settings!$F$7&lt;&gt;"Y"),NA(),Capability!$Q$5))</f>
        <v/>
      </c>
      <c r="CJ110">
        <f>IF(ISNA(CB110),NA(),IF(OR(Capability!$P$5="",Settings!$F$7&lt;&gt;"Y"),NA(),Capability!$P$5))</f>
        <v/>
      </c>
      <c r="CP110">
        <f>IF((CS$1+106)&gt;CQ$1,NA(),(CS$1+106)-4)</f>
        <v/>
      </c>
      <c r="CQ110">
        <f>IF((CS$1+106)&gt;CQ$1,NA(),INDEX('Data Entry'!$I$5:$I$10004,(CS$1+106)-4))</f>
        <v/>
      </c>
      <c r="CR110">
        <f>IF(ISNA(CP110),NA(),Capability!$K$6)</f>
        <v/>
      </c>
      <c r="CS110">
        <f>IF(ISNA(CP110),NA(),Capability!$J$6)</f>
        <v/>
      </c>
      <c r="CT110">
        <f>IF(ISNA(CP110),NA(),Capability!$L$6)</f>
        <v/>
      </c>
      <c r="CU110">
        <f>IF(OR(ISNA(CQ110),ISNA(CQ109)),NA(),ABS(CQ110-CQ109))</f>
        <v/>
      </c>
      <c r="CV110">
        <f>IF(ISNA(CP110),NA(),Capability!$N$6)</f>
        <v/>
      </c>
      <c r="CW110">
        <f>IF(ISNA(CP110),NA(),IF(OR(Capability!$Q$6="",Settings!$F$7&lt;&gt;"Y"),NA(),Capability!$Q$6))</f>
        <v/>
      </c>
      <c r="CX110">
        <f>IF(ISNA(CP110),NA(),IF(OR(Capability!$P$6="",Settings!$F$7&lt;&gt;"Y"),NA(),Capability!$P$6))</f>
        <v/>
      </c>
      <c r="DD110">
        <f>IF((DG$1+106)&gt;DE$1,NA(),(DG$1+106)-4)</f>
        <v/>
      </c>
      <c r="DE110">
        <f>IF((DG$1+106)&gt;DE$1,NA(),INDEX('Data Entry'!$J$5:$J$10004,(DG$1+106)-4))</f>
        <v/>
      </c>
      <c r="DF110">
        <f>IF(ISNA(DD110),NA(),Capability!$K$7)</f>
        <v/>
      </c>
      <c r="DG110">
        <f>IF(ISNA(DD110),NA(),Capability!$J$7)</f>
        <v/>
      </c>
      <c r="DH110">
        <f>IF(ISNA(DD110),NA(),Capability!$L$7)</f>
        <v/>
      </c>
      <c r="DI110">
        <f>IF(OR(ISNA(DE110),ISNA(DE109)),NA(),ABS(DE110-DE109))</f>
        <v/>
      </c>
      <c r="DJ110">
        <f>IF(ISNA(DD110),NA(),Capability!$N$7)</f>
        <v/>
      </c>
      <c r="DK110">
        <f>IF(ISNA(DD110),NA(),IF(OR(Capability!$Q$7="",Settings!$F$7&lt;&gt;"Y"),NA(),Capability!$Q$7))</f>
        <v/>
      </c>
      <c r="DL110">
        <f>IF(ISNA(DD110),NA(),IF(OR(Capability!$P$7="",Settings!$F$7&lt;&gt;"Y"),NA(),Capability!$P$7))</f>
        <v/>
      </c>
      <c r="DR110">
        <f>IF((DU$1+106)&gt;DS$1,NA(),(DU$1+106)-4)</f>
        <v/>
      </c>
      <c r="DS110">
        <f>IF((DU$1+106)&gt;DS$1,NA(),INDEX('Data Entry'!$K$5:$K$10004,(DU$1+106)-4))</f>
        <v/>
      </c>
      <c r="DT110">
        <f>IF(ISNA(DR110),NA(),Capability!$K$8)</f>
        <v/>
      </c>
      <c r="DU110">
        <f>IF(ISNA(DR110),NA(),Capability!$J$8)</f>
        <v/>
      </c>
      <c r="DV110">
        <f>IF(ISNA(DR110),NA(),Capability!$L$8)</f>
        <v/>
      </c>
      <c r="DW110">
        <f>IF(OR(ISNA(DS110),ISNA(DS109)),NA(),ABS(DS110-DS109))</f>
        <v/>
      </c>
      <c r="DX110">
        <f>IF(ISNA(DR110),NA(),Capability!$N$8)</f>
        <v/>
      </c>
      <c r="DY110">
        <f>IF(ISNA(DR110),NA(),IF(OR(Capability!$Q$8="",Settings!$F$7&lt;&gt;"Y"),NA(),Capability!$Q$8))</f>
        <v/>
      </c>
      <c r="DZ110">
        <f>IF(ISNA(DR110),NA(),IF(OR(Capability!$P$8="",Settings!$F$7&lt;&gt;"Y"),NA(),Capability!$P$8))</f>
        <v/>
      </c>
      <c r="EF110">
        <f>IF((EI$1+106)&gt;EG$1,NA(),(EI$1+106)-4)</f>
        <v/>
      </c>
      <c r="EG110">
        <f>IF((EI$1+106)&gt;EG$1,NA(),INDEX('Data Entry'!$L$5:$L$10004,(EI$1+106)-4))</f>
        <v/>
      </c>
      <c r="EH110">
        <f>IF(ISNA(EF110),NA(),Capability!$K$9)</f>
        <v/>
      </c>
      <c r="EI110">
        <f>IF(ISNA(EF110),NA(),Capability!$J$9)</f>
        <v/>
      </c>
      <c r="EJ110">
        <f>IF(ISNA(EF110),NA(),Capability!$L$9)</f>
        <v/>
      </c>
      <c r="EK110">
        <f>IF(OR(ISNA(EG110),ISNA(EG109)),NA(),ABS(EG110-EG109))</f>
        <v/>
      </c>
      <c r="EL110">
        <f>IF(ISNA(EF110),NA(),Capability!$N$9)</f>
        <v/>
      </c>
      <c r="EM110">
        <f>IF(ISNA(EF110),NA(),IF(OR(Capability!$Q$9="",Settings!$F$7&lt;&gt;"Y"),NA(),Capability!$Q$9))</f>
        <v/>
      </c>
      <c r="EN110">
        <f>IF(ISNA(EF110),NA(),IF(OR(Capability!$P$9="",Settings!$F$7&lt;&gt;"Y"),NA(),Capability!$P$9))</f>
        <v/>
      </c>
      <c r="ET110">
        <f>IF((EW$1+106)&gt;EU$1,NA(),(EW$1+106)-4)</f>
        <v/>
      </c>
      <c r="EU110">
        <f>IF((EW$1+106)&gt;EU$1,NA(),INDEX('Data Entry'!$M$5:$M$10004,(EW$1+106)-4))</f>
        <v/>
      </c>
      <c r="EV110">
        <f>IF(ISNA(ET110),NA(),Capability!$K$10)</f>
        <v/>
      </c>
      <c r="EW110">
        <f>IF(ISNA(ET110),NA(),Capability!$J$10)</f>
        <v/>
      </c>
      <c r="EX110">
        <f>IF(ISNA(ET110),NA(),Capability!$L$10)</f>
        <v/>
      </c>
      <c r="EY110">
        <f>IF(OR(ISNA(EU110),ISNA(EU109)),NA(),ABS(EU110-EU109))</f>
        <v/>
      </c>
      <c r="EZ110">
        <f>IF(ISNA(ET110),NA(),Capability!$N$10)</f>
        <v/>
      </c>
      <c r="FA110">
        <f>IF(ISNA(ET110),NA(),IF(OR(Capability!$Q$10="",Settings!$F$7&lt;&gt;"Y"),NA(),Capability!$Q$10))</f>
        <v/>
      </c>
      <c r="FB110">
        <f>IF(ISNA(ET110),NA(),IF(OR(Capability!$P$10="",Settings!$F$7&lt;&gt;"Y"),NA(),Capability!$P$10))</f>
        <v/>
      </c>
      <c r="FH110">
        <f>IF((FK$1+106)&gt;FI$1,NA(),(FK$1+106)-4)</f>
        <v/>
      </c>
      <c r="FI110">
        <f>IF((FK$1+106)&gt;FI$1,NA(),INDEX('Data Entry'!$N$5:$N$10004,(FK$1+106)-4))</f>
        <v/>
      </c>
      <c r="FJ110">
        <f>IF(ISNA(FH110),NA(),Capability!$K$11)</f>
        <v/>
      </c>
      <c r="FK110">
        <f>IF(ISNA(FH110),NA(),Capability!$J$11)</f>
        <v/>
      </c>
      <c r="FL110">
        <f>IF(ISNA(FH110),NA(),Capability!$L$11)</f>
        <v/>
      </c>
      <c r="FM110">
        <f>IF(OR(ISNA(FI110),ISNA(FI109)),NA(),ABS(FI110-FI109))</f>
        <v/>
      </c>
      <c r="FN110">
        <f>IF(ISNA(FH110),NA(),Capability!$N$11)</f>
        <v/>
      </c>
      <c r="FO110">
        <f>IF(ISNA(FH110),NA(),IF(OR(Capability!$Q$11="",Settings!$F$7&lt;&gt;"Y"),NA(),Capability!$Q$11))</f>
        <v/>
      </c>
      <c r="FP110">
        <f>IF(ISNA(FH110),NA(),IF(OR(Capability!$P$11="",Settings!$F$7&lt;&gt;"Y"),NA(),Capability!$P$11))</f>
        <v/>
      </c>
      <c r="FV110">
        <f>IF((FY$1+106)&gt;FW$1,NA(),(FY$1+106)-4)</f>
        <v/>
      </c>
      <c r="FW110">
        <f>IF((FY$1+106)&gt;FW$1,NA(),INDEX('Data Entry'!$O$5:$O$10004,(FY$1+106)-4))</f>
        <v/>
      </c>
      <c r="FX110">
        <f>IF(ISNA(FV110),NA(),Capability!$K$12)</f>
        <v/>
      </c>
      <c r="FY110">
        <f>IF(ISNA(FV110),NA(),Capability!$J$12)</f>
        <v/>
      </c>
      <c r="FZ110">
        <f>IF(ISNA(FV110),NA(),Capability!$L$12)</f>
        <v/>
      </c>
      <c r="GA110">
        <f>IF(OR(ISNA(FW110),ISNA(FW109)),NA(),ABS(FW110-FW109))</f>
        <v/>
      </c>
      <c r="GB110">
        <f>IF(ISNA(FV110),NA(),Capability!$N$12)</f>
        <v/>
      </c>
      <c r="GC110">
        <f>IF(ISNA(FV110),NA(),IF(OR(Capability!$Q$12="",Settings!$F$7&lt;&gt;"Y"),NA(),Capability!$Q$12))</f>
        <v/>
      </c>
      <c r="GD110">
        <f>IF(ISNA(FV110),NA(),IF(OR(Capability!$P$12="",Settings!$F$7&lt;&gt;"Y"),NA(),Capability!$P$12))</f>
        <v/>
      </c>
      <c r="GJ110">
        <f>IF((GM$1+106)&gt;GK$1,NA(),(GM$1+106)-4)</f>
        <v/>
      </c>
      <c r="GK110">
        <f>IF((GM$1+106)&gt;GK$1,NA(),INDEX('Data Entry'!$P$5:$P$10004,(GM$1+106)-4))</f>
        <v/>
      </c>
      <c r="GL110">
        <f>IF(ISNA(GJ110),NA(),Capability!$K$13)</f>
        <v/>
      </c>
      <c r="GM110">
        <f>IF(ISNA(GJ110),NA(),Capability!$J$13)</f>
        <v/>
      </c>
      <c r="GN110">
        <f>IF(ISNA(GJ110),NA(),Capability!$L$13)</f>
        <v/>
      </c>
      <c r="GO110">
        <f>IF(OR(ISNA(GK110),ISNA(GK109)),NA(),ABS(GK110-GK109))</f>
        <v/>
      </c>
      <c r="GP110">
        <f>IF(ISNA(GJ110),NA(),Capability!$N$13)</f>
        <v/>
      </c>
      <c r="GQ110">
        <f>IF(ISNA(GJ110),NA(),IF(OR(Capability!$Q$13="",Settings!$F$7&lt;&gt;"Y"),NA(),Capability!$Q$13))</f>
        <v/>
      </c>
      <c r="GR110">
        <f>IF(ISNA(GJ110),NA(),IF(OR(Capability!$P$13="",Settings!$F$7&lt;&gt;"Y"),NA(),Capability!$P$13))</f>
        <v/>
      </c>
      <c r="GX110">
        <f>IF((HA$1+106)&gt;GY$1,NA(),(HA$1+106)-4)</f>
        <v/>
      </c>
      <c r="GY110">
        <f>IF((HA$1+106)&gt;GY$1,NA(),INDEX('Data Entry'!$Q$5:$Q$10004,(HA$1+106)-4))</f>
        <v/>
      </c>
      <c r="GZ110">
        <f>IF(ISNA(GX110),NA(),Capability!$K$14)</f>
        <v/>
      </c>
      <c r="HA110">
        <f>IF(ISNA(GX110),NA(),Capability!$J$14)</f>
        <v/>
      </c>
      <c r="HB110">
        <f>IF(ISNA(GX110),NA(),Capability!$L$14)</f>
        <v/>
      </c>
      <c r="HC110">
        <f>IF(OR(ISNA(GY110),ISNA(GY109)),NA(),ABS(GY110-GY109))</f>
        <v/>
      </c>
      <c r="HD110">
        <f>IF(ISNA(GX110),NA(),Capability!$N$14)</f>
        <v/>
      </c>
      <c r="HE110">
        <f>IF(ISNA(GX110),NA(),IF(OR(Capability!$Q$14="",Settings!$F$7&lt;&gt;"Y"),NA(),Capability!$Q$14))</f>
        <v/>
      </c>
      <c r="HF110">
        <f>IF(ISNA(GX110),NA(),IF(OR(Capability!$P$14="",Settings!$F$7&lt;&gt;"Y"),NA(),Capability!$P$14))</f>
        <v/>
      </c>
    </row>
    <row r="111">
      <c r="A111" s="35" t="inlineStr">
        <is>
          <t>In control?</t>
        </is>
      </c>
      <c r="B111" s="36">
        <f>Capability!W7</f>
        <v/>
      </c>
      <c r="CB111">
        <f>IF((CE$1+107)&gt;CC$1,NA(),(CE$1+107)-4)</f>
        <v/>
      </c>
      <c r="CC111">
        <f>IF((CE$1+107)&gt;CC$1,NA(),INDEX('Data Entry'!$H$5:$H$10004,(CE$1+107)-4))</f>
        <v/>
      </c>
      <c r="CD111">
        <f>IF(ISNA(CB111),NA(),Capability!$K$5)</f>
        <v/>
      </c>
      <c r="CE111">
        <f>IF(ISNA(CB111),NA(),Capability!$J$5)</f>
        <v/>
      </c>
      <c r="CF111">
        <f>IF(ISNA(CB111),NA(),Capability!$L$5)</f>
        <v/>
      </c>
      <c r="CG111">
        <f>IF(OR(ISNA(CC111),ISNA(CC110)),NA(),ABS(CC111-CC110))</f>
        <v/>
      </c>
      <c r="CH111">
        <f>IF(ISNA(CB111),NA(),Capability!$N$5)</f>
        <v/>
      </c>
      <c r="CI111">
        <f>IF(ISNA(CB111),NA(),IF(OR(Capability!$Q$5="",Settings!$F$7&lt;&gt;"Y"),NA(),Capability!$Q$5))</f>
        <v/>
      </c>
      <c r="CJ111">
        <f>IF(ISNA(CB111),NA(),IF(OR(Capability!$P$5="",Settings!$F$7&lt;&gt;"Y"),NA(),Capability!$P$5))</f>
        <v/>
      </c>
      <c r="CP111">
        <f>IF((CS$1+107)&gt;CQ$1,NA(),(CS$1+107)-4)</f>
        <v/>
      </c>
      <c r="CQ111">
        <f>IF((CS$1+107)&gt;CQ$1,NA(),INDEX('Data Entry'!$I$5:$I$10004,(CS$1+107)-4))</f>
        <v/>
      </c>
      <c r="CR111">
        <f>IF(ISNA(CP111),NA(),Capability!$K$6)</f>
        <v/>
      </c>
      <c r="CS111">
        <f>IF(ISNA(CP111),NA(),Capability!$J$6)</f>
        <v/>
      </c>
      <c r="CT111">
        <f>IF(ISNA(CP111),NA(),Capability!$L$6)</f>
        <v/>
      </c>
      <c r="CU111">
        <f>IF(OR(ISNA(CQ111),ISNA(CQ110)),NA(),ABS(CQ111-CQ110))</f>
        <v/>
      </c>
      <c r="CV111">
        <f>IF(ISNA(CP111),NA(),Capability!$N$6)</f>
        <v/>
      </c>
      <c r="CW111">
        <f>IF(ISNA(CP111),NA(),IF(OR(Capability!$Q$6="",Settings!$F$7&lt;&gt;"Y"),NA(),Capability!$Q$6))</f>
        <v/>
      </c>
      <c r="CX111">
        <f>IF(ISNA(CP111),NA(),IF(OR(Capability!$P$6="",Settings!$F$7&lt;&gt;"Y"),NA(),Capability!$P$6))</f>
        <v/>
      </c>
      <c r="DD111">
        <f>IF((DG$1+107)&gt;DE$1,NA(),(DG$1+107)-4)</f>
        <v/>
      </c>
      <c r="DE111">
        <f>IF((DG$1+107)&gt;DE$1,NA(),INDEX('Data Entry'!$J$5:$J$10004,(DG$1+107)-4))</f>
        <v/>
      </c>
      <c r="DF111">
        <f>IF(ISNA(DD111),NA(),Capability!$K$7)</f>
        <v/>
      </c>
      <c r="DG111">
        <f>IF(ISNA(DD111),NA(),Capability!$J$7)</f>
        <v/>
      </c>
      <c r="DH111">
        <f>IF(ISNA(DD111),NA(),Capability!$L$7)</f>
        <v/>
      </c>
      <c r="DI111">
        <f>IF(OR(ISNA(DE111),ISNA(DE110)),NA(),ABS(DE111-DE110))</f>
        <v/>
      </c>
      <c r="DJ111">
        <f>IF(ISNA(DD111),NA(),Capability!$N$7)</f>
        <v/>
      </c>
      <c r="DK111">
        <f>IF(ISNA(DD111),NA(),IF(OR(Capability!$Q$7="",Settings!$F$7&lt;&gt;"Y"),NA(),Capability!$Q$7))</f>
        <v/>
      </c>
      <c r="DL111">
        <f>IF(ISNA(DD111),NA(),IF(OR(Capability!$P$7="",Settings!$F$7&lt;&gt;"Y"),NA(),Capability!$P$7))</f>
        <v/>
      </c>
      <c r="DR111">
        <f>IF((DU$1+107)&gt;DS$1,NA(),(DU$1+107)-4)</f>
        <v/>
      </c>
      <c r="DS111">
        <f>IF((DU$1+107)&gt;DS$1,NA(),INDEX('Data Entry'!$K$5:$K$10004,(DU$1+107)-4))</f>
        <v/>
      </c>
      <c r="DT111">
        <f>IF(ISNA(DR111),NA(),Capability!$K$8)</f>
        <v/>
      </c>
      <c r="DU111">
        <f>IF(ISNA(DR111),NA(),Capability!$J$8)</f>
        <v/>
      </c>
      <c r="DV111">
        <f>IF(ISNA(DR111),NA(),Capability!$L$8)</f>
        <v/>
      </c>
      <c r="DW111">
        <f>IF(OR(ISNA(DS111),ISNA(DS110)),NA(),ABS(DS111-DS110))</f>
        <v/>
      </c>
      <c r="DX111">
        <f>IF(ISNA(DR111),NA(),Capability!$N$8)</f>
        <v/>
      </c>
      <c r="DY111">
        <f>IF(ISNA(DR111),NA(),IF(OR(Capability!$Q$8="",Settings!$F$7&lt;&gt;"Y"),NA(),Capability!$Q$8))</f>
        <v/>
      </c>
      <c r="DZ111">
        <f>IF(ISNA(DR111),NA(),IF(OR(Capability!$P$8="",Settings!$F$7&lt;&gt;"Y"),NA(),Capability!$P$8))</f>
        <v/>
      </c>
      <c r="EF111">
        <f>IF((EI$1+107)&gt;EG$1,NA(),(EI$1+107)-4)</f>
        <v/>
      </c>
      <c r="EG111">
        <f>IF((EI$1+107)&gt;EG$1,NA(),INDEX('Data Entry'!$L$5:$L$10004,(EI$1+107)-4))</f>
        <v/>
      </c>
      <c r="EH111">
        <f>IF(ISNA(EF111),NA(),Capability!$K$9)</f>
        <v/>
      </c>
      <c r="EI111">
        <f>IF(ISNA(EF111),NA(),Capability!$J$9)</f>
        <v/>
      </c>
      <c r="EJ111">
        <f>IF(ISNA(EF111),NA(),Capability!$L$9)</f>
        <v/>
      </c>
      <c r="EK111">
        <f>IF(OR(ISNA(EG111),ISNA(EG110)),NA(),ABS(EG111-EG110))</f>
        <v/>
      </c>
      <c r="EL111">
        <f>IF(ISNA(EF111),NA(),Capability!$N$9)</f>
        <v/>
      </c>
      <c r="EM111">
        <f>IF(ISNA(EF111),NA(),IF(OR(Capability!$Q$9="",Settings!$F$7&lt;&gt;"Y"),NA(),Capability!$Q$9))</f>
        <v/>
      </c>
      <c r="EN111">
        <f>IF(ISNA(EF111),NA(),IF(OR(Capability!$P$9="",Settings!$F$7&lt;&gt;"Y"),NA(),Capability!$P$9))</f>
        <v/>
      </c>
      <c r="ET111">
        <f>IF((EW$1+107)&gt;EU$1,NA(),(EW$1+107)-4)</f>
        <v/>
      </c>
      <c r="EU111">
        <f>IF((EW$1+107)&gt;EU$1,NA(),INDEX('Data Entry'!$M$5:$M$10004,(EW$1+107)-4))</f>
        <v/>
      </c>
      <c r="EV111">
        <f>IF(ISNA(ET111),NA(),Capability!$K$10)</f>
        <v/>
      </c>
      <c r="EW111">
        <f>IF(ISNA(ET111),NA(),Capability!$J$10)</f>
        <v/>
      </c>
      <c r="EX111">
        <f>IF(ISNA(ET111),NA(),Capability!$L$10)</f>
        <v/>
      </c>
      <c r="EY111">
        <f>IF(OR(ISNA(EU111),ISNA(EU110)),NA(),ABS(EU111-EU110))</f>
        <v/>
      </c>
      <c r="EZ111">
        <f>IF(ISNA(ET111),NA(),Capability!$N$10)</f>
        <v/>
      </c>
      <c r="FA111">
        <f>IF(ISNA(ET111),NA(),IF(OR(Capability!$Q$10="",Settings!$F$7&lt;&gt;"Y"),NA(),Capability!$Q$10))</f>
        <v/>
      </c>
      <c r="FB111">
        <f>IF(ISNA(ET111),NA(),IF(OR(Capability!$P$10="",Settings!$F$7&lt;&gt;"Y"),NA(),Capability!$P$10))</f>
        <v/>
      </c>
      <c r="FH111">
        <f>IF((FK$1+107)&gt;FI$1,NA(),(FK$1+107)-4)</f>
        <v/>
      </c>
      <c r="FI111">
        <f>IF((FK$1+107)&gt;FI$1,NA(),INDEX('Data Entry'!$N$5:$N$10004,(FK$1+107)-4))</f>
        <v/>
      </c>
      <c r="FJ111">
        <f>IF(ISNA(FH111),NA(),Capability!$K$11)</f>
        <v/>
      </c>
      <c r="FK111">
        <f>IF(ISNA(FH111),NA(),Capability!$J$11)</f>
        <v/>
      </c>
      <c r="FL111">
        <f>IF(ISNA(FH111),NA(),Capability!$L$11)</f>
        <v/>
      </c>
      <c r="FM111">
        <f>IF(OR(ISNA(FI111),ISNA(FI110)),NA(),ABS(FI111-FI110))</f>
        <v/>
      </c>
      <c r="FN111">
        <f>IF(ISNA(FH111),NA(),Capability!$N$11)</f>
        <v/>
      </c>
      <c r="FO111">
        <f>IF(ISNA(FH111),NA(),IF(OR(Capability!$Q$11="",Settings!$F$7&lt;&gt;"Y"),NA(),Capability!$Q$11))</f>
        <v/>
      </c>
      <c r="FP111">
        <f>IF(ISNA(FH111),NA(),IF(OR(Capability!$P$11="",Settings!$F$7&lt;&gt;"Y"),NA(),Capability!$P$11))</f>
        <v/>
      </c>
      <c r="FV111">
        <f>IF((FY$1+107)&gt;FW$1,NA(),(FY$1+107)-4)</f>
        <v/>
      </c>
      <c r="FW111">
        <f>IF((FY$1+107)&gt;FW$1,NA(),INDEX('Data Entry'!$O$5:$O$10004,(FY$1+107)-4))</f>
        <v/>
      </c>
      <c r="FX111">
        <f>IF(ISNA(FV111),NA(),Capability!$K$12)</f>
        <v/>
      </c>
      <c r="FY111">
        <f>IF(ISNA(FV111),NA(),Capability!$J$12)</f>
        <v/>
      </c>
      <c r="FZ111">
        <f>IF(ISNA(FV111),NA(),Capability!$L$12)</f>
        <v/>
      </c>
      <c r="GA111">
        <f>IF(OR(ISNA(FW111),ISNA(FW110)),NA(),ABS(FW111-FW110))</f>
        <v/>
      </c>
      <c r="GB111">
        <f>IF(ISNA(FV111),NA(),Capability!$N$12)</f>
        <v/>
      </c>
      <c r="GC111">
        <f>IF(ISNA(FV111),NA(),IF(OR(Capability!$Q$12="",Settings!$F$7&lt;&gt;"Y"),NA(),Capability!$Q$12))</f>
        <v/>
      </c>
      <c r="GD111">
        <f>IF(ISNA(FV111),NA(),IF(OR(Capability!$P$12="",Settings!$F$7&lt;&gt;"Y"),NA(),Capability!$P$12))</f>
        <v/>
      </c>
      <c r="GJ111">
        <f>IF((GM$1+107)&gt;GK$1,NA(),(GM$1+107)-4)</f>
        <v/>
      </c>
      <c r="GK111">
        <f>IF((GM$1+107)&gt;GK$1,NA(),INDEX('Data Entry'!$P$5:$P$10004,(GM$1+107)-4))</f>
        <v/>
      </c>
      <c r="GL111">
        <f>IF(ISNA(GJ111),NA(),Capability!$K$13)</f>
        <v/>
      </c>
      <c r="GM111">
        <f>IF(ISNA(GJ111),NA(),Capability!$J$13)</f>
        <v/>
      </c>
      <c r="GN111">
        <f>IF(ISNA(GJ111),NA(),Capability!$L$13)</f>
        <v/>
      </c>
      <c r="GO111">
        <f>IF(OR(ISNA(GK111),ISNA(GK110)),NA(),ABS(GK111-GK110))</f>
        <v/>
      </c>
      <c r="GP111">
        <f>IF(ISNA(GJ111),NA(),Capability!$N$13)</f>
        <v/>
      </c>
      <c r="GQ111">
        <f>IF(ISNA(GJ111),NA(),IF(OR(Capability!$Q$13="",Settings!$F$7&lt;&gt;"Y"),NA(),Capability!$Q$13))</f>
        <v/>
      </c>
      <c r="GR111">
        <f>IF(ISNA(GJ111),NA(),IF(OR(Capability!$P$13="",Settings!$F$7&lt;&gt;"Y"),NA(),Capability!$P$13))</f>
        <v/>
      </c>
      <c r="GX111">
        <f>IF((HA$1+107)&gt;GY$1,NA(),(HA$1+107)-4)</f>
        <v/>
      </c>
      <c r="GY111">
        <f>IF((HA$1+107)&gt;GY$1,NA(),INDEX('Data Entry'!$Q$5:$Q$10004,(HA$1+107)-4))</f>
        <v/>
      </c>
      <c r="GZ111">
        <f>IF(ISNA(GX111),NA(),Capability!$K$14)</f>
        <v/>
      </c>
      <c r="HA111">
        <f>IF(ISNA(GX111),NA(),Capability!$J$14)</f>
        <v/>
      </c>
      <c r="HB111">
        <f>IF(ISNA(GX111),NA(),Capability!$L$14)</f>
        <v/>
      </c>
      <c r="HC111">
        <f>IF(OR(ISNA(GY111),ISNA(GY110)),NA(),ABS(GY111-GY110))</f>
        <v/>
      </c>
      <c r="HD111">
        <f>IF(ISNA(GX111),NA(),Capability!$N$14)</f>
        <v/>
      </c>
      <c r="HE111">
        <f>IF(ISNA(GX111),NA(),IF(OR(Capability!$Q$14="",Settings!$F$7&lt;&gt;"Y"),NA(),Capability!$Q$14))</f>
        <v/>
      </c>
      <c r="HF111">
        <f>IF(ISNA(GX111),NA(),IF(OR(Capability!$P$14="",Settings!$F$7&lt;&gt;"Y"),NA(),Capability!$P$14))</f>
        <v/>
      </c>
    </row>
    <row r="112">
      <c r="A112" s="35" t="inlineStr">
        <is>
          <t>In spec?</t>
        </is>
      </c>
      <c r="B112" s="36">
        <f>Capability!X7</f>
        <v/>
      </c>
      <c r="CB112">
        <f>IF((CE$1+108)&gt;CC$1,NA(),(CE$1+108)-4)</f>
        <v/>
      </c>
      <c r="CC112">
        <f>IF((CE$1+108)&gt;CC$1,NA(),INDEX('Data Entry'!$H$5:$H$10004,(CE$1+108)-4))</f>
        <v/>
      </c>
      <c r="CD112">
        <f>IF(ISNA(CB112),NA(),Capability!$K$5)</f>
        <v/>
      </c>
      <c r="CE112">
        <f>IF(ISNA(CB112),NA(),Capability!$J$5)</f>
        <v/>
      </c>
      <c r="CF112">
        <f>IF(ISNA(CB112),NA(),Capability!$L$5)</f>
        <v/>
      </c>
      <c r="CG112">
        <f>IF(OR(ISNA(CC112),ISNA(CC111)),NA(),ABS(CC112-CC111))</f>
        <v/>
      </c>
      <c r="CH112">
        <f>IF(ISNA(CB112),NA(),Capability!$N$5)</f>
        <v/>
      </c>
      <c r="CI112">
        <f>IF(ISNA(CB112),NA(),IF(OR(Capability!$Q$5="",Settings!$F$7&lt;&gt;"Y"),NA(),Capability!$Q$5))</f>
        <v/>
      </c>
      <c r="CJ112">
        <f>IF(ISNA(CB112),NA(),IF(OR(Capability!$P$5="",Settings!$F$7&lt;&gt;"Y"),NA(),Capability!$P$5))</f>
        <v/>
      </c>
      <c r="CP112">
        <f>IF((CS$1+108)&gt;CQ$1,NA(),(CS$1+108)-4)</f>
        <v/>
      </c>
      <c r="CQ112">
        <f>IF((CS$1+108)&gt;CQ$1,NA(),INDEX('Data Entry'!$I$5:$I$10004,(CS$1+108)-4))</f>
        <v/>
      </c>
      <c r="CR112">
        <f>IF(ISNA(CP112),NA(),Capability!$K$6)</f>
        <v/>
      </c>
      <c r="CS112">
        <f>IF(ISNA(CP112),NA(),Capability!$J$6)</f>
        <v/>
      </c>
      <c r="CT112">
        <f>IF(ISNA(CP112),NA(),Capability!$L$6)</f>
        <v/>
      </c>
      <c r="CU112">
        <f>IF(OR(ISNA(CQ112),ISNA(CQ111)),NA(),ABS(CQ112-CQ111))</f>
        <v/>
      </c>
      <c r="CV112">
        <f>IF(ISNA(CP112),NA(),Capability!$N$6)</f>
        <v/>
      </c>
      <c r="CW112">
        <f>IF(ISNA(CP112),NA(),IF(OR(Capability!$Q$6="",Settings!$F$7&lt;&gt;"Y"),NA(),Capability!$Q$6))</f>
        <v/>
      </c>
      <c r="CX112">
        <f>IF(ISNA(CP112),NA(),IF(OR(Capability!$P$6="",Settings!$F$7&lt;&gt;"Y"),NA(),Capability!$P$6))</f>
        <v/>
      </c>
      <c r="DD112">
        <f>IF((DG$1+108)&gt;DE$1,NA(),(DG$1+108)-4)</f>
        <v/>
      </c>
      <c r="DE112">
        <f>IF((DG$1+108)&gt;DE$1,NA(),INDEX('Data Entry'!$J$5:$J$10004,(DG$1+108)-4))</f>
        <v/>
      </c>
      <c r="DF112">
        <f>IF(ISNA(DD112),NA(),Capability!$K$7)</f>
        <v/>
      </c>
      <c r="DG112">
        <f>IF(ISNA(DD112),NA(),Capability!$J$7)</f>
        <v/>
      </c>
      <c r="DH112">
        <f>IF(ISNA(DD112),NA(),Capability!$L$7)</f>
        <v/>
      </c>
      <c r="DI112">
        <f>IF(OR(ISNA(DE112),ISNA(DE111)),NA(),ABS(DE112-DE111))</f>
        <v/>
      </c>
      <c r="DJ112">
        <f>IF(ISNA(DD112),NA(),Capability!$N$7)</f>
        <v/>
      </c>
      <c r="DK112">
        <f>IF(ISNA(DD112),NA(),IF(OR(Capability!$Q$7="",Settings!$F$7&lt;&gt;"Y"),NA(),Capability!$Q$7))</f>
        <v/>
      </c>
      <c r="DL112">
        <f>IF(ISNA(DD112),NA(),IF(OR(Capability!$P$7="",Settings!$F$7&lt;&gt;"Y"),NA(),Capability!$P$7))</f>
        <v/>
      </c>
      <c r="DR112">
        <f>IF((DU$1+108)&gt;DS$1,NA(),(DU$1+108)-4)</f>
        <v/>
      </c>
      <c r="DS112">
        <f>IF((DU$1+108)&gt;DS$1,NA(),INDEX('Data Entry'!$K$5:$K$10004,(DU$1+108)-4))</f>
        <v/>
      </c>
      <c r="DT112">
        <f>IF(ISNA(DR112),NA(),Capability!$K$8)</f>
        <v/>
      </c>
      <c r="DU112">
        <f>IF(ISNA(DR112),NA(),Capability!$J$8)</f>
        <v/>
      </c>
      <c r="DV112">
        <f>IF(ISNA(DR112),NA(),Capability!$L$8)</f>
        <v/>
      </c>
      <c r="DW112">
        <f>IF(OR(ISNA(DS112),ISNA(DS111)),NA(),ABS(DS112-DS111))</f>
        <v/>
      </c>
      <c r="DX112">
        <f>IF(ISNA(DR112),NA(),Capability!$N$8)</f>
        <v/>
      </c>
      <c r="DY112">
        <f>IF(ISNA(DR112),NA(),IF(OR(Capability!$Q$8="",Settings!$F$7&lt;&gt;"Y"),NA(),Capability!$Q$8))</f>
        <v/>
      </c>
      <c r="DZ112">
        <f>IF(ISNA(DR112),NA(),IF(OR(Capability!$P$8="",Settings!$F$7&lt;&gt;"Y"),NA(),Capability!$P$8))</f>
        <v/>
      </c>
      <c r="EF112">
        <f>IF((EI$1+108)&gt;EG$1,NA(),(EI$1+108)-4)</f>
        <v/>
      </c>
      <c r="EG112">
        <f>IF((EI$1+108)&gt;EG$1,NA(),INDEX('Data Entry'!$L$5:$L$10004,(EI$1+108)-4))</f>
        <v/>
      </c>
      <c r="EH112">
        <f>IF(ISNA(EF112),NA(),Capability!$K$9)</f>
        <v/>
      </c>
      <c r="EI112">
        <f>IF(ISNA(EF112),NA(),Capability!$J$9)</f>
        <v/>
      </c>
      <c r="EJ112">
        <f>IF(ISNA(EF112),NA(),Capability!$L$9)</f>
        <v/>
      </c>
      <c r="EK112">
        <f>IF(OR(ISNA(EG112),ISNA(EG111)),NA(),ABS(EG112-EG111))</f>
        <v/>
      </c>
      <c r="EL112">
        <f>IF(ISNA(EF112),NA(),Capability!$N$9)</f>
        <v/>
      </c>
      <c r="EM112">
        <f>IF(ISNA(EF112),NA(),IF(OR(Capability!$Q$9="",Settings!$F$7&lt;&gt;"Y"),NA(),Capability!$Q$9))</f>
        <v/>
      </c>
      <c r="EN112">
        <f>IF(ISNA(EF112),NA(),IF(OR(Capability!$P$9="",Settings!$F$7&lt;&gt;"Y"),NA(),Capability!$P$9))</f>
        <v/>
      </c>
      <c r="ET112">
        <f>IF((EW$1+108)&gt;EU$1,NA(),(EW$1+108)-4)</f>
        <v/>
      </c>
      <c r="EU112">
        <f>IF((EW$1+108)&gt;EU$1,NA(),INDEX('Data Entry'!$M$5:$M$10004,(EW$1+108)-4))</f>
        <v/>
      </c>
      <c r="EV112">
        <f>IF(ISNA(ET112),NA(),Capability!$K$10)</f>
        <v/>
      </c>
      <c r="EW112">
        <f>IF(ISNA(ET112),NA(),Capability!$J$10)</f>
        <v/>
      </c>
      <c r="EX112">
        <f>IF(ISNA(ET112),NA(),Capability!$L$10)</f>
        <v/>
      </c>
      <c r="EY112">
        <f>IF(OR(ISNA(EU112),ISNA(EU111)),NA(),ABS(EU112-EU111))</f>
        <v/>
      </c>
      <c r="EZ112">
        <f>IF(ISNA(ET112),NA(),Capability!$N$10)</f>
        <v/>
      </c>
      <c r="FA112">
        <f>IF(ISNA(ET112),NA(),IF(OR(Capability!$Q$10="",Settings!$F$7&lt;&gt;"Y"),NA(),Capability!$Q$10))</f>
        <v/>
      </c>
      <c r="FB112">
        <f>IF(ISNA(ET112),NA(),IF(OR(Capability!$P$10="",Settings!$F$7&lt;&gt;"Y"),NA(),Capability!$P$10))</f>
        <v/>
      </c>
      <c r="FH112">
        <f>IF((FK$1+108)&gt;FI$1,NA(),(FK$1+108)-4)</f>
        <v/>
      </c>
      <c r="FI112">
        <f>IF((FK$1+108)&gt;FI$1,NA(),INDEX('Data Entry'!$N$5:$N$10004,(FK$1+108)-4))</f>
        <v/>
      </c>
      <c r="FJ112">
        <f>IF(ISNA(FH112),NA(),Capability!$K$11)</f>
        <v/>
      </c>
      <c r="FK112">
        <f>IF(ISNA(FH112),NA(),Capability!$J$11)</f>
        <v/>
      </c>
      <c r="FL112">
        <f>IF(ISNA(FH112),NA(),Capability!$L$11)</f>
        <v/>
      </c>
      <c r="FM112">
        <f>IF(OR(ISNA(FI112),ISNA(FI111)),NA(),ABS(FI112-FI111))</f>
        <v/>
      </c>
      <c r="FN112">
        <f>IF(ISNA(FH112),NA(),Capability!$N$11)</f>
        <v/>
      </c>
      <c r="FO112">
        <f>IF(ISNA(FH112),NA(),IF(OR(Capability!$Q$11="",Settings!$F$7&lt;&gt;"Y"),NA(),Capability!$Q$11))</f>
        <v/>
      </c>
      <c r="FP112">
        <f>IF(ISNA(FH112),NA(),IF(OR(Capability!$P$11="",Settings!$F$7&lt;&gt;"Y"),NA(),Capability!$P$11))</f>
        <v/>
      </c>
      <c r="FV112">
        <f>IF((FY$1+108)&gt;FW$1,NA(),(FY$1+108)-4)</f>
        <v/>
      </c>
      <c r="FW112">
        <f>IF((FY$1+108)&gt;FW$1,NA(),INDEX('Data Entry'!$O$5:$O$10004,(FY$1+108)-4))</f>
        <v/>
      </c>
      <c r="FX112">
        <f>IF(ISNA(FV112),NA(),Capability!$K$12)</f>
        <v/>
      </c>
      <c r="FY112">
        <f>IF(ISNA(FV112),NA(),Capability!$J$12)</f>
        <v/>
      </c>
      <c r="FZ112">
        <f>IF(ISNA(FV112),NA(),Capability!$L$12)</f>
        <v/>
      </c>
      <c r="GA112">
        <f>IF(OR(ISNA(FW112),ISNA(FW111)),NA(),ABS(FW112-FW111))</f>
        <v/>
      </c>
      <c r="GB112">
        <f>IF(ISNA(FV112),NA(),Capability!$N$12)</f>
        <v/>
      </c>
      <c r="GC112">
        <f>IF(ISNA(FV112),NA(),IF(OR(Capability!$Q$12="",Settings!$F$7&lt;&gt;"Y"),NA(),Capability!$Q$12))</f>
        <v/>
      </c>
      <c r="GD112">
        <f>IF(ISNA(FV112),NA(),IF(OR(Capability!$P$12="",Settings!$F$7&lt;&gt;"Y"),NA(),Capability!$P$12))</f>
        <v/>
      </c>
      <c r="GJ112">
        <f>IF((GM$1+108)&gt;GK$1,NA(),(GM$1+108)-4)</f>
        <v/>
      </c>
      <c r="GK112">
        <f>IF((GM$1+108)&gt;GK$1,NA(),INDEX('Data Entry'!$P$5:$P$10004,(GM$1+108)-4))</f>
        <v/>
      </c>
      <c r="GL112">
        <f>IF(ISNA(GJ112),NA(),Capability!$K$13)</f>
        <v/>
      </c>
      <c r="GM112">
        <f>IF(ISNA(GJ112),NA(),Capability!$J$13)</f>
        <v/>
      </c>
      <c r="GN112">
        <f>IF(ISNA(GJ112),NA(),Capability!$L$13)</f>
        <v/>
      </c>
      <c r="GO112">
        <f>IF(OR(ISNA(GK112),ISNA(GK111)),NA(),ABS(GK112-GK111))</f>
        <v/>
      </c>
      <c r="GP112">
        <f>IF(ISNA(GJ112),NA(),Capability!$N$13)</f>
        <v/>
      </c>
      <c r="GQ112">
        <f>IF(ISNA(GJ112),NA(),IF(OR(Capability!$Q$13="",Settings!$F$7&lt;&gt;"Y"),NA(),Capability!$Q$13))</f>
        <v/>
      </c>
      <c r="GR112">
        <f>IF(ISNA(GJ112),NA(),IF(OR(Capability!$P$13="",Settings!$F$7&lt;&gt;"Y"),NA(),Capability!$P$13))</f>
        <v/>
      </c>
      <c r="GX112">
        <f>IF((HA$1+108)&gt;GY$1,NA(),(HA$1+108)-4)</f>
        <v/>
      </c>
      <c r="GY112">
        <f>IF((HA$1+108)&gt;GY$1,NA(),INDEX('Data Entry'!$Q$5:$Q$10004,(HA$1+108)-4))</f>
        <v/>
      </c>
      <c r="GZ112">
        <f>IF(ISNA(GX112),NA(),Capability!$K$14)</f>
        <v/>
      </c>
      <c r="HA112">
        <f>IF(ISNA(GX112),NA(),Capability!$J$14)</f>
        <v/>
      </c>
      <c r="HB112">
        <f>IF(ISNA(GX112),NA(),Capability!$L$14)</f>
        <v/>
      </c>
      <c r="HC112">
        <f>IF(OR(ISNA(GY112),ISNA(GY111)),NA(),ABS(GY112-GY111))</f>
        <v/>
      </c>
      <c r="HD112">
        <f>IF(ISNA(GX112),NA(),Capability!$N$14)</f>
        <v/>
      </c>
      <c r="HE112">
        <f>IF(ISNA(GX112),NA(),IF(OR(Capability!$Q$14="",Settings!$F$7&lt;&gt;"Y"),NA(),Capability!$Q$14))</f>
        <v/>
      </c>
      <c r="HF112">
        <f>IF(ISNA(GX112),NA(),IF(OR(Capability!$P$14="",Settings!$F$7&lt;&gt;"Y"),NA(),Capability!$P$14))</f>
        <v/>
      </c>
    </row>
    <row r="113">
      <c r="A113" s="35" t="inlineStr">
        <is>
          <t>Verdict</t>
        </is>
      </c>
      <c r="B113" s="36">
        <f>Capability!Y7</f>
        <v/>
      </c>
      <c r="CB113">
        <f>IF((CE$1+109)&gt;CC$1,NA(),(CE$1+109)-4)</f>
        <v/>
      </c>
      <c r="CC113">
        <f>IF((CE$1+109)&gt;CC$1,NA(),INDEX('Data Entry'!$H$5:$H$10004,(CE$1+109)-4))</f>
        <v/>
      </c>
      <c r="CD113">
        <f>IF(ISNA(CB113),NA(),Capability!$K$5)</f>
        <v/>
      </c>
      <c r="CE113">
        <f>IF(ISNA(CB113),NA(),Capability!$J$5)</f>
        <v/>
      </c>
      <c r="CF113">
        <f>IF(ISNA(CB113),NA(),Capability!$L$5)</f>
        <v/>
      </c>
      <c r="CG113">
        <f>IF(OR(ISNA(CC113),ISNA(CC112)),NA(),ABS(CC113-CC112))</f>
        <v/>
      </c>
      <c r="CH113">
        <f>IF(ISNA(CB113),NA(),Capability!$N$5)</f>
        <v/>
      </c>
      <c r="CI113">
        <f>IF(ISNA(CB113),NA(),IF(OR(Capability!$Q$5="",Settings!$F$7&lt;&gt;"Y"),NA(),Capability!$Q$5))</f>
        <v/>
      </c>
      <c r="CJ113">
        <f>IF(ISNA(CB113),NA(),IF(OR(Capability!$P$5="",Settings!$F$7&lt;&gt;"Y"),NA(),Capability!$P$5))</f>
        <v/>
      </c>
      <c r="CP113">
        <f>IF((CS$1+109)&gt;CQ$1,NA(),(CS$1+109)-4)</f>
        <v/>
      </c>
      <c r="CQ113">
        <f>IF((CS$1+109)&gt;CQ$1,NA(),INDEX('Data Entry'!$I$5:$I$10004,(CS$1+109)-4))</f>
        <v/>
      </c>
      <c r="CR113">
        <f>IF(ISNA(CP113),NA(),Capability!$K$6)</f>
        <v/>
      </c>
      <c r="CS113">
        <f>IF(ISNA(CP113),NA(),Capability!$J$6)</f>
        <v/>
      </c>
      <c r="CT113">
        <f>IF(ISNA(CP113),NA(),Capability!$L$6)</f>
        <v/>
      </c>
      <c r="CU113">
        <f>IF(OR(ISNA(CQ113),ISNA(CQ112)),NA(),ABS(CQ113-CQ112))</f>
        <v/>
      </c>
      <c r="CV113">
        <f>IF(ISNA(CP113),NA(),Capability!$N$6)</f>
        <v/>
      </c>
      <c r="CW113">
        <f>IF(ISNA(CP113),NA(),IF(OR(Capability!$Q$6="",Settings!$F$7&lt;&gt;"Y"),NA(),Capability!$Q$6))</f>
        <v/>
      </c>
      <c r="CX113">
        <f>IF(ISNA(CP113),NA(),IF(OR(Capability!$P$6="",Settings!$F$7&lt;&gt;"Y"),NA(),Capability!$P$6))</f>
        <v/>
      </c>
      <c r="DD113">
        <f>IF((DG$1+109)&gt;DE$1,NA(),(DG$1+109)-4)</f>
        <v/>
      </c>
      <c r="DE113">
        <f>IF((DG$1+109)&gt;DE$1,NA(),INDEX('Data Entry'!$J$5:$J$10004,(DG$1+109)-4))</f>
        <v/>
      </c>
      <c r="DF113">
        <f>IF(ISNA(DD113),NA(),Capability!$K$7)</f>
        <v/>
      </c>
      <c r="DG113">
        <f>IF(ISNA(DD113),NA(),Capability!$J$7)</f>
        <v/>
      </c>
      <c r="DH113">
        <f>IF(ISNA(DD113),NA(),Capability!$L$7)</f>
        <v/>
      </c>
      <c r="DI113">
        <f>IF(OR(ISNA(DE113),ISNA(DE112)),NA(),ABS(DE113-DE112))</f>
        <v/>
      </c>
      <c r="DJ113">
        <f>IF(ISNA(DD113),NA(),Capability!$N$7)</f>
        <v/>
      </c>
      <c r="DK113">
        <f>IF(ISNA(DD113),NA(),IF(OR(Capability!$Q$7="",Settings!$F$7&lt;&gt;"Y"),NA(),Capability!$Q$7))</f>
        <v/>
      </c>
      <c r="DL113">
        <f>IF(ISNA(DD113),NA(),IF(OR(Capability!$P$7="",Settings!$F$7&lt;&gt;"Y"),NA(),Capability!$P$7))</f>
        <v/>
      </c>
      <c r="DR113">
        <f>IF((DU$1+109)&gt;DS$1,NA(),(DU$1+109)-4)</f>
        <v/>
      </c>
      <c r="DS113">
        <f>IF((DU$1+109)&gt;DS$1,NA(),INDEX('Data Entry'!$K$5:$K$10004,(DU$1+109)-4))</f>
        <v/>
      </c>
      <c r="DT113">
        <f>IF(ISNA(DR113),NA(),Capability!$K$8)</f>
        <v/>
      </c>
      <c r="DU113">
        <f>IF(ISNA(DR113),NA(),Capability!$J$8)</f>
        <v/>
      </c>
      <c r="DV113">
        <f>IF(ISNA(DR113),NA(),Capability!$L$8)</f>
        <v/>
      </c>
      <c r="DW113">
        <f>IF(OR(ISNA(DS113),ISNA(DS112)),NA(),ABS(DS113-DS112))</f>
        <v/>
      </c>
      <c r="DX113">
        <f>IF(ISNA(DR113),NA(),Capability!$N$8)</f>
        <v/>
      </c>
      <c r="DY113">
        <f>IF(ISNA(DR113),NA(),IF(OR(Capability!$Q$8="",Settings!$F$7&lt;&gt;"Y"),NA(),Capability!$Q$8))</f>
        <v/>
      </c>
      <c r="DZ113">
        <f>IF(ISNA(DR113),NA(),IF(OR(Capability!$P$8="",Settings!$F$7&lt;&gt;"Y"),NA(),Capability!$P$8))</f>
        <v/>
      </c>
      <c r="EF113">
        <f>IF((EI$1+109)&gt;EG$1,NA(),(EI$1+109)-4)</f>
        <v/>
      </c>
      <c r="EG113">
        <f>IF((EI$1+109)&gt;EG$1,NA(),INDEX('Data Entry'!$L$5:$L$10004,(EI$1+109)-4))</f>
        <v/>
      </c>
      <c r="EH113">
        <f>IF(ISNA(EF113),NA(),Capability!$K$9)</f>
        <v/>
      </c>
      <c r="EI113">
        <f>IF(ISNA(EF113),NA(),Capability!$J$9)</f>
        <v/>
      </c>
      <c r="EJ113">
        <f>IF(ISNA(EF113),NA(),Capability!$L$9)</f>
        <v/>
      </c>
      <c r="EK113">
        <f>IF(OR(ISNA(EG113),ISNA(EG112)),NA(),ABS(EG113-EG112))</f>
        <v/>
      </c>
      <c r="EL113">
        <f>IF(ISNA(EF113),NA(),Capability!$N$9)</f>
        <v/>
      </c>
      <c r="EM113">
        <f>IF(ISNA(EF113),NA(),IF(OR(Capability!$Q$9="",Settings!$F$7&lt;&gt;"Y"),NA(),Capability!$Q$9))</f>
        <v/>
      </c>
      <c r="EN113">
        <f>IF(ISNA(EF113),NA(),IF(OR(Capability!$P$9="",Settings!$F$7&lt;&gt;"Y"),NA(),Capability!$P$9))</f>
        <v/>
      </c>
      <c r="ET113">
        <f>IF((EW$1+109)&gt;EU$1,NA(),(EW$1+109)-4)</f>
        <v/>
      </c>
      <c r="EU113">
        <f>IF((EW$1+109)&gt;EU$1,NA(),INDEX('Data Entry'!$M$5:$M$10004,(EW$1+109)-4))</f>
        <v/>
      </c>
      <c r="EV113">
        <f>IF(ISNA(ET113),NA(),Capability!$K$10)</f>
        <v/>
      </c>
      <c r="EW113">
        <f>IF(ISNA(ET113),NA(),Capability!$J$10)</f>
        <v/>
      </c>
      <c r="EX113">
        <f>IF(ISNA(ET113),NA(),Capability!$L$10)</f>
        <v/>
      </c>
      <c r="EY113">
        <f>IF(OR(ISNA(EU113),ISNA(EU112)),NA(),ABS(EU113-EU112))</f>
        <v/>
      </c>
      <c r="EZ113">
        <f>IF(ISNA(ET113),NA(),Capability!$N$10)</f>
        <v/>
      </c>
      <c r="FA113">
        <f>IF(ISNA(ET113),NA(),IF(OR(Capability!$Q$10="",Settings!$F$7&lt;&gt;"Y"),NA(),Capability!$Q$10))</f>
        <v/>
      </c>
      <c r="FB113">
        <f>IF(ISNA(ET113),NA(),IF(OR(Capability!$P$10="",Settings!$F$7&lt;&gt;"Y"),NA(),Capability!$P$10))</f>
        <v/>
      </c>
      <c r="FH113">
        <f>IF((FK$1+109)&gt;FI$1,NA(),(FK$1+109)-4)</f>
        <v/>
      </c>
      <c r="FI113">
        <f>IF((FK$1+109)&gt;FI$1,NA(),INDEX('Data Entry'!$N$5:$N$10004,(FK$1+109)-4))</f>
        <v/>
      </c>
      <c r="FJ113">
        <f>IF(ISNA(FH113),NA(),Capability!$K$11)</f>
        <v/>
      </c>
      <c r="FK113">
        <f>IF(ISNA(FH113),NA(),Capability!$J$11)</f>
        <v/>
      </c>
      <c r="FL113">
        <f>IF(ISNA(FH113),NA(),Capability!$L$11)</f>
        <v/>
      </c>
      <c r="FM113">
        <f>IF(OR(ISNA(FI113),ISNA(FI112)),NA(),ABS(FI113-FI112))</f>
        <v/>
      </c>
      <c r="FN113">
        <f>IF(ISNA(FH113),NA(),Capability!$N$11)</f>
        <v/>
      </c>
      <c r="FO113">
        <f>IF(ISNA(FH113),NA(),IF(OR(Capability!$Q$11="",Settings!$F$7&lt;&gt;"Y"),NA(),Capability!$Q$11))</f>
        <v/>
      </c>
      <c r="FP113">
        <f>IF(ISNA(FH113),NA(),IF(OR(Capability!$P$11="",Settings!$F$7&lt;&gt;"Y"),NA(),Capability!$P$11))</f>
        <v/>
      </c>
      <c r="FV113">
        <f>IF((FY$1+109)&gt;FW$1,NA(),(FY$1+109)-4)</f>
        <v/>
      </c>
      <c r="FW113">
        <f>IF((FY$1+109)&gt;FW$1,NA(),INDEX('Data Entry'!$O$5:$O$10004,(FY$1+109)-4))</f>
        <v/>
      </c>
      <c r="FX113">
        <f>IF(ISNA(FV113),NA(),Capability!$K$12)</f>
        <v/>
      </c>
      <c r="FY113">
        <f>IF(ISNA(FV113),NA(),Capability!$J$12)</f>
        <v/>
      </c>
      <c r="FZ113">
        <f>IF(ISNA(FV113),NA(),Capability!$L$12)</f>
        <v/>
      </c>
      <c r="GA113">
        <f>IF(OR(ISNA(FW113),ISNA(FW112)),NA(),ABS(FW113-FW112))</f>
        <v/>
      </c>
      <c r="GB113">
        <f>IF(ISNA(FV113),NA(),Capability!$N$12)</f>
        <v/>
      </c>
      <c r="GC113">
        <f>IF(ISNA(FV113),NA(),IF(OR(Capability!$Q$12="",Settings!$F$7&lt;&gt;"Y"),NA(),Capability!$Q$12))</f>
        <v/>
      </c>
      <c r="GD113">
        <f>IF(ISNA(FV113),NA(),IF(OR(Capability!$P$12="",Settings!$F$7&lt;&gt;"Y"),NA(),Capability!$P$12))</f>
        <v/>
      </c>
      <c r="GJ113">
        <f>IF((GM$1+109)&gt;GK$1,NA(),(GM$1+109)-4)</f>
        <v/>
      </c>
      <c r="GK113">
        <f>IF((GM$1+109)&gt;GK$1,NA(),INDEX('Data Entry'!$P$5:$P$10004,(GM$1+109)-4))</f>
        <v/>
      </c>
      <c r="GL113">
        <f>IF(ISNA(GJ113),NA(),Capability!$K$13)</f>
        <v/>
      </c>
      <c r="GM113">
        <f>IF(ISNA(GJ113),NA(),Capability!$J$13)</f>
        <v/>
      </c>
      <c r="GN113">
        <f>IF(ISNA(GJ113),NA(),Capability!$L$13)</f>
        <v/>
      </c>
      <c r="GO113">
        <f>IF(OR(ISNA(GK113),ISNA(GK112)),NA(),ABS(GK113-GK112))</f>
        <v/>
      </c>
      <c r="GP113">
        <f>IF(ISNA(GJ113),NA(),Capability!$N$13)</f>
        <v/>
      </c>
      <c r="GQ113">
        <f>IF(ISNA(GJ113),NA(),IF(OR(Capability!$Q$13="",Settings!$F$7&lt;&gt;"Y"),NA(),Capability!$Q$13))</f>
        <v/>
      </c>
      <c r="GR113">
        <f>IF(ISNA(GJ113),NA(),IF(OR(Capability!$P$13="",Settings!$F$7&lt;&gt;"Y"),NA(),Capability!$P$13))</f>
        <v/>
      </c>
      <c r="GX113">
        <f>IF((HA$1+109)&gt;GY$1,NA(),(HA$1+109)-4)</f>
        <v/>
      </c>
      <c r="GY113">
        <f>IF((HA$1+109)&gt;GY$1,NA(),INDEX('Data Entry'!$Q$5:$Q$10004,(HA$1+109)-4))</f>
        <v/>
      </c>
      <c r="GZ113">
        <f>IF(ISNA(GX113),NA(),Capability!$K$14)</f>
        <v/>
      </c>
      <c r="HA113">
        <f>IF(ISNA(GX113),NA(),Capability!$J$14)</f>
        <v/>
      </c>
      <c r="HB113">
        <f>IF(ISNA(GX113),NA(),Capability!$L$14)</f>
        <v/>
      </c>
      <c r="HC113">
        <f>IF(OR(ISNA(GY113),ISNA(GY112)),NA(),ABS(GY113-GY112))</f>
        <v/>
      </c>
      <c r="HD113">
        <f>IF(ISNA(GX113),NA(),Capability!$N$14)</f>
        <v/>
      </c>
      <c r="HE113">
        <f>IF(ISNA(GX113),NA(),IF(OR(Capability!$Q$14="",Settings!$F$7&lt;&gt;"Y"),NA(),Capability!$Q$14))</f>
        <v/>
      </c>
      <c r="HF113">
        <f>IF(ISNA(GX113),NA(),IF(OR(Capability!$P$14="",Settings!$F$7&lt;&gt;"Y"),NA(),Capability!$P$14))</f>
        <v/>
      </c>
    </row>
    <row r="114">
      <c r="CB114">
        <f>IF((CE$1+110)&gt;CC$1,NA(),(CE$1+110)-4)</f>
        <v/>
      </c>
      <c r="CC114">
        <f>IF((CE$1+110)&gt;CC$1,NA(),INDEX('Data Entry'!$H$5:$H$10004,(CE$1+110)-4))</f>
        <v/>
      </c>
      <c r="CD114">
        <f>IF(ISNA(CB114),NA(),Capability!$K$5)</f>
        <v/>
      </c>
      <c r="CE114">
        <f>IF(ISNA(CB114),NA(),Capability!$J$5)</f>
        <v/>
      </c>
      <c r="CF114">
        <f>IF(ISNA(CB114),NA(),Capability!$L$5)</f>
        <v/>
      </c>
      <c r="CG114">
        <f>IF(OR(ISNA(CC114),ISNA(CC113)),NA(),ABS(CC114-CC113))</f>
        <v/>
      </c>
      <c r="CH114">
        <f>IF(ISNA(CB114),NA(),Capability!$N$5)</f>
        <v/>
      </c>
      <c r="CI114">
        <f>IF(ISNA(CB114),NA(),IF(OR(Capability!$Q$5="",Settings!$F$7&lt;&gt;"Y"),NA(),Capability!$Q$5))</f>
        <v/>
      </c>
      <c r="CJ114">
        <f>IF(ISNA(CB114),NA(),IF(OR(Capability!$P$5="",Settings!$F$7&lt;&gt;"Y"),NA(),Capability!$P$5))</f>
        <v/>
      </c>
      <c r="CP114">
        <f>IF((CS$1+110)&gt;CQ$1,NA(),(CS$1+110)-4)</f>
        <v/>
      </c>
      <c r="CQ114">
        <f>IF((CS$1+110)&gt;CQ$1,NA(),INDEX('Data Entry'!$I$5:$I$10004,(CS$1+110)-4))</f>
        <v/>
      </c>
      <c r="CR114">
        <f>IF(ISNA(CP114),NA(),Capability!$K$6)</f>
        <v/>
      </c>
      <c r="CS114">
        <f>IF(ISNA(CP114),NA(),Capability!$J$6)</f>
        <v/>
      </c>
      <c r="CT114">
        <f>IF(ISNA(CP114),NA(),Capability!$L$6)</f>
        <v/>
      </c>
      <c r="CU114">
        <f>IF(OR(ISNA(CQ114),ISNA(CQ113)),NA(),ABS(CQ114-CQ113))</f>
        <v/>
      </c>
      <c r="CV114">
        <f>IF(ISNA(CP114),NA(),Capability!$N$6)</f>
        <v/>
      </c>
      <c r="CW114">
        <f>IF(ISNA(CP114),NA(),IF(OR(Capability!$Q$6="",Settings!$F$7&lt;&gt;"Y"),NA(),Capability!$Q$6))</f>
        <v/>
      </c>
      <c r="CX114">
        <f>IF(ISNA(CP114),NA(),IF(OR(Capability!$P$6="",Settings!$F$7&lt;&gt;"Y"),NA(),Capability!$P$6))</f>
        <v/>
      </c>
      <c r="DD114">
        <f>IF((DG$1+110)&gt;DE$1,NA(),(DG$1+110)-4)</f>
        <v/>
      </c>
      <c r="DE114">
        <f>IF((DG$1+110)&gt;DE$1,NA(),INDEX('Data Entry'!$J$5:$J$10004,(DG$1+110)-4))</f>
        <v/>
      </c>
      <c r="DF114">
        <f>IF(ISNA(DD114),NA(),Capability!$K$7)</f>
        <v/>
      </c>
      <c r="DG114">
        <f>IF(ISNA(DD114),NA(),Capability!$J$7)</f>
        <v/>
      </c>
      <c r="DH114">
        <f>IF(ISNA(DD114),NA(),Capability!$L$7)</f>
        <v/>
      </c>
      <c r="DI114">
        <f>IF(OR(ISNA(DE114),ISNA(DE113)),NA(),ABS(DE114-DE113))</f>
        <v/>
      </c>
      <c r="DJ114">
        <f>IF(ISNA(DD114),NA(),Capability!$N$7)</f>
        <v/>
      </c>
      <c r="DK114">
        <f>IF(ISNA(DD114),NA(),IF(OR(Capability!$Q$7="",Settings!$F$7&lt;&gt;"Y"),NA(),Capability!$Q$7))</f>
        <v/>
      </c>
      <c r="DL114">
        <f>IF(ISNA(DD114),NA(),IF(OR(Capability!$P$7="",Settings!$F$7&lt;&gt;"Y"),NA(),Capability!$P$7))</f>
        <v/>
      </c>
      <c r="DR114">
        <f>IF((DU$1+110)&gt;DS$1,NA(),(DU$1+110)-4)</f>
        <v/>
      </c>
      <c r="DS114">
        <f>IF((DU$1+110)&gt;DS$1,NA(),INDEX('Data Entry'!$K$5:$K$10004,(DU$1+110)-4))</f>
        <v/>
      </c>
      <c r="DT114">
        <f>IF(ISNA(DR114),NA(),Capability!$K$8)</f>
        <v/>
      </c>
      <c r="DU114">
        <f>IF(ISNA(DR114),NA(),Capability!$J$8)</f>
        <v/>
      </c>
      <c r="DV114">
        <f>IF(ISNA(DR114),NA(),Capability!$L$8)</f>
        <v/>
      </c>
      <c r="DW114">
        <f>IF(OR(ISNA(DS114),ISNA(DS113)),NA(),ABS(DS114-DS113))</f>
        <v/>
      </c>
      <c r="DX114">
        <f>IF(ISNA(DR114),NA(),Capability!$N$8)</f>
        <v/>
      </c>
      <c r="DY114">
        <f>IF(ISNA(DR114),NA(),IF(OR(Capability!$Q$8="",Settings!$F$7&lt;&gt;"Y"),NA(),Capability!$Q$8))</f>
        <v/>
      </c>
      <c r="DZ114">
        <f>IF(ISNA(DR114),NA(),IF(OR(Capability!$P$8="",Settings!$F$7&lt;&gt;"Y"),NA(),Capability!$P$8))</f>
        <v/>
      </c>
      <c r="EF114">
        <f>IF((EI$1+110)&gt;EG$1,NA(),(EI$1+110)-4)</f>
        <v/>
      </c>
      <c r="EG114">
        <f>IF((EI$1+110)&gt;EG$1,NA(),INDEX('Data Entry'!$L$5:$L$10004,(EI$1+110)-4))</f>
        <v/>
      </c>
      <c r="EH114">
        <f>IF(ISNA(EF114),NA(),Capability!$K$9)</f>
        <v/>
      </c>
      <c r="EI114">
        <f>IF(ISNA(EF114),NA(),Capability!$J$9)</f>
        <v/>
      </c>
      <c r="EJ114">
        <f>IF(ISNA(EF114),NA(),Capability!$L$9)</f>
        <v/>
      </c>
      <c r="EK114">
        <f>IF(OR(ISNA(EG114),ISNA(EG113)),NA(),ABS(EG114-EG113))</f>
        <v/>
      </c>
      <c r="EL114">
        <f>IF(ISNA(EF114),NA(),Capability!$N$9)</f>
        <v/>
      </c>
      <c r="EM114">
        <f>IF(ISNA(EF114),NA(),IF(OR(Capability!$Q$9="",Settings!$F$7&lt;&gt;"Y"),NA(),Capability!$Q$9))</f>
        <v/>
      </c>
      <c r="EN114">
        <f>IF(ISNA(EF114),NA(),IF(OR(Capability!$P$9="",Settings!$F$7&lt;&gt;"Y"),NA(),Capability!$P$9))</f>
        <v/>
      </c>
      <c r="ET114">
        <f>IF((EW$1+110)&gt;EU$1,NA(),(EW$1+110)-4)</f>
        <v/>
      </c>
      <c r="EU114">
        <f>IF((EW$1+110)&gt;EU$1,NA(),INDEX('Data Entry'!$M$5:$M$10004,(EW$1+110)-4))</f>
        <v/>
      </c>
      <c r="EV114">
        <f>IF(ISNA(ET114),NA(),Capability!$K$10)</f>
        <v/>
      </c>
      <c r="EW114">
        <f>IF(ISNA(ET114),NA(),Capability!$J$10)</f>
        <v/>
      </c>
      <c r="EX114">
        <f>IF(ISNA(ET114),NA(),Capability!$L$10)</f>
        <v/>
      </c>
      <c r="EY114">
        <f>IF(OR(ISNA(EU114),ISNA(EU113)),NA(),ABS(EU114-EU113))</f>
        <v/>
      </c>
      <c r="EZ114">
        <f>IF(ISNA(ET114),NA(),Capability!$N$10)</f>
        <v/>
      </c>
      <c r="FA114">
        <f>IF(ISNA(ET114),NA(),IF(OR(Capability!$Q$10="",Settings!$F$7&lt;&gt;"Y"),NA(),Capability!$Q$10))</f>
        <v/>
      </c>
      <c r="FB114">
        <f>IF(ISNA(ET114),NA(),IF(OR(Capability!$P$10="",Settings!$F$7&lt;&gt;"Y"),NA(),Capability!$P$10))</f>
        <v/>
      </c>
      <c r="FH114">
        <f>IF((FK$1+110)&gt;FI$1,NA(),(FK$1+110)-4)</f>
        <v/>
      </c>
      <c r="FI114">
        <f>IF((FK$1+110)&gt;FI$1,NA(),INDEX('Data Entry'!$N$5:$N$10004,(FK$1+110)-4))</f>
        <v/>
      </c>
      <c r="FJ114">
        <f>IF(ISNA(FH114),NA(),Capability!$K$11)</f>
        <v/>
      </c>
      <c r="FK114">
        <f>IF(ISNA(FH114),NA(),Capability!$J$11)</f>
        <v/>
      </c>
      <c r="FL114">
        <f>IF(ISNA(FH114),NA(),Capability!$L$11)</f>
        <v/>
      </c>
      <c r="FM114">
        <f>IF(OR(ISNA(FI114),ISNA(FI113)),NA(),ABS(FI114-FI113))</f>
        <v/>
      </c>
      <c r="FN114">
        <f>IF(ISNA(FH114),NA(),Capability!$N$11)</f>
        <v/>
      </c>
      <c r="FO114">
        <f>IF(ISNA(FH114),NA(),IF(OR(Capability!$Q$11="",Settings!$F$7&lt;&gt;"Y"),NA(),Capability!$Q$11))</f>
        <v/>
      </c>
      <c r="FP114">
        <f>IF(ISNA(FH114),NA(),IF(OR(Capability!$P$11="",Settings!$F$7&lt;&gt;"Y"),NA(),Capability!$P$11))</f>
        <v/>
      </c>
      <c r="FV114">
        <f>IF((FY$1+110)&gt;FW$1,NA(),(FY$1+110)-4)</f>
        <v/>
      </c>
      <c r="FW114">
        <f>IF((FY$1+110)&gt;FW$1,NA(),INDEX('Data Entry'!$O$5:$O$10004,(FY$1+110)-4))</f>
        <v/>
      </c>
      <c r="FX114">
        <f>IF(ISNA(FV114),NA(),Capability!$K$12)</f>
        <v/>
      </c>
      <c r="FY114">
        <f>IF(ISNA(FV114),NA(),Capability!$J$12)</f>
        <v/>
      </c>
      <c r="FZ114">
        <f>IF(ISNA(FV114),NA(),Capability!$L$12)</f>
        <v/>
      </c>
      <c r="GA114">
        <f>IF(OR(ISNA(FW114),ISNA(FW113)),NA(),ABS(FW114-FW113))</f>
        <v/>
      </c>
      <c r="GB114">
        <f>IF(ISNA(FV114),NA(),Capability!$N$12)</f>
        <v/>
      </c>
      <c r="GC114">
        <f>IF(ISNA(FV114),NA(),IF(OR(Capability!$Q$12="",Settings!$F$7&lt;&gt;"Y"),NA(),Capability!$Q$12))</f>
        <v/>
      </c>
      <c r="GD114">
        <f>IF(ISNA(FV114),NA(),IF(OR(Capability!$P$12="",Settings!$F$7&lt;&gt;"Y"),NA(),Capability!$P$12))</f>
        <v/>
      </c>
      <c r="GJ114">
        <f>IF((GM$1+110)&gt;GK$1,NA(),(GM$1+110)-4)</f>
        <v/>
      </c>
      <c r="GK114">
        <f>IF((GM$1+110)&gt;GK$1,NA(),INDEX('Data Entry'!$P$5:$P$10004,(GM$1+110)-4))</f>
        <v/>
      </c>
      <c r="GL114">
        <f>IF(ISNA(GJ114),NA(),Capability!$K$13)</f>
        <v/>
      </c>
      <c r="GM114">
        <f>IF(ISNA(GJ114),NA(),Capability!$J$13)</f>
        <v/>
      </c>
      <c r="GN114">
        <f>IF(ISNA(GJ114),NA(),Capability!$L$13)</f>
        <v/>
      </c>
      <c r="GO114">
        <f>IF(OR(ISNA(GK114),ISNA(GK113)),NA(),ABS(GK114-GK113))</f>
        <v/>
      </c>
      <c r="GP114">
        <f>IF(ISNA(GJ114),NA(),Capability!$N$13)</f>
        <v/>
      </c>
      <c r="GQ114">
        <f>IF(ISNA(GJ114),NA(),IF(OR(Capability!$Q$13="",Settings!$F$7&lt;&gt;"Y"),NA(),Capability!$Q$13))</f>
        <v/>
      </c>
      <c r="GR114">
        <f>IF(ISNA(GJ114),NA(),IF(OR(Capability!$P$13="",Settings!$F$7&lt;&gt;"Y"),NA(),Capability!$P$13))</f>
        <v/>
      </c>
      <c r="GX114">
        <f>IF((HA$1+110)&gt;GY$1,NA(),(HA$1+110)-4)</f>
        <v/>
      </c>
      <c r="GY114">
        <f>IF((HA$1+110)&gt;GY$1,NA(),INDEX('Data Entry'!$Q$5:$Q$10004,(HA$1+110)-4))</f>
        <v/>
      </c>
      <c r="GZ114">
        <f>IF(ISNA(GX114),NA(),Capability!$K$14)</f>
        <v/>
      </c>
      <c r="HA114">
        <f>IF(ISNA(GX114),NA(),Capability!$J$14)</f>
        <v/>
      </c>
      <c r="HB114">
        <f>IF(ISNA(GX114),NA(),Capability!$L$14)</f>
        <v/>
      </c>
      <c r="HC114">
        <f>IF(OR(ISNA(GY114),ISNA(GY113)),NA(),ABS(GY114-GY113))</f>
        <v/>
      </c>
      <c r="HD114">
        <f>IF(ISNA(GX114),NA(),Capability!$N$14)</f>
        <v/>
      </c>
      <c r="HE114">
        <f>IF(ISNA(GX114),NA(),IF(OR(Capability!$Q$14="",Settings!$F$7&lt;&gt;"Y"),NA(),Capability!$Q$14))</f>
        <v/>
      </c>
      <c r="HF114">
        <f>IF(ISNA(GX114),NA(),IF(OR(Capability!$P$14="",Settings!$F$7&lt;&gt;"Y"),NA(),Capability!$P$14))</f>
        <v/>
      </c>
    </row>
    <row r="115">
      <c r="CB115">
        <f>IF((CE$1+111)&gt;CC$1,NA(),(CE$1+111)-4)</f>
        <v/>
      </c>
      <c r="CC115">
        <f>IF((CE$1+111)&gt;CC$1,NA(),INDEX('Data Entry'!$H$5:$H$10004,(CE$1+111)-4))</f>
        <v/>
      </c>
      <c r="CD115">
        <f>IF(ISNA(CB115),NA(),Capability!$K$5)</f>
        <v/>
      </c>
      <c r="CE115">
        <f>IF(ISNA(CB115),NA(),Capability!$J$5)</f>
        <v/>
      </c>
      <c r="CF115">
        <f>IF(ISNA(CB115),NA(),Capability!$L$5)</f>
        <v/>
      </c>
      <c r="CG115">
        <f>IF(OR(ISNA(CC115),ISNA(CC114)),NA(),ABS(CC115-CC114))</f>
        <v/>
      </c>
      <c r="CH115">
        <f>IF(ISNA(CB115),NA(),Capability!$N$5)</f>
        <v/>
      </c>
      <c r="CI115">
        <f>IF(ISNA(CB115),NA(),IF(OR(Capability!$Q$5="",Settings!$F$7&lt;&gt;"Y"),NA(),Capability!$Q$5))</f>
        <v/>
      </c>
      <c r="CJ115">
        <f>IF(ISNA(CB115),NA(),IF(OR(Capability!$P$5="",Settings!$F$7&lt;&gt;"Y"),NA(),Capability!$P$5))</f>
        <v/>
      </c>
      <c r="CP115">
        <f>IF((CS$1+111)&gt;CQ$1,NA(),(CS$1+111)-4)</f>
        <v/>
      </c>
      <c r="CQ115">
        <f>IF((CS$1+111)&gt;CQ$1,NA(),INDEX('Data Entry'!$I$5:$I$10004,(CS$1+111)-4))</f>
        <v/>
      </c>
      <c r="CR115">
        <f>IF(ISNA(CP115),NA(),Capability!$K$6)</f>
        <v/>
      </c>
      <c r="CS115">
        <f>IF(ISNA(CP115),NA(),Capability!$J$6)</f>
        <v/>
      </c>
      <c r="CT115">
        <f>IF(ISNA(CP115),NA(),Capability!$L$6)</f>
        <v/>
      </c>
      <c r="CU115">
        <f>IF(OR(ISNA(CQ115),ISNA(CQ114)),NA(),ABS(CQ115-CQ114))</f>
        <v/>
      </c>
      <c r="CV115">
        <f>IF(ISNA(CP115),NA(),Capability!$N$6)</f>
        <v/>
      </c>
      <c r="CW115">
        <f>IF(ISNA(CP115),NA(),IF(OR(Capability!$Q$6="",Settings!$F$7&lt;&gt;"Y"),NA(),Capability!$Q$6))</f>
        <v/>
      </c>
      <c r="CX115">
        <f>IF(ISNA(CP115),NA(),IF(OR(Capability!$P$6="",Settings!$F$7&lt;&gt;"Y"),NA(),Capability!$P$6))</f>
        <v/>
      </c>
      <c r="DD115">
        <f>IF((DG$1+111)&gt;DE$1,NA(),(DG$1+111)-4)</f>
        <v/>
      </c>
      <c r="DE115">
        <f>IF((DG$1+111)&gt;DE$1,NA(),INDEX('Data Entry'!$J$5:$J$10004,(DG$1+111)-4))</f>
        <v/>
      </c>
      <c r="DF115">
        <f>IF(ISNA(DD115),NA(),Capability!$K$7)</f>
        <v/>
      </c>
      <c r="DG115">
        <f>IF(ISNA(DD115),NA(),Capability!$J$7)</f>
        <v/>
      </c>
      <c r="DH115">
        <f>IF(ISNA(DD115),NA(),Capability!$L$7)</f>
        <v/>
      </c>
      <c r="DI115">
        <f>IF(OR(ISNA(DE115),ISNA(DE114)),NA(),ABS(DE115-DE114))</f>
        <v/>
      </c>
      <c r="DJ115">
        <f>IF(ISNA(DD115),NA(),Capability!$N$7)</f>
        <v/>
      </c>
      <c r="DK115">
        <f>IF(ISNA(DD115),NA(),IF(OR(Capability!$Q$7="",Settings!$F$7&lt;&gt;"Y"),NA(),Capability!$Q$7))</f>
        <v/>
      </c>
      <c r="DL115">
        <f>IF(ISNA(DD115),NA(),IF(OR(Capability!$P$7="",Settings!$F$7&lt;&gt;"Y"),NA(),Capability!$P$7))</f>
        <v/>
      </c>
      <c r="DR115">
        <f>IF((DU$1+111)&gt;DS$1,NA(),(DU$1+111)-4)</f>
        <v/>
      </c>
      <c r="DS115">
        <f>IF((DU$1+111)&gt;DS$1,NA(),INDEX('Data Entry'!$K$5:$K$10004,(DU$1+111)-4))</f>
        <v/>
      </c>
      <c r="DT115">
        <f>IF(ISNA(DR115),NA(),Capability!$K$8)</f>
        <v/>
      </c>
      <c r="DU115">
        <f>IF(ISNA(DR115),NA(),Capability!$J$8)</f>
        <v/>
      </c>
      <c r="DV115">
        <f>IF(ISNA(DR115),NA(),Capability!$L$8)</f>
        <v/>
      </c>
      <c r="DW115">
        <f>IF(OR(ISNA(DS115),ISNA(DS114)),NA(),ABS(DS115-DS114))</f>
        <v/>
      </c>
      <c r="DX115">
        <f>IF(ISNA(DR115),NA(),Capability!$N$8)</f>
        <v/>
      </c>
      <c r="DY115">
        <f>IF(ISNA(DR115),NA(),IF(OR(Capability!$Q$8="",Settings!$F$7&lt;&gt;"Y"),NA(),Capability!$Q$8))</f>
        <v/>
      </c>
      <c r="DZ115">
        <f>IF(ISNA(DR115),NA(),IF(OR(Capability!$P$8="",Settings!$F$7&lt;&gt;"Y"),NA(),Capability!$P$8))</f>
        <v/>
      </c>
      <c r="EF115">
        <f>IF((EI$1+111)&gt;EG$1,NA(),(EI$1+111)-4)</f>
        <v/>
      </c>
      <c r="EG115">
        <f>IF((EI$1+111)&gt;EG$1,NA(),INDEX('Data Entry'!$L$5:$L$10004,(EI$1+111)-4))</f>
        <v/>
      </c>
      <c r="EH115">
        <f>IF(ISNA(EF115),NA(),Capability!$K$9)</f>
        <v/>
      </c>
      <c r="EI115">
        <f>IF(ISNA(EF115),NA(),Capability!$J$9)</f>
        <v/>
      </c>
      <c r="EJ115">
        <f>IF(ISNA(EF115),NA(),Capability!$L$9)</f>
        <v/>
      </c>
      <c r="EK115">
        <f>IF(OR(ISNA(EG115),ISNA(EG114)),NA(),ABS(EG115-EG114))</f>
        <v/>
      </c>
      <c r="EL115">
        <f>IF(ISNA(EF115),NA(),Capability!$N$9)</f>
        <v/>
      </c>
      <c r="EM115">
        <f>IF(ISNA(EF115),NA(),IF(OR(Capability!$Q$9="",Settings!$F$7&lt;&gt;"Y"),NA(),Capability!$Q$9))</f>
        <v/>
      </c>
      <c r="EN115">
        <f>IF(ISNA(EF115),NA(),IF(OR(Capability!$P$9="",Settings!$F$7&lt;&gt;"Y"),NA(),Capability!$P$9))</f>
        <v/>
      </c>
      <c r="ET115">
        <f>IF((EW$1+111)&gt;EU$1,NA(),(EW$1+111)-4)</f>
        <v/>
      </c>
      <c r="EU115">
        <f>IF((EW$1+111)&gt;EU$1,NA(),INDEX('Data Entry'!$M$5:$M$10004,(EW$1+111)-4))</f>
        <v/>
      </c>
      <c r="EV115">
        <f>IF(ISNA(ET115),NA(),Capability!$K$10)</f>
        <v/>
      </c>
      <c r="EW115">
        <f>IF(ISNA(ET115),NA(),Capability!$J$10)</f>
        <v/>
      </c>
      <c r="EX115">
        <f>IF(ISNA(ET115),NA(),Capability!$L$10)</f>
        <v/>
      </c>
      <c r="EY115">
        <f>IF(OR(ISNA(EU115),ISNA(EU114)),NA(),ABS(EU115-EU114))</f>
        <v/>
      </c>
      <c r="EZ115">
        <f>IF(ISNA(ET115),NA(),Capability!$N$10)</f>
        <v/>
      </c>
      <c r="FA115">
        <f>IF(ISNA(ET115),NA(),IF(OR(Capability!$Q$10="",Settings!$F$7&lt;&gt;"Y"),NA(),Capability!$Q$10))</f>
        <v/>
      </c>
      <c r="FB115">
        <f>IF(ISNA(ET115),NA(),IF(OR(Capability!$P$10="",Settings!$F$7&lt;&gt;"Y"),NA(),Capability!$P$10))</f>
        <v/>
      </c>
      <c r="FH115">
        <f>IF((FK$1+111)&gt;FI$1,NA(),(FK$1+111)-4)</f>
        <v/>
      </c>
      <c r="FI115">
        <f>IF((FK$1+111)&gt;FI$1,NA(),INDEX('Data Entry'!$N$5:$N$10004,(FK$1+111)-4))</f>
        <v/>
      </c>
      <c r="FJ115">
        <f>IF(ISNA(FH115),NA(),Capability!$K$11)</f>
        <v/>
      </c>
      <c r="FK115">
        <f>IF(ISNA(FH115),NA(),Capability!$J$11)</f>
        <v/>
      </c>
      <c r="FL115">
        <f>IF(ISNA(FH115),NA(),Capability!$L$11)</f>
        <v/>
      </c>
      <c r="FM115">
        <f>IF(OR(ISNA(FI115),ISNA(FI114)),NA(),ABS(FI115-FI114))</f>
        <v/>
      </c>
      <c r="FN115">
        <f>IF(ISNA(FH115),NA(),Capability!$N$11)</f>
        <v/>
      </c>
      <c r="FO115">
        <f>IF(ISNA(FH115),NA(),IF(OR(Capability!$Q$11="",Settings!$F$7&lt;&gt;"Y"),NA(),Capability!$Q$11))</f>
        <v/>
      </c>
      <c r="FP115">
        <f>IF(ISNA(FH115),NA(),IF(OR(Capability!$P$11="",Settings!$F$7&lt;&gt;"Y"),NA(),Capability!$P$11))</f>
        <v/>
      </c>
      <c r="FV115">
        <f>IF((FY$1+111)&gt;FW$1,NA(),(FY$1+111)-4)</f>
        <v/>
      </c>
      <c r="FW115">
        <f>IF((FY$1+111)&gt;FW$1,NA(),INDEX('Data Entry'!$O$5:$O$10004,(FY$1+111)-4))</f>
        <v/>
      </c>
      <c r="FX115">
        <f>IF(ISNA(FV115),NA(),Capability!$K$12)</f>
        <v/>
      </c>
      <c r="FY115">
        <f>IF(ISNA(FV115),NA(),Capability!$J$12)</f>
        <v/>
      </c>
      <c r="FZ115">
        <f>IF(ISNA(FV115),NA(),Capability!$L$12)</f>
        <v/>
      </c>
      <c r="GA115">
        <f>IF(OR(ISNA(FW115),ISNA(FW114)),NA(),ABS(FW115-FW114))</f>
        <v/>
      </c>
      <c r="GB115">
        <f>IF(ISNA(FV115),NA(),Capability!$N$12)</f>
        <v/>
      </c>
      <c r="GC115">
        <f>IF(ISNA(FV115),NA(),IF(OR(Capability!$Q$12="",Settings!$F$7&lt;&gt;"Y"),NA(),Capability!$Q$12))</f>
        <v/>
      </c>
      <c r="GD115">
        <f>IF(ISNA(FV115),NA(),IF(OR(Capability!$P$12="",Settings!$F$7&lt;&gt;"Y"),NA(),Capability!$P$12))</f>
        <v/>
      </c>
      <c r="GJ115">
        <f>IF((GM$1+111)&gt;GK$1,NA(),(GM$1+111)-4)</f>
        <v/>
      </c>
      <c r="GK115">
        <f>IF((GM$1+111)&gt;GK$1,NA(),INDEX('Data Entry'!$P$5:$P$10004,(GM$1+111)-4))</f>
        <v/>
      </c>
      <c r="GL115">
        <f>IF(ISNA(GJ115),NA(),Capability!$K$13)</f>
        <v/>
      </c>
      <c r="GM115">
        <f>IF(ISNA(GJ115),NA(),Capability!$J$13)</f>
        <v/>
      </c>
      <c r="GN115">
        <f>IF(ISNA(GJ115),NA(),Capability!$L$13)</f>
        <v/>
      </c>
      <c r="GO115">
        <f>IF(OR(ISNA(GK115),ISNA(GK114)),NA(),ABS(GK115-GK114))</f>
        <v/>
      </c>
      <c r="GP115">
        <f>IF(ISNA(GJ115),NA(),Capability!$N$13)</f>
        <v/>
      </c>
      <c r="GQ115">
        <f>IF(ISNA(GJ115),NA(),IF(OR(Capability!$Q$13="",Settings!$F$7&lt;&gt;"Y"),NA(),Capability!$Q$13))</f>
        <v/>
      </c>
      <c r="GR115">
        <f>IF(ISNA(GJ115),NA(),IF(OR(Capability!$P$13="",Settings!$F$7&lt;&gt;"Y"),NA(),Capability!$P$13))</f>
        <v/>
      </c>
      <c r="GX115">
        <f>IF((HA$1+111)&gt;GY$1,NA(),(HA$1+111)-4)</f>
        <v/>
      </c>
      <c r="GY115">
        <f>IF((HA$1+111)&gt;GY$1,NA(),INDEX('Data Entry'!$Q$5:$Q$10004,(HA$1+111)-4))</f>
        <v/>
      </c>
      <c r="GZ115">
        <f>IF(ISNA(GX115),NA(),Capability!$K$14)</f>
        <v/>
      </c>
      <c r="HA115">
        <f>IF(ISNA(GX115),NA(),Capability!$J$14)</f>
        <v/>
      </c>
      <c r="HB115">
        <f>IF(ISNA(GX115),NA(),Capability!$L$14)</f>
        <v/>
      </c>
      <c r="HC115">
        <f>IF(OR(ISNA(GY115),ISNA(GY114)),NA(),ABS(GY115-GY114))</f>
        <v/>
      </c>
      <c r="HD115">
        <f>IF(ISNA(GX115),NA(),Capability!$N$14)</f>
        <v/>
      </c>
      <c r="HE115">
        <f>IF(ISNA(GX115),NA(),IF(OR(Capability!$Q$14="",Settings!$F$7&lt;&gt;"Y"),NA(),Capability!$Q$14))</f>
        <v/>
      </c>
      <c r="HF115">
        <f>IF(ISNA(GX115),NA(),IF(OR(Capability!$P$14="",Settings!$F$7&lt;&gt;"Y"),NA(),Capability!$P$14))</f>
        <v/>
      </c>
    </row>
    <row r="116">
      <c r="CB116">
        <f>IF((CE$1+112)&gt;CC$1,NA(),(CE$1+112)-4)</f>
        <v/>
      </c>
      <c r="CC116">
        <f>IF((CE$1+112)&gt;CC$1,NA(),INDEX('Data Entry'!$H$5:$H$10004,(CE$1+112)-4))</f>
        <v/>
      </c>
      <c r="CD116">
        <f>IF(ISNA(CB116),NA(),Capability!$K$5)</f>
        <v/>
      </c>
      <c r="CE116">
        <f>IF(ISNA(CB116),NA(),Capability!$J$5)</f>
        <v/>
      </c>
      <c r="CF116">
        <f>IF(ISNA(CB116),NA(),Capability!$L$5)</f>
        <v/>
      </c>
      <c r="CG116">
        <f>IF(OR(ISNA(CC116),ISNA(CC115)),NA(),ABS(CC116-CC115))</f>
        <v/>
      </c>
      <c r="CH116">
        <f>IF(ISNA(CB116),NA(),Capability!$N$5)</f>
        <v/>
      </c>
      <c r="CI116">
        <f>IF(ISNA(CB116),NA(),IF(OR(Capability!$Q$5="",Settings!$F$7&lt;&gt;"Y"),NA(),Capability!$Q$5))</f>
        <v/>
      </c>
      <c r="CJ116">
        <f>IF(ISNA(CB116),NA(),IF(OR(Capability!$P$5="",Settings!$F$7&lt;&gt;"Y"),NA(),Capability!$P$5))</f>
        <v/>
      </c>
      <c r="CP116">
        <f>IF((CS$1+112)&gt;CQ$1,NA(),(CS$1+112)-4)</f>
        <v/>
      </c>
      <c r="CQ116">
        <f>IF((CS$1+112)&gt;CQ$1,NA(),INDEX('Data Entry'!$I$5:$I$10004,(CS$1+112)-4))</f>
        <v/>
      </c>
      <c r="CR116">
        <f>IF(ISNA(CP116),NA(),Capability!$K$6)</f>
        <v/>
      </c>
      <c r="CS116">
        <f>IF(ISNA(CP116),NA(),Capability!$J$6)</f>
        <v/>
      </c>
      <c r="CT116">
        <f>IF(ISNA(CP116),NA(),Capability!$L$6)</f>
        <v/>
      </c>
      <c r="CU116">
        <f>IF(OR(ISNA(CQ116),ISNA(CQ115)),NA(),ABS(CQ116-CQ115))</f>
        <v/>
      </c>
      <c r="CV116">
        <f>IF(ISNA(CP116),NA(),Capability!$N$6)</f>
        <v/>
      </c>
      <c r="CW116">
        <f>IF(ISNA(CP116),NA(),IF(OR(Capability!$Q$6="",Settings!$F$7&lt;&gt;"Y"),NA(),Capability!$Q$6))</f>
        <v/>
      </c>
      <c r="CX116">
        <f>IF(ISNA(CP116),NA(),IF(OR(Capability!$P$6="",Settings!$F$7&lt;&gt;"Y"),NA(),Capability!$P$6))</f>
        <v/>
      </c>
      <c r="DD116">
        <f>IF((DG$1+112)&gt;DE$1,NA(),(DG$1+112)-4)</f>
        <v/>
      </c>
      <c r="DE116">
        <f>IF((DG$1+112)&gt;DE$1,NA(),INDEX('Data Entry'!$J$5:$J$10004,(DG$1+112)-4))</f>
        <v/>
      </c>
      <c r="DF116">
        <f>IF(ISNA(DD116),NA(),Capability!$K$7)</f>
        <v/>
      </c>
      <c r="DG116">
        <f>IF(ISNA(DD116),NA(),Capability!$J$7)</f>
        <v/>
      </c>
      <c r="DH116">
        <f>IF(ISNA(DD116),NA(),Capability!$L$7)</f>
        <v/>
      </c>
      <c r="DI116">
        <f>IF(OR(ISNA(DE116),ISNA(DE115)),NA(),ABS(DE116-DE115))</f>
        <v/>
      </c>
      <c r="DJ116">
        <f>IF(ISNA(DD116),NA(),Capability!$N$7)</f>
        <v/>
      </c>
      <c r="DK116">
        <f>IF(ISNA(DD116),NA(),IF(OR(Capability!$Q$7="",Settings!$F$7&lt;&gt;"Y"),NA(),Capability!$Q$7))</f>
        <v/>
      </c>
      <c r="DL116">
        <f>IF(ISNA(DD116),NA(),IF(OR(Capability!$P$7="",Settings!$F$7&lt;&gt;"Y"),NA(),Capability!$P$7))</f>
        <v/>
      </c>
      <c r="DR116">
        <f>IF((DU$1+112)&gt;DS$1,NA(),(DU$1+112)-4)</f>
        <v/>
      </c>
      <c r="DS116">
        <f>IF((DU$1+112)&gt;DS$1,NA(),INDEX('Data Entry'!$K$5:$K$10004,(DU$1+112)-4))</f>
        <v/>
      </c>
      <c r="DT116">
        <f>IF(ISNA(DR116),NA(),Capability!$K$8)</f>
        <v/>
      </c>
      <c r="DU116">
        <f>IF(ISNA(DR116),NA(),Capability!$J$8)</f>
        <v/>
      </c>
      <c r="DV116">
        <f>IF(ISNA(DR116),NA(),Capability!$L$8)</f>
        <v/>
      </c>
      <c r="DW116">
        <f>IF(OR(ISNA(DS116),ISNA(DS115)),NA(),ABS(DS116-DS115))</f>
        <v/>
      </c>
      <c r="DX116">
        <f>IF(ISNA(DR116),NA(),Capability!$N$8)</f>
        <v/>
      </c>
      <c r="DY116">
        <f>IF(ISNA(DR116),NA(),IF(OR(Capability!$Q$8="",Settings!$F$7&lt;&gt;"Y"),NA(),Capability!$Q$8))</f>
        <v/>
      </c>
      <c r="DZ116">
        <f>IF(ISNA(DR116),NA(),IF(OR(Capability!$P$8="",Settings!$F$7&lt;&gt;"Y"),NA(),Capability!$P$8))</f>
        <v/>
      </c>
      <c r="EF116">
        <f>IF((EI$1+112)&gt;EG$1,NA(),(EI$1+112)-4)</f>
        <v/>
      </c>
      <c r="EG116">
        <f>IF((EI$1+112)&gt;EG$1,NA(),INDEX('Data Entry'!$L$5:$L$10004,(EI$1+112)-4))</f>
        <v/>
      </c>
      <c r="EH116">
        <f>IF(ISNA(EF116),NA(),Capability!$K$9)</f>
        <v/>
      </c>
      <c r="EI116">
        <f>IF(ISNA(EF116),NA(),Capability!$J$9)</f>
        <v/>
      </c>
      <c r="EJ116">
        <f>IF(ISNA(EF116),NA(),Capability!$L$9)</f>
        <v/>
      </c>
      <c r="EK116">
        <f>IF(OR(ISNA(EG116),ISNA(EG115)),NA(),ABS(EG116-EG115))</f>
        <v/>
      </c>
      <c r="EL116">
        <f>IF(ISNA(EF116),NA(),Capability!$N$9)</f>
        <v/>
      </c>
      <c r="EM116">
        <f>IF(ISNA(EF116),NA(),IF(OR(Capability!$Q$9="",Settings!$F$7&lt;&gt;"Y"),NA(),Capability!$Q$9))</f>
        <v/>
      </c>
      <c r="EN116">
        <f>IF(ISNA(EF116),NA(),IF(OR(Capability!$P$9="",Settings!$F$7&lt;&gt;"Y"),NA(),Capability!$P$9))</f>
        <v/>
      </c>
      <c r="ET116">
        <f>IF((EW$1+112)&gt;EU$1,NA(),(EW$1+112)-4)</f>
        <v/>
      </c>
      <c r="EU116">
        <f>IF((EW$1+112)&gt;EU$1,NA(),INDEX('Data Entry'!$M$5:$M$10004,(EW$1+112)-4))</f>
        <v/>
      </c>
      <c r="EV116">
        <f>IF(ISNA(ET116),NA(),Capability!$K$10)</f>
        <v/>
      </c>
      <c r="EW116">
        <f>IF(ISNA(ET116),NA(),Capability!$J$10)</f>
        <v/>
      </c>
      <c r="EX116">
        <f>IF(ISNA(ET116),NA(),Capability!$L$10)</f>
        <v/>
      </c>
      <c r="EY116">
        <f>IF(OR(ISNA(EU116),ISNA(EU115)),NA(),ABS(EU116-EU115))</f>
        <v/>
      </c>
      <c r="EZ116">
        <f>IF(ISNA(ET116),NA(),Capability!$N$10)</f>
        <v/>
      </c>
      <c r="FA116">
        <f>IF(ISNA(ET116),NA(),IF(OR(Capability!$Q$10="",Settings!$F$7&lt;&gt;"Y"),NA(),Capability!$Q$10))</f>
        <v/>
      </c>
      <c r="FB116">
        <f>IF(ISNA(ET116),NA(),IF(OR(Capability!$P$10="",Settings!$F$7&lt;&gt;"Y"),NA(),Capability!$P$10))</f>
        <v/>
      </c>
      <c r="FH116">
        <f>IF((FK$1+112)&gt;FI$1,NA(),(FK$1+112)-4)</f>
        <v/>
      </c>
      <c r="FI116">
        <f>IF((FK$1+112)&gt;FI$1,NA(),INDEX('Data Entry'!$N$5:$N$10004,(FK$1+112)-4))</f>
        <v/>
      </c>
      <c r="FJ116">
        <f>IF(ISNA(FH116),NA(),Capability!$K$11)</f>
        <v/>
      </c>
      <c r="FK116">
        <f>IF(ISNA(FH116),NA(),Capability!$J$11)</f>
        <v/>
      </c>
      <c r="FL116">
        <f>IF(ISNA(FH116),NA(),Capability!$L$11)</f>
        <v/>
      </c>
      <c r="FM116">
        <f>IF(OR(ISNA(FI116),ISNA(FI115)),NA(),ABS(FI116-FI115))</f>
        <v/>
      </c>
      <c r="FN116">
        <f>IF(ISNA(FH116),NA(),Capability!$N$11)</f>
        <v/>
      </c>
      <c r="FO116">
        <f>IF(ISNA(FH116),NA(),IF(OR(Capability!$Q$11="",Settings!$F$7&lt;&gt;"Y"),NA(),Capability!$Q$11))</f>
        <v/>
      </c>
      <c r="FP116">
        <f>IF(ISNA(FH116),NA(),IF(OR(Capability!$P$11="",Settings!$F$7&lt;&gt;"Y"),NA(),Capability!$P$11))</f>
        <v/>
      </c>
      <c r="FV116">
        <f>IF((FY$1+112)&gt;FW$1,NA(),(FY$1+112)-4)</f>
        <v/>
      </c>
      <c r="FW116">
        <f>IF((FY$1+112)&gt;FW$1,NA(),INDEX('Data Entry'!$O$5:$O$10004,(FY$1+112)-4))</f>
        <v/>
      </c>
      <c r="FX116">
        <f>IF(ISNA(FV116),NA(),Capability!$K$12)</f>
        <v/>
      </c>
      <c r="FY116">
        <f>IF(ISNA(FV116),NA(),Capability!$J$12)</f>
        <v/>
      </c>
      <c r="FZ116">
        <f>IF(ISNA(FV116),NA(),Capability!$L$12)</f>
        <v/>
      </c>
      <c r="GA116">
        <f>IF(OR(ISNA(FW116),ISNA(FW115)),NA(),ABS(FW116-FW115))</f>
        <v/>
      </c>
      <c r="GB116">
        <f>IF(ISNA(FV116),NA(),Capability!$N$12)</f>
        <v/>
      </c>
      <c r="GC116">
        <f>IF(ISNA(FV116),NA(),IF(OR(Capability!$Q$12="",Settings!$F$7&lt;&gt;"Y"),NA(),Capability!$Q$12))</f>
        <v/>
      </c>
      <c r="GD116">
        <f>IF(ISNA(FV116),NA(),IF(OR(Capability!$P$12="",Settings!$F$7&lt;&gt;"Y"),NA(),Capability!$P$12))</f>
        <v/>
      </c>
      <c r="GJ116">
        <f>IF((GM$1+112)&gt;GK$1,NA(),(GM$1+112)-4)</f>
        <v/>
      </c>
      <c r="GK116">
        <f>IF((GM$1+112)&gt;GK$1,NA(),INDEX('Data Entry'!$P$5:$P$10004,(GM$1+112)-4))</f>
        <v/>
      </c>
      <c r="GL116">
        <f>IF(ISNA(GJ116),NA(),Capability!$K$13)</f>
        <v/>
      </c>
      <c r="GM116">
        <f>IF(ISNA(GJ116),NA(),Capability!$J$13)</f>
        <v/>
      </c>
      <c r="GN116">
        <f>IF(ISNA(GJ116),NA(),Capability!$L$13)</f>
        <v/>
      </c>
      <c r="GO116">
        <f>IF(OR(ISNA(GK116),ISNA(GK115)),NA(),ABS(GK116-GK115))</f>
        <v/>
      </c>
      <c r="GP116">
        <f>IF(ISNA(GJ116),NA(),Capability!$N$13)</f>
        <v/>
      </c>
      <c r="GQ116">
        <f>IF(ISNA(GJ116),NA(),IF(OR(Capability!$Q$13="",Settings!$F$7&lt;&gt;"Y"),NA(),Capability!$Q$13))</f>
        <v/>
      </c>
      <c r="GR116">
        <f>IF(ISNA(GJ116),NA(),IF(OR(Capability!$P$13="",Settings!$F$7&lt;&gt;"Y"),NA(),Capability!$P$13))</f>
        <v/>
      </c>
      <c r="GX116">
        <f>IF((HA$1+112)&gt;GY$1,NA(),(HA$1+112)-4)</f>
        <v/>
      </c>
      <c r="GY116">
        <f>IF((HA$1+112)&gt;GY$1,NA(),INDEX('Data Entry'!$Q$5:$Q$10004,(HA$1+112)-4))</f>
        <v/>
      </c>
      <c r="GZ116">
        <f>IF(ISNA(GX116),NA(),Capability!$K$14)</f>
        <v/>
      </c>
      <c r="HA116">
        <f>IF(ISNA(GX116),NA(),Capability!$J$14)</f>
        <v/>
      </c>
      <c r="HB116">
        <f>IF(ISNA(GX116),NA(),Capability!$L$14)</f>
        <v/>
      </c>
      <c r="HC116">
        <f>IF(OR(ISNA(GY116),ISNA(GY115)),NA(),ABS(GY116-GY115))</f>
        <v/>
      </c>
      <c r="HD116">
        <f>IF(ISNA(GX116),NA(),Capability!$N$14)</f>
        <v/>
      </c>
      <c r="HE116">
        <f>IF(ISNA(GX116),NA(),IF(OR(Capability!$Q$14="",Settings!$F$7&lt;&gt;"Y"),NA(),Capability!$Q$14))</f>
        <v/>
      </c>
      <c r="HF116">
        <f>IF(ISNA(GX116),NA(),IF(OR(Capability!$P$14="",Settings!$F$7&lt;&gt;"Y"),NA(),Capability!$P$14))</f>
        <v/>
      </c>
    </row>
    <row r="117">
      <c r="CB117">
        <f>IF((CE$1+113)&gt;CC$1,NA(),(CE$1+113)-4)</f>
        <v/>
      </c>
      <c r="CC117">
        <f>IF((CE$1+113)&gt;CC$1,NA(),INDEX('Data Entry'!$H$5:$H$10004,(CE$1+113)-4))</f>
        <v/>
      </c>
      <c r="CD117">
        <f>IF(ISNA(CB117),NA(),Capability!$K$5)</f>
        <v/>
      </c>
      <c r="CE117">
        <f>IF(ISNA(CB117),NA(),Capability!$J$5)</f>
        <v/>
      </c>
      <c r="CF117">
        <f>IF(ISNA(CB117),NA(),Capability!$L$5)</f>
        <v/>
      </c>
      <c r="CG117">
        <f>IF(OR(ISNA(CC117),ISNA(CC116)),NA(),ABS(CC117-CC116))</f>
        <v/>
      </c>
      <c r="CH117">
        <f>IF(ISNA(CB117),NA(),Capability!$N$5)</f>
        <v/>
      </c>
      <c r="CI117">
        <f>IF(ISNA(CB117),NA(),IF(OR(Capability!$Q$5="",Settings!$F$7&lt;&gt;"Y"),NA(),Capability!$Q$5))</f>
        <v/>
      </c>
      <c r="CJ117">
        <f>IF(ISNA(CB117),NA(),IF(OR(Capability!$P$5="",Settings!$F$7&lt;&gt;"Y"),NA(),Capability!$P$5))</f>
        <v/>
      </c>
      <c r="CP117">
        <f>IF((CS$1+113)&gt;CQ$1,NA(),(CS$1+113)-4)</f>
        <v/>
      </c>
      <c r="CQ117">
        <f>IF((CS$1+113)&gt;CQ$1,NA(),INDEX('Data Entry'!$I$5:$I$10004,(CS$1+113)-4))</f>
        <v/>
      </c>
      <c r="CR117">
        <f>IF(ISNA(CP117),NA(),Capability!$K$6)</f>
        <v/>
      </c>
      <c r="CS117">
        <f>IF(ISNA(CP117),NA(),Capability!$J$6)</f>
        <v/>
      </c>
      <c r="CT117">
        <f>IF(ISNA(CP117),NA(),Capability!$L$6)</f>
        <v/>
      </c>
      <c r="CU117">
        <f>IF(OR(ISNA(CQ117),ISNA(CQ116)),NA(),ABS(CQ117-CQ116))</f>
        <v/>
      </c>
      <c r="CV117">
        <f>IF(ISNA(CP117),NA(),Capability!$N$6)</f>
        <v/>
      </c>
      <c r="CW117">
        <f>IF(ISNA(CP117),NA(),IF(OR(Capability!$Q$6="",Settings!$F$7&lt;&gt;"Y"),NA(),Capability!$Q$6))</f>
        <v/>
      </c>
      <c r="CX117">
        <f>IF(ISNA(CP117),NA(),IF(OR(Capability!$P$6="",Settings!$F$7&lt;&gt;"Y"),NA(),Capability!$P$6))</f>
        <v/>
      </c>
      <c r="DD117">
        <f>IF((DG$1+113)&gt;DE$1,NA(),(DG$1+113)-4)</f>
        <v/>
      </c>
      <c r="DE117">
        <f>IF((DG$1+113)&gt;DE$1,NA(),INDEX('Data Entry'!$J$5:$J$10004,(DG$1+113)-4))</f>
        <v/>
      </c>
      <c r="DF117">
        <f>IF(ISNA(DD117),NA(),Capability!$K$7)</f>
        <v/>
      </c>
      <c r="DG117">
        <f>IF(ISNA(DD117),NA(),Capability!$J$7)</f>
        <v/>
      </c>
      <c r="DH117">
        <f>IF(ISNA(DD117),NA(),Capability!$L$7)</f>
        <v/>
      </c>
      <c r="DI117">
        <f>IF(OR(ISNA(DE117),ISNA(DE116)),NA(),ABS(DE117-DE116))</f>
        <v/>
      </c>
      <c r="DJ117">
        <f>IF(ISNA(DD117),NA(),Capability!$N$7)</f>
        <v/>
      </c>
      <c r="DK117">
        <f>IF(ISNA(DD117),NA(),IF(OR(Capability!$Q$7="",Settings!$F$7&lt;&gt;"Y"),NA(),Capability!$Q$7))</f>
        <v/>
      </c>
      <c r="DL117">
        <f>IF(ISNA(DD117),NA(),IF(OR(Capability!$P$7="",Settings!$F$7&lt;&gt;"Y"),NA(),Capability!$P$7))</f>
        <v/>
      </c>
      <c r="DR117">
        <f>IF((DU$1+113)&gt;DS$1,NA(),(DU$1+113)-4)</f>
        <v/>
      </c>
      <c r="DS117">
        <f>IF((DU$1+113)&gt;DS$1,NA(),INDEX('Data Entry'!$K$5:$K$10004,(DU$1+113)-4))</f>
        <v/>
      </c>
      <c r="DT117">
        <f>IF(ISNA(DR117),NA(),Capability!$K$8)</f>
        <v/>
      </c>
      <c r="DU117">
        <f>IF(ISNA(DR117),NA(),Capability!$J$8)</f>
        <v/>
      </c>
      <c r="DV117">
        <f>IF(ISNA(DR117),NA(),Capability!$L$8)</f>
        <v/>
      </c>
      <c r="DW117">
        <f>IF(OR(ISNA(DS117),ISNA(DS116)),NA(),ABS(DS117-DS116))</f>
        <v/>
      </c>
      <c r="DX117">
        <f>IF(ISNA(DR117),NA(),Capability!$N$8)</f>
        <v/>
      </c>
      <c r="DY117">
        <f>IF(ISNA(DR117),NA(),IF(OR(Capability!$Q$8="",Settings!$F$7&lt;&gt;"Y"),NA(),Capability!$Q$8))</f>
        <v/>
      </c>
      <c r="DZ117">
        <f>IF(ISNA(DR117),NA(),IF(OR(Capability!$P$8="",Settings!$F$7&lt;&gt;"Y"),NA(),Capability!$P$8))</f>
        <v/>
      </c>
      <c r="EF117">
        <f>IF((EI$1+113)&gt;EG$1,NA(),(EI$1+113)-4)</f>
        <v/>
      </c>
      <c r="EG117">
        <f>IF((EI$1+113)&gt;EG$1,NA(),INDEX('Data Entry'!$L$5:$L$10004,(EI$1+113)-4))</f>
        <v/>
      </c>
      <c r="EH117">
        <f>IF(ISNA(EF117),NA(),Capability!$K$9)</f>
        <v/>
      </c>
      <c r="EI117">
        <f>IF(ISNA(EF117),NA(),Capability!$J$9)</f>
        <v/>
      </c>
      <c r="EJ117">
        <f>IF(ISNA(EF117),NA(),Capability!$L$9)</f>
        <v/>
      </c>
      <c r="EK117">
        <f>IF(OR(ISNA(EG117),ISNA(EG116)),NA(),ABS(EG117-EG116))</f>
        <v/>
      </c>
      <c r="EL117">
        <f>IF(ISNA(EF117),NA(),Capability!$N$9)</f>
        <v/>
      </c>
      <c r="EM117">
        <f>IF(ISNA(EF117),NA(),IF(OR(Capability!$Q$9="",Settings!$F$7&lt;&gt;"Y"),NA(),Capability!$Q$9))</f>
        <v/>
      </c>
      <c r="EN117">
        <f>IF(ISNA(EF117),NA(),IF(OR(Capability!$P$9="",Settings!$F$7&lt;&gt;"Y"),NA(),Capability!$P$9))</f>
        <v/>
      </c>
      <c r="ET117">
        <f>IF((EW$1+113)&gt;EU$1,NA(),(EW$1+113)-4)</f>
        <v/>
      </c>
      <c r="EU117">
        <f>IF((EW$1+113)&gt;EU$1,NA(),INDEX('Data Entry'!$M$5:$M$10004,(EW$1+113)-4))</f>
        <v/>
      </c>
      <c r="EV117">
        <f>IF(ISNA(ET117),NA(),Capability!$K$10)</f>
        <v/>
      </c>
      <c r="EW117">
        <f>IF(ISNA(ET117),NA(),Capability!$J$10)</f>
        <v/>
      </c>
      <c r="EX117">
        <f>IF(ISNA(ET117),NA(),Capability!$L$10)</f>
        <v/>
      </c>
      <c r="EY117">
        <f>IF(OR(ISNA(EU117),ISNA(EU116)),NA(),ABS(EU117-EU116))</f>
        <v/>
      </c>
      <c r="EZ117">
        <f>IF(ISNA(ET117),NA(),Capability!$N$10)</f>
        <v/>
      </c>
      <c r="FA117">
        <f>IF(ISNA(ET117),NA(),IF(OR(Capability!$Q$10="",Settings!$F$7&lt;&gt;"Y"),NA(),Capability!$Q$10))</f>
        <v/>
      </c>
      <c r="FB117">
        <f>IF(ISNA(ET117),NA(),IF(OR(Capability!$P$10="",Settings!$F$7&lt;&gt;"Y"),NA(),Capability!$P$10))</f>
        <v/>
      </c>
      <c r="FH117">
        <f>IF((FK$1+113)&gt;FI$1,NA(),(FK$1+113)-4)</f>
        <v/>
      </c>
      <c r="FI117">
        <f>IF((FK$1+113)&gt;FI$1,NA(),INDEX('Data Entry'!$N$5:$N$10004,(FK$1+113)-4))</f>
        <v/>
      </c>
      <c r="FJ117">
        <f>IF(ISNA(FH117),NA(),Capability!$K$11)</f>
        <v/>
      </c>
      <c r="FK117">
        <f>IF(ISNA(FH117),NA(),Capability!$J$11)</f>
        <v/>
      </c>
      <c r="FL117">
        <f>IF(ISNA(FH117),NA(),Capability!$L$11)</f>
        <v/>
      </c>
      <c r="FM117">
        <f>IF(OR(ISNA(FI117),ISNA(FI116)),NA(),ABS(FI117-FI116))</f>
        <v/>
      </c>
      <c r="FN117">
        <f>IF(ISNA(FH117),NA(),Capability!$N$11)</f>
        <v/>
      </c>
      <c r="FO117">
        <f>IF(ISNA(FH117),NA(),IF(OR(Capability!$Q$11="",Settings!$F$7&lt;&gt;"Y"),NA(),Capability!$Q$11))</f>
        <v/>
      </c>
      <c r="FP117">
        <f>IF(ISNA(FH117),NA(),IF(OR(Capability!$P$11="",Settings!$F$7&lt;&gt;"Y"),NA(),Capability!$P$11))</f>
        <v/>
      </c>
      <c r="FV117">
        <f>IF((FY$1+113)&gt;FW$1,NA(),(FY$1+113)-4)</f>
        <v/>
      </c>
      <c r="FW117">
        <f>IF((FY$1+113)&gt;FW$1,NA(),INDEX('Data Entry'!$O$5:$O$10004,(FY$1+113)-4))</f>
        <v/>
      </c>
      <c r="FX117">
        <f>IF(ISNA(FV117),NA(),Capability!$K$12)</f>
        <v/>
      </c>
      <c r="FY117">
        <f>IF(ISNA(FV117),NA(),Capability!$J$12)</f>
        <v/>
      </c>
      <c r="FZ117">
        <f>IF(ISNA(FV117),NA(),Capability!$L$12)</f>
        <v/>
      </c>
      <c r="GA117">
        <f>IF(OR(ISNA(FW117),ISNA(FW116)),NA(),ABS(FW117-FW116))</f>
        <v/>
      </c>
      <c r="GB117">
        <f>IF(ISNA(FV117),NA(),Capability!$N$12)</f>
        <v/>
      </c>
      <c r="GC117">
        <f>IF(ISNA(FV117),NA(),IF(OR(Capability!$Q$12="",Settings!$F$7&lt;&gt;"Y"),NA(),Capability!$Q$12))</f>
        <v/>
      </c>
      <c r="GD117">
        <f>IF(ISNA(FV117),NA(),IF(OR(Capability!$P$12="",Settings!$F$7&lt;&gt;"Y"),NA(),Capability!$P$12))</f>
        <v/>
      </c>
      <c r="GJ117">
        <f>IF((GM$1+113)&gt;GK$1,NA(),(GM$1+113)-4)</f>
        <v/>
      </c>
      <c r="GK117">
        <f>IF((GM$1+113)&gt;GK$1,NA(),INDEX('Data Entry'!$P$5:$P$10004,(GM$1+113)-4))</f>
        <v/>
      </c>
      <c r="GL117">
        <f>IF(ISNA(GJ117),NA(),Capability!$K$13)</f>
        <v/>
      </c>
      <c r="GM117">
        <f>IF(ISNA(GJ117),NA(),Capability!$J$13)</f>
        <v/>
      </c>
      <c r="GN117">
        <f>IF(ISNA(GJ117),NA(),Capability!$L$13)</f>
        <v/>
      </c>
      <c r="GO117">
        <f>IF(OR(ISNA(GK117),ISNA(GK116)),NA(),ABS(GK117-GK116))</f>
        <v/>
      </c>
      <c r="GP117">
        <f>IF(ISNA(GJ117),NA(),Capability!$N$13)</f>
        <v/>
      </c>
      <c r="GQ117">
        <f>IF(ISNA(GJ117),NA(),IF(OR(Capability!$Q$13="",Settings!$F$7&lt;&gt;"Y"),NA(),Capability!$Q$13))</f>
        <v/>
      </c>
      <c r="GR117">
        <f>IF(ISNA(GJ117),NA(),IF(OR(Capability!$P$13="",Settings!$F$7&lt;&gt;"Y"),NA(),Capability!$P$13))</f>
        <v/>
      </c>
      <c r="GX117">
        <f>IF((HA$1+113)&gt;GY$1,NA(),(HA$1+113)-4)</f>
        <v/>
      </c>
      <c r="GY117">
        <f>IF((HA$1+113)&gt;GY$1,NA(),INDEX('Data Entry'!$Q$5:$Q$10004,(HA$1+113)-4))</f>
        <v/>
      </c>
      <c r="GZ117">
        <f>IF(ISNA(GX117),NA(),Capability!$K$14)</f>
        <v/>
      </c>
      <c r="HA117">
        <f>IF(ISNA(GX117),NA(),Capability!$J$14)</f>
        <v/>
      </c>
      <c r="HB117">
        <f>IF(ISNA(GX117),NA(),Capability!$L$14)</f>
        <v/>
      </c>
      <c r="HC117">
        <f>IF(OR(ISNA(GY117),ISNA(GY116)),NA(),ABS(GY117-GY116))</f>
        <v/>
      </c>
      <c r="HD117">
        <f>IF(ISNA(GX117),NA(),Capability!$N$14)</f>
        <v/>
      </c>
      <c r="HE117">
        <f>IF(ISNA(GX117),NA(),IF(OR(Capability!$Q$14="",Settings!$F$7&lt;&gt;"Y"),NA(),Capability!$Q$14))</f>
        <v/>
      </c>
      <c r="HF117">
        <f>IF(ISNA(GX117),NA(),IF(OR(Capability!$P$14="",Settings!$F$7&lt;&gt;"Y"),NA(),Capability!$P$14))</f>
        <v/>
      </c>
    </row>
    <row r="118">
      <c r="CB118">
        <f>IF((CE$1+114)&gt;CC$1,NA(),(CE$1+114)-4)</f>
        <v/>
      </c>
      <c r="CC118">
        <f>IF((CE$1+114)&gt;CC$1,NA(),INDEX('Data Entry'!$H$5:$H$10004,(CE$1+114)-4))</f>
        <v/>
      </c>
      <c r="CD118">
        <f>IF(ISNA(CB118),NA(),Capability!$K$5)</f>
        <v/>
      </c>
      <c r="CE118">
        <f>IF(ISNA(CB118),NA(),Capability!$J$5)</f>
        <v/>
      </c>
      <c r="CF118">
        <f>IF(ISNA(CB118),NA(),Capability!$L$5)</f>
        <v/>
      </c>
      <c r="CG118">
        <f>IF(OR(ISNA(CC118),ISNA(CC117)),NA(),ABS(CC118-CC117))</f>
        <v/>
      </c>
      <c r="CH118">
        <f>IF(ISNA(CB118),NA(),Capability!$N$5)</f>
        <v/>
      </c>
      <c r="CI118">
        <f>IF(ISNA(CB118),NA(),IF(OR(Capability!$Q$5="",Settings!$F$7&lt;&gt;"Y"),NA(),Capability!$Q$5))</f>
        <v/>
      </c>
      <c r="CJ118">
        <f>IF(ISNA(CB118),NA(),IF(OR(Capability!$P$5="",Settings!$F$7&lt;&gt;"Y"),NA(),Capability!$P$5))</f>
        <v/>
      </c>
      <c r="CP118">
        <f>IF((CS$1+114)&gt;CQ$1,NA(),(CS$1+114)-4)</f>
        <v/>
      </c>
      <c r="CQ118">
        <f>IF((CS$1+114)&gt;CQ$1,NA(),INDEX('Data Entry'!$I$5:$I$10004,(CS$1+114)-4))</f>
        <v/>
      </c>
      <c r="CR118">
        <f>IF(ISNA(CP118),NA(),Capability!$K$6)</f>
        <v/>
      </c>
      <c r="CS118">
        <f>IF(ISNA(CP118),NA(),Capability!$J$6)</f>
        <v/>
      </c>
      <c r="CT118">
        <f>IF(ISNA(CP118),NA(),Capability!$L$6)</f>
        <v/>
      </c>
      <c r="CU118">
        <f>IF(OR(ISNA(CQ118),ISNA(CQ117)),NA(),ABS(CQ118-CQ117))</f>
        <v/>
      </c>
      <c r="CV118">
        <f>IF(ISNA(CP118),NA(),Capability!$N$6)</f>
        <v/>
      </c>
      <c r="CW118">
        <f>IF(ISNA(CP118),NA(),IF(OR(Capability!$Q$6="",Settings!$F$7&lt;&gt;"Y"),NA(),Capability!$Q$6))</f>
        <v/>
      </c>
      <c r="CX118">
        <f>IF(ISNA(CP118),NA(),IF(OR(Capability!$P$6="",Settings!$F$7&lt;&gt;"Y"),NA(),Capability!$P$6))</f>
        <v/>
      </c>
      <c r="DD118">
        <f>IF((DG$1+114)&gt;DE$1,NA(),(DG$1+114)-4)</f>
        <v/>
      </c>
      <c r="DE118">
        <f>IF((DG$1+114)&gt;DE$1,NA(),INDEX('Data Entry'!$J$5:$J$10004,(DG$1+114)-4))</f>
        <v/>
      </c>
      <c r="DF118">
        <f>IF(ISNA(DD118),NA(),Capability!$K$7)</f>
        <v/>
      </c>
      <c r="DG118">
        <f>IF(ISNA(DD118),NA(),Capability!$J$7)</f>
        <v/>
      </c>
      <c r="DH118">
        <f>IF(ISNA(DD118),NA(),Capability!$L$7)</f>
        <v/>
      </c>
      <c r="DI118">
        <f>IF(OR(ISNA(DE118),ISNA(DE117)),NA(),ABS(DE118-DE117))</f>
        <v/>
      </c>
      <c r="DJ118">
        <f>IF(ISNA(DD118),NA(),Capability!$N$7)</f>
        <v/>
      </c>
      <c r="DK118">
        <f>IF(ISNA(DD118),NA(),IF(OR(Capability!$Q$7="",Settings!$F$7&lt;&gt;"Y"),NA(),Capability!$Q$7))</f>
        <v/>
      </c>
      <c r="DL118">
        <f>IF(ISNA(DD118),NA(),IF(OR(Capability!$P$7="",Settings!$F$7&lt;&gt;"Y"),NA(),Capability!$P$7))</f>
        <v/>
      </c>
      <c r="DR118">
        <f>IF((DU$1+114)&gt;DS$1,NA(),(DU$1+114)-4)</f>
        <v/>
      </c>
      <c r="DS118">
        <f>IF((DU$1+114)&gt;DS$1,NA(),INDEX('Data Entry'!$K$5:$K$10004,(DU$1+114)-4))</f>
        <v/>
      </c>
      <c r="DT118">
        <f>IF(ISNA(DR118),NA(),Capability!$K$8)</f>
        <v/>
      </c>
      <c r="DU118">
        <f>IF(ISNA(DR118),NA(),Capability!$J$8)</f>
        <v/>
      </c>
      <c r="DV118">
        <f>IF(ISNA(DR118),NA(),Capability!$L$8)</f>
        <v/>
      </c>
      <c r="DW118">
        <f>IF(OR(ISNA(DS118),ISNA(DS117)),NA(),ABS(DS118-DS117))</f>
        <v/>
      </c>
      <c r="DX118">
        <f>IF(ISNA(DR118),NA(),Capability!$N$8)</f>
        <v/>
      </c>
      <c r="DY118">
        <f>IF(ISNA(DR118),NA(),IF(OR(Capability!$Q$8="",Settings!$F$7&lt;&gt;"Y"),NA(),Capability!$Q$8))</f>
        <v/>
      </c>
      <c r="DZ118">
        <f>IF(ISNA(DR118),NA(),IF(OR(Capability!$P$8="",Settings!$F$7&lt;&gt;"Y"),NA(),Capability!$P$8))</f>
        <v/>
      </c>
      <c r="EF118">
        <f>IF((EI$1+114)&gt;EG$1,NA(),(EI$1+114)-4)</f>
        <v/>
      </c>
      <c r="EG118">
        <f>IF((EI$1+114)&gt;EG$1,NA(),INDEX('Data Entry'!$L$5:$L$10004,(EI$1+114)-4))</f>
        <v/>
      </c>
      <c r="EH118">
        <f>IF(ISNA(EF118),NA(),Capability!$K$9)</f>
        <v/>
      </c>
      <c r="EI118">
        <f>IF(ISNA(EF118),NA(),Capability!$J$9)</f>
        <v/>
      </c>
      <c r="EJ118">
        <f>IF(ISNA(EF118),NA(),Capability!$L$9)</f>
        <v/>
      </c>
      <c r="EK118">
        <f>IF(OR(ISNA(EG118),ISNA(EG117)),NA(),ABS(EG118-EG117))</f>
        <v/>
      </c>
      <c r="EL118">
        <f>IF(ISNA(EF118),NA(),Capability!$N$9)</f>
        <v/>
      </c>
      <c r="EM118">
        <f>IF(ISNA(EF118),NA(),IF(OR(Capability!$Q$9="",Settings!$F$7&lt;&gt;"Y"),NA(),Capability!$Q$9))</f>
        <v/>
      </c>
      <c r="EN118">
        <f>IF(ISNA(EF118),NA(),IF(OR(Capability!$P$9="",Settings!$F$7&lt;&gt;"Y"),NA(),Capability!$P$9))</f>
        <v/>
      </c>
      <c r="ET118">
        <f>IF((EW$1+114)&gt;EU$1,NA(),(EW$1+114)-4)</f>
        <v/>
      </c>
      <c r="EU118">
        <f>IF((EW$1+114)&gt;EU$1,NA(),INDEX('Data Entry'!$M$5:$M$10004,(EW$1+114)-4))</f>
        <v/>
      </c>
      <c r="EV118">
        <f>IF(ISNA(ET118),NA(),Capability!$K$10)</f>
        <v/>
      </c>
      <c r="EW118">
        <f>IF(ISNA(ET118),NA(),Capability!$J$10)</f>
        <v/>
      </c>
      <c r="EX118">
        <f>IF(ISNA(ET118),NA(),Capability!$L$10)</f>
        <v/>
      </c>
      <c r="EY118">
        <f>IF(OR(ISNA(EU118),ISNA(EU117)),NA(),ABS(EU118-EU117))</f>
        <v/>
      </c>
      <c r="EZ118">
        <f>IF(ISNA(ET118),NA(),Capability!$N$10)</f>
        <v/>
      </c>
      <c r="FA118">
        <f>IF(ISNA(ET118),NA(),IF(OR(Capability!$Q$10="",Settings!$F$7&lt;&gt;"Y"),NA(),Capability!$Q$10))</f>
        <v/>
      </c>
      <c r="FB118">
        <f>IF(ISNA(ET118),NA(),IF(OR(Capability!$P$10="",Settings!$F$7&lt;&gt;"Y"),NA(),Capability!$P$10))</f>
        <v/>
      </c>
      <c r="FH118">
        <f>IF((FK$1+114)&gt;FI$1,NA(),(FK$1+114)-4)</f>
        <v/>
      </c>
      <c r="FI118">
        <f>IF((FK$1+114)&gt;FI$1,NA(),INDEX('Data Entry'!$N$5:$N$10004,(FK$1+114)-4))</f>
        <v/>
      </c>
      <c r="FJ118">
        <f>IF(ISNA(FH118),NA(),Capability!$K$11)</f>
        <v/>
      </c>
      <c r="FK118">
        <f>IF(ISNA(FH118),NA(),Capability!$J$11)</f>
        <v/>
      </c>
      <c r="FL118">
        <f>IF(ISNA(FH118),NA(),Capability!$L$11)</f>
        <v/>
      </c>
      <c r="FM118">
        <f>IF(OR(ISNA(FI118),ISNA(FI117)),NA(),ABS(FI118-FI117))</f>
        <v/>
      </c>
      <c r="FN118">
        <f>IF(ISNA(FH118),NA(),Capability!$N$11)</f>
        <v/>
      </c>
      <c r="FO118">
        <f>IF(ISNA(FH118),NA(),IF(OR(Capability!$Q$11="",Settings!$F$7&lt;&gt;"Y"),NA(),Capability!$Q$11))</f>
        <v/>
      </c>
      <c r="FP118">
        <f>IF(ISNA(FH118),NA(),IF(OR(Capability!$P$11="",Settings!$F$7&lt;&gt;"Y"),NA(),Capability!$P$11))</f>
        <v/>
      </c>
      <c r="FV118">
        <f>IF((FY$1+114)&gt;FW$1,NA(),(FY$1+114)-4)</f>
        <v/>
      </c>
      <c r="FW118">
        <f>IF((FY$1+114)&gt;FW$1,NA(),INDEX('Data Entry'!$O$5:$O$10004,(FY$1+114)-4))</f>
        <v/>
      </c>
      <c r="FX118">
        <f>IF(ISNA(FV118),NA(),Capability!$K$12)</f>
        <v/>
      </c>
      <c r="FY118">
        <f>IF(ISNA(FV118),NA(),Capability!$J$12)</f>
        <v/>
      </c>
      <c r="FZ118">
        <f>IF(ISNA(FV118),NA(),Capability!$L$12)</f>
        <v/>
      </c>
      <c r="GA118">
        <f>IF(OR(ISNA(FW118),ISNA(FW117)),NA(),ABS(FW118-FW117))</f>
        <v/>
      </c>
      <c r="GB118">
        <f>IF(ISNA(FV118),NA(),Capability!$N$12)</f>
        <v/>
      </c>
      <c r="GC118">
        <f>IF(ISNA(FV118),NA(),IF(OR(Capability!$Q$12="",Settings!$F$7&lt;&gt;"Y"),NA(),Capability!$Q$12))</f>
        <v/>
      </c>
      <c r="GD118">
        <f>IF(ISNA(FV118),NA(),IF(OR(Capability!$P$12="",Settings!$F$7&lt;&gt;"Y"),NA(),Capability!$P$12))</f>
        <v/>
      </c>
      <c r="GJ118">
        <f>IF((GM$1+114)&gt;GK$1,NA(),(GM$1+114)-4)</f>
        <v/>
      </c>
      <c r="GK118">
        <f>IF((GM$1+114)&gt;GK$1,NA(),INDEX('Data Entry'!$P$5:$P$10004,(GM$1+114)-4))</f>
        <v/>
      </c>
      <c r="GL118">
        <f>IF(ISNA(GJ118),NA(),Capability!$K$13)</f>
        <v/>
      </c>
      <c r="GM118">
        <f>IF(ISNA(GJ118),NA(),Capability!$J$13)</f>
        <v/>
      </c>
      <c r="GN118">
        <f>IF(ISNA(GJ118),NA(),Capability!$L$13)</f>
        <v/>
      </c>
      <c r="GO118">
        <f>IF(OR(ISNA(GK118),ISNA(GK117)),NA(),ABS(GK118-GK117))</f>
        <v/>
      </c>
      <c r="GP118">
        <f>IF(ISNA(GJ118),NA(),Capability!$N$13)</f>
        <v/>
      </c>
      <c r="GQ118">
        <f>IF(ISNA(GJ118),NA(),IF(OR(Capability!$Q$13="",Settings!$F$7&lt;&gt;"Y"),NA(),Capability!$Q$13))</f>
        <v/>
      </c>
      <c r="GR118">
        <f>IF(ISNA(GJ118),NA(),IF(OR(Capability!$P$13="",Settings!$F$7&lt;&gt;"Y"),NA(),Capability!$P$13))</f>
        <v/>
      </c>
      <c r="GX118">
        <f>IF((HA$1+114)&gt;GY$1,NA(),(HA$1+114)-4)</f>
        <v/>
      </c>
      <c r="GY118">
        <f>IF((HA$1+114)&gt;GY$1,NA(),INDEX('Data Entry'!$Q$5:$Q$10004,(HA$1+114)-4))</f>
        <v/>
      </c>
      <c r="GZ118">
        <f>IF(ISNA(GX118),NA(),Capability!$K$14)</f>
        <v/>
      </c>
      <c r="HA118">
        <f>IF(ISNA(GX118),NA(),Capability!$J$14)</f>
        <v/>
      </c>
      <c r="HB118">
        <f>IF(ISNA(GX118),NA(),Capability!$L$14)</f>
        <v/>
      </c>
      <c r="HC118">
        <f>IF(OR(ISNA(GY118),ISNA(GY117)),NA(),ABS(GY118-GY117))</f>
        <v/>
      </c>
      <c r="HD118">
        <f>IF(ISNA(GX118),NA(),Capability!$N$14)</f>
        <v/>
      </c>
      <c r="HE118">
        <f>IF(ISNA(GX118),NA(),IF(OR(Capability!$Q$14="",Settings!$F$7&lt;&gt;"Y"),NA(),Capability!$Q$14))</f>
        <v/>
      </c>
      <c r="HF118">
        <f>IF(ISNA(GX118),NA(),IF(OR(Capability!$P$14="",Settings!$F$7&lt;&gt;"Y"),NA(),Capability!$P$14))</f>
        <v/>
      </c>
    </row>
    <row r="119">
      <c r="CB119">
        <f>IF((CE$1+115)&gt;CC$1,NA(),(CE$1+115)-4)</f>
        <v/>
      </c>
      <c r="CC119">
        <f>IF((CE$1+115)&gt;CC$1,NA(),INDEX('Data Entry'!$H$5:$H$10004,(CE$1+115)-4))</f>
        <v/>
      </c>
      <c r="CD119">
        <f>IF(ISNA(CB119),NA(),Capability!$K$5)</f>
        <v/>
      </c>
      <c r="CE119">
        <f>IF(ISNA(CB119),NA(),Capability!$J$5)</f>
        <v/>
      </c>
      <c r="CF119">
        <f>IF(ISNA(CB119),NA(),Capability!$L$5)</f>
        <v/>
      </c>
      <c r="CG119">
        <f>IF(OR(ISNA(CC119),ISNA(CC118)),NA(),ABS(CC119-CC118))</f>
        <v/>
      </c>
      <c r="CH119">
        <f>IF(ISNA(CB119),NA(),Capability!$N$5)</f>
        <v/>
      </c>
      <c r="CI119">
        <f>IF(ISNA(CB119),NA(),IF(OR(Capability!$Q$5="",Settings!$F$7&lt;&gt;"Y"),NA(),Capability!$Q$5))</f>
        <v/>
      </c>
      <c r="CJ119">
        <f>IF(ISNA(CB119),NA(),IF(OR(Capability!$P$5="",Settings!$F$7&lt;&gt;"Y"),NA(),Capability!$P$5))</f>
        <v/>
      </c>
      <c r="CP119">
        <f>IF((CS$1+115)&gt;CQ$1,NA(),(CS$1+115)-4)</f>
        <v/>
      </c>
      <c r="CQ119">
        <f>IF((CS$1+115)&gt;CQ$1,NA(),INDEX('Data Entry'!$I$5:$I$10004,(CS$1+115)-4))</f>
        <v/>
      </c>
      <c r="CR119">
        <f>IF(ISNA(CP119),NA(),Capability!$K$6)</f>
        <v/>
      </c>
      <c r="CS119">
        <f>IF(ISNA(CP119),NA(),Capability!$J$6)</f>
        <v/>
      </c>
      <c r="CT119">
        <f>IF(ISNA(CP119),NA(),Capability!$L$6)</f>
        <v/>
      </c>
      <c r="CU119">
        <f>IF(OR(ISNA(CQ119),ISNA(CQ118)),NA(),ABS(CQ119-CQ118))</f>
        <v/>
      </c>
      <c r="CV119">
        <f>IF(ISNA(CP119),NA(),Capability!$N$6)</f>
        <v/>
      </c>
      <c r="CW119">
        <f>IF(ISNA(CP119),NA(),IF(OR(Capability!$Q$6="",Settings!$F$7&lt;&gt;"Y"),NA(),Capability!$Q$6))</f>
        <v/>
      </c>
      <c r="CX119">
        <f>IF(ISNA(CP119),NA(),IF(OR(Capability!$P$6="",Settings!$F$7&lt;&gt;"Y"),NA(),Capability!$P$6))</f>
        <v/>
      </c>
      <c r="DD119">
        <f>IF((DG$1+115)&gt;DE$1,NA(),(DG$1+115)-4)</f>
        <v/>
      </c>
      <c r="DE119">
        <f>IF((DG$1+115)&gt;DE$1,NA(),INDEX('Data Entry'!$J$5:$J$10004,(DG$1+115)-4))</f>
        <v/>
      </c>
      <c r="DF119">
        <f>IF(ISNA(DD119),NA(),Capability!$K$7)</f>
        <v/>
      </c>
      <c r="DG119">
        <f>IF(ISNA(DD119),NA(),Capability!$J$7)</f>
        <v/>
      </c>
      <c r="DH119">
        <f>IF(ISNA(DD119),NA(),Capability!$L$7)</f>
        <v/>
      </c>
      <c r="DI119">
        <f>IF(OR(ISNA(DE119),ISNA(DE118)),NA(),ABS(DE119-DE118))</f>
        <v/>
      </c>
      <c r="DJ119">
        <f>IF(ISNA(DD119),NA(),Capability!$N$7)</f>
        <v/>
      </c>
      <c r="DK119">
        <f>IF(ISNA(DD119),NA(),IF(OR(Capability!$Q$7="",Settings!$F$7&lt;&gt;"Y"),NA(),Capability!$Q$7))</f>
        <v/>
      </c>
      <c r="DL119">
        <f>IF(ISNA(DD119),NA(),IF(OR(Capability!$P$7="",Settings!$F$7&lt;&gt;"Y"),NA(),Capability!$P$7))</f>
        <v/>
      </c>
      <c r="DR119">
        <f>IF((DU$1+115)&gt;DS$1,NA(),(DU$1+115)-4)</f>
        <v/>
      </c>
      <c r="DS119">
        <f>IF((DU$1+115)&gt;DS$1,NA(),INDEX('Data Entry'!$K$5:$K$10004,(DU$1+115)-4))</f>
        <v/>
      </c>
      <c r="DT119">
        <f>IF(ISNA(DR119),NA(),Capability!$K$8)</f>
        <v/>
      </c>
      <c r="DU119">
        <f>IF(ISNA(DR119),NA(),Capability!$J$8)</f>
        <v/>
      </c>
      <c r="DV119">
        <f>IF(ISNA(DR119),NA(),Capability!$L$8)</f>
        <v/>
      </c>
      <c r="DW119">
        <f>IF(OR(ISNA(DS119),ISNA(DS118)),NA(),ABS(DS119-DS118))</f>
        <v/>
      </c>
      <c r="DX119">
        <f>IF(ISNA(DR119),NA(),Capability!$N$8)</f>
        <v/>
      </c>
      <c r="DY119">
        <f>IF(ISNA(DR119),NA(),IF(OR(Capability!$Q$8="",Settings!$F$7&lt;&gt;"Y"),NA(),Capability!$Q$8))</f>
        <v/>
      </c>
      <c r="DZ119">
        <f>IF(ISNA(DR119),NA(),IF(OR(Capability!$P$8="",Settings!$F$7&lt;&gt;"Y"),NA(),Capability!$P$8))</f>
        <v/>
      </c>
      <c r="EF119">
        <f>IF((EI$1+115)&gt;EG$1,NA(),(EI$1+115)-4)</f>
        <v/>
      </c>
      <c r="EG119">
        <f>IF((EI$1+115)&gt;EG$1,NA(),INDEX('Data Entry'!$L$5:$L$10004,(EI$1+115)-4))</f>
        <v/>
      </c>
      <c r="EH119">
        <f>IF(ISNA(EF119),NA(),Capability!$K$9)</f>
        <v/>
      </c>
      <c r="EI119">
        <f>IF(ISNA(EF119),NA(),Capability!$J$9)</f>
        <v/>
      </c>
      <c r="EJ119">
        <f>IF(ISNA(EF119),NA(),Capability!$L$9)</f>
        <v/>
      </c>
      <c r="EK119">
        <f>IF(OR(ISNA(EG119),ISNA(EG118)),NA(),ABS(EG119-EG118))</f>
        <v/>
      </c>
      <c r="EL119">
        <f>IF(ISNA(EF119),NA(),Capability!$N$9)</f>
        <v/>
      </c>
      <c r="EM119">
        <f>IF(ISNA(EF119),NA(),IF(OR(Capability!$Q$9="",Settings!$F$7&lt;&gt;"Y"),NA(),Capability!$Q$9))</f>
        <v/>
      </c>
      <c r="EN119">
        <f>IF(ISNA(EF119),NA(),IF(OR(Capability!$P$9="",Settings!$F$7&lt;&gt;"Y"),NA(),Capability!$P$9))</f>
        <v/>
      </c>
      <c r="ET119">
        <f>IF((EW$1+115)&gt;EU$1,NA(),(EW$1+115)-4)</f>
        <v/>
      </c>
      <c r="EU119">
        <f>IF((EW$1+115)&gt;EU$1,NA(),INDEX('Data Entry'!$M$5:$M$10004,(EW$1+115)-4))</f>
        <v/>
      </c>
      <c r="EV119">
        <f>IF(ISNA(ET119),NA(),Capability!$K$10)</f>
        <v/>
      </c>
      <c r="EW119">
        <f>IF(ISNA(ET119),NA(),Capability!$J$10)</f>
        <v/>
      </c>
      <c r="EX119">
        <f>IF(ISNA(ET119),NA(),Capability!$L$10)</f>
        <v/>
      </c>
      <c r="EY119">
        <f>IF(OR(ISNA(EU119),ISNA(EU118)),NA(),ABS(EU119-EU118))</f>
        <v/>
      </c>
      <c r="EZ119">
        <f>IF(ISNA(ET119),NA(),Capability!$N$10)</f>
        <v/>
      </c>
      <c r="FA119">
        <f>IF(ISNA(ET119),NA(),IF(OR(Capability!$Q$10="",Settings!$F$7&lt;&gt;"Y"),NA(),Capability!$Q$10))</f>
        <v/>
      </c>
      <c r="FB119">
        <f>IF(ISNA(ET119),NA(),IF(OR(Capability!$P$10="",Settings!$F$7&lt;&gt;"Y"),NA(),Capability!$P$10))</f>
        <v/>
      </c>
      <c r="FH119">
        <f>IF((FK$1+115)&gt;FI$1,NA(),(FK$1+115)-4)</f>
        <v/>
      </c>
      <c r="FI119">
        <f>IF((FK$1+115)&gt;FI$1,NA(),INDEX('Data Entry'!$N$5:$N$10004,(FK$1+115)-4))</f>
        <v/>
      </c>
      <c r="FJ119">
        <f>IF(ISNA(FH119),NA(),Capability!$K$11)</f>
        <v/>
      </c>
      <c r="FK119">
        <f>IF(ISNA(FH119),NA(),Capability!$J$11)</f>
        <v/>
      </c>
      <c r="FL119">
        <f>IF(ISNA(FH119),NA(),Capability!$L$11)</f>
        <v/>
      </c>
      <c r="FM119">
        <f>IF(OR(ISNA(FI119),ISNA(FI118)),NA(),ABS(FI119-FI118))</f>
        <v/>
      </c>
      <c r="FN119">
        <f>IF(ISNA(FH119),NA(),Capability!$N$11)</f>
        <v/>
      </c>
      <c r="FO119">
        <f>IF(ISNA(FH119),NA(),IF(OR(Capability!$Q$11="",Settings!$F$7&lt;&gt;"Y"),NA(),Capability!$Q$11))</f>
        <v/>
      </c>
      <c r="FP119">
        <f>IF(ISNA(FH119),NA(),IF(OR(Capability!$P$11="",Settings!$F$7&lt;&gt;"Y"),NA(),Capability!$P$11))</f>
        <v/>
      </c>
      <c r="FV119">
        <f>IF((FY$1+115)&gt;FW$1,NA(),(FY$1+115)-4)</f>
        <v/>
      </c>
      <c r="FW119">
        <f>IF((FY$1+115)&gt;FW$1,NA(),INDEX('Data Entry'!$O$5:$O$10004,(FY$1+115)-4))</f>
        <v/>
      </c>
      <c r="FX119">
        <f>IF(ISNA(FV119),NA(),Capability!$K$12)</f>
        <v/>
      </c>
      <c r="FY119">
        <f>IF(ISNA(FV119),NA(),Capability!$J$12)</f>
        <v/>
      </c>
      <c r="FZ119">
        <f>IF(ISNA(FV119),NA(),Capability!$L$12)</f>
        <v/>
      </c>
      <c r="GA119">
        <f>IF(OR(ISNA(FW119),ISNA(FW118)),NA(),ABS(FW119-FW118))</f>
        <v/>
      </c>
      <c r="GB119">
        <f>IF(ISNA(FV119),NA(),Capability!$N$12)</f>
        <v/>
      </c>
      <c r="GC119">
        <f>IF(ISNA(FV119),NA(),IF(OR(Capability!$Q$12="",Settings!$F$7&lt;&gt;"Y"),NA(),Capability!$Q$12))</f>
        <v/>
      </c>
      <c r="GD119">
        <f>IF(ISNA(FV119),NA(),IF(OR(Capability!$P$12="",Settings!$F$7&lt;&gt;"Y"),NA(),Capability!$P$12))</f>
        <v/>
      </c>
      <c r="GJ119">
        <f>IF((GM$1+115)&gt;GK$1,NA(),(GM$1+115)-4)</f>
        <v/>
      </c>
      <c r="GK119">
        <f>IF((GM$1+115)&gt;GK$1,NA(),INDEX('Data Entry'!$P$5:$P$10004,(GM$1+115)-4))</f>
        <v/>
      </c>
      <c r="GL119">
        <f>IF(ISNA(GJ119),NA(),Capability!$K$13)</f>
        <v/>
      </c>
      <c r="GM119">
        <f>IF(ISNA(GJ119),NA(),Capability!$J$13)</f>
        <v/>
      </c>
      <c r="GN119">
        <f>IF(ISNA(GJ119),NA(),Capability!$L$13)</f>
        <v/>
      </c>
      <c r="GO119">
        <f>IF(OR(ISNA(GK119),ISNA(GK118)),NA(),ABS(GK119-GK118))</f>
        <v/>
      </c>
      <c r="GP119">
        <f>IF(ISNA(GJ119),NA(),Capability!$N$13)</f>
        <v/>
      </c>
      <c r="GQ119">
        <f>IF(ISNA(GJ119),NA(),IF(OR(Capability!$Q$13="",Settings!$F$7&lt;&gt;"Y"),NA(),Capability!$Q$13))</f>
        <v/>
      </c>
      <c r="GR119">
        <f>IF(ISNA(GJ119),NA(),IF(OR(Capability!$P$13="",Settings!$F$7&lt;&gt;"Y"),NA(),Capability!$P$13))</f>
        <v/>
      </c>
      <c r="GX119">
        <f>IF((HA$1+115)&gt;GY$1,NA(),(HA$1+115)-4)</f>
        <v/>
      </c>
      <c r="GY119">
        <f>IF((HA$1+115)&gt;GY$1,NA(),INDEX('Data Entry'!$Q$5:$Q$10004,(HA$1+115)-4))</f>
        <v/>
      </c>
      <c r="GZ119">
        <f>IF(ISNA(GX119),NA(),Capability!$K$14)</f>
        <v/>
      </c>
      <c r="HA119">
        <f>IF(ISNA(GX119),NA(),Capability!$J$14)</f>
        <v/>
      </c>
      <c r="HB119">
        <f>IF(ISNA(GX119),NA(),Capability!$L$14)</f>
        <v/>
      </c>
      <c r="HC119">
        <f>IF(OR(ISNA(GY119),ISNA(GY118)),NA(),ABS(GY119-GY118))</f>
        <v/>
      </c>
      <c r="HD119">
        <f>IF(ISNA(GX119),NA(),Capability!$N$14)</f>
        <v/>
      </c>
      <c r="HE119">
        <f>IF(ISNA(GX119),NA(),IF(OR(Capability!$Q$14="",Settings!$F$7&lt;&gt;"Y"),NA(),Capability!$Q$14))</f>
        <v/>
      </c>
      <c r="HF119">
        <f>IF(ISNA(GX119),NA(),IF(OR(Capability!$P$14="",Settings!$F$7&lt;&gt;"Y"),NA(),Capability!$P$14))</f>
        <v/>
      </c>
    </row>
    <row r="120">
      <c r="CB120">
        <f>IF((CE$1+116)&gt;CC$1,NA(),(CE$1+116)-4)</f>
        <v/>
      </c>
      <c r="CC120">
        <f>IF((CE$1+116)&gt;CC$1,NA(),INDEX('Data Entry'!$H$5:$H$10004,(CE$1+116)-4))</f>
        <v/>
      </c>
      <c r="CD120">
        <f>IF(ISNA(CB120),NA(),Capability!$K$5)</f>
        <v/>
      </c>
      <c r="CE120">
        <f>IF(ISNA(CB120),NA(),Capability!$J$5)</f>
        <v/>
      </c>
      <c r="CF120">
        <f>IF(ISNA(CB120),NA(),Capability!$L$5)</f>
        <v/>
      </c>
      <c r="CG120">
        <f>IF(OR(ISNA(CC120),ISNA(CC119)),NA(),ABS(CC120-CC119))</f>
        <v/>
      </c>
      <c r="CH120">
        <f>IF(ISNA(CB120),NA(),Capability!$N$5)</f>
        <v/>
      </c>
      <c r="CI120">
        <f>IF(ISNA(CB120),NA(),IF(OR(Capability!$Q$5="",Settings!$F$7&lt;&gt;"Y"),NA(),Capability!$Q$5))</f>
        <v/>
      </c>
      <c r="CJ120">
        <f>IF(ISNA(CB120),NA(),IF(OR(Capability!$P$5="",Settings!$F$7&lt;&gt;"Y"),NA(),Capability!$P$5))</f>
        <v/>
      </c>
      <c r="CP120">
        <f>IF((CS$1+116)&gt;CQ$1,NA(),(CS$1+116)-4)</f>
        <v/>
      </c>
      <c r="CQ120">
        <f>IF((CS$1+116)&gt;CQ$1,NA(),INDEX('Data Entry'!$I$5:$I$10004,(CS$1+116)-4))</f>
        <v/>
      </c>
      <c r="CR120">
        <f>IF(ISNA(CP120),NA(),Capability!$K$6)</f>
        <v/>
      </c>
      <c r="CS120">
        <f>IF(ISNA(CP120),NA(),Capability!$J$6)</f>
        <v/>
      </c>
      <c r="CT120">
        <f>IF(ISNA(CP120),NA(),Capability!$L$6)</f>
        <v/>
      </c>
      <c r="CU120">
        <f>IF(OR(ISNA(CQ120),ISNA(CQ119)),NA(),ABS(CQ120-CQ119))</f>
        <v/>
      </c>
      <c r="CV120">
        <f>IF(ISNA(CP120),NA(),Capability!$N$6)</f>
        <v/>
      </c>
      <c r="CW120">
        <f>IF(ISNA(CP120),NA(),IF(OR(Capability!$Q$6="",Settings!$F$7&lt;&gt;"Y"),NA(),Capability!$Q$6))</f>
        <v/>
      </c>
      <c r="CX120">
        <f>IF(ISNA(CP120),NA(),IF(OR(Capability!$P$6="",Settings!$F$7&lt;&gt;"Y"),NA(),Capability!$P$6))</f>
        <v/>
      </c>
      <c r="DD120">
        <f>IF((DG$1+116)&gt;DE$1,NA(),(DG$1+116)-4)</f>
        <v/>
      </c>
      <c r="DE120">
        <f>IF((DG$1+116)&gt;DE$1,NA(),INDEX('Data Entry'!$J$5:$J$10004,(DG$1+116)-4))</f>
        <v/>
      </c>
      <c r="DF120">
        <f>IF(ISNA(DD120),NA(),Capability!$K$7)</f>
        <v/>
      </c>
      <c r="DG120">
        <f>IF(ISNA(DD120),NA(),Capability!$J$7)</f>
        <v/>
      </c>
      <c r="DH120">
        <f>IF(ISNA(DD120),NA(),Capability!$L$7)</f>
        <v/>
      </c>
      <c r="DI120">
        <f>IF(OR(ISNA(DE120),ISNA(DE119)),NA(),ABS(DE120-DE119))</f>
        <v/>
      </c>
      <c r="DJ120">
        <f>IF(ISNA(DD120),NA(),Capability!$N$7)</f>
        <v/>
      </c>
      <c r="DK120">
        <f>IF(ISNA(DD120),NA(),IF(OR(Capability!$Q$7="",Settings!$F$7&lt;&gt;"Y"),NA(),Capability!$Q$7))</f>
        <v/>
      </c>
      <c r="DL120">
        <f>IF(ISNA(DD120),NA(),IF(OR(Capability!$P$7="",Settings!$F$7&lt;&gt;"Y"),NA(),Capability!$P$7))</f>
        <v/>
      </c>
      <c r="DR120">
        <f>IF((DU$1+116)&gt;DS$1,NA(),(DU$1+116)-4)</f>
        <v/>
      </c>
      <c r="DS120">
        <f>IF((DU$1+116)&gt;DS$1,NA(),INDEX('Data Entry'!$K$5:$K$10004,(DU$1+116)-4))</f>
        <v/>
      </c>
      <c r="DT120">
        <f>IF(ISNA(DR120),NA(),Capability!$K$8)</f>
        <v/>
      </c>
      <c r="DU120">
        <f>IF(ISNA(DR120),NA(),Capability!$J$8)</f>
        <v/>
      </c>
      <c r="DV120">
        <f>IF(ISNA(DR120),NA(),Capability!$L$8)</f>
        <v/>
      </c>
      <c r="DW120">
        <f>IF(OR(ISNA(DS120),ISNA(DS119)),NA(),ABS(DS120-DS119))</f>
        <v/>
      </c>
      <c r="DX120">
        <f>IF(ISNA(DR120),NA(),Capability!$N$8)</f>
        <v/>
      </c>
      <c r="DY120">
        <f>IF(ISNA(DR120),NA(),IF(OR(Capability!$Q$8="",Settings!$F$7&lt;&gt;"Y"),NA(),Capability!$Q$8))</f>
        <v/>
      </c>
      <c r="DZ120">
        <f>IF(ISNA(DR120),NA(),IF(OR(Capability!$P$8="",Settings!$F$7&lt;&gt;"Y"),NA(),Capability!$P$8))</f>
        <v/>
      </c>
      <c r="EF120">
        <f>IF((EI$1+116)&gt;EG$1,NA(),(EI$1+116)-4)</f>
        <v/>
      </c>
      <c r="EG120">
        <f>IF((EI$1+116)&gt;EG$1,NA(),INDEX('Data Entry'!$L$5:$L$10004,(EI$1+116)-4))</f>
        <v/>
      </c>
      <c r="EH120">
        <f>IF(ISNA(EF120),NA(),Capability!$K$9)</f>
        <v/>
      </c>
      <c r="EI120">
        <f>IF(ISNA(EF120),NA(),Capability!$J$9)</f>
        <v/>
      </c>
      <c r="EJ120">
        <f>IF(ISNA(EF120),NA(),Capability!$L$9)</f>
        <v/>
      </c>
      <c r="EK120">
        <f>IF(OR(ISNA(EG120),ISNA(EG119)),NA(),ABS(EG120-EG119))</f>
        <v/>
      </c>
      <c r="EL120">
        <f>IF(ISNA(EF120),NA(),Capability!$N$9)</f>
        <v/>
      </c>
      <c r="EM120">
        <f>IF(ISNA(EF120),NA(),IF(OR(Capability!$Q$9="",Settings!$F$7&lt;&gt;"Y"),NA(),Capability!$Q$9))</f>
        <v/>
      </c>
      <c r="EN120">
        <f>IF(ISNA(EF120),NA(),IF(OR(Capability!$P$9="",Settings!$F$7&lt;&gt;"Y"),NA(),Capability!$P$9))</f>
        <v/>
      </c>
      <c r="ET120">
        <f>IF((EW$1+116)&gt;EU$1,NA(),(EW$1+116)-4)</f>
        <v/>
      </c>
      <c r="EU120">
        <f>IF((EW$1+116)&gt;EU$1,NA(),INDEX('Data Entry'!$M$5:$M$10004,(EW$1+116)-4))</f>
        <v/>
      </c>
      <c r="EV120">
        <f>IF(ISNA(ET120),NA(),Capability!$K$10)</f>
        <v/>
      </c>
      <c r="EW120">
        <f>IF(ISNA(ET120),NA(),Capability!$J$10)</f>
        <v/>
      </c>
      <c r="EX120">
        <f>IF(ISNA(ET120),NA(),Capability!$L$10)</f>
        <v/>
      </c>
      <c r="EY120">
        <f>IF(OR(ISNA(EU120),ISNA(EU119)),NA(),ABS(EU120-EU119))</f>
        <v/>
      </c>
      <c r="EZ120">
        <f>IF(ISNA(ET120),NA(),Capability!$N$10)</f>
        <v/>
      </c>
      <c r="FA120">
        <f>IF(ISNA(ET120),NA(),IF(OR(Capability!$Q$10="",Settings!$F$7&lt;&gt;"Y"),NA(),Capability!$Q$10))</f>
        <v/>
      </c>
      <c r="FB120">
        <f>IF(ISNA(ET120),NA(),IF(OR(Capability!$P$10="",Settings!$F$7&lt;&gt;"Y"),NA(),Capability!$P$10))</f>
        <v/>
      </c>
      <c r="FH120">
        <f>IF((FK$1+116)&gt;FI$1,NA(),(FK$1+116)-4)</f>
        <v/>
      </c>
      <c r="FI120">
        <f>IF((FK$1+116)&gt;FI$1,NA(),INDEX('Data Entry'!$N$5:$N$10004,(FK$1+116)-4))</f>
        <v/>
      </c>
      <c r="FJ120">
        <f>IF(ISNA(FH120),NA(),Capability!$K$11)</f>
        <v/>
      </c>
      <c r="FK120">
        <f>IF(ISNA(FH120),NA(),Capability!$J$11)</f>
        <v/>
      </c>
      <c r="FL120">
        <f>IF(ISNA(FH120),NA(),Capability!$L$11)</f>
        <v/>
      </c>
      <c r="FM120">
        <f>IF(OR(ISNA(FI120),ISNA(FI119)),NA(),ABS(FI120-FI119))</f>
        <v/>
      </c>
      <c r="FN120">
        <f>IF(ISNA(FH120),NA(),Capability!$N$11)</f>
        <v/>
      </c>
      <c r="FO120">
        <f>IF(ISNA(FH120),NA(),IF(OR(Capability!$Q$11="",Settings!$F$7&lt;&gt;"Y"),NA(),Capability!$Q$11))</f>
        <v/>
      </c>
      <c r="FP120">
        <f>IF(ISNA(FH120),NA(),IF(OR(Capability!$P$11="",Settings!$F$7&lt;&gt;"Y"),NA(),Capability!$P$11))</f>
        <v/>
      </c>
      <c r="FV120">
        <f>IF((FY$1+116)&gt;FW$1,NA(),(FY$1+116)-4)</f>
        <v/>
      </c>
      <c r="FW120">
        <f>IF((FY$1+116)&gt;FW$1,NA(),INDEX('Data Entry'!$O$5:$O$10004,(FY$1+116)-4))</f>
        <v/>
      </c>
      <c r="FX120">
        <f>IF(ISNA(FV120),NA(),Capability!$K$12)</f>
        <v/>
      </c>
      <c r="FY120">
        <f>IF(ISNA(FV120),NA(),Capability!$J$12)</f>
        <v/>
      </c>
      <c r="FZ120">
        <f>IF(ISNA(FV120),NA(),Capability!$L$12)</f>
        <v/>
      </c>
      <c r="GA120">
        <f>IF(OR(ISNA(FW120),ISNA(FW119)),NA(),ABS(FW120-FW119))</f>
        <v/>
      </c>
      <c r="GB120">
        <f>IF(ISNA(FV120),NA(),Capability!$N$12)</f>
        <v/>
      </c>
      <c r="GC120">
        <f>IF(ISNA(FV120),NA(),IF(OR(Capability!$Q$12="",Settings!$F$7&lt;&gt;"Y"),NA(),Capability!$Q$12))</f>
        <v/>
      </c>
      <c r="GD120">
        <f>IF(ISNA(FV120),NA(),IF(OR(Capability!$P$12="",Settings!$F$7&lt;&gt;"Y"),NA(),Capability!$P$12))</f>
        <v/>
      </c>
      <c r="GJ120">
        <f>IF((GM$1+116)&gt;GK$1,NA(),(GM$1+116)-4)</f>
        <v/>
      </c>
      <c r="GK120">
        <f>IF((GM$1+116)&gt;GK$1,NA(),INDEX('Data Entry'!$P$5:$P$10004,(GM$1+116)-4))</f>
        <v/>
      </c>
      <c r="GL120">
        <f>IF(ISNA(GJ120),NA(),Capability!$K$13)</f>
        <v/>
      </c>
      <c r="GM120">
        <f>IF(ISNA(GJ120),NA(),Capability!$J$13)</f>
        <v/>
      </c>
      <c r="GN120">
        <f>IF(ISNA(GJ120),NA(),Capability!$L$13)</f>
        <v/>
      </c>
      <c r="GO120">
        <f>IF(OR(ISNA(GK120),ISNA(GK119)),NA(),ABS(GK120-GK119))</f>
        <v/>
      </c>
      <c r="GP120">
        <f>IF(ISNA(GJ120),NA(),Capability!$N$13)</f>
        <v/>
      </c>
      <c r="GQ120">
        <f>IF(ISNA(GJ120),NA(),IF(OR(Capability!$Q$13="",Settings!$F$7&lt;&gt;"Y"),NA(),Capability!$Q$13))</f>
        <v/>
      </c>
      <c r="GR120">
        <f>IF(ISNA(GJ120),NA(),IF(OR(Capability!$P$13="",Settings!$F$7&lt;&gt;"Y"),NA(),Capability!$P$13))</f>
        <v/>
      </c>
      <c r="GX120">
        <f>IF((HA$1+116)&gt;GY$1,NA(),(HA$1+116)-4)</f>
        <v/>
      </c>
      <c r="GY120">
        <f>IF((HA$1+116)&gt;GY$1,NA(),INDEX('Data Entry'!$Q$5:$Q$10004,(HA$1+116)-4))</f>
        <v/>
      </c>
      <c r="GZ120">
        <f>IF(ISNA(GX120),NA(),Capability!$K$14)</f>
        <v/>
      </c>
      <c r="HA120">
        <f>IF(ISNA(GX120),NA(),Capability!$J$14)</f>
        <v/>
      </c>
      <c r="HB120">
        <f>IF(ISNA(GX120),NA(),Capability!$L$14)</f>
        <v/>
      </c>
      <c r="HC120">
        <f>IF(OR(ISNA(GY120),ISNA(GY119)),NA(),ABS(GY120-GY119))</f>
        <v/>
      </c>
      <c r="HD120">
        <f>IF(ISNA(GX120),NA(),Capability!$N$14)</f>
        <v/>
      </c>
      <c r="HE120">
        <f>IF(ISNA(GX120),NA(),IF(OR(Capability!$Q$14="",Settings!$F$7&lt;&gt;"Y"),NA(),Capability!$Q$14))</f>
        <v/>
      </c>
      <c r="HF120">
        <f>IF(ISNA(GX120),NA(),IF(OR(Capability!$P$14="",Settings!$F$7&lt;&gt;"Y"),NA(),Capability!$P$14))</f>
        <v/>
      </c>
    </row>
    <row r="121">
      <c r="CB121">
        <f>IF((CE$1+117)&gt;CC$1,NA(),(CE$1+117)-4)</f>
        <v/>
      </c>
      <c r="CC121">
        <f>IF((CE$1+117)&gt;CC$1,NA(),INDEX('Data Entry'!$H$5:$H$10004,(CE$1+117)-4))</f>
        <v/>
      </c>
      <c r="CD121">
        <f>IF(ISNA(CB121),NA(),Capability!$K$5)</f>
        <v/>
      </c>
      <c r="CE121">
        <f>IF(ISNA(CB121),NA(),Capability!$J$5)</f>
        <v/>
      </c>
      <c r="CF121">
        <f>IF(ISNA(CB121),NA(),Capability!$L$5)</f>
        <v/>
      </c>
      <c r="CG121">
        <f>IF(OR(ISNA(CC121),ISNA(CC120)),NA(),ABS(CC121-CC120))</f>
        <v/>
      </c>
      <c r="CH121">
        <f>IF(ISNA(CB121),NA(),Capability!$N$5)</f>
        <v/>
      </c>
      <c r="CI121">
        <f>IF(ISNA(CB121),NA(),IF(OR(Capability!$Q$5="",Settings!$F$7&lt;&gt;"Y"),NA(),Capability!$Q$5))</f>
        <v/>
      </c>
      <c r="CJ121">
        <f>IF(ISNA(CB121),NA(),IF(OR(Capability!$P$5="",Settings!$F$7&lt;&gt;"Y"),NA(),Capability!$P$5))</f>
        <v/>
      </c>
      <c r="CP121">
        <f>IF((CS$1+117)&gt;CQ$1,NA(),(CS$1+117)-4)</f>
        <v/>
      </c>
      <c r="CQ121">
        <f>IF((CS$1+117)&gt;CQ$1,NA(),INDEX('Data Entry'!$I$5:$I$10004,(CS$1+117)-4))</f>
        <v/>
      </c>
      <c r="CR121">
        <f>IF(ISNA(CP121),NA(),Capability!$K$6)</f>
        <v/>
      </c>
      <c r="CS121">
        <f>IF(ISNA(CP121),NA(),Capability!$J$6)</f>
        <v/>
      </c>
      <c r="CT121">
        <f>IF(ISNA(CP121),NA(),Capability!$L$6)</f>
        <v/>
      </c>
      <c r="CU121">
        <f>IF(OR(ISNA(CQ121),ISNA(CQ120)),NA(),ABS(CQ121-CQ120))</f>
        <v/>
      </c>
      <c r="CV121">
        <f>IF(ISNA(CP121),NA(),Capability!$N$6)</f>
        <v/>
      </c>
      <c r="CW121">
        <f>IF(ISNA(CP121),NA(),IF(OR(Capability!$Q$6="",Settings!$F$7&lt;&gt;"Y"),NA(),Capability!$Q$6))</f>
        <v/>
      </c>
      <c r="CX121">
        <f>IF(ISNA(CP121),NA(),IF(OR(Capability!$P$6="",Settings!$F$7&lt;&gt;"Y"),NA(),Capability!$P$6))</f>
        <v/>
      </c>
      <c r="DD121">
        <f>IF((DG$1+117)&gt;DE$1,NA(),(DG$1+117)-4)</f>
        <v/>
      </c>
      <c r="DE121">
        <f>IF((DG$1+117)&gt;DE$1,NA(),INDEX('Data Entry'!$J$5:$J$10004,(DG$1+117)-4))</f>
        <v/>
      </c>
      <c r="DF121">
        <f>IF(ISNA(DD121),NA(),Capability!$K$7)</f>
        <v/>
      </c>
      <c r="DG121">
        <f>IF(ISNA(DD121),NA(),Capability!$J$7)</f>
        <v/>
      </c>
      <c r="DH121">
        <f>IF(ISNA(DD121),NA(),Capability!$L$7)</f>
        <v/>
      </c>
      <c r="DI121">
        <f>IF(OR(ISNA(DE121),ISNA(DE120)),NA(),ABS(DE121-DE120))</f>
        <v/>
      </c>
      <c r="DJ121">
        <f>IF(ISNA(DD121),NA(),Capability!$N$7)</f>
        <v/>
      </c>
      <c r="DK121">
        <f>IF(ISNA(DD121),NA(),IF(OR(Capability!$Q$7="",Settings!$F$7&lt;&gt;"Y"),NA(),Capability!$Q$7))</f>
        <v/>
      </c>
      <c r="DL121">
        <f>IF(ISNA(DD121),NA(),IF(OR(Capability!$P$7="",Settings!$F$7&lt;&gt;"Y"),NA(),Capability!$P$7))</f>
        <v/>
      </c>
      <c r="DR121">
        <f>IF((DU$1+117)&gt;DS$1,NA(),(DU$1+117)-4)</f>
        <v/>
      </c>
      <c r="DS121">
        <f>IF((DU$1+117)&gt;DS$1,NA(),INDEX('Data Entry'!$K$5:$K$10004,(DU$1+117)-4))</f>
        <v/>
      </c>
      <c r="DT121">
        <f>IF(ISNA(DR121),NA(),Capability!$K$8)</f>
        <v/>
      </c>
      <c r="DU121">
        <f>IF(ISNA(DR121),NA(),Capability!$J$8)</f>
        <v/>
      </c>
      <c r="DV121">
        <f>IF(ISNA(DR121),NA(),Capability!$L$8)</f>
        <v/>
      </c>
      <c r="DW121">
        <f>IF(OR(ISNA(DS121),ISNA(DS120)),NA(),ABS(DS121-DS120))</f>
        <v/>
      </c>
      <c r="DX121">
        <f>IF(ISNA(DR121),NA(),Capability!$N$8)</f>
        <v/>
      </c>
      <c r="DY121">
        <f>IF(ISNA(DR121),NA(),IF(OR(Capability!$Q$8="",Settings!$F$7&lt;&gt;"Y"),NA(),Capability!$Q$8))</f>
        <v/>
      </c>
      <c r="DZ121">
        <f>IF(ISNA(DR121),NA(),IF(OR(Capability!$P$8="",Settings!$F$7&lt;&gt;"Y"),NA(),Capability!$P$8))</f>
        <v/>
      </c>
      <c r="EF121">
        <f>IF((EI$1+117)&gt;EG$1,NA(),(EI$1+117)-4)</f>
        <v/>
      </c>
      <c r="EG121">
        <f>IF((EI$1+117)&gt;EG$1,NA(),INDEX('Data Entry'!$L$5:$L$10004,(EI$1+117)-4))</f>
        <v/>
      </c>
      <c r="EH121">
        <f>IF(ISNA(EF121),NA(),Capability!$K$9)</f>
        <v/>
      </c>
      <c r="EI121">
        <f>IF(ISNA(EF121),NA(),Capability!$J$9)</f>
        <v/>
      </c>
      <c r="EJ121">
        <f>IF(ISNA(EF121),NA(),Capability!$L$9)</f>
        <v/>
      </c>
      <c r="EK121">
        <f>IF(OR(ISNA(EG121),ISNA(EG120)),NA(),ABS(EG121-EG120))</f>
        <v/>
      </c>
      <c r="EL121">
        <f>IF(ISNA(EF121),NA(),Capability!$N$9)</f>
        <v/>
      </c>
      <c r="EM121">
        <f>IF(ISNA(EF121),NA(),IF(OR(Capability!$Q$9="",Settings!$F$7&lt;&gt;"Y"),NA(),Capability!$Q$9))</f>
        <v/>
      </c>
      <c r="EN121">
        <f>IF(ISNA(EF121),NA(),IF(OR(Capability!$P$9="",Settings!$F$7&lt;&gt;"Y"),NA(),Capability!$P$9))</f>
        <v/>
      </c>
      <c r="ET121">
        <f>IF((EW$1+117)&gt;EU$1,NA(),(EW$1+117)-4)</f>
        <v/>
      </c>
      <c r="EU121">
        <f>IF((EW$1+117)&gt;EU$1,NA(),INDEX('Data Entry'!$M$5:$M$10004,(EW$1+117)-4))</f>
        <v/>
      </c>
      <c r="EV121">
        <f>IF(ISNA(ET121),NA(),Capability!$K$10)</f>
        <v/>
      </c>
      <c r="EW121">
        <f>IF(ISNA(ET121),NA(),Capability!$J$10)</f>
        <v/>
      </c>
      <c r="EX121">
        <f>IF(ISNA(ET121),NA(),Capability!$L$10)</f>
        <v/>
      </c>
      <c r="EY121">
        <f>IF(OR(ISNA(EU121),ISNA(EU120)),NA(),ABS(EU121-EU120))</f>
        <v/>
      </c>
      <c r="EZ121">
        <f>IF(ISNA(ET121),NA(),Capability!$N$10)</f>
        <v/>
      </c>
      <c r="FA121">
        <f>IF(ISNA(ET121),NA(),IF(OR(Capability!$Q$10="",Settings!$F$7&lt;&gt;"Y"),NA(),Capability!$Q$10))</f>
        <v/>
      </c>
      <c r="FB121">
        <f>IF(ISNA(ET121),NA(),IF(OR(Capability!$P$10="",Settings!$F$7&lt;&gt;"Y"),NA(),Capability!$P$10))</f>
        <v/>
      </c>
      <c r="FH121">
        <f>IF((FK$1+117)&gt;FI$1,NA(),(FK$1+117)-4)</f>
        <v/>
      </c>
      <c r="FI121">
        <f>IF((FK$1+117)&gt;FI$1,NA(),INDEX('Data Entry'!$N$5:$N$10004,(FK$1+117)-4))</f>
        <v/>
      </c>
      <c r="FJ121">
        <f>IF(ISNA(FH121),NA(),Capability!$K$11)</f>
        <v/>
      </c>
      <c r="FK121">
        <f>IF(ISNA(FH121),NA(),Capability!$J$11)</f>
        <v/>
      </c>
      <c r="FL121">
        <f>IF(ISNA(FH121),NA(),Capability!$L$11)</f>
        <v/>
      </c>
      <c r="FM121">
        <f>IF(OR(ISNA(FI121),ISNA(FI120)),NA(),ABS(FI121-FI120))</f>
        <v/>
      </c>
      <c r="FN121">
        <f>IF(ISNA(FH121),NA(),Capability!$N$11)</f>
        <v/>
      </c>
      <c r="FO121">
        <f>IF(ISNA(FH121),NA(),IF(OR(Capability!$Q$11="",Settings!$F$7&lt;&gt;"Y"),NA(),Capability!$Q$11))</f>
        <v/>
      </c>
      <c r="FP121">
        <f>IF(ISNA(FH121),NA(),IF(OR(Capability!$P$11="",Settings!$F$7&lt;&gt;"Y"),NA(),Capability!$P$11))</f>
        <v/>
      </c>
      <c r="FV121">
        <f>IF((FY$1+117)&gt;FW$1,NA(),(FY$1+117)-4)</f>
        <v/>
      </c>
      <c r="FW121">
        <f>IF((FY$1+117)&gt;FW$1,NA(),INDEX('Data Entry'!$O$5:$O$10004,(FY$1+117)-4))</f>
        <v/>
      </c>
      <c r="FX121">
        <f>IF(ISNA(FV121),NA(),Capability!$K$12)</f>
        <v/>
      </c>
      <c r="FY121">
        <f>IF(ISNA(FV121),NA(),Capability!$J$12)</f>
        <v/>
      </c>
      <c r="FZ121">
        <f>IF(ISNA(FV121),NA(),Capability!$L$12)</f>
        <v/>
      </c>
      <c r="GA121">
        <f>IF(OR(ISNA(FW121),ISNA(FW120)),NA(),ABS(FW121-FW120))</f>
        <v/>
      </c>
      <c r="GB121">
        <f>IF(ISNA(FV121),NA(),Capability!$N$12)</f>
        <v/>
      </c>
      <c r="GC121">
        <f>IF(ISNA(FV121),NA(),IF(OR(Capability!$Q$12="",Settings!$F$7&lt;&gt;"Y"),NA(),Capability!$Q$12))</f>
        <v/>
      </c>
      <c r="GD121">
        <f>IF(ISNA(FV121),NA(),IF(OR(Capability!$P$12="",Settings!$F$7&lt;&gt;"Y"),NA(),Capability!$P$12))</f>
        <v/>
      </c>
      <c r="GJ121">
        <f>IF((GM$1+117)&gt;GK$1,NA(),(GM$1+117)-4)</f>
        <v/>
      </c>
      <c r="GK121">
        <f>IF((GM$1+117)&gt;GK$1,NA(),INDEX('Data Entry'!$P$5:$P$10004,(GM$1+117)-4))</f>
        <v/>
      </c>
      <c r="GL121">
        <f>IF(ISNA(GJ121),NA(),Capability!$K$13)</f>
        <v/>
      </c>
      <c r="GM121">
        <f>IF(ISNA(GJ121),NA(),Capability!$J$13)</f>
        <v/>
      </c>
      <c r="GN121">
        <f>IF(ISNA(GJ121),NA(),Capability!$L$13)</f>
        <v/>
      </c>
      <c r="GO121">
        <f>IF(OR(ISNA(GK121),ISNA(GK120)),NA(),ABS(GK121-GK120))</f>
        <v/>
      </c>
      <c r="GP121">
        <f>IF(ISNA(GJ121),NA(),Capability!$N$13)</f>
        <v/>
      </c>
      <c r="GQ121">
        <f>IF(ISNA(GJ121),NA(),IF(OR(Capability!$Q$13="",Settings!$F$7&lt;&gt;"Y"),NA(),Capability!$Q$13))</f>
        <v/>
      </c>
      <c r="GR121">
        <f>IF(ISNA(GJ121),NA(),IF(OR(Capability!$P$13="",Settings!$F$7&lt;&gt;"Y"),NA(),Capability!$P$13))</f>
        <v/>
      </c>
      <c r="GX121">
        <f>IF((HA$1+117)&gt;GY$1,NA(),(HA$1+117)-4)</f>
        <v/>
      </c>
      <c r="GY121">
        <f>IF((HA$1+117)&gt;GY$1,NA(),INDEX('Data Entry'!$Q$5:$Q$10004,(HA$1+117)-4))</f>
        <v/>
      </c>
      <c r="GZ121">
        <f>IF(ISNA(GX121),NA(),Capability!$K$14)</f>
        <v/>
      </c>
      <c r="HA121">
        <f>IF(ISNA(GX121),NA(),Capability!$J$14)</f>
        <v/>
      </c>
      <c r="HB121">
        <f>IF(ISNA(GX121),NA(),Capability!$L$14)</f>
        <v/>
      </c>
      <c r="HC121">
        <f>IF(OR(ISNA(GY121),ISNA(GY120)),NA(),ABS(GY121-GY120))</f>
        <v/>
      </c>
      <c r="HD121">
        <f>IF(ISNA(GX121),NA(),Capability!$N$14)</f>
        <v/>
      </c>
      <c r="HE121">
        <f>IF(ISNA(GX121),NA(),IF(OR(Capability!$Q$14="",Settings!$F$7&lt;&gt;"Y"),NA(),Capability!$Q$14))</f>
        <v/>
      </c>
      <c r="HF121">
        <f>IF(ISNA(GX121),NA(),IF(OR(Capability!$P$14="",Settings!$F$7&lt;&gt;"Y"),NA(),Capability!$P$14))</f>
        <v/>
      </c>
    </row>
    <row r="122">
      <c r="CB122">
        <f>IF((CE$1+118)&gt;CC$1,NA(),(CE$1+118)-4)</f>
        <v/>
      </c>
      <c r="CC122">
        <f>IF((CE$1+118)&gt;CC$1,NA(),INDEX('Data Entry'!$H$5:$H$10004,(CE$1+118)-4))</f>
        <v/>
      </c>
      <c r="CD122">
        <f>IF(ISNA(CB122),NA(),Capability!$K$5)</f>
        <v/>
      </c>
      <c r="CE122">
        <f>IF(ISNA(CB122),NA(),Capability!$J$5)</f>
        <v/>
      </c>
      <c r="CF122">
        <f>IF(ISNA(CB122),NA(),Capability!$L$5)</f>
        <v/>
      </c>
      <c r="CG122">
        <f>IF(OR(ISNA(CC122),ISNA(CC121)),NA(),ABS(CC122-CC121))</f>
        <v/>
      </c>
      <c r="CH122">
        <f>IF(ISNA(CB122),NA(),Capability!$N$5)</f>
        <v/>
      </c>
      <c r="CI122">
        <f>IF(ISNA(CB122),NA(),IF(OR(Capability!$Q$5="",Settings!$F$7&lt;&gt;"Y"),NA(),Capability!$Q$5))</f>
        <v/>
      </c>
      <c r="CJ122">
        <f>IF(ISNA(CB122),NA(),IF(OR(Capability!$P$5="",Settings!$F$7&lt;&gt;"Y"),NA(),Capability!$P$5))</f>
        <v/>
      </c>
      <c r="CP122">
        <f>IF((CS$1+118)&gt;CQ$1,NA(),(CS$1+118)-4)</f>
        <v/>
      </c>
      <c r="CQ122">
        <f>IF((CS$1+118)&gt;CQ$1,NA(),INDEX('Data Entry'!$I$5:$I$10004,(CS$1+118)-4))</f>
        <v/>
      </c>
      <c r="CR122">
        <f>IF(ISNA(CP122),NA(),Capability!$K$6)</f>
        <v/>
      </c>
      <c r="CS122">
        <f>IF(ISNA(CP122),NA(),Capability!$J$6)</f>
        <v/>
      </c>
      <c r="CT122">
        <f>IF(ISNA(CP122),NA(),Capability!$L$6)</f>
        <v/>
      </c>
      <c r="CU122">
        <f>IF(OR(ISNA(CQ122),ISNA(CQ121)),NA(),ABS(CQ122-CQ121))</f>
        <v/>
      </c>
      <c r="CV122">
        <f>IF(ISNA(CP122),NA(),Capability!$N$6)</f>
        <v/>
      </c>
      <c r="CW122">
        <f>IF(ISNA(CP122),NA(),IF(OR(Capability!$Q$6="",Settings!$F$7&lt;&gt;"Y"),NA(),Capability!$Q$6))</f>
        <v/>
      </c>
      <c r="CX122">
        <f>IF(ISNA(CP122),NA(),IF(OR(Capability!$P$6="",Settings!$F$7&lt;&gt;"Y"),NA(),Capability!$P$6))</f>
        <v/>
      </c>
      <c r="DD122">
        <f>IF((DG$1+118)&gt;DE$1,NA(),(DG$1+118)-4)</f>
        <v/>
      </c>
      <c r="DE122">
        <f>IF((DG$1+118)&gt;DE$1,NA(),INDEX('Data Entry'!$J$5:$J$10004,(DG$1+118)-4))</f>
        <v/>
      </c>
      <c r="DF122">
        <f>IF(ISNA(DD122),NA(),Capability!$K$7)</f>
        <v/>
      </c>
      <c r="DG122">
        <f>IF(ISNA(DD122),NA(),Capability!$J$7)</f>
        <v/>
      </c>
      <c r="DH122">
        <f>IF(ISNA(DD122),NA(),Capability!$L$7)</f>
        <v/>
      </c>
      <c r="DI122">
        <f>IF(OR(ISNA(DE122),ISNA(DE121)),NA(),ABS(DE122-DE121))</f>
        <v/>
      </c>
      <c r="DJ122">
        <f>IF(ISNA(DD122),NA(),Capability!$N$7)</f>
        <v/>
      </c>
      <c r="DK122">
        <f>IF(ISNA(DD122),NA(),IF(OR(Capability!$Q$7="",Settings!$F$7&lt;&gt;"Y"),NA(),Capability!$Q$7))</f>
        <v/>
      </c>
      <c r="DL122">
        <f>IF(ISNA(DD122),NA(),IF(OR(Capability!$P$7="",Settings!$F$7&lt;&gt;"Y"),NA(),Capability!$P$7))</f>
        <v/>
      </c>
      <c r="DR122">
        <f>IF((DU$1+118)&gt;DS$1,NA(),(DU$1+118)-4)</f>
        <v/>
      </c>
      <c r="DS122">
        <f>IF((DU$1+118)&gt;DS$1,NA(),INDEX('Data Entry'!$K$5:$K$10004,(DU$1+118)-4))</f>
        <v/>
      </c>
      <c r="DT122">
        <f>IF(ISNA(DR122),NA(),Capability!$K$8)</f>
        <v/>
      </c>
      <c r="DU122">
        <f>IF(ISNA(DR122),NA(),Capability!$J$8)</f>
        <v/>
      </c>
      <c r="DV122">
        <f>IF(ISNA(DR122),NA(),Capability!$L$8)</f>
        <v/>
      </c>
      <c r="DW122">
        <f>IF(OR(ISNA(DS122),ISNA(DS121)),NA(),ABS(DS122-DS121))</f>
        <v/>
      </c>
      <c r="DX122">
        <f>IF(ISNA(DR122),NA(),Capability!$N$8)</f>
        <v/>
      </c>
      <c r="DY122">
        <f>IF(ISNA(DR122),NA(),IF(OR(Capability!$Q$8="",Settings!$F$7&lt;&gt;"Y"),NA(),Capability!$Q$8))</f>
        <v/>
      </c>
      <c r="DZ122">
        <f>IF(ISNA(DR122),NA(),IF(OR(Capability!$P$8="",Settings!$F$7&lt;&gt;"Y"),NA(),Capability!$P$8))</f>
        <v/>
      </c>
      <c r="EF122">
        <f>IF((EI$1+118)&gt;EG$1,NA(),(EI$1+118)-4)</f>
        <v/>
      </c>
      <c r="EG122">
        <f>IF((EI$1+118)&gt;EG$1,NA(),INDEX('Data Entry'!$L$5:$L$10004,(EI$1+118)-4))</f>
        <v/>
      </c>
      <c r="EH122">
        <f>IF(ISNA(EF122),NA(),Capability!$K$9)</f>
        <v/>
      </c>
      <c r="EI122">
        <f>IF(ISNA(EF122),NA(),Capability!$J$9)</f>
        <v/>
      </c>
      <c r="EJ122">
        <f>IF(ISNA(EF122),NA(),Capability!$L$9)</f>
        <v/>
      </c>
      <c r="EK122">
        <f>IF(OR(ISNA(EG122),ISNA(EG121)),NA(),ABS(EG122-EG121))</f>
        <v/>
      </c>
      <c r="EL122">
        <f>IF(ISNA(EF122),NA(),Capability!$N$9)</f>
        <v/>
      </c>
      <c r="EM122">
        <f>IF(ISNA(EF122),NA(),IF(OR(Capability!$Q$9="",Settings!$F$7&lt;&gt;"Y"),NA(),Capability!$Q$9))</f>
        <v/>
      </c>
      <c r="EN122">
        <f>IF(ISNA(EF122),NA(),IF(OR(Capability!$P$9="",Settings!$F$7&lt;&gt;"Y"),NA(),Capability!$P$9))</f>
        <v/>
      </c>
      <c r="ET122">
        <f>IF((EW$1+118)&gt;EU$1,NA(),(EW$1+118)-4)</f>
        <v/>
      </c>
      <c r="EU122">
        <f>IF((EW$1+118)&gt;EU$1,NA(),INDEX('Data Entry'!$M$5:$M$10004,(EW$1+118)-4))</f>
        <v/>
      </c>
      <c r="EV122">
        <f>IF(ISNA(ET122),NA(),Capability!$K$10)</f>
        <v/>
      </c>
      <c r="EW122">
        <f>IF(ISNA(ET122),NA(),Capability!$J$10)</f>
        <v/>
      </c>
      <c r="EX122">
        <f>IF(ISNA(ET122),NA(),Capability!$L$10)</f>
        <v/>
      </c>
      <c r="EY122">
        <f>IF(OR(ISNA(EU122),ISNA(EU121)),NA(),ABS(EU122-EU121))</f>
        <v/>
      </c>
      <c r="EZ122">
        <f>IF(ISNA(ET122),NA(),Capability!$N$10)</f>
        <v/>
      </c>
      <c r="FA122">
        <f>IF(ISNA(ET122),NA(),IF(OR(Capability!$Q$10="",Settings!$F$7&lt;&gt;"Y"),NA(),Capability!$Q$10))</f>
        <v/>
      </c>
      <c r="FB122">
        <f>IF(ISNA(ET122),NA(),IF(OR(Capability!$P$10="",Settings!$F$7&lt;&gt;"Y"),NA(),Capability!$P$10))</f>
        <v/>
      </c>
      <c r="FH122">
        <f>IF((FK$1+118)&gt;FI$1,NA(),(FK$1+118)-4)</f>
        <v/>
      </c>
      <c r="FI122">
        <f>IF((FK$1+118)&gt;FI$1,NA(),INDEX('Data Entry'!$N$5:$N$10004,(FK$1+118)-4))</f>
        <v/>
      </c>
      <c r="FJ122">
        <f>IF(ISNA(FH122),NA(),Capability!$K$11)</f>
        <v/>
      </c>
      <c r="FK122">
        <f>IF(ISNA(FH122),NA(),Capability!$J$11)</f>
        <v/>
      </c>
      <c r="FL122">
        <f>IF(ISNA(FH122),NA(),Capability!$L$11)</f>
        <v/>
      </c>
      <c r="FM122">
        <f>IF(OR(ISNA(FI122),ISNA(FI121)),NA(),ABS(FI122-FI121))</f>
        <v/>
      </c>
      <c r="FN122">
        <f>IF(ISNA(FH122),NA(),Capability!$N$11)</f>
        <v/>
      </c>
      <c r="FO122">
        <f>IF(ISNA(FH122),NA(),IF(OR(Capability!$Q$11="",Settings!$F$7&lt;&gt;"Y"),NA(),Capability!$Q$11))</f>
        <v/>
      </c>
      <c r="FP122">
        <f>IF(ISNA(FH122),NA(),IF(OR(Capability!$P$11="",Settings!$F$7&lt;&gt;"Y"),NA(),Capability!$P$11))</f>
        <v/>
      </c>
      <c r="FV122">
        <f>IF((FY$1+118)&gt;FW$1,NA(),(FY$1+118)-4)</f>
        <v/>
      </c>
      <c r="FW122">
        <f>IF((FY$1+118)&gt;FW$1,NA(),INDEX('Data Entry'!$O$5:$O$10004,(FY$1+118)-4))</f>
        <v/>
      </c>
      <c r="FX122">
        <f>IF(ISNA(FV122),NA(),Capability!$K$12)</f>
        <v/>
      </c>
      <c r="FY122">
        <f>IF(ISNA(FV122),NA(),Capability!$J$12)</f>
        <v/>
      </c>
      <c r="FZ122">
        <f>IF(ISNA(FV122),NA(),Capability!$L$12)</f>
        <v/>
      </c>
      <c r="GA122">
        <f>IF(OR(ISNA(FW122),ISNA(FW121)),NA(),ABS(FW122-FW121))</f>
        <v/>
      </c>
      <c r="GB122">
        <f>IF(ISNA(FV122),NA(),Capability!$N$12)</f>
        <v/>
      </c>
      <c r="GC122">
        <f>IF(ISNA(FV122),NA(),IF(OR(Capability!$Q$12="",Settings!$F$7&lt;&gt;"Y"),NA(),Capability!$Q$12))</f>
        <v/>
      </c>
      <c r="GD122">
        <f>IF(ISNA(FV122),NA(),IF(OR(Capability!$P$12="",Settings!$F$7&lt;&gt;"Y"),NA(),Capability!$P$12))</f>
        <v/>
      </c>
      <c r="GJ122">
        <f>IF((GM$1+118)&gt;GK$1,NA(),(GM$1+118)-4)</f>
        <v/>
      </c>
      <c r="GK122">
        <f>IF((GM$1+118)&gt;GK$1,NA(),INDEX('Data Entry'!$P$5:$P$10004,(GM$1+118)-4))</f>
        <v/>
      </c>
      <c r="GL122">
        <f>IF(ISNA(GJ122),NA(),Capability!$K$13)</f>
        <v/>
      </c>
      <c r="GM122">
        <f>IF(ISNA(GJ122),NA(),Capability!$J$13)</f>
        <v/>
      </c>
      <c r="GN122">
        <f>IF(ISNA(GJ122),NA(),Capability!$L$13)</f>
        <v/>
      </c>
      <c r="GO122">
        <f>IF(OR(ISNA(GK122),ISNA(GK121)),NA(),ABS(GK122-GK121))</f>
        <v/>
      </c>
      <c r="GP122">
        <f>IF(ISNA(GJ122),NA(),Capability!$N$13)</f>
        <v/>
      </c>
      <c r="GQ122">
        <f>IF(ISNA(GJ122),NA(),IF(OR(Capability!$Q$13="",Settings!$F$7&lt;&gt;"Y"),NA(),Capability!$Q$13))</f>
        <v/>
      </c>
      <c r="GR122">
        <f>IF(ISNA(GJ122),NA(),IF(OR(Capability!$P$13="",Settings!$F$7&lt;&gt;"Y"),NA(),Capability!$P$13))</f>
        <v/>
      </c>
      <c r="GX122">
        <f>IF((HA$1+118)&gt;GY$1,NA(),(HA$1+118)-4)</f>
        <v/>
      </c>
      <c r="GY122">
        <f>IF((HA$1+118)&gt;GY$1,NA(),INDEX('Data Entry'!$Q$5:$Q$10004,(HA$1+118)-4))</f>
        <v/>
      </c>
      <c r="GZ122">
        <f>IF(ISNA(GX122),NA(),Capability!$K$14)</f>
        <v/>
      </c>
      <c r="HA122">
        <f>IF(ISNA(GX122),NA(),Capability!$J$14)</f>
        <v/>
      </c>
      <c r="HB122">
        <f>IF(ISNA(GX122),NA(),Capability!$L$14)</f>
        <v/>
      </c>
      <c r="HC122">
        <f>IF(OR(ISNA(GY122),ISNA(GY121)),NA(),ABS(GY122-GY121))</f>
        <v/>
      </c>
      <c r="HD122">
        <f>IF(ISNA(GX122),NA(),Capability!$N$14)</f>
        <v/>
      </c>
      <c r="HE122">
        <f>IF(ISNA(GX122),NA(),IF(OR(Capability!$Q$14="",Settings!$F$7&lt;&gt;"Y"),NA(),Capability!$Q$14))</f>
        <v/>
      </c>
      <c r="HF122">
        <f>IF(ISNA(GX122),NA(),IF(OR(Capability!$P$14="",Settings!$F$7&lt;&gt;"Y"),NA(),Capability!$P$14))</f>
        <v/>
      </c>
    </row>
    <row r="123">
      <c r="CB123">
        <f>IF((CE$1+119)&gt;CC$1,NA(),(CE$1+119)-4)</f>
        <v/>
      </c>
      <c r="CC123">
        <f>IF((CE$1+119)&gt;CC$1,NA(),INDEX('Data Entry'!$H$5:$H$10004,(CE$1+119)-4))</f>
        <v/>
      </c>
      <c r="CD123">
        <f>IF(ISNA(CB123),NA(),Capability!$K$5)</f>
        <v/>
      </c>
      <c r="CE123">
        <f>IF(ISNA(CB123),NA(),Capability!$J$5)</f>
        <v/>
      </c>
      <c r="CF123">
        <f>IF(ISNA(CB123),NA(),Capability!$L$5)</f>
        <v/>
      </c>
      <c r="CG123">
        <f>IF(OR(ISNA(CC123),ISNA(CC122)),NA(),ABS(CC123-CC122))</f>
        <v/>
      </c>
      <c r="CH123">
        <f>IF(ISNA(CB123),NA(),Capability!$N$5)</f>
        <v/>
      </c>
      <c r="CI123">
        <f>IF(ISNA(CB123),NA(),IF(OR(Capability!$Q$5="",Settings!$F$7&lt;&gt;"Y"),NA(),Capability!$Q$5))</f>
        <v/>
      </c>
      <c r="CJ123">
        <f>IF(ISNA(CB123),NA(),IF(OR(Capability!$P$5="",Settings!$F$7&lt;&gt;"Y"),NA(),Capability!$P$5))</f>
        <v/>
      </c>
      <c r="CP123">
        <f>IF((CS$1+119)&gt;CQ$1,NA(),(CS$1+119)-4)</f>
        <v/>
      </c>
      <c r="CQ123">
        <f>IF((CS$1+119)&gt;CQ$1,NA(),INDEX('Data Entry'!$I$5:$I$10004,(CS$1+119)-4))</f>
        <v/>
      </c>
      <c r="CR123">
        <f>IF(ISNA(CP123),NA(),Capability!$K$6)</f>
        <v/>
      </c>
      <c r="CS123">
        <f>IF(ISNA(CP123),NA(),Capability!$J$6)</f>
        <v/>
      </c>
      <c r="CT123">
        <f>IF(ISNA(CP123),NA(),Capability!$L$6)</f>
        <v/>
      </c>
      <c r="CU123">
        <f>IF(OR(ISNA(CQ123),ISNA(CQ122)),NA(),ABS(CQ123-CQ122))</f>
        <v/>
      </c>
      <c r="CV123">
        <f>IF(ISNA(CP123),NA(),Capability!$N$6)</f>
        <v/>
      </c>
      <c r="CW123">
        <f>IF(ISNA(CP123),NA(),IF(OR(Capability!$Q$6="",Settings!$F$7&lt;&gt;"Y"),NA(),Capability!$Q$6))</f>
        <v/>
      </c>
      <c r="CX123">
        <f>IF(ISNA(CP123),NA(),IF(OR(Capability!$P$6="",Settings!$F$7&lt;&gt;"Y"),NA(),Capability!$P$6))</f>
        <v/>
      </c>
      <c r="DD123">
        <f>IF((DG$1+119)&gt;DE$1,NA(),(DG$1+119)-4)</f>
        <v/>
      </c>
      <c r="DE123">
        <f>IF((DG$1+119)&gt;DE$1,NA(),INDEX('Data Entry'!$J$5:$J$10004,(DG$1+119)-4))</f>
        <v/>
      </c>
      <c r="DF123">
        <f>IF(ISNA(DD123),NA(),Capability!$K$7)</f>
        <v/>
      </c>
      <c r="DG123">
        <f>IF(ISNA(DD123),NA(),Capability!$J$7)</f>
        <v/>
      </c>
      <c r="DH123">
        <f>IF(ISNA(DD123),NA(),Capability!$L$7)</f>
        <v/>
      </c>
      <c r="DI123">
        <f>IF(OR(ISNA(DE123),ISNA(DE122)),NA(),ABS(DE123-DE122))</f>
        <v/>
      </c>
      <c r="DJ123">
        <f>IF(ISNA(DD123),NA(),Capability!$N$7)</f>
        <v/>
      </c>
      <c r="DK123">
        <f>IF(ISNA(DD123),NA(),IF(OR(Capability!$Q$7="",Settings!$F$7&lt;&gt;"Y"),NA(),Capability!$Q$7))</f>
        <v/>
      </c>
      <c r="DL123">
        <f>IF(ISNA(DD123),NA(),IF(OR(Capability!$P$7="",Settings!$F$7&lt;&gt;"Y"),NA(),Capability!$P$7))</f>
        <v/>
      </c>
      <c r="DR123">
        <f>IF((DU$1+119)&gt;DS$1,NA(),(DU$1+119)-4)</f>
        <v/>
      </c>
      <c r="DS123">
        <f>IF((DU$1+119)&gt;DS$1,NA(),INDEX('Data Entry'!$K$5:$K$10004,(DU$1+119)-4))</f>
        <v/>
      </c>
      <c r="DT123">
        <f>IF(ISNA(DR123),NA(),Capability!$K$8)</f>
        <v/>
      </c>
      <c r="DU123">
        <f>IF(ISNA(DR123),NA(),Capability!$J$8)</f>
        <v/>
      </c>
      <c r="DV123">
        <f>IF(ISNA(DR123),NA(),Capability!$L$8)</f>
        <v/>
      </c>
      <c r="DW123">
        <f>IF(OR(ISNA(DS123),ISNA(DS122)),NA(),ABS(DS123-DS122))</f>
        <v/>
      </c>
      <c r="DX123">
        <f>IF(ISNA(DR123),NA(),Capability!$N$8)</f>
        <v/>
      </c>
      <c r="DY123">
        <f>IF(ISNA(DR123),NA(),IF(OR(Capability!$Q$8="",Settings!$F$7&lt;&gt;"Y"),NA(),Capability!$Q$8))</f>
        <v/>
      </c>
      <c r="DZ123">
        <f>IF(ISNA(DR123),NA(),IF(OR(Capability!$P$8="",Settings!$F$7&lt;&gt;"Y"),NA(),Capability!$P$8))</f>
        <v/>
      </c>
      <c r="EF123">
        <f>IF((EI$1+119)&gt;EG$1,NA(),(EI$1+119)-4)</f>
        <v/>
      </c>
      <c r="EG123">
        <f>IF((EI$1+119)&gt;EG$1,NA(),INDEX('Data Entry'!$L$5:$L$10004,(EI$1+119)-4))</f>
        <v/>
      </c>
      <c r="EH123">
        <f>IF(ISNA(EF123),NA(),Capability!$K$9)</f>
        <v/>
      </c>
      <c r="EI123">
        <f>IF(ISNA(EF123),NA(),Capability!$J$9)</f>
        <v/>
      </c>
      <c r="EJ123">
        <f>IF(ISNA(EF123),NA(),Capability!$L$9)</f>
        <v/>
      </c>
      <c r="EK123">
        <f>IF(OR(ISNA(EG123),ISNA(EG122)),NA(),ABS(EG123-EG122))</f>
        <v/>
      </c>
      <c r="EL123">
        <f>IF(ISNA(EF123),NA(),Capability!$N$9)</f>
        <v/>
      </c>
      <c r="EM123">
        <f>IF(ISNA(EF123),NA(),IF(OR(Capability!$Q$9="",Settings!$F$7&lt;&gt;"Y"),NA(),Capability!$Q$9))</f>
        <v/>
      </c>
      <c r="EN123">
        <f>IF(ISNA(EF123),NA(),IF(OR(Capability!$P$9="",Settings!$F$7&lt;&gt;"Y"),NA(),Capability!$P$9))</f>
        <v/>
      </c>
      <c r="ET123">
        <f>IF((EW$1+119)&gt;EU$1,NA(),(EW$1+119)-4)</f>
        <v/>
      </c>
      <c r="EU123">
        <f>IF((EW$1+119)&gt;EU$1,NA(),INDEX('Data Entry'!$M$5:$M$10004,(EW$1+119)-4))</f>
        <v/>
      </c>
      <c r="EV123">
        <f>IF(ISNA(ET123),NA(),Capability!$K$10)</f>
        <v/>
      </c>
      <c r="EW123">
        <f>IF(ISNA(ET123),NA(),Capability!$J$10)</f>
        <v/>
      </c>
      <c r="EX123">
        <f>IF(ISNA(ET123),NA(),Capability!$L$10)</f>
        <v/>
      </c>
      <c r="EY123">
        <f>IF(OR(ISNA(EU123),ISNA(EU122)),NA(),ABS(EU123-EU122))</f>
        <v/>
      </c>
      <c r="EZ123">
        <f>IF(ISNA(ET123),NA(),Capability!$N$10)</f>
        <v/>
      </c>
      <c r="FA123">
        <f>IF(ISNA(ET123),NA(),IF(OR(Capability!$Q$10="",Settings!$F$7&lt;&gt;"Y"),NA(),Capability!$Q$10))</f>
        <v/>
      </c>
      <c r="FB123">
        <f>IF(ISNA(ET123),NA(),IF(OR(Capability!$P$10="",Settings!$F$7&lt;&gt;"Y"),NA(),Capability!$P$10))</f>
        <v/>
      </c>
      <c r="FH123">
        <f>IF((FK$1+119)&gt;FI$1,NA(),(FK$1+119)-4)</f>
        <v/>
      </c>
      <c r="FI123">
        <f>IF((FK$1+119)&gt;FI$1,NA(),INDEX('Data Entry'!$N$5:$N$10004,(FK$1+119)-4))</f>
        <v/>
      </c>
      <c r="FJ123">
        <f>IF(ISNA(FH123),NA(),Capability!$K$11)</f>
        <v/>
      </c>
      <c r="FK123">
        <f>IF(ISNA(FH123),NA(),Capability!$J$11)</f>
        <v/>
      </c>
      <c r="FL123">
        <f>IF(ISNA(FH123),NA(),Capability!$L$11)</f>
        <v/>
      </c>
      <c r="FM123">
        <f>IF(OR(ISNA(FI123),ISNA(FI122)),NA(),ABS(FI123-FI122))</f>
        <v/>
      </c>
      <c r="FN123">
        <f>IF(ISNA(FH123),NA(),Capability!$N$11)</f>
        <v/>
      </c>
      <c r="FO123">
        <f>IF(ISNA(FH123),NA(),IF(OR(Capability!$Q$11="",Settings!$F$7&lt;&gt;"Y"),NA(),Capability!$Q$11))</f>
        <v/>
      </c>
      <c r="FP123">
        <f>IF(ISNA(FH123),NA(),IF(OR(Capability!$P$11="",Settings!$F$7&lt;&gt;"Y"),NA(),Capability!$P$11))</f>
        <v/>
      </c>
      <c r="FV123">
        <f>IF((FY$1+119)&gt;FW$1,NA(),(FY$1+119)-4)</f>
        <v/>
      </c>
      <c r="FW123">
        <f>IF((FY$1+119)&gt;FW$1,NA(),INDEX('Data Entry'!$O$5:$O$10004,(FY$1+119)-4))</f>
        <v/>
      </c>
      <c r="FX123">
        <f>IF(ISNA(FV123),NA(),Capability!$K$12)</f>
        <v/>
      </c>
      <c r="FY123">
        <f>IF(ISNA(FV123),NA(),Capability!$J$12)</f>
        <v/>
      </c>
      <c r="FZ123">
        <f>IF(ISNA(FV123),NA(),Capability!$L$12)</f>
        <v/>
      </c>
      <c r="GA123">
        <f>IF(OR(ISNA(FW123),ISNA(FW122)),NA(),ABS(FW123-FW122))</f>
        <v/>
      </c>
      <c r="GB123">
        <f>IF(ISNA(FV123),NA(),Capability!$N$12)</f>
        <v/>
      </c>
      <c r="GC123">
        <f>IF(ISNA(FV123),NA(),IF(OR(Capability!$Q$12="",Settings!$F$7&lt;&gt;"Y"),NA(),Capability!$Q$12))</f>
        <v/>
      </c>
      <c r="GD123">
        <f>IF(ISNA(FV123),NA(),IF(OR(Capability!$P$12="",Settings!$F$7&lt;&gt;"Y"),NA(),Capability!$P$12))</f>
        <v/>
      </c>
      <c r="GJ123">
        <f>IF((GM$1+119)&gt;GK$1,NA(),(GM$1+119)-4)</f>
        <v/>
      </c>
      <c r="GK123">
        <f>IF((GM$1+119)&gt;GK$1,NA(),INDEX('Data Entry'!$P$5:$P$10004,(GM$1+119)-4))</f>
        <v/>
      </c>
      <c r="GL123">
        <f>IF(ISNA(GJ123),NA(),Capability!$K$13)</f>
        <v/>
      </c>
      <c r="GM123">
        <f>IF(ISNA(GJ123),NA(),Capability!$J$13)</f>
        <v/>
      </c>
      <c r="GN123">
        <f>IF(ISNA(GJ123),NA(),Capability!$L$13)</f>
        <v/>
      </c>
      <c r="GO123">
        <f>IF(OR(ISNA(GK123),ISNA(GK122)),NA(),ABS(GK123-GK122))</f>
        <v/>
      </c>
      <c r="GP123">
        <f>IF(ISNA(GJ123),NA(),Capability!$N$13)</f>
        <v/>
      </c>
      <c r="GQ123">
        <f>IF(ISNA(GJ123),NA(),IF(OR(Capability!$Q$13="",Settings!$F$7&lt;&gt;"Y"),NA(),Capability!$Q$13))</f>
        <v/>
      </c>
      <c r="GR123">
        <f>IF(ISNA(GJ123),NA(),IF(OR(Capability!$P$13="",Settings!$F$7&lt;&gt;"Y"),NA(),Capability!$P$13))</f>
        <v/>
      </c>
      <c r="GX123">
        <f>IF((HA$1+119)&gt;GY$1,NA(),(HA$1+119)-4)</f>
        <v/>
      </c>
      <c r="GY123">
        <f>IF((HA$1+119)&gt;GY$1,NA(),INDEX('Data Entry'!$Q$5:$Q$10004,(HA$1+119)-4))</f>
        <v/>
      </c>
      <c r="GZ123">
        <f>IF(ISNA(GX123),NA(),Capability!$K$14)</f>
        <v/>
      </c>
      <c r="HA123">
        <f>IF(ISNA(GX123),NA(),Capability!$J$14)</f>
        <v/>
      </c>
      <c r="HB123">
        <f>IF(ISNA(GX123),NA(),Capability!$L$14)</f>
        <v/>
      </c>
      <c r="HC123">
        <f>IF(OR(ISNA(GY123),ISNA(GY122)),NA(),ABS(GY123-GY122))</f>
        <v/>
      </c>
      <c r="HD123">
        <f>IF(ISNA(GX123),NA(),Capability!$N$14)</f>
        <v/>
      </c>
      <c r="HE123">
        <f>IF(ISNA(GX123),NA(),IF(OR(Capability!$Q$14="",Settings!$F$7&lt;&gt;"Y"),NA(),Capability!$Q$14))</f>
        <v/>
      </c>
      <c r="HF123">
        <f>IF(ISNA(GX123),NA(),IF(OR(Capability!$P$14="",Settings!$F$7&lt;&gt;"Y"),NA(),Capability!$P$14))</f>
        <v/>
      </c>
    </row>
    <row r="124">
      <c r="A124" s="34">
        <f>"FEATURE 4: "&amp;IF(Settings!B20="","(unnamed)",Settings!B20)</f>
        <v/>
      </c>
      <c r="B124" s="9" t="n"/>
      <c r="CB124">
        <f>IF((CE$1+120)&gt;CC$1,NA(),(CE$1+120)-4)</f>
        <v/>
      </c>
      <c r="CC124">
        <f>IF((CE$1+120)&gt;CC$1,NA(),INDEX('Data Entry'!$H$5:$H$10004,(CE$1+120)-4))</f>
        <v/>
      </c>
      <c r="CD124">
        <f>IF(ISNA(CB124),NA(),Capability!$K$5)</f>
        <v/>
      </c>
      <c r="CE124">
        <f>IF(ISNA(CB124),NA(),Capability!$J$5)</f>
        <v/>
      </c>
      <c r="CF124">
        <f>IF(ISNA(CB124),NA(),Capability!$L$5)</f>
        <v/>
      </c>
      <c r="CG124">
        <f>IF(OR(ISNA(CC124),ISNA(CC123)),NA(),ABS(CC124-CC123))</f>
        <v/>
      </c>
      <c r="CH124">
        <f>IF(ISNA(CB124),NA(),Capability!$N$5)</f>
        <v/>
      </c>
      <c r="CI124">
        <f>IF(ISNA(CB124),NA(),IF(OR(Capability!$Q$5="",Settings!$F$7&lt;&gt;"Y"),NA(),Capability!$Q$5))</f>
        <v/>
      </c>
      <c r="CJ124">
        <f>IF(ISNA(CB124),NA(),IF(OR(Capability!$P$5="",Settings!$F$7&lt;&gt;"Y"),NA(),Capability!$P$5))</f>
        <v/>
      </c>
      <c r="CP124">
        <f>IF((CS$1+120)&gt;CQ$1,NA(),(CS$1+120)-4)</f>
        <v/>
      </c>
      <c r="CQ124">
        <f>IF((CS$1+120)&gt;CQ$1,NA(),INDEX('Data Entry'!$I$5:$I$10004,(CS$1+120)-4))</f>
        <v/>
      </c>
      <c r="CR124">
        <f>IF(ISNA(CP124),NA(),Capability!$K$6)</f>
        <v/>
      </c>
      <c r="CS124">
        <f>IF(ISNA(CP124),NA(),Capability!$J$6)</f>
        <v/>
      </c>
      <c r="CT124">
        <f>IF(ISNA(CP124),NA(),Capability!$L$6)</f>
        <v/>
      </c>
      <c r="CU124">
        <f>IF(OR(ISNA(CQ124),ISNA(CQ123)),NA(),ABS(CQ124-CQ123))</f>
        <v/>
      </c>
      <c r="CV124">
        <f>IF(ISNA(CP124),NA(),Capability!$N$6)</f>
        <v/>
      </c>
      <c r="CW124">
        <f>IF(ISNA(CP124),NA(),IF(OR(Capability!$Q$6="",Settings!$F$7&lt;&gt;"Y"),NA(),Capability!$Q$6))</f>
        <v/>
      </c>
      <c r="CX124">
        <f>IF(ISNA(CP124),NA(),IF(OR(Capability!$P$6="",Settings!$F$7&lt;&gt;"Y"),NA(),Capability!$P$6))</f>
        <v/>
      </c>
      <c r="DD124">
        <f>IF((DG$1+120)&gt;DE$1,NA(),(DG$1+120)-4)</f>
        <v/>
      </c>
      <c r="DE124">
        <f>IF((DG$1+120)&gt;DE$1,NA(),INDEX('Data Entry'!$J$5:$J$10004,(DG$1+120)-4))</f>
        <v/>
      </c>
      <c r="DF124">
        <f>IF(ISNA(DD124),NA(),Capability!$K$7)</f>
        <v/>
      </c>
      <c r="DG124">
        <f>IF(ISNA(DD124),NA(),Capability!$J$7)</f>
        <v/>
      </c>
      <c r="DH124">
        <f>IF(ISNA(DD124),NA(),Capability!$L$7)</f>
        <v/>
      </c>
      <c r="DI124">
        <f>IF(OR(ISNA(DE124),ISNA(DE123)),NA(),ABS(DE124-DE123))</f>
        <v/>
      </c>
      <c r="DJ124">
        <f>IF(ISNA(DD124),NA(),Capability!$N$7)</f>
        <v/>
      </c>
      <c r="DK124">
        <f>IF(ISNA(DD124),NA(),IF(OR(Capability!$Q$7="",Settings!$F$7&lt;&gt;"Y"),NA(),Capability!$Q$7))</f>
        <v/>
      </c>
      <c r="DL124">
        <f>IF(ISNA(DD124),NA(),IF(OR(Capability!$P$7="",Settings!$F$7&lt;&gt;"Y"),NA(),Capability!$P$7))</f>
        <v/>
      </c>
      <c r="DR124">
        <f>IF((DU$1+120)&gt;DS$1,NA(),(DU$1+120)-4)</f>
        <v/>
      </c>
      <c r="DS124">
        <f>IF((DU$1+120)&gt;DS$1,NA(),INDEX('Data Entry'!$K$5:$K$10004,(DU$1+120)-4))</f>
        <v/>
      </c>
      <c r="DT124">
        <f>IF(ISNA(DR124),NA(),Capability!$K$8)</f>
        <v/>
      </c>
      <c r="DU124">
        <f>IF(ISNA(DR124),NA(),Capability!$J$8)</f>
        <v/>
      </c>
      <c r="DV124">
        <f>IF(ISNA(DR124),NA(),Capability!$L$8)</f>
        <v/>
      </c>
      <c r="DW124">
        <f>IF(OR(ISNA(DS124),ISNA(DS123)),NA(),ABS(DS124-DS123))</f>
        <v/>
      </c>
      <c r="DX124">
        <f>IF(ISNA(DR124),NA(),Capability!$N$8)</f>
        <v/>
      </c>
      <c r="DY124">
        <f>IF(ISNA(DR124),NA(),IF(OR(Capability!$Q$8="",Settings!$F$7&lt;&gt;"Y"),NA(),Capability!$Q$8))</f>
        <v/>
      </c>
      <c r="DZ124">
        <f>IF(ISNA(DR124),NA(),IF(OR(Capability!$P$8="",Settings!$F$7&lt;&gt;"Y"),NA(),Capability!$P$8))</f>
        <v/>
      </c>
      <c r="EF124">
        <f>IF((EI$1+120)&gt;EG$1,NA(),(EI$1+120)-4)</f>
        <v/>
      </c>
      <c r="EG124">
        <f>IF((EI$1+120)&gt;EG$1,NA(),INDEX('Data Entry'!$L$5:$L$10004,(EI$1+120)-4))</f>
        <v/>
      </c>
      <c r="EH124">
        <f>IF(ISNA(EF124),NA(),Capability!$K$9)</f>
        <v/>
      </c>
      <c r="EI124">
        <f>IF(ISNA(EF124),NA(),Capability!$J$9)</f>
        <v/>
      </c>
      <c r="EJ124">
        <f>IF(ISNA(EF124),NA(),Capability!$L$9)</f>
        <v/>
      </c>
      <c r="EK124">
        <f>IF(OR(ISNA(EG124),ISNA(EG123)),NA(),ABS(EG124-EG123))</f>
        <v/>
      </c>
      <c r="EL124">
        <f>IF(ISNA(EF124),NA(),Capability!$N$9)</f>
        <v/>
      </c>
      <c r="EM124">
        <f>IF(ISNA(EF124),NA(),IF(OR(Capability!$Q$9="",Settings!$F$7&lt;&gt;"Y"),NA(),Capability!$Q$9))</f>
        <v/>
      </c>
      <c r="EN124">
        <f>IF(ISNA(EF124),NA(),IF(OR(Capability!$P$9="",Settings!$F$7&lt;&gt;"Y"),NA(),Capability!$P$9))</f>
        <v/>
      </c>
      <c r="ET124">
        <f>IF((EW$1+120)&gt;EU$1,NA(),(EW$1+120)-4)</f>
        <v/>
      </c>
      <c r="EU124">
        <f>IF((EW$1+120)&gt;EU$1,NA(),INDEX('Data Entry'!$M$5:$M$10004,(EW$1+120)-4))</f>
        <v/>
      </c>
      <c r="EV124">
        <f>IF(ISNA(ET124),NA(),Capability!$K$10)</f>
        <v/>
      </c>
      <c r="EW124">
        <f>IF(ISNA(ET124),NA(),Capability!$J$10)</f>
        <v/>
      </c>
      <c r="EX124">
        <f>IF(ISNA(ET124),NA(),Capability!$L$10)</f>
        <v/>
      </c>
      <c r="EY124">
        <f>IF(OR(ISNA(EU124),ISNA(EU123)),NA(),ABS(EU124-EU123))</f>
        <v/>
      </c>
      <c r="EZ124">
        <f>IF(ISNA(ET124),NA(),Capability!$N$10)</f>
        <v/>
      </c>
      <c r="FA124">
        <f>IF(ISNA(ET124),NA(),IF(OR(Capability!$Q$10="",Settings!$F$7&lt;&gt;"Y"),NA(),Capability!$Q$10))</f>
        <v/>
      </c>
      <c r="FB124">
        <f>IF(ISNA(ET124),NA(),IF(OR(Capability!$P$10="",Settings!$F$7&lt;&gt;"Y"),NA(),Capability!$P$10))</f>
        <v/>
      </c>
      <c r="FH124">
        <f>IF((FK$1+120)&gt;FI$1,NA(),(FK$1+120)-4)</f>
        <v/>
      </c>
      <c r="FI124">
        <f>IF((FK$1+120)&gt;FI$1,NA(),INDEX('Data Entry'!$N$5:$N$10004,(FK$1+120)-4))</f>
        <v/>
      </c>
      <c r="FJ124">
        <f>IF(ISNA(FH124),NA(),Capability!$K$11)</f>
        <v/>
      </c>
      <c r="FK124">
        <f>IF(ISNA(FH124),NA(),Capability!$J$11)</f>
        <v/>
      </c>
      <c r="FL124">
        <f>IF(ISNA(FH124),NA(),Capability!$L$11)</f>
        <v/>
      </c>
      <c r="FM124">
        <f>IF(OR(ISNA(FI124),ISNA(FI123)),NA(),ABS(FI124-FI123))</f>
        <v/>
      </c>
      <c r="FN124">
        <f>IF(ISNA(FH124),NA(),Capability!$N$11)</f>
        <v/>
      </c>
      <c r="FO124">
        <f>IF(ISNA(FH124),NA(),IF(OR(Capability!$Q$11="",Settings!$F$7&lt;&gt;"Y"),NA(),Capability!$Q$11))</f>
        <v/>
      </c>
      <c r="FP124">
        <f>IF(ISNA(FH124),NA(),IF(OR(Capability!$P$11="",Settings!$F$7&lt;&gt;"Y"),NA(),Capability!$P$11))</f>
        <v/>
      </c>
      <c r="FV124">
        <f>IF((FY$1+120)&gt;FW$1,NA(),(FY$1+120)-4)</f>
        <v/>
      </c>
      <c r="FW124">
        <f>IF((FY$1+120)&gt;FW$1,NA(),INDEX('Data Entry'!$O$5:$O$10004,(FY$1+120)-4))</f>
        <v/>
      </c>
      <c r="FX124">
        <f>IF(ISNA(FV124),NA(),Capability!$K$12)</f>
        <v/>
      </c>
      <c r="FY124">
        <f>IF(ISNA(FV124),NA(),Capability!$J$12)</f>
        <v/>
      </c>
      <c r="FZ124">
        <f>IF(ISNA(FV124),NA(),Capability!$L$12)</f>
        <v/>
      </c>
      <c r="GA124">
        <f>IF(OR(ISNA(FW124),ISNA(FW123)),NA(),ABS(FW124-FW123))</f>
        <v/>
      </c>
      <c r="GB124">
        <f>IF(ISNA(FV124),NA(),Capability!$N$12)</f>
        <v/>
      </c>
      <c r="GC124">
        <f>IF(ISNA(FV124),NA(),IF(OR(Capability!$Q$12="",Settings!$F$7&lt;&gt;"Y"),NA(),Capability!$Q$12))</f>
        <v/>
      </c>
      <c r="GD124">
        <f>IF(ISNA(FV124),NA(),IF(OR(Capability!$P$12="",Settings!$F$7&lt;&gt;"Y"),NA(),Capability!$P$12))</f>
        <v/>
      </c>
      <c r="GJ124">
        <f>IF((GM$1+120)&gt;GK$1,NA(),(GM$1+120)-4)</f>
        <v/>
      </c>
      <c r="GK124">
        <f>IF((GM$1+120)&gt;GK$1,NA(),INDEX('Data Entry'!$P$5:$P$10004,(GM$1+120)-4))</f>
        <v/>
      </c>
      <c r="GL124">
        <f>IF(ISNA(GJ124),NA(),Capability!$K$13)</f>
        <v/>
      </c>
      <c r="GM124">
        <f>IF(ISNA(GJ124),NA(),Capability!$J$13)</f>
        <v/>
      </c>
      <c r="GN124">
        <f>IF(ISNA(GJ124),NA(),Capability!$L$13)</f>
        <v/>
      </c>
      <c r="GO124">
        <f>IF(OR(ISNA(GK124),ISNA(GK123)),NA(),ABS(GK124-GK123))</f>
        <v/>
      </c>
      <c r="GP124">
        <f>IF(ISNA(GJ124),NA(),Capability!$N$13)</f>
        <v/>
      </c>
      <c r="GQ124">
        <f>IF(ISNA(GJ124),NA(),IF(OR(Capability!$Q$13="",Settings!$F$7&lt;&gt;"Y"),NA(),Capability!$Q$13))</f>
        <v/>
      </c>
      <c r="GR124">
        <f>IF(ISNA(GJ124),NA(),IF(OR(Capability!$P$13="",Settings!$F$7&lt;&gt;"Y"),NA(),Capability!$P$13))</f>
        <v/>
      </c>
      <c r="GX124">
        <f>IF((HA$1+120)&gt;GY$1,NA(),(HA$1+120)-4)</f>
        <v/>
      </c>
      <c r="GY124">
        <f>IF((HA$1+120)&gt;GY$1,NA(),INDEX('Data Entry'!$Q$5:$Q$10004,(HA$1+120)-4))</f>
        <v/>
      </c>
      <c r="GZ124">
        <f>IF(ISNA(GX124),NA(),Capability!$K$14)</f>
        <v/>
      </c>
      <c r="HA124">
        <f>IF(ISNA(GX124),NA(),Capability!$J$14)</f>
        <v/>
      </c>
      <c r="HB124">
        <f>IF(ISNA(GX124),NA(),Capability!$L$14)</f>
        <v/>
      </c>
      <c r="HC124">
        <f>IF(OR(ISNA(GY124),ISNA(GY123)),NA(),ABS(GY124-GY123))</f>
        <v/>
      </c>
      <c r="HD124">
        <f>IF(ISNA(GX124),NA(),Capability!$N$14)</f>
        <v/>
      </c>
      <c r="HE124">
        <f>IF(ISNA(GX124),NA(),IF(OR(Capability!$Q$14="",Settings!$F$7&lt;&gt;"Y"),NA(),Capability!$Q$14))</f>
        <v/>
      </c>
      <c r="HF124">
        <f>IF(ISNA(GX124),NA(),IF(OR(Capability!$P$14="",Settings!$F$7&lt;&gt;"Y"),NA(),Capability!$P$14))</f>
        <v/>
      </c>
    </row>
    <row r="125">
      <c r="A125" s="35" t="inlineStr">
        <is>
          <t>Feature</t>
        </is>
      </c>
      <c r="B125" s="36">
        <f>Capability!A8</f>
        <v/>
      </c>
      <c r="CB125">
        <f>IF((CE$1+121)&gt;CC$1,NA(),(CE$1+121)-4)</f>
        <v/>
      </c>
      <c r="CC125">
        <f>IF((CE$1+121)&gt;CC$1,NA(),INDEX('Data Entry'!$H$5:$H$10004,(CE$1+121)-4))</f>
        <v/>
      </c>
      <c r="CD125">
        <f>IF(ISNA(CB125),NA(),Capability!$K$5)</f>
        <v/>
      </c>
      <c r="CE125">
        <f>IF(ISNA(CB125),NA(),Capability!$J$5)</f>
        <v/>
      </c>
      <c r="CF125">
        <f>IF(ISNA(CB125),NA(),Capability!$L$5)</f>
        <v/>
      </c>
      <c r="CG125">
        <f>IF(OR(ISNA(CC125),ISNA(CC124)),NA(),ABS(CC125-CC124))</f>
        <v/>
      </c>
      <c r="CH125">
        <f>IF(ISNA(CB125),NA(),Capability!$N$5)</f>
        <v/>
      </c>
      <c r="CI125">
        <f>IF(ISNA(CB125),NA(),IF(OR(Capability!$Q$5="",Settings!$F$7&lt;&gt;"Y"),NA(),Capability!$Q$5))</f>
        <v/>
      </c>
      <c r="CJ125">
        <f>IF(ISNA(CB125),NA(),IF(OR(Capability!$P$5="",Settings!$F$7&lt;&gt;"Y"),NA(),Capability!$P$5))</f>
        <v/>
      </c>
      <c r="CP125">
        <f>IF((CS$1+121)&gt;CQ$1,NA(),(CS$1+121)-4)</f>
        <v/>
      </c>
      <c r="CQ125">
        <f>IF((CS$1+121)&gt;CQ$1,NA(),INDEX('Data Entry'!$I$5:$I$10004,(CS$1+121)-4))</f>
        <v/>
      </c>
      <c r="CR125">
        <f>IF(ISNA(CP125),NA(),Capability!$K$6)</f>
        <v/>
      </c>
      <c r="CS125">
        <f>IF(ISNA(CP125),NA(),Capability!$J$6)</f>
        <v/>
      </c>
      <c r="CT125">
        <f>IF(ISNA(CP125),NA(),Capability!$L$6)</f>
        <v/>
      </c>
      <c r="CU125">
        <f>IF(OR(ISNA(CQ125),ISNA(CQ124)),NA(),ABS(CQ125-CQ124))</f>
        <v/>
      </c>
      <c r="CV125">
        <f>IF(ISNA(CP125),NA(),Capability!$N$6)</f>
        <v/>
      </c>
      <c r="CW125">
        <f>IF(ISNA(CP125),NA(),IF(OR(Capability!$Q$6="",Settings!$F$7&lt;&gt;"Y"),NA(),Capability!$Q$6))</f>
        <v/>
      </c>
      <c r="CX125">
        <f>IF(ISNA(CP125),NA(),IF(OR(Capability!$P$6="",Settings!$F$7&lt;&gt;"Y"),NA(),Capability!$P$6))</f>
        <v/>
      </c>
      <c r="DD125">
        <f>IF((DG$1+121)&gt;DE$1,NA(),(DG$1+121)-4)</f>
        <v/>
      </c>
      <c r="DE125">
        <f>IF((DG$1+121)&gt;DE$1,NA(),INDEX('Data Entry'!$J$5:$J$10004,(DG$1+121)-4))</f>
        <v/>
      </c>
      <c r="DF125">
        <f>IF(ISNA(DD125),NA(),Capability!$K$7)</f>
        <v/>
      </c>
      <c r="DG125">
        <f>IF(ISNA(DD125),NA(),Capability!$J$7)</f>
        <v/>
      </c>
      <c r="DH125">
        <f>IF(ISNA(DD125),NA(),Capability!$L$7)</f>
        <v/>
      </c>
      <c r="DI125">
        <f>IF(OR(ISNA(DE125),ISNA(DE124)),NA(),ABS(DE125-DE124))</f>
        <v/>
      </c>
      <c r="DJ125">
        <f>IF(ISNA(DD125),NA(),Capability!$N$7)</f>
        <v/>
      </c>
      <c r="DK125">
        <f>IF(ISNA(DD125),NA(),IF(OR(Capability!$Q$7="",Settings!$F$7&lt;&gt;"Y"),NA(),Capability!$Q$7))</f>
        <v/>
      </c>
      <c r="DL125">
        <f>IF(ISNA(DD125),NA(),IF(OR(Capability!$P$7="",Settings!$F$7&lt;&gt;"Y"),NA(),Capability!$P$7))</f>
        <v/>
      </c>
      <c r="DR125">
        <f>IF((DU$1+121)&gt;DS$1,NA(),(DU$1+121)-4)</f>
        <v/>
      </c>
      <c r="DS125">
        <f>IF((DU$1+121)&gt;DS$1,NA(),INDEX('Data Entry'!$K$5:$K$10004,(DU$1+121)-4))</f>
        <v/>
      </c>
      <c r="DT125">
        <f>IF(ISNA(DR125),NA(),Capability!$K$8)</f>
        <v/>
      </c>
      <c r="DU125">
        <f>IF(ISNA(DR125),NA(),Capability!$J$8)</f>
        <v/>
      </c>
      <c r="DV125">
        <f>IF(ISNA(DR125),NA(),Capability!$L$8)</f>
        <v/>
      </c>
      <c r="DW125">
        <f>IF(OR(ISNA(DS125),ISNA(DS124)),NA(),ABS(DS125-DS124))</f>
        <v/>
      </c>
      <c r="DX125">
        <f>IF(ISNA(DR125),NA(),Capability!$N$8)</f>
        <v/>
      </c>
      <c r="DY125">
        <f>IF(ISNA(DR125),NA(),IF(OR(Capability!$Q$8="",Settings!$F$7&lt;&gt;"Y"),NA(),Capability!$Q$8))</f>
        <v/>
      </c>
      <c r="DZ125">
        <f>IF(ISNA(DR125),NA(),IF(OR(Capability!$P$8="",Settings!$F$7&lt;&gt;"Y"),NA(),Capability!$P$8))</f>
        <v/>
      </c>
      <c r="EF125">
        <f>IF((EI$1+121)&gt;EG$1,NA(),(EI$1+121)-4)</f>
        <v/>
      </c>
      <c r="EG125">
        <f>IF((EI$1+121)&gt;EG$1,NA(),INDEX('Data Entry'!$L$5:$L$10004,(EI$1+121)-4))</f>
        <v/>
      </c>
      <c r="EH125">
        <f>IF(ISNA(EF125),NA(),Capability!$K$9)</f>
        <v/>
      </c>
      <c r="EI125">
        <f>IF(ISNA(EF125),NA(),Capability!$J$9)</f>
        <v/>
      </c>
      <c r="EJ125">
        <f>IF(ISNA(EF125),NA(),Capability!$L$9)</f>
        <v/>
      </c>
      <c r="EK125">
        <f>IF(OR(ISNA(EG125),ISNA(EG124)),NA(),ABS(EG125-EG124))</f>
        <v/>
      </c>
      <c r="EL125">
        <f>IF(ISNA(EF125),NA(),Capability!$N$9)</f>
        <v/>
      </c>
      <c r="EM125">
        <f>IF(ISNA(EF125),NA(),IF(OR(Capability!$Q$9="",Settings!$F$7&lt;&gt;"Y"),NA(),Capability!$Q$9))</f>
        <v/>
      </c>
      <c r="EN125">
        <f>IF(ISNA(EF125),NA(),IF(OR(Capability!$P$9="",Settings!$F$7&lt;&gt;"Y"),NA(),Capability!$P$9))</f>
        <v/>
      </c>
      <c r="ET125">
        <f>IF((EW$1+121)&gt;EU$1,NA(),(EW$1+121)-4)</f>
        <v/>
      </c>
      <c r="EU125">
        <f>IF((EW$1+121)&gt;EU$1,NA(),INDEX('Data Entry'!$M$5:$M$10004,(EW$1+121)-4))</f>
        <v/>
      </c>
      <c r="EV125">
        <f>IF(ISNA(ET125),NA(),Capability!$K$10)</f>
        <v/>
      </c>
      <c r="EW125">
        <f>IF(ISNA(ET125),NA(),Capability!$J$10)</f>
        <v/>
      </c>
      <c r="EX125">
        <f>IF(ISNA(ET125),NA(),Capability!$L$10)</f>
        <v/>
      </c>
      <c r="EY125">
        <f>IF(OR(ISNA(EU125),ISNA(EU124)),NA(),ABS(EU125-EU124))</f>
        <v/>
      </c>
      <c r="EZ125">
        <f>IF(ISNA(ET125),NA(),Capability!$N$10)</f>
        <v/>
      </c>
      <c r="FA125">
        <f>IF(ISNA(ET125),NA(),IF(OR(Capability!$Q$10="",Settings!$F$7&lt;&gt;"Y"),NA(),Capability!$Q$10))</f>
        <v/>
      </c>
      <c r="FB125">
        <f>IF(ISNA(ET125),NA(),IF(OR(Capability!$P$10="",Settings!$F$7&lt;&gt;"Y"),NA(),Capability!$P$10))</f>
        <v/>
      </c>
      <c r="FH125">
        <f>IF((FK$1+121)&gt;FI$1,NA(),(FK$1+121)-4)</f>
        <v/>
      </c>
      <c r="FI125">
        <f>IF((FK$1+121)&gt;FI$1,NA(),INDEX('Data Entry'!$N$5:$N$10004,(FK$1+121)-4))</f>
        <v/>
      </c>
      <c r="FJ125">
        <f>IF(ISNA(FH125),NA(),Capability!$K$11)</f>
        <v/>
      </c>
      <c r="FK125">
        <f>IF(ISNA(FH125),NA(),Capability!$J$11)</f>
        <v/>
      </c>
      <c r="FL125">
        <f>IF(ISNA(FH125),NA(),Capability!$L$11)</f>
        <v/>
      </c>
      <c r="FM125">
        <f>IF(OR(ISNA(FI125),ISNA(FI124)),NA(),ABS(FI125-FI124))</f>
        <v/>
      </c>
      <c r="FN125">
        <f>IF(ISNA(FH125),NA(),Capability!$N$11)</f>
        <v/>
      </c>
      <c r="FO125">
        <f>IF(ISNA(FH125),NA(),IF(OR(Capability!$Q$11="",Settings!$F$7&lt;&gt;"Y"),NA(),Capability!$Q$11))</f>
        <v/>
      </c>
      <c r="FP125">
        <f>IF(ISNA(FH125),NA(),IF(OR(Capability!$P$11="",Settings!$F$7&lt;&gt;"Y"),NA(),Capability!$P$11))</f>
        <v/>
      </c>
      <c r="FV125">
        <f>IF((FY$1+121)&gt;FW$1,NA(),(FY$1+121)-4)</f>
        <v/>
      </c>
      <c r="FW125">
        <f>IF((FY$1+121)&gt;FW$1,NA(),INDEX('Data Entry'!$O$5:$O$10004,(FY$1+121)-4))</f>
        <v/>
      </c>
      <c r="FX125">
        <f>IF(ISNA(FV125),NA(),Capability!$K$12)</f>
        <v/>
      </c>
      <c r="FY125">
        <f>IF(ISNA(FV125),NA(),Capability!$J$12)</f>
        <v/>
      </c>
      <c r="FZ125">
        <f>IF(ISNA(FV125),NA(),Capability!$L$12)</f>
        <v/>
      </c>
      <c r="GA125">
        <f>IF(OR(ISNA(FW125),ISNA(FW124)),NA(),ABS(FW125-FW124))</f>
        <v/>
      </c>
      <c r="GB125">
        <f>IF(ISNA(FV125),NA(),Capability!$N$12)</f>
        <v/>
      </c>
      <c r="GC125">
        <f>IF(ISNA(FV125),NA(),IF(OR(Capability!$Q$12="",Settings!$F$7&lt;&gt;"Y"),NA(),Capability!$Q$12))</f>
        <v/>
      </c>
      <c r="GD125">
        <f>IF(ISNA(FV125),NA(),IF(OR(Capability!$P$12="",Settings!$F$7&lt;&gt;"Y"),NA(),Capability!$P$12))</f>
        <v/>
      </c>
      <c r="GJ125">
        <f>IF((GM$1+121)&gt;GK$1,NA(),(GM$1+121)-4)</f>
        <v/>
      </c>
      <c r="GK125">
        <f>IF((GM$1+121)&gt;GK$1,NA(),INDEX('Data Entry'!$P$5:$P$10004,(GM$1+121)-4))</f>
        <v/>
      </c>
      <c r="GL125">
        <f>IF(ISNA(GJ125),NA(),Capability!$K$13)</f>
        <v/>
      </c>
      <c r="GM125">
        <f>IF(ISNA(GJ125),NA(),Capability!$J$13)</f>
        <v/>
      </c>
      <c r="GN125">
        <f>IF(ISNA(GJ125),NA(),Capability!$L$13)</f>
        <v/>
      </c>
      <c r="GO125">
        <f>IF(OR(ISNA(GK125),ISNA(GK124)),NA(),ABS(GK125-GK124))</f>
        <v/>
      </c>
      <c r="GP125">
        <f>IF(ISNA(GJ125),NA(),Capability!$N$13)</f>
        <v/>
      </c>
      <c r="GQ125">
        <f>IF(ISNA(GJ125),NA(),IF(OR(Capability!$Q$13="",Settings!$F$7&lt;&gt;"Y"),NA(),Capability!$Q$13))</f>
        <v/>
      </c>
      <c r="GR125">
        <f>IF(ISNA(GJ125),NA(),IF(OR(Capability!$P$13="",Settings!$F$7&lt;&gt;"Y"),NA(),Capability!$P$13))</f>
        <v/>
      </c>
      <c r="GX125">
        <f>IF((HA$1+121)&gt;GY$1,NA(),(HA$1+121)-4)</f>
        <v/>
      </c>
      <c r="GY125">
        <f>IF((HA$1+121)&gt;GY$1,NA(),INDEX('Data Entry'!$Q$5:$Q$10004,(HA$1+121)-4))</f>
        <v/>
      </c>
      <c r="GZ125">
        <f>IF(ISNA(GX125),NA(),Capability!$K$14)</f>
        <v/>
      </c>
      <c r="HA125">
        <f>IF(ISNA(GX125),NA(),Capability!$J$14)</f>
        <v/>
      </c>
      <c r="HB125">
        <f>IF(ISNA(GX125),NA(),Capability!$L$14)</f>
        <v/>
      </c>
      <c r="HC125">
        <f>IF(OR(ISNA(GY125),ISNA(GY124)),NA(),ABS(GY125-GY124))</f>
        <v/>
      </c>
      <c r="HD125">
        <f>IF(ISNA(GX125),NA(),Capability!$N$14)</f>
        <v/>
      </c>
      <c r="HE125">
        <f>IF(ISNA(GX125),NA(),IF(OR(Capability!$Q$14="",Settings!$F$7&lt;&gt;"Y"),NA(),Capability!$Q$14))</f>
        <v/>
      </c>
      <c r="HF125">
        <f>IF(ISNA(GX125),NA(),IF(OR(Capability!$P$14="",Settings!$F$7&lt;&gt;"Y"),NA(),Capability!$P$14))</f>
        <v/>
      </c>
    </row>
    <row r="126">
      <c r="A126" s="35" t="inlineStr">
        <is>
          <t>Unit</t>
        </is>
      </c>
      <c r="B126" s="36">
        <f>Settings!F20</f>
        <v/>
      </c>
      <c r="CB126">
        <f>IF((CE$1+122)&gt;CC$1,NA(),(CE$1+122)-4)</f>
        <v/>
      </c>
      <c r="CC126">
        <f>IF((CE$1+122)&gt;CC$1,NA(),INDEX('Data Entry'!$H$5:$H$10004,(CE$1+122)-4))</f>
        <v/>
      </c>
      <c r="CD126">
        <f>IF(ISNA(CB126),NA(),Capability!$K$5)</f>
        <v/>
      </c>
      <c r="CE126">
        <f>IF(ISNA(CB126),NA(),Capability!$J$5)</f>
        <v/>
      </c>
      <c r="CF126">
        <f>IF(ISNA(CB126),NA(),Capability!$L$5)</f>
        <v/>
      </c>
      <c r="CG126">
        <f>IF(OR(ISNA(CC126),ISNA(CC125)),NA(),ABS(CC126-CC125))</f>
        <v/>
      </c>
      <c r="CH126">
        <f>IF(ISNA(CB126),NA(),Capability!$N$5)</f>
        <v/>
      </c>
      <c r="CI126">
        <f>IF(ISNA(CB126),NA(),IF(OR(Capability!$Q$5="",Settings!$F$7&lt;&gt;"Y"),NA(),Capability!$Q$5))</f>
        <v/>
      </c>
      <c r="CJ126">
        <f>IF(ISNA(CB126),NA(),IF(OR(Capability!$P$5="",Settings!$F$7&lt;&gt;"Y"),NA(),Capability!$P$5))</f>
        <v/>
      </c>
      <c r="CP126">
        <f>IF((CS$1+122)&gt;CQ$1,NA(),(CS$1+122)-4)</f>
        <v/>
      </c>
      <c r="CQ126">
        <f>IF((CS$1+122)&gt;CQ$1,NA(),INDEX('Data Entry'!$I$5:$I$10004,(CS$1+122)-4))</f>
        <v/>
      </c>
      <c r="CR126">
        <f>IF(ISNA(CP126),NA(),Capability!$K$6)</f>
        <v/>
      </c>
      <c r="CS126">
        <f>IF(ISNA(CP126),NA(),Capability!$J$6)</f>
        <v/>
      </c>
      <c r="CT126">
        <f>IF(ISNA(CP126),NA(),Capability!$L$6)</f>
        <v/>
      </c>
      <c r="CU126">
        <f>IF(OR(ISNA(CQ126),ISNA(CQ125)),NA(),ABS(CQ126-CQ125))</f>
        <v/>
      </c>
      <c r="CV126">
        <f>IF(ISNA(CP126),NA(),Capability!$N$6)</f>
        <v/>
      </c>
      <c r="CW126">
        <f>IF(ISNA(CP126),NA(),IF(OR(Capability!$Q$6="",Settings!$F$7&lt;&gt;"Y"),NA(),Capability!$Q$6))</f>
        <v/>
      </c>
      <c r="CX126">
        <f>IF(ISNA(CP126),NA(),IF(OR(Capability!$P$6="",Settings!$F$7&lt;&gt;"Y"),NA(),Capability!$P$6))</f>
        <v/>
      </c>
      <c r="DD126">
        <f>IF((DG$1+122)&gt;DE$1,NA(),(DG$1+122)-4)</f>
        <v/>
      </c>
      <c r="DE126">
        <f>IF((DG$1+122)&gt;DE$1,NA(),INDEX('Data Entry'!$J$5:$J$10004,(DG$1+122)-4))</f>
        <v/>
      </c>
      <c r="DF126">
        <f>IF(ISNA(DD126),NA(),Capability!$K$7)</f>
        <v/>
      </c>
      <c r="DG126">
        <f>IF(ISNA(DD126),NA(),Capability!$J$7)</f>
        <v/>
      </c>
      <c r="DH126">
        <f>IF(ISNA(DD126),NA(),Capability!$L$7)</f>
        <v/>
      </c>
      <c r="DI126">
        <f>IF(OR(ISNA(DE126),ISNA(DE125)),NA(),ABS(DE126-DE125))</f>
        <v/>
      </c>
      <c r="DJ126">
        <f>IF(ISNA(DD126),NA(),Capability!$N$7)</f>
        <v/>
      </c>
      <c r="DK126">
        <f>IF(ISNA(DD126),NA(),IF(OR(Capability!$Q$7="",Settings!$F$7&lt;&gt;"Y"),NA(),Capability!$Q$7))</f>
        <v/>
      </c>
      <c r="DL126">
        <f>IF(ISNA(DD126),NA(),IF(OR(Capability!$P$7="",Settings!$F$7&lt;&gt;"Y"),NA(),Capability!$P$7))</f>
        <v/>
      </c>
      <c r="DR126">
        <f>IF((DU$1+122)&gt;DS$1,NA(),(DU$1+122)-4)</f>
        <v/>
      </c>
      <c r="DS126">
        <f>IF((DU$1+122)&gt;DS$1,NA(),INDEX('Data Entry'!$K$5:$K$10004,(DU$1+122)-4))</f>
        <v/>
      </c>
      <c r="DT126">
        <f>IF(ISNA(DR126),NA(),Capability!$K$8)</f>
        <v/>
      </c>
      <c r="DU126">
        <f>IF(ISNA(DR126),NA(),Capability!$J$8)</f>
        <v/>
      </c>
      <c r="DV126">
        <f>IF(ISNA(DR126),NA(),Capability!$L$8)</f>
        <v/>
      </c>
      <c r="DW126">
        <f>IF(OR(ISNA(DS126),ISNA(DS125)),NA(),ABS(DS126-DS125))</f>
        <v/>
      </c>
      <c r="DX126">
        <f>IF(ISNA(DR126),NA(),Capability!$N$8)</f>
        <v/>
      </c>
      <c r="DY126">
        <f>IF(ISNA(DR126),NA(),IF(OR(Capability!$Q$8="",Settings!$F$7&lt;&gt;"Y"),NA(),Capability!$Q$8))</f>
        <v/>
      </c>
      <c r="DZ126">
        <f>IF(ISNA(DR126),NA(),IF(OR(Capability!$P$8="",Settings!$F$7&lt;&gt;"Y"),NA(),Capability!$P$8))</f>
        <v/>
      </c>
      <c r="EF126">
        <f>IF((EI$1+122)&gt;EG$1,NA(),(EI$1+122)-4)</f>
        <v/>
      </c>
      <c r="EG126">
        <f>IF((EI$1+122)&gt;EG$1,NA(),INDEX('Data Entry'!$L$5:$L$10004,(EI$1+122)-4))</f>
        <v/>
      </c>
      <c r="EH126">
        <f>IF(ISNA(EF126),NA(),Capability!$K$9)</f>
        <v/>
      </c>
      <c r="EI126">
        <f>IF(ISNA(EF126),NA(),Capability!$J$9)</f>
        <v/>
      </c>
      <c r="EJ126">
        <f>IF(ISNA(EF126),NA(),Capability!$L$9)</f>
        <v/>
      </c>
      <c r="EK126">
        <f>IF(OR(ISNA(EG126),ISNA(EG125)),NA(),ABS(EG126-EG125))</f>
        <v/>
      </c>
      <c r="EL126">
        <f>IF(ISNA(EF126),NA(),Capability!$N$9)</f>
        <v/>
      </c>
      <c r="EM126">
        <f>IF(ISNA(EF126),NA(),IF(OR(Capability!$Q$9="",Settings!$F$7&lt;&gt;"Y"),NA(),Capability!$Q$9))</f>
        <v/>
      </c>
      <c r="EN126">
        <f>IF(ISNA(EF126),NA(),IF(OR(Capability!$P$9="",Settings!$F$7&lt;&gt;"Y"),NA(),Capability!$P$9))</f>
        <v/>
      </c>
      <c r="ET126">
        <f>IF((EW$1+122)&gt;EU$1,NA(),(EW$1+122)-4)</f>
        <v/>
      </c>
      <c r="EU126">
        <f>IF((EW$1+122)&gt;EU$1,NA(),INDEX('Data Entry'!$M$5:$M$10004,(EW$1+122)-4))</f>
        <v/>
      </c>
      <c r="EV126">
        <f>IF(ISNA(ET126),NA(),Capability!$K$10)</f>
        <v/>
      </c>
      <c r="EW126">
        <f>IF(ISNA(ET126),NA(),Capability!$J$10)</f>
        <v/>
      </c>
      <c r="EX126">
        <f>IF(ISNA(ET126),NA(),Capability!$L$10)</f>
        <v/>
      </c>
      <c r="EY126">
        <f>IF(OR(ISNA(EU126),ISNA(EU125)),NA(),ABS(EU126-EU125))</f>
        <v/>
      </c>
      <c r="EZ126">
        <f>IF(ISNA(ET126),NA(),Capability!$N$10)</f>
        <v/>
      </c>
      <c r="FA126">
        <f>IF(ISNA(ET126),NA(),IF(OR(Capability!$Q$10="",Settings!$F$7&lt;&gt;"Y"),NA(),Capability!$Q$10))</f>
        <v/>
      </c>
      <c r="FB126">
        <f>IF(ISNA(ET126),NA(),IF(OR(Capability!$P$10="",Settings!$F$7&lt;&gt;"Y"),NA(),Capability!$P$10))</f>
        <v/>
      </c>
      <c r="FH126">
        <f>IF((FK$1+122)&gt;FI$1,NA(),(FK$1+122)-4)</f>
        <v/>
      </c>
      <c r="FI126">
        <f>IF((FK$1+122)&gt;FI$1,NA(),INDEX('Data Entry'!$N$5:$N$10004,(FK$1+122)-4))</f>
        <v/>
      </c>
      <c r="FJ126">
        <f>IF(ISNA(FH126),NA(),Capability!$K$11)</f>
        <v/>
      </c>
      <c r="FK126">
        <f>IF(ISNA(FH126),NA(),Capability!$J$11)</f>
        <v/>
      </c>
      <c r="FL126">
        <f>IF(ISNA(FH126),NA(),Capability!$L$11)</f>
        <v/>
      </c>
      <c r="FM126">
        <f>IF(OR(ISNA(FI126),ISNA(FI125)),NA(),ABS(FI126-FI125))</f>
        <v/>
      </c>
      <c r="FN126">
        <f>IF(ISNA(FH126),NA(),Capability!$N$11)</f>
        <v/>
      </c>
      <c r="FO126">
        <f>IF(ISNA(FH126),NA(),IF(OR(Capability!$Q$11="",Settings!$F$7&lt;&gt;"Y"),NA(),Capability!$Q$11))</f>
        <v/>
      </c>
      <c r="FP126">
        <f>IF(ISNA(FH126),NA(),IF(OR(Capability!$P$11="",Settings!$F$7&lt;&gt;"Y"),NA(),Capability!$P$11))</f>
        <v/>
      </c>
      <c r="FV126">
        <f>IF((FY$1+122)&gt;FW$1,NA(),(FY$1+122)-4)</f>
        <v/>
      </c>
      <c r="FW126">
        <f>IF((FY$1+122)&gt;FW$1,NA(),INDEX('Data Entry'!$O$5:$O$10004,(FY$1+122)-4))</f>
        <v/>
      </c>
      <c r="FX126">
        <f>IF(ISNA(FV126),NA(),Capability!$K$12)</f>
        <v/>
      </c>
      <c r="FY126">
        <f>IF(ISNA(FV126),NA(),Capability!$J$12)</f>
        <v/>
      </c>
      <c r="FZ126">
        <f>IF(ISNA(FV126),NA(),Capability!$L$12)</f>
        <v/>
      </c>
      <c r="GA126">
        <f>IF(OR(ISNA(FW126),ISNA(FW125)),NA(),ABS(FW126-FW125))</f>
        <v/>
      </c>
      <c r="GB126">
        <f>IF(ISNA(FV126),NA(),Capability!$N$12)</f>
        <v/>
      </c>
      <c r="GC126">
        <f>IF(ISNA(FV126),NA(),IF(OR(Capability!$Q$12="",Settings!$F$7&lt;&gt;"Y"),NA(),Capability!$Q$12))</f>
        <v/>
      </c>
      <c r="GD126">
        <f>IF(ISNA(FV126),NA(),IF(OR(Capability!$P$12="",Settings!$F$7&lt;&gt;"Y"),NA(),Capability!$P$12))</f>
        <v/>
      </c>
      <c r="GJ126">
        <f>IF((GM$1+122)&gt;GK$1,NA(),(GM$1+122)-4)</f>
        <v/>
      </c>
      <c r="GK126">
        <f>IF((GM$1+122)&gt;GK$1,NA(),INDEX('Data Entry'!$P$5:$P$10004,(GM$1+122)-4))</f>
        <v/>
      </c>
      <c r="GL126">
        <f>IF(ISNA(GJ126),NA(),Capability!$K$13)</f>
        <v/>
      </c>
      <c r="GM126">
        <f>IF(ISNA(GJ126),NA(),Capability!$J$13)</f>
        <v/>
      </c>
      <c r="GN126">
        <f>IF(ISNA(GJ126),NA(),Capability!$L$13)</f>
        <v/>
      </c>
      <c r="GO126">
        <f>IF(OR(ISNA(GK126),ISNA(GK125)),NA(),ABS(GK126-GK125))</f>
        <v/>
      </c>
      <c r="GP126">
        <f>IF(ISNA(GJ126),NA(),Capability!$N$13)</f>
        <v/>
      </c>
      <c r="GQ126">
        <f>IF(ISNA(GJ126),NA(),IF(OR(Capability!$Q$13="",Settings!$F$7&lt;&gt;"Y"),NA(),Capability!$Q$13))</f>
        <v/>
      </c>
      <c r="GR126">
        <f>IF(ISNA(GJ126),NA(),IF(OR(Capability!$P$13="",Settings!$F$7&lt;&gt;"Y"),NA(),Capability!$P$13))</f>
        <v/>
      </c>
      <c r="GX126">
        <f>IF((HA$1+122)&gt;GY$1,NA(),(HA$1+122)-4)</f>
        <v/>
      </c>
      <c r="GY126">
        <f>IF((HA$1+122)&gt;GY$1,NA(),INDEX('Data Entry'!$Q$5:$Q$10004,(HA$1+122)-4))</f>
        <v/>
      </c>
      <c r="GZ126">
        <f>IF(ISNA(GX126),NA(),Capability!$K$14)</f>
        <v/>
      </c>
      <c r="HA126">
        <f>IF(ISNA(GX126),NA(),Capability!$J$14)</f>
        <v/>
      </c>
      <c r="HB126">
        <f>IF(ISNA(GX126),NA(),Capability!$L$14)</f>
        <v/>
      </c>
      <c r="HC126">
        <f>IF(OR(ISNA(GY126),ISNA(GY125)),NA(),ABS(GY126-GY125))</f>
        <v/>
      </c>
      <c r="HD126">
        <f>IF(ISNA(GX126),NA(),Capability!$N$14)</f>
        <v/>
      </c>
      <c r="HE126">
        <f>IF(ISNA(GX126),NA(),IF(OR(Capability!$Q$14="",Settings!$F$7&lt;&gt;"Y"),NA(),Capability!$Q$14))</f>
        <v/>
      </c>
      <c r="HF126">
        <f>IF(ISNA(GX126),NA(),IF(OR(Capability!$P$14="",Settings!$F$7&lt;&gt;"Y"),NA(),Capability!$P$14))</f>
        <v/>
      </c>
    </row>
    <row r="127">
      <c r="A127" s="35" t="inlineStr">
        <is>
          <t>Samples (n)</t>
        </is>
      </c>
      <c r="B127" s="22">
        <f>Capability!B8</f>
        <v/>
      </c>
      <c r="CB127">
        <f>IF((CE$1+123)&gt;CC$1,NA(),(CE$1+123)-4)</f>
        <v/>
      </c>
      <c r="CC127">
        <f>IF((CE$1+123)&gt;CC$1,NA(),INDEX('Data Entry'!$H$5:$H$10004,(CE$1+123)-4))</f>
        <v/>
      </c>
      <c r="CD127">
        <f>IF(ISNA(CB127),NA(),Capability!$K$5)</f>
        <v/>
      </c>
      <c r="CE127">
        <f>IF(ISNA(CB127),NA(),Capability!$J$5)</f>
        <v/>
      </c>
      <c r="CF127">
        <f>IF(ISNA(CB127),NA(),Capability!$L$5)</f>
        <v/>
      </c>
      <c r="CG127">
        <f>IF(OR(ISNA(CC127),ISNA(CC126)),NA(),ABS(CC127-CC126))</f>
        <v/>
      </c>
      <c r="CH127">
        <f>IF(ISNA(CB127),NA(),Capability!$N$5)</f>
        <v/>
      </c>
      <c r="CI127">
        <f>IF(ISNA(CB127),NA(),IF(OR(Capability!$Q$5="",Settings!$F$7&lt;&gt;"Y"),NA(),Capability!$Q$5))</f>
        <v/>
      </c>
      <c r="CJ127">
        <f>IF(ISNA(CB127),NA(),IF(OR(Capability!$P$5="",Settings!$F$7&lt;&gt;"Y"),NA(),Capability!$P$5))</f>
        <v/>
      </c>
      <c r="CP127">
        <f>IF((CS$1+123)&gt;CQ$1,NA(),(CS$1+123)-4)</f>
        <v/>
      </c>
      <c r="CQ127">
        <f>IF((CS$1+123)&gt;CQ$1,NA(),INDEX('Data Entry'!$I$5:$I$10004,(CS$1+123)-4))</f>
        <v/>
      </c>
      <c r="CR127">
        <f>IF(ISNA(CP127),NA(),Capability!$K$6)</f>
        <v/>
      </c>
      <c r="CS127">
        <f>IF(ISNA(CP127),NA(),Capability!$J$6)</f>
        <v/>
      </c>
      <c r="CT127">
        <f>IF(ISNA(CP127),NA(),Capability!$L$6)</f>
        <v/>
      </c>
      <c r="CU127">
        <f>IF(OR(ISNA(CQ127),ISNA(CQ126)),NA(),ABS(CQ127-CQ126))</f>
        <v/>
      </c>
      <c r="CV127">
        <f>IF(ISNA(CP127),NA(),Capability!$N$6)</f>
        <v/>
      </c>
      <c r="CW127">
        <f>IF(ISNA(CP127),NA(),IF(OR(Capability!$Q$6="",Settings!$F$7&lt;&gt;"Y"),NA(),Capability!$Q$6))</f>
        <v/>
      </c>
      <c r="CX127">
        <f>IF(ISNA(CP127),NA(),IF(OR(Capability!$P$6="",Settings!$F$7&lt;&gt;"Y"),NA(),Capability!$P$6))</f>
        <v/>
      </c>
      <c r="DD127">
        <f>IF((DG$1+123)&gt;DE$1,NA(),(DG$1+123)-4)</f>
        <v/>
      </c>
      <c r="DE127">
        <f>IF((DG$1+123)&gt;DE$1,NA(),INDEX('Data Entry'!$J$5:$J$10004,(DG$1+123)-4))</f>
        <v/>
      </c>
      <c r="DF127">
        <f>IF(ISNA(DD127),NA(),Capability!$K$7)</f>
        <v/>
      </c>
      <c r="DG127">
        <f>IF(ISNA(DD127),NA(),Capability!$J$7)</f>
        <v/>
      </c>
      <c r="DH127">
        <f>IF(ISNA(DD127),NA(),Capability!$L$7)</f>
        <v/>
      </c>
      <c r="DI127">
        <f>IF(OR(ISNA(DE127),ISNA(DE126)),NA(),ABS(DE127-DE126))</f>
        <v/>
      </c>
      <c r="DJ127">
        <f>IF(ISNA(DD127),NA(),Capability!$N$7)</f>
        <v/>
      </c>
      <c r="DK127">
        <f>IF(ISNA(DD127),NA(),IF(OR(Capability!$Q$7="",Settings!$F$7&lt;&gt;"Y"),NA(),Capability!$Q$7))</f>
        <v/>
      </c>
      <c r="DL127">
        <f>IF(ISNA(DD127),NA(),IF(OR(Capability!$P$7="",Settings!$F$7&lt;&gt;"Y"),NA(),Capability!$P$7))</f>
        <v/>
      </c>
      <c r="DR127">
        <f>IF((DU$1+123)&gt;DS$1,NA(),(DU$1+123)-4)</f>
        <v/>
      </c>
      <c r="DS127">
        <f>IF((DU$1+123)&gt;DS$1,NA(),INDEX('Data Entry'!$K$5:$K$10004,(DU$1+123)-4))</f>
        <v/>
      </c>
      <c r="DT127">
        <f>IF(ISNA(DR127),NA(),Capability!$K$8)</f>
        <v/>
      </c>
      <c r="DU127">
        <f>IF(ISNA(DR127),NA(),Capability!$J$8)</f>
        <v/>
      </c>
      <c r="DV127">
        <f>IF(ISNA(DR127),NA(),Capability!$L$8)</f>
        <v/>
      </c>
      <c r="DW127">
        <f>IF(OR(ISNA(DS127),ISNA(DS126)),NA(),ABS(DS127-DS126))</f>
        <v/>
      </c>
      <c r="DX127">
        <f>IF(ISNA(DR127),NA(),Capability!$N$8)</f>
        <v/>
      </c>
      <c r="DY127">
        <f>IF(ISNA(DR127),NA(),IF(OR(Capability!$Q$8="",Settings!$F$7&lt;&gt;"Y"),NA(),Capability!$Q$8))</f>
        <v/>
      </c>
      <c r="DZ127">
        <f>IF(ISNA(DR127),NA(),IF(OR(Capability!$P$8="",Settings!$F$7&lt;&gt;"Y"),NA(),Capability!$P$8))</f>
        <v/>
      </c>
      <c r="EF127">
        <f>IF((EI$1+123)&gt;EG$1,NA(),(EI$1+123)-4)</f>
        <v/>
      </c>
      <c r="EG127">
        <f>IF((EI$1+123)&gt;EG$1,NA(),INDEX('Data Entry'!$L$5:$L$10004,(EI$1+123)-4))</f>
        <v/>
      </c>
      <c r="EH127">
        <f>IF(ISNA(EF127),NA(),Capability!$K$9)</f>
        <v/>
      </c>
      <c r="EI127">
        <f>IF(ISNA(EF127),NA(),Capability!$J$9)</f>
        <v/>
      </c>
      <c r="EJ127">
        <f>IF(ISNA(EF127),NA(),Capability!$L$9)</f>
        <v/>
      </c>
      <c r="EK127">
        <f>IF(OR(ISNA(EG127),ISNA(EG126)),NA(),ABS(EG127-EG126))</f>
        <v/>
      </c>
      <c r="EL127">
        <f>IF(ISNA(EF127),NA(),Capability!$N$9)</f>
        <v/>
      </c>
      <c r="EM127">
        <f>IF(ISNA(EF127),NA(),IF(OR(Capability!$Q$9="",Settings!$F$7&lt;&gt;"Y"),NA(),Capability!$Q$9))</f>
        <v/>
      </c>
      <c r="EN127">
        <f>IF(ISNA(EF127),NA(),IF(OR(Capability!$P$9="",Settings!$F$7&lt;&gt;"Y"),NA(),Capability!$P$9))</f>
        <v/>
      </c>
      <c r="ET127">
        <f>IF((EW$1+123)&gt;EU$1,NA(),(EW$1+123)-4)</f>
        <v/>
      </c>
      <c r="EU127">
        <f>IF((EW$1+123)&gt;EU$1,NA(),INDEX('Data Entry'!$M$5:$M$10004,(EW$1+123)-4))</f>
        <v/>
      </c>
      <c r="EV127">
        <f>IF(ISNA(ET127),NA(),Capability!$K$10)</f>
        <v/>
      </c>
      <c r="EW127">
        <f>IF(ISNA(ET127),NA(),Capability!$J$10)</f>
        <v/>
      </c>
      <c r="EX127">
        <f>IF(ISNA(ET127),NA(),Capability!$L$10)</f>
        <v/>
      </c>
      <c r="EY127">
        <f>IF(OR(ISNA(EU127),ISNA(EU126)),NA(),ABS(EU127-EU126))</f>
        <v/>
      </c>
      <c r="EZ127">
        <f>IF(ISNA(ET127),NA(),Capability!$N$10)</f>
        <v/>
      </c>
      <c r="FA127">
        <f>IF(ISNA(ET127),NA(),IF(OR(Capability!$Q$10="",Settings!$F$7&lt;&gt;"Y"),NA(),Capability!$Q$10))</f>
        <v/>
      </c>
      <c r="FB127">
        <f>IF(ISNA(ET127),NA(),IF(OR(Capability!$P$10="",Settings!$F$7&lt;&gt;"Y"),NA(),Capability!$P$10))</f>
        <v/>
      </c>
      <c r="FH127">
        <f>IF((FK$1+123)&gt;FI$1,NA(),(FK$1+123)-4)</f>
        <v/>
      </c>
      <c r="FI127">
        <f>IF((FK$1+123)&gt;FI$1,NA(),INDEX('Data Entry'!$N$5:$N$10004,(FK$1+123)-4))</f>
        <v/>
      </c>
      <c r="FJ127">
        <f>IF(ISNA(FH127),NA(),Capability!$K$11)</f>
        <v/>
      </c>
      <c r="FK127">
        <f>IF(ISNA(FH127),NA(),Capability!$J$11)</f>
        <v/>
      </c>
      <c r="FL127">
        <f>IF(ISNA(FH127),NA(),Capability!$L$11)</f>
        <v/>
      </c>
      <c r="FM127">
        <f>IF(OR(ISNA(FI127),ISNA(FI126)),NA(),ABS(FI127-FI126))</f>
        <v/>
      </c>
      <c r="FN127">
        <f>IF(ISNA(FH127),NA(),Capability!$N$11)</f>
        <v/>
      </c>
      <c r="FO127">
        <f>IF(ISNA(FH127),NA(),IF(OR(Capability!$Q$11="",Settings!$F$7&lt;&gt;"Y"),NA(),Capability!$Q$11))</f>
        <v/>
      </c>
      <c r="FP127">
        <f>IF(ISNA(FH127),NA(),IF(OR(Capability!$P$11="",Settings!$F$7&lt;&gt;"Y"),NA(),Capability!$P$11))</f>
        <v/>
      </c>
      <c r="FV127">
        <f>IF((FY$1+123)&gt;FW$1,NA(),(FY$1+123)-4)</f>
        <v/>
      </c>
      <c r="FW127">
        <f>IF((FY$1+123)&gt;FW$1,NA(),INDEX('Data Entry'!$O$5:$O$10004,(FY$1+123)-4))</f>
        <v/>
      </c>
      <c r="FX127">
        <f>IF(ISNA(FV127),NA(),Capability!$K$12)</f>
        <v/>
      </c>
      <c r="FY127">
        <f>IF(ISNA(FV127),NA(),Capability!$J$12)</f>
        <v/>
      </c>
      <c r="FZ127">
        <f>IF(ISNA(FV127),NA(),Capability!$L$12)</f>
        <v/>
      </c>
      <c r="GA127">
        <f>IF(OR(ISNA(FW127),ISNA(FW126)),NA(),ABS(FW127-FW126))</f>
        <v/>
      </c>
      <c r="GB127">
        <f>IF(ISNA(FV127),NA(),Capability!$N$12)</f>
        <v/>
      </c>
      <c r="GC127">
        <f>IF(ISNA(FV127),NA(),IF(OR(Capability!$Q$12="",Settings!$F$7&lt;&gt;"Y"),NA(),Capability!$Q$12))</f>
        <v/>
      </c>
      <c r="GD127">
        <f>IF(ISNA(FV127),NA(),IF(OR(Capability!$P$12="",Settings!$F$7&lt;&gt;"Y"),NA(),Capability!$P$12))</f>
        <v/>
      </c>
      <c r="GJ127">
        <f>IF((GM$1+123)&gt;GK$1,NA(),(GM$1+123)-4)</f>
        <v/>
      </c>
      <c r="GK127">
        <f>IF((GM$1+123)&gt;GK$1,NA(),INDEX('Data Entry'!$P$5:$P$10004,(GM$1+123)-4))</f>
        <v/>
      </c>
      <c r="GL127">
        <f>IF(ISNA(GJ127),NA(),Capability!$K$13)</f>
        <v/>
      </c>
      <c r="GM127">
        <f>IF(ISNA(GJ127),NA(),Capability!$J$13)</f>
        <v/>
      </c>
      <c r="GN127">
        <f>IF(ISNA(GJ127),NA(),Capability!$L$13)</f>
        <v/>
      </c>
      <c r="GO127">
        <f>IF(OR(ISNA(GK127),ISNA(GK126)),NA(),ABS(GK127-GK126))</f>
        <v/>
      </c>
      <c r="GP127">
        <f>IF(ISNA(GJ127),NA(),Capability!$N$13)</f>
        <v/>
      </c>
      <c r="GQ127">
        <f>IF(ISNA(GJ127),NA(),IF(OR(Capability!$Q$13="",Settings!$F$7&lt;&gt;"Y"),NA(),Capability!$Q$13))</f>
        <v/>
      </c>
      <c r="GR127">
        <f>IF(ISNA(GJ127),NA(),IF(OR(Capability!$P$13="",Settings!$F$7&lt;&gt;"Y"),NA(),Capability!$P$13))</f>
        <v/>
      </c>
      <c r="GX127">
        <f>IF((HA$1+123)&gt;GY$1,NA(),(HA$1+123)-4)</f>
        <v/>
      </c>
      <c r="GY127">
        <f>IF((HA$1+123)&gt;GY$1,NA(),INDEX('Data Entry'!$Q$5:$Q$10004,(HA$1+123)-4))</f>
        <v/>
      </c>
      <c r="GZ127">
        <f>IF(ISNA(GX127),NA(),Capability!$K$14)</f>
        <v/>
      </c>
      <c r="HA127">
        <f>IF(ISNA(GX127),NA(),Capability!$J$14)</f>
        <v/>
      </c>
      <c r="HB127">
        <f>IF(ISNA(GX127),NA(),Capability!$L$14)</f>
        <v/>
      </c>
      <c r="HC127">
        <f>IF(OR(ISNA(GY127),ISNA(GY126)),NA(),ABS(GY127-GY126))</f>
        <v/>
      </c>
      <c r="HD127">
        <f>IF(ISNA(GX127),NA(),Capability!$N$14)</f>
        <v/>
      </c>
      <c r="HE127">
        <f>IF(ISNA(GX127),NA(),IF(OR(Capability!$Q$14="",Settings!$F$7&lt;&gt;"Y"),NA(),Capability!$Q$14))</f>
        <v/>
      </c>
      <c r="HF127">
        <f>IF(ISNA(GX127),NA(),IF(OR(Capability!$P$14="",Settings!$F$7&lt;&gt;"Y"),NA(),Capability!$P$14))</f>
        <v/>
      </c>
    </row>
    <row r="128">
      <c r="A128" s="37" t="inlineStr">
        <is>
          <t>DATA RANGE</t>
        </is>
      </c>
      <c r="B128" s="28" t="n"/>
      <c r="CB128">
        <f>IF((CE$1+124)&gt;CC$1,NA(),(CE$1+124)-4)</f>
        <v/>
      </c>
      <c r="CC128">
        <f>IF((CE$1+124)&gt;CC$1,NA(),INDEX('Data Entry'!$H$5:$H$10004,(CE$1+124)-4))</f>
        <v/>
      </c>
      <c r="CD128">
        <f>IF(ISNA(CB128),NA(),Capability!$K$5)</f>
        <v/>
      </c>
      <c r="CE128">
        <f>IF(ISNA(CB128),NA(),Capability!$J$5)</f>
        <v/>
      </c>
      <c r="CF128">
        <f>IF(ISNA(CB128),NA(),Capability!$L$5)</f>
        <v/>
      </c>
      <c r="CG128">
        <f>IF(OR(ISNA(CC128),ISNA(CC127)),NA(),ABS(CC128-CC127))</f>
        <v/>
      </c>
      <c r="CH128">
        <f>IF(ISNA(CB128),NA(),Capability!$N$5)</f>
        <v/>
      </c>
      <c r="CI128">
        <f>IF(ISNA(CB128),NA(),IF(OR(Capability!$Q$5="",Settings!$F$7&lt;&gt;"Y"),NA(),Capability!$Q$5))</f>
        <v/>
      </c>
      <c r="CJ128">
        <f>IF(ISNA(CB128),NA(),IF(OR(Capability!$P$5="",Settings!$F$7&lt;&gt;"Y"),NA(),Capability!$P$5))</f>
        <v/>
      </c>
      <c r="CP128">
        <f>IF((CS$1+124)&gt;CQ$1,NA(),(CS$1+124)-4)</f>
        <v/>
      </c>
      <c r="CQ128">
        <f>IF((CS$1+124)&gt;CQ$1,NA(),INDEX('Data Entry'!$I$5:$I$10004,(CS$1+124)-4))</f>
        <v/>
      </c>
      <c r="CR128">
        <f>IF(ISNA(CP128),NA(),Capability!$K$6)</f>
        <v/>
      </c>
      <c r="CS128">
        <f>IF(ISNA(CP128),NA(),Capability!$J$6)</f>
        <v/>
      </c>
      <c r="CT128">
        <f>IF(ISNA(CP128),NA(),Capability!$L$6)</f>
        <v/>
      </c>
      <c r="CU128">
        <f>IF(OR(ISNA(CQ128),ISNA(CQ127)),NA(),ABS(CQ128-CQ127))</f>
        <v/>
      </c>
      <c r="CV128">
        <f>IF(ISNA(CP128),NA(),Capability!$N$6)</f>
        <v/>
      </c>
      <c r="CW128">
        <f>IF(ISNA(CP128),NA(),IF(OR(Capability!$Q$6="",Settings!$F$7&lt;&gt;"Y"),NA(),Capability!$Q$6))</f>
        <v/>
      </c>
      <c r="CX128">
        <f>IF(ISNA(CP128),NA(),IF(OR(Capability!$P$6="",Settings!$F$7&lt;&gt;"Y"),NA(),Capability!$P$6))</f>
        <v/>
      </c>
      <c r="DD128">
        <f>IF((DG$1+124)&gt;DE$1,NA(),(DG$1+124)-4)</f>
        <v/>
      </c>
      <c r="DE128">
        <f>IF((DG$1+124)&gt;DE$1,NA(),INDEX('Data Entry'!$J$5:$J$10004,(DG$1+124)-4))</f>
        <v/>
      </c>
      <c r="DF128">
        <f>IF(ISNA(DD128),NA(),Capability!$K$7)</f>
        <v/>
      </c>
      <c r="DG128">
        <f>IF(ISNA(DD128),NA(),Capability!$J$7)</f>
        <v/>
      </c>
      <c r="DH128">
        <f>IF(ISNA(DD128),NA(),Capability!$L$7)</f>
        <v/>
      </c>
      <c r="DI128">
        <f>IF(OR(ISNA(DE128),ISNA(DE127)),NA(),ABS(DE128-DE127))</f>
        <v/>
      </c>
      <c r="DJ128">
        <f>IF(ISNA(DD128),NA(),Capability!$N$7)</f>
        <v/>
      </c>
      <c r="DK128">
        <f>IF(ISNA(DD128),NA(),IF(OR(Capability!$Q$7="",Settings!$F$7&lt;&gt;"Y"),NA(),Capability!$Q$7))</f>
        <v/>
      </c>
      <c r="DL128">
        <f>IF(ISNA(DD128),NA(),IF(OR(Capability!$P$7="",Settings!$F$7&lt;&gt;"Y"),NA(),Capability!$P$7))</f>
        <v/>
      </c>
      <c r="DR128">
        <f>IF((DU$1+124)&gt;DS$1,NA(),(DU$1+124)-4)</f>
        <v/>
      </c>
      <c r="DS128">
        <f>IF((DU$1+124)&gt;DS$1,NA(),INDEX('Data Entry'!$K$5:$K$10004,(DU$1+124)-4))</f>
        <v/>
      </c>
      <c r="DT128">
        <f>IF(ISNA(DR128),NA(),Capability!$K$8)</f>
        <v/>
      </c>
      <c r="DU128">
        <f>IF(ISNA(DR128),NA(),Capability!$J$8)</f>
        <v/>
      </c>
      <c r="DV128">
        <f>IF(ISNA(DR128),NA(),Capability!$L$8)</f>
        <v/>
      </c>
      <c r="DW128">
        <f>IF(OR(ISNA(DS128),ISNA(DS127)),NA(),ABS(DS128-DS127))</f>
        <v/>
      </c>
      <c r="DX128">
        <f>IF(ISNA(DR128),NA(),Capability!$N$8)</f>
        <v/>
      </c>
      <c r="DY128">
        <f>IF(ISNA(DR128),NA(),IF(OR(Capability!$Q$8="",Settings!$F$7&lt;&gt;"Y"),NA(),Capability!$Q$8))</f>
        <v/>
      </c>
      <c r="DZ128">
        <f>IF(ISNA(DR128),NA(),IF(OR(Capability!$P$8="",Settings!$F$7&lt;&gt;"Y"),NA(),Capability!$P$8))</f>
        <v/>
      </c>
      <c r="EF128">
        <f>IF((EI$1+124)&gt;EG$1,NA(),(EI$1+124)-4)</f>
        <v/>
      </c>
      <c r="EG128">
        <f>IF((EI$1+124)&gt;EG$1,NA(),INDEX('Data Entry'!$L$5:$L$10004,(EI$1+124)-4))</f>
        <v/>
      </c>
      <c r="EH128">
        <f>IF(ISNA(EF128),NA(),Capability!$K$9)</f>
        <v/>
      </c>
      <c r="EI128">
        <f>IF(ISNA(EF128),NA(),Capability!$J$9)</f>
        <v/>
      </c>
      <c r="EJ128">
        <f>IF(ISNA(EF128),NA(),Capability!$L$9)</f>
        <v/>
      </c>
      <c r="EK128">
        <f>IF(OR(ISNA(EG128),ISNA(EG127)),NA(),ABS(EG128-EG127))</f>
        <v/>
      </c>
      <c r="EL128">
        <f>IF(ISNA(EF128),NA(),Capability!$N$9)</f>
        <v/>
      </c>
      <c r="EM128">
        <f>IF(ISNA(EF128),NA(),IF(OR(Capability!$Q$9="",Settings!$F$7&lt;&gt;"Y"),NA(),Capability!$Q$9))</f>
        <v/>
      </c>
      <c r="EN128">
        <f>IF(ISNA(EF128),NA(),IF(OR(Capability!$P$9="",Settings!$F$7&lt;&gt;"Y"),NA(),Capability!$P$9))</f>
        <v/>
      </c>
      <c r="ET128">
        <f>IF((EW$1+124)&gt;EU$1,NA(),(EW$1+124)-4)</f>
        <v/>
      </c>
      <c r="EU128">
        <f>IF((EW$1+124)&gt;EU$1,NA(),INDEX('Data Entry'!$M$5:$M$10004,(EW$1+124)-4))</f>
        <v/>
      </c>
      <c r="EV128">
        <f>IF(ISNA(ET128),NA(),Capability!$K$10)</f>
        <v/>
      </c>
      <c r="EW128">
        <f>IF(ISNA(ET128),NA(),Capability!$J$10)</f>
        <v/>
      </c>
      <c r="EX128">
        <f>IF(ISNA(ET128),NA(),Capability!$L$10)</f>
        <v/>
      </c>
      <c r="EY128">
        <f>IF(OR(ISNA(EU128),ISNA(EU127)),NA(),ABS(EU128-EU127))</f>
        <v/>
      </c>
      <c r="EZ128">
        <f>IF(ISNA(ET128),NA(),Capability!$N$10)</f>
        <v/>
      </c>
      <c r="FA128">
        <f>IF(ISNA(ET128),NA(),IF(OR(Capability!$Q$10="",Settings!$F$7&lt;&gt;"Y"),NA(),Capability!$Q$10))</f>
        <v/>
      </c>
      <c r="FB128">
        <f>IF(ISNA(ET128),NA(),IF(OR(Capability!$P$10="",Settings!$F$7&lt;&gt;"Y"),NA(),Capability!$P$10))</f>
        <v/>
      </c>
      <c r="FH128">
        <f>IF((FK$1+124)&gt;FI$1,NA(),(FK$1+124)-4)</f>
        <v/>
      </c>
      <c r="FI128">
        <f>IF((FK$1+124)&gt;FI$1,NA(),INDEX('Data Entry'!$N$5:$N$10004,(FK$1+124)-4))</f>
        <v/>
      </c>
      <c r="FJ128">
        <f>IF(ISNA(FH128),NA(),Capability!$K$11)</f>
        <v/>
      </c>
      <c r="FK128">
        <f>IF(ISNA(FH128),NA(),Capability!$J$11)</f>
        <v/>
      </c>
      <c r="FL128">
        <f>IF(ISNA(FH128),NA(),Capability!$L$11)</f>
        <v/>
      </c>
      <c r="FM128">
        <f>IF(OR(ISNA(FI128),ISNA(FI127)),NA(),ABS(FI128-FI127))</f>
        <v/>
      </c>
      <c r="FN128">
        <f>IF(ISNA(FH128),NA(),Capability!$N$11)</f>
        <v/>
      </c>
      <c r="FO128">
        <f>IF(ISNA(FH128),NA(),IF(OR(Capability!$Q$11="",Settings!$F$7&lt;&gt;"Y"),NA(),Capability!$Q$11))</f>
        <v/>
      </c>
      <c r="FP128">
        <f>IF(ISNA(FH128),NA(),IF(OR(Capability!$P$11="",Settings!$F$7&lt;&gt;"Y"),NA(),Capability!$P$11))</f>
        <v/>
      </c>
      <c r="FV128">
        <f>IF((FY$1+124)&gt;FW$1,NA(),(FY$1+124)-4)</f>
        <v/>
      </c>
      <c r="FW128">
        <f>IF((FY$1+124)&gt;FW$1,NA(),INDEX('Data Entry'!$O$5:$O$10004,(FY$1+124)-4))</f>
        <v/>
      </c>
      <c r="FX128">
        <f>IF(ISNA(FV128),NA(),Capability!$K$12)</f>
        <v/>
      </c>
      <c r="FY128">
        <f>IF(ISNA(FV128),NA(),Capability!$J$12)</f>
        <v/>
      </c>
      <c r="FZ128">
        <f>IF(ISNA(FV128),NA(),Capability!$L$12)</f>
        <v/>
      </c>
      <c r="GA128">
        <f>IF(OR(ISNA(FW128),ISNA(FW127)),NA(),ABS(FW128-FW127))</f>
        <v/>
      </c>
      <c r="GB128">
        <f>IF(ISNA(FV128),NA(),Capability!$N$12)</f>
        <v/>
      </c>
      <c r="GC128">
        <f>IF(ISNA(FV128),NA(),IF(OR(Capability!$Q$12="",Settings!$F$7&lt;&gt;"Y"),NA(),Capability!$Q$12))</f>
        <v/>
      </c>
      <c r="GD128">
        <f>IF(ISNA(FV128),NA(),IF(OR(Capability!$P$12="",Settings!$F$7&lt;&gt;"Y"),NA(),Capability!$P$12))</f>
        <v/>
      </c>
      <c r="GJ128">
        <f>IF((GM$1+124)&gt;GK$1,NA(),(GM$1+124)-4)</f>
        <v/>
      </c>
      <c r="GK128">
        <f>IF((GM$1+124)&gt;GK$1,NA(),INDEX('Data Entry'!$P$5:$P$10004,(GM$1+124)-4))</f>
        <v/>
      </c>
      <c r="GL128">
        <f>IF(ISNA(GJ128),NA(),Capability!$K$13)</f>
        <v/>
      </c>
      <c r="GM128">
        <f>IF(ISNA(GJ128),NA(),Capability!$J$13)</f>
        <v/>
      </c>
      <c r="GN128">
        <f>IF(ISNA(GJ128),NA(),Capability!$L$13)</f>
        <v/>
      </c>
      <c r="GO128">
        <f>IF(OR(ISNA(GK128),ISNA(GK127)),NA(),ABS(GK128-GK127))</f>
        <v/>
      </c>
      <c r="GP128">
        <f>IF(ISNA(GJ128),NA(),Capability!$N$13)</f>
        <v/>
      </c>
      <c r="GQ128">
        <f>IF(ISNA(GJ128),NA(),IF(OR(Capability!$Q$13="",Settings!$F$7&lt;&gt;"Y"),NA(),Capability!$Q$13))</f>
        <v/>
      </c>
      <c r="GR128">
        <f>IF(ISNA(GJ128),NA(),IF(OR(Capability!$P$13="",Settings!$F$7&lt;&gt;"Y"),NA(),Capability!$P$13))</f>
        <v/>
      </c>
      <c r="GX128">
        <f>IF((HA$1+124)&gt;GY$1,NA(),(HA$1+124)-4)</f>
        <v/>
      </c>
      <c r="GY128">
        <f>IF((HA$1+124)&gt;GY$1,NA(),INDEX('Data Entry'!$Q$5:$Q$10004,(HA$1+124)-4))</f>
        <v/>
      </c>
      <c r="GZ128">
        <f>IF(ISNA(GX128),NA(),Capability!$K$14)</f>
        <v/>
      </c>
      <c r="HA128">
        <f>IF(ISNA(GX128),NA(),Capability!$J$14)</f>
        <v/>
      </c>
      <c r="HB128">
        <f>IF(ISNA(GX128),NA(),Capability!$L$14)</f>
        <v/>
      </c>
      <c r="HC128">
        <f>IF(OR(ISNA(GY128),ISNA(GY127)),NA(),ABS(GY128-GY127))</f>
        <v/>
      </c>
      <c r="HD128">
        <f>IF(ISNA(GX128),NA(),Capability!$N$14)</f>
        <v/>
      </c>
      <c r="HE128">
        <f>IF(ISNA(GX128),NA(),IF(OR(Capability!$Q$14="",Settings!$F$7&lt;&gt;"Y"),NA(),Capability!$Q$14))</f>
        <v/>
      </c>
      <c r="HF128">
        <f>IF(ISNA(GX128),NA(),IF(OR(Capability!$P$14="",Settings!$F$7&lt;&gt;"Y"),NA(),Capability!$P$14))</f>
        <v/>
      </c>
    </row>
    <row r="129">
      <c r="A129" s="35" t="inlineStr">
        <is>
          <t>Min</t>
        </is>
      </c>
      <c r="B129" s="23">
        <f>Capability!E8</f>
        <v/>
      </c>
      <c r="CB129">
        <f>IF((CE$1+125)&gt;CC$1,NA(),(CE$1+125)-4)</f>
        <v/>
      </c>
      <c r="CC129">
        <f>IF((CE$1+125)&gt;CC$1,NA(),INDEX('Data Entry'!$H$5:$H$10004,(CE$1+125)-4))</f>
        <v/>
      </c>
      <c r="CD129">
        <f>IF(ISNA(CB129),NA(),Capability!$K$5)</f>
        <v/>
      </c>
      <c r="CE129">
        <f>IF(ISNA(CB129),NA(),Capability!$J$5)</f>
        <v/>
      </c>
      <c r="CF129">
        <f>IF(ISNA(CB129),NA(),Capability!$L$5)</f>
        <v/>
      </c>
      <c r="CG129">
        <f>IF(OR(ISNA(CC129),ISNA(CC128)),NA(),ABS(CC129-CC128))</f>
        <v/>
      </c>
      <c r="CH129">
        <f>IF(ISNA(CB129),NA(),Capability!$N$5)</f>
        <v/>
      </c>
      <c r="CI129">
        <f>IF(ISNA(CB129),NA(),IF(OR(Capability!$Q$5="",Settings!$F$7&lt;&gt;"Y"),NA(),Capability!$Q$5))</f>
        <v/>
      </c>
      <c r="CJ129">
        <f>IF(ISNA(CB129),NA(),IF(OR(Capability!$P$5="",Settings!$F$7&lt;&gt;"Y"),NA(),Capability!$P$5))</f>
        <v/>
      </c>
      <c r="CP129">
        <f>IF((CS$1+125)&gt;CQ$1,NA(),(CS$1+125)-4)</f>
        <v/>
      </c>
      <c r="CQ129">
        <f>IF((CS$1+125)&gt;CQ$1,NA(),INDEX('Data Entry'!$I$5:$I$10004,(CS$1+125)-4))</f>
        <v/>
      </c>
      <c r="CR129">
        <f>IF(ISNA(CP129),NA(),Capability!$K$6)</f>
        <v/>
      </c>
      <c r="CS129">
        <f>IF(ISNA(CP129),NA(),Capability!$J$6)</f>
        <v/>
      </c>
      <c r="CT129">
        <f>IF(ISNA(CP129),NA(),Capability!$L$6)</f>
        <v/>
      </c>
      <c r="CU129">
        <f>IF(OR(ISNA(CQ129),ISNA(CQ128)),NA(),ABS(CQ129-CQ128))</f>
        <v/>
      </c>
      <c r="CV129">
        <f>IF(ISNA(CP129),NA(),Capability!$N$6)</f>
        <v/>
      </c>
      <c r="CW129">
        <f>IF(ISNA(CP129),NA(),IF(OR(Capability!$Q$6="",Settings!$F$7&lt;&gt;"Y"),NA(),Capability!$Q$6))</f>
        <v/>
      </c>
      <c r="CX129">
        <f>IF(ISNA(CP129),NA(),IF(OR(Capability!$P$6="",Settings!$F$7&lt;&gt;"Y"),NA(),Capability!$P$6))</f>
        <v/>
      </c>
      <c r="DD129">
        <f>IF((DG$1+125)&gt;DE$1,NA(),(DG$1+125)-4)</f>
        <v/>
      </c>
      <c r="DE129">
        <f>IF((DG$1+125)&gt;DE$1,NA(),INDEX('Data Entry'!$J$5:$J$10004,(DG$1+125)-4))</f>
        <v/>
      </c>
      <c r="DF129">
        <f>IF(ISNA(DD129),NA(),Capability!$K$7)</f>
        <v/>
      </c>
      <c r="DG129">
        <f>IF(ISNA(DD129),NA(),Capability!$J$7)</f>
        <v/>
      </c>
      <c r="DH129">
        <f>IF(ISNA(DD129),NA(),Capability!$L$7)</f>
        <v/>
      </c>
      <c r="DI129">
        <f>IF(OR(ISNA(DE129),ISNA(DE128)),NA(),ABS(DE129-DE128))</f>
        <v/>
      </c>
      <c r="DJ129">
        <f>IF(ISNA(DD129),NA(),Capability!$N$7)</f>
        <v/>
      </c>
      <c r="DK129">
        <f>IF(ISNA(DD129),NA(),IF(OR(Capability!$Q$7="",Settings!$F$7&lt;&gt;"Y"),NA(),Capability!$Q$7))</f>
        <v/>
      </c>
      <c r="DL129">
        <f>IF(ISNA(DD129),NA(),IF(OR(Capability!$P$7="",Settings!$F$7&lt;&gt;"Y"),NA(),Capability!$P$7))</f>
        <v/>
      </c>
      <c r="DR129">
        <f>IF((DU$1+125)&gt;DS$1,NA(),(DU$1+125)-4)</f>
        <v/>
      </c>
      <c r="DS129">
        <f>IF((DU$1+125)&gt;DS$1,NA(),INDEX('Data Entry'!$K$5:$K$10004,(DU$1+125)-4))</f>
        <v/>
      </c>
      <c r="DT129">
        <f>IF(ISNA(DR129),NA(),Capability!$K$8)</f>
        <v/>
      </c>
      <c r="DU129">
        <f>IF(ISNA(DR129),NA(),Capability!$J$8)</f>
        <v/>
      </c>
      <c r="DV129">
        <f>IF(ISNA(DR129),NA(),Capability!$L$8)</f>
        <v/>
      </c>
      <c r="DW129">
        <f>IF(OR(ISNA(DS129),ISNA(DS128)),NA(),ABS(DS129-DS128))</f>
        <v/>
      </c>
      <c r="DX129">
        <f>IF(ISNA(DR129),NA(),Capability!$N$8)</f>
        <v/>
      </c>
      <c r="DY129">
        <f>IF(ISNA(DR129),NA(),IF(OR(Capability!$Q$8="",Settings!$F$7&lt;&gt;"Y"),NA(),Capability!$Q$8))</f>
        <v/>
      </c>
      <c r="DZ129">
        <f>IF(ISNA(DR129),NA(),IF(OR(Capability!$P$8="",Settings!$F$7&lt;&gt;"Y"),NA(),Capability!$P$8))</f>
        <v/>
      </c>
      <c r="EF129">
        <f>IF((EI$1+125)&gt;EG$1,NA(),(EI$1+125)-4)</f>
        <v/>
      </c>
      <c r="EG129">
        <f>IF((EI$1+125)&gt;EG$1,NA(),INDEX('Data Entry'!$L$5:$L$10004,(EI$1+125)-4))</f>
        <v/>
      </c>
      <c r="EH129">
        <f>IF(ISNA(EF129),NA(),Capability!$K$9)</f>
        <v/>
      </c>
      <c r="EI129">
        <f>IF(ISNA(EF129),NA(),Capability!$J$9)</f>
        <v/>
      </c>
      <c r="EJ129">
        <f>IF(ISNA(EF129),NA(),Capability!$L$9)</f>
        <v/>
      </c>
      <c r="EK129">
        <f>IF(OR(ISNA(EG129),ISNA(EG128)),NA(),ABS(EG129-EG128))</f>
        <v/>
      </c>
      <c r="EL129">
        <f>IF(ISNA(EF129),NA(),Capability!$N$9)</f>
        <v/>
      </c>
      <c r="EM129">
        <f>IF(ISNA(EF129),NA(),IF(OR(Capability!$Q$9="",Settings!$F$7&lt;&gt;"Y"),NA(),Capability!$Q$9))</f>
        <v/>
      </c>
      <c r="EN129">
        <f>IF(ISNA(EF129),NA(),IF(OR(Capability!$P$9="",Settings!$F$7&lt;&gt;"Y"),NA(),Capability!$P$9))</f>
        <v/>
      </c>
      <c r="ET129">
        <f>IF((EW$1+125)&gt;EU$1,NA(),(EW$1+125)-4)</f>
        <v/>
      </c>
      <c r="EU129">
        <f>IF((EW$1+125)&gt;EU$1,NA(),INDEX('Data Entry'!$M$5:$M$10004,(EW$1+125)-4))</f>
        <v/>
      </c>
      <c r="EV129">
        <f>IF(ISNA(ET129),NA(),Capability!$K$10)</f>
        <v/>
      </c>
      <c r="EW129">
        <f>IF(ISNA(ET129),NA(),Capability!$J$10)</f>
        <v/>
      </c>
      <c r="EX129">
        <f>IF(ISNA(ET129),NA(),Capability!$L$10)</f>
        <v/>
      </c>
      <c r="EY129">
        <f>IF(OR(ISNA(EU129),ISNA(EU128)),NA(),ABS(EU129-EU128))</f>
        <v/>
      </c>
      <c r="EZ129">
        <f>IF(ISNA(ET129),NA(),Capability!$N$10)</f>
        <v/>
      </c>
      <c r="FA129">
        <f>IF(ISNA(ET129),NA(),IF(OR(Capability!$Q$10="",Settings!$F$7&lt;&gt;"Y"),NA(),Capability!$Q$10))</f>
        <v/>
      </c>
      <c r="FB129">
        <f>IF(ISNA(ET129),NA(),IF(OR(Capability!$P$10="",Settings!$F$7&lt;&gt;"Y"),NA(),Capability!$P$10))</f>
        <v/>
      </c>
      <c r="FH129">
        <f>IF((FK$1+125)&gt;FI$1,NA(),(FK$1+125)-4)</f>
        <v/>
      </c>
      <c r="FI129">
        <f>IF((FK$1+125)&gt;FI$1,NA(),INDEX('Data Entry'!$N$5:$N$10004,(FK$1+125)-4))</f>
        <v/>
      </c>
      <c r="FJ129">
        <f>IF(ISNA(FH129),NA(),Capability!$K$11)</f>
        <v/>
      </c>
      <c r="FK129">
        <f>IF(ISNA(FH129),NA(),Capability!$J$11)</f>
        <v/>
      </c>
      <c r="FL129">
        <f>IF(ISNA(FH129),NA(),Capability!$L$11)</f>
        <v/>
      </c>
      <c r="FM129">
        <f>IF(OR(ISNA(FI129),ISNA(FI128)),NA(),ABS(FI129-FI128))</f>
        <v/>
      </c>
      <c r="FN129">
        <f>IF(ISNA(FH129),NA(),Capability!$N$11)</f>
        <v/>
      </c>
      <c r="FO129">
        <f>IF(ISNA(FH129),NA(),IF(OR(Capability!$Q$11="",Settings!$F$7&lt;&gt;"Y"),NA(),Capability!$Q$11))</f>
        <v/>
      </c>
      <c r="FP129">
        <f>IF(ISNA(FH129),NA(),IF(OR(Capability!$P$11="",Settings!$F$7&lt;&gt;"Y"),NA(),Capability!$P$11))</f>
        <v/>
      </c>
      <c r="FV129">
        <f>IF((FY$1+125)&gt;FW$1,NA(),(FY$1+125)-4)</f>
        <v/>
      </c>
      <c r="FW129">
        <f>IF((FY$1+125)&gt;FW$1,NA(),INDEX('Data Entry'!$O$5:$O$10004,(FY$1+125)-4))</f>
        <v/>
      </c>
      <c r="FX129">
        <f>IF(ISNA(FV129),NA(),Capability!$K$12)</f>
        <v/>
      </c>
      <c r="FY129">
        <f>IF(ISNA(FV129),NA(),Capability!$J$12)</f>
        <v/>
      </c>
      <c r="FZ129">
        <f>IF(ISNA(FV129),NA(),Capability!$L$12)</f>
        <v/>
      </c>
      <c r="GA129">
        <f>IF(OR(ISNA(FW129),ISNA(FW128)),NA(),ABS(FW129-FW128))</f>
        <v/>
      </c>
      <c r="GB129">
        <f>IF(ISNA(FV129),NA(),Capability!$N$12)</f>
        <v/>
      </c>
      <c r="GC129">
        <f>IF(ISNA(FV129),NA(),IF(OR(Capability!$Q$12="",Settings!$F$7&lt;&gt;"Y"),NA(),Capability!$Q$12))</f>
        <v/>
      </c>
      <c r="GD129">
        <f>IF(ISNA(FV129),NA(),IF(OR(Capability!$P$12="",Settings!$F$7&lt;&gt;"Y"),NA(),Capability!$P$12))</f>
        <v/>
      </c>
      <c r="GJ129">
        <f>IF((GM$1+125)&gt;GK$1,NA(),(GM$1+125)-4)</f>
        <v/>
      </c>
      <c r="GK129">
        <f>IF((GM$1+125)&gt;GK$1,NA(),INDEX('Data Entry'!$P$5:$P$10004,(GM$1+125)-4))</f>
        <v/>
      </c>
      <c r="GL129">
        <f>IF(ISNA(GJ129),NA(),Capability!$K$13)</f>
        <v/>
      </c>
      <c r="GM129">
        <f>IF(ISNA(GJ129),NA(),Capability!$J$13)</f>
        <v/>
      </c>
      <c r="GN129">
        <f>IF(ISNA(GJ129),NA(),Capability!$L$13)</f>
        <v/>
      </c>
      <c r="GO129">
        <f>IF(OR(ISNA(GK129),ISNA(GK128)),NA(),ABS(GK129-GK128))</f>
        <v/>
      </c>
      <c r="GP129">
        <f>IF(ISNA(GJ129),NA(),Capability!$N$13)</f>
        <v/>
      </c>
      <c r="GQ129">
        <f>IF(ISNA(GJ129),NA(),IF(OR(Capability!$Q$13="",Settings!$F$7&lt;&gt;"Y"),NA(),Capability!$Q$13))</f>
        <v/>
      </c>
      <c r="GR129">
        <f>IF(ISNA(GJ129),NA(),IF(OR(Capability!$P$13="",Settings!$F$7&lt;&gt;"Y"),NA(),Capability!$P$13))</f>
        <v/>
      </c>
      <c r="GX129">
        <f>IF((HA$1+125)&gt;GY$1,NA(),(HA$1+125)-4)</f>
        <v/>
      </c>
      <c r="GY129">
        <f>IF((HA$1+125)&gt;GY$1,NA(),INDEX('Data Entry'!$Q$5:$Q$10004,(HA$1+125)-4))</f>
        <v/>
      </c>
      <c r="GZ129">
        <f>IF(ISNA(GX129),NA(),Capability!$K$14)</f>
        <v/>
      </c>
      <c r="HA129">
        <f>IF(ISNA(GX129),NA(),Capability!$J$14)</f>
        <v/>
      </c>
      <c r="HB129">
        <f>IF(ISNA(GX129),NA(),Capability!$L$14)</f>
        <v/>
      </c>
      <c r="HC129">
        <f>IF(OR(ISNA(GY129),ISNA(GY128)),NA(),ABS(GY129-GY128))</f>
        <v/>
      </c>
      <c r="HD129">
        <f>IF(ISNA(GX129),NA(),Capability!$N$14)</f>
        <v/>
      </c>
      <c r="HE129">
        <f>IF(ISNA(GX129),NA(),IF(OR(Capability!$Q$14="",Settings!$F$7&lt;&gt;"Y"),NA(),Capability!$Q$14))</f>
        <v/>
      </c>
      <c r="HF129">
        <f>IF(ISNA(GX129),NA(),IF(OR(Capability!$P$14="",Settings!$F$7&lt;&gt;"Y"),NA(),Capability!$P$14))</f>
        <v/>
      </c>
    </row>
    <row r="130">
      <c r="A130" s="35" t="inlineStr">
        <is>
          <t>Max</t>
        </is>
      </c>
      <c r="B130" s="23">
        <f>Capability!F8</f>
        <v/>
      </c>
      <c r="CB130">
        <f>IF((CE$1+126)&gt;CC$1,NA(),(CE$1+126)-4)</f>
        <v/>
      </c>
      <c r="CC130">
        <f>IF((CE$1+126)&gt;CC$1,NA(),INDEX('Data Entry'!$H$5:$H$10004,(CE$1+126)-4))</f>
        <v/>
      </c>
      <c r="CD130">
        <f>IF(ISNA(CB130),NA(),Capability!$K$5)</f>
        <v/>
      </c>
      <c r="CE130">
        <f>IF(ISNA(CB130),NA(),Capability!$J$5)</f>
        <v/>
      </c>
      <c r="CF130">
        <f>IF(ISNA(CB130),NA(),Capability!$L$5)</f>
        <v/>
      </c>
      <c r="CG130">
        <f>IF(OR(ISNA(CC130),ISNA(CC129)),NA(),ABS(CC130-CC129))</f>
        <v/>
      </c>
      <c r="CH130">
        <f>IF(ISNA(CB130),NA(),Capability!$N$5)</f>
        <v/>
      </c>
      <c r="CI130">
        <f>IF(ISNA(CB130),NA(),IF(OR(Capability!$Q$5="",Settings!$F$7&lt;&gt;"Y"),NA(),Capability!$Q$5))</f>
        <v/>
      </c>
      <c r="CJ130">
        <f>IF(ISNA(CB130),NA(),IF(OR(Capability!$P$5="",Settings!$F$7&lt;&gt;"Y"),NA(),Capability!$P$5))</f>
        <v/>
      </c>
      <c r="CP130">
        <f>IF((CS$1+126)&gt;CQ$1,NA(),(CS$1+126)-4)</f>
        <v/>
      </c>
      <c r="CQ130">
        <f>IF((CS$1+126)&gt;CQ$1,NA(),INDEX('Data Entry'!$I$5:$I$10004,(CS$1+126)-4))</f>
        <v/>
      </c>
      <c r="CR130">
        <f>IF(ISNA(CP130),NA(),Capability!$K$6)</f>
        <v/>
      </c>
      <c r="CS130">
        <f>IF(ISNA(CP130),NA(),Capability!$J$6)</f>
        <v/>
      </c>
      <c r="CT130">
        <f>IF(ISNA(CP130),NA(),Capability!$L$6)</f>
        <v/>
      </c>
      <c r="CU130">
        <f>IF(OR(ISNA(CQ130),ISNA(CQ129)),NA(),ABS(CQ130-CQ129))</f>
        <v/>
      </c>
      <c r="CV130">
        <f>IF(ISNA(CP130),NA(),Capability!$N$6)</f>
        <v/>
      </c>
      <c r="CW130">
        <f>IF(ISNA(CP130),NA(),IF(OR(Capability!$Q$6="",Settings!$F$7&lt;&gt;"Y"),NA(),Capability!$Q$6))</f>
        <v/>
      </c>
      <c r="CX130">
        <f>IF(ISNA(CP130),NA(),IF(OR(Capability!$P$6="",Settings!$F$7&lt;&gt;"Y"),NA(),Capability!$P$6))</f>
        <v/>
      </c>
      <c r="DD130">
        <f>IF((DG$1+126)&gt;DE$1,NA(),(DG$1+126)-4)</f>
        <v/>
      </c>
      <c r="DE130">
        <f>IF((DG$1+126)&gt;DE$1,NA(),INDEX('Data Entry'!$J$5:$J$10004,(DG$1+126)-4))</f>
        <v/>
      </c>
      <c r="DF130">
        <f>IF(ISNA(DD130),NA(),Capability!$K$7)</f>
        <v/>
      </c>
      <c r="DG130">
        <f>IF(ISNA(DD130),NA(),Capability!$J$7)</f>
        <v/>
      </c>
      <c r="DH130">
        <f>IF(ISNA(DD130),NA(),Capability!$L$7)</f>
        <v/>
      </c>
      <c r="DI130">
        <f>IF(OR(ISNA(DE130),ISNA(DE129)),NA(),ABS(DE130-DE129))</f>
        <v/>
      </c>
      <c r="DJ130">
        <f>IF(ISNA(DD130),NA(),Capability!$N$7)</f>
        <v/>
      </c>
      <c r="DK130">
        <f>IF(ISNA(DD130),NA(),IF(OR(Capability!$Q$7="",Settings!$F$7&lt;&gt;"Y"),NA(),Capability!$Q$7))</f>
        <v/>
      </c>
      <c r="DL130">
        <f>IF(ISNA(DD130),NA(),IF(OR(Capability!$P$7="",Settings!$F$7&lt;&gt;"Y"),NA(),Capability!$P$7))</f>
        <v/>
      </c>
      <c r="DR130">
        <f>IF((DU$1+126)&gt;DS$1,NA(),(DU$1+126)-4)</f>
        <v/>
      </c>
      <c r="DS130">
        <f>IF((DU$1+126)&gt;DS$1,NA(),INDEX('Data Entry'!$K$5:$K$10004,(DU$1+126)-4))</f>
        <v/>
      </c>
      <c r="DT130">
        <f>IF(ISNA(DR130),NA(),Capability!$K$8)</f>
        <v/>
      </c>
      <c r="DU130">
        <f>IF(ISNA(DR130),NA(),Capability!$J$8)</f>
        <v/>
      </c>
      <c r="DV130">
        <f>IF(ISNA(DR130),NA(),Capability!$L$8)</f>
        <v/>
      </c>
      <c r="DW130">
        <f>IF(OR(ISNA(DS130),ISNA(DS129)),NA(),ABS(DS130-DS129))</f>
        <v/>
      </c>
      <c r="DX130">
        <f>IF(ISNA(DR130),NA(),Capability!$N$8)</f>
        <v/>
      </c>
      <c r="DY130">
        <f>IF(ISNA(DR130),NA(),IF(OR(Capability!$Q$8="",Settings!$F$7&lt;&gt;"Y"),NA(),Capability!$Q$8))</f>
        <v/>
      </c>
      <c r="DZ130">
        <f>IF(ISNA(DR130),NA(),IF(OR(Capability!$P$8="",Settings!$F$7&lt;&gt;"Y"),NA(),Capability!$P$8))</f>
        <v/>
      </c>
      <c r="EF130">
        <f>IF((EI$1+126)&gt;EG$1,NA(),(EI$1+126)-4)</f>
        <v/>
      </c>
      <c r="EG130">
        <f>IF((EI$1+126)&gt;EG$1,NA(),INDEX('Data Entry'!$L$5:$L$10004,(EI$1+126)-4))</f>
        <v/>
      </c>
      <c r="EH130">
        <f>IF(ISNA(EF130),NA(),Capability!$K$9)</f>
        <v/>
      </c>
      <c r="EI130">
        <f>IF(ISNA(EF130),NA(),Capability!$J$9)</f>
        <v/>
      </c>
      <c r="EJ130">
        <f>IF(ISNA(EF130),NA(),Capability!$L$9)</f>
        <v/>
      </c>
      <c r="EK130">
        <f>IF(OR(ISNA(EG130),ISNA(EG129)),NA(),ABS(EG130-EG129))</f>
        <v/>
      </c>
      <c r="EL130">
        <f>IF(ISNA(EF130),NA(),Capability!$N$9)</f>
        <v/>
      </c>
      <c r="EM130">
        <f>IF(ISNA(EF130),NA(),IF(OR(Capability!$Q$9="",Settings!$F$7&lt;&gt;"Y"),NA(),Capability!$Q$9))</f>
        <v/>
      </c>
      <c r="EN130">
        <f>IF(ISNA(EF130),NA(),IF(OR(Capability!$P$9="",Settings!$F$7&lt;&gt;"Y"),NA(),Capability!$P$9))</f>
        <v/>
      </c>
      <c r="ET130">
        <f>IF((EW$1+126)&gt;EU$1,NA(),(EW$1+126)-4)</f>
        <v/>
      </c>
      <c r="EU130">
        <f>IF((EW$1+126)&gt;EU$1,NA(),INDEX('Data Entry'!$M$5:$M$10004,(EW$1+126)-4))</f>
        <v/>
      </c>
      <c r="EV130">
        <f>IF(ISNA(ET130),NA(),Capability!$K$10)</f>
        <v/>
      </c>
      <c r="EW130">
        <f>IF(ISNA(ET130),NA(),Capability!$J$10)</f>
        <v/>
      </c>
      <c r="EX130">
        <f>IF(ISNA(ET130),NA(),Capability!$L$10)</f>
        <v/>
      </c>
      <c r="EY130">
        <f>IF(OR(ISNA(EU130),ISNA(EU129)),NA(),ABS(EU130-EU129))</f>
        <v/>
      </c>
      <c r="EZ130">
        <f>IF(ISNA(ET130),NA(),Capability!$N$10)</f>
        <v/>
      </c>
      <c r="FA130">
        <f>IF(ISNA(ET130),NA(),IF(OR(Capability!$Q$10="",Settings!$F$7&lt;&gt;"Y"),NA(),Capability!$Q$10))</f>
        <v/>
      </c>
      <c r="FB130">
        <f>IF(ISNA(ET130),NA(),IF(OR(Capability!$P$10="",Settings!$F$7&lt;&gt;"Y"),NA(),Capability!$P$10))</f>
        <v/>
      </c>
      <c r="FH130">
        <f>IF((FK$1+126)&gt;FI$1,NA(),(FK$1+126)-4)</f>
        <v/>
      </c>
      <c r="FI130">
        <f>IF((FK$1+126)&gt;FI$1,NA(),INDEX('Data Entry'!$N$5:$N$10004,(FK$1+126)-4))</f>
        <v/>
      </c>
      <c r="FJ130">
        <f>IF(ISNA(FH130),NA(),Capability!$K$11)</f>
        <v/>
      </c>
      <c r="FK130">
        <f>IF(ISNA(FH130),NA(),Capability!$J$11)</f>
        <v/>
      </c>
      <c r="FL130">
        <f>IF(ISNA(FH130),NA(),Capability!$L$11)</f>
        <v/>
      </c>
      <c r="FM130">
        <f>IF(OR(ISNA(FI130),ISNA(FI129)),NA(),ABS(FI130-FI129))</f>
        <v/>
      </c>
      <c r="FN130">
        <f>IF(ISNA(FH130),NA(),Capability!$N$11)</f>
        <v/>
      </c>
      <c r="FO130">
        <f>IF(ISNA(FH130),NA(),IF(OR(Capability!$Q$11="",Settings!$F$7&lt;&gt;"Y"),NA(),Capability!$Q$11))</f>
        <v/>
      </c>
      <c r="FP130">
        <f>IF(ISNA(FH130),NA(),IF(OR(Capability!$P$11="",Settings!$F$7&lt;&gt;"Y"),NA(),Capability!$P$11))</f>
        <v/>
      </c>
      <c r="FV130">
        <f>IF((FY$1+126)&gt;FW$1,NA(),(FY$1+126)-4)</f>
        <v/>
      </c>
      <c r="FW130">
        <f>IF((FY$1+126)&gt;FW$1,NA(),INDEX('Data Entry'!$O$5:$O$10004,(FY$1+126)-4))</f>
        <v/>
      </c>
      <c r="FX130">
        <f>IF(ISNA(FV130),NA(),Capability!$K$12)</f>
        <v/>
      </c>
      <c r="FY130">
        <f>IF(ISNA(FV130),NA(),Capability!$J$12)</f>
        <v/>
      </c>
      <c r="FZ130">
        <f>IF(ISNA(FV130),NA(),Capability!$L$12)</f>
        <v/>
      </c>
      <c r="GA130">
        <f>IF(OR(ISNA(FW130),ISNA(FW129)),NA(),ABS(FW130-FW129))</f>
        <v/>
      </c>
      <c r="GB130">
        <f>IF(ISNA(FV130),NA(),Capability!$N$12)</f>
        <v/>
      </c>
      <c r="GC130">
        <f>IF(ISNA(FV130),NA(),IF(OR(Capability!$Q$12="",Settings!$F$7&lt;&gt;"Y"),NA(),Capability!$Q$12))</f>
        <v/>
      </c>
      <c r="GD130">
        <f>IF(ISNA(FV130),NA(),IF(OR(Capability!$P$12="",Settings!$F$7&lt;&gt;"Y"),NA(),Capability!$P$12))</f>
        <v/>
      </c>
      <c r="GJ130">
        <f>IF((GM$1+126)&gt;GK$1,NA(),(GM$1+126)-4)</f>
        <v/>
      </c>
      <c r="GK130">
        <f>IF((GM$1+126)&gt;GK$1,NA(),INDEX('Data Entry'!$P$5:$P$10004,(GM$1+126)-4))</f>
        <v/>
      </c>
      <c r="GL130">
        <f>IF(ISNA(GJ130),NA(),Capability!$K$13)</f>
        <v/>
      </c>
      <c r="GM130">
        <f>IF(ISNA(GJ130),NA(),Capability!$J$13)</f>
        <v/>
      </c>
      <c r="GN130">
        <f>IF(ISNA(GJ130),NA(),Capability!$L$13)</f>
        <v/>
      </c>
      <c r="GO130">
        <f>IF(OR(ISNA(GK130),ISNA(GK129)),NA(),ABS(GK130-GK129))</f>
        <v/>
      </c>
      <c r="GP130">
        <f>IF(ISNA(GJ130),NA(),Capability!$N$13)</f>
        <v/>
      </c>
      <c r="GQ130">
        <f>IF(ISNA(GJ130),NA(),IF(OR(Capability!$Q$13="",Settings!$F$7&lt;&gt;"Y"),NA(),Capability!$Q$13))</f>
        <v/>
      </c>
      <c r="GR130">
        <f>IF(ISNA(GJ130),NA(),IF(OR(Capability!$P$13="",Settings!$F$7&lt;&gt;"Y"),NA(),Capability!$P$13))</f>
        <v/>
      </c>
      <c r="GX130">
        <f>IF((HA$1+126)&gt;GY$1,NA(),(HA$1+126)-4)</f>
        <v/>
      </c>
      <c r="GY130">
        <f>IF((HA$1+126)&gt;GY$1,NA(),INDEX('Data Entry'!$Q$5:$Q$10004,(HA$1+126)-4))</f>
        <v/>
      </c>
      <c r="GZ130">
        <f>IF(ISNA(GX130),NA(),Capability!$K$14)</f>
        <v/>
      </c>
      <c r="HA130">
        <f>IF(ISNA(GX130),NA(),Capability!$J$14)</f>
        <v/>
      </c>
      <c r="HB130">
        <f>IF(ISNA(GX130),NA(),Capability!$L$14)</f>
        <v/>
      </c>
      <c r="HC130">
        <f>IF(OR(ISNA(GY130),ISNA(GY129)),NA(),ABS(GY130-GY129))</f>
        <v/>
      </c>
      <c r="HD130">
        <f>IF(ISNA(GX130),NA(),Capability!$N$14)</f>
        <v/>
      </c>
      <c r="HE130">
        <f>IF(ISNA(GX130),NA(),IF(OR(Capability!$Q$14="",Settings!$F$7&lt;&gt;"Y"),NA(),Capability!$Q$14))</f>
        <v/>
      </c>
      <c r="HF130">
        <f>IF(ISNA(GX130),NA(),IF(OR(Capability!$P$14="",Settings!$F$7&lt;&gt;"Y"),NA(),Capability!$P$14))</f>
        <v/>
      </c>
    </row>
    <row r="131">
      <c r="A131" s="35" t="inlineStr">
        <is>
          <t>Range</t>
        </is>
      </c>
      <c r="B131" s="23">
        <f>Capability!G8</f>
        <v/>
      </c>
      <c r="CB131">
        <f>IF((CE$1+127)&gt;CC$1,NA(),(CE$1+127)-4)</f>
        <v/>
      </c>
      <c r="CC131">
        <f>IF((CE$1+127)&gt;CC$1,NA(),INDEX('Data Entry'!$H$5:$H$10004,(CE$1+127)-4))</f>
        <v/>
      </c>
      <c r="CD131">
        <f>IF(ISNA(CB131),NA(),Capability!$K$5)</f>
        <v/>
      </c>
      <c r="CE131">
        <f>IF(ISNA(CB131),NA(),Capability!$J$5)</f>
        <v/>
      </c>
      <c r="CF131">
        <f>IF(ISNA(CB131),NA(),Capability!$L$5)</f>
        <v/>
      </c>
      <c r="CG131">
        <f>IF(OR(ISNA(CC131),ISNA(CC130)),NA(),ABS(CC131-CC130))</f>
        <v/>
      </c>
      <c r="CH131">
        <f>IF(ISNA(CB131),NA(),Capability!$N$5)</f>
        <v/>
      </c>
      <c r="CI131">
        <f>IF(ISNA(CB131),NA(),IF(OR(Capability!$Q$5="",Settings!$F$7&lt;&gt;"Y"),NA(),Capability!$Q$5))</f>
        <v/>
      </c>
      <c r="CJ131">
        <f>IF(ISNA(CB131),NA(),IF(OR(Capability!$P$5="",Settings!$F$7&lt;&gt;"Y"),NA(),Capability!$P$5))</f>
        <v/>
      </c>
      <c r="CP131">
        <f>IF((CS$1+127)&gt;CQ$1,NA(),(CS$1+127)-4)</f>
        <v/>
      </c>
      <c r="CQ131">
        <f>IF((CS$1+127)&gt;CQ$1,NA(),INDEX('Data Entry'!$I$5:$I$10004,(CS$1+127)-4))</f>
        <v/>
      </c>
      <c r="CR131">
        <f>IF(ISNA(CP131),NA(),Capability!$K$6)</f>
        <v/>
      </c>
      <c r="CS131">
        <f>IF(ISNA(CP131),NA(),Capability!$J$6)</f>
        <v/>
      </c>
      <c r="CT131">
        <f>IF(ISNA(CP131),NA(),Capability!$L$6)</f>
        <v/>
      </c>
      <c r="CU131">
        <f>IF(OR(ISNA(CQ131),ISNA(CQ130)),NA(),ABS(CQ131-CQ130))</f>
        <v/>
      </c>
      <c r="CV131">
        <f>IF(ISNA(CP131),NA(),Capability!$N$6)</f>
        <v/>
      </c>
      <c r="CW131">
        <f>IF(ISNA(CP131),NA(),IF(OR(Capability!$Q$6="",Settings!$F$7&lt;&gt;"Y"),NA(),Capability!$Q$6))</f>
        <v/>
      </c>
      <c r="CX131">
        <f>IF(ISNA(CP131),NA(),IF(OR(Capability!$P$6="",Settings!$F$7&lt;&gt;"Y"),NA(),Capability!$P$6))</f>
        <v/>
      </c>
      <c r="DD131">
        <f>IF((DG$1+127)&gt;DE$1,NA(),(DG$1+127)-4)</f>
        <v/>
      </c>
      <c r="DE131">
        <f>IF((DG$1+127)&gt;DE$1,NA(),INDEX('Data Entry'!$J$5:$J$10004,(DG$1+127)-4))</f>
        <v/>
      </c>
      <c r="DF131">
        <f>IF(ISNA(DD131),NA(),Capability!$K$7)</f>
        <v/>
      </c>
      <c r="DG131">
        <f>IF(ISNA(DD131),NA(),Capability!$J$7)</f>
        <v/>
      </c>
      <c r="DH131">
        <f>IF(ISNA(DD131),NA(),Capability!$L$7)</f>
        <v/>
      </c>
      <c r="DI131">
        <f>IF(OR(ISNA(DE131),ISNA(DE130)),NA(),ABS(DE131-DE130))</f>
        <v/>
      </c>
      <c r="DJ131">
        <f>IF(ISNA(DD131),NA(),Capability!$N$7)</f>
        <v/>
      </c>
      <c r="DK131">
        <f>IF(ISNA(DD131),NA(),IF(OR(Capability!$Q$7="",Settings!$F$7&lt;&gt;"Y"),NA(),Capability!$Q$7))</f>
        <v/>
      </c>
      <c r="DL131">
        <f>IF(ISNA(DD131),NA(),IF(OR(Capability!$P$7="",Settings!$F$7&lt;&gt;"Y"),NA(),Capability!$P$7))</f>
        <v/>
      </c>
      <c r="DR131">
        <f>IF((DU$1+127)&gt;DS$1,NA(),(DU$1+127)-4)</f>
        <v/>
      </c>
      <c r="DS131">
        <f>IF((DU$1+127)&gt;DS$1,NA(),INDEX('Data Entry'!$K$5:$K$10004,(DU$1+127)-4))</f>
        <v/>
      </c>
      <c r="DT131">
        <f>IF(ISNA(DR131),NA(),Capability!$K$8)</f>
        <v/>
      </c>
      <c r="DU131">
        <f>IF(ISNA(DR131),NA(),Capability!$J$8)</f>
        <v/>
      </c>
      <c r="DV131">
        <f>IF(ISNA(DR131),NA(),Capability!$L$8)</f>
        <v/>
      </c>
      <c r="DW131">
        <f>IF(OR(ISNA(DS131),ISNA(DS130)),NA(),ABS(DS131-DS130))</f>
        <v/>
      </c>
      <c r="DX131">
        <f>IF(ISNA(DR131),NA(),Capability!$N$8)</f>
        <v/>
      </c>
      <c r="DY131">
        <f>IF(ISNA(DR131),NA(),IF(OR(Capability!$Q$8="",Settings!$F$7&lt;&gt;"Y"),NA(),Capability!$Q$8))</f>
        <v/>
      </c>
      <c r="DZ131">
        <f>IF(ISNA(DR131),NA(),IF(OR(Capability!$P$8="",Settings!$F$7&lt;&gt;"Y"),NA(),Capability!$P$8))</f>
        <v/>
      </c>
      <c r="EF131">
        <f>IF((EI$1+127)&gt;EG$1,NA(),(EI$1+127)-4)</f>
        <v/>
      </c>
      <c r="EG131">
        <f>IF((EI$1+127)&gt;EG$1,NA(),INDEX('Data Entry'!$L$5:$L$10004,(EI$1+127)-4))</f>
        <v/>
      </c>
      <c r="EH131">
        <f>IF(ISNA(EF131),NA(),Capability!$K$9)</f>
        <v/>
      </c>
      <c r="EI131">
        <f>IF(ISNA(EF131),NA(),Capability!$J$9)</f>
        <v/>
      </c>
      <c r="EJ131">
        <f>IF(ISNA(EF131),NA(),Capability!$L$9)</f>
        <v/>
      </c>
      <c r="EK131">
        <f>IF(OR(ISNA(EG131),ISNA(EG130)),NA(),ABS(EG131-EG130))</f>
        <v/>
      </c>
      <c r="EL131">
        <f>IF(ISNA(EF131),NA(),Capability!$N$9)</f>
        <v/>
      </c>
      <c r="EM131">
        <f>IF(ISNA(EF131),NA(),IF(OR(Capability!$Q$9="",Settings!$F$7&lt;&gt;"Y"),NA(),Capability!$Q$9))</f>
        <v/>
      </c>
      <c r="EN131">
        <f>IF(ISNA(EF131),NA(),IF(OR(Capability!$P$9="",Settings!$F$7&lt;&gt;"Y"),NA(),Capability!$P$9))</f>
        <v/>
      </c>
      <c r="ET131">
        <f>IF((EW$1+127)&gt;EU$1,NA(),(EW$1+127)-4)</f>
        <v/>
      </c>
      <c r="EU131">
        <f>IF((EW$1+127)&gt;EU$1,NA(),INDEX('Data Entry'!$M$5:$M$10004,(EW$1+127)-4))</f>
        <v/>
      </c>
      <c r="EV131">
        <f>IF(ISNA(ET131),NA(),Capability!$K$10)</f>
        <v/>
      </c>
      <c r="EW131">
        <f>IF(ISNA(ET131),NA(),Capability!$J$10)</f>
        <v/>
      </c>
      <c r="EX131">
        <f>IF(ISNA(ET131),NA(),Capability!$L$10)</f>
        <v/>
      </c>
      <c r="EY131">
        <f>IF(OR(ISNA(EU131),ISNA(EU130)),NA(),ABS(EU131-EU130))</f>
        <v/>
      </c>
      <c r="EZ131">
        <f>IF(ISNA(ET131),NA(),Capability!$N$10)</f>
        <v/>
      </c>
      <c r="FA131">
        <f>IF(ISNA(ET131),NA(),IF(OR(Capability!$Q$10="",Settings!$F$7&lt;&gt;"Y"),NA(),Capability!$Q$10))</f>
        <v/>
      </c>
      <c r="FB131">
        <f>IF(ISNA(ET131),NA(),IF(OR(Capability!$P$10="",Settings!$F$7&lt;&gt;"Y"),NA(),Capability!$P$10))</f>
        <v/>
      </c>
      <c r="FH131">
        <f>IF((FK$1+127)&gt;FI$1,NA(),(FK$1+127)-4)</f>
        <v/>
      </c>
      <c r="FI131">
        <f>IF((FK$1+127)&gt;FI$1,NA(),INDEX('Data Entry'!$N$5:$N$10004,(FK$1+127)-4))</f>
        <v/>
      </c>
      <c r="FJ131">
        <f>IF(ISNA(FH131),NA(),Capability!$K$11)</f>
        <v/>
      </c>
      <c r="FK131">
        <f>IF(ISNA(FH131),NA(),Capability!$J$11)</f>
        <v/>
      </c>
      <c r="FL131">
        <f>IF(ISNA(FH131),NA(),Capability!$L$11)</f>
        <v/>
      </c>
      <c r="FM131">
        <f>IF(OR(ISNA(FI131),ISNA(FI130)),NA(),ABS(FI131-FI130))</f>
        <v/>
      </c>
      <c r="FN131">
        <f>IF(ISNA(FH131),NA(),Capability!$N$11)</f>
        <v/>
      </c>
      <c r="FO131">
        <f>IF(ISNA(FH131),NA(),IF(OR(Capability!$Q$11="",Settings!$F$7&lt;&gt;"Y"),NA(),Capability!$Q$11))</f>
        <v/>
      </c>
      <c r="FP131">
        <f>IF(ISNA(FH131),NA(),IF(OR(Capability!$P$11="",Settings!$F$7&lt;&gt;"Y"),NA(),Capability!$P$11))</f>
        <v/>
      </c>
      <c r="FV131">
        <f>IF((FY$1+127)&gt;FW$1,NA(),(FY$1+127)-4)</f>
        <v/>
      </c>
      <c r="FW131">
        <f>IF((FY$1+127)&gt;FW$1,NA(),INDEX('Data Entry'!$O$5:$O$10004,(FY$1+127)-4))</f>
        <v/>
      </c>
      <c r="FX131">
        <f>IF(ISNA(FV131),NA(),Capability!$K$12)</f>
        <v/>
      </c>
      <c r="FY131">
        <f>IF(ISNA(FV131),NA(),Capability!$J$12)</f>
        <v/>
      </c>
      <c r="FZ131">
        <f>IF(ISNA(FV131),NA(),Capability!$L$12)</f>
        <v/>
      </c>
      <c r="GA131">
        <f>IF(OR(ISNA(FW131),ISNA(FW130)),NA(),ABS(FW131-FW130))</f>
        <v/>
      </c>
      <c r="GB131">
        <f>IF(ISNA(FV131),NA(),Capability!$N$12)</f>
        <v/>
      </c>
      <c r="GC131">
        <f>IF(ISNA(FV131),NA(),IF(OR(Capability!$Q$12="",Settings!$F$7&lt;&gt;"Y"),NA(),Capability!$Q$12))</f>
        <v/>
      </c>
      <c r="GD131">
        <f>IF(ISNA(FV131),NA(),IF(OR(Capability!$P$12="",Settings!$F$7&lt;&gt;"Y"),NA(),Capability!$P$12))</f>
        <v/>
      </c>
      <c r="GJ131">
        <f>IF((GM$1+127)&gt;GK$1,NA(),(GM$1+127)-4)</f>
        <v/>
      </c>
      <c r="GK131">
        <f>IF((GM$1+127)&gt;GK$1,NA(),INDEX('Data Entry'!$P$5:$P$10004,(GM$1+127)-4))</f>
        <v/>
      </c>
      <c r="GL131">
        <f>IF(ISNA(GJ131),NA(),Capability!$K$13)</f>
        <v/>
      </c>
      <c r="GM131">
        <f>IF(ISNA(GJ131),NA(),Capability!$J$13)</f>
        <v/>
      </c>
      <c r="GN131">
        <f>IF(ISNA(GJ131),NA(),Capability!$L$13)</f>
        <v/>
      </c>
      <c r="GO131">
        <f>IF(OR(ISNA(GK131),ISNA(GK130)),NA(),ABS(GK131-GK130))</f>
        <v/>
      </c>
      <c r="GP131">
        <f>IF(ISNA(GJ131),NA(),Capability!$N$13)</f>
        <v/>
      </c>
      <c r="GQ131">
        <f>IF(ISNA(GJ131),NA(),IF(OR(Capability!$Q$13="",Settings!$F$7&lt;&gt;"Y"),NA(),Capability!$Q$13))</f>
        <v/>
      </c>
      <c r="GR131">
        <f>IF(ISNA(GJ131),NA(),IF(OR(Capability!$P$13="",Settings!$F$7&lt;&gt;"Y"),NA(),Capability!$P$13))</f>
        <v/>
      </c>
      <c r="GX131">
        <f>IF((HA$1+127)&gt;GY$1,NA(),(HA$1+127)-4)</f>
        <v/>
      </c>
      <c r="GY131">
        <f>IF((HA$1+127)&gt;GY$1,NA(),INDEX('Data Entry'!$Q$5:$Q$10004,(HA$1+127)-4))</f>
        <v/>
      </c>
      <c r="GZ131">
        <f>IF(ISNA(GX131),NA(),Capability!$K$14)</f>
        <v/>
      </c>
      <c r="HA131">
        <f>IF(ISNA(GX131),NA(),Capability!$J$14)</f>
        <v/>
      </c>
      <c r="HB131">
        <f>IF(ISNA(GX131),NA(),Capability!$L$14)</f>
        <v/>
      </c>
      <c r="HC131">
        <f>IF(OR(ISNA(GY131),ISNA(GY130)),NA(),ABS(GY131-GY130))</f>
        <v/>
      </c>
      <c r="HD131">
        <f>IF(ISNA(GX131),NA(),Capability!$N$14)</f>
        <v/>
      </c>
      <c r="HE131">
        <f>IF(ISNA(GX131),NA(),IF(OR(Capability!$Q$14="",Settings!$F$7&lt;&gt;"Y"),NA(),Capability!$Q$14))</f>
        <v/>
      </c>
      <c r="HF131">
        <f>IF(ISNA(GX131),NA(),IF(OR(Capability!$P$14="",Settings!$F$7&lt;&gt;"Y"),NA(),Capability!$P$14))</f>
        <v/>
      </c>
    </row>
    <row r="132">
      <c r="A132" s="35" t="inlineStr">
        <is>
          <t>Mean</t>
        </is>
      </c>
      <c r="B132" s="23">
        <f>Capability!C8</f>
        <v/>
      </c>
      <c r="CB132">
        <f>IF((CE$1+128)&gt;CC$1,NA(),(CE$1+128)-4)</f>
        <v/>
      </c>
      <c r="CC132">
        <f>IF((CE$1+128)&gt;CC$1,NA(),INDEX('Data Entry'!$H$5:$H$10004,(CE$1+128)-4))</f>
        <v/>
      </c>
      <c r="CD132">
        <f>IF(ISNA(CB132),NA(),Capability!$K$5)</f>
        <v/>
      </c>
      <c r="CE132">
        <f>IF(ISNA(CB132),NA(),Capability!$J$5)</f>
        <v/>
      </c>
      <c r="CF132">
        <f>IF(ISNA(CB132),NA(),Capability!$L$5)</f>
        <v/>
      </c>
      <c r="CG132">
        <f>IF(OR(ISNA(CC132),ISNA(CC131)),NA(),ABS(CC132-CC131))</f>
        <v/>
      </c>
      <c r="CH132">
        <f>IF(ISNA(CB132),NA(),Capability!$N$5)</f>
        <v/>
      </c>
      <c r="CI132">
        <f>IF(ISNA(CB132),NA(),IF(OR(Capability!$Q$5="",Settings!$F$7&lt;&gt;"Y"),NA(),Capability!$Q$5))</f>
        <v/>
      </c>
      <c r="CJ132">
        <f>IF(ISNA(CB132),NA(),IF(OR(Capability!$P$5="",Settings!$F$7&lt;&gt;"Y"),NA(),Capability!$P$5))</f>
        <v/>
      </c>
      <c r="CP132">
        <f>IF((CS$1+128)&gt;CQ$1,NA(),(CS$1+128)-4)</f>
        <v/>
      </c>
      <c r="CQ132">
        <f>IF((CS$1+128)&gt;CQ$1,NA(),INDEX('Data Entry'!$I$5:$I$10004,(CS$1+128)-4))</f>
        <v/>
      </c>
      <c r="CR132">
        <f>IF(ISNA(CP132),NA(),Capability!$K$6)</f>
        <v/>
      </c>
      <c r="CS132">
        <f>IF(ISNA(CP132),NA(),Capability!$J$6)</f>
        <v/>
      </c>
      <c r="CT132">
        <f>IF(ISNA(CP132),NA(),Capability!$L$6)</f>
        <v/>
      </c>
      <c r="CU132">
        <f>IF(OR(ISNA(CQ132),ISNA(CQ131)),NA(),ABS(CQ132-CQ131))</f>
        <v/>
      </c>
      <c r="CV132">
        <f>IF(ISNA(CP132),NA(),Capability!$N$6)</f>
        <v/>
      </c>
      <c r="CW132">
        <f>IF(ISNA(CP132),NA(),IF(OR(Capability!$Q$6="",Settings!$F$7&lt;&gt;"Y"),NA(),Capability!$Q$6))</f>
        <v/>
      </c>
      <c r="CX132">
        <f>IF(ISNA(CP132),NA(),IF(OR(Capability!$P$6="",Settings!$F$7&lt;&gt;"Y"),NA(),Capability!$P$6))</f>
        <v/>
      </c>
      <c r="DD132">
        <f>IF((DG$1+128)&gt;DE$1,NA(),(DG$1+128)-4)</f>
        <v/>
      </c>
      <c r="DE132">
        <f>IF((DG$1+128)&gt;DE$1,NA(),INDEX('Data Entry'!$J$5:$J$10004,(DG$1+128)-4))</f>
        <v/>
      </c>
      <c r="DF132">
        <f>IF(ISNA(DD132),NA(),Capability!$K$7)</f>
        <v/>
      </c>
      <c r="DG132">
        <f>IF(ISNA(DD132),NA(),Capability!$J$7)</f>
        <v/>
      </c>
      <c r="DH132">
        <f>IF(ISNA(DD132),NA(),Capability!$L$7)</f>
        <v/>
      </c>
      <c r="DI132">
        <f>IF(OR(ISNA(DE132),ISNA(DE131)),NA(),ABS(DE132-DE131))</f>
        <v/>
      </c>
      <c r="DJ132">
        <f>IF(ISNA(DD132),NA(),Capability!$N$7)</f>
        <v/>
      </c>
      <c r="DK132">
        <f>IF(ISNA(DD132),NA(),IF(OR(Capability!$Q$7="",Settings!$F$7&lt;&gt;"Y"),NA(),Capability!$Q$7))</f>
        <v/>
      </c>
      <c r="DL132">
        <f>IF(ISNA(DD132),NA(),IF(OR(Capability!$P$7="",Settings!$F$7&lt;&gt;"Y"),NA(),Capability!$P$7))</f>
        <v/>
      </c>
      <c r="DR132">
        <f>IF((DU$1+128)&gt;DS$1,NA(),(DU$1+128)-4)</f>
        <v/>
      </c>
      <c r="DS132">
        <f>IF((DU$1+128)&gt;DS$1,NA(),INDEX('Data Entry'!$K$5:$K$10004,(DU$1+128)-4))</f>
        <v/>
      </c>
      <c r="DT132">
        <f>IF(ISNA(DR132),NA(),Capability!$K$8)</f>
        <v/>
      </c>
      <c r="DU132">
        <f>IF(ISNA(DR132),NA(),Capability!$J$8)</f>
        <v/>
      </c>
      <c r="DV132">
        <f>IF(ISNA(DR132),NA(),Capability!$L$8)</f>
        <v/>
      </c>
      <c r="DW132">
        <f>IF(OR(ISNA(DS132),ISNA(DS131)),NA(),ABS(DS132-DS131))</f>
        <v/>
      </c>
      <c r="DX132">
        <f>IF(ISNA(DR132),NA(),Capability!$N$8)</f>
        <v/>
      </c>
      <c r="DY132">
        <f>IF(ISNA(DR132),NA(),IF(OR(Capability!$Q$8="",Settings!$F$7&lt;&gt;"Y"),NA(),Capability!$Q$8))</f>
        <v/>
      </c>
      <c r="DZ132">
        <f>IF(ISNA(DR132),NA(),IF(OR(Capability!$P$8="",Settings!$F$7&lt;&gt;"Y"),NA(),Capability!$P$8))</f>
        <v/>
      </c>
      <c r="EF132">
        <f>IF((EI$1+128)&gt;EG$1,NA(),(EI$1+128)-4)</f>
        <v/>
      </c>
      <c r="EG132">
        <f>IF((EI$1+128)&gt;EG$1,NA(),INDEX('Data Entry'!$L$5:$L$10004,(EI$1+128)-4))</f>
        <v/>
      </c>
      <c r="EH132">
        <f>IF(ISNA(EF132),NA(),Capability!$K$9)</f>
        <v/>
      </c>
      <c r="EI132">
        <f>IF(ISNA(EF132),NA(),Capability!$J$9)</f>
        <v/>
      </c>
      <c r="EJ132">
        <f>IF(ISNA(EF132),NA(),Capability!$L$9)</f>
        <v/>
      </c>
      <c r="EK132">
        <f>IF(OR(ISNA(EG132),ISNA(EG131)),NA(),ABS(EG132-EG131))</f>
        <v/>
      </c>
      <c r="EL132">
        <f>IF(ISNA(EF132),NA(),Capability!$N$9)</f>
        <v/>
      </c>
      <c r="EM132">
        <f>IF(ISNA(EF132),NA(),IF(OR(Capability!$Q$9="",Settings!$F$7&lt;&gt;"Y"),NA(),Capability!$Q$9))</f>
        <v/>
      </c>
      <c r="EN132">
        <f>IF(ISNA(EF132),NA(),IF(OR(Capability!$P$9="",Settings!$F$7&lt;&gt;"Y"),NA(),Capability!$P$9))</f>
        <v/>
      </c>
      <c r="ET132">
        <f>IF((EW$1+128)&gt;EU$1,NA(),(EW$1+128)-4)</f>
        <v/>
      </c>
      <c r="EU132">
        <f>IF((EW$1+128)&gt;EU$1,NA(),INDEX('Data Entry'!$M$5:$M$10004,(EW$1+128)-4))</f>
        <v/>
      </c>
      <c r="EV132">
        <f>IF(ISNA(ET132),NA(),Capability!$K$10)</f>
        <v/>
      </c>
      <c r="EW132">
        <f>IF(ISNA(ET132),NA(),Capability!$J$10)</f>
        <v/>
      </c>
      <c r="EX132">
        <f>IF(ISNA(ET132),NA(),Capability!$L$10)</f>
        <v/>
      </c>
      <c r="EY132">
        <f>IF(OR(ISNA(EU132),ISNA(EU131)),NA(),ABS(EU132-EU131))</f>
        <v/>
      </c>
      <c r="EZ132">
        <f>IF(ISNA(ET132),NA(),Capability!$N$10)</f>
        <v/>
      </c>
      <c r="FA132">
        <f>IF(ISNA(ET132),NA(),IF(OR(Capability!$Q$10="",Settings!$F$7&lt;&gt;"Y"),NA(),Capability!$Q$10))</f>
        <v/>
      </c>
      <c r="FB132">
        <f>IF(ISNA(ET132),NA(),IF(OR(Capability!$P$10="",Settings!$F$7&lt;&gt;"Y"),NA(),Capability!$P$10))</f>
        <v/>
      </c>
      <c r="FH132">
        <f>IF((FK$1+128)&gt;FI$1,NA(),(FK$1+128)-4)</f>
        <v/>
      </c>
      <c r="FI132">
        <f>IF((FK$1+128)&gt;FI$1,NA(),INDEX('Data Entry'!$N$5:$N$10004,(FK$1+128)-4))</f>
        <v/>
      </c>
      <c r="FJ132">
        <f>IF(ISNA(FH132),NA(),Capability!$K$11)</f>
        <v/>
      </c>
      <c r="FK132">
        <f>IF(ISNA(FH132),NA(),Capability!$J$11)</f>
        <v/>
      </c>
      <c r="FL132">
        <f>IF(ISNA(FH132),NA(),Capability!$L$11)</f>
        <v/>
      </c>
      <c r="FM132">
        <f>IF(OR(ISNA(FI132),ISNA(FI131)),NA(),ABS(FI132-FI131))</f>
        <v/>
      </c>
      <c r="FN132">
        <f>IF(ISNA(FH132),NA(),Capability!$N$11)</f>
        <v/>
      </c>
      <c r="FO132">
        <f>IF(ISNA(FH132),NA(),IF(OR(Capability!$Q$11="",Settings!$F$7&lt;&gt;"Y"),NA(),Capability!$Q$11))</f>
        <v/>
      </c>
      <c r="FP132">
        <f>IF(ISNA(FH132),NA(),IF(OR(Capability!$P$11="",Settings!$F$7&lt;&gt;"Y"),NA(),Capability!$P$11))</f>
        <v/>
      </c>
      <c r="FV132">
        <f>IF((FY$1+128)&gt;FW$1,NA(),(FY$1+128)-4)</f>
        <v/>
      </c>
      <c r="FW132">
        <f>IF((FY$1+128)&gt;FW$1,NA(),INDEX('Data Entry'!$O$5:$O$10004,(FY$1+128)-4))</f>
        <v/>
      </c>
      <c r="FX132">
        <f>IF(ISNA(FV132),NA(),Capability!$K$12)</f>
        <v/>
      </c>
      <c r="FY132">
        <f>IF(ISNA(FV132),NA(),Capability!$J$12)</f>
        <v/>
      </c>
      <c r="FZ132">
        <f>IF(ISNA(FV132),NA(),Capability!$L$12)</f>
        <v/>
      </c>
      <c r="GA132">
        <f>IF(OR(ISNA(FW132),ISNA(FW131)),NA(),ABS(FW132-FW131))</f>
        <v/>
      </c>
      <c r="GB132">
        <f>IF(ISNA(FV132),NA(),Capability!$N$12)</f>
        <v/>
      </c>
      <c r="GC132">
        <f>IF(ISNA(FV132),NA(),IF(OR(Capability!$Q$12="",Settings!$F$7&lt;&gt;"Y"),NA(),Capability!$Q$12))</f>
        <v/>
      </c>
      <c r="GD132">
        <f>IF(ISNA(FV132),NA(),IF(OR(Capability!$P$12="",Settings!$F$7&lt;&gt;"Y"),NA(),Capability!$P$12))</f>
        <v/>
      </c>
      <c r="GJ132">
        <f>IF((GM$1+128)&gt;GK$1,NA(),(GM$1+128)-4)</f>
        <v/>
      </c>
      <c r="GK132">
        <f>IF((GM$1+128)&gt;GK$1,NA(),INDEX('Data Entry'!$P$5:$P$10004,(GM$1+128)-4))</f>
        <v/>
      </c>
      <c r="GL132">
        <f>IF(ISNA(GJ132),NA(),Capability!$K$13)</f>
        <v/>
      </c>
      <c r="GM132">
        <f>IF(ISNA(GJ132),NA(),Capability!$J$13)</f>
        <v/>
      </c>
      <c r="GN132">
        <f>IF(ISNA(GJ132),NA(),Capability!$L$13)</f>
        <v/>
      </c>
      <c r="GO132">
        <f>IF(OR(ISNA(GK132),ISNA(GK131)),NA(),ABS(GK132-GK131))</f>
        <v/>
      </c>
      <c r="GP132">
        <f>IF(ISNA(GJ132),NA(),Capability!$N$13)</f>
        <v/>
      </c>
      <c r="GQ132">
        <f>IF(ISNA(GJ132),NA(),IF(OR(Capability!$Q$13="",Settings!$F$7&lt;&gt;"Y"),NA(),Capability!$Q$13))</f>
        <v/>
      </c>
      <c r="GR132">
        <f>IF(ISNA(GJ132),NA(),IF(OR(Capability!$P$13="",Settings!$F$7&lt;&gt;"Y"),NA(),Capability!$P$13))</f>
        <v/>
      </c>
      <c r="GX132">
        <f>IF((HA$1+128)&gt;GY$1,NA(),(HA$1+128)-4)</f>
        <v/>
      </c>
      <c r="GY132">
        <f>IF((HA$1+128)&gt;GY$1,NA(),INDEX('Data Entry'!$Q$5:$Q$10004,(HA$1+128)-4))</f>
        <v/>
      </c>
      <c r="GZ132">
        <f>IF(ISNA(GX132),NA(),Capability!$K$14)</f>
        <v/>
      </c>
      <c r="HA132">
        <f>IF(ISNA(GX132),NA(),Capability!$J$14)</f>
        <v/>
      </c>
      <c r="HB132">
        <f>IF(ISNA(GX132),NA(),Capability!$L$14)</f>
        <v/>
      </c>
      <c r="HC132">
        <f>IF(OR(ISNA(GY132),ISNA(GY131)),NA(),ABS(GY132-GY131))</f>
        <v/>
      </c>
      <c r="HD132">
        <f>IF(ISNA(GX132),NA(),Capability!$N$14)</f>
        <v/>
      </c>
      <c r="HE132">
        <f>IF(ISNA(GX132),NA(),IF(OR(Capability!$Q$14="",Settings!$F$7&lt;&gt;"Y"),NA(),Capability!$Q$14))</f>
        <v/>
      </c>
      <c r="HF132">
        <f>IF(ISNA(GX132),NA(),IF(OR(Capability!$P$14="",Settings!$F$7&lt;&gt;"Y"),NA(),Capability!$P$14))</f>
        <v/>
      </c>
    </row>
    <row r="133">
      <c r="A133" s="35" t="inlineStr">
        <is>
          <t>Median</t>
        </is>
      </c>
      <c r="B133" s="23">
        <f>Capability!D8</f>
        <v/>
      </c>
      <c r="CB133">
        <f>IF((CE$1+129)&gt;CC$1,NA(),(CE$1+129)-4)</f>
        <v/>
      </c>
      <c r="CC133">
        <f>IF((CE$1+129)&gt;CC$1,NA(),INDEX('Data Entry'!$H$5:$H$10004,(CE$1+129)-4))</f>
        <v/>
      </c>
      <c r="CD133">
        <f>IF(ISNA(CB133),NA(),Capability!$K$5)</f>
        <v/>
      </c>
      <c r="CE133">
        <f>IF(ISNA(CB133),NA(),Capability!$J$5)</f>
        <v/>
      </c>
      <c r="CF133">
        <f>IF(ISNA(CB133),NA(),Capability!$L$5)</f>
        <v/>
      </c>
      <c r="CG133">
        <f>IF(OR(ISNA(CC133),ISNA(CC132)),NA(),ABS(CC133-CC132))</f>
        <v/>
      </c>
      <c r="CH133">
        <f>IF(ISNA(CB133),NA(),Capability!$N$5)</f>
        <v/>
      </c>
      <c r="CI133">
        <f>IF(ISNA(CB133),NA(),IF(OR(Capability!$Q$5="",Settings!$F$7&lt;&gt;"Y"),NA(),Capability!$Q$5))</f>
        <v/>
      </c>
      <c r="CJ133">
        <f>IF(ISNA(CB133),NA(),IF(OR(Capability!$P$5="",Settings!$F$7&lt;&gt;"Y"),NA(),Capability!$P$5))</f>
        <v/>
      </c>
      <c r="CP133">
        <f>IF((CS$1+129)&gt;CQ$1,NA(),(CS$1+129)-4)</f>
        <v/>
      </c>
      <c r="CQ133">
        <f>IF((CS$1+129)&gt;CQ$1,NA(),INDEX('Data Entry'!$I$5:$I$10004,(CS$1+129)-4))</f>
        <v/>
      </c>
      <c r="CR133">
        <f>IF(ISNA(CP133),NA(),Capability!$K$6)</f>
        <v/>
      </c>
      <c r="CS133">
        <f>IF(ISNA(CP133),NA(),Capability!$J$6)</f>
        <v/>
      </c>
      <c r="CT133">
        <f>IF(ISNA(CP133),NA(),Capability!$L$6)</f>
        <v/>
      </c>
      <c r="CU133">
        <f>IF(OR(ISNA(CQ133),ISNA(CQ132)),NA(),ABS(CQ133-CQ132))</f>
        <v/>
      </c>
      <c r="CV133">
        <f>IF(ISNA(CP133),NA(),Capability!$N$6)</f>
        <v/>
      </c>
      <c r="CW133">
        <f>IF(ISNA(CP133),NA(),IF(OR(Capability!$Q$6="",Settings!$F$7&lt;&gt;"Y"),NA(),Capability!$Q$6))</f>
        <v/>
      </c>
      <c r="CX133">
        <f>IF(ISNA(CP133),NA(),IF(OR(Capability!$P$6="",Settings!$F$7&lt;&gt;"Y"),NA(),Capability!$P$6))</f>
        <v/>
      </c>
      <c r="DD133">
        <f>IF((DG$1+129)&gt;DE$1,NA(),(DG$1+129)-4)</f>
        <v/>
      </c>
      <c r="DE133">
        <f>IF((DG$1+129)&gt;DE$1,NA(),INDEX('Data Entry'!$J$5:$J$10004,(DG$1+129)-4))</f>
        <v/>
      </c>
      <c r="DF133">
        <f>IF(ISNA(DD133),NA(),Capability!$K$7)</f>
        <v/>
      </c>
      <c r="DG133">
        <f>IF(ISNA(DD133),NA(),Capability!$J$7)</f>
        <v/>
      </c>
      <c r="DH133">
        <f>IF(ISNA(DD133),NA(),Capability!$L$7)</f>
        <v/>
      </c>
      <c r="DI133">
        <f>IF(OR(ISNA(DE133),ISNA(DE132)),NA(),ABS(DE133-DE132))</f>
        <v/>
      </c>
      <c r="DJ133">
        <f>IF(ISNA(DD133),NA(),Capability!$N$7)</f>
        <v/>
      </c>
      <c r="DK133">
        <f>IF(ISNA(DD133),NA(),IF(OR(Capability!$Q$7="",Settings!$F$7&lt;&gt;"Y"),NA(),Capability!$Q$7))</f>
        <v/>
      </c>
      <c r="DL133">
        <f>IF(ISNA(DD133),NA(),IF(OR(Capability!$P$7="",Settings!$F$7&lt;&gt;"Y"),NA(),Capability!$P$7))</f>
        <v/>
      </c>
      <c r="DR133">
        <f>IF((DU$1+129)&gt;DS$1,NA(),(DU$1+129)-4)</f>
        <v/>
      </c>
      <c r="DS133">
        <f>IF((DU$1+129)&gt;DS$1,NA(),INDEX('Data Entry'!$K$5:$K$10004,(DU$1+129)-4))</f>
        <v/>
      </c>
      <c r="DT133">
        <f>IF(ISNA(DR133),NA(),Capability!$K$8)</f>
        <v/>
      </c>
      <c r="DU133">
        <f>IF(ISNA(DR133),NA(),Capability!$J$8)</f>
        <v/>
      </c>
      <c r="DV133">
        <f>IF(ISNA(DR133),NA(),Capability!$L$8)</f>
        <v/>
      </c>
      <c r="DW133">
        <f>IF(OR(ISNA(DS133),ISNA(DS132)),NA(),ABS(DS133-DS132))</f>
        <v/>
      </c>
      <c r="DX133">
        <f>IF(ISNA(DR133),NA(),Capability!$N$8)</f>
        <v/>
      </c>
      <c r="DY133">
        <f>IF(ISNA(DR133),NA(),IF(OR(Capability!$Q$8="",Settings!$F$7&lt;&gt;"Y"),NA(),Capability!$Q$8))</f>
        <v/>
      </c>
      <c r="DZ133">
        <f>IF(ISNA(DR133),NA(),IF(OR(Capability!$P$8="",Settings!$F$7&lt;&gt;"Y"),NA(),Capability!$P$8))</f>
        <v/>
      </c>
      <c r="EF133">
        <f>IF((EI$1+129)&gt;EG$1,NA(),(EI$1+129)-4)</f>
        <v/>
      </c>
      <c r="EG133">
        <f>IF((EI$1+129)&gt;EG$1,NA(),INDEX('Data Entry'!$L$5:$L$10004,(EI$1+129)-4))</f>
        <v/>
      </c>
      <c r="EH133">
        <f>IF(ISNA(EF133),NA(),Capability!$K$9)</f>
        <v/>
      </c>
      <c r="EI133">
        <f>IF(ISNA(EF133),NA(),Capability!$J$9)</f>
        <v/>
      </c>
      <c r="EJ133">
        <f>IF(ISNA(EF133),NA(),Capability!$L$9)</f>
        <v/>
      </c>
      <c r="EK133">
        <f>IF(OR(ISNA(EG133),ISNA(EG132)),NA(),ABS(EG133-EG132))</f>
        <v/>
      </c>
      <c r="EL133">
        <f>IF(ISNA(EF133),NA(),Capability!$N$9)</f>
        <v/>
      </c>
      <c r="EM133">
        <f>IF(ISNA(EF133),NA(),IF(OR(Capability!$Q$9="",Settings!$F$7&lt;&gt;"Y"),NA(),Capability!$Q$9))</f>
        <v/>
      </c>
      <c r="EN133">
        <f>IF(ISNA(EF133),NA(),IF(OR(Capability!$P$9="",Settings!$F$7&lt;&gt;"Y"),NA(),Capability!$P$9))</f>
        <v/>
      </c>
      <c r="ET133">
        <f>IF((EW$1+129)&gt;EU$1,NA(),(EW$1+129)-4)</f>
        <v/>
      </c>
      <c r="EU133">
        <f>IF((EW$1+129)&gt;EU$1,NA(),INDEX('Data Entry'!$M$5:$M$10004,(EW$1+129)-4))</f>
        <v/>
      </c>
      <c r="EV133">
        <f>IF(ISNA(ET133),NA(),Capability!$K$10)</f>
        <v/>
      </c>
      <c r="EW133">
        <f>IF(ISNA(ET133),NA(),Capability!$J$10)</f>
        <v/>
      </c>
      <c r="EX133">
        <f>IF(ISNA(ET133),NA(),Capability!$L$10)</f>
        <v/>
      </c>
      <c r="EY133">
        <f>IF(OR(ISNA(EU133),ISNA(EU132)),NA(),ABS(EU133-EU132))</f>
        <v/>
      </c>
      <c r="EZ133">
        <f>IF(ISNA(ET133),NA(),Capability!$N$10)</f>
        <v/>
      </c>
      <c r="FA133">
        <f>IF(ISNA(ET133),NA(),IF(OR(Capability!$Q$10="",Settings!$F$7&lt;&gt;"Y"),NA(),Capability!$Q$10))</f>
        <v/>
      </c>
      <c r="FB133">
        <f>IF(ISNA(ET133),NA(),IF(OR(Capability!$P$10="",Settings!$F$7&lt;&gt;"Y"),NA(),Capability!$P$10))</f>
        <v/>
      </c>
      <c r="FH133">
        <f>IF((FK$1+129)&gt;FI$1,NA(),(FK$1+129)-4)</f>
        <v/>
      </c>
      <c r="FI133">
        <f>IF((FK$1+129)&gt;FI$1,NA(),INDEX('Data Entry'!$N$5:$N$10004,(FK$1+129)-4))</f>
        <v/>
      </c>
      <c r="FJ133">
        <f>IF(ISNA(FH133),NA(),Capability!$K$11)</f>
        <v/>
      </c>
      <c r="FK133">
        <f>IF(ISNA(FH133),NA(),Capability!$J$11)</f>
        <v/>
      </c>
      <c r="FL133">
        <f>IF(ISNA(FH133),NA(),Capability!$L$11)</f>
        <v/>
      </c>
      <c r="FM133">
        <f>IF(OR(ISNA(FI133),ISNA(FI132)),NA(),ABS(FI133-FI132))</f>
        <v/>
      </c>
      <c r="FN133">
        <f>IF(ISNA(FH133),NA(),Capability!$N$11)</f>
        <v/>
      </c>
      <c r="FO133">
        <f>IF(ISNA(FH133),NA(),IF(OR(Capability!$Q$11="",Settings!$F$7&lt;&gt;"Y"),NA(),Capability!$Q$11))</f>
        <v/>
      </c>
      <c r="FP133">
        <f>IF(ISNA(FH133),NA(),IF(OR(Capability!$P$11="",Settings!$F$7&lt;&gt;"Y"),NA(),Capability!$P$11))</f>
        <v/>
      </c>
      <c r="FV133">
        <f>IF((FY$1+129)&gt;FW$1,NA(),(FY$1+129)-4)</f>
        <v/>
      </c>
      <c r="FW133">
        <f>IF((FY$1+129)&gt;FW$1,NA(),INDEX('Data Entry'!$O$5:$O$10004,(FY$1+129)-4))</f>
        <v/>
      </c>
      <c r="FX133">
        <f>IF(ISNA(FV133),NA(),Capability!$K$12)</f>
        <v/>
      </c>
      <c r="FY133">
        <f>IF(ISNA(FV133),NA(),Capability!$J$12)</f>
        <v/>
      </c>
      <c r="FZ133">
        <f>IF(ISNA(FV133),NA(),Capability!$L$12)</f>
        <v/>
      </c>
      <c r="GA133">
        <f>IF(OR(ISNA(FW133),ISNA(FW132)),NA(),ABS(FW133-FW132))</f>
        <v/>
      </c>
      <c r="GB133">
        <f>IF(ISNA(FV133),NA(),Capability!$N$12)</f>
        <v/>
      </c>
      <c r="GC133">
        <f>IF(ISNA(FV133),NA(),IF(OR(Capability!$Q$12="",Settings!$F$7&lt;&gt;"Y"),NA(),Capability!$Q$12))</f>
        <v/>
      </c>
      <c r="GD133">
        <f>IF(ISNA(FV133),NA(),IF(OR(Capability!$P$12="",Settings!$F$7&lt;&gt;"Y"),NA(),Capability!$P$12))</f>
        <v/>
      </c>
      <c r="GJ133">
        <f>IF((GM$1+129)&gt;GK$1,NA(),(GM$1+129)-4)</f>
        <v/>
      </c>
      <c r="GK133">
        <f>IF((GM$1+129)&gt;GK$1,NA(),INDEX('Data Entry'!$P$5:$P$10004,(GM$1+129)-4))</f>
        <v/>
      </c>
      <c r="GL133">
        <f>IF(ISNA(GJ133),NA(),Capability!$K$13)</f>
        <v/>
      </c>
      <c r="GM133">
        <f>IF(ISNA(GJ133),NA(),Capability!$J$13)</f>
        <v/>
      </c>
      <c r="GN133">
        <f>IF(ISNA(GJ133),NA(),Capability!$L$13)</f>
        <v/>
      </c>
      <c r="GO133">
        <f>IF(OR(ISNA(GK133),ISNA(GK132)),NA(),ABS(GK133-GK132))</f>
        <v/>
      </c>
      <c r="GP133">
        <f>IF(ISNA(GJ133),NA(),Capability!$N$13)</f>
        <v/>
      </c>
      <c r="GQ133">
        <f>IF(ISNA(GJ133),NA(),IF(OR(Capability!$Q$13="",Settings!$F$7&lt;&gt;"Y"),NA(),Capability!$Q$13))</f>
        <v/>
      </c>
      <c r="GR133">
        <f>IF(ISNA(GJ133),NA(),IF(OR(Capability!$P$13="",Settings!$F$7&lt;&gt;"Y"),NA(),Capability!$P$13))</f>
        <v/>
      </c>
      <c r="GX133">
        <f>IF((HA$1+129)&gt;GY$1,NA(),(HA$1+129)-4)</f>
        <v/>
      </c>
      <c r="GY133">
        <f>IF((HA$1+129)&gt;GY$1,NA(),INDEX('Data Entry'!$Q$5:$Q$10004,(HA$1+129)-4))</f>
        <v/>
      </c>
      <c r="GZ133">
        <f>IF(ISNA(GX133),NA(),Capability!$K$14)</f>
        <v/>
      </c>
      <c r="HA133">
        <f>IF(ISNA(GX133),NA(),Capability!$J$14)</f>
        <v/>
      </c>
      <c r="HB133">
        <f>IF(ISNA(GX133),NA(),Capability!$L$14)</f>
        <v/>
      </c>
      <c r="HC133">
        <f>IF(OR(ISNA(GY133),ISNA(GY132)),NA(),ABS(GY133-GY132))</f>
        <v/>
      </c>
      <c r="HD133">
        <f>IF(ISNA(GX133),NA(),Capability!$N$14)</f>
        <v/>
      </c>
      <c r="HE133">
        <f>IF(ISNA(GX133),NA(),IF(OR(Capability!$Q$14="",Settings!$F$7&lt;&gt;"Y"),NA(),Capability!$Q$14))</f>
        <v/>
      </c>
      <c r="HF133">
        <f>IF(ISNA(GX133),NA(),IF(OR(Capability!$P$14="",Settings!$F$7&lt;&gt;"Y"),NA(),Capability!$P$14))</f>
        <v/>
      </c>
    </row>
    <row r="134">
      <c r="A134" s="35" t="inlineStr">
        <is>
          <t>Std Dev (overall)</t>
        </is>
      </c>
      <c r="B134" s="23">
        <f>Capability!I8</f>
        <v/>
      </c>
      <c r="CB134">
        <f>IF((CE$1+130)&gt;CC$1,NA(),(CE$1+130)-4)</f>
        <v/>
      </c>
      <c r="CC134">
        <f>IF((CE$1+130)&gt;CC$1,NA(),INDEX('Data Entry'!$H$5:$H$10004,(CE$1+130)-4))</f>
        <v/>
      </c>
      <c r="CD134">
        <f>IF(ISNA(CB134),NA(),Capability!$K$5)</f>
        <v/>
      </c>
      <c r="CE134">
        <f>IF(ISNA(CB134),NA(),Capability!$J$5)</f>
        <v/>
      </c>
      <c r="CF134">
        <f>IF(ISNA(CB134),NA(),Capability!$L$5)</f>
        <v/>
      </c>
      <c r="CG134">
        <f>IF(OR(ISNA(CC134),ISNA(CC133)),NA(),ABS(CC134-CC133))</f>
        <v/>
      </c>
      <c r="CH134">
        <f>IF(ISNA(CB134),NA(),Capability!$N$5)</f>
        <v/>
      </c>
      <c r="CI134">
        <f>IF(ISNA(CB134),NA(),IF(OR(Capability!$Q$5="",Settings!$F$7&lt;&gt;"Y"),NA(),Capability!$Q$5))</f>
        <v/>
      </c>
      <c r="CJ134">
        <f>IF(ISNA(CB134),NA(),IF(OR(Capability!$P$5="",Settings!$F$7&lt;&gt;"Y"),NA(),Capability!$P$5))</f>
        <v/>
      </c>
      <c r="CP134">
        <f>IF((CS$1+130)&gt;CQ$1,NA(),(CS$1+130)-4)</f>
        <v/>
      </c>
      <c r="CQ134">
        <f>IF((CS$1+130)&gt;CQ$1,NA(),INDEX('Data Entry'!$I$5:$I$10004,(CS$1+130)-4))</f>
        <v/>
      </c>
      <c r="CR134">
        <f>IF(ISNA(CP134),NA(),Capability!$K$6)</f>
        <v/>
      </c>
      <c r="CS134">
        <f>IF(ISNA(CP134),NA(),Capability!$J$6)</f>
        <v/>
      </c>
      <c r="CT134">
        <f>IF(ISNA(CP134),NA(),Capability!$L$6)</f>
        <v/>
      </c>
      <c r="CU134">
        <f>IF(OR(ISNA(CQ134),ISNA(CQ133)),NA(),ABS(CQ134-CQ133))</f>
        <v/>
      </c>
      <c r="CV134">
        <f>IF(ISNA(CP134),NA(),Capability!$N$6)</f>
        <v/>
      </c>
      <c r="CW134">
        <f>IF(ISNA(CP134),NA(),IF(OR(Capability!$Q$6="",Settings!$F$7&lt;&gt;"Y"),NA(),Capability!$Q$6))</f>
        <v/>
      </c>
      <c r="CX134">
        <f>IF(ISNA(CP134),NA(),IF(OR(Capability!$P$6="",Settings!$F$7&lt;&gt;"Y"),NA(),Capability!$P$6))</f>
        <v/>
      </c>
      <c r="DD134">
        <f>IF((DG$1+130)&gt;DE$1,NA(),(DG$1+130)-4)</f>
        <v/>
      </c>
      <c r="DE134">
        <f>IF((DG$1+130)&gt;DE$1,NA(),INDEX('Data Entry'!$J$5:$J$10004,(DG$1+130)-4))</f>
        <v/>
      </c>
      <c r="DF134">
        <f>IF(ISNA(DD134),NA(),Capability!$K$7)</f>
        <v/>
      </c>
      <c r="DG134">
        <f>IF(ISNA(DD134),NA(),Capability!$J$7)</f>
        <v/>
      </c>
      <c r="DH134">
        <f>IF(ISNA(DD134),NA(),Capability!$L$7)</f>
        <v/>
      </c>
      <c r="DI134">
        <f>IF(OR(ISNA(DE134),ISNA(DE133)),NA(),ABS(DE134-DE133))</f>
        <v/>
      </c>
      <c r="DJ134">
        <f>IF(ISNA(DD134),NA(),Capability!$N$7)</f>
        <v/>
      </c>
      <c r="DK134">
        <f>IF(ISNA(DD134),NA(),IF(OR(Capability!$Q$7="",Settings!$F$7&lt;&gt;"Y"),NA(),Capability!$Q$7))</f>
        <v/>
      </c>
      <c r="DL134">
        <f>IF(ISNA(DD134),NA(),IF(OR(Capability!$P$7="",Settings!$F$7&lt;&gt;"Y"),NA(),Capability!$P$7))</f>
        <v/>
      </c>
      <c r="DR134">
        <f>IF((DU$1+130)&gt;DS$1,NA(),(DU$1+130)-4)</f>
        <v/>
      </c>
      <c r="DS134">
        <f>IF((DU$1+130)&gt;DS$1,NA(),INDEX('Data Entry'!$K$5:$K$10004,(DU$1+130)-4))</f>
        <v/>
      </c>
      <c r="DT134">
        <f>IF(ISNA(DR134),NA(),Capability!$K$8)</f>
        <v/>
      </c>
      <c r="DU134">
        <f>IF(ISNA(DR134),NA(),Capability!$J$8)</f>
        <v/>
      </c>
      <c r="DV134">
        <f>IF(ISNA(DR134),NA(),Capability!$L$8)</f>
        <v/>
      </c>
      <c r="DW134">
        <f>IF(OR(ISNA(DS134),ISNA(DS133)),NA(),ABS(DS134-DS133))</f>
        <v/>
      </c>
      <c r="DX134">
        <f>IF(ISNA(DR134),NA(),Capability!$N$8)</f>
        <v/>
      </c>
      <c r="DY134">
        <f>IF(ISNA(DR134),NA(),IF(OR(Capability!$Q$8="",Settings!$F$7&lt;&gt;"Y"),NA(),Capability!$Q$8))</f>
        <v/>
      </c>
      <c r="DZ134">
        <f>IF(ISNA(DR134),NA(),IF(OR(Capability!$P$8="",Settings!$F$7&lt;&gt;"Y"),NA(),Capability!$P$8))</f>
        <v/>
      </c>
      <c r="EF134">
        <f>IF((EI$1+130)&gt;EG$1,NA(),(EI$1+130)-4)</f>
        <v/>
      </c>
      <c r="EG134">
        <f>IF((EI$1+130)&gt;EG$1,NA(),INDEX('Data Entry'!$L$5:$L$10004,(EI$1+130)-4))</f>
        <v/>
      </c>
      <c r="EH134">
        <f>IF(ISNA(EF134),NA(),Capability!$K$9)</f>
        <v/>
      </c>
      <c r="EI134">
        <f>IF(ISNA(EF134),NA(),Capability!$J$9)</f>
        <v/>
      </c>
      <c r="EJ134">
        <f>IF(ISNA(EF134),NA(),Capability!$L$9)</f>
        <v/>
      </c>
      <c r="EK134">
        <f>IF(OR(ISNA(EG134),ISNA(EG133)),NA(),ABS(EG134-EG133))</f>
        <v/>
      </c>
      <c r="EL134">
        <f>IF(ISNA(EF134),NA(),Capability!$N$9)</f>
        <v/>
      </c>
      <c r="EM134">
        <f>IF(ISNA(EF134),NA(),IF(OR(Capability!$Q$9="",Settings!$F$7&lt;&gt;"Y"),NA(),Capability!$Q$9))</f>
        <v/>
      </c>
      <c r="EN134">
        <f>IF(ISNA(EF134),NA(),IF(OR(Capability!$P$9="",Settings!$F$7&lt;&gt;"Y"),NA(),Capability!$P$9))</f>
        <v/>
      </c>
      <c r="ET134">
        <f>IF((EW$1+130)&gt;EU$1,NA(),(EW$1+130)-4)</f>
        <v/>
      </c>
      <c r="EU134">
        <f>IF((EW$1+130)&gt;EU$1,NA(),INDEX('Data Entry'!$M$5:$M$10004,(EW$1+130)-4))</f>
        <v/>
      </c>
      <c r="EV134">
        <f>IF(ISNA(ET134),NA(),Capability!$K$10)</f>
        <v/>
      </c>
      <c r="EW134">
        <f>IF(ISNA(ET134),NA(),Capability!$J$10)</f>
        <v/>
      </c>
      <c r="EX134">
        <f>IF(ISNA(ET134),NA(),Capability!$L$10)</f>
        <v/>
      </c>
      <c r="EY134">
        <f>IF(OR(ISNA(EU134),ISNA(EU133)),NA(),ABS(EU134-EU133))</f>
        <v/>
      </c>
      <c r="EZ134">
        <f>IF(ISNA(ET134),NA(),Capability!$N$10)</f>
        <v/>
      </c>
      <c r="FA134">
        <f>IF(ISNA(ET134),NA(),IF(OR(Capability!$Q$10="",Settings!$F$7&lt;&gt;"Y"),NA(),Capability!$Q$10))</f>
        <v/>
      </c>
      <c r="FB134">
        <f>IF(ISNA(ET134),NA(),IF(OR(Capability!$P$10="",Settings!$F$7&lt;&gt;"Y"),NA(),Capability!$P$10))</f>
        <v/>
      </c>
      <c r="FH134">
        <f>IF((FK$1+130)&gt;FI$1,NA(),(FK$1+130)-4)</f>
        <v/>
      </c>
      <c r="FI134">
        <f>IF((FK$1+130)&gt;FI$1,NA(),INDEX('Data Entry'!$N$5:$N$10004,(FK$1+130)-4))</f>
        <v/>
      </c>
      <c r="FJ134">
        <f>IF(ISNA(FH134),NA(),Capability!$K$11)</f>
        <v/>
      </c>
      <c r="FK134">
        <f>IF(ISNA(FH134),NA(),Capability!$J$11)</f>
        <v/>
      </c>
      <c r="FL134">
        <f>IF(ISNA(FH134),NA(),Capability!$L$11)</f>
        <v/>
      </c>
      <c r="FM134">
        <f>IF(OR(ISNA(FI134),ISNA(FI133)),NA(),ABS(FI134-FI133))</f>
        <v/>
      </c>
      <c r="FN134">
        <f>IF(ISNA(FH134),NA(),Capability!$N$11)</f>
        <v/>
      </c>
      <c r="FO134">
        <f>IF(ISNA(FH134),NA(),IF(OR(Capability!$Q$11="",Settings!$F$7&lt;&gt;"Y"),NA(),Capability!$Q$11))</f>
        <v/>
      </c>
      <c r="FP134">
        <f>IF(ISNA(FH134),NA(),IF(OR(Capability!$P$11="",Settings!$F$7&lt;&gt;"Y"),NA(),Capability!$P$11))</f>
        <v/>
      </c>
      <c r="FV134">
        <f>IF((FY$1+130)&gt;FW$1,NA(),(FY$1+130)-4)</f>
        <v/>
      </c>
      <c r="FW134">
        <f>IF((FY$1+130)&gt;FW$1,NA(),INDEX('Data Entry'!$O$5:$O$10004,(FY$1+130)-4))</f>
        <v/>
      </c>
      <c r="FX134">
        <f>IF(ISNA(FV134),NA(),Capability!$K$12)</f>
        <v/>
      </c>
      <c r="FY134">
        <f>IF(ISNA(FV134),NA(),Capability!$J$12)</f>
        <v/>
      </c>
      <c r="FZ134">
        <f>IF(ISNA(FV134),NA(),Capability!$L$12)</f>
        <v/>
      </c>
      <c r="GA134">
        <f>IF(OR(ISNA(FW134),ISNA(FW133)),NA(),ABS(FW134-FW133))</f>
        <v/>
      </c>
      <c r="GB134">
        <f>IF(ISNA(FV134),NA(),Capability!$N$12)</f>
        <v/>
      </c>
      <c r="GC134">
        <f>IF(ISNA(FV134),NA(),IF(OR(Capability!$Q$12="",Settings!$F$7&lt;&gt;"Y"),NA(),Capability!$Q$12))</f>
        <v/>
      </c>
      <c r="GD134">
        <f>IF(ISNA(FV134),NA(),IF(OR(Capability!$P$12="",Settings!$F$7&lt;&gt;"Y"),NA(),Capability!$P$12))</f>
        <v/>
      </c>
      <c r="GJ134">
        <f>IF((GM$1+130)&gt;GK$1,NA(),(GM$1+130)-4)</f>
        <v/>
      </c>
      <c r="GK134">
        <f>IF((GM$1+130)&gt;GK$1,NA(),INDEX('Data Entry'!$P$5:$P$10004,(GM$1+130)-4))</f>
        <v/>
      </c>
      <c r="GL134">
        <f>IF(ISNA(GJ134),NA(),Capability!$K$13)</f>
        <v/>
      </c>
      <c r="GM134">
        <f>IF(ISNA(GJ134),NA(),Capability!$J$13)</f>
        <v/>
      </c>
      <c r="GN134">
        <f>IF(ISNA(GJ134),NA(),Capability!$L$13)</f>
        <v/>
      </c>
      <c r="GO134">
        <f>IF(OR(ISNA(GK134),ISNA(GK133)),NA(),ABS(GK134-GK133))</f>
        <v/>
      </c>
      <c r="GP134">
        <f>IF(ISNA(GJ134),NA(),Capability!$N$13)</f>
        <v/>
      </c>
      <c r="GQ134">
        <f>IF(ISNA(GJ134),NA(),IF(OR(Capability!$Q$13="",Settings!$F$7&lt;&gt;"Y"),NA(),Capability!$Q$13))</f>
        <v/>
      </c>
      <c r="GR134">
        <f>IF(ISNA(GJ134),NA(),IF(OR(Capability!$P$13="",Settings!$F$7&lt;&gt;"Y"),NA(),Capability!$P$13))</f>
        <v/>
      </c>
      <c r="GX134">
        <f>IF((HA$1+130)&gt;GY$1,NA(),(HA$1+130)-4)</f>
        <v/>
      </c>
      <c r="GY134">
        <f>IF((HA$1+130)&gt;GY$1,NA(),INDEX('Data Entry'!$Q$5:$Q$10004,(HA$1+130)-4))</f>
        <v/>
      </c>
      <c r="GZ134">
        <f>IF(ISNA(GX134),NA(),Capability!$K$14)</f>
        <v/>
      </c>
      <c r="HA134">
        <f>IF(ISNA(GX134),NA(),Capability!$J$14)</f>
        <v/>
      </c>
      <c r="HB134">
        <f>IF(ISNA(GX134),NA(),Capability!$L$14)</f>
        <v/>
      </c>
      <c r="HC134">
        <f>IF(OR(ISNA(GY134),ISNA(GY133)),NA(),ABS(GY134-GY133))</f>
        <v/>
      </c>
      <c r="HD134">
        <f>IF(ISNA(GX134),NA(),Capability!$N$14)</f>
        <v/>
      </c>
      <c r="HE134">
        <f>IF(ISNA(GX134),NA(),IF(OR(Capability!$Q$14="",Settings!$F$7&lt;&gt;"Y"),NA(),Capability!$Q$14))</f>
        <v/>
      </c>
      <c r="HF134">
        <f>IF(ISNA(GX134),NA(),IF(OR(Capability!$P$14="",Settings!$F$7&lt;&gt;"Y"),NA(),Capability!$P$14))</f>
        <v/>
      </c>
    </row>
    <row r="135">
      <c r="A135" s="35" t="inlineStr">
        <is>
          <t>Sigma (within)</t>
        </is>
      </c>
      <c r="B135" s="23">
        <f>Capability!H8</f>
        <v/>
      </c>
      <c r="CB135">
        <f>IF((CE$1+131)&gt;CC$1,NA(),(CE$1+131)-4)</f>
        <v/>
      </c>
      <c r="CC135">
        <f>IF((CE$1+131)&gt;CC$1,NA(),INDEX('Data Entry'!$H$5:$H$10004,(CE$1+131)-4))</f>
        <v/>
      </c>
      <c r="CD135">
        <f>IF(ISNA(CB135),NA(),Capability!$K$5)</f>
        <v/>
      </c>
      <c r="CE135">
        <f>IF(ISNA(CB135),NA(),Capability!$J$5)</f>
        <v/>
      </c>
      <c r="CF135">
        <f>IF(ISNA(CB135),NA(),Capability!$L$5)</f>
        <v/>
      </c>
      <c r="CG135">
        <f>IF(OR(ISNA(CC135),ISNA(CC134)),NA(),ABS(CC135-CC134))</f>
        <v/>
      </c>
      <c r="CH135">
        <f>IF(ISNA(CB135),NA(),Capability!$N$5)</f>
        <v/>
      </c>
      <c r="CI135">
        <f>IF(ISNA(CB135),NA(),IF(OR(Capability!$Q$5="",Settings!$F$7&lt;&gt;"Y"),NA(),Capability!$Q$5))</f>
        <v/>
      </c>
      <c r="CJ135">
        <f>IF(ISNA(CB135),NA(),IF(OR(Capability!$P$5="",Settings!$F$7&lt;&gt;"Y"),NA(),Capability!$P$5))</f>
        <v/>
      </c>
      <c r="CP135">
        <f>IF((CS$1+131)&gt;CQ$1,NA(),(CS$1+131)-4)</f>
        <v/>
      </c>
      <c r="CQ135">
        <f>IF((CS$1+131)&gt;CQ$1,NA(),INDEX('Data Entry'!$I$5:$I$10004,(CS$1+131)-4))</f>
        <v/>
      </c>
      <c r="CR135">
        <f>IF(ISNA(CP135),NA(),Capability!$K$6)</f>
        <v/>
      </c>
      <c r="CS135">
        <f>IF(ISNA(CP135),NA(),Capability!$J$6)</f>
        <v/>
      </c>
      <c r="CT135">
        <f>IF(ISNA(CP135),NA(),Capability!$L$6)</f>
        <v/>
      </c>
      <c r="CU135">
        <f>IF(OR(ISNA(CQ135),ISNA(CQ134)),NA(),ABS(CQ135-CQ134))</f>
        <v/>
      </c>
      <c r="CV135">
        <f>IF(ISNA(CP135),NA(),Capability!$N$6)</f>
        <v/>
      </c>
      <c r="CW135">
        <f>IF(ISNA(CP135),NA(),IF(OR(Capability!$Q$6="",Settings!$F$7&lt;&gt;"Y"),NA(),Capability!$Q$6))</f>
        <v/>
      </c>
      <c r="CX135">
        <f>IF(ISNA(CP135),NA(),IF(OR(Capability!$P$6="",Settings!$F$7&lt;&gt;"Y"),NA(),Capability!$P$6))</f>
        <v/>
      </c>
      <c r="DD135">
        <f>IF((DG$1+131)&gt;DE$1,NA(),(DG$1+131)-4)</f>
        <v/>
      </c>
      <c r="DE135">
        <f>IF((DG$1+131)&gt;DE$1,NA(),INDEX('Data Entry'!$J$5:$J$10004,(DG$1+131)-4))</f>
        <v/>
      </c>
      <c r="DF135">
        <f>IF(ISNA(DD135),NA(),Capability!$K$7)</f>
        <v/>
      </c>
      <c r="DG135">
        <f>IF(ISNA(DD135),NA(),Capability!$J$7)</f>
        <v/>
      </c>
      <c r="DH135">
        <f>IF(ISNA(DD135),NA(),Capability!$L$7)</f>
        <v/>
      </c>
      <c r="DI135">
        <f>IF(OR(ISNA(DE135),ISNA(DE134)),NA(),ABS(DE135-DE134))</f>
        <v/>
      </c>
      <c r="DJ135">
        <f>IF(ISNA(DD135),NA(),Capability!$N$7)</f>
        <v/>
      </c>
      <c r="DK135">
        <f>IF(ISNA(DD135),NA(),IF(OR(Capability!$Q$7="",Settings!$F$7&lt;&gt;"Y"),NA(),Capability!$Q$7))</f>
        <v/>
      </c>
      <c r="DL135">
        <f>IF(ISNA(DD135),NA(),IF(OR(Capability!$P$7="",Settings!$F$7&lt;&gt;"Y"),NA(),Capability!$P$7))</f>
        <v/>
      </c>
      <c r="DR135">
        <f>IF((DU$1+131)&gt;DS$1,NA(),(DU$1+131)-4)</f>
        <v/>
      </c>
      <c r="DS135">
        <f>IF((DU$1+131)&gt;DS$1,NA(),INDEX('Data Entry'!$K$5:$K$10004,(DU$1+131)-4))</f>
        <v/>
      </c>
      <c r="DT135">
        <f>IF(ISNA(DR135),NA(),Capability!$K$8)</f>
        <v/>
      </c>
      <c r="DU135">
        <f>IF(ISNA(DR135),NA(),Capability!$J$8)</f>
        <v/>
      </c>
      <c r="DV135">
        <f>IF(ISNA(DR135),NA(),Capability!$L$8)</f>
        <v/>
      </c>
      <c r="DW135">
        <f>IF(OR(ISNA(DS135),ISNA(DS134)),NA(),ABS(DS135-DS134))</f>
        <v/>
      </c>
      <c r="DX135">
        <f>IF(ISNA(DR135),NA(),Capability!$N$8)</f>
        <v/>
      </c>
      <c r="DY135">
        <f>IF(ISNA(DR135),NA(),IF(OR(Capability!$Q$8="",Settings!$F$7&lt;&gt;"Y"),NA(),Capability!$Q$8))</f>
        <v/>
      </c>
      <c r="DZ135">
        <f>IF(ISNA(DR135),NA(),IF(OR(Capability!$P$8="",Settings!$F$7&lt;&gt;"Y"),NA(),Capability!$P$8))</f>
        <v/>
      </c>
      <c r="EF135">
        <f>IF((EI$1+131)&gt;EG$1,NA(),(EI$1+131)-4)</f>
        <v/>
      </c>
      <c r="EG135">
        <f>IF((EI$1+131)&gt;EG$1,NA(),INDEX('Data Entry'!$L$5:$L$10004,(EI$1+131)-4))</f>
        <v/>
      </c>
      <c r="EH135">
        <f>IF(ISNA(EF135),NA(),Capability!$K$9)</f>
        <v/>
      </c>
      <c r="EI135">
        <f>IF(ISNA(EF135),NA(),Capability!$J$9)</f>
        <v/>
      </c>
      <c r="EJ135">
        <f>IF(ISNA(EF135),NA(),Capability!$L$9)</f>
        <v/>
      </c>
      <c r="EK135">
        <f>IF(OR(ISNA(EG135),ISNA(EG134)),NA(),ABS(EG135-EG134))</f>
        <v/>
      </c>
      <c r="EL135">
        <f>IF(ISNA(EF135),NA(),Capability!$N$9)</f>
        <v/>
      </c>
      <c r="EM135">
        <f>IF(ISNA(EF135),NA(),IF(OR(Capability!$Q$9="",Settings!$F$7&lt;&gt;"Y"),NA(),Capability!$Q$9))</f>
        <v/>
      </c>
      <c r="EN135">
        <f>IF(ISNA(EF135),NA(),IF(OR(Capability!$P$9="",Settings!$F$7&lt;&gt;"Y"),NA(),Capability!$P$9))</f>
        <v/>
      </c>
      <c r="ET135">
        <f>IF((EW$1+131)&gt;EU$1,NA(),(EW$1+131)-4)</f>
        <v/>
      </c>
      <c r="EU135">
        <f>IF((EW$1+131)&gt;EU$1,NA(),INDEX('Data Entry'!$M$5:$M$10004,(EW$1+131)-4))</f>
        <v/>
      </c>
      <c r="EV135">
        <f>IF(ISNA(ET135),NA(),Capability!$K$10)</f>
        <v/>
      </c>
      <c r="EW135">
        <f>IF(ISNA(ET135),NA(),Capability!$J$10)</f>
        <v/>
      </c>
      <c r="EX135">
        <f>IF(ISNA(ET135),NA(),Capability!$L$10)</f>
        <v/>
      </c>
      <c r="EY135">
        <f>IF(OR(ISNA(EU135),ISNA(EU134)),NA(),ABS(EU135-EU134))</f>
        <v/>
      </c>
      <c r="EZ135">
        <f>IF(ISNA(ET135),NA(),Capability!$N$10)</f>
        <v/>
      </c>
      <c r="FA135">
        <f>IF(ISNA(ET135),NA(),IF(OR(Capability!$Q$10="",Settings!$F$7&lt;&gt;"Y"),NA(),Capability!$Q$10))</f>
        <v/>
      </c>
      <c r="FB135">
        <f>IF(ISNA(ET135),NA(),IF(OR(Capability!$P$10="",Settings!$F$7&lt;&gt;"Y"),NA(),Capability!$P$10))</f>
        <v/>
      </c>
      <c r="FH135">
        <f>IF((FK$1+131)&gt;FI$1,NA(),(FK$1+131)-4)</f>
        <v/>
      </c>
      <c r="FI135">
        <f>IF((FK$1+131)&gt;FI$1,NA(),INDEX('Data Entry'!$N$5:$N$10004,(FK$1+131)-4))</f>
        <v/>
      </c>
      <c r="FJ135">
        <f>IF(ISNA(FH135),NA(),Capability!$K$11)</f>
        <v/>
      </c>
      <c r="FK135">
        <f>IF(ISNA(FH135),NA(),Capability!$J$11)</f>
        <v/>
      </c>
      <c r="FL135">
        <f>IF(ISNA(FH135),NA(),Capability!$L$11)</f>
        <v/>
      </c>
      <c r="FM135">
        <f>IF(OR(ISNA(FI135),ISNA(FI134)),NA(),ABS(FI135-FI134))</f>
        <v/>
      </c>
      <c r="FN135">
        <f>IF(ISNA(FH135),NA(),Capability!$N$11)</f>
        <v/>
      </c>
      <c r="FO135">
        <f>IF(ISNA(FH135),NA(),IF(OR(Capability!$Q$11="",Settings!$F$7&lt;&gt;"Y"),NA(),Capability!$Q$11))</f>
        <v/>
      </c>
      <c r="FP135">
        <f>IF(ISNA(FH135),NA(),IF(OR(Capability!$P$11="",Settings!$F$7&lt;&gt;"Y"),NA(),Capability!$P$11))</f>
        <v/>
      </c>
      <c r="FV135">
        <f>IF((FY$1+131)&gt;FW$1,NA(),(FY$1+131)-4)</f>
        <v/>
      </c>
      <c r="FW135">
        <f>IF((FY$1+131)&gt;FW$1,NA(),INDEX('Data Entry'!$O$5:$O$10004,(FY$1+131)-4))</f>
        <v/>
      </c>
      <c r="FX135">
        <f>IF(ISNA(FV135),NA(),Capability!$K$12)</f>
        <v/>
      </c>
      <c r="FY135">
        <f>IF(ISNA(FV135),NA(),Capability!$J$12)</f>
        <v/>
      </c>
      <c r="FZ135">
        <f>IF(ISNA(FV135),NA(),Capability!$L$12)</f>
        <v/>
      </c>
      <c r="GA135">
        <f>IF(OR(ISNA(FW135),ISNA(FW134)),NA(),ABS(FW135-FW134))</f>
        <v/>
      </c>
      <c r="GB135">
        <f>IF(ISNA(FV135),NA(),Capability!$N$12)</f>
        <v/>
      </c>
      <c r="GC135">
        <f>IF(ISNA(FV135),NA(),IF(OR(Capability!$Q$12="",Settings!$F$7&lt;&gt;"Y"),NA(),Capability!$Q$12))</f>
        <v/>
      </c>
      <c r="GD135">
        <f>IF(ISNA(FV135),NA(),IF(OR(Capability!$P$12="",Settings!$F$7&lt;&gt;"Y"),NA(),Capability!$P$12))</f>
        <v/>
      </c>
      <c r="GJ135">
        <f>IF((GM$1+131)&gt;GK$1,NA(),(GM$1+131)-4)</f>
        <v/>
      </c>
      <c r="GK135">
        <f>IF((GM$1+131)&gt;GK$1,NA(),INDEX('Data Entry'!$P$5:$P$10004,(GM$1+131)-4))</f>
        <v/>
      </c>
      <c r="GL135">
        <f>IF(ISNA(GJ135),NA(),Capability!$K$13)</f>
        <v/>
      </c>
      <c r="GM135">
        <f>IF(ISNA(GJ135),NA(),Capability!$J$13)</f>
        <v/>
      </c>
      <c r="GN135">
        <f>IF(ISNA(GJ135),NA(),Capability!$L$13)</f>
        <v/>
      </c>
      <c r="GO135">
        <f>IF(OR(ISNA(GK135),ISNA(GK134)),NA(),ABS(GK135-GK134))</f>
        <v/>
      </c>
      <c r="GP135">
        <f>IF(ISNA(GJ135),NA(),Capability!$N$13)</f>
        <v/>
      </c>
      <c r="GQ135">
        <f>IF(ISNA(GJ135),NA(),IF(OR(Capability!$Q$13="",Settings!$F$7&lt;&gt;"Y"),NA(),Capability!$Q$13))</f>
        <v/>
      </c>
      <c r="GR135">
        <f>IF(ISNA(GJ135),NA(),IF(OR(Capability!$P$13="",Settings!$F$7&lt;&gt;"Y"),NA(),Capability!$P$13))</f>
        <v/>
      </c>
      <c r="GX135">
        <f>IF((HA$1+131)&gt;GY$1,NA(),(HA$1+131)-4)</f>
        <v/>
      </c>
      <c r="GY135">
        <f>IF((HA$1+131)&gt;GY$1,NA(),INDEX('Data Entry'!$Q$5:$Q$10004,(HA$1+131)-4))</f>
        <v/>
      </c>
      <c r="GZ135">
        <f>IF(ISNA(GX135),NA(),Capability!$K$14)</f>
        <v/>
      </c>
      <c r="HA135">
        <f>IF(ISNA(GX135),NA(),Capability!$J$14)</f>
        <v/>
      </c>
      <c r="HB135">
        <f>IF(ISNA(GX135),NA(),Capability!$L$14)</f>
        <v/>
      </c>
      <c r="HC135">
        <f>IF(OR(ISNA(GY135),ISNA(GY134)),NA(),ABS(GY135-GY134))</f>
        <v/>
      </c>
      <c r="HD135">
        <f>IF(ISNA(GX135),NA(),Capability!$N$14)</f>
        <v/>
      </c>
      <c r="HE135">
        <f>IF(ISNA(GX135),NA(),IF(OR(Capability!$Q$14="",Settings!$F$7&lt;&gt;"Y"),NA(),Capability!$Q$14))</f>
        <v/>
      </c>
      <c r="HF135">
        <f>IF(ISNA(GX135),NA(),IF(OR(Capability!$P$14="",Settings!$F$7&lt;&gt;"Y"),NA(),Capability!$P$14))</f>
        <v/>
      </c>
    </row>
    <row r="136">
      <c r="A136" s="37" t="inlineStr">
        <is>
          <t>CONTROL</t>
        </is>
      </c>
      <c r="B136" s="28" t="n"/>
      <c r="CB136">
        <f>IF((CE$1+132)&gt;CC$1,NA(),(CE$1+132)-4)</f>
        <v/>
      </c>
      <c r="CC136">
        <f>IF((CE$1+132)&gt;CC$1,NA(),INDEX('Data Entry'!$H$5:$H$10004,(CE$1+132)-4))</f>
        <v/>
      </c>
      <c r="CD136">
        <f>IF(ISNA(CB136),NA(),Capability!$K$5)</f>
        <v/>
      </c>
      <c r="CE136">
        <f>IF(ISNA(CB136),NA(),Capability!$J$5)</f>
        <v/>
      </c>
      <c r="CF136">
        <f>IF(ISNA(CB136),NA(),Capability!$L$5)</f>
        <v/>
      </c>
      <c r="CG136">
        <f>IF(OR(ISNA(CC136),ISNA(CC135)),NA(),ABS(CC136-CC135))</f>
        <v/>
      </c>
      <c r="CH136">
        <f>IF(ISNA(CB136),NA(),Capability!$N$5)</f>
        <v/>
      </c>
      <c r="CI136">
        <f>IF(ISNA(CB136),NA(),IF(OR(Capability!$Q$5="",Settings!$F$7&lt;&gt;"Y"),NA(),Capability!$Q$5))</f>
        <v/>
      </c>
      <c r="CJ136">
        <f>IF(ISNA(CB136),NA(),IF(OR(Capability!$P$5="",Settings!$F$7&lt;&gt;"Y"),NA(),Capability!$P$5))</f>
        <v/>
      </c>
      <c r="CP136">
        <f>IF((CS$1+132)&gt;CQ$1,NA(),(CS$1+132)-4)</f>
        <v/>
      </c>
      <c r="CQ136">
        <f>IF((CS$1+132)&gt;CQ$1,NA(),INDEX('Data Entry'!$I$5:$I$10004,(CS$1+132)-4))</f>
        <v/>
      </c>
      <c r="CR136">
        <f>IF(ISNA(CP136),NA(),Capability!$K$6)</f>
        <v/>
      </c>
      <c r="CS136">
        <f>IF(ISNA(CP136),NA(),Capability!$J$6)</f>
        <v/>
      </c>
      <c r="CT136">
        <f>IF(ISNA(CP136),NA(),Capability!$L$6)</f>
        <v/>
      </c>
      <c r="CU136">
        <f>IF(OR(ISNA(CQ136),ISNA(CQ135)),NA(),ABS(CQ136-CQ135))</f>
        <v/>
      </c>
      <c r="CV136">
        <f>IF(ISNA(CP136),NA(),Capability!$N$6)</f>
        <v/>
      </c>
      <c r="CW136">
        <f>IF(ISNA(CP136),NA(),IF(OR(Capability!$Q$6="",Settings!$F$7&lt;&gt;"Y"),NA(),Capability!$Q$6))</f>
        <v/>
      </c>
      <c r="CX136">
        <f>IF(ISNA(CP136),NA(),IF(OR(Capability!$P$6="",Settings!$F$7&lt;&gt;"Y"),NA(),Capability!$P$6))</f>
        <v/>
      </c>
      <c r="DD136">
        <f>IF((DG$1+132)&gt;DE$1,NA(),(DG$1+132)-4)</f>
        <v/>
      </c>
      <c r="DE136">
        <f>IF((DG$1+132)&gt;DE$1,NA(),INDEX('Data Entry'!$J$5:$J$10004,(DG$1+132)-4))</f>
        <v/>
      </c>
      <c r="DF136">
        <f>IF(ISNA(DD136),NA(),Capability!$K$7)</f>
        <v/>
      </c>
      <c r="DG136">
        <f>IF(ISNA(DD136),NA(),Capability!$J$7)</f>
        <v/>
      </c>
      <c r="DH136">
        <f>IF(ISNA(DD136),NA(),Capability!$L$7)</f>
        <v/>
      </c>
      <c r="DI136">
        <f>IF(OR(ISNA(DE136),ISNA(DE135)),NA(),ABS(DE136-DE135))</f>
        <v/>
      </c>
      <c r="DJ136">
        <f>IF(ISNA(DD136),NA(),Capability!$N$7)</f>
        <v/>
      </c>
      <c r="DK136">
        <f>IF(ISNA(DD136),NA(),IF(OR(Capability!$Q$7="",Settings!$F$7&lt;&gt;"Y"),NA(),Capability!$Q$7))</f>
        <v/>
      </c>
      <c r="DL136">
        <f>IF(ISNA(DD136),NA(),IF(OR(Capability!$P$7="",Settings!$F$7&lt;&gt;"Y"),NA(),Capability!$P$7))</f>
        <v/>
      </c>
      <c r="DR136">
        <f>IF((DU$1+132)&gt;DS$1,NA(),(DU$1+132)-4)</f>
        <v/>
      </c>
      <c r="DS136">
        <f>IF((DU$1+132)&gt;DS$1,NA(),INDEX('Data Entry'!$K$5:$K$10004,(DU$1+132)-4))</f>
        <v/>
      </c>
      <c r="DT136">
        <f>IF(ISNA(DR136),NA(),Capability!$K$8)</f>
        <v/>
      </c>
      <c r="DU136">
        <f>IF(ISNA(DR136),NA(),Capability!$J$8)</f>
        <v/>
      </c>
      <c r="DV136">
        <f>IF(ISNA(DR136),NA(),Capability!$L$8)</f>
        <v/>
      </c>
      <c r="DW136">
        <f>IF(OR(ISNA(DS136),ISNA(DS135)),NA(),ABS(DS136-DS135))</f>
        <v/>
      </c>
      <c r="DX136">
        <f>IF(ISNA(DR136),NA(),Capability!$N$8)</f>
        <v/>
      </c>
      <c r="DY136">
        <f>IF(ISNA(DR136),NA(),IF(OR(Capability!$Q$8="",Settings!$F$7&lt;&gt;"Y"),NA(),Capability!$Q$8))</f>
        <v/>
      </c>
      <c r="DZ136">
        <f>IF(ISNA(DR136),NA(),IF(OR(Capability!$P$8="",Settings!$F$7&lt;&gt;"Y"),NA(),Capability!$P$8))</f>
        <v/>
      </c>
      <c r="EF136">
        <f>IF((EI$1+132)&gt;EG$1,NA(),(EI$1+132)-4)</f>
        <v/>
      </c>
      <c r="EG136">
        <f>IF((EI$1+132)&gt;EG$1,NA(),INDEX('Data Entry'!$L$5:$L$10004,(EI$1+132)-4))</f>
        <v/>
      </c>
      <c r="EH136">
        <f>IF(ISNA(EF136),NA(),Capability!$K$9)</f>
        <v/>
      </c>
      <c r="EI136">
        <f>IF(ISNA(EF136),NA(),Capability!$J$9)</f>
        <v/>
      </c>
      <c r="EJ136">
        <f>IF(ISNA(EF136),NA(),Capability!$L$9)</f>
        <v/>
      </c>
      <c r="EK136">
        <f>IF(OR(ISNA(EG136),ISNA(EG135)),NA(),ABS(EG136-EG135))</f>
        <v/>
      </c>
      <c r="EL136">
        <f>IF(ISNA(EF136),NA(),Capability!$N$9)</f>
        <v/>
      </c>
      <c r="EM136">
        <f>IF(ISNA(EF136),NA(),IF(OR(Capability!$Q$9="",Settings!$F$7&lt;&gt;"Y"),NA(),Capability!$Q$9))</f>
        <v/>
      </c>
      <c r="EN136">
        <f>IF(ISNA(EF136),NA(),IF(OR(Capability!$P$9="",Settings!$F$7&lt;&gt;"Y"),NA(),Capability!$P$9))</f>
        <v/>
      </c>
      <c r="ET136">
        <f>IF((EW$1+132)&gt;EU$1,NA(),(EW$1+132)-4)</f>
        <v/>
      </c>
      <c r="EU136">
        <f>IF((EW$1+132)&gt;EU$1,NA(),INDEX('Data Entry'!$M$5:$M$10004,(EW$1+132)-4))</f>
        <v/>
      </c>
      <c r="EV136">
        <f>IF(ISNA(ET136),NA(),Capability!$K$10)</f>
        <v/>
      </c>
      <c r="EW136">
        <f>IF(ISNA(ET136),NA(),Capability!$J$10)</f>
        <v/>
      </c>
      <c r="EX136">
        <f>IF(ISNA(ET136),NA(),Capability!$L$10)</f>
        <v/>
      </c>
      <c r="EY136">
        <f>IF(OR(ISNA(EU136),ISNA(EU135)),NA(),ABS(EU136-EU135))</f>
        <v/>
      </c>
      <c r="EZ136">
        <f>IF(ISNA(ET136),NA(),Capability!$N$10)</f>
        <v/>
      </c>
      <c r="FA136">
        <f>IF(ISNA(ET136),NA(),IF(OR(Capability!$Q$10="",Settings!$F$7&lt;&gt;"Y"),NA(),Capability!$Q$10))</f>
        <v/>
      </c>
      <c r="FB136">
        <f>IF(ISNA(ET136),NA(),IF(OR(Capability!$P$10="",Settings!$F$7&lt;&gt;"Y"),NA(),Capability!$P$10))</f>
        <v/>
      </c>
      <c r="FH136">
        <f>IF((FK$1+132)&gt;FI$1,NA(),(FK$1+132)-4)</f>
        <v/>
      </c>
      <c r="FI136">
        <f>IF((FK$1+132)&gt;FI$1,NA(),INDEX('Data Entry'!$N$5:$N$10004,(FK$1+132)-4))</f>
        <v/>
      </c>
      <c r="FJ136">
        <f>IF(ISNA(FH136),NA(),Capability!$K$11)</f>
        <v/>
      </c>
      <c r="FK136">
        <f>IF(ISNA(FH136),NA(),Capability!$J$11)</f>
        <v/>
      </c>
      <c r="FL136">
        <f>IF(ISNA(FH136),NA(),Capability!$L$11)</f>
        <v/>
      </c>
      <c r="FM136">
        <f>IF(OR(ISNA(FI136),ISNA(FI135)),NA(),ABS(FI136-FI135))</f>
        <v/>
      </c>
      <c r="FN136">
        <f>IF(ISNA(FH136),NA(),Capability!$N$11)</f>
        <v/>
      </c>
      <c r="FO136">
        <f>IF(ISNA(FH136),NA(),IF(OR(Capability!$Q$11="",Settings!$F$7&lt;&gt;"Y"),NA(),Capability!$Q$11))</f>
        <v/>
      </c>
      <c r="FP136">
        <f>IF(ISNA(FH136),NA(),IF(OR(Capability!$P$11="",Settings!$F$7&lt;&gt;"Y"),NA(),Capability!$P$11))</f>
        <v/>
      </c>
      <c r="FV136">
        <f>IF((FY$1+132)&gt;FW$1,NA(),(FY$1+132)-4)</f>
        <v/>
      </c>
      <c r="FW136">
        <f>IF((FY$1+132)&gt;FW$1,NA(),INDEX('Data Entry'!$O$5:$O$10004,(FY$1+132)-4))</f>
        <v/>
      </c>
      <c r="FX136">
        <f>IF(ISNA(FV136),NA(),Capability!$K$12)</f>
        <v/>
      </c>
      <c r="FY136">
        <f>IF(ISNA(FV136),NA(),Capability!$J$12)</f>
        <v/>
      </c>
      <c r="FZ136">
        <f>IF(ISNA(FV136),NA(),Capability!$L$12)</f>
        <v/>
      </c>
      <c r="GA136">
        <f>IF(OR(ISNA(FW136),ISNA(FW135)),NA(),ABS(FW136-FW135))</f>
        <v/>
      </c>
      <c r="GB136">
        <f>IF(ISNA(FV136),NA(),Capability!$N$12)</f>
        <v/>
      </c>
      <c r="GC136">
        <f>IF(ISNA(FV136),NA(),IF(OR(Capability!$Q$12="",Settings!$F$7&lt;&gt;"Y"),NA(),Capability!$Q$12))</f>
        <v/>
      </c>
      <c r="GD136">
        <f>IF(ISNA(FV136),NA(),IF(OR(Capability!$P$12="",Settings!$F$7&lt;&gt;"Y"),NA(),Capability!$P$12))</f>
        <v/>
      </c>
      <c r="GJ136">
        <f>IF((GM$1+132)&gt;GK$1,NA(),(GM$1+132)-4)</f>
        <v/>
      </c>
      <c r="GK136">
        <f>IF((GM$1+132)&gt;GK$1,NA(),INDEX('Data Entry'!$P$5:$P$10004,(GM$1+132)-4))</f>
        <v/>
      </c>
      <c r="GL136">
        <f>IF(ISNA(GJ136),NA(),Capability!$K$13)</f>
        <v/>
      </c>
      <c r="GM136">
        <f>IF(ISNA(GJ136),NA(),Capability!$J$13)</f>
        <v/>
      </c>
      <c r="GN136">
        <f>IF(ISNA(GJ136),NA(),Capability!$L$13)</f>
        <v/>
      </c>
      <c r="GO136">
        <f>IF(OR(ISNA(GK136),ISNA(GK135)),NA(),ABS(GK136-GK135))</f>
        <v/>
      </c>
      <c r="GP136">
        <f>IF(ISNA(GJ136),NA(),Capability!$N$13)</f>
        <v/>
      </c>
      <c r="GQ136">
        <f>IF(ISNA(GJ136),NA(),IF(OR(Capability!$Q$13="",Settings!$F$7&lt;&gt;"Y"),NA(),Capability!$Q$13))</f>
        <v/>
      </c>
      <c r="GR136">
        <f>IF(ISNA(GJ136),NA(),IF(OR(Capability!$P$13="",Settings!$F$7&lt;&gt;"Y"),NA(),Capability!$P$13))</f>
        <v/>
      </c>
      <c r="GX136">
        <f>IF((HA$1+132)&gt;GY$1,NA(),(HA$1+132)-4)</f>
        <v/>
      </c>
      <c r="GY136">
        <f>IF((HA$1+132)&gt;GY$1,NA(),INDEX('Data Entry'!$Q$5:$Q$10004,(HA$1+132)-4))</f>
        <v/>
      </c>
      <c r="GZ136">
        <f>IF(ISNA(GX136),NA(),Capability!$K$14)</f>
        <v/>
      </c>
      <c r="HA136">
        <f>IF(ISNA(GX136),NA(),Capability!$J$14)</f>
        <v/>
      </c>
      <c r="HB136">
        <f>IF(ISNA(GX136),NA(),Capability!$L$14)</f>
        <v/>
      </c>
      <c r="HC136">
        <f>IF(OR(ISNA(GY136),ISNA(GY135)),NA(),ABS(GY136-GY135))</f>
        <v/>
      </c>
      <c r="HD136">
        <f>IF(ISNA(GX136),NA(),Capability!$N$14)</f>
        <v/>
      </c>
      <c r="HE136">
        <f>IF(ISNA(GX136),NA(),IF(OR(Capability!$Q$14="",Settings!$F$7&lt;&gt;"Y"),NA(),Capability!$Q$14))</f>
        <v/>
      </c>
      <c r="HF136">
        <f>IF(ISNA(GX136),NA(),IF(OR(Capability!$P$14="",Settings!$F$7&lt;&gt;"Y"),NA(),Capability!$P$14))</f>
        <v/>
      </c>
    </row>
    <row r="137">
      <c r="A137" s="35" t="inlineStr">
        <is>
          <t>UCL</t>
        </is>
      </c>
      <c r="B137" s="23">
        <f>Capability!J8</f>
        <v/>
      </c>
      <c r="CB137">
        <f>IF((CE$1+133)&gt;CC$1,NA(),(CE$1+133)-4)</f>
        <v/>
      </c>
      <c r="CC137">
        <f>IF((CE$1+133)&gt;CC$1,NA(),INDEX('Data Entry'!$H$5:$H$10004,(CE$1+133)-4))</f>
        <v/>
      </c>
      <c r="CD137">
        <f>IF(ISNA(CB137),NA(),Capability!$K$5)</f>
        <v/>
      </c>
      <c r="CE137">
        <f>IF(ISNA(CB137),NA(),Capability!$J$5)</f>
        <v/>
      </c>
      <c r="CF137">
        <f>IF(ISNA(CB137),NA(),Capability!$L$5)</f>
        <v/>
      </c>
      <c r="CG137">
        <f>IF(OR(ISNA(CC137),ISNA(CC136)),NA(),ABS(CC137-CC136))</f>
        <v/>
      </c>
      <c r="CH137">
        <f>IF(ISNA(CB137),NA(),Capability!$N$5)</f>
        <v/>
      </c>
      <c r="CI137">
        <f>IF(ISNA(CB137),NA(),IF(OR(Capability!$Q$5="",Settings!$F$7&lt;&gt;"Y"),NA(),Capability!$Q$5))</f>
        <v/>
      </c>
      <c r="CJ137">
        <f>IF(ISNA(CB137),NA(),IF(OR(Capability!$P$5="",Settings!$F$7&lt;&gt;"Y"),NA(),Capability!$P$5))</f>
        <v/>
      </c>
      <c r="CP137">
        <f>IF((CS$1+133)&gt;CQ$1,NA(),(CS$1+133)-4)</f>
        <v/>
      </c>
      <c r="CQ137">
        <f>IF((CS$1+133)&gt;CQ$1,NA(),INDEX('Data Entry'!$I$5:$I$10004,(CS$1+133)-4))</f>
        <v/>
      </c>
      <c r="CR137">
        <f>IF(ISNA(CP137),NA(),Capability!$K$6)</f>
        <v/>
      </c>
      <c r="CS137">
        <f>IF(ISNA(CP137),NA(),Capability!$J$6)</f>
        <v/>
      </c>
      <c r="CT137">
        <f>IF(ISNA(CP137),NA(),Capability!$L$6)</f>
        <v/>
      </c>
      <c r="CU137">
        <f>IF(OR(ISNA(CQ137),ISNA(CQ136)),NA(),ABS(CQ137-CQ136))</f>
        <v/>
      </c>
      <c r="CV137">
        <f>IF(ISNA(CP137),NA(),Capability!$N$6)</f>
        <v/>
      </c>
      <c r="CW137">
        <f>IF(ISNA(CP137),NA(),IF(OR(Capability!$Q$6="",Settings!$F$7&lt;&gt;"Y"),NA(),Capability!$Q$6))</f>
        <v/>
      </c>
      <c r="CX137">
        <f>IF(ISNA(CP137),NA(),IF(OR(Capability!$P$6="",Settings!$F$7&lt;&gt;"Y"),NA(),Capability!$P$6))</f>
        <v/>
      </c>
      <c r="DD137">
        <f>IF((DG$1+133)&gt;DE$1,NA(),(DG$1+133)-4)</f>
        <v/>
      </c>
      <c r="DE137">
        <f>IF((DG$1+133)&gt;DE$1,NA(),INDEX('Data Entry'!$J$5:$J$10004,(DG$1+133)-4))</f>
        <v/>
      </c>
      <c r="DF137">
        <f>IF(ISNA(DD137),NA(),Capability!$K$7)</f>
        <v/>
      </c>
      <c r="DG137">
        <f>IF(ISNA(DD137),NA(),Capability!$J$7)</f>
        <v/>
      </c>
      <c r="DH137">
        <f>IF(ISNA(DD137),NA(),Capability!$L$7)</f>
        <v/>
      </c>
      <c r="DI137">
        <f>IF(OR(ISNA(DE137),ISNA(DE136)),NA(),ABS(DE137-DE136))</f>
        <v/>
      </c>
      <c r="DJ137">
        <f>IF(ISNA(DD137),NA(),Capability!$N$7)</f>
        <v/>
      </c>
      <c r="DK137">
        <f>IF(ISNA(DD137),NA(),IF(OR(Capability!$Q$7="",Settings!$F$7&lt;&gt;"Y"),NA(),Capability!$Q$7))</f>
        <v/>
      </c>
      <c r="DL137">
        <f>IF(ISNA(DD137),NA(),IF(OR(Capability!$P$7="",Settings!$F$7&lt;&gt;"Y"),NA(),Capability!$P$7))</f>
        <v/>
      </c>
      <c r="DR137">
        <f>IF((DU$1+133)&gt;DS$1,NA(),(DU$1+133)-4)</f>
        <v/>
      </c>
      <c r="DS137">
        <f>IF((DU$1+133)&gt;DS$1,NA(),INDEX('Data Entry'!$K$5:$K$10004,(DU$1+133)-4))</f>
        <v/>
      </c>
      <c r="DT137">
        <f>IF(ISNA(DR137),NA(),Capability!$K$8)</f>
        <v/>
      </c>
      <c r="DU137">
        <f>IF(ISNA(DR137),NA(),Capability!$J$8)</f>
        <v/>
      </c>
      <c r="DV137">
        <f>IF(ISNA(DR137),NA(),Capability!$L$8)</f>
        <v/>
      </c>
      <c r="DW137">
        <f>IF(OR(ISNA(DS137),ISNA(DS136)),NA(),ABS(DS137-DS136))</f>
        <v/>
      </c>
      <c r="DX137">
        <f>IF(ISNA(DR137),NA(),Capability!$N$8)</f>
        <v/>
      </c>
      <c r="DY137">
        <f>IF(ISNA(DR137),NA(),IF(OR(Capability!$Q$8="",Settings!$F$7&lt;&gt;"Y"),NA(),Capability!$Q$8))</f>
        <v/>
      </c>
      <c r="DZ137">
        <f>IF(ISNA(DR137),NA(),IF(OR(Capability!$P$8="",Settings!$F$7&lt;&gt;"Y"),NA(),Capability!$P$8))</f>
        <v/>
      </c>
      <c r="EF137">
        <f>IF((EI$1+133)&gt;EG$1,NA(),(EI$1+133)-4)</f>
        <v/>
      </c>
      <c r="EG137">
        <f>IF((EI$1+133)&gt;EG$1,NA(),INDEX('Data Entry'!$L$5:$L$10004,(EI$1+133)-4))</f>
        <v/>
      </c>
      <c r="EH137">
        <f>IF(ISNA(EF137),NA(),Capability!$K$9)</f>
        <v/>
      </c>
      <c r="EI137">
        <f>IF(ISNA(EF137),NA(),Capability!$J$9)</f>
        <v/>
      </c>
      <c r="EJ137">
        <f>IF(ISNA(EF137),NA(),Capability!$L$9)</f>
        <v/>
      </c>
      <c r="EK137">
        <f>IF(OR(ISNA(EG137),ISNA(EG136)),NA(),ABS(EG137-EG136))</f>
        <v/>
      </c>
      <c r="EL137">
        <f>IF(ISNA(EF137),NA(),Capability!$N$9)</f>
        <v/>
      </c>
      <c r="EM137">
        <f>IF(ISNA(EF137),NA(),IF(OR(Capability!$Q$9="",Settings!$F$7&lt;&gt;"Y"),NA(),Capability!$Q$9))</f>
        <v/>
      </c>
      <c r="EN137">
        <f>IF(ISNA(EF137),NA(),IF(OR(Capability!$P$9="",Settings!$F$7&lt;&gt;"Y"),NA(),Capability!$P$9))</f>
        <v/>
      </c>
      <c r="ET137">
        <f>IF((EW$1+133)&gt;EU$1,NA(),(EW$1+133)-4)</f>
        <v/>
      </c>
      <c r="EU137">
        <f>IF((EW$1+133)&gt;EU$1,NA(),INDEX('Data Entry'!$M$5:$M$10004,(EW$1+133)-4))</f>
        <v/>
      </c>
      <c r="EV137">
        <f>IF(ISNA(ET137),NA(),Capability!$K$10)</f>
        <v/>
      </c>
      <c r="EW137">
        <f>IF(ISNA(ET137),NA(),Capability!$J$10)</f>
        <v/>
      </c>
      <c r="EX137">
        <f>IF(ISNA(ET137),NA(),Capability!$L$10)</f>
        <v/>
      </c>
      <c r="EY137">
        <f>IF(OR(ISNA(EU137),ISNA(EU136)),NA(),ABS(EU137-EU136))</f>
        <v/>
      </c>
      <c r="EZ137">
        <f>IF(ISNA(ET137),NA(),Capability!$N$10)</f>
        <v/>
      </c>
      <c r="FA137">
        <f>IF(ISNA(ET137),NA(),IF(OR(Capability!$Q$10="",Settings!$F$7&lt;&gt;"Y"),NA(),Capability!$Q$10))</f>
        <v/>
      </c>
      <c r="FB137">
        <f>IF(ISNA(ET137),NA(),IF(OR(Capability!$P$10="",Settings!$F$7&lt;&gt;"Y"),NA(),Capability!$P$10))</f>
        <v/>
      </c>
      <c r="FH137">
        <f>IF((FK$1+133)&gt;FI$1,NA(),(FK$1+133)-4)</f>
        <v/>
      </c>
      <c r="FI137">
        <f>IF((FK$1+133)&gt;FI$1,NA(),INDEX('Data Entry'!$N$5:$N$10004,(FK$1+133)-4))</f>
        <v/>
      </c>
      <c r="FJ137">
        <f>IF(ISNA(FH137),NA(),Capability!$K$11)</f>
        <v/>
      </c>
      <c r="FK137">
        <f>IF(ISNA(FH137),NA(),Capability!$J$11)</f>
        <v/>
      </c>
      <c r="FL137">
        <f>IF(ISNA(FH137),NA(),Capability!$L$11)</f>
        <v/>
      </c>
      <c r="FM137">
        <f>IF(OR(ISNA(FI137),ISNA(FI136)),NA(),ABS(FI137-FI136))</f>
        <v/>
      </c>
      <c r="FN137">
        <f>IF(ISNA(FH137),NA(),Capability!$N$11)</f>
        <v/>
      </c>
      <c r="FO137">
        <f>IF(ISNA(FH137),NA(),IF(OR(Capability!$Q$11="",Settings!$F$7&lt;&gt;"Y"),NA(),Capability!$Q$11))</f>
        <v/>
      </c>
      <c r="FP137">
        <f>IF(ISNA(FH137),NA(),IF(OR(Capability!$P$11="",Settings!$F$7&lt;&gt;"Y"),NA(),Capability!$P$11))</f>
        <v/>
      </c>
      <c r="FV137">
        <f>IF((FY$1+133)&gt;FW$1,NA(),(FY$1+133)-4)</f>
        <v/>
      </c>
      <c r="FW137">
        <f>IF((FY$1+133)&gt;FW$1,NA(),INDEX('Data Entry'!$O$5:$O$10004,(FY$1+133)-4))</f>
        <v/>
      </c>
      <c r="FX137">
        <f>IF(ISNA(FV137),NA(),Capability!$K$12)</f>
        <v/>
      </c>
      <c r="FY137">
        <f>IF(ISNA(FV137),NA(),Capability!$J$12)</f>
        <v/>
      </c>
      <c r="FZ137">
        <f>IF(ISNA(FV137),NA(),Capability!$L$12)</f>
        <v/>
      </c>
      <c r="GA137">
        <f>IF(OR(ISNA(FW137),ISNA(FW136)),NA(),ABS(FW137-FW136))</f>
        <v/>
      </c>
      <c r="GB137">
        <f>IF(ISNA(FV137),NA(),Capability!$N$12)</f>
        <v/>
      </c>
      <c r="GC137">
        <f>IF(ISNA(FV137),NA(),IF(OR(Capability!$Q$12="",Settings!$F$7&lt;&gt;"Y"),NA(),Capability!$Q$12))</f>
        <v/>
      </c>
      <c r="GD137">
        <f>IF(ISNA(FV137),NA(),IF(OR(Capability!$P$12="",Settings!$F$7&lt;&gt;"Y"),NA(),Capability!$P$12))</f>
        <v/>
      </c>
      <c r="GJ137">
        <f>IF((GM$1+133)&gt;GK$1,NA(),(GM$1+133)-4)</f>
        <v/>
      </c>
      <c r="GK137">
        <f>IF((GM$1+133)&gt;GK$1,NA(),INDEX('Data Entry'!$P$5:$P$10004,(GM$1+133)-4))</f>
        <v/>
      </c>
      <c r="GL137">
        <f>IF(ISNA(GJ137),NA(),Capability!$K$13)</f>
        <v/>
      </c>
      <c r="GM137">
        <f>IF(ISNA(GJ137),NA(),Capability!$J$13)</f>
        <v/>
      </c>
      <c r="GN137">
        <f>IF(ISNA(GJ137),NA(),Capability!$L$13)</f>
        <v/>
      </c>
      <c r="GO137">
        <f>IF(OR(ISNA(GK137),ISNA(GK136)),NA(),ABS(GK137-GK136))</f>
        <v/>
      </c>
      <c r="GP137">
        <f>IF(ISNA(GJ137),NA(),Capability!$N$13)</f>
        <v/>
      </c>
      <c r="GQ137">
        <f>IF(ISNA(GJ137),NA(),IF(OR(Capability!$Q$13="",Settings!$F$7&lt;&gt;"Y"),NA(),Capability!$Q$13))</f>
        <v/>
      </c>
      <c r="GR137">
        <f>IF(ISNA(GJ137),NA(),IF(OR(Capability!$P$13="",Settings!$F$7&lt;&gt;"Y"),NA(),Capability!$P$13))</f>
        <v/>
      </c>
      <c r="GX137">
        <f>IF((HA$1+133)&gt;GY$1,NA(),(HA$1+133)-4)</f>
        <v/>
      </c>
      <c r="GY137">
        <f>IF((HA$1+133)&gt;GY$1,NA(),INDEX('Data Entry'!$Q$5:$Q$10004,(HA$1+133)-4))</f>
        <v/>
      </c>
      <c r="GZ137">
        <f>IF(ISNA(GX137),NA(),Capability!$K$14)</f>
        <v/>
      </c>
      <c r="HA137">
        <f>IF(ISNA(GX137),NA(),Capability!$J$14)</f>
        <v/>
      </c>
      <c r="HB137">
        <f>IF(ISNA(GX137),NA(),Capability!$L$14)</f>
        <v/>
      </c>
      <c r="HC137">
        <f>IF(OR(ISNA(GY137),ISNA(GY136)),NA(),ABS(GY137-GY136))</f>
        <v/>
      </c>
      <c r="HD137">
        <f>IF(ISNA(GX137),NA(),Capability!$N$14)</f>
        <v/>
      </c>
      <c r="HE137">
        <f>IF(ISNA(GX137),NA(),IF(OR(Capability!$Q$14="",Settings!$F$7&lt;&gt;"Y"),NA(),Capability!$Q$14))</f>
        <v/>
      </c>
      <c r="HF137">
        <f>IF(ISNA(GX137),NA(),IF(OR(Capability!$P$14="",Settings!$F$7&lt;&gt;"Y"),NA(),Capability!$P$14))</f>
        <v/>
      </c>
    </row>
    <row r="138">
      <c r="A138" s="35" t="inlineStr">
        <is>
          <t>CL</t>
        </is>
      </c>
      <c r="B138" s="23">
        <f>Capability!K8</f>
        <v/>
      </c>
      <c r="CB138">
        <f>IF((CE$1+134)&gt;CC$1,NA(),(CE$1+134)-4)</f>
        <v/>
      </c>
      <c r="CC138">
        <f>IF((CE$1+134)&gt;CC$1,NA(),INDEX('Data Entry'!$H$5:$H$10004,(CE$1+134)-4))</f>
        <v/>
      </c>
      <c r="CD138">
        <f>IF(ISNA(CB138),NA(),Capability!$K$5)</f>
        <v/>
      </c>
      <c r="CE138">
        <f>IF(ISNA(CB138),NA(),Capability!$J$5)</f>
        <v/>
      </c>
      <c r="CF138">
        <f>IF(ISNA(CB138),NA(),Capability!$L$5)</f>
        <v/>
      </c>
      <c r="CG138">
        <f>IF(OR(ISNA(CC138),ISNA(CC137)),NA(),ABS(CC138-CC137))</f>
        <v/>
      </c>
      <c r="CH138">
        <f>IF(ISNA(CB138),NA(),Capability!$N$5)</f>
        <v/>
      </c>
      <c r="CI138">
        <f>IF(ISNA(CB138),NA(),IF(OR(Capability!$Q$5="",Settings!$F$7&lt;&gt;"Y"),NA(),Capability!$Q$5))</f>
        <v/>
      </c>
      <c r="CJ138">
        <f>IF(ISNA(CB138),NA(),IF(OR(Capability!$P$5="",Settings!$F$7&lt;&gt;"Y"),NA(),Capability!$P$5))</f>
        <v/>
      </c>
      <c r="CP138">
        <f>IF((CS$1+134)&gt;CQ$1,NA(),(CS$1+134)-4)</f>
        <v/>
      </c>
      <c r="CQ138">
        <f>IF((CS$1+134)&gt;CQ$1,NA(),INDEX('Data Entry'!$I$5:$I$10004,(CS$1+134)-4))</f>
        <v/>
      </c>
      <c r="CR138">
        <f>IF(ISNA(CP138),NA(),Capability!$K$6)</f>
        <v/>
      </c>
      <c r="CS138">
        <f>IF(ISNA(CP138),NA(),Capability!$J$6)</f>
        <v/>
      </c>
      <c r="CT138">
        <f>IF(ISNA(CP138),NA(),Capability!$L$6)</f>
        <v/>
      </c>
      <c r="CU138">
        <f>IF(OR(ISNA(CQ138),ISNA(CQ137)),NA(),ABS(CQ138-CQ137))</f>
        <v/>
      </c>
      <c r="CV138">
        <f>IF(ISNA(CP138),NA(),Capability!$N$6)</f>
        <v/>
      </c>
      <c r="CW138">
        <f>IF(ISNA(CP138),NA(),IF(OR(Capability!$Q$6="",Settings!$F$7&lt;&gt;"Y"),NA(),Capability!$Q$6))</f>
        <v/>
      </c>
      <c r="CX138">
        <f>IF(ISNA(CP138),NA(),IF(OR(Capability!$P$6="",Settings!$F$7&lt;&gt;"Y"),NA(),Capability!$P$6))</f>
        <v/>
      </c>
      <c r="DD138">
        <f>IF((DG$1+134)&gt;DE$1,NA(),(DG$1+134)-4)</f>
        <v/>
      </c>
      <c r="DE138">
        <f>IF((DG$1+134)&gt;DE$1,NA(),INDEX('Data Entry'!$J$5:$J$10004,(DG$1+134)-4))</f>
        <v/>
      </c>
      <c r="DF138">
        <f>IF(ISNA(DD138),NA(),Capability!$K$7)</f>
        <v/>
      </c>
      <c r="DG138">
        <f>IF(ISNA(DD138),NA(),Capability!$J$7)</f>
        <v/>
      </c>
      <c r="DH138">
        <f>IF(ISNA(DD138),NA(),Capability!$L$7)</f>
        <v/>
      </c>
      <c r="DI138">
        <f>IF(OR(ISNA(DE138),ISNA(DE137)),NA(),ABS(DE138-DE137))</f>
        <v/>
      </c>
      <c r="DJ138">
        <f>IF(ISNA(DD138),NA(),Capability!$N$7)</f>
        <v/>
      </c>
      <c r="DK138">
        <f>IF(ISNA(DD138),NA(),IF(OR(Capability!$Q$7="",Settings!$F$7&lt;&gt;"Y"),NA(),Capability!$Q$7))</f>
        <v/>
      </c>
      <c r="DL138">
        <f>IF(ISNA(DD138),NA(),IF(OR(Capability!$P$7="",Settings!$F$7&lt;&gt;"Y"),NA(),Capability!$P$7))</f>
        <v/>
      </c>
      <c r="DR138">
        <f>IF((DU$1+134)&gt;DS$1,NA(),(DU$1+134)-4)</f>
        <v/>
      </c>
      <c r="DS138">
        <f>IF((DU$1+134)&gt;DS$1,NA(),INDEX('Data Entry'!$K$5:$K$10004,(DU$1+134)-4))</f>
        <v/>
      </c>
      <c r="DT138">
        <f>IF(ISNA(DR138),NA(),Capability!$K$8)</f>
        <v/>
      </c>
      <c r="DU138">
        <f>IF(ISNA(DR138),NA(),Capability!$J$8)</f>
        <v/>
      </c>
      <c r="DV138">
        <f>IF(ISNA(DR138),NA(),Capability!$L$8)</f>
        <v/>
      </c>
      <c r="DW138">
        <f>IF(OR(ISNA(DS138),ISNA(DS137)),NA(),ABS(DS138-DS137))</f>
        <v/>
      </c>
      <c r="DX138">
        <f>IF(ISNA(DR138),NA(),Capability!$N$8)</f>
        <v/>
      </c>
      <c r="DY138">
        <f>IF(ISNA(DR138),NA(),IF(OR(Capability!$Q$8="",Settings!$F$7&lt;&gt;"Y"),NA(),Capability!$Q$8))</f>
        <v/>
      </c>
      <c r="DZ138">
        <f>IF(ISNA(DR138),NA(),IF(OR(Capability!$P$8="",Settings!$F$7&lt;&gt;"Y"),NA(),Capability!$P$8))</f>
        <v/>
      </c>
      <c r="EF138">
        <f>IF((EI$1+134)&gt;EG$1,NA(),(EI$1+134)-4)</f>
        <v/>
      </c>
      <c r="EG138">
        <f>IF((EI$1+134)&gt;EG$1,NA(),INDEX('Data Entry'!$L$5:$L$10004,(EI$1+134)-4))</f>
        <v/>
      </c>
      <c r="EH138">
        <f>IF(ISNA(EF138),NA(),Capability!$K$9)</f>
        <v/>
      </c>
      <c r="EI138">
        <f>IF(ISNA(EF138),NA(),Capability!$J$9)</f>
        <v/>
      </c>
      <c r="EJ138">
        <f>IF(ISNA(EF138),NA(),Capability!$L$9)</f>
        <v/>
      </c>
      <c r="EK138">
        <f>IF(OR(ISNA(EG138),ISNA(EG137)),NA(),ABS(EG138-EG137))</f>
        <v/>
      </c>
      <c r="EL138">
        <f>IF(ISNA(EF138),NA(),Capability!$N$9)</f>
        <v/>
      </c>
      <c r="EM138">
        <f>IF(ISNA(EF138),NA(),IF(OR(Capability!$Q$9="",Settings!$F$7&lt;&gt;"Y"),NA(),Capability!$Q$9))</f>
        <v/>
      </c>
      <c r="EN138">
        <f>IF(ISNA(EF138),NA(),IF(OR(Capability!$P$9="",Settings!$F$7&lt;&gt;"Y"),NA(),Capability!$P$9))</f>
        <v/>
      </c>
      <c r="ET138">
        <f>IF((EW$1+134)&gt;EU$1,NA(),(EW$1+134)-4)</f>
        <v/>
      </c>
      <c r="EU138">
        <f>IF((EW$1+134)&gt;EU$1,NA(),INDEX('Data Entry'!$M$5:$M$10004,(EW$1+134)-4))</f>
        <v/>
      </c>
      <c r="EV138">
        <f>IF(ISNA(ET138),NA(),Capability!$K$10)</f>
        <v/>
      </c>
      <c r="EW138">
        <f>IF(ISNA(ET138),NA(),Capability!$J$10)</f>
        <v/>
      </c>
      <c r="EX138">
        <f>IF(ISNA(ET138),NA(),Capability!$L$10)</f>
        <v/>
      </c>
      <c r="EY138">
        <f>IF(OR(ISNA(EU138),ISNA(EU137)),NA(),ABS(EU138-EU137))</f>
        <v/>
      </c>
      <c r="EZ138">
        <f>IF(ISNA(ET138),NA(),Capability!$N$10)</f>
        <v/>
      </c>
      <c r="FA138">
        <f>IF(ISNA(ET138),NA(),IF(OR(Capability!$Q$10="",Settings!$F$7&lt;&gt;"Y"),NA(),Capability!$Q$10))</f>
        <v/>
      </c>
      <c r="FB138">
        <f>IF(ISNA(ET138),NA(),IF(OR(Capability!$P$10="",Settings!$F$7&lt;&gt;"Y"),NA(),Capability!$P$10))</f>
        <v/>
      </c>
      <c r="FH138">
        <f>IF((FK$1+134)&gt;FI$1,NA(),(FK$1+134)-4)</f>
        <v/>
      </c>
      <c r="FI138">
        <f>IF((FK$1+134)&gt;FI$1,NA(),INDEX('Data Entry'!$N$5:$N$10004,(FK$1+134)-4))</f>
        <v/>
      </c>
      <c r="FJ138">
        <f>IF(ISNA(FH138),NA(),Capability!$K$11)</f>
        <v/>
      </c>
      <c r="FK138">
        <f>IF(ISNA(FH138),NA(),Capability!$J$11)</f>
        <v/>
      </c>
      <c r="FL138">
        <f>IF(ISNA(FH138),NA(),Capability!$L$11)</f>
        <v/>
      </c>
      <c r="FM138">
        <f>IF(OR(ISNA(FI138),ISNA(FI137)),NA(),ABS(FI138-FI137))</f>
        <v/>
      </c>
      <c r="FN138">
        <f>IF(ISNA(FH138),NA(),Capability!$N$11)</f>
        <v/>
      </c>
      <c r="FO138">
        <f>IF(ISNA(FH138),NA(),IF(OR(Capability!$Q$11="",Settings!$F$7&lt;&gt;"Y"),NA(),Capability!$Q$11))</f>
        <v/>
      </c>
      <c r="FP138">
        <f>IF(ISNA(FH138),NA(),IF(OR(Capability!$P$11="",Settings!$F$7&lt;&gt;"Y"),NA(),Capability!$P$11))</f>
        <v/>
      </c>
      <c r="FV138">
        <f>IF((FY$1+134)&gt;FW$1,NA(),(FY$1+134)-4)</f>
        <v/>
      </c>
      <c r="FW138">
        <f>IF((FY$1+134)&gt;FW$1,NA(),INDEX('Data Entry'!$O$5:$O$10004,(FY$1+134)-4))</f>
        <v/>
      </c>
      <c r="FX138">
        <f>IF(ISNA(FV138),NA(),Capability!$K$12)</f>
        <v/>
      </c>
      <c r="FY138">
        <f>IF(ISNA(FV138),NA(),Capability!$J$12)</f>
        <v/>
      </c>
      <c r="FZ138">
        <f>IF(ISNA(FV138),NA(),Capability!$L$12)</f>
        <v/>
      </c>
      <c r="GA138">
        <f>IF(OR(ISNA(FW138),ISNA(FW137)),NA(),ABS(FW138-FW137))</f>
        <v/>
      </c>
      <c r="GB138">
        <f>IF(ISNA(FV138),NA(),Capability!$N$12)</f>
        <v/>
      </c>
      <c r="GC138">
        <f>IF(ISNA(FV138),NA(),IF(OR(Capability!$Q$12="",Settings!$F$7&lt;&gt;"Y"),NA(),Capability!$Q$12))</f>
        <v/>
      </c>
      <c r="GD138">
        <f>IF(ISNA(FV138),NA(),IF(OR(Capability!$P$12="",Settings!$F$7&lt;&gt;"Y"),NA(),Capability!$P$12))</f>
        <v/>
      </c>
      <c r="GJ138">
        <f>IF((GM$1+134)&gt;GK$1,NA(),(GM$1+134)-4)</f>
        <v/>
      </c>
      <c r="GK138">
        <f>IF((GM$1+134)&gt;GK$1,NA(),INDEX('Data Entry'!$P$5:$P$10004,(GM$1+134)-4))</f>
        <v/>
      </c>
      <c r="GL138">
        <f>IF(ISNA(GJ138),NA(),Capability!$K$13)</f>
        <v/>
      </c>
      <c r="GM138">
        <f>IF(ISNA(GJ138),NA(),Capability!$J$13)</f>
        <v/>
      </c>
      <c r="GN138">
        <f>IF(ISNA(GJ138),NA(),Capability!$L$13)</f>
        <v/>
      </c>
      <c r="GO138">
        <f>IF(OR(ISNA(GK138),ISNA(GK137)),NA(),ABS(GK138-GK137))</f>
        <v/>
      </c>
      <c r="GP138">
        <f>IF(ISNA(GJ138),NA(),Capability!$N$13)</f>
        <v/>
      </c>
      <c r="GQ138">
        <f>IF(ISNA(GJ138),NA(),IF(OR(Capability!$Q$13="",Settings!$F$7&lt;&gt;"Y"),NA(),Capability!$Q$13))</f>
        <v/>
      </c>
      <c r="GR138">
        <f>IF(ISNA(GJ138),NA(),IF(OR(Capability!$P$13="",Settings!$F$7&lt;&gt;"Y"),NA(),Capability!$P$13))</f>
        <v/>
      </c>
      <c r="GX138">
        <f>IF((HA$1+134)&gt;GY$1,NA(),(HA$1+134)-4)</f>
        <v/>
      </c>
      <c r="GY138">
        <f>IF((HA$1+134)&gt;GY$1,NA(),INDEX('Data Entry'!$Q$5:$Q$10004,(HA$1+134)-4))</f>
        <v/>
      </c>
      <c r="GZ138">
        <f>IF(ISNA(GX138),NA(),Capability!$K$14)</f>
        <v/>
      </c>
      <c r="HA138">
        <f>IF(ISNA(GX138),NA(),Capability!$J$14)</f>
        <v/>
      </c>
      <c r="HB138">
        <f>IF(ISNA(GX138),NA(),Capability!$L$14)</f>
        <v/>
      </c>
      <c r="HC138">
        <f>IF(OR(ISNA(GY138),ISNA(GY137)),NA(),ABS(GY138-GY137))</f>
        <v/>
      </c>
      <c r="HD138">
        <f>IF(ISNA(GX138),NA(),Capability!$N$14)</f>
        <v/>
      </c>
      <c r="HE138">
        <f>IF(ISNA(GX138),NA(),IF(OR(Capability!$Q$14="",Settings!$F$7&lt;&gt;"Y"),NA(),Capability!$Q$14))</f>
        <v/>
      </c>
      <c r="HF138">
        <f>IF(ISNA(GX138),NA(),IF(OR(Capability!$P$14="",Settings!$F$7&lt;&gt;"Y"),NA(),Capability!$P$14))</f>
        <v/>
      </c>
    </row>
    <row r="139">
      <c r="A139" s="35" t="inlineStr">
        <is>
          <t>LCL</t>
        </is>
      </c>
      <c r="B139" s="23">
        <f>Capability!L8</f>
        <v/>
      </c>
      <c r="CB139">
        <f>IF((CE$1+135)&gt;CC$1,NA(),(CE$1+135)-4)</f>
        <v/>
      </c>
      <c r="CC139">
        <f>IF((CE$1+135)&gt;CC$1,NA(),INDEX('Data Entry'!$H$5:$H$10004,(CE$1+135)-4))</f>
        <v/>
      </c>
      <c r="CD139">
        <f>IF(ISNA(CB139),NA(),Capability!$K$5)</f>
        <v/>
      </c>
      <c r="CE139">
        <f>IF(ISNA(CB139),NA(),Capability!$J$5)</f>
        <v/>
      </c>
      <c r="CF139">
        <f>IF(ISNA(CB139),NA(),Capability!$L$5)</f>
        <v/>
      </c>
      <c r="CG139">
        <f>IF(OR(ISNA(CC139),ISNA(CC138)),NA(),ABS(CC139-CC138))</f>
        <v/>
      </c>
      <c r="CH139">
        <f>IF(ISNA(CB139),NA(),Capability!$N$5)</f>
        <v/>
      </c>
      <c r="CI139">
        <f>IF(ISNA(CB139),NA(),IF(OR(Capability!$Q$5="",Settings!$F$7&lt;&gt;"Y"),NA(),Capability!$Q$5))</f>
        <v/>
      </c>
      <c r="CJ139">
        <f>IF(ISNA(CB139),NA(),IF(OR(Capability!$P$5="",Settings!$F$7&lt;&gt;"Y"),NA(),Capability!$P$5))</f>
        <v/>
      </c>
      <c r="CP139">
        <f>IF((CS$1+135)&gt;CQ$1,NA(),(CS$1+135)-4)</f>
        <v/>
      </c>
      <c r="CQ139">
        <f>IF((CS$1+135)&gt;CQ$1,NA(),INDEX('Data Entry'!$I$5:$I$10004,(CS$1+135)-4))</f>
        <v/>
      </c>
      <c r="CR139">
        <f>IF(ISNA(CP139),NA(),Capability!$K$6)</f>
        <v/>
      </c>
      <c r="CS139">
        <f>IF(ISNA(CP139),NA(),Capability!$J$6)</f>
        <v/>
      </c>
      <c r="CT139">
        <f>IF(ISNA(CP139),NA(),Capability!$L$6)</f>
        <v/>
      </c>
      <c r="CU139">
        <f>IF(OR(ISNA(CQ139),ISNA(CQ138)),NA(),ABS(CQ139-CQ138))</f>
        <v/>
      </c>
      <c r="CV139">
        <f>IF(ISNA(CP139),NA(),Capability!$N$6)</f>
        <v/>
      </c>
      <c r="CW139">
        <f>IF(ISNA(CP139),NA(),IF(OR(Capability!$Q$6="",Settings!$F$7&lt;&gt;"Y"),NA(),Capability!$Q$6))</f>
        <v/>
      </c>
      <c r="CX139">
        <f>IF(ISNA(CP139),NA(),IF(OR(Capability!$P$6="",Settings!$F$7&lt;&gt;"Y"),NA(),Capability!$P$6))</f>
        <v/>
      </c>
      <c r="DD139">
        <f>IF((DG$1+135)&gt;DE$1,NA(),(DG$1+135)-4)</f>
        <v/>
      </c>
      <c r="DE139">
        <f>IF((DG$1+135)&gt;DE$1,NA(),INDEX('Data Entry'!$J$5:$J$10004,(DG$1+135)-4))</f>
        <v/>
      </c>
      <c r="DF139">
        <f>IF(ISNA(DD139),NA(),Capability!$K$7)</f>
        <v/>
      </c>
      <c r="DG139">
        <f>IF(ISNA(DD139),NA(),Capability!$J$7)</f>
        <v/>
      </c>
      <c r="DH139">
        <f>IF(ISNA(DD139),NA(),Capability!$L$7)</f>
        <v/>
      </c>
      <c r="DI139">
        <f>IF(OR(ISNA(DE139),ISNA(DE138)),NA(),ABS(DE139-DE138))</f>
        <v/>
      </c>
      <c r="DJ139">
        <f>IF(ISNA(DD139),NA(),Capability!$N$7)</f>
        <v/>
      </c>
      <c r="DK139">
        <f>IF(ISNA(DD139),NA(),IF(OR(Capability!$Q$7="",Settings!$F$7&lt;&gt;"Y"),NA(),Capability!$Q$7))</f>
        <v/>
      </c>
      <c r="DL139">
        <f>IF(ISNA(DD139),NA(),IF(OR(Capability!$P$7="",Settings!$F$7&lt;&gt;"Y"),NA(),Capability!$P$7))</f>
        <v/>
      </c>
      <c r="DR139">
        <f>IF((DU$1+135)&gt;DS$1,NA(),(DU$1+135)-4)</f>
        <v/>
      </c>
      <c r="DS139">
        <f>IF((DU$1+135)&gt;DS$1,NA(),INDEX('Data Entry'!$K$5:$K$10004,(DU$1+135)-4))</f>
        <v/>
      </c>
      <c r="DT139">
        <f>IF(ISNA(DR139),NA(),Capability!$K$8)</f>
        <v/>
      </c>
      <c r="DU139">
        <f>IF(ISNA(DR139),NA(),Capability!$J$8)</f>
        <v/>
      </c>
      <c r="DV139">
        <f>IF(ISNA(DR139),NA(),Capability!$L$8)</f>
        <v/>
      </c>
      <c r="DW139">
        <f>IF(OR(ISNA(DS139),ISNA(DS138)),NA(),ABS(DS139-DS138))</f>
        <v/>
      </c>
      <c r="DX139">
        <f>IF(ISNA(DR139),NA(),Capability!$N$8)</f>
        <v/>
      </c>
      <c r="DY139">
        <f>IF(ISNA(DR139),NA(),IF(OR(Capability!$Q$8="",Settings!$F$7&lt;&gt;"Y"),NA(),Capability!$Q$8))</f>
        <v/>
      </c>
      <c r="DZ139">
        <f>IF(ISNA(DR139),NA(),IF(OR(Capability!$P$8="",Settings!$F$7&lt;&gt;"Y"),NA(),Capability!$P$8))</f>
        <v/>
      </c>
      <c r="EF139">
        <f>IF((EI$1+135)&gt;EG$1,NA(),(EI$1+135)-4)</f>
        <v/>
      </c>
      <c r="EG139">
        <f>IF((EI$1+135)&gt;EG$1,NA(),INDEX('Data Entry'!$L$5:$L$10004,(EI$1+135)-4))</f>
        <v/>
      </c>
      <c r="EH139">
        <f>IF(ISNA(EF139),NA(),Capability!$K$9)</f>
        <v/>
      </c>
      <c r="EI139">
        <f>IF(ISNA(EF139),NA(),Capability!$J$9)</f>
        <v/>
      </c>
      <c r="EJ139">
        <f>IF(ISNA(EF139),NA(),Capability!$L$9)</f>
        <v/>
      </c>
      <c r="EK139">
        <f>IF(OR(ISNA(EG139),ISNA(EG138)),NA(),ABS(EG139-EG138))</f>
        <v/>
      </c>
      <c r="EL139">
        <f>IF(ISNA(EF139),NA(),Capability!$N$9)</f>
        <v/>
      </c>
      <c r="EM139">
        <f>IF(ISNA(EF139),NA(),IF(OR(Capability!$Q$9="",Settings!$F$7&lt;&gt;"Y"),NA(),Capability!$Q$9))</f>
        <v/>
      </c>
      <c r="EN139">
        <f>IF(ISNA(EF139),NA(),IF(OR(Capability!$P$9="",Settings!$F$7&lt;&gt;"Y"),NA(),Capability!$P$9))</f>
        <v/>
      </c>
      <c r="ET139">
        <f>IF((EW$1+135)&gt;EU$1,NA(),(EW$1+135)-4)</f>
        <v/>
      </c>
      <c r="EU139">
        <f>IF((EW$1+135)&gt;EU$1,NA(),INDEX('Data Entry'!$M$5:$M$10004,(EW$1+135)-4))</f>
        <v/>
      </c>
      <c r="EV139">
        <f>IF(ISNA(ET139),NA(),Capability!$K$10)</f>
        <v/>
      </c>
      <c r="EW139">
        <f>IF(ISNA(ET139),NA(),Capability!$J$10)</f>
        <v/>
      </c>
      <c r="EX139">
        <f>IF(ISNA(ET139),NA(),Capability!$L$10)</f>
        <v/>
      </c>
      <c r="EY139">
        <f>IF(OR(ISNA(EU139),ISNA(EU138)),NA(),ABS(EU139-EU138))</f>
        <v/>
      </c>
      <c r="EZ139">
        <f>IF(ISNA(ET139),NA(),Capability!$N$10)</f>
        <v/>
      </c>
      <c r="FA139">
        <f>IF(ISNA(ET139),NA(),IF(OR(Capability!$Q$10="",Settings!$F$7&lt;&gt;"Y"),NA(),Capability!$Q$10))</f>
        <v/>
      </c>
      <c r="FB139">
        <f>IF(ISNA(ET139),NA(),IF(OR(Capability!$P$10="",Settings!$F$7&lt;&gt;"Y"),NA(),Capability!$P$10))</f>
        <v/>
      </c>
      <c r="FH139">
        <f>IF((FK$1+135)&gt;FI$1,NA(),(FK$1+135)-4)</f>
        <v/>
      </c>
      <c r="FI139">
        <f>IF((FK$1+135)&gt;FI$1,NA(),INDEX('Data Entry'!$N$5:$N$10004,(FK$1+135)-4))</f>
        <v/>
      </c>
      <c r="FJ139">
        <f>IF(ISNA(FH139),NA(),Capability!$K$11)</f>
        <v/>
      </c>
      <c r="FK139">
        <f>IF(ISNA(FH139),NA(),Capability!$J$11)</f>
        <v/>
      </c>
      <c r="FL139">
        <f>IF(ISNA(FH139),NA(),Capability!$L$11)</f>
        <v/>
      </c>
      <c r="FM139">
        <f>IF(OR(ISNA(FI139),ISNA(FI138)),NA(),ABS(FI139-FI138))</f>
        <v/>
      </c>
      <c r="FN139">
        <f>IF(ISNA(FH139),NA(),Capability!$N$11)</f>
        <v/>
      </c>
      <c r="FO139">
        <f>IF(ISNA(FH139),NA(),IF(OR(Capability!$Q$11="",Settings!$F$7&lt;&gt;"Y"),NA(),Capability!$Q$11))</f>
        <v/>
      </c>
      <c r="FP139">
        <f>IF(ISNA(FH139),NA(),IF(OR(Capability!$P$11="",Settings!$F$7&lt;&gt;"Y"),NA(),Capability!$P$11))</f>
        <v/>
      </c>
      <c r="FV139">
        <f>IF((FY$1+135)&gt;FW$1,NA(),(FY$1+135)-4)</f>
        <v/>
      </c>
      <c r="FW139">
        <f>IF((FY$1+135)&gt;FW$1,NA(),INDEX('Data Entry'!$O$5:$O$10004,(FY$1+135)-4))</f>
        <v/>
      </c>
      <c r="FX139">
        <f>IF(ISNA(FV139),NA(),Capability!$K$12)</f>
        <v/>
      </c>
      <c r="FY139">
        <f>IF(ISNA(FV139),NA(),Capability!$J$12)</f>
        <v/>
      </c>
      <c r="FZ139">
        <f>IF(ISNA(FV139),NA(),Capability!$L$12)</f>
        <v/>
      </c>
      <c r="GA139">
        <f>IF(OR(ISNA(FW139),ISNA(FW138)),NA(),ABS(FW139-FW138))</f>
        <v/>
      </c>
      <c r="GB139">
        <f>IF(ISNA(FV139),NA(),Capability!$N$12)</f>
        <v/>
      </c>
      <c r="GC139">
        <f>IF(ISNA(FV139),NA(),IF(OR(Capability!$Q$12="",Settings!$F$7&lt;&gt;"Y"),NA(),Capability!$Q$12))</f>
        <v/>
      </c>
      <c r="GD139">
        <f>IF(ISNA(FV139),NA(),IF(OR(Capability!$P$12="",Settings!$F$7&lt;&gt;"Y"),NA(),Capability!$P$12))</f>
        <v/>
      </c>
      <c r="GJ139">
        <f>IF((GM$1+135)&gt;GK$1,NA(),(GM$1+135)-4)</f>
        <v/>
      </c>
      <c r="GK139">
        <f>IF((GM$1+135)&gt;GK$1,NA(),INDEX('Data Entry'!$P$5:$P$10004,(GM$1+135)-4))</f>
        <v/>
      </c>
      <c r="GL139">
        <f>IF(ISNA(GJ139),NA(),Capability!$K$13)</f>
        <v/>
      </c>
      <c r="GM139">
        <f>IF(ISNA(GJ139),NA(),Capability!$J$13)</f>
        <v/>
      </c>
      <c r="GN139">
        <f>IF(ISNA(GJ139),NA(),Capability!$L$13)</f>
        <v/>
      </c>
      <c r="GO139">
        <f>IF(OR(ISNA(GK139),ISNA(GK138)),NA(),ABS(GK139-GK138))</f>
        <v/>
      </c>
      <c r="GP139">
        <f>IF(ISNA(GJ139),NA(),Capability!$N$13)</f>
        <v/>
      </c>
      <c r="GQ139">
        <f>IF(ISNA(GJ139),NA(),IF(OR(Capability!$Q$13="",Settings!$F$7&lt;&gt;"Y"),NA(),Capability!$Q$13))</f>
        <v/>
      </c>
      <c r="GR139">
        <f>IF(ISNA(GJ139),NA(),IF(OR(Capability!$P$13="",Settings!$F$7&lt;&gt;"Y"),NA(),Capability!$P$13))</f>
        <v/>
      </c>
      <c r="GX139">
        <f>IF((HA$1+135)&gt;GY$1,NA(),(HA$1+135)-4)</f>
        <v/>
      </c>
      <c r="GY139">
        <f>IF((HA$1+135)&gt;GY$1,NA(),INDEX('Data Entry'!$Q$5:$Q$10004,(HA$1+135)-4))</f>
        <v/>
      </c>
      <c r="GZ139">
        <f>IF(ISNA(GX139),NA(),Capability!$K$14)</f>
        <v/>
      </c>
      <c r="HA139">
        <f>IF(ISNA(GX139),NA(),Capability!$J$14)</f>
        <v/>
      </c>
      <c r="HB139">
        <f>IF(ISNA(GX139),NA(),Capability!$L$14)</f>
        <v/>
      </c>
      <c r="HC139">
        <f>IF(OR(ISNA(GY139),ISNA(GY138)),NA(),ABS(GY139-GY138))</f>
        <v/>
      </c>
      <c r="HD139">
        <f>IF(ISNA(GX139),NA(),Capability!$N$14)</f>
        <v/>
      </c>
      <c r="HE139">
        <f>IF(ISNA(GX139),NA(),IF(OR(Capability!$Q$14="",Settings!$F$7&lt;&gt;"Y"),NA(),Capability!$Q$14))</f>
        <v/>
      </c>
      <c r="HF139">
        <f>IF(ISNA(GX139),NA(),IF(OR(Capability!$P$14="",Settings!$F$7&lt;&gt;"Y"),NA(),Capability!$P$14))</f>
        <v/>
      </c>
    </row>
    <row r="140">
      <c r="A140" s="35" t="inlineStr">
        <is>
          <t>mR-bar</t>
        </is>
      </c>
      <c r="B140" s="23">
        <f>Capability!M8</f>
        <v/>
      </c>
      <c r="CB140">
        <f>IF((CE$1+136)&gt;CC$1,NA(),(CE$1+136)-4)</f>
        <v/>
      </c>
      <c r="CC140">
        <f>IF((CE$1+136)&gt;CC$1,NA(),INDEX('Data Entry'!$H$5:$H$10004,(CE$1+136)-4))</f>
        <v/>
      </c>
      <c r="CD140">
        <f>IF(ISNA(CB140),NA(),Capability!$K$5)</f>
        <v/>
      </c>
      <c r="CE140">
        <f>IF(ISNA(CB140),NA(),Capability!$J$5)</f>
        <v/>
      </c>
      <c r="CF140">
        <f>IF(ISNA(CB140),NA(),Capability!$L$5)</f>
        <v/>
      </c>
      <c r="CG140">
        <f>IF(OR(ISNA(CC140),ISNA(CC139)),NA(),ABS(CC140-CC139))</f>
        <v/>
      </c>
      <c r="CH140">
        <f>IF(ISNA(CB140),NA(),Capability!$N$5)</f>
        <v/>
      </c>
      <c r="CI140">
        <f>IF(ISNA(CB140),NA(),IF(OR(Capability!$Q$5="",Settings!$F$7&lt;&gt;"Y"),NA(),Capability!$Q$5))</f>
        <v/>
      </c>
      <c r="CJ140">
        <f>IF(ISNA(CB140),NA(),IF(OR(Capability!$P$5="",Settings!$F$7&lt;&gt;"Y"),NA(),Capability!$P$5))</f>
        <v/>
      </c>
      <c r="CP140">
        <f>IF((CS$1+136)&gt;CQ$1,NA(),(CS$1+136)-4)</f>
        <v/>
      </c>
      <c r="CQ140">
        <f>IF((CS$1+136)&gt;CQ$1,NA(),INDEX('Data Entry'!$I$5:$I$10004,(CS$1+136)-4))</f>
        <v/>
      </c>
      <c r="CR140">
        <f>IF(ISNA(CP140),NA(),Capability!$K$6)</f>
        <v/>
      </c>
      <c r="CS140">
        <f>IF(ISNA(CP140),NA(),Capability!$J$6)</f>
        <v/>
      </c>
      <c r="CT140">
        <f>IF(ISNA(CP140),NA(),Capability!$L$6)</f>
        <v/>
      </c>
      <c r="CU140">
        <f>IF(OR(ISNA(CQ140),ISNA(CQ139)),NA(),ABS(CQ140-CQ139))</f>
        <v/>
      </c>
      <c r="CV140">
        <f>IF(ISNA(CP140),NA(),Capability!$N$6)</f>
        <v/>
      </c>
      <c r="CW140">
        <f>IF(ISNA(CP140),NA(),IF(OR(Capability!$Q$6="",Settings!$F$7&lt;&gt;"Y"),NA(),Capability!$Q$6))</f>
        <v/>
      </c>
      <c r="CX140">
        <f>IF(ISNA(CP140),NA(),IF(OR(Capability!$P$6="",Settings!$F$7&lt;&gt;"Y"),NA(),Capability!$P$6))</f>
        <v/>
      </c>
      <c r="DD140">
        <f>IF((DG$1+136)&gt;DE$1,NA(),(DG$1+136)-4)</f>
        <v/>
      </c>
      <c r="DE140">
        <f>IF((DG$1+136)&gt;DE$1,NA(),INDEX('Data Entry'!$J$5:$J$10004,(DG$1+136)-4))</f>
        <v/>
      </c>
      <c r="DF140">
        <f>IF(ISNA(DD140),NA(),Capability!$K$7)</f>
        <v/>
      </c>
      <c r="DG140">
        <f>IF(ISNA(DD140),NA(),Capability!$J$7)</f>
        <v/>
      </c>
      <c r="DH140">
        <f>IF(ISNA(DD140),NA(),Capability!$L$7)</f>
        <v/>
      </c>
      <c r="DI140">
        <f>IF(OR(ISNA(DE140),ISNA(DE139)),NA(),ABS(DE140-DE139))</f>
        <v/>
      </c>
      <c r="DJ140">
        <f>IF(ISNA(DD140),NA(),Capability!$N$7)</f>
        <v/>
      </c>
      <c r="DK140">
        <f>IF(ISNA(DD140),NA(),IF(OR(Capability!$Q$7="",Settings!$F$7&lt;&gt;"Y"),NA(),Capability!$Q$7))</f>
        <v/>
      </c>
      <c r="DL140">
        <f>IF(ISNA(DD140),NA(),IF(OR(Capability!$P$7="",Settings!$F$7&lt;&gt;"Y"),NA(),Capability!$P$7))</f>
        <v/>
      </c>
      <c r="DR140">
        <f>IF((DU$1+136)&gt;DS$1,NA(),(DU$1+136)-4)</f>
        <v/>
      </c>
      <c r="DS140">
        <f>IF((DU$1+136)&gt;DS$1,NA(),INDEX('Data Entry'!$K$5:$K$10004,(DU$1+136)-4))</f>
        <v/>
      </c>
      <c r="DT140">
        <f>IF(ISNA(DR140),NA(),Capability!$K$8)</f>
        <v/>
      </c>
      <c r="DU140">
        <f>IF(ISNA(DR140),NA(),Capability!$J$8)</f>
        <v/>
      </c>
      <c r="DV140">
        <f>IF(ISNA(DR140),NA(),Capability!$L$8)</f>
        <v/>
      </c>
      <c r="DW140">
        <f>IF(OR(ISNA(DS140),ISNA(DS139)),NA(),ABS(DS140-DS139))</f>
        <v/>
      </c>
      <c r="DX140">
        <f>IF(ISNA(DR140),NA(),Capability!$N$8)</f>
        <v/>
      </c>
      <c r="DY140">
        <f>IF(ISNA(DR140),NA(),IF(OR(Capability!$Q$8="",Settings!$F$7&lt;&gt;"Y"),NA(),Capability!$Q$8))</f>
        <v/>
      </c>
      <c r="DZ140">
        <f>IF(ISNA(DR140),NA(),IF(OR(Capability!$P$8="",Settings!$F$7&lt;&gt;"Y"),NA(),Capability!$P$8))</f>
        <v/>
      </c>
      <c r="EF140">
        <f>IF((EI$1+136)&gt;EG$1,NA(),(EI$1+136)-4)</f>
        <v/>
      </c>
      <c r="EG140">
        <f>IF((EI$1+136)&gt;EG$1,NA(),INDEX('Data Entry'!$L$5:$L$10004,(EI$1+136)-4))</f>
        <v/>
      </c>
      <c r="EH140">
        <f>IF(ISNA(EF140),NA(),Capability!$K$9)</f>
        <v/>
      </c>
      <c r="EI140">
        <f>IF(ISNA(EF140),NA(),Capability!$J$9)</f>
        <v/>
      </c>
      <c r="EJ140">
        <f>IF(ISNA(EF140),NA(),Capability!$L$9)</f>
        <v/>
      </c>
      <c r="EK140">
        <f>IF(OR(ISNA(EG140),ISNA(EG139)),NA(),ABS(EG140-EG139))</f>
        <v/>
      </c>
      <c r="EL140">
        <f>IF(ISNA(EF140),NA(),Capability!$N$9)</f>
        <v/>
      </c>
      <c r="EM140">
        <f>IF(ISNA(EF140),NA(),IF(OR(Capability!$Q$9="",Settings!$F$7&lt;&gt;"Y"),NA(),Capability!$Q$9))</f>
        <v/>
      </c>
      <c r="EN140">
        <f>IF(ISNA(EF140),NA(),IF(OR(Capability!$P$9="",Settings!$F$7&lt;&gt;"Y"),NA(),Capability!$P$9))</f>
        <v/>
      </c>
      <c r="ET140">
        <f>IF((EW$1+136)&gt;EU$1,NA(),(EW$1+136)-4)</f>
        <v/>
      </c>
      <c r="EU140">
        <f>IF((EW$1+136)&gt;EU$1,NA(),INDEX('Data Entry'!$M$5:$M$10004,(EW$1+136)-4))</f>
        <v/>
      </c>
      <c r="EV140">
        <f>IF(ISNA(ET140),NA(),Capability!$K$10)</f>
        <v/>
      </c>
      <c r="EW140">
        <f>IF(ISNA(ET140),NA(),Capability!$J$10)</f>
        <v/>
      </c>
      <c r="EX140">
        <f>IF(ISNA(ET140),NA(),Capability!$L$10)</f>
        <v/>
      </c>
      <c r="EY140">
        <f>IF(OR(ISNA(EU140),ISNA(EU139)),NA(),ABS(EU140-EU139))</f>
        <v/>
      </c>
      <c r="EZ140">
        <f>IF(ISNA(ET140),NA(),Capability!$N$10)</f>
        <v/>
      </c>
      <c r="FA140">
        <f>IF(ISNA(ET140),NA(),IF(OR(Capability!$Q$10="",Settings!$F$7&lt;&gt;"Y"),NA(),Capability!$Q$10))</f>
        <v/>
      </c>
      <c r="FB140">
        <f>IF(ISNA(ET140),NA(),IF(OR(Capability!$P$10="",Settings!$F$7&lt;&gt;"Y"),NA(),Capability!$P$10))</f>
        <v/>
      </c>
      <c r="FH140">
        <f>IF((FK$1+136)&gt;FI$1,NA(),(FK$1+136)-4)</f>
        <v/>
      </c>
      <c r="FI140">
        <f>IF((FK$1+136)&gt;FI$1,NA(),INDEX('Data Entry'!$N$5:$N$10004,(FK$1+136)-4))</f>
        <v/>
      </c>
      <c r="FJ140">
        <f>IF(ISNA(FH140),NA(),Capability!$K$11)</f>
        <v/>
      </c>
      <c r="FK140">
        <f>IF(ISNA(FH140),NA(),Capability!$J$11)</f>
        <v/>
      </c>
      <c r="FL140">
        <f>IF(ISNA(FH140),NA(),Capability!$L$11)</f>
        <v/>
      </c>
      <c r="FM140">
        <f>IF(OR(ISNA(FI140),ISNA(FI139)),NA(),ABS(FI140-FI139))</f>
        <v/>
      </c>
      <c r="FN140">
        <f>IF(ISNA(FH140),NA(),Capability!$N$11)</f>
        <v/>
      </c>
      <c r="FO140">
        <f>IF(ISNA(FH140),NA(),IF(OR(Capability!$Q$11="",Settings!$F$7&lt;&gt;"Y"),NA(),Capability!$Q$11))</f>
        <v/>
      </c>
      <c r="FP140">
        <f>IF(ISNA(FH140),NA(),IF(OR(Capability!$P$11="",Settings!$F$7&lt;&gt;"Y"),NA(),Capability!$P$11))</f>
        <v/>
      </c>
      <c r="FV140">
        <f>IF((FY$1+136)&gt;FW$1,NA(),(FY$1+136)-4)</f>
        <v/>
      </c>
      <c r="FW140">
        <f>IF((FY$1+136)&gt;FW$1,NA(),INDEX('Data Entry'!$O$5:$O$10004,(FY$1+136)-4))</f>
        <v/>
      </c>
      <c r="FX140">
        <f>IF(ISNA(FV140),NA(),Capability!$K$12)</f>
        <v/>
      </c>
      <c r="FY140">
        <f>IF(ISNA(FV140),NA(),Capability!$J$12)</f>
        <v/>
      </c>
      <c r="FZ140">
        <f>IF(ISNA(FV140),NA(),Capability!$L$12)</f>
        <v/>
      </c>
      <c r="GA140">
        <f>IF(OR(ISNA(FW140),ISNA(FW139)),NA(),ABS(FW140-FW139))</f>
        <v/>
      </c>
      <c r="GB140">
        <f>IF(ISNA(FV140),NA(),Capability!$N$12)</f>
        <v/>
      </c>
      <c r="GC140">
        <f>IF(ISNA(FV140),NA(),IF(OR(Capability!$Q$12="",Settings!$F$7&lt;&gt;"Y"),NA(),Capability!$Q$12))</f>
        <v/>
      </c>
      <c r="GD140">
        <f>IF(ISNA(FV140),NA(),IF(OR(Capability!$P$12="",Settings!$F$7&lt;&gt;"Y"),NA(),Capability!$P$12))</f>
        <v/>
      </c>
      <c r="GJ140">
        <f>IF((GM$1+136)&gt;GK$1,NA(),(GM$1+136)-4)</f>
        <v/>
      </c>
      <c r="GK140">
        <f>IF((GM$1+136)&gt;GK$1,NA(),INDEX('Data Entry'!$P$5:$P$10004,(GM$1+136)-4))</f>
        <v/>
      </c>
      <c r="GL140">
        <f>IF(ISNA(GJ140),NA(),Capability!$K$13)</f>
        <v/>
      </c>
      <c r="GM140">
        <f>IF(ISNA(GJ140),NA(),Capability!$J$13)</f>
        <v/>
      </c>
      <c r="GN140">
        <f>IF(ISNA(GJ140),NA(),Capability!$L$13)</f>
        <v/>
      </c>
      <c r="GO140">
        <f>IF(OR(ISNA(GK140),ISNA(GK139)),NA(),ABS(GK140-GK139))</f>
        <v/>
      </c>
      <c r="GP140">
        <f>IF(ISNA(GJ140),NA(),Capability!$N$13)</f>
        <v/>
      </c>
      <c r="GQ140">
        <f>IF(ISNA(GJ140),NA(),IF(OR(Capability!$Q$13="",Settings!$F$7&lt;&gt;"Y"),NA(),Capability!$Q$13))</f>
        <v/>
      </c>
      <c r="GR140">
        <f>IF(ISNA(GJ140),NA(),IF(OR(Capability!$P$13="",Settings!$F$7&lt;&gt;"Y"),NA(),Capability!$P$13))</f>
        <v/>
      </c>
      <c r="GX140">
        <f>IF((HA$1+136)&gt;GY$1,NA(),(HA$1+136)-4)</f>
        <v/>
      </c>
      <c r="GY140">
        <f>IF((HA$1+136)&gt;GY$1,NA(),INDEX('Data Entry'!$Q$5:$Q$10004,(HA$1+136)-4))</f>
        <v/>
      </c>
      <c r="GZ140">
        <f>IF(ISNA(GX140),NA(),Capability!$K$14)</f>
        <v/>
      </c>
      <c r="HA140">
        <f>IF(ISNA(GX140),NA(),Capability!$J$14)</f>
        <v/>
      </c>
      <c r="HB140">
        <f>IF(ISNA(GX140),NA(),Capability!$L$14)</f>
        <v/>
      </c>
      <c r="HC140">
        <f>IF(OR(ISNA(GY140),ISNA(GY139)),NA(),ABS(GY140-GY139))</f>
        <v/>
      </c>
      <c r="HD140">
        <f>IF(ISNA(GX140),NA(),Capability!$N$14)</f>
        <v/>
      </c>
      <c r="HE140">
        <f>IF(ISNA(GX140),NA(),IF(OR(Capability!$Q$14="",Settings!$F$7&lt;&gt;"Y"),NA(),Capability!$Q$14))</f>
        <v/>
      </c>
      <c r="HF140">
        <f>IF(ISNA(GX140),NA(),IF(OR(Capability!$P$14="",Settings!$F$7&lt;&gt;"Y"),NA(),Capability!$P$14))</f>
        <v/>
      </c>
    </row>
    <row r="141">
      <c r="A141" s="35" t="inlineStr">
        <is>
          <t>mR UCL</t>
        </is>
      </c>
      <c r="B141" s="23">
        <f>Capability!N8</f>
        <v/>
      </c>
      <c r="CB141">
        <f>IF((CE$1+137)&gt;CC$1,NA(),(CE$1+137)-4)</f>
        <v/>
      </c>
      <c r="CC141">
        <f>IF((CE$1+137)&gt;CC$1,NA(),INDEX('Data Entry'!$H$5:$H$10004,(CE$1+137)-4))</f>
        <v/>
      </c>
      <c r="CD141">
        <f>IF(ISNA(CB141),NA(),Capability!$K$5)</f>
        <v/>
      </c>
      <c r="CE141">
        <f>IF(ISNA(CB141),NA(),Capability!$J$5)</f>
        <v/>
      </c>
      <c r="CF141">
        <f>IF(ISNA(CB141),NA(),Capability!$L$5)</f>
        <v/>
      </c>
      <c r="CG141">
        <f>IF(OR(ISNA(CC141),ISNA(CC140)),NA(),ABS(CC141-CC140))</f>
        <v/>
      </c>
      <c r="CH141">
        <f>IF(ISNA(CB141),NA(),Capability!$N$5)</f>
        <v/>
      </c>
      <c r="CI141">
        <f>IF(ISNA(CB141),NA(),IF(OR(Capability!$Q$5="",Settings!$F$7&lt;&gt;"Y"),NA(),Capability!$Q$5))</f>
        <v/>
      </c>
      <c r="CJ141">
        <f>IF(ISNA(CB141),NA(),IF(OR(Capability!$P$5="",Settings!$F$7&lt;&gt;"Y"),NA(),Capability!$P$5))</f>
        <v/>
      </c>
      <c r="CP141">
        <f>IF((CS$1+137)&gt;CQ$1,NA(),(CS$1+137)-4)</f>
        <v/>
      </c>
      <c r="CQ141">
        <f>IF((CS$1+137)&gt;CQ$1,NA(),INDEX('Data Entry'!$I$5:$I$10004,(CS$1+137)-4))</f>
        <v/>
      </c>
      <c r="CR141">
        <f>IF(ISNA(CP141),NA(),Capability!$K$6)</f>
        <v/>
      </c>
      <c r="CS141">
        <f>IF(ISNA(CP141),NA(),Capability!$J$6)</f>
        <v/>
      </c>
      <c r="CT141">
        <f>IF(ISNA(CP141),NA(),Capability!$L$6)</f>
        <v/>
      </c>
      <c r="CU141">
        <f>IF(OR(ISNA(CQ141),ISNA(CQ140)),NA(),ABS(CQ141-CQ140))</f>
        <v/>
      </c>
      <c r="CV141">
        <f>IF(ISNA(CP141),NA(),Capability!$N$6)</f>
        <v/>
      </c>
      <c r="CW141">
        <f>IF(ISNA(CP141),NA(),IF(OR(Capability!$Q$6="",Settings!$F$7&lt;&gt;"Y"),NA(),Capability!$Q$6))</f>
        <v/>
      </c>
      <c r="CX141">
        <f>IF(ISNA(CP141),NA(),IF(OR(Capability!$P$6="",Settings!$F$7&lt;&gt;"Y"),NA(),Capability!$P$6))</f>
        <v/>
      </c>
      <c r="DD141">
        <f>IF((DG$1+137)&gt;DE$1,NA(),(DG$1+137)-4)</f>
        <v/>
      </c>
      <c r="DE141">
        <f>IF((DG$1+137)&gt;DE$1,NA(),INDEX('Data Entry'!$J$5:$J$10004,(DG$1+137)-4))</f>
        <v/>
      </c>
      <c r="DF141">
        <f>IF(ISNA(DD141),NA(),Capability!$K$7)</f>
        <v/>
      </c>
      <c r="DG141">
        <f>IF(ISNA(DD141),NA(),Capability!$J$7)</f>
        <v/>
      </c>
      <c r="DH141">
        <f>IF(ISNA(DD141),NA(),Capability!$L$7)</f>
        <v/>
      </c>
      <c r="DI141">
        <f>IF(OR(ISNA(DE141),ISNA(DE140)),NA(),ABS(DE141-DE140))</f>
        <v/>
      </c>
      <c r="DJ141">
        <f>IF(ISNA(DD141),NA(),Capability!$N$7)</f>
        <v/>
      </c>
      <c r="DK141">
        <f>IF(ISNA(DD141),NA(),IF(OR(Capability!$Q$7="",Settings!$F$7&lt;&gt;"Y"),NA(),Capability!$Q$7))</f>
        <v/>
      </c>
      <c r="DL141">
        <f>IF(ISNA(DD141),NA(),IF(OR(Capability!$P$7="",Settings!$F$7&lt;&gt;"Y"),NA(),Capability!$P$7))</f>
        <v/>
      </c>
      <c r="DR141">
        <f>IF((DU$1+137)&gt;DS$1,NA(),(DU$1+137)-4)</f>
        <v/>
      </c>
      <c r="DS141">
        <f>IF((DU$1+137)&gt;DS$1,NA(),INDEX('Data Entry'!$K$5:$K$10004,(DU$1+137)-4))</f>
        <v/>
      </c>
      <c r="DT141">
        <f>IF(ISNA(DR141),NA(),Capability!$K$8)</f>
        <v/>
      </c>
      <c r="DU141">
        <f>IF(ISNA(DR141),NA(),Capability!$J$8)</f>
        <v/>
      </c>
      <c r="DV141">
        <f>IF(ISNA(DR141),NA(),Capability!$L$8)</f>
        <v/>
      </c>
      <c r="DW141">
        <f>IF(OR(ISNA(DS141),ISNA(DS140)),NA(),ABS(DS141-DS140))</f>
        <v/>
      </c>
      <c r="DX141">
        <f>IF(ISNA(DR141),NA(),Capability!$N$8)</f>
        <v/>
      </c>
      <c r="DY141">
        <f>IF(ISNA(DR141),NA(),IF(OR(Capability!$Q$8="",Settings!$F$7&lt;&gt;"Y"),NA(),Capability!$Q$8))</f>
        <v/>
      </c>
      <c r="DZ141">
        <f>IF(ISNA(DR141),NA(),IF(OR(Capability!$P$8="",Settings!$F$7&lt;&gt;"Y"),NA(),Capability!$P$8))</f>
        <v/>
      </c>
      <c r="EF141">
        <f>IF((EI$1+137)&gt;EG$1,NA(),(EI$1+137)-4)</f>
        <v/>
      </c>
      <c r="EG141">
        <f>IF((EI$1+137)&gt;EG$1,NA(),INDEX('Data Entry'!$L$5:$L$10004,(EI$1+137)-4))</f>
        <v/>
      </c>
      <c r="EH141">
        <f>IF(ISNA(EF141),NA(),Capability!$K$9)</f>
        <v/>
      </c>
      <c r="EI141">
        <f>IF(ISNA(EF141),NA(),Capability!$J$9)</f>
        <v/>
      </c>
      <c r="EJ141">
        <f>IF(ISNA(EF141),NA(),Capability!$L$9)</f>
        <v/>
      </c>
      <c r="EK141">
        <f>IF(OR(ISNA(EG141),ISNA(EG140)),NA(),ABS(EG141-EG140))</f>
        <v/>
      </c>
      <c r="EL141">
        <f>IF(ISNA(EF141),NA(),Capability!$N$9)</f>
        <v/>
      </c>
      <c r="EM141">
        <f>IF(ISNA(EF141),NA(),IF(OR(Capability!$Q$9="",Settings!$F$7&lt;&gt;"Y"),NA(),Capability!$Q$9))</f>
        <v/>
      </c>
      <c r="EN141">
        <f>IF(ISNA(EF141),NA(),IF(OR(Capability!$P$9="",Settings!$F$7&lt;&gt;"Y"),NA(),Capability!$P$9))</f>
        <v/>
      </c>
      <c r="ET141">
        <f>IF((EW$1+137)&gt;EU$1,NA(),(EW$1+137)-4)</f>
        <v/>
      </c>
      <c r="EU141">
        <f>IF((EW$1+137)&gt;EU$1,NA(),INDEX('Data Entry'!$M$5:$M$10004,(EW$1+137)-4))</f>
        <v/>
      </c>
      <c r="EV141">
        <f>IF(ISNA(ET141),NA(),Capability!$K$10)</f>
        <v/>
      </c>
      <c r="EW141">
        <f>IF(ISNA(ET141),NA(),Capability!$J$10)</f>
        <v/>
      </c>
      <c r="EX141">
        <f>IF(ISNA(ET141),NA(),Capability!$L$10)</f>
        <v/>
      </c>
      <c r="EY141">
        <f>IF(OR(ISNA(EU141),ISNA(EU140)),NA(),ABS(EU141-EU140))</f>
        <v/>
      </c>
      <c r="EZ141">
        <f>IF(ISNA(ET141),NA(),Capability!$N$10)</f>
        <v/>
      </c>
      <c r="FA141">
        <f>IF(ISNA(ET141),NA(),IF(OR(Capability!$Q$10="",Settings!$F$7&lt;&gt;"Y"),NA(),Capability!$Q$10))</f>
        <v/>
      </c>
      <c r="FB141">
        <f>IF(ISNA(ET141),NA(),IF(OR(Capability!$P$10="",Settings!$F$7&lt;&gt;"Y"),NA(),Capability!$P$10))</f>
        <v/>
      </c>
      <c r="FH141">
        <f>IF((FK$1+137)&gt;FI$1,NA(),(FK$1+137)-4)</f>
        <v/>
      </c>
      <c r="FI141">
        <f>IF((FK$1+137)&gt;FI$1,NA(),INDEX('Data Entry'!$N$5:$N$10004,(FK$1+137)-4))</f>
        <v/>
      </c>
      <c r="FJ141">
        <f>IF(ISNA(FH141),NA(),Capability!$K$11)</f>
        <v/>
      </c>
      <c r="FK141">
        <f>IF(ISNA(FH141),NA(),Capability!$J$11)</f>
        <v/>
      </c>
      <c r="FL141">
        <f>IF(ISNA(FH141),NA(),Capability!$L$11)</f>
        <v/>
      </c>
      <c r="FM141">
        <f>IF(OR(ISNA(FI141),ISNA(FI140)),NA(),ABS(FI141-FI140))</f>
        <v/>
      </c>
      <c r="FN141">
        <f>IF(ISNA(FH141),NA(),Capability!$N$11)</f>
        <v/>
      </c>
      <c r="FO141">
        <f>IF(ISNA(FH141),NA(),IF(OR(Capability!$Q$11="",Settings!$F$7&lt;&gt;"Y"),NA(),Capability!$Q$11))</f>
        <v/>
      </c>
      <c r="FP141">
        <f>IF(ISNA(FH141),NA(),IF(OR(Capability!$P$11="",Settings!$F$7&lt;&gt;"Y"),NA(),Capability!$P$11))</f>
        <v/>
      </c>
      <c r="FV141">
        <f>IF((FY$1+137)&gt;FW$1,NA(),(FY$1+137)-4)</f>
        <v/>
      </c>
      <c r="FW141">
        <f>IF((FY$1+137)&gt;FW$1,NA(),INDEX('Data Entry'!$O$5:$O$10004,(FY$1+137)-4))</f>
        <v/>
      </c>
      <c r="FX141">
        <f>IF(ISNA(FV141),NA(),Capability!$K$12)</f>
        <v/>
      </c>
      <c r="FY141">
        <f>IF(ISNA(FV141),NA(),Capability!$J$12)</f>
        <v/>
      </c>
      <c r="FZ141">
        <f>IF(ISNA(FV141),NA(),Capability!$L$12)</f>
        <v/>
      </c>
      <c r="GA141">
        <f>IF(OR(ISNA(FW141),ISNA(FW140)),NA(),ABS(FW141-FW140))</f>
        <v/>
      </c>
      <c r="GB141">
        <f>IF(ISNA(FV141),NA(),Capability!$N$12)</f>
        <v/>
      </c>
      <c r="GC141">
        <f>IF(ISNA(FV141),NA(),IF(OR(Capability!$Q$12="",Settings!$F$7&lt;&gt;"Y"),NA(),Capability!$Q$12))</f>
        <v/>
      </c>
      <c r="GD141">
        <f>IF(ISNA(FV141),NA(),IF(OR(Capability!$P$12="",Settings!$F$7&lt;&gt;"Y"),NA(),Capability!$P$12))</f>
        <v/>
      </c>
      <c r="GJ141">
        <f>IF((GM$1+137)&gt;GK$1,NA(),(GM$1+137)-4)</f>
        <v/>
      </c>
      <c r="GK141">
        <f>IF((GM$1+137)&gt;GK$1,NA(),INDEX('Data Entry'!$P$5:$P$10004,(GM$1+137)-4))</f>
        <v/>
      </c>
      <c r="GL141">
        <f>IF(ISNA(GJ141),NA(),Capability!$K$13)</f>
        <v/>
      </c>
      <c r="GM141">
        <f>IF(ISNA(GJ141),NA(),Capability!$J$13)</f>
        <v/>
      </c>
      <c r="GN141">
        <f>IF(ISNA(GJ141),NA(),Capability!$L$13)</f>
        <v/>
      </c>
      <c r="GO141">
        <f>IF(OR(ISNA(GK141),ISNA(GK140)),NA(),ABS(GK141-GK140))</f>
        <v/>
      </c>
      <c r="GP141">
        <f>IF(ISNA(GJ141),NA(),Capability!$N$13)</f>
        <v/>
      </c>
      <c r="GQ141">
        <f>IF(ISNA(GJ141),NA(),IF(OR(Capability!$Q$13="",Settings!$F$7&lt;&gt;"Y"),NA(),Capability!$Q$13))</f>
        <v/>
      </c>
      <c r="GR141">
        <f>IF(ISNA(GJ141),NA(),IF(OR(Capability!$P$13="",Settings!$F$7&lt;&gt;"Y"),NA(),Capability!$P$13))</f>
        <v/>
      </c>
      <c r="GX141">
        <f>IF((HA$1+137)&gt;GY$1,NA(),(HA$1+137)-4)</f>
        <v/>
      </c>
      <c r="GY141">
        <f>IF((HA$1+137)&gt;GY$1,NA(),INDEX('Data Entry'!$Q$5:$Q$10004,(HA$1+137)-4))</f>
        <v/>
      </c>
      <c r="GZ141">
        <f>IF(ISNA(GX141),NA(),Capability!$K$14)</f>
        <v/>
      </c>
      <c r="HA141">
        <f>IF(ISNA(GX141),NA(),Capability!$J$14)</f>
        <v/>
      </c>
      <c r="HB141">
        <f>IF(ISNA(GX141),NA(),Capability!$L$14)</f>
        <v/>
      </c>
      <c r="HC141">
        <f>IF(OR(ISNA(GY141),ISNA(GY140)),NA(),ABS(GY141-GY140))</f>
        <v/>
      </c>
      <c r="HD141">
        <f>IF(ISNA(GX141),NA(),Capability!$N$14)</f>
        <v/>
      </c>
      <c r="HE141">
        <f>IF(ISNA(GX141),NA(),IF(OR(Capability!$Q$14="",Settings!$F$7&lt;&gt;"Y"),NA(),Capability!$Q$14))</f>
        <v/>
      </c>
      <c r="HF141">
        <f>IF(ISNA(GX141),NA(),IF(OR(Capability!$P$14="",Settings!$F$7&lt;&gt;"Y"),NA(),Capability!$P$14))</f>
        <v/>
      </c>
    </row>
    <row r="142">
      <c r="A142" s="37" t="inlineStr">
        <is>
          <t>SPECIFICATION</t>
        </is>
      </c>
      <c r="B142" s="28" t="n"/>
      <c r="CB142">
        <f>IF((CE$1+138)&gt;CC$1,NA(),(CE$1+138)-4)</f>
        <v/>
      </c>
      <c r="CC142">
        <f>IF((CE$1+138)&gt;CC$1,NA(),INDEX('Data Entry'!$H$5:$H$10004,(CE$1+138)-4))</f>
        <v/>
      </c>
      <c r="CD142">
        <f>IF(ISNA(CB142),NA(),Capability!$K$5)</f>
        <v/>
      </c>
      <c r="CE142">
        <f>IF(ISNA(CB142),NA(),Capability!$J$5)</f>
        <v/>
      </c>
      <c r="CF142">
        <f>IF(ISNA(CB142),NA(),Capability!$L$5)</f>
        <v/>
      </c>
      <c r="CG142">
        <f>IF(OR(ISNA(CC142),ISNA(CC141)),NA(),ABS(CC142-CC141))</f>
        <v/>
      </c>
      <c r="CH142">
        <f>IF(ISNA(CB142),NA(),Capability!$N$5)</f>
        <v/>
      </c>
      <c r="CI142">
        <f>IF(ISNA(CB142),NA(),IF(OR(Capability!$Q$5="",Settings!$F$7&lt;&gt;"Y"),NA(),Capability!$Q$5))</f>
        <v/>
      </c>
      <c r="CJ142">
        <f>IF(ISNA(CB142),NA(),IF(OR(Capability!$P$5="",Settings!$F$7&lt;&gt;"Y"),NA(),Capability!$P$5))</f>
        <v/>
      </c>
      <c r="CP142">
        <f>IF((CS$1+138)&gt;CQ$1,NA(),(CS$1+138)-4)</f>
        <v/>
      </c>
      <c r="CQ142">
        <f>IF((CS$1+138)&gt;CQ$1,NA(),INDEX('Data Entry'!$I$5:$I$10004,(CS$1+138)-4))</f>
        <v/>
      </c>
      <c r="CR142">
        <f>IF(ISNA(CP142),NA(),Capability!$K$6)</f>
        <v/>
      </c>
      <c r="CS142">
        <f>IF(ISNA(CP142),NA(),Capability!$J$6)</f>
        <v/>
      </c>
      <c r="CT142">
        <f>IF(ISNA(CP142),NA(),Capability!$L$6)</f>
        <v/>
      </c>
      <c r="CU142">
        <f>IF(OR(ISNA(CQ142),ISNA(CQ141)),NA(),ABS(CQ142-CQ141))</f>
        <v/>
      </c>
      <c r="CV142">
        <f>IF(ISNA(CP142),NA(),Capability!$N$6)</f>
        <v/>
      </c>
      <c r="CW142">
        <f>IF(ISNA(CP142),NA(),IF(OR(Capability!$Q$6="",Settings!$F$7&lt;&gt;"Y"),NA(),Capability!$Q$6))</f>
        <v/>
      </c>
      <c r="CX142">
        <f>IF(ISNA(CP142),NA(),IF(OR(Capability!$P$6="",Settings!$F$7&lt;&gt;"Y"),NA(),Capability!$P$6))</f>
        <v/>
      </c>
      <c r="DD142">
        <f>IF((DG$1+138)&gt;DE$1,NA(),(DG$1+138)-4)</f>
        <v/>
      </c>
      <c r="DE142">
        <f>IF((DG$1+138)&gt;DE$1,NA(),INDEX('Data Entry'!$J$5:$J$10004,(DG$1+138)-4))</f>
        <v/>
      </c>
      <c r="DF142">
        <f>IF(ISNA(DD142),NA(),Capability!$K$7)</f>
        <v/>
      </c>
      <c r="DG142">
        <f>IF(ISNA(DD142),NA(),Capability!$J$7)</f>
        <v/>
      </c>
      <c r="DH142">
        <f>IF(ISNA(DD142),NA(),Capability!$L$7)</f>
        <v/>
      </c>
      <c r="DI142">
        <f>IF(OR(ISNA(DE142),ISNA(DE141)),NA(),ABS(DE142-DE141))</f>
        <v/>
      </c>
      <c r="DJ142">
        <f>IF(ISNA(DD142),NA(),Capability!$N$7)</f>
        <v/>
      </c>
      <c r="DK142">
        <f>IF(ISNA(DD142),NA(),IF(OR(Capability!$Q$7="",Settings!$F$7&lt;&gt;"Y"),NA(),Capability!$Q$7))</f>
        <v/>
      </c>
      <c r="DL142">
        <f>IF(ISNA(DD142),NA(),IF(OR(Capability!$P$7="",Settings!$F$7&lt;&gt;"Y"),NA(),Capability!$P$7))</f>
        <v/>
      </c>
      <c r="DR142">
        <f>IF((DU$1+138)&gt;DS$1,NA(),(DU$1+138)-4)</f>
        <v/>
      </c>
      <c r="DS142">
        <f>IF((DU$1+138)&gt;DS$1,NA(),INDEX('Data Entry'!$K$5:$K$10004,(DU$1+138)-4))</f>
        <v/>
      </c>
      <c r="DT142">
        <f>IF(ISNA(DR142),NA(),Capability!$K$8)</f>
        <v/>
      </c>
      <c r="DU142">
        <f>IF(ISNA(DR142),NA(),Capability!$J$8)</f>
        <v/>
      </c>
      <c r="DV142">
        <f>IF(ISNA(DR142),NA(),Capability!$L$8)</f>
        <v/>
      </c>
      <c r="DW142">
        <f>IF(OR(ISNA(DS142),ISNA(DS141)),NA(),ABS(DS142-DS141))</f>
        <v/>
      </c>
      <c r="DX142">
        <f>IF(ISNA(DR142),NA(),Capability!$N$8)</f>
        <v/>
      </c>
      <c r="DY142">
        <f>IF(ISNA(DR142),NA(),IF(OR(Capability!$Q$8="",Settings!$F$7&lt;&gt;"Y"),NA(),Capability!$Q$8))</f>
        <v/>
      </c>
      <c r="DZ142">
        <f>IF(ISNA(DR142),NA(),IF(OR(Capability!$P$8="",Settings!$F$7&lt;&gt;"Y"),NA(),Capability!$P$8))</f>
        <v/>
      </c>
      <c r="EF142">
        <f>IF((EI$1+138)&gt;EG$1,NA(),(EI$1+138)-4)</f>
        <v/>
      </c>
      <c r="EG142">
        <f>IF((EI$1+138)&gt;EG$1,NA(),INDEX('Data Entry'!$L$5:$L$10004,(EI$1+138)-4))</f>
        <v/>
      </c>
      <c r="EH142">
        <f>IF(ISNA(EF142),NA(),Capability!$K$9)</f>
        <v/>
      </c>
      <c r="EI142">
        <f>IF(ISNA(EF142),NA(),Capability!$J$9)</f>
        <v/>
      </c>
      <c r="EJ142">
        <f>IF(ISNA(EF142),NA(),Capability!$L$9)</f>
        <v/>
      </c>
      <c r="EK142">
        <f>IF(OR(ISNA(EG142),ISNA(EG141)),NA(),ABS(EG142-EG141))</f>
        <v/>
      </c>
      <c r="EL142">
        <f>IF(ISNA(EF142),NA(),Capability!$N$9)</f>
        <v/>
      </c>
      <c r="EM142">
        <f>IF(ISNA(EF142),NA(),IF(OR(Capability!$Q$9="",Settings!$F$7&lt;&gt;"Y"),NA(),Capability!$Q$9))</f>
        <v/>
      </c>
      <c r="EN142">
        <f>IF(ISNA(EF142),NA(),IF(OR(Capability!$P$9="",Settings!$F$7&lt;&gt;"Y"),NA(),Capability!$P$9))</f>
        <v/>
      </c>
      <c r="ET142">
        <f>IF((EW$1+138)&gt;EU$1,NA(),(EW$1+138)-4)</f>
        <v/>
      </c>
      <c r="EU142">
        <f>IF((EW$1+138)&gt;EU$1,NA(),INDEX('Data Entry'!$M$5:$M$10004,(EW$1+138)-4))</f>
        <v/>
      </c>
      <c r="EV142">
        <f>IF(ISNA(ET142),NA(),Capability!$K$10)</f>
        <v/>
      </c>
      <c r="EW142">
        <f>IF(ISNA(ET142),NA(),Capability!$J$10)</f>
        <v/>
      </c>
      <c r="EX142">
        <f>IF(ISNA(ET142),NA(),Capability!$L$10)</f>
        <v/>
      </c>
      <c r="EY142">
        <f>IF(OR(ISNA(EU142),ISNA(EU141)),NA(),ABS(EU142-EU141))</f>
        <v/>
      </c>
      <c r="EZ142">
        <f>IF(ISNA(ET142),NA(),Capability!$N$10)</f>
        <v/>
      </c>
      <c r="FA142">
        <f>IF(ISNA(ET142),NA(),IF(OR(Capability!$Q$10="",Settings!$F$7&lt;&gt;"Y"),NA(),Capability!$Q$10))</f>
        <v/>
      </c>
      <c r="FB142">
        <f>IF(ISNA(ET142),NA(),IF(OR(Capability!$P$10="",Settings!$F$7&lt;&gt;"Y"),NA(),Capability!$P$10))</f>
        <v/>
      </c>
      <c r="FH142">
        <f>IF((FK$1+138)&gt;FI$1,NA(),(FK$1+138)-4)</f>
        <v/>
      </c>
      <c r="FI142">
        <f>IF((FK$1+138)&gt;FI$1,NA(),INDEX('Data Entry'!$N$5:$N$10004,(FK$1+138)-4))</f>
        <v/>
      </c>
      <c r="FJ142">
        <f>IF(ISNA(FH142),NA(),Capability!$K$11)</f>
        <v/>
      </c>
      <c r="FK142">
        <f>IF(ISNA(FH142),NA(),Capability!$J$11)</f>
        <v/>
      </c>
      <c r="FL142">
        <f>IF(ISNA(FH142),NA(),Capability!$L$11)</f>
        <v/>
      </c>
      <c r="FM142">
        <f>IF(OR(ISNA(FI142),ISNA(FI141)),NA(),ABS(FI142-FI141))</f>
        <v/>
      </c>
      <c r="FN142">
        <f>IF(ISNA(FH142),NA(),Capability!$N$11)</f>
        <v/>
      </c>
      <c r="FO142">
        <f>IF(ISNA(FH142),NA(),IF(OR(Capability!$Q$11="",Settings!$F$7&lt;&gt;"Y"),NA(),Capability!$Q$11))</f>
        <v/>
      </c>
      <c r="FP142">
        <f>IF(ISNA(FH142),NA(),IF(OR(Capability!$P$11="",Settings!$F$7&lt;&gt;"Y"),NA(),Capability!$P$11))</f>
        <v/>
      </c>
      <c r="FV142">
        <f>IF((FY$1+138)&gt;FW$1,NA(),(FY$1+138)-4)</f>
        <v/>
      </c>
      <c r="FW142">
        <f>IF((FY$1+138)&gt;FW$1,NA(),INDEX('Data Entry'!$O$5:$O$10004,(FY$1+138)-4))</f>
        <v/>
      </c>
      <c r="FX142">
        <f>IF(ISNA(FV142),NA(),Capability!$K$12)</f>
        <v/>
      </c>
      <c r="FY142">
        <f>IF(ISNA(FV142),NA(),Capability!$J$12)</f>
        <v/>
      </c>
      <c r="FZ142">
        <f>IF(ISNA(FV142),NA(),Capability!$L$12)</f>
        <v/>
      </c>
      <c r="GA142">
        <f>IF(OR(ISNA(FW142),ISNA(FW141)),NA(),ABS(FW142-FW141))</f>
        <v/>
      </c>
      <c r="GB142">
        <f>IF(ISNA(FV142),NA(),Capability!$N$12)</f>
        <v/>
      </c>
      <c r="GC142">
        <f>IF(ISNA(FV142),NA(),IF(OR(Capability!$Q$12="",Settings!$F$7&lt;&gt;"Y"),NA(),Capability!$Q$12))</f>
        <v/>
      </c>
      <c r="GD142">
        <f>IF(ISNA(FV142),NA(),IF(OR(Capability!$P$12="",Settings!$F$7&lt;&gt;"Y"),NA(),Capability!$P$12))</f>
        <v/>
      </c>
      <c r="GJ142">
        <f>IF((GM$1+138)&gt;GK$1,NA(),(GM$1+138)-4)</f>
        <v/>
      </c>
      <c r="GK142">
        <f>IF((GM$1+138)&gt;GK$1,NA(),INDEX('Data Entry'!$P$5:$P$10004,(GM$1+138)-4))</f>
        <v/>
      </c>
      <c r="GL142">
        <f>IF(ISNA(GJ142),NA(),Capability!$K$13)</f>
        <v/>
      </c>
      <c r="GM142">
        <f>IF(ISNA(GJ142),NA(),Capability!$J$13)</f>
        <v/>
      </c>
      <c r="GN142">
        <f>IF(ISNA(GJ142),NA(),Capability!$L$13)</f>
        <v/>
      </c>
      <c r="GO142">
        <f>IF(OR(ISNA(GK142),ISNA(GK141)),NA(),ABS(GK142-GK141))</f>
        <v/>
      </c>
      <c r="GP142">
        <f>IF(ISNA(GJ142),NA(),Capability!$N$13)</f>
        <v/>
      </c>
      <c r="GQ142">
        <f>IF(ISNA(GJ142),NA(),IF(OR(Capability!$Q$13="",Settings!$F$7&lt;&gt;"Y"),NA(),Capability!$Q$13))</f>
        <v/>
      </c>
      <c r="GR142">
        <f>IF(ISNA(GJ142),NA(),IF(OR(Capability!$P$13="",Settings!$F$7&lt;&gt;"Y"),NA(),Capability!$P$13))</f>
        <v/>
      </c>
      <c r="GX142">
        <f>IF((HA$1+138)&gt;GY$1,NA(),(HA$1+138)-4)</f>
        <v/>
      </c>
      <c r="GY142">
        <f>IF((HA$1+138)&gt;GY$1,NA(),INDEX('Data Entry'!$Q$5:$Q$10004,(HA$1+138)-4))</f>
        <v/>
      </c>
      <c r="GZ142">
        <f>IF(ISNA(GX142),NA(),Capability!$K$14)</f>
        <v/>
      </c>
      <c r="HA142">
        <f>IF(ISNA(GX142),NA(),Capability!$J$14)</f>
        <v/>
      </c>
      <c r="HB142">
        <f>IF(ISNA(GX142),NA(),Capability!$L$14)</f>
        <v/>
      </c>
      <c r="HC142">
        <f>IF(OR(ISNA(GY142),ISNA(GY141)),NA(),ABS(GY142-GY141))</f>
        <v/>
      </c>
      <c r="HD142">
        <f>IF(ISNA(GX142),NA(),Capability!$N$14)</f>
        <v/>
      </c>
      <c r="HE142">
        <f>IF(ISNA(GX142),NA(),IF(OR(Capability!$Q$14="",Settings!$F$7&lt;&gt;"Y"),NA(),Capability!$Q$14))</f>
        <v/>
      </c>
      <c r="HF142">
        <f>IF(ISNA(GX142),NA(),IF(OR(Capability!$P$14="",Settings!$F$7&lt;&gt;"Y"),NA(),Capability!$P$14))</f>
        <v/>
      </c>
    </row>
    <row r="143">
      <c r="A143" s="35" t="inlineStr">
        <is>
          <t>USL</t>
        </is>
      </c>
      <c r="B143" s="23">
        <f>Capability!Q8</f>
        <v/>
      </c>
      <c r="CB143">
        <f>IF((CE$1+139)&gt;CC$1,NA(),(CE$1+139)-4)</f>
        <v/>
      </c>
      <c r="CC143">
        <f>IF((CE$1+139)&gt;CC$1,NA(),INDEX('Data Entry'!$H$5:$H$10004,(CE$1+139)-4))</f>
        <v/>
      </c>
      <c r="CD143">
        <f>IF(ISNA(CB143),NA(),Capability!$K$5)</f>
        <v/>
      </c>
      <c r="CE143">
        <f>IF(ISNA(CB143),NA(),Capability!$J$5)</f>
        <v/>
      </c>
      <c r="CF143">
        <f>IF(ISNA(CB143),NA(),Capability!$L$5)</f>
        <v/>
      </c>
      <c r="CG143">
        <f>IF(OR(ISNA(CC143),ISNA(CC142)),NA(),ABS(CC143-CC142))</f>
        <v/>
      </c>
      <c r="CH143">
        <f>IF(ISNA(CB143),NA(),Capability!$N$5)</f>
        <v/>
      </c>
      <c r="CI143">
        <f>IF(ISNA(CB143),NA(),IF(OR(Capability!$Q$5="",Settings!$F$7&lt;&gt;"Y"),NA(),Capability!$Q$5))</f>
        <v/>
      </c>
      <c r="CJ143">
        <f>IF(ISNA(CB143),NA(),IF(OR(Capability!$P$5="",Settings!$F$7&lt;&gt;"Y"),NA(),Capability!$P$5))</f>
        <v/>
      </c>
      <c r="CP143">
        <f>IF((CS$1+139)&gt;CQ$1,NA(),(CS$1+139)-4)</f>
        <v/>
      </c>
      <c r="CQ143">
        <f>IF((CS$1+139)&gt;CQ$1,NA(),INDEX('Data Entry'!$I$5:$I$10004,(CS$1+139)-4))</f>
        <v/>
      </c>
      <c r="CR143">
        <f>IF(ISNA(CP143),NA(),Capability!$K$6)</f>
        <v/>
      </c>
      <c r="CS143">
        <f>IF(ISNA(CP143),NA(),Capability!$J$6)</f>
        <v/>
      </c>
      <c r="CT143">
        <f>IF(ISNA(CP143),NA(),Capability!$L$6)</f>
        <v/>
      </c>
      <c r="CU143">
        <f>IF(OR(ISNA(CQ143),ISNA(CQ142)),NA(),ABS(CQ143-CQ142))</f>
        <v/>
      </c>
      <c r="CV143">
        <f>IF(ISNA(CP143),NA(),Capability!$N$6)</f>
        <v/>
      </c>
      <c r="CW143">
        <f>IF(ISNA(CP143),NA(),IF(OR(Capability!$Q$6="",Settings!$F$7&lt;&gt;"Y"),NA(),Capability!$Q$6))</f>
        <v/>
      </c>
      <c r="CX143">
        <f>IF(ISNA(CP143),NA(),IF(OR(Capability!$P$6="",Settings!$F$7&lt;&gt;"Y"),NA(),Capability!$P$6))</f>
        <v/>
      </c>
      <c r="DD143">
        <f>IF((DG$1+139)&gt;DE$1,NA(),(DG$1+139)-4)</f>
        <v/>
      </c>
      <c r="DE143">
        <f>IF((DG$1+139)&gt;DE$1,NA(),INDEX('Data Entry'!$J$5:$J$10004,(DG$1+139)-4))</f>
        <v/>
      </c>
      <c r="DF143">
        <f>IF(ISNA(DD143),NA(),Capability!$K$7)</f>
        <v/>
      </c>
      <c r="DG143">
        <f>IF(ISNA(DD143),NA(),Capability!$J$7)</f>
        <v/>
      </c>
      <c r="DH143">
        <f>IF(ISNA(DD143),NA(),Capability!$L$7)</f>
        <v/>
      </c>
      <c r="DI143">
        <f>IF(OR(ISNA(DE143),ISNA(DE142)),NA(),ABS(DE143-DE142))</f>
        <v/>
      </c>
      <c r="DJ143">
        <f>IF(ISNA(DD143),NA(),Capability!$N$7)</f>
        <v/>
      </c>
      <c r="DK143">
        <f>IF(ISNA(DD143),NA(),IF(OR(Capability!$Q$7="",Settings!$F$7&lt;&gt;"Y"),NA(),Capability!$Q$7))</f>
        <v/>
      </c>
      <c r="DL143">
        <f>IF(ISNA(DD143),NA(),IF(OR(Capability!$P$7="",Settings!$F$7&lt;&gt;"Y"),NA(),Capability!$P$7))</f>
        <v/>
      </c>
      <c r="DR143">
        <f>IF((DU$1+139)&gt;DS$1,NA(),(DU$1+139)-4)</f>
        <v/>
      </c>
      <c r="DS143">
        <f>IF((DU$1+139)&gt;DS$1,NA(),INDEX('Data Entry'!$K$5:$K$10004,(DU$1+139)-4))</f>
        <v/>
      </c>
      <c r="DT143">
        <f>IF(ISNA(DR143),NA(),Capability!$K$8)</f>
        <v/>
      </c>
      <c r="DU143">
        <f>IF(ISNA(DR143),NA(),Capability!$J$8)</f>
        <v/>
      </c>
      <c r="DV143">
        <f>IF(ISNA(DR143),NA(),Capability!$L$8)</f>
        <v/>
      </c>
      <c r="DW143">
        <f>IF(OR(ISNA(DS143),ISNA(DS142)),NA(),ABS(DS143-DS142))</f>
        <v/>
      </c>
      <c r="DX143">
        <f>IF(ISNA(DR143),NA(),Capability!$N$8)</f>
        <v/>
      </c>
      <c r="DY143">
        <f>IF(ISNA(DR143),NA(),IF(OR(Capability!$Q$8="",Settings!$F$7&lt;&gt;"Y"),NA(),Capability!$Q$8))</f>
        <v/>
      </c>
      <c r="DZ143">
        <f>IF(ISNA(DR143),NA(),IF(OR(Capability!$P$8="",Settings!$F$7&lt;&gt;"Y"),NA(),Capability!$P$8))</f>
        <v/>
      </c>
      <c r="EF143">
        <f>IF((EI$1+139)&gt;EG$1,NA(),(EI$1+139)-4)</f>
        <v/>
      </c>
      <c r="EG143">
        <f>IF((EI$1+139)&gt;EG$1,NA(),INDEX('Data Entry'!$L$5:$L$10004,(EI$1+139)-4))</f>
        <v/>
      </c>
      <c r="EH143">
        <f>IF(ISNA(EF143),NA(),Capability!$K$9)</f>
        <v/>
      </c>
      <c r="EI143">
        <f>IF(ISNA(EF143),NA(),Capability!$J$9)</f>
        <v/>
      </c>
      <c r="EJ143">
        <f>IF(ISNA(EF143),NA(),Capability!$L$9)</f>
        <v/>
      </c>
      <c r="EK143">
        <f>IF(OR(ISNA(EG143),ISNA(EG142)),NA(),ABS(EG143-EG142))</f>
        <v/>
      </c>
      <c r="EL143">
        <f>IF(ISNA(EF143),NA(),Capability!$N$9)</f>
        <v/>
      </c>
      <c r="EM143">
        <f>IF(ISNA(EF143),NA(),IF(OR(Capability!$Q$9="",Settings!$F$7&lt;&gt;"Y"),NA(),Capability!$Q$9))</f>
        <v/>
      </c>
      <c r="EN143">
        <f>IF(ISNA(EF143),NA(),IF(OR(Capability!$P$9="",Settings!$F$7&lt;&gt;"Y"),NA(),Capability!$P$9))</f>
        <v/>
      </c>
      <c r="ET143">
        <f>IF((EW$1+139)&gt;EU$1,NA(),(EW$1+139)-4)</f>
        <v/>
      </c>
      <c r="EU143">
        <f>IF((EW$1+139)&gt;EU$1,NA(),INDEX('Data Entry'!$M$5:$M$10004,(EW$1+139)-4))</f>
        <v/>
      </c>
      <c r="EV143">
        <f>IF(ISNA(ET143),NA(),Capability!$K$10)</f>
        <v/>
      </c>
      <c r="EW143">
        <f>IF(ISNA(ET143),NA(),Capability!$J$10)</f>
        <v/>
      </c>
      <c r="EX143">
        <f>IF(ISNA(ET143),NA(),Capability!$L$10)</f>
        <v/>
      </c>
      <c r="EY143">
        <f>IF(OR(ISNA(EU143),ISNA(EU142)),NA(),ABS(EU143-EU142))</f>
        <v/>
      </c>
      <c r="EZ143">
        <f>IF(ISNA(ET143),NA(),Capability!$N$10)</f>
        <v/>
      </c>
      <c r="FA143">
        <f>IF(ISNA(ET143),NA(),IF(OR(Capability!$Q$10="",Settings!$F$7&lt;&gt;"Y"),NA(),Capability!$Q$10))</f>
        <v/>
      </c>
      <c r="FB143">
        <f>IF(ISNA(ET143),NA(),IF(OR(Capability!$P$10="",Settings!$F$7&lt;&gt;"Y"),NA(),Capability!$P$10))</f>
        <v/>
      </c>
      <c r="FH143">
        <f>IF((FK$1+139)&gt;FI$1,NA(),(FK$1+139)-4)</f>
        <v/>
      </c>
      <c r="FI143">
        <f>IF((FK$1+139)&gt;FI$1,NA(),INDEX('Data Entry'!$N$5:$N$10004,(FK$1+139)-4))</f>
        <v/>
      </c>
      <c r="FJ143">
        <f>IF(ISNA(FH143),NA(),Capability!$K$11)</f>
        <v/>
      </c>
      <c r="FK143">
        <f>IF(ISNA(FH143),NA(),Capability!$J$11)</f>
        <v/>
      </c>
      <c r="FL143">
        <f>IF(ISNA(FH143),NA(),Capability!$L$11)</f>
        <v/>
      </c>
      <c r="FM143">
        <f>IF(OR(ISNA(FI143),ISNA(FI142)),NA(),ABS(FI143-FI142))</f>
        <v/>
      </c>
      <c r="FN143">
        <f>IF(ISNA(FH143),NA(),Capability!$N$11)</f>
        <v/>
      </c>
      <c r="FO143">
        <f>IF(ISNA(FH143),NA(),IF(OR(Capability!$Q$11="",Settings!$F$7&lt;&gt;"Y"),NA(),Capability!$Q$11))</f>
        <v/>
      </c>
      <c r="FP143">
        <f>IF(ISNA(FH143),NA(),IF(OR(Capability!$P$11="",Settings!$F$7&lt;&gt;"Y"),NA(),Capability!$P$11))</f>
        <v/>
      </c>
      <c r="FV143">
        <f>IF((FY$1+139)&gt;FW$1,NA(),(FY$1+139)-4)</f>
        <v/>
      </c>
      <c r="FW143">
        <f>IF((FY$1+139)&gt;FW$1,NA(),INDEX('Data Entry'!$O$5:$O$10004,(FY$1+139)-4))</f>
        <v/>
      </c>
      <c r="FX143">
        <f>IF(ISNA(FV143),NA(),Capability!$K$12)</f>
        <v/>
      </c>
      <c r="FY143">
        <f>IF(ISNA(FV143),NA(),Capability!$J$12)</f>
        <v/>
      </c>
      <c r="FZ143">
        <f>IF(ISNA(FV143),NA(),Capability!$L$12)</f>
        <v/>
      </c>
      <c r="GA143">
        <f>IF(OR(ISNA(FW143),ISNA(FW142)),NA(),ABS(FW143-FW142))</f>
        <v/>
      </c>
      <c r="GB143">
        <f>IF(ISNA(FV143),NA(),Capability!$N$12)</f>
        <v/>
      </c>
      <c r="GC143">
        <f>IF(ISNA(FV143),NA(),IF(OR(Capability!$Q$12="",Settings!$F$7&lt;&gt;"Y"),NA(),Capability!$Q$12))</f>
        <v/>
      </c>
      <c r="GD143">
        <f>IF(ISNA(FV143),NA(),IF(OR(Capability!$P$12="",Settings!$F$7&lt;&gt;"Y"),NA(),Capability!$P$12))</f>
        <v/>
      </c>
      <c r="GJ143">
        <f>IF((GM$1+139)&gt;GK$1,NA(),(GM$1+139)-4)</f>
        <v/>
      </c>
      <c r="GK143">
        <f>IF((GM$1+139)&gt;GK$1,NA(),INDEX('Data Entry'!$P$5:$P$10004,(GM$1+139)-4))</f>
        <v/>
      </c>
      <c r="GL143">
        <f>IF(ISNA(GJ143),NA(),Capability!$K$13)</f>
        <v/>
      </c>
      <c r="GM143">
        <f>IF(ISNA(GJ143),NA(),Capability!$J$13)</f>
        <v/>
      </c>
      <c r="GN143">
        <f>IF(ISNA(GJ143),NA(),Capability!$L$13)</f>
        <v/>
      </c>
      <c r="GO143">
        <f>IF(OR(ISNA(GK143),ISNA(GK142)),NA(),ABS(GK143-GK142))</f>
        <v/>
      </c>
      <c r="GP143">
        <f>IF(ISNA(GJ143),NA(),Capability!$N$13)</f>
        <v/>
      </c>
      <c r="GQ143">
        <f>IF(ISNA(GJ143),NA(),IF(OR(Capability!$Q$13="",Settings!$F$7&lt;&gt;"Y"),NA(),Capability!$Q$13))</f>
        <v/>
      </c>
      <c r="GR143">
        <f>IF(ISNA(GJ143),NA(),IF(OR(Capability!$P$13="",Settings!$F$7&lt;&gt;"Y"),NA(),Capability!$P$13))</f>
        <v/>
      </c>
      <c r="GX143">
        <f>IF((HA$1+139)&gt;GY$1,NA(),(HA$1+139)-4)</f>
        <v/>
      </c>
      <c r="GY143">
        <f>IF((HA$1+139)&gt;GY$1,NA(),INDEX('Data Entry'!$Q$5:$Q$10004,(HA$1+139)-4))</f>
        <v/>
      </c>
      <c r="GZ143">
        <f>IF(ISNA(GX143),NA(),Capability!$K$14)</f>
        <v/>
      </c>
      <c r="HA143">
        <f>IF(ISNA(GX143),NA(),Capability!$J$14)</f>
        <v/>
      </c>
      <c r="HB143">
        <f>IF(ISNA(GX143),NA(),Capability!$L$14)</f>
        <v/>
      </c>
      <c r="HC143">
        <f>IF(OR(ISNA(GY143),ISNA(GY142)),NA(),ABS(GY143-GY142))</f>
        <v/>
      </c>
      <c r="HD143">
        <f>IF(ISNA(GX143),NA(),Capability!$N$14)</f>
        <v/>
      </c>
      <c r="HE143">
        <f>IF(ISNA(GX143),NA(),IF(OR(Capability!$Q$14="",Settings!$F$7&lt;&gt;"Y"),NA(),Capability!$Q$14))</f>
        <v/>
      </c>
      <c r="HF143">
        <f>IF(ISNA(GX143),NA(),IF(OR(Capability!$P$14="",Settings!$F$7&lt;&gt;"Y"),NA(),Capability!$P$14))</f>
        <v/>
      </c>
    </row>
    <row r="144">
      <c r="A144" s="35" t="inlineStr">
        <is>
          <t>Nominal</t>
        </is>
      </c>
      <c r="B144" s="23">
        <f>Capability!O8</f>
        <v/>
      </c>
      <c r="CB144">
        <f>IF((CE$1+140)&gt;CC$1,NA(),(CE$1+140)-4)</f>
        <v/>
      </c>
      <c r="CC144">
        <f>IF((CE$1+140)&gt;CC$1,NA(),INDEX('Data Entry'!$H$5:$H$10004,(CE$1+140)-4))</f>
        <v/>
      </c>
      <c r="CD144">
        <f>IF(ISNA(CB144),NA(),Capability!$K$5)</f>
        <v/>
      </c>
      <c r="CE144">
        <f>IF(ISNA(CB144),NA(),Capability!$J$5)</f>
        <v/>
      </c>
      <c r="CF144">
        <f>IF(ISNA(CB144),NA(),Capability!$L$5)</f>
        <v/>
      </c>
      <c r="CG144">
        <f>IF(OR(ISNA(CC144),ISNA(CC143)),NA(),ABS(CC144-CC143))</f>
        <v/>
      </c>
      <c r="CH144">
        <f>IF(ISNA(CB144),NA(),Capability!$N$5)</f>
        <v/>
      </c>
      <c r="CI144">
        <f>IF(ISNA(CB144),NA(),IF(OR(Capability!$Q$5="",Settings!$F$7&lt;&gt;"Y"),NA(),Capability!$Q$5))</f>
        <v/>
      </c>
      <c r="CJ144">
        <f>IF(ISNA(CB144),NA(),IF(OR(Capability!$P$5="",Settings!$F$7&lt;&gt;"Y"),NA(),Capability!$P$5))</f>
        <v/>
      </c>
      <c r="CP144">
        <f>IF((CS$1+140)&gt;CQ$1,NA(),(CS$1+140)-4)</f>
        <v/>
      </c>
      <c r="CQ144">
        <f>IF((CS$1+140)&gt;CQ$1,NA(),INDEX('Data Entry'!$I$5:$I$10004,(CS$1+140)-4))</f>
        <v/>
      </c>
      <c r="CR144">
        <f>IF(ISNA(CP144),NA(),Capability!$K$6)</f>
        <v/>
      </c>
      <c r="CS144">
        <f>IF(ISNA(CP144),NA(),Capability!$J$6)</f>
        <v/>
      </c>
      <c r="CT144">
        <f>IF(ISNA(CP144),NA(),Capability!$L$6)</f>
        <v/>
      </c>
      <c r="CU144">
        <f>IF(OR(ISNA(CQ144),ISNA(CQ143)),NA(),ABS(CQ144-CQ143))</f>
        <v/>
      </c>
      <c r="CV144">
        <f>IF(ISNA(CP144),NA(),Capability!$N$6)</f>
        <v/>
      </c>
      <c r="CW144">
        <f>IF(ISNA(CP144),NA(),IF(OR(Capability!$Q$6="",Settings!$F$7&lt;&gt;"Y"),NA(),Capability!$Q$6))</f>
        <v/>
      </c>
      <c r="CX144">
        <f>IF(ISNA(CP144),NA(),IF(OR(Capability!$P$6="",Settings!$F$7&lt;&gt;"Y"),NA(),Capability!$P$6))</f>
        <v/>
      </c>
      <c r="DD144">
        <f>IF((DG$1+140)&gt;DE$1,NA(),(DG$1+140)-4)</f>
        <v/>
      </c>
      <c r="DE144">
        <f>IF((DG$1+140)&gt;DE$1,NA(),INDEX('Data Entry'!$J$5:$J$10004,(DG$1+140)-4))</f>
        <v/>
      </c>
      <c r="DF144">
        <f>IF(ISNA(DD144),NA(),Capability!$K$7)</f>
        <v/>
      </c>
      <c r="DG144">
        <f>IF(ISNA(DD144),NA(),Capability!$J$7)</f>
        <v/>
      </c>
      <c r="DH144">
        <f>IF(ISNA(DD144),NA(),Capability!$L$7)</f>
        <v/>
      </c>
      <c r="DI144">
        <f>IF(OR(ISNA(DE144),ISNA(DE143)),NA(),ABS(DE144-DE143))</f>
        <v/>
      </c>
      <c r="DJ144">
        <f>IF(ISNA(DD144),NA(),Capability!$N$7)</f>
        <v/>
      </c>
      <c r="DK144">
        <f>IF(ISNA(DD144),NA(),IF(OR(Capability!$Q$7="",Settings!$F$7&lt;&gt;"Y"),NA(),Capability!$Q$7))</f>
        <v/>
      </c>
      <c r="DL144">
        <f>IF(ISNA(DD144),NA(),IF(OR(Capability!$P$7="",Settings!$F$7&lt;&gt;"Y"),NA(),Capability!$P$7))</f>
        <v/>
      </c>
      <c r="DR144">
        <f>IF((DU$1+140)&gt;DS$1,NA(),(DU$1+140)-4)</f>
        <v/>
      </c>
      <c r="DS144">
        <f>IF((DU$1+140)&gt;DS$1,NA(),INDEX('Data Entry'!$K$5:$K$10004,(DU$1+140)-4))</f>
        <v/>
      </c>
      <c r="DT144">
        <f>IF(ISNA(DR144),NA(),Capability!$K$8)</f>
        <v/>
      </c>
      <c r="DU144">
        <f>IF(ISNA(DR144),NA(),Capability!$J$8)</f>
        <v/>
      </c>
      <c r="DV144">
        <f>IF(ISNA(DR144),NA(),Capability!$L$8)</f>
        <v/>
      </c>
      <c r="DW144">
        <f>IF(OR(ISNA(DS144),ISNA(DS143)),NA(),ABS(DS144-DS143))</f>
        <v/>
      </c>
      <c r="DX144">
        <f>IF(ISNA(DR144),NA(),Capability!$N$8)</f>
        <v/>
      </c>
      <c r="DY144">
        <f>IF(ISNA(DR144),NA(),IF(OR(Capability!$Q$8="",Settings!$F$7&lt;&gt;"Y"),NA(),Capability!$Q$8))</f>
        <v/>
      </c>
      <c r="DZ144">
        <f>IF(ISNA(DR144),NA(),IF(OR(Capability!$P$8="",Settings!$F$7&lt;&gt;"Y"),NA(),Capability!$P$8))</f>
        <v/>
      </c>
      <c r="EF144">
        <f>IF((EI$1+140)&gt;EG$1,NA(),(EI$1+140)-4)</f>
        <v/>
      </c>
      <c r="EG144">
        <f>IF((EI$1+140)&gt;EG$1,NA(),INDEX('Data Entry'!$L$5:$L$10004,(EI$1+140)-4))</f>
        <v/>
      </c>
      <c r="EH144">
        <f>IF(ISNA(EF144),NA(),Capability!$K$9)</f>
        <v/>
      </c>
      <c r="EI144">
        <f>IF(ISNA(EF144),NA(),Capability!$J$9)</f>
        <v/>
      </c>
      <c r="EJ144">
        <f>IF(ISNA(EF144),NA(),Capability!$L$9)</f>
        <v/>
      </c>
      <c r="EK144">
        <f>IF(OR(ISNA(EG144),ISNA(EG143)),NA(),ABS(EG144-EG143))</f>
        <v/>
      </c>
      <c r="EL144">
        <f>IF(ISNA(EF144),NA(),Capability!$N$9)</f>
        <v/>
      </c>
      <c r="EM144">
        <f>IF(ISNA(EF144),NA(),IF(OR(Capability!$Q$9="",Settings!$F$7&lt;&gt;"Y"),NA(),Capability!$Q$9))</f>
        <v/>
      </c>
      <c r="EN144">
        <f>IF(ISNA(EF144),NA(),IF(OR(Capability!$P$9="",Settings!$F$7&lt;&gt;"Y"),NA(),Capability!$P$9))</f>
        <v/>
      </c>
      <c r="ET144">
        <f>IF((EW$1+140)&gt;EU$1,NA(),(EW$1+140)-4)</f>
        <v/>
      </c>
      <c r="EU144">
        <f>IF((EW$1+140)&gt;EU$1,NA(),INDEX('Data Entry'!$M$5:$M$10004,(EW$1+140)-4))</f>
        <v/>
      </c>
      <c r="EV144">
        <f>IF(ISNA(ET144),NA(),Capability!$K$10)</f>
        <v/>
      </c>
      <c r="EW144">
        <f>IF(ISNA(ET144),NA(),Capability!$J$10)</f>
        <v/>
      </c>
      <c r="EX144">
        <f>IF(ISNA(ET144),NA(),Capability!$L$10)</f>
        <v/>
      </c>
      <c r="EY144">
        <f>IF(OR(ISNA(EU144),ISNA(EU143)),NA(),ABS(EU144-EU143))</f>
        <v/>
      </c>
      <c r="EZ144">
        <f>IF(ISNA(ET144),NA(),Capability!$N$10)</f>
        <v/>
      </c>
      <c r="FA144">
        <f>IF(ISNA(ET144),NA(),IF(OR(Capability!$Q$10="",Settings!$F$7&lt;&gt;"Y"),NA(),Capability!$Q$10))</f>
        <v/>
      </c>
      <c r="FB144">
        <f>IF(ISNA(ET144),NA(),IF(OR(Capability!$P$10="",Settings!$F$7&lt;&gt;"Y"),NA(),Capability!$P$10))</f>
        <v/>
      </c>
      <c r="FH144">
        <f>IF((FK$1+140)&gt;FI$1,NA(),(FK$1+140)-4)</f>
        <v/>
      </c>
      <c r="FI144">
        <f>IF((FK$1+140)&gt;FI$1,NA(),INDEX('Data Entry'!$N$5:$N$10004,(FK$1+140)-4))</f>
        <v/>
      </c>
      <c r="FJ144">
        <f>IF(ISNA(FH144),NA(),Capability!$K$11)</f>
        <v/>
      </c>
      <c r="FK144">
        <f>IF(ISNA(FH144),NA(),Capability!$J$11)</f>
        <v/>
      </c>
      <c r="FL144">
        <f>IF(ISNA(FH144),NA(),Capability!$L$11)</f>
        <v/>
      </c>
      <c r="FM144">
        <f>IF(OR(ISNA(FI144),ISNA(FI143)),NA(),ABS(FI144-FI143))</f>
        <v/>
      </c>
      <c r="FN144">
        <f>IF(ISNA(FH144),NA(),Capability!$N$11)</f>
        <v/>
      </c>
      <c r="FO144">
        <f>IF(ISNA(FH144),NA(),IF(OR(Capability!$Q$11="",Settings!$F$7&lt;&gt;"Y"),NA(),Capability!$Q$11))</f>
        <v/>
      </c>
      <c r="FP144">
        <f>IF(ISNA(FH144),NA(),IF(OR(Capability!$P$11="",Settings!$F$7&lt;&gt;"Y"),NA(),Capability!$P$11))</f>
        <v/>
      </c>
      <c r="FV144">
        <f>IF((FY$1+140)&gt;FW$1,NA(),(FY$1+140)-4)</f>
        <v/>
      </c>
      <c r="FW144">
        <f>IF((FY$1+140)&gt;FW$1,NA(),INDEX('Data Entry'!$O$5:$O$10004,(FY$1+140)-4))</f>
        <v/>
      </c>
      <c r="FX144">
        <f>IF(ISNA(FV144),NA(),Capability!$K$12)</f>
        <v/>
      </c>
      <c r="FY144">
        <f>IF(ISNA(FV144),NA(),Capability!$J$12)</f>
        <v/>
      </c>
      <c r="FZ144">
        <f>IF(ISNA(FV144),NA(),Capability!$L$12)</f>
        <v/>
      </c>
      <c r="GA144">
        <f>IF(OR(ISNA(FW144),ISNA(FW143)),NA(),ABS(FW144-FW143))</f>
        <v/>
      </c>
      <c r="GB144">
        <f>IF(ISNA(FV144),NA(),Capability!$N$12)</f>
        <v/>
      </c>
      <c r="GC144">
        <f>IF(ISNA(FV144),NA(),IF(OR(Capability!$Q$12="",Settings!$F$7&lt;&gt;"Y"),NA(),Capability!$Q$12))</f>
        <v/>
      </c>
      <c r="GD144">
        <f>IF(ISNA(FV144),NA(),IF(OR(Capability!$P$12="",Settings!$F$7&lt;&gt;"Y"),NA(),Capability!$P$12))</f>
        <v/>
      </c>
      <c r="GJ144">
        <f>IF((GM$1+140)&gt;GK$1,NA(),(GM$1+140)-4)</f>
        <v/>
      </c>
      <c r="GK144">
        <f>IF((GM$1+140)&gt;GK$1,NA(),INDEX('Data Entry'!$P$5:$P$10004,(GM$1+140)-4))</f>
        <v/>
      </c>
      <c r="GL144">
        <f>IF(ISNA(GJ144),NA(),Capability!$K$13)</f>
        <v/>
      </c>
      <c r="GM144">
        <f>IF(ISNA(GJ144),NA(),Capability!$J$13)</f>
        <v/>
      </c>
      <c r="GN144">
        <f>IF(ISNA(GJ144),NA(),Capability!$L$13)</f>
        <v/>
      </c>
      <c r="GO144">
        <f>IF(OR(ISNA(GK144),ISNA(GK143)),NA(),ABS(GK144-GK143))</f>
        <v/>
      </c>
      <c r="GP144">
        <f>IF(ISNA(GJ144),NA(),Capability!$N$13)</f>
        <v/>
      </c>
      <c r="GQ144">
        <f>IF(ISNA(GJ144),NA(),IF(OR(Capability!$Q$13="",Settings!$F$7&lt;&gt;"Y"),NA(),Capability!$Q$13))</f>
        <v/>
      </c>
      <c r="GR144">
        <f>IF(ISNA(GJ144),NA(),IF(OR(Capability!$P$13="",Settings!$F$7&lt;&gt;"Y"),NA(),Capability!$P$13))</f>
        <v/>
      </c>
      <c r="GX144">
        <f>IF((HA$1+140)&gt;GY$1,NA(),(HA$1+140)-4)</f>
        <v/>
      </c>
      <c r="GY144">
        <f>IF((HA$1+140)&gt;GY$1,NA(),INDEX('Data Entry'!$Q$5:$Q$10004,(HA$1+140)-4))</f>
        <v/>
      </c>
      <c r="GZ144">
        <f>IF(ISNA(GX144),NA(),Capability!$K$14)</f>
        <v/>
      </c>
      <c r="HA144">
        <f>IF(ISNA(GX144),NA(),Capability!$J$14)</f>
        <v/>
      </c>
      <c r="HB144">
        <f>IF(ISNA(GX144),NA(),Capability!$L$14)</f>
        <v/>
      </c>
      <c r="HC144">
        <f>IF(OR(ISNA(GY144),ISNA(GY143)),NA(),ABS(GY144-GY143))</f>
        <v/>
      </c>
      <c r="HD144">
        <f>IF(ISNA(GX144),NA(),Capability!$N$14)</f>
        <v/>
      </c>
      <c r="HE144">
        <f>IF(ISNA(GX144),NA(),IF(OR(Capability!$Q$14="",Settings!$F$7&lt;&gt;"Y"),NA(),Capability!$Q$14))</f>
        <v/>
      </c>
      <c r="HF144">
        <f>IF(ISNA(GX144),NA(),IF(OR(Capability!$P$14="",Settings!$F$7&lt;&gt;"Y"),NA(),Capability!$P$14))</f>
        <v/>
      </c>
    </row>
    <row r="145">
      <c r="A145" s="35" t="inlineStr">
        <is>
          <t>LSL</t>
        </is>
      </c>
      <c r="B145" s="23">
        <f>Capability!P8</f>
        <v/>
      </c>
      <c r="CB145">
        <f>IF((CE$1+141)&gt;CC$1,NA(),(CE$1+141)-4)</f>
        <v/>
      </c>
      <c r="CC145">
        <f>IF((CE$1+141)&gt;CC$1,NA(),INDEX('Data Entry'!$H$5:$H$10004,(CE$1+141)-4))</f>
        <v/>
      </c>
      <c r="CD145">
        <f>IF(ISNA(CB145),NA(),Capability!$K$5)</f>
        <v/>
      </c>
      <c r="CE145">
        <f>IF(ISNA(CB145),NA(),Capability!$J$5)</f>
        <v/>
      </c>
      <c r="CF145">
        <f>IF(ISNA(CB145),NA(),Capability!$L$5)</f>
        <v/>
      </c>
      <c r="CG145">
        <f>IF(OR(ISNA(CC145),ISNA(CC144)),NA(),ABS(CC145-CC144))</f>
        <v/>
      </c>
      <c r="CH145">
        <f>IF(ISNA(CB145),NA(),Capability!$N$5)</f>
        <v/>
      </c>
      <c r="CI145">
        <f>IF(ISNA(CB145),NA(),IF(OR(Capability!$Q$5="",Settings!$F$7&lt;&gt;"Y"),NA(),Capability!$Q$5))</f>
        <v/>
      </c>
      <c r="CJ145">
        <f>IF(ISNA(CB145),NA(),IF(OR(Capability!$P$5="",Settings!$F$7&lt;&gt;"Y"),NA(),Capability!$P$5))</f>
        <v/>
      </c>
      <c r="CP145">
        <f>IF((CS$1+141)&gt;CQ$1,NA(),(CS$1+141)-4)</f>
        <v/>
      </c>
      <c r="CQ145">
        <f>IF((CS$1+141)&gt;CQ$1,NA(),INDEX('Data Entry'!$I$5:$I$10004,(CS$1+141)-4))</f>
        <v/>
      </c>
      <c r="CR145">
        <f>IF(ISNA(CP145),NA(),Capability!$K$6)</f>
        <v/>
      </c>
      <c r="CS145">
        <f>IF(ISNA(CP145),NA(),Capability!$J$6)</f>
        <v/>
      </c>
      <c r="CT145">
        <f>IF(ISNA(CP145),NA(),Capability!$L$6)</f>
        <v/>
      </c>
      <c r="CU145">
        <f>IF(OR(ISNA(CQ145),ISNA(CQ144)),NA(),ABS(CQ145-CQ144))</f>
        <v/>
      </c>
      <c r="CV145">
        <f>IF(ISNA(CP145),NA(),Capability!$N$6)</f>
        <v/>
      </c>
      <c r="CW145">
        <f>IF(ISNA(CP145),NA(),IF(OR(Capability!$Q$6="",Settings!$F$7&lt;&gt;"Y"),NA(),Capability!$Q$6))</f>
        <v/>
      </c>
      <c r="CX145">
        <f>IF(ISNA(CP145),NA(),IF(OR(Capability!$P$6="",Settings!$F$7&lt;&gt;"Y"),NA(),Capability!$P$6))</f>
        <v/>
      </c>
      <c r="DD145">
        <f>IF((DG$1+141)&gt;DE$1,NA(),(DG$1+141)-4)</f>
        <v/>
      </c>
      <c r="DE145">
        <f>IF((DG$1+141)&gt;DE$1,NA(),INDEX('Data Entry'!$J$5:$J$10004,(DG$1+141)-4))</f>
        <v/>
      </c>
      <c r="DF145">
        <f>IF(ISNA(DD145),NA(),Capability!$K$7)</f>
        <v/>
      </c>
      <c r="DG145">
        <f>IF(ISNA(DD145),NA(),Capability!$J$7)</f>
        <v/>
      </c>
      <c r="DH145">
        <f>IF(ISNA(DD145),NA(),Capability!$L$7)</f>
        <v/>
      </c>
      <c r="DI145">
        <f>IF(OR(ISNA(DE145),ISNA(DE144)),NA(),ABS(DE145-DE144))</f>
        <v/>
      </c>
      <c r="DJ145">
        <f>IF(ISNA(DD145),NA(),Capability!$N$7)</f>
        <v/>
      </c>
      <c r="DK145">
        <f>IF(ISNA(DD145),NA(),IF(OR(Capability!$Q$7="",Settings!$F$7&lt;&gt;"Y"),NA(),Capability!$Q$7))</f>
        <v/>
      </c>
      <c r="DL145">
        <f>IF(ISNA(DD145),NA(),IF(OR(Capability!$P$7="",Settings!$F$7&lt;&gt;"Y"),NA(),Capability!$P$7))</f>
        <v/>
      </c>
      <c r="DR145">
        <f>IF((DU$1+141)&gt;DS$1,NA(),(DU$1+141)-4)</f>
        <v/>
      </c>
      <c r="DS145">
        <f>IF((DU$1+141)&gt;DS$1,NA(),INDEX('Data Entry'!$K$5:$K$10004,(DU$1+141)-4))</f>
        <v/>
      </c>
      <c r="DT145">
        <f>IF(ISNA(DR145),NA(),Capability!$K$8)</f>
        <v/>
      </c>
      <c r="DU145">
        <f>IF(ISNA(DR145),NA(),Capability!$J$8)</f>
        <v/>
      </c>
      <c r="DV145">
        <f>IF(ISNA(DR145),NA(),Capability!$L$8)</f>
        <v/>
      </c>
      <c r="DW145">
        <f>IF(OR(ISNA(DS145),ISNA(DS144)),NA(),ABS(DS145-DS144))</f>
        <v/>
      </c>
      <c r="DX145">
        <f>IF(ISNA(DR145),NA(),Capability!$N$8)</f>
        <v/>
      </c>
      <c r="DY145">
        <f>IF(ISNA(DR145),NA(),IF(OR(Capability!$Q$8="",Settings!$F$7&lt;&gt;"Y"),NA(),Capability!$Q$8))</f>
        <v/>
      </c>
      <c r="DZ145">
        <f>IF(ISNA(DR145),NA(),IF(OR(Capability!$P$8="",Settings!$F$7&lt;&gt;"Y"),NA(),Capability!$P$8))</f>
        <v/>
      </c>
      <c r="EF145">
        <f>IF((EI$1+141)&gt;EG$1,NA(),(EI$1+141)-4)</f>
        <v/>
      </c>
      <c r="EG145">
        <f>IF((EI$1+141)&gt;EG$1,NA(),INDEX('Data Entry'!$L$5:$L$10004,(EI$1+141)-4))</f>
        <v/>
      </c>
      <c r="EH145">
        <f>IF(ISNA(EF145),NA(),Capability!$K$9)</f>
        <v/>
      </c>
      <c r="EI145">
        <f>IF(ISNA(EF145),NA(),Capability!$J$9)</f>
        <v/>
      </c>
      <c r="EJ145">
        <f>IF(ISNA(EF145),NA(),Capability!$L$9)</f>
        <v/>
      </c>
      <c r="EK145">
        <f>IF(OR(ISNA(EG145),ISNA(EG144)),NA(),ABS(EG145-EG144))</f>
        <v/>
      </c>
      <c r="EL145">
        <f>IF(ISNA(EF145),NA(),Capability!$N$9)</f>
        <v/>
      </c>
      <c r="EM145">
        <f>IF(ISNA(EF145),NA(),IF(OR(Capability!$Q$9="",Settings!$F$7&lt;&gt;"Y"),NA(),Capability!$Q$9))</f>
        <v/>
      </c>
      <c r="EN145">
        <f>IF(ISNA(EF145),NA(),IF(OR(Capability!$P$9="",Settings!$F$7&lt;&gt;"Y"),NA(),Capability!$P$9))</f>
        <v/>
      </c>
      <c r="ET145">
        <f>IF((EW$1+141)&gt;EU$1,NA(),(EW$1+141)-4)</f>
        <v/>
      </c>
      <c r="EU145">
        <f>IF((EW$1+141)&gt;EU$1,NA(),INDEX('Data Entry'!$M$5:$M$10004,(EW$1+141)-4))</f>
        <v/>
      </c>
      <c r="EV145">
        <f>IF(ISNA(ET145),NA(),Capability!$K$10)</f>
        <v/>
      </c>
      <c r="EW145">
        <f>IF(ISNA(ET145),NA(),Capability!$J$10)</f>
        <v/>
      </c>
      <c r="EX145">
        <f>IF(ISNA(ET145),NA(),Capability!$L$10)</f>
        <v/>
      </c>
      <c r="EY145">
        <f>IF(OR(ISNA(EU145),ISNA(EU144)),NA(),ABS(EU145-EU144))</f>
        <v/>
      </c>
      <c r="EZ145">
        <f>IF(ISNA(ET145),NA(),Capability!$N$10)</f>
        <v/>
      </c>
      <c r="FA145">
        <f>IF(ISNA(ET145),NA(),IF(OR(Capability!$Q$10="",Settings!$F$7&lt;&gt;"Y"),NA(),Capability!$Q$10))</f>
        <v/>
      </c>
      <c r="FB145">
        <f>IF(ISNA(ET145),NA(),IF(OR(Capability!$P$10="",Settings!$F$7&lt;&gt;"Y"),NA(),Capability!$P$10))</f>
        <v/>
      </c>
      <c r="FH145">
        <f>IF((FK$1+141)&gt;FI$1,NA(),(FK$1+141)-4)</f>
        <v/>
      </c>
      <c r="FI145">
        <f>IF((FK$1+141)&gt;FI$1,NA(),INDEX('Data Entry'!$N$5:$N$10004,(FK$1+141)-4))</f>
        <v/>
      </c>
      <c r="FJ145">
        <f>IF(ISNA(FH145),NA(),Capability!$K$11)</f>
        <v/>
      </c>
      <c r="FK145">
        <f>IF(ISNA(FH145),NA(),Capability!$J$11)</f>
        <v/>
      </c>
      <c r="FL145">
        <f>IF(ISNA(FH145),NA(),Capability!$L$11)</f>
        <v/>
      </c>
      <c r="FM145">
        <f>IF(OR(ISNA(FI145),ISNA(FI144)),NA(),ABS(FI145-FI144))</f>
        <v/>
      </c>
      <c r="FN145">
        <f>IF(ISNA(FH145),NA(),Capability!$N$11)</f>
        <v/>
      </c>
      <c r="FO145">
        <f>IF(ISNA(FH145),NA(),IF(OR(Capability!$Q$11="",Settings!$F$7&lt;&gt;"Y"),NA(),Capability!$Q$11))</f>
        <v/>
      </c>
      <c r="FP145">
        <f>IF(ISNA(FH145),NA(),IF(OR(Capability!$P$11="",Settings!$F$7&lt;&gt;"Y"),NA(),Capability!$P$11))</f>
        <v/>
      </c>
      <c r="FV145">
        <f>IF((FY$1+141)&gt;FW$1,NA(),(FY$1+141)-4)</f>
        <v/>
      </c>
      <c r="FW145">
        <f>IF((FY$1+141)&gt;FW$1,NA(),INDEX('Data Entry'!$O$5:$O$10004,(FY$1+141)-4))</f>
        <v/>
      </c>
      <c r="FX145">
        <f>IF(ISNA(FV145),NA(),Capability!$K$12)</f>
        <v/>
      </c>
      <c r="FY145">
        <f>IF(ISNA(FV145),NA(),Capability!$J$12)</f>
        <v/>
      </c>
      <c r="FZ145">
        <f>IF(ISNA(FV145),NA(),Capability!$L$12)</f>
        <v/>
      </c>
      <c r="GA145">
        <f>IF(OR(ISNA(FW145),ISNA(FW144)),NA(),ABS(FW145-FW144))</f>
        <v/>
      </c>
      <c r="GB145">
        <f>IF(ISNA(FV145),NA(),Capability!$N$12)</f>
        <v/>
      </c>
      <c r="GC145">
        <f>IF(ISNA(FV145),NA(),IF(OR(Capability!$Q$12="",Settings!$F$7&lt;&gt;"Y"),NA(),Capability!$Q$12))</f>
        <v/>
      </c>
      <c r="GD145">
        <f>IF(ISNA(FV145),NA(),IF(OR(Capability!$P$12="",Settings!$F$7&lt;&gt;"Y"),NA(),Capability!$P$12))</f>
        <v/>
      </c>
      <c r="GJ145">
        <f>IF((GM$1+141)&gt;GK$1,NA(),(GM$1+141)-4)</f>
        <v/>
      </c>
      <c r="GK145">
        <f>IF((GM$1+141)&gt;GK$1,NA(),INDEX('Data Entry'!$P$5:$P$10004,(GM$1+141)-4))</f>
        <v/>
      </c>
      <c r="GL145">
        <f>IF(ISNA(GJ145),NA(),Capability!$K$13)</f>
        <v/>
      </c>
      <c r="GM145">
        <f>IF(ISNA(GJ145),NA(),Capability!$J$13)</f>
        <v/>
      </c>
      <c r="GN145">
        <f>IF(ISNA(GJ145),NA(),Capability!$L$13)</f>
        <v/>
      </c>
      <c r="GO145">
        <f>IF(OR(ISNA(GK145),ISNA(GK144)),NA(),ABS(GK145-GK144))</f>
        <v/>
      </c>
      <c r="GP145">
        <f>IF(ISNA(GJ145),NA(),Capability!$N$13)</f>
        <v/>
      </c>
      <c r="GQ145">
        <f>IF(ISNA(GJ145),NA(),IF(OR(Capability!$Q$13="",Settings!$F$7&lt;&gt;"Y"),NA(),Capability!$Q$13))</f>
        <v/>
      </c>
      <c r="GR145">
        <f>IF(ISNA(GJ145),NA(),IF(OR(Capability!$P$13="",Settings!$F$7&lt;&gt;"Y"),NA(),Capability!$P$13))</f>
        <v/>
      </c>
      <c r="GX145">
        <f>IF((HA$1+141)&gt;GY$1,NA(),(HA$1+141)-4)</f>
        <v/>
      </c>
      <c r="GY145">
        <f>IF((HA$1+141)&gt;GY$1,NA(),INDEX('Data Entry'!$Q$5:$Q$10004,(HA$1+141)-4))</f>
        <v/>
      </c>
      <c r="GZ145">
        <f>IF(ISNA(GX145),NA(),Capability!$K$14)</f>
        <v/>
      </c>
      <c r="HA145">
        <f>IF(ISNA(GX145),NA(),Capability!$J$14)</f>
        <v/>
      </c>
      <c r="HB145">
        <f>IF(ISNA(GX145),NA(),Capability!$L$14)</f>
        <v/>
      </c>
      <c r="HC145">
        <f>IF(OR(ISNA(GY145),ISNA(GY144)),NA(),ABS(GY145-GY144))</f>
        <v/>
      </c>
      <c r="HD145">
        <f>IF(ISNA(GX145),NA(),Capability!$N$14)</f>
        <v/>
      </c>
      <c r="HE145">
        <f>IF(ISNA(GX145),NA(),IF(OR(Capability!$Q$14="",Settings!$F$7&lt;&gt;"Y"),NA(),Capability!$Q$14))</f>
        <v/>
      </c>
      <c r="HF145">
        <f>IF(ISNA(GX145),NA(),IF(OR(Capability!$P$14="",Settings!$F$7&lt;&gt;"Y"),NA(),Capability!$P$14))</f>
        <v/>
      </c>
    </row>
    <row r="146">
      <c r="A146" s="37" t="inlineStr">
        <is>
          <t>CAPABILITY</t>
        </is>
      </c>
      <c r="B146" s="28" t="n"/>
      <c r="CB146">
        <f>IF((CE$1+142)&gt;CC$1,NA(),(CE$1+142)-4)</f>
        <v/>
      </c>
      <c r="CC146">
        <f>IF((CE$1+142)&gt;CC$1,NA(),INDEX('Data Entry'!$H$5:$H$10004,(CE$1+142)-4))</f>
        <v/>
      </c>
      <c r="CD146">
        <f>IF(ISNA(CB146),NA(),Capability!$K$5)</f>
        <v/>
      </c>
      <c r="CE146">
        <f>IF(ISNA(CB146),NA(),Capability!$J$5)</f>
        <v/>
      </c>
      <c r="CF146">
        <f>IF(ISNA(CB146),NA(),Capability!$L$5)</f>
        <v/>
      </c>
      <c r="CG146">
        <f>IF(OR(ISNA(CC146),ISNA(CC145)),NA(),ABS(CC146-CC145))</f>
        <v/>
      </c>
      <c r="CH146">
        <f>IF(ISNA(CB146),NA(),Capability!$N$5)</f>
        <v/>
      </c>
      <c r="CI146">
        <f>IF(ISNA(CB146),NA(),IF(OR(Capability!$Q$5="",Settings!$F$7&lt;&gt;"Y"),NA(),Capability!$Q$5))</f>
        <v/>
      </c>
      <c r="CJ146">
        <f>IF(ISNA(CB146),NA(),IF(OR(Capability!$P$5="",Settings!$F$7&lt;&gt;"Y"),NA(),Capability!$P$5))</f>
        <v/>
      </c>
      <c r="CP146">
        <f>IF((CS$1+142)&gt;CQ$1,NA(),(CS$1+142)-4)</f>
        <v/>
      </c>
      <c r="CQ146">
        <f>IF((CS$1+142)&gt;CQ$1,NA(),INDEX('Data Entry'!$I$5:$I$10004,(CS$1+142)-4))</f>
        <v/>
      </c>
      <c r="CR146">
        <f>IF(ISNA(CP146),NA(),Capability!$K$6)</f>
        <v/>
      </c>
      <c r="CS146">
        <f>IF(ISNA(CP146),NA(),Capability!$J$6)</f>
        <v/>
      </c>
      <c r="CT146">
        <f>IF(ISNA(CP146),NA(),Capability!$L$6)</f>
        <v/>
      </c>
      <c r="CU146">
        <f>IF(OR(ISNA(CQ146),ISNA(CQ145)),NA(),ABS(CQ146-CQ145))</f>
        <v/>
      </c>
      <c r="CV146">
        <f>IF(ISNA(CP146),NA(),Capability!$N$6)</f>
        <v/>
      </c>
      <c r="CW146">
        <f>IF(ISNA(CP146),NA(),IF(OR(Capability!$Q$6="",Settings!$F$7&lt;&gt;"Y"),NA(),Capability!$Q$6))</f>
        <v/>
      </c>
      <c r="CX146">
        <f>IF(ISNA(CP146),NA(),IF(OR(Capability!$P$6="",Settings!$F$7&lt;&gt;"Y"),NA(),Capability!$P$6))</f>
        <v/>
      </c>
      <c r="DD146">
        <f>IF((DG$1+142)&gt;DE$1,NA(),(DG$1+142)-4)</f>
        <v/>
      </c>
      <c r="DE146">
        <f>IF((DG$1+142)&gt;DE$1,NA(),INDEX('Data Entry'!$J$5:$J$10004,(DG$1+142)-4))</f>
        <v/>
      </c>
      <c r="DF146">
        <f>IF(ISNA(DD146),NA(),Capability!$K$7)</f>
        <v/>
      </c>
      <c r="DG146">
        <f>IF(ISNA(DD146),NA(),Capability!$J$7)</f>
        <v/>
      </c>
      <c r="DH146">
        <f>IF(ISNA(DD146),NA(),Capability!$L$7)</f>
        <v/>
      </c>
      <c r="DI146">
        <f>IF(OR(ISNA(DE146),ISNA(DE145)),NA(),ABS(DE146-DE145))</f>
        <v/>
      </c>
      <c r="DJ146">
        <f>IF(ISNA(DD146),NA(),Capability!$N$7)</f>
        <v/>
      </c>
      <c r="DK146">
        <f>IF(ISNA(DD146),NA(),IF(OR(Capability!$Q$7="",Settings!$F$7&lt;&gt;"Y"),NA(),Capability!$Q$7))</f>
        <v/>
      </c>
      <c r="DL146">
        <f>IF(ISNA(DD146),NA(),IF(OR(Capability!$P$7="",Settings!$F$7&lt;&gt;"Y"),NA(),Capability!$P$7))</f>
        <v/>
      </c>
      <c r="DR146">
        <f>IF((DU$1+142)&gt;DS$1,NA(),(DU$1+142)-4)</f>
        <v/>
      </c>
      <c r="DS146">
        <f>IF((DU$1+142)&gt;DS$1,NA(),INDEX('Data Entry'!$K$5:$K$10004,(DU$1+142)-4))</f>
        <v/>
      </c>
      <c r="DT146">
        <f>IF(ISNA(DR146),NA(),Capability!$K$8)</f>
        <v/>
      </c>
      <c r="DU146">
        <f>IF(ISNA(DR146),NA(),Capability!$J$8)</f>
        <v/>
      </c>
      <c r="DV146">
        <f>IF(ISNA(DR146),NA(),Capability!$L$8)</f>
        <v/>
      </c>
      <c r="DW146">
        <f>IF(OR(ISNA(DS146),ISNA(DS145)),NA(),ABS(DS146-DS145))</f>
        <v/>
      </c>
      <c r="DX146">
        <f>IF(ISNA(DR146),NA(),Capability!$N$8)</f>
        <v/>
      </c>
      <c r="DY146">
        <f>IF(ISNA(DR146),NA(),IF(OR(Capability!$Q$8="",Settings!$F$7&lt;&gt;"Y"),NA(),Capability!$Q$8))</f>
        <v/>
      </c>
      <c r="DZ146">
        <f>IF(ISNA(DR146),NA(),IF(OR(Capability!$P$8="",Settings!$F$7&lt;&gt;"Y"),NA(),Capability!$P$8))</f>
        <v/>
      </c>
      <c r="EF146">
        <f>IF((EI$1+142)&gt;EG$1,NA(),(EI$1+142)-4)</f>
        <v/>
      </c>
      <c r="EG146">
        <f>IF((EI$1+142)&gt;EG$1,NA(),INDEX('Data Entry'!$L$5:$L$10004,(EI$1+142)-4))</f>
        <v/>
      </c>
      <c r="EH146">
        <f>IF(ISNA(EF146),NA(),Capability!$K$9)</f>
        <v/>
      </c>
      <c r="EI146">
        <f>IF(ISNA(EF146),NA(),Capability!$J$9)</f>
        <v/>
      </c>
      <c r="EJ146">
        <f>IF(ISNA(EF146),NA(),Capability!$L$9)</f>
        <v/>
      </c>
      <c r="EK146">
        <f>IF(OR(ISNA(EG146),ISNA(EG145)),NA(),ABS(EG146-EG145))</f>
        <v/>
      </c>
      <c r="EL146">
        <f>IF(ISNA(EF146),NA(),Capability!$N$9)</f>
        <v/>
      </c>
      <c r="EM146">
        <f>IF(ISNA(EF146),NA(),IF(OR(Capability!$Q$9="",Settings!$F$7&lt;&gt;"Y"),NA(),Capability!$Q$9))</f>
        <v/>
      </c>
      <c r="EN146">
        <f>IF(ISNA(EF146),NA(),IF(OR(Capability!$P$9="",Settings!$F$7&lt;&gt;"Y"),NA(),Capability!$P$9))</f>
        <v/>
      </c>
      <c r="ET146">
        <f>IF((EW$1+142)&gt;EU$1,NA(),(EW$1+142)-4)</f>
        <v/>
      </c>
      <c r="EU146">
        <f>IF((EW$1+142)&gt;EU$1,NA(),INDEX('Data Entry'!$M$5:$M$10004,(EW$1+142)-4))</f>
        <v/>
      </c>
      <c r="EV146">
        <f>IF(ISNA(ET146),NA(),Capability!$K$10)</f>
        <v/>
      </c>
      <c r="EW146">
        <f>IF(ISNA(ET146),NA(),Capability!$J$10)</f>
        <v/>
      </c>
      <c r="EX146">
        <f>IF(ISNA(ET146),NA(),Capability!$L$10)</f>
        <v/>
      </c>
      <c r="EY146">
        <f>IF(OR(ISNA(EU146),ISNA(EU145)),NA(),ABS(EU146-EU145))</f>
        <v/>
      </c>
      <c r="EZ146">
        <f>IF(ISNA(ET146),NA(),Capability!$N$10)</f>
        <v/>
      </c>
      <c r="FA146">
        <f>IF(ISNA(ET146),NA(),IF(OR(Capability!$Q$10="",Settings!$F$7&lt;&gt;"Y"),NA(),Capability!$Q$10))</f>
        <v/>
      </c>
      <c r="FB146">
        <f>IF(ISNA(ET146),NA(),IF(OR(Capability!$P$10="",Settings!$F$7&lt;&gt;"Y"),NA(),Capability!$P$10))</f>
        <v/>
      </c>
      <c r="FH146">
        <f>IF((FK$1+142)&gt;FI$1,NA(),(FK$1+142)-4)</f>
        <v/>
      </c>
      <c r="FI146">
        <f>IF((FK$1+142)&gt;FI$1,NA(),INDEX('Data Entry'!$N$5:$N$10004,(FK$1+142)-4))</f>
        <v/>
      </c>
      <c r="FJ146">
        <f>IF(ISNA(FH146),NA(),Capability!$K$11)</f>
        <v/>
      </c>
      <c r="FK146">
        <f>IF(ISNA(FH146),NA(),Capability!$J$11)</f>
        <v/>
      </c>
      <c r="FL146">
        <f>IF(ISNA(FH146),NA(),Capability!$L$11)</f>
        <v/>
      </c>
      <c r="FM146">
        <f>IF(OR(ISNA(FI146),ISNA(FI145)),NA(),ABS(FI146-FI145))</f>
        <v/>
      </c>
      <c r="FN146">
        <f>IF(ISNA(FH146),NA(),Capability!$N$11)</f>
        <v/>
      </c>
      <c r="FO146">
        <f>IF(ISNA(FH146),NA(),IF(OR(Capability!$Q$11="",Settings!$F$7&lt;&gt;"Y"),NA(),Capability!$Q$11))</f>
        <v/>
      </c>
      <c r="FP146">
        <f>IF(ISNA(FH146),NA(),IF(OR(Capability!$P$11="",Settings!$F$7&lt;&gt;"Y"),NA(),Capability!$P$11))</f>
        <v/>
      </c>
      <c r="FV146">
        <f>IF((FY$1+142)&gt;FW$1,NA(),(FY$1+142)-4)</f>
        <v/>
      </c>
      <c r="FW146">
        <f>IF((FY$1+142)&gt;FW$1,NA(),INDEX('Data Entry'!$O$5:$O$10004,(FY$1+142)-4))</f>
        <v/>
      </c>
      <c r="FX146">
        <f>IF(ISNA(FV146),NA(),Capability!$K$12)</f>
        <v/>
      </c>
      <c r="FY146">
        <f>IF(ISNA(FV146),NA(),Capability!$J$12)</f>
        <v/>
      </c>
      <c r="FZ146">
        <f>IF(ISNA(FV146),NA(),Capability!$L$12)</f>
        <v/>
      </c>
      <c r="GA146">
        <f>IF(OR(ISNA(FW146),ISNA(FW145)),NA(),ABS(FW146-FW145))</f>
        <v/>
      </c>
      <c r="GB146">
        <f>IF(ISNA(FV146),NA(),Capability!$N$12)</f>
        <v/>
      </c>
      <c r="GC146">
        <f>IF(ISNA(FV146),NA(),IF(OR(Capability!$Q$12="",Settings!$F$7&lt;&gt;"Y"),NA(),Capability!$Q$12))</f>
        <v/>
      </c>
      <c r="GD146">
        <f>IF(ISNA(FV146),NA(),IF(OR(Capability!$P$12="",Settings!$F$7&lt;&gt;"Y"),NA(),Capability!$P$12))</f>
        <v/>
      </c>
      <c r="GJ146">
        <f>IF((GM$1+142)&gt;GK$1,NA(),(GM$1+142)-4)</f>
        <v/>
      </c>
      <c r="GK146">
        <f>IF((GM$1+142)&gt;GK$1,NA(),INDEX('Data Entry'!$P$5:$P$10004,(GM$1+142)-4))</f>
        <v/>
      </c>
      <c r="GL146">
        <f>IF(ISNA(GJ146),NA(),Capability!$K$13)</f>
        <v/>
      </c>
      <c r="GM146">
        <f>IF(ISNA(GJ146),NA(),Capability!$J$13)</f>
        <v/>
      </c>
      <c r="GN146">
        <f>IF(ISNA(GJ146),NA(),Capability!$L$13)</f>
        <v/>
      </c>
      <c r="GO146">
        <f>IF(OR(ISNA(GK146),ISNA(GK145)),NA(),ABS(GK146-GK145))</f>
        <v/>
      </c>
      <c r="GP146">
        <f>IF(ISNA(GJ146),NA(),Capability!$N$13)</f>
        <v/>
      </c>
      <c r="GQ146">
        <f>IF(ISNA(GJ146),NA(),IF(OR(Capability!$Q$13="",Settings!$F$7&lt;&gt;"Y"),NA(),Capability!$Q$13))</f>
        <v/>
      </c>
      <c r="GR146">
        <f>IF(ISNA(GJ146),NA(),IF(OR(Capability!$P$13="",Settings!$F$7&lt;&gt;"Y"),NA(),Capability!$P$13))</f>
        <v/>
      </c>
      <c r="GX146">
        <f>IF((HA$1+142)&gt;GY$1,NA(),(HA$1+142)-4)</f>
        <v/>
      </c>
      <c r="GY146">
        <f>IF((HA$1+142)&gt;GY$1,NA(),INDEX('Data Entry'!$Q$5:$Q$10004,(HA$1+142)-4))</f>
        <v/>
      </c>
      <c r="GZ146">
        <f>IF(ISNA(GX146),NA(),Capability!$K$14)</f>
        <v/>
      </c>
      <c r="HA146">
        <f>IF(ISNA(GX146),NA(),Capability!$J$14)</f>
        <v/>
      </c>
      <c r="HB146">
        <f>IF(ISNA(GX146),NA(),Capability!$L$14)</f>
        <v/>
      </c>
      <c r="HC146">
        <f>IF(OR(ISNA(GY146),ISNA(GY145)),NA(),ABS(GY146-GY145))</f>
        <v/>
      </c>
      <c r="HD146">
        <f>IF(ISNA(GX146),NA(),Capability!$N$14)</f>
        <v/>
      </c>
      <c r="HE146">
        <f>IF(ISNA(GX146),NA(),IF(OR(Capability!$Q$14="",Settings!$F$7&lt;&gt;"Y"),NA(),Capability!$Q$14))</f>
        <v/>
      </c>
      <c r="HF146">
        <f>IF(ISNA(GX146),NA(),IF(OR(Capability!$P$14="",Settings!$F$7&lt;&gt;"Y"),NA(),Capability!$P$14))</f>
        <v/>
      </c>
    </row>
    <row r="147">
      <c r="A147" s="35" t="inlineStr">
        <is>
          <t>Cp</t>
        </is>
      </c>
      <c r="B147" s="38">
        <f>Capability!S8</f>
        <v/>
      </c>
      <c r="CB147">
        <f>IF((CE$1+143)&gt;CC$1,NA(),(CE$1+143)-4)</f>
        <v/>
      </c>
      <c r="CC147">
        <f>IF((CE$1+143)&gt;CC$1,NA(),INDEX('Data Entry'!$H$5:$H$10004,(CE$1+143)-4))</f>
        <v/>
      </c>
      <c r="CD147">
        <f>IF(ISNA(CB147),NA(),Capability!$K$5)</f>
        <v/>
      </c>
      <c r="CE147">
        <f>IF(ISNA(CB147),NA(),Capability!$J$5)</f>
        <v/>
      </c>
      <c r="CF147">
        <f>IF(ISNA(CB147),NA(),Capability!$L$5)</f>
        <v/>
      </c>
      <c r="CG147">
        <f>IF(OR(ISNA(CC147),ISNA(CC146)),NA(),ABS(CC147-CC146))</f>
        <v/>
      </c>
      <c r="CH147">
        <f>IF(ISNA(CB147),NA(),Capability!$N$5)</f>
        <v/>
      </c>
      <c r="CI147">
        <f>IF(ISNA(CB147),NA(),IF(OR(Capability!$Q$5="",Settings!$F$7&lt;&gt;"Y"),NA(),Capability!$Q$5))</f>
        <v/>
      </c>
      <c r="CJ147">
        <f>IF(ISNA(CB147),NA(),IF(OR(Capability!$P$5="",Settings!$F$7&lt;&gt;"Y"),NA(),Capability!$P$5))</f>
        <v/>
      </c>
      <c r="CP147">
        <f>IF((CS$1+143)&gt;CQ$1,NA(),(CS$1+143)-4)</f>
        <v/>
      </c>
      <c r="CQ147">
        <f>IF((CS$1+143)&gt;CQ$1,NA(),INDEX('Data Entry'!$I$5:$I$10004,(CS$1+143)-4))</f>
        <v/>
      </c>
      <c r="CR147">
        <f>IF(ISNA(CP147),NA(),Capability!$K$6)</f>
        <v/>
      </c>
      <c r="CS147">
        <f>IF(ISNA(CP147),NA(),Capability!$J$6)</f>
        <v/>
      </c>
      <c r="CT147">
        <f>IF(ISNA(CP147),NA(),Capability!$L$6)</f>
        <v/>
      </c>
      <c r="CU147">
        <f>IF(OR(ISNA(CQ147),ISNA(CQ146)),NA(),ABS(CQ147-CQ146))</f>
        <v/>
      </c>
      <c r="CV147">
        <f>IF(ISNA(CP147),NA(),Capability!$N$6)</f>
        <v/>
      </c>
      <c r="CW147">
        <f>IF(ISNA(CP147),NA(),IF(OR(Capability!$Q$6="",Settings!$F$7&lt;&gt;"Y"),NA(),Capability!$Q$6))</f>
        <v/>
      </c>
      <c r="CX147">
        <f>IF(ISNA(CP147),NA(),IF(OR(Capability!$P$6="",Settings!$F$7&lt;&gt;"Y"),NA(),Capability!$P$6))</f>
        <v/>
      </c>
      <c r="DD147">
        <f>IF((DG$1+143)&gt;DE$1,NA(),(DG$1+143)-4)</f>
        <v/>
      </c>
      <c r="DE147">
        <f>IF((DG$1+143)&gt;DE$1,NA(),INDEX('Data Entry'!$J$5:$J$10004,(DG$1+143)-4))</f>
        <v/>
      </c>
      <c r="DF147">
        <f>IF(ISNA(DD147),NA(),Capability!$K$7)</f>
        <v/>
      </c>
      <c r="DG147">
        <f>IF(ISNA(DD147),NA(),Capability!$J$7)</f>
        <v/>
      </c>
      <c r="DH147">
        <f>IF(ISNA(DD147),NA(),Capability!$L$7)</f>
        <v/>
      </c>
      <c r="DI147">
        <f>IF(OR(ISNA(DE147),ISNA(DE146)),NA(),ABS(DE147-DE146))</f>
        <v/>
      </c>
      <c r="DJ147">
        <f>IF(ISNA(DD147),NA(),Capability!$N$7)</f>
        <v/>
      </c>
      <c r="DK147">
        <f>IF(ISNA(DD147),NA(),IF(OR(Capability!$Q$7="",Settings!$F$7&lt;&gt;"Y"),NA(),Capability!$Q$7))</f>
        <v/>
      </c>
      <c r="DL147">
        <f>IF(ISNA(DD147),NA(),IF(OR(Capability!$P$7="",Settings!$F$7&lt;&gt;"Y"),NA(),Capability!$P$7))</f>
        <v/>
      </c>
      <c r="DR147">
        <f>IF((DU$1+143)&gt;DS$1,NA(),(DU$1+143)-4)</f>
        <v/>
      </c>
      <c r="DS147">
        <f>IF((DU$1+143)&gt;DS$1,NA(),INDEX('Data Entry'!$K$5:$K$10004,(DU$1+143)-4))</f>
        <v/>
      </c>
      <c r="DT147">
        <f>IF(ISNA(DR147),NA(),Capability!$K$8)</f>
        <v/>
      </c>
      <c r="DU147">
        <f>IF(ISNA(DR147),NA(),Capability!$J$8)</f>
        <v/>
      </c>
      <c r="DV147">
        <f>IF(ISNA(DR147),NA(),Capability!$L$8)</f>
        <v/>
      </c>
      <c r="DW147">
        <f>IF(OR(ISNA(DS147),ISNA(DS146)),NA(),ABS(DS147-DS146))</f>
        <v/>
      </c>
      <c r="DX147">
        <f>IF(ISNA(DR147),NA(),Capability!$N$8)</f>
        <v/>
      </c>
      <c r="DY147">
        <f>IF(ISNA(DR147),NA(),IF(OR(Capability!$Q$8="",Settings!$F$7&lt;&gt;"Y"),NA(),Capability!$Q$8))</f>
        <v/>
      </c>
      <c r="DZ147">
        <f>IF(ISNA(DR147),NA(),IF(OR(Capability!$P$8="",Settings!$F$7&lt;&gt;"Y"),NA(),Capability!$P$8))</f>
        <v/>
      </c>
      <c r="EF147">
        <f>IF((EI$1+143)&gt;EG$1,NA(),(EI$1+143)-4)</f>
        <v/>
      </c>
      <c r="EG147">
        <f>IF((EI$1+143)&gt;EG$1,NA(),INDEX('Data Entry'!$L$5:$L$10004,(EI$1+143)-4))</f>
        <v/>
      </c>
      <c r="EH147">
        <f>IF(ISNA(EF147),NA(),Capability!$K$9)</f>
        <v/>
      </c>
      <c r="EI147">
        <f>IF(ISNA(EF147),NA(),Capability!$J$9)</f>
        <v/>
      </c>
      <c r="EJ147">
        <f>IF(ISNA(EF147),NA(),Capability!$L$9)</f>
        <v/>
      </c>
      <c r="EK147">
        <f>IF(OR(ISNA(EG147),ISNA(EG146)),NA(),ABS(EG147-EG146))</f>
        <v/>
      </c>
      <c r="EL147">
        <f>IF(ISNA(EF147),NA(),Capability!$N$9)</f>
        <v/>
      </c>
      <c r="EM147">
        <f>IF(ISNA(EF147),NA(),IF(OR(Capability!$Q$9="",Settings!$F$7&lt;&gt;"Y"),NA(),Capability!$Q$9))</f>
        <v/>
      </c>
      <c r="EN147">
        <f>IF(ISNA(EF147),NA(),IF(OR(Capability!$P$9="",Settings!$F$7&lt;&gt;"Y"),NA(),Capability!$P$9))</f>
        <v/>
      </c>
      <c r="ET147">
        <f>IF((EW$1+143)&gt;EU$1,NA(),(EW$1+143)-4)</f>
        <v/>
      </c>
      <c r="EU147">
        <f>IF((EW$1+143)&gt;EU$1,NA(),INDEX('Data Entry'!$M$5:$M$10004,(EW$1+143)-4))</f>
        <v/>
      </c>
      <c r="EV147">
        <f>IF(ISNA(ET147),NA(),Capability!$K$10)</f>
        <v/>
      </c>
      <c r="EW147">
        <f>IF(ISNA(ET147),NA(),Capability!$J$10)</f>
        <v/>
      </c>
      <c r="EX147">
        <f>IF(ISNA(ET147),NA(),Capability!$L$10)</f>
        <v/>
      </c>
      <c r="EY147">
        <f>IF(OR(ISNA(EU147),ISNA(EU146)),NA(),ABS(EU147-EU146))</f>
        <v/>
      </c>
      <c r="EZ147">
        <f>IF(ISNA(ET147),NA(),Capability!$N$10)</f>
        <v/>
      </c>
      <c r="FA147">
        <f>IF(ISNA(ET147),NA(),IF(OR(Capability!$Q$10="",Settings!$F$7&lt;&gt;"Y"),NA(),Capability!$Q$10))</f>
        <v/>
      </c>
      <c r="FB147">
        <f>IF(ISNA(ET147),NA(),IF(OR(Capability!$P$10="",Settings!$F$7&lt;&gt;"Y"),NA(),Capability!$P$10))</f>
        <v/>
      </c>
      <c r="FH147">
        <f>IF((FK$1+143)&gt;FI$1,NA(),(FK$1+143)-4)</f>
        <v/>
      </c>
      <c r="FI147">
        <f>IF((FK$1+143)&gt;FI$1,NA(),INDEX('Data Entry'!$N$5:$N$10004,(FK$1+143)-4))</f>
        <v/>
      </c>
      <c r="FJ147">
        <f>IF(ISNA(FH147),NA(),Capability!$K$11)</f>
        <v/>
      </c>
      <c r="FK147">
        <f>IF(ISNA(FH147),NA(),Capability!$J$11)</f>
        <v/>
      </c>
      <c r="FL147">
        <f>IF(ISNA(FH147),NA(),Capability!$L$11)</f>
        <v/>
      </c>
      <c r="FM147">
        <f>IF(OR(ISNA(FI147),ISNA(FI146)),NA(),ABS(FI147-FI146))</f>
        <v/>
      </c>
      <c r="FN147">
        <f>IF(ISNA(FH147),NA(),Capability!$N$11)</f>
        <v/>
      </c>
      <c r="FO147">
        <f>IF(ISNA(FH147),NA(),IF(OR(Capability!$Q$11="",Settings!$F$7&lt;&gt;"Y"),NA(),Capability!$Q$11))</f>
        <v/>
      </c>
      <c r="FP147">
        <f>IF(ISNA(FH147),NA(),IF(OR(Capability!$P$11="",Settings!$F$7&lt;&gt;"Y"),NA(),Capability!$P$11))</f>
        <v/>
      </c>
      <c r="FV147">
        <f>IF((FY$1+143)&gt;FW$1,NA(),(FY$1+143)-4)</f>
        <v/>
      </c>
      <c r="FW147">
        <f>IF((FY$1+143)&gt;FW$1,NA(),INDEX('Data Entry'!$O$5:$O$10004,(FY$1+143)-4))</f>
        <v/>
      </c>
      <c r="FX147">
        <f>IF(ISNA(FV147),NA(),Capability!$K$12)</f>
        <v/>
      </c>
      <c r="FY147">
        <f>IF(ISNA(FV147),NA(),Capability!$J$12)</f>
        <v/>
      </c>
      <c r="FZ147">
        <f>IF(ISNA(FV147),NA(),Capability!$L$12)</f>
        <v/>
      </c>
      <c r="GA147">
        <f>IF(OR(ISNA(FW147),ISNA(FW146)),NA(),ABS(FW147-FW146))</f>
        <v/>
      </c>
      <c r="GB147">
        <f>IF(ISNA(FV147),NA(),Capability!$N$12)</f>
        <v/>
      </c>
      <c r="GC147">
        <f>IF(ISNA(FV147),NA(),IF(OR(Capability!$Q$12="",Settings!$F$7&lt;&gt;"Y"),NA(),Capability!$Q$12))</f>
        <v/>
      </c>
      <c r="GD147">
        <f>IF(ISNA(FV147),NA(),IF(OR(Capability!$P$12="",Settings!$F$7&lt;&gt;"Y"),NA(),Capability!$P$12))</f>
        <v/>
      </c>
      <c r="GJ147">
        <f>IF((GM$1+143)&gt;GK$1,NA(),(GM$1+143)-4)</f>
        <v/>
      </c>
      <c r="GK147">
        <f>IF((GM$1+143)&gt;GK$1,NA(),INDEX('Data Entry'!$P$5:$P$10004,(GM$1+143)-4))</f>
        <v/>
      </c>
      <c r="GL147">
        <f>IF(ISNA(GJ147),NA(),Capability!$K$13)</f>
        <v/>
      </c>
      <c r="GM147">
        <f>IF(ISNA(GJ147),NA(),Capability!$J$13)</f>
        <v/>
      </c>
      <c r="GN147">
        <f>IF(ISNA(GJ147),NA(),Capability!$L$13)</f>
        <v/>
      </c>
      <c r="GO147">
        <f>IF(OR(ISNA(GK147),ISNA(GK146)),NA(),ABS(GK147-GK146))</f>
        <v/>
      </c>
      <c r="GP147">
        <f>IF(ISNA(GJ147),NA(),Capability!$N$13)</f>
        <v/>
      </c>
      <c r="GQ147">
        <f>IF(ISNA(GJ147),NA(),IF(OR(Capability!$Q$13="",Settings!$F$7&lt;&gt;"Y"),NA(),Capability!$Q$13))</f>
        <v/>
      </c>
      <c r="GR147">
        <f>IF(ISNA(GJ147),NA(),IF(OR(Capability!$P$13="",Settings!$F$7&lt;&gt;"Y"),NA(),Capability!$P$13))</f>
        <v/>
      </c>
      <c r="GX147">
        <f>IF((HA$1+143)&gt;GY$1,NA(),(HA$1+143)-4)</f>
        <v/>
      </c>
      <c r="GY147">
        <f>IF((HA$1+143)&gt;GY$1,NA(),INDEX('Data Entry'!$Q$5:$Q$10004,(HA$1+143)-4))</f>
        <v/>
      </c>
      <c r="GZ147">
        <f>IF(ISNA(GX147),NA(),Capability!$K$14)</f>
        <v/>
      </c>
      <c r="HA147">
        <f>IF(ISNA(GX147),NA(),Capability!$J$14)</f>
        <v/>
      </c>
      <c r="HB147">
        <f>IF(ISNA(GX147),NA(),Capability!$L$14)</f>
        <v/>
      </c>
      <c r="HC147">
        <f>IF(OR(ISNA(GY147),ISNA(GY146)),NA(),ABS(GY147-GY146))</f>
        <v/>
      </c>
      <c r="HD147">
        <f>IF(ISNA(GX147),NA(),Capability!$N$14)</f>
        <v/>
      </c>
      <c r="HE147">
        <f>IF(ISNA(GX147),NA(),IF(OR(Capability!$Q$14="",Settings!$F$7&lt;&gt;"Y"),NA(),Capability!$Q$14))</f>
        <v/>
      </c>
      <c r="HF147">
        <f>IF(ISNA(GX147),NA(),IF(OR(Capability!$P$14="",Settings!$F$7&lt;&gt;"Y"),NA(),Capability!$P$14))</f>
        <v/>
      </c>
    </row>
    <row r="148">
      <c r="A148" s="35" t="inlineStr">
        <is>
          <t>Cpk</t>
        </is>
      </c>
      <c r="B148" s="38">
        <f>Capability!T8</f>
        <v/>
      </c>
      <c r="CB148">
        <f>IF((CE$1+144)&gt;CC$1,NA(),(CE$1+144)-4)</f>
        <v/>
      </c>
      <c r="CC148">
        <f>IF((CE$1+144)&gt;CC$1,NA(),INDEX('Data Entry'!$H$5:$H$10004,(CE$1+144)-4))</f>
        <v/>
      </c>
      <c r="CD148">
        <f>IF(ISNA(CB148),NA(),Capability!$K$5)</f>
        <v/>
      </c>
      <c r="CE148">
        <f>IF(ISNA(CB148),NA(),Capability!$J$5)</f>
        <v/>
      </c>
      <c r="CF148">
        <f>IF(ISNA(CB148),NA(),Capability!$L$5)</f>
        <v/>
      </c>
      <c r="CG148">
        <f>IF(OR(ISNA(CC148),ISNA(CC147)),NA(),ABS(CC148-CC147))</f>
        <v/>
      </c>
      <c r="CH148">
        <f>IF(ISNA(CB148),NA(),Capability!$N$5)</f>
        <v/>
      </c>
      <c r="CI148">
        <f>IF(ISNA(CB148),NA(),IF(OR(Capability!$Q$5="",Settings!$F$7&lt;&gt;"Y"),NA(),Capability!$Q$5))</f>
        <v/>
      </c>
      <c r="CJ148">
        <f>IF(ISNA(CB148),NA(),IF(OR(Capability!$P$5="",Settings!$F$7&lt;&gt;"Y"),NA(),Capability!$P$5))</f>
        <v/>
      </c>
      <c r="CP148">
        <f>IF((CS$1+144)&gt;CQ$1,NA(),(CS$1+144)-4)</f>
        <v/>
      </c>
      <c r="CQ148">
        <f>IF((CS$1+144)&gt;CQ$1,NA(),INDEX('Data Entry'!$I$5:$I$10004,(CS$1+144)-4))</f>
        <v/>
      </c>
      <c r="CR148">
        <f>IF(ISNA(CP148),NA(),Capability!$K$6)</f>
        <v/>
      </c>
      <c r="CS148">
        <f>IF(ISNA(CP148),NA(),Capability!$J$6)</f>
        <v/>
      </c>
      <c r="CT148">
        <f>IF(ISNA(CP148),NA(),Capability!$L$6)</f>
        <v/>
      </c>
      <c r="CU148">
        <f>IF(OR(ISNA(CQ148),ISNA(CQ147)),NA(),ABS(CQ148-CQ147))</f>
        <v/>
      </c>
      <c r="CV148">
        <f>IF(ISNA(CP148),NA(),Capability!$N$6)</f>
        <v/>
      </c>
      <c r="CW148">
        <f>IF(ISNA(CP148),NA(),IF(OR(Capability!$Q$6="",Settings!$F$7&lt;&gt;"Y"),NA(),Capability!$Q$6))</f>
        <v/>
      </c>
      <c r="CX148">
        <f>IF(ISNA(CP148),NA(),IF(OR(Capability!$P$6="",Settings!$F$7&lt;&gt;"Y"),NA(),Capability!$P$6))</f>
        <v/>
      </c>
      <c r="DD148">
        <f>IF((DG$1+144)&gt;DE$1,NA(),(DG$1+144)-4)</f>
        <v/>
      </c>
      <c r="DE148">
        <f>IF((DG$1+144)&gt;DE$1,NA(),INDEX('Data Entry'!$J$5:$J$10004,(DG$1+144)-4))</f>
        <v/>
      </c>
      <c r="DF148">
        <f>IF(ISNA(DD148),NA(),Capability!$K$7)</f>
        <v/>
      </c>
      <c r="DG148">
        <f>IF(ISNA(DD148),NA(),Capability!$J$7)</f>
        <v/>
      </c>
      <c r="DH148">
        <f>IF(ISNA(DD148),NA(),Capability!$L$7)</f>
        <v/>
      </c>
      <c r="DI148">
        <f>IF(OR(ISNA(DE148),ISNA(DE147)),NA(),ABS(DE148-DE147))</f>
        <v/>
      </c>
      <c r="DJ148">
        <f>IF(ISNA(DD148),NA(),Capability!$N$7)</f>
        <v/>
      </c>
      <c r="DK148">
        <f>IF(ISNA(DD148),NA(),IF(OR(Capability!$Q$7="",Settings!$F$7&lt;&gt;"Y"),NA(),Capability!$Q$7))</f>
        <v/>
      </c>
      <c r="DL148">
        <f>IF(ISNA(DD148),NA(),IF(OR(Capability!$P$7="",Settings!$F$7&lt;&gt;"Y"),NA(),Capability!$P$7))</f>
        <v/>
      </c>
      <c r="DR148">
        <f>IF((DU$1+144)&gt;DS$1,NA(),(DU$1+144)-4)</f>
        <v/>
      </c>
      <c r="DS148">
        <f>IF((DU$1+144)&gt;DS$1,NA(),INDEX('Data Entry'!$K$5:$K$10004,(DU$1+144)-4))</f>
        <v/>
      </c>
      <c r="DT148">
        <f>IF(ISNA(DR148),NA(),Capability!$K$8)</f>
        <v/>
      </c>
      <c r="DU148">
        <f>IF(ISNA(DR148),NA(),Capability!$J$8)</f>
        <v/>
      </c>
      <c r="DV148">
        <f>IF(ISNA(DR148),NA(),Capability!$L$8)</f>
        <v/>
      </c>
      <c r="DW148">
        <f>IF(OR(ISNA(DS148),ISNA(DS147)),NA(),ABS(DS148-DS147))</f>
        <v/>
      </c>
      <c r="DX148">
        <f>IF(ISNA(DR148),NA(),Capability!$N$8)</f>
        <v/>
      </c>
      <c r="DY148">
        <f>IF(ISNA(DR148),NA(),IF(OR(Capability!$Q$8="",Settings!$F$7&lt;&gt;"Y"),NA(),Capability!$Q$8))</f>
        <v/>
      </c>
      <c r="DZ148">
        <f>IF(ISNA(DR148),NA(),IF(OR(Capability!$P$8="",Settings!$F$7&lt;&gt;"Y"),NA(),Capability!$P$8))</f>
        <v/>
      </c>
      <c r="EF148">
        <f>IF((EI$1+144)&gt;EG$1,NA(),(EI$1+144)-4)</f>
        <v/>
      </c>
      <c r="EG148">
        <f>IF((EI$1+144)&gt;EG$1,NA(),INDEX('Data Entry'!$L$5:$L$10004,(EI$1+144)-4))</f>
        <v/>
      </c>
      <c r="EH148">
        <f>IF(ISNA(EF148),NA(),Capability!$K$9)</f>
        <v/>
      </c>
      <c r="EI148">
        <f>IF(ISNA(EF148),NA(),Capability!$J$9)</f>
        <v/>
      </c>
      <c r="EJ148">
        <f>IF(ISNA(EF148),NA(),Capability!$L$9)</f>
        <v/>
      </c>
      <c r="EK148">
        <f>IF(OR(ISNA(EG148),ISNA(EG147)),NA(),ABS(EG148-EG147))</f>
        <v/>
      </c>
      <c r="EL148">
        <f>IF(ISNA(EF148),NA(),Capability!$N$9)</f>
        <v/>
      </c>
      <c r="EM148">
        <f>IF(ISNA(EF148),NA(),IF(OR(Capability!$Q$9="",Settings!$F$7&lt;&gt;"Y"),NA(),Capability!$Q$9))</f>
        <v/>
      </c>
      <c r="EN148">
        <f>IF(ISNA(EF148),NA(),IF(OR(Capability!$P$9="",Settings!$F$7&lt;&gt;"Y"),NA(),Capability!$P$9))</f>
        <v/>
      </c>
      <c r="ET148">
        <f>IF((EW$1+144)&gt;EU$1,NA(),(EW$1+144)-4)</f>
        <v/>
      </c>
      <c r="EU148">
        <f>IF((EW$1+144)&gt;EU$1,NA(),INDEX('Data Entry'!$M$5:$M$10004,(EW$1+144)-4))</f>
        <v/>
      </c>
      <c r="EV148">
        <f>IF(ISNA(ET148),NA(),Capability!$K$10)</f>
        <v/>
      </c>
      <c r="EW148">
        <f>IF(ISNA(ET148),NA(),Capability!$J$10)</f>
        <v/>
      </c>
      <c r="EX148">
        <f>IF(ISNA(ET148),NA(),Capability!$L$10)</f>
        <v/>
      </c>
      <c r="EY148">
        <f>IF(OR(ISNA(EU148),ISNA(EU147)),NA(),ABS(EU148-EU147))</f>
        <v/>
      </c>
      <c r="EZ148">
        <f>IF(ISNA(ET148),NA(),Capability!$N$10)</f>
        <v/>
      </c>
      <c r="FA148">
        <f>IF(ISNA(ET148),NA(),IF(OR(Capability!$Q$10="",Settings!$F$7&lt;&gt;"Y"),NA(),Capability!$Q$10))</f>
        <v/>
      </c>
      <c r="FB148">
        <f>IF(ISNA(ET148),NA(),IF(OR(Capability!$P$10="",Settings!$F$7&lt;&gt;"Y"),NA(),Capability!$P$10))</f>
        <v/>
      </c>
      <c r="FH148">
        <f>IF((FK$1+144)&gt;FI$1,NA(),(FK$1+144)-4)</f>
        <v/>
      </c>
      <c r="FI148">
        <f>IF((FK$1+144)&gt;FI$1,NA(),INDEX('Data Entry'!$N$5:$N$10004,(FK$1+144)-4))</f>
        <v/>
      </c>
      <c r="FJ148">
        <f>IF(ISNA(FH148),NA(),Capability!$K$11)</f>
        <v/>
      </c>
      <c r="FK148">
        <f>IF(ISNA(FH148),NA(),Capability!$J$11)</f>
        <v/>
      </c>
      <c r="FL148">
        <f>IF(ISNA(FH148),NA(),Capability!$L$11)</f>
        <v/>
      </c>
      <c r="FM148">
        <f>IF(OR(ISNA(FI148),ISNA(FI147)),NA(),ABS(FI148-FI147))</f>
        <v/>
      </c>
      <c r="FN148">
        <f>IF(ISNA(FH148),NA(),Capability!$N$11)</f>
        <v/>
      </c>
      <c r="FO148">
        <f>IF(ISNA(FH148),NA(),IF(OR(Capability!$Q$11="",Settings!$F$7&lt;&gt;"Y"),NA(),Capability!$Q$11))</f>
        <v/>
      </c>
      <c r="FP148">
        <f>IF(ISNA(FH148),NA(),IF(OR(Capability!$P$11="",Settings!$F$7&lt;&gt;"Y"),NA(),Capability!$P$11))</f>
        <v/>
      </c>
      <c r="FV148">
        <f>IF((FY$1+144)&gt;FW$1,NA(),(FY$1+144)-4)</f>
        <v/>
      </c>
      <c r="FW148">
        <f>IF((FY$1+144)&gt;FW$1,NA(),INDEX('Data Entry'!$O$5:$O$10004,(FY$1+144)-4))</f>
        <v/>
      </c>
      <c r="FX148">
        <f>IF(ISNA(FV148),NA(),Capability!$K$12)</f>
        <v/>
      </c>
      <c r="FY148">
        <f>IF(ISNA(FV148),NA(),Capability!$J$12)</f>
        <v/>
      </c>
      <c r="FZ148">
        <f>IF(ISNA(FV148),NA(),Capability!$L$12)</f>
        <v/>
      </c>
      <c r="GA148">
        <f>IF(OR(ISNA(FW148),ISNA(FW147)),NA(),ABS(FW148-FW147))</f>
        <v/>
      </c>
      <c r="GB148">
        <f>IF(ISNA(FV148),NA(),Capability!$N$12)</f>
        <v/>
      </c>
      <c r="GC148">
        <f>IF(ISNA(FV148),NA(),IF(OR(Capability!$Q$12="",Settings!$F$7&lt;&gt;"Y"),NA(),Capability!$Q$12))</f>
        <v/>
      </c>
      <c r="GD148">
        <f>IF(ISNA(FV148),NA(),IF(OR(Capability!$P$12="",Settings!$F$7&lt;&gt;"Y"),NA(),Capability!$P$12))</f>
        <v/>
      </c>
      <c r="GJ148">
        <f>IF((GM$1+144)&gt;GK$1,NA(),(GM$1+144)-4)</f>
        <v/>
      </c>
      <c r="GK148">
        <f>IF((GM$1+144)&gt;GK$1,NA(),INDEX('Data Entry'!$P$5:$P$10004,(GM$1+144)-4))</f>
        <v/>
      </c>
      <c r="GL148">
        <f>IF(ISNA(GJ148),NA(),Capability!$K$13)</f>
        <v/>
      </c>
      <c r="GM148">
        <f>IF(ISNA(GJ148),NA(),Capability!$J$13)</f>
        <v/>
      </c>
      <c r="GN148">
        <f>IF(ISNA(GJ148),NA(),Capability!$L$13)</f>
        <v/>
      </c>
      <c r="GO148">
        <f>IF(OR(ISNA(GK148),ISNA(GK147)),NA(),ABS(GK148-GK147))</f>
        <v/>
      </c>
      <c r="GP148">
        <f>IF(ISNA(GJ148),NA(),Capability!$N$13)</f>
        <v/>
      </c>
      <c r="GQ148">
        <f>IF(ISNA(GJ148),NA(),IF(OR(Capability!$Q$13="",Settings!$F$7&lt;&gt;"Y"),NA(),Capability!$Q$13))</f>
        <v/>
      </c>
      <c r="GR148">
        <f>IF(ISNA(GJ148),NA(),IF(OR(Capability!$P$13="",Settings!$F$7&lt;&gt;"Y"),NA(),Capability!$P$13))</f>
        <v/>
      </c>
      <c r="GX148">
        <f>IF((HA$1+144)&gt;GY$1,NA(),(HA$1+144)-4)</f>
        <v/>
      </c>
      <c r="GY148">
        <f>IF((HA$1+144)&gt;GY$1,NA(),INDEX('Data Entry'!$Q$5:$Q$10004,(HA$1+144)-4))</f>
        <v/>
      </c>
      <c r="GZ148">
        <f>IF(ISNA(GX148),NA(),Capability!$K$14)</f>
        <v/>
      </c>
      <c r="HA148">
        <f>IF(ISNA(GX148),NA(),Capability!$J$14)</f>
        <v/>
      </c>
      <c r="HB148">
        <f>IF(ISNA(GX148),NA(),Capability!$L$14)</f>
        <v/>
      </c>
      <c r="HC148">
        <f>IF(OR(ISNA(GY148),ISNA(GY147)),NA(),ABS(GY148-GY147))</f>
        <v/>
      </c>
      <c r="HD148">
        <f>IF(ISNA(GX148),NA(),Capability!$N$14)</f>
        <v/>
      </c>
      <c r="HE148">
        <f>IF(ISNA(GX148),NA(),IF(OR(Capability!$Q$14="",Settings!$F$7&lt;&gt;"Y"),NA(),Capability!$Q$14))</f>
        <v/>
      </c>
      <c r="HF148">
        <f>IF(ISNA(GX148),NA(),IF(OR(Capability!$P$14="",Settings!$F$7&lt;&gt;"Y"),NA(),Capability!$P$14))</f>
        <v/>
      </c>
    </row>
    <row r="149">
      <c r="A149" s="35" t="inlineStr">
        <is>
          <t>Pp</t>
        </is>
      </c>
      <c r="B149" s="38">
        <f>Capability!U8</f>
        <v/>
      </c>
      <c r="CB149">
        <f>IF((CE$1+145)&gt;CC$1,NA(),(CE$1+145)-4)</f>
        <v/>
      </c>
      <c r="CC149">
        <f>IF((CE$1+145)&gt;CC$1,NA(),INDEX('Data Entry'!$H$5:$H$10004,(CE$1+145)-4))</f>
        <v/>
      </c>
      <c r="CD149">
        <f>IF(ISNA(CB149),NA(),Capability!$K$5)</f>
        <v/>
      </c>
      <c r="CE149">
        <f>IF(ISNA(CB149),NA(),Capability!$J$5)</f>
        <v/>
      </c>
      <c r="CF149">
        <f>IF(ISNA(CB149),NA(),Capability!$L$5)</f>
        <v/>
      </c>
      <c r="CG149">
        <f>IF(OR(ISNA(CC149),ISNA(CC148)),NA(),ABS(CC149-CC148))</f>
        <v/>
      </c>
      <c r="CH149">
        <f>IF(ISNA(CB149),NA(),Capability!$N$5)</f>
        <v/>
      </c>
      <c r="CI149">
        <f>IF(ISNA(CB149),NA(),IF(OR(Capability!$Q$5="",Settings!$F$7&lt;&gt;"Y"),NA(),Capability!$Q$5))</f>
        <v/>
      </c>
      <c r="CJ149">
        <f>IF(ISNA(CB149),NA(),IF(OR(Capability!$P$5="",Settings!$F$7&lt;&gt;"Y"),NA(),Capability!$P$5))</f>
        <v/>
      </c>
      <c r="CP149">
        <f>IF((CS$1+145)&gt;CQ$1,NA(),(CS$1+145)-4)</f>
        <v/>
      </c>
      <c r="CQ149">
        <f>IF((CS$1+145)&gt;CQ$1,NA(),INDEX('Data Entry'!$I$5:$I$10004,(CS$1+145)-4))</f>
        <v/>
      </c>
      <c r="CR149">
        <f>IF(ISNA(CP149),NA(),Capability!$K$6)</f>
        <v/>
      </c>
      <c r="CS149">
        <f>IF(ISNA(CP149),NA(),Capability!$J$6)</f>
        <v/>
      </c>
      <c r="CT149">
        <f>IF(ISNA(CP149),NA(),Capability!$L$6)</f>
        <v/>
      </c>
      <c r="CU149">
        <f>IF(OR(ISNA(CQ149),ISNA(CQ148)),NA(),ABS(CQ149-CQ148))</f>
        <v/>
      </c>
      <c r="CV149">
        <f>IF(ISNA(CP149),NA(),Capability!$N$6)</f>
        <v/>
      </c>
      <c r="CW149">
        <f>IF(ISNA(CP149),NA(),IF(OR(Capability!$Q$6="",Settings!$F$7&lt;&gt;"Y"),NA(),Capability!$Q$6))</f>
        <v/>
      </c>
      <c r="CX149">
        <f>IF(ISNA(CP149),NA(),IF(OR(Capability!$P$6="",Settings!$F$7&lt;&gt;"Y"),NA(),Capability!$P$6))</f>
        <v/>
      </c>
      <c r="DD149">
        <f>IF((DG$1+145)&gt;DE$1,NA(),(DG$1+145)-4)</f>
        <v/>
      </c>
      <c r="DE149">
        <f>IF((DG$1+145)&gt;DE$1,NA(),INDEX('Data Entry'!$J$5:$J$10004,(DG$1+145)-4))</f>
        <v/>
      </c>
      <c r="DF149">
        <f>IF(ISNA(DD149),NA(),Capability!$K$7)</f>
        <v/>
      </c>
      <c r="DG149">
        <f>IF(ISNA(DD149),NA(),Capability!$J$7)</f>
        <v/>
      </c>
      <c r="DH149">
        <f>IF(ISNA(DD149),NA(),Capability!$L$7)</f>
        <v/>
      </c>
      <c r="DI149">
        <f>IF(OR(ISNA(DE149),ISNA(DE148)),NA(),ABS(DE149-DE148))</f>
        <v/>
      </c>
      <c r="DJ149">
        <f>IF(ISNA(DD149),NA(),Capability!$N$7)</f>
        <v/>
      </c>
      <c r="DK149">
        <f>IF(ISNA(DD149),NA(),IF(OR(Capability!$Q$7="",Settings!$F$7&lt;&gt;"Y"),NA(),Capability!$Q$7))</f>
        <v/>
      </c>
      <c r="DL149">
        <f>IF(ISNA(DD149),NA(),IF(OR(Capability!$P$7="",Settings!$F$7&lt;&gt;"Y"),NA(),Capability!$P$7))</f>
        <v/>
      </c>
      <c r="DR149">
        <f>IF((DU$1+145)&gt;DS$1,NA(),(DU$1+145)-4)</f>
        <v/>
      </c>
      <c r="DS149">
        <f>IF((DU$1+145)&gt;DS$1,NA(),INDEX('Data Entry'!$K$5:$K$10004,(DU$1+145)-4))</f>
        <v/>
      </c>
      <c r="DT149">
        <f>IF(ISNA(DR149),NA(),Capability!$K$8)</f>
        <v/>
      </c>
      <c r="DU149">
        <f>IF(ISNA(DR149),NA(),Capability!$J$8)</f>
        <v/>
      </c>
      <c r="DV149">
        <f>IF(ISNA(DR149),NA(),Capability!$L$8)</f>
        <v/>
      </c>
      <c r="DW149">
        <f>IF(OR(ISNA(DS149),ISNA(DS148)),NA(),ABS(DS149-DS148))</f>
        <v/>
      </c>
      <c r="DX149">
        <f>IF(ISNA(DR149),NA(),Capability!$N$8)</f>
        <v/>
      </c>
      <c r="DY149">
        <f>IF(ISNA(DR149),NA(),IF(OR(Capability!$Q$8="",Settings!$F$7&lt;&gt;"Y"),NA(),Capability!$Q$8))</f>
        <v/>
      </c>
      <c r="DZ149">
        <f>IF(ISNA(DR149),NA(),IF(OR(Capability!$P$8="",Settings!$F$7&lt;&gt;"Y"),NA(),Capability!$P$8))</f>
        <v/>
      </c>
      <c r="EF149">
        <f>IF((EI$1+145)&gt;EG$1,NA(),(EI$1+145)-4)</f>
        <v/>
      </c>
      <c r="EG149">
        <f>IF((EI$1+145)&gt;EG$1,NA(),INDEX('Data Entry'!$L$5:$L$10004,(EI$1+145)-4))</f>
        <v/>
      </c>
      <c r="EH149">
        <f>IF(ISNA(EF149),NA(),Capability!$K$9)</f>
        <v/>
      </c>
      <c r="EI149">
        <f>IF(ISNA(EF149),NA(),Capability!$J$9)</f>
        <v/>
      </c>
      <c r="EJ149">
        <f>IF(ISNA(EF149),NA(),Capability!$L$9)</f>
        <v/>
      </c>
      <c r="EK149">
        <f>IF(OR(ISNA(EG149),ISNA(EG148)),NA(),ABS(EG149-EG148))</f>
        <v/>
      </c>
      <c r="EL149">
        <f>IF(ISNA(EF149),NA(),Capability!$N$9)</f>
        <v/>
      </c>
      <c r="EM149">
        <f>IF(ISNA(EF149),NA(),IF(OR(Capability!$Q$9="",Settings!$F$7&lt;&gt;"Y"),NA(),Capability!$Q$9))</f>
        <v/>
      </c>
      <c r="EN149">
        <f>IF(ISNA(EF149),NA(),IF(OR(Capability!$P$9="",Settings!$F$7&lt;&gt;"Y"),NA(),Capability!$P$9))</f>
        <v/>
      </c>
      <c r="ET149">
        <f>IF((EW$1+145)&gt;EU$1,NA(),(EW$1+145)-4)</f>
        <v/>
      </c>
      <c r="EU149">
        <f>IF((EW$1+145)&gt;EU$1,NA(),INDEX('Data Entry'!$M$5:$M$10004,(EW$1+145)-4))</f>
        <v/>
      </c>
      <c r="EV149">
        <f>IF(ISNA(ET149),NA(),Capability!$K$10)</f>
        <v/>
      </c>
      <c r="EW149">
        <f>IF(ISNA(ET149),NA(),Capability!$J$10)</f>
        <v/>
      </c>
      <c r="EX149">
        <f>IF(ISNA(ET149),NA(),Capability!$L$10)</f>
        <v/>
      </c>
      <c r="EY149">
        <f>IF(OR(ISNA(EU149),ISNA(EU148)),NA(),ABS(EU149-EU148))</f>
        <v/>
      </c>
      <c r="EZ149">
        <f>IF(ISNA(ET149),NA(),Capability!$N$10)</f>
        <v/>
      </c>
      <c r="FA149">
        <f>IF(ISNA(ET149),NA(),IF(OR(Capability!$Q$10="",Settings!$F$7&lt;&gt;"Y"),NA(),Capability!$Q$10))</f>
        <v/>
      </c>
      <c r="FB149">
        <f>IF(ISNA(ET149),NA(),IF(OR(Capability!$P$10="",Settings!$F$7&lt;&gt;"Y"),NA(),Capability!$P$10))</f>
        <v/>
      </c>
      <c r="FH149">
        <f>IF((FK$1+145)&gt;FI$1,NA(),(FK$1+145)-4)</f>
        <v/>
      </c>
      <c r="FI149">
        <f>IF((FK$1+145)&gt;FI$1,NA(),INDEX('Data Entry'!$N$5:$N$10004,(FK$1+145)-4))</f>
        <v/>
      </c>
      <c r="FJ149">
        <f>IF(ISNA(FH149),NA(),Capability!$K$11)</f>
        <v/>
      </c>
      <c r="FK149">
        <f>IF(ISNA(FH149),NA(),Capability!$J$11)</f>
        <v/>
      </c>
      <c r="FL149">
        <f>IF(ISNA(FH149),NA(),Capability!$L$11)</f>
        <v/>
      </c>
      <c r="FM149">
        <f>IF(OR(ISNA(FI149),ISNA(FI148)),NA(),ABS(FI149-FI148))</f>
        <v/>
      </c>
      <c r="FN149">
        <f>IF(ISNA(FH149),NA(),Capability!$N$11)</f>
        <v/>
      </c>
      <c r="FO149">
        <f>IF(ISNA(FH149),NA(),IF(OR(Capability!$Q$11="",Settings!$F$7&lt;&gt;"Y"),NA(),Capability!$Q$11))</f>
        <v/>
      </c>
      <c r="FP149">
        <f>IF(ISNA(FH149),NA(),IF(OR(Capability!$P$11="",Settings!$F$7&lt;&gt;"Y"),NA(),Capability!$P$11))</f>
        <v/>
      </c>
      <c r="FV149">
        <f>IF((FY$1+145)&gt;FW$1,NA(),(FY$1+145)-4)</f>
        <v/>
      </c>
      <c r="FW149">
        <f>IF((FY$1+145)&gt;FW$1,NA(),INDEX('Data Entry'!$O$5:$O$10004,(FY$1+145)-4))</f>
        <v/>
      </c>
      <c r="FX149">
        <f>IF(ISNA(FV149),NA(),Capability!$K$12)</f>
        <v/>
      </c>
      <c r="FY149">
        <f>IF(ISNA(FV149),NA(),Capability!$J$12)</f>
        <v/>
      </c>
      <c r="FZ149">
        <f>IF(ISNA(FV149),NA(),Capability!$L$12)</f>
        <v/>
      </c>
      <c r="GA149">
        <f>IF(OR(ISNA(FW149),ISNA(FW148)),NA(),ABS(FW149-FW148))</f>
        <v/>
      </c>
      <c r="GB149">
        <f>IF(ISNA(FV149),NA(),Capability!$N$12)</f>
        <v/>
      </c>
      <c r="GC149">
        <f>IF(ISNA(FV149),NA(),IF(OR(Capability!$Q$12="",Settings!$F$7&lt;&gt;"Y"),NA(),Capability!$Q$12))</f>
        <v/>
      </c>
      <c r="GD149">
        <f>IF(ISNA(FV149),NA(),IF(OR(Capability!$P$12="",Settings!$F$7&lt;&gt;"Y"),NA(),Capability!$P$12))</f>
        <v/>
      </c>
      <c r="GJ149">
        <f>IF((GM$1+145)&gt;GK$1,NA(),(GM$1+145)-4)</f>
        <v/>
      </c>
      <c r="GK149">
        <f>IF((GM$1+145)&gt;GK$1,NA(),INDEX('Data Entry'!$P$5:$P$10004,(GM$1+145)-4))</f>
        <v/>
      </c>
      <c r="GL149">
        <f>IF(ISNA(GJ149),NA(),Capability!$K$13)</f>
        <v/>
      </c>
      <c r="GM149">
        <f>IF(ISNA(GJ149),NA(),Capability!$J$13)</f>
        <v/>
      </c>
      <c r="GN149">
        <f>IF(ISNA(GJ149),NA(),Capability!$L$13)</f>
        <v/>
      </c>
      <c r="GO149">
        <f>IF(OR(ISNA(GK149),ISNA(GK148)),NA(),ABS(GK149-GK148))</f>
        <v/>
      </c>
      <c r="GP149">
        <f>IF(ISNA(GJ149),NA(),Capability!$N$13)</f>
        <v/>
      </c>
      <c r="GQ149">
        <f>IF(ISNA(GJ149),NA(),IF(OR(Capability!$Q$13="",Settings!$F$7&lt;&gt;"Y"),NA(),Capability!$Q$13))</f>
        <v/>
      </c>
      <c r="GR149">
        <f>IF(ISNA(GJ149),NA(),IF(OR(Capability!$P$13="",Settings!$F$7&lt;&gt;"Y"),NA(),Capability!$P$13))</f>
        <v/>
      </c>
      <c r="GX149">
        <f>IF((HA$1+145)&gt;GY$1,NA(),(HA$1+145)-4)</f>
        <v/>
      </c>
      <c r="GY149">
        <f>IF((HA$1+145)&gt;GY$1,NA(),INDEX('Data Entry'!$Q$5:$Q$10004,(HA$1+145)-4))</f>
        <v/>
      </c>
      <c r="GZ149">
        <f>IF(ISNA(GX149),NA(),Capability!$K$14)</f>
        <v/>
      </c>
      <c r="HA149">
        <f>IF(ISNA(GX149),NA(),Capability!$J$14)</f>
        <v/>
      </c>
      <c r="HB149">
        <f>IF(ISNA(GX149),NA(),Capability!$L$14)</f>
        <v/>
      </c>
      <c r="HC149">
        <f>IF(OR(ISNA(GY149),ISNA(GY148)),NA(),ABS(GY149-GY148))</f>
        <v/>
      </c>
      <c r="HD149">
        <f>IF(ISNA(GX149),NA(),Capability!$N$14)</f>
        <v/>
      </c>
      <c r="HE149">
        <f>IF(ISNA(GX149),NA(),IF(OR(Capability!$Q$14="",Settings!$F$7&lt;&gt;"Y"),NA(),Capability!$Q$14))</f>
        <v/>
      </c>
      <c r="HF149">
        <f>IF(ISNA(GX149),NA(),IF(OR(Capability!$P$14="",Settings!$F$7&lt;&gt;"Y"),NA(),Capability!$P$14))</f>
        <v/>
      </c>
    </row>
    <row r="150">
      <c r="A150" s="35" t="inlineStr">
        <is>
          <t>Ppk</t>
        </is>
      </c>
      <c r="B150" s="38">
        <f>Capability!V8</f>
        <v/>
      </c>
      <c r="CB150">
        <f>IF((CE$1+146)&gt;CC$1,NA(),(CE$1+146)-4)</f>
        <v/>
      </c>
      <c r="CC150">
        <f>IF((CE$1+146)&gt;CC$1,NA(),INDEX('Data Entry'!$H$5:$H$10004,(CE$1+146)-4))</f>
        <v/>
      </c>
      <c r="CD150">
        <f>IF(ISNA(CB150),NA(),Capability!$K$5)</f>
        <v/>
      </c>
      <c r="CE150">
        <f>IF(ISNA(CB150),NA(),Capability!$J$5)</f>
        <v/>
      </c>
      <c r="CF150">
        <f>IF(ISNA(CB150),NA(),Capability!$L$5)</f>
        <v/>
      </c>
      <c r="CG150">
        <f>IF(OR(ISNA(CC150),ISNA(CC149)),NA(),ABS(CC150-CC149))</f>
        <v/>
      </c>
      <c r="CH150">
        <f>IF(ISNA(CB150),NA(),Capability!$N$5)</f>
        <v/>
      </c>
      <c r="CI150">
        <f>IF(ISNA(CB150),NA(),IF(OR(Capability!$Q$5="",Settings!$F$7&lt;&gt;"Y"),NA(),Capability!$Q$5))</f>
        <v/>
      </c>
      <c r="CJ150">
        <f>IF(ISNA(CB150),NA(),IF(OR(Capability!$P$5="",Settings!$F$7&lt;&gt;"Y"),NA(),Capability!$P$5))</f>
        <v/>
      </c>
      <c r="CP150">
        <f>IF((CS$1+146)&gt;CQ$1,NA(),(CS$1+146)-4)</f>
        <v/>
      </c>
      <c r="CQ150">
        <f>IF((CS$1+146)&gt;CQ$1,NA(),INDEX('Data Entry'!$I$5:$I$10004,(CS$1+146)-4))</f>
        <v/>
      </c>
      <c r="CR150">
        <f>IF(ISNA(CP150),NA(),Capability!$K$6)</f>
        <v/>
      </c>
      <c r="CS150">
        <f>IF(ISNA(CP150),NA(),Capability!$J$6)</f>
        <v/>
      </c>
      <c r="CT150">
        <f>IF(ISNA(CP150),NA(),Capability!$L$6)</f>
        <v/>
      </c>
      <c r="CU150">
        <f>IF(OR(ISNA(CQ150),ISNA(CQ149)),NA(),ABS(CQ150-CQ149))</f>
        <v/>
      </c>
      <c r="CV150">
        <f>IF(ISNA(CP150),NA(),Capability!$N$6)</f>
        <v/>
      </c>
      <c r="CW150">
        <f>IF(ISNA(CP150),NA(),IF(OR(Capability!$Q$6="",Settings!$F$7&lt;&gt;"Y"),NA(),Capability!$Q$6))</f>
        <v/>
      </c>
      <c r="CX150">
        <f>IF(ISNA(CP150),NA(),IF(OR(Capability!$P$6="",Settings!$F$7&lt;&gt;"Y"),NA(),Capability!$P$6))</f>
        <v/>
      </c>
      <c r="DD150">
        <f>IF((DG$1+146)&gt;DE$1,NA(),(DG$1+146)-4)</f>
        <v/>
      </c>
      <c r="DE150">
        <f>IF((DG$1+146)&gt;DE$1,NA(),INDEX('Data Entry'!$J$5:$J$10004,(DG$1+146)-4))</f>
        <v/>
      </c>
      <c r="DF150">
        <f>IF(ISNA(DD150),NA(),Capability!$K$7)</f>
        <v/>
      </c>
      <c r="DG150">
        <f>IF(ISNA(DD150),NA(),Capability!$J$7)</f>
        <v/>
      </c>
      <c r="DH150">
        <f>IF(ISNA(DD150),NA(),Capability!$L$7)</f>
        <v/>
      </c>
      <c r="DI150">
        <f>IF(OR(ISNA(DE150),ISNA(DE149)),NA(),ABS(DE150-DE149))</f>
        <v/>
      </c>
      <c r="DJ150">
        <f>IF(ISNA(DD150),NA(),Capability!$N$7)</f>
        <v/>
      </c>
      <c r="DK150">
        <f>IF(ISNA(DD150),NA(),IF(OR(Capability!$Q$7="",Settings!$F$7&lt;&gt;"Y"),NA(),Capability!$Q$7))</f>
        <v/>
      </c>
      <c r="DL150">
        <f>IF(ISNA(DD150),NA(),IF(OR(Capability!$P$7="",Settings!$F$7&lt;&gt;"Y"),NA(),Capability!$P$7))</f>
        <v/>
      </c>
      <c r="DR150">
        <f>IF((DU$1+146)&gt;DS$1,NA(),(DU$1+146)-4)</f>
        <v/>
      </c>
      <c r="DS150">
        <f>IF((DU$1+146)&gt;DS$1,NA(),INDEX('Data Entry'!$K$5:$K$10004,(DU$1+146)-4))</f>
        <v/>
      </c>
      <c r="DT150">
        <f>IF(ISNA(DR150),NA(),Capability!$K$8)</f>
        <v/>
      </c>
      <c r="DU150">
        <f>IF(ISNA(DR150),NA(),Capability!$J$8)</f>
        <v/>
      </c>
      <c r="DV150">
        <f>IF(ISNA(DR150),NA(),Capability!$L$8)</f>
        <v/>
      </c>
      <c r="DW150">
        <f>IF(OR(ISNA(DS150),ISNA(DS149)),NA(),ABS(DS150-DS149))</f>
        <v/>
      </c>
      <c r="DX150">
        <f>IF(ISNA(DR150),NA(),Capability!$N$8)</f>
        <v/>
      </c>
      <c r="DY150">
        <f>IF(ISNA(DR150),NA(),IF(OR(Capability!$Q$8="",Settings!$F$7&lt;&gt;"Y"),NA(),Capability!$Q$8))</f>
        <v/>
      </c>
      <c r="DZ150">
        <f>IF(ISNA(DR150),NA(),IF(OR(Capability!$P$8="",Settings!$F$7&lt;&gt;"Y"),NA(),Capability!$P$8))</f>
        <v/>
      </c>
      <c r="EF150">
        <f>IF((EI$1+146)&gt;EG$1,NA(),(EI$1+146)-4)</f>
        <v/>
      </c>
      <c r="EG150">
        <f>IF((EI$1+146)&gt;EG$1,NA(),INDEX('Data Entry'!$L$5:$L$10004,(EI$1+146)-4))</f>
        <v/>
      </c>
      <c r="EH150">
        <f>IF(ISNA(EF150),NA(),Capability!$K$9)</f>
        <v/>
      </c>
      <c r="EI150">
        <f>IF(ISNA(EF150),NA(),Capability!$J$9)</f>
        <v/>
      </c>
      <c r="EJ150">
        <f>IF(ISNA(EF150),NA(),Capability!$L$9)</f>
        <v/>
      </c>
      <c r="EK150">
        <f>IF(OR(ISNA(EG150),ISNA(EG149)),NA(),ABS(EG150-EG149))</f>
        <v/>
      </c>
      <c r="EL150">
        <f>IF(ISNA(EF150),NA(),Capability!$N$9)</f>
        <v/>
      </c>
      <c r="EM150">
        <f>IF(ISNA(EF150),NA(),IF(OR(Capability!$Q$9="",Settings!$F$7&lt;&gt;"Y"),NA(),Capability!$Q$9))</f>
        <v/>
      </c>
      <c r="EN150">
        <f>IF(ISNA(EF150),NA(),IF(OR(Capability!$P$9="",Settings!$F$7&lt;&gt;"Y"),NA(),Capability!$P$9))</f>
        <v/>
      </c>
      <c r="ET150">
        <f>IF((EW$1+146)&gt;EU$1,NA(),(EW$1+146)-4)</f>
        <v/>
      </c>
      <c r="EU150">
        <f>IF((EW$1+146)&gt;EU$1,NA(),INDEX('Data Entry'!$M$5:$M$10004,(EW$1+146)-4))</f>
        <v/>
      </c>
      <c r="EV150">
        <f>IF(ISNA(ET150),NA(),Capability!$K$10)</f>
        <v/>
      </c>
      <c r="EW150">
        <f>IF(ISNA(ET150),NA(),Capability!$J$10)</f>
        <v/>
      </c>
      <c r="EX150">
        <f>IF(ISNA(ET150),NA(),Capability!$L$10)</f>
        <v/>
      </c>
      <c r="EY150">
        <f>IF(OR(ISNA(EU150),ISNA(EU149)),NA(),ABS(EU150-EU149))</f>
        <v/>
      </c>
      <c r="EZ150">
        <f>IF(ISNA(ET150),NA(),Capability!$N$10)</f>
        <v/>
      </c>
      <c r="FA150">
        <f>IF(ISNA(ET150),NA(),IF(OR(Capability!$Q$10="",Settings!$F$7&lt;&gt;"Y"),NA(),Capability!$Q$10))</f>
        <v/>
      </c>
      <c r="FB150">
        <f>IF(ISNA(ET150),NA(),IF(OR(Capability!$P$10="",Settings!$F$7&lt;&gt;"Y"),NA(),Capability!$P$10))</f>
        <v/>
      </c>
      <c r="FH150">
        <f>IF((FK$1+146)&gt;FI$1,NA(),(FK$1+146)-4)</f>
        <v/>
      </c>
      <c r="FI150">
        <f>IF((FK$1+146)&gt;FI$1,NA(),INDEX('Data Entry'!$N$5:$N$10004,(FK$1+146)-4))</f>
        <v/>
      </c>
      <c r="FJ150">
        <f>IF(ISNA(FH150),NA(),Capability!$K$11)</f>
        <v/>
      </c>
      <c r="FK150">
        <f>IF(ISNA(FH150),NA(),Capability!$J$11)</f>
        <v/>
      </c>
      <c r="FL150">
        <f>IF(ISNA(FH150),NA(),Capability!$L$11)</f>
        <v/>
      </c>
      <c r="FM150">
        <f>IF(OR(ISNA(FI150),ISNA(FI149)),NA(),ABS(FI150-FI149))</f>
        <v/>
      </c>
      <c r="FN150">
        <f>IF(ISNA(FH150),NA(),Capability!$N$11)</f>
        <v/>
      </c>
      <c r="FO150">
        <f>IF(ISNA(FH150),NA(),IF(OR(Capability!$Q$11="",Settings!$F$7&lt;&gt;"Y"),NA(),Capability!$Q$11))</f>
        <v/>
      </c>
      <c r="FP150">
        <f>IF(ISNA(FH150),NA(),IF(OR(Capability!$P$11="",Settings!$F$7&lt;&gt;"Y"),NA(),Capability!$P$11))</f>
        <v/>
      </c>
      <c r="FV150">
        <f>IF((FY$1+146)&gt;FW$1,NA(),(FY$1+146)-4)</f>
        <v/>
      </c>
      <c r="FW150">
        <f>IF((FY$1+146)&gt;FW$1,NA(),INDEX('Data Entry'!$O$5:$O$10004,(FY$1+146)-4))</f>
        <v/>
      </c>
      <c r="FX150">
        <f>IF(ISNA(FV150),NA(),Capability!$K$12)</f>
        <v/>
      </c>
      <c r="FY150">
        <f>IF(ISNA(FV150),NA(),Capability!$J$12)</f>
        <v/>
      </c>
      <c r="FZ150">
        <f>IF(ISNA(FV150),NA(),Capability!$L$12)</f>
        <v/>
      </c>
      <c r="GA150">
        <f>IF(OR(ISNA(FW150),ISNA(FW149)),NA(),ABS(FW150-FW149))</f>
        <v/>
      </c>
      <c r="GB150">
        <f>IF(ISNA(FV150),NA(),Capability!$N$12)</f>
        <v/>
      </c>
      <c r="GC150">
        <f>IF(ISNA(FV150),NA(),IF(OR(Capability!$Q$12="",Settings!$F$7&lt;&gt;"Y"),NA(),Capability!$Q$12))</f>
        <v/>
      </c>
      <c r="GD150">
        <f>IF(ISNA(FV150),NA(),IF(OR(Capability!$P$12="",Settings!$F$7&lt;&gt;"Y"),NA(),Capability!$P$12))</f>
        <v/>
      </c>
      <c r="GJ150">
        <f>IF((GM$1+146)&gt;GK$1,NA(),(GM$1+146)-4)</f>
        <v/>
      </c>
      <c r="GK150">
        <f>IF((GM$1+146)&gt;GK$1,NA(),INDEX('Data Entry'!$P$5:$P$10004,(GM$1+146)-4))</f>
        <v/>
      </c>
      <c r="GL150">
        <f>IF(ISNA(GJ150),NA(),Capability!$K$13)</f>
        <v/>
      </c>
      <c r="GM150">
        <f>IF(ISNA(GJ150),NA(),Capability!$J$13)</f>
        <v/>
      </c>
      <c r="GN150">
        <f>IF(ISNA(GJ150),NA(),Capability!$L$13)</f>
        <v/>
      </c>
      <c r="GO150">
        <f>IF(OR(ISNA(GK150),ISNA(GK149)),NA(),ABS(GK150-GK149))</f>
        <v/>
      </c>
      <c r="GP150">
        <f>IF(ISNA(GJ150),NA(),Capability!$N$13)</f>
        <v/>
      </c>
      <c r="GQ150">
        <f>IF(ISNA(GJ150),NA(),IF(OR(Capability!$Q$13="",Settings!$F$7&lt;&gt;"Y"),NA(),Capability!$Q$13))</f>
        <v/>
      </c>
      <c r="GR150">
        <f>IF(ISNA(GJ150),NA(),IF(OR(Capability!$P$13="",Settings!$F$7&lt;&gt;"Y"),NA(),Capability!$P$13))</f>
        <v/>
      </c>
      <c r="GX150">
        <f>IF((HA$1+146)&gt;GY$1,NA(),(HA$1+146)-4)</f>
        <v/>
      </c>
      <c r="GY150">
        <f>IF((HA$1+146)&gt;GY$1,NA(),INDEX('Data Entry'!$Q$5:$Q$10004,(HA$1+146)-4))</f>
        <v/>
      </c>
      <c r="GZ150">
        <f>IF(ISNA(GX150),NA(),Capability!$K$14)</f>
        <v/>
      </c>
      <c r="HA150">
        <f>IF(ISNA(GX150),NA(),Capability!$J$14)</f>
        <v/>
      </c>
      <c r="HB150">
        <f>IF(ISNA(GX150),NA(),Capability!$L$14)</f>
        <v/>
      </c>
      <c r="HC150">
        <f>IF(OR(ISNA(GY150),ISNA(GY149)),NA(),ABS(GY150-GY149))</f>
        <v/>
      </c>
      <c r="HD150">
        <f>IF(ISNA(GX150),NA(),Capability!$N$14)</f>
        <v/>
      </c>
      <c r="HE150">
        <f>IF(ISNA(GX150),NA(),IF(OR(Capability!$Q$14="",Settings!$F$7&lt;&gt;"Y"),NA(),Capability!$Q$14))</f>
        <v/>
      </c>
      <c r="HF150">
        <f>IF(ISNA(GX150),NA(),IF(OR(Capability!$P$14="",Settings!$F$7&lt;&gt;"Y"),NA(),Capability!$P$14))</f>
        <v/>
      </c>
    </row>
    <row r="151">
      <c r="A151" s="35" t="inlineStr">
        <is>
          <t>In control?</t>
        </is>
      </c>
      <c r="B151" s="36">
        <f>Capability!W8</f>
        <v/>
      </c>
      <c r="CB151">
        <f>IF((CE$1+147)&gt;CC$1,NA(),(CE$1+147)-4)</f>
        <v/>
      </c>
      <c r="CC151">
        <f>IF((CE$1+147)&gt;CC$1,NA(),INDEX('Data Entry'!$H$5:$H$10004,(CE$1+147)-4))</f>
        <v/>
      </c>
      <c r="CD151">
        <f>IF(ISNA(CB151),NA(),Capability!$K$5)</f>
        <v/>
      </c>
      <c r="CE151">
        <f>IF(ISNA(CB151),NA(),Capability!$J$5)</f>
        <v/>
      </c>
      <c r="CF151">
        <f>IF(ISNA(CB151),NA(),Capability!$L$5)</f>
        <v/>
      </c>
      <c r="CG151">
        <f>IF(OR(ISNA(CC151),ISNA(CC150)),NA(),ABS(CC151-CC150))</f>
        <v/>
      </c>
      <c r="CH151">
        <f>IF(ISNA(CB151),NA(),Capability!$N$5)</f>
        <v/>
      </c>
      <c r="CI151">
        <f>IF(ISNA(CB151),NA(),IF(OR(Capability!$Q$5="",Settings!$F$7&lt;&gt;"Y"),NA(),Capability!$Q$5))</f>
        <v/>
      </c>
      <c r="CJ151">
        <f>IF(ISNA(CB151),NA(),IF(OR(Capability!$P$5="",Settings!$F$7&lt;&gt;"Y"),NA(),Capability!$P$5))</f>
        <v/>
      </c>
      <c r="CP151">
        <f>IF((CS$1+147)&gt;CQ$1,NA(),(CS$1+147)-4)</f>
        <v/>
      </c>
      <c r="CQ151">
        <f>IF((CS$1+147)&gt;CQ$1,NA(),INDEX('Data Entry'!$I$5:$I$10004,(CS$1+147)-4))</f>
        <v/>
      </c>
      <c r="CR151">
        <f>IF(ISNA(CP151),NA(),Capability!$K$6)</f>
        <v/>
      </c>
      <c r="CS151">
        <f>IF(ISNA(CP151),NA(),Capability!$J$6)</f>
        <v/>
      </c>
      <c r="CT151">
        <f>IF(ISNA(CP151),NA(),Capability!$L$6)</f>
        <v/>
      </c>
      <c r="CU151">
        <f>IF(OR(ISNA(CQ151),ISNA(CQ150)),NA(),ABS(CQ151-CQ150))</f>
        <v/>
      </c>
      <c r="CV151">
        <f>IF(ISNA(CP151),NA(),Capability!$N$6)</f>
        <v/>
      </c>
      <c r="CW151">
        <f>IF(ISNA(CP151),NA(),IF(OR(Capability!$Q$6="",Settings!$F$7&lt;&gt;"Y"),NA(),Capability!$Q$6))</f>
        <v/>
      </c>
      <c r="CX151">
        <f>IF(ISNA(CP151),NA(),IF(OR(Capability!$P$6="",Settings!$F$7&lt;&gt;"Y"),NA(),Capability!$P$6))</f>
        <v/>
      </c>
      <c r="DD151">
        <f>IF((DG$1+147)&gt;DE$1,NA(),(DG$1+147)-4)</f>
        <v/>
      </c>
      <c r="DE151">
        <f>IF((DG$1+147)&gt;DE$1,NA(),INDEX('Data Entry'!$J$5:$J$10004,(DG$1+147)-4))</f>
        <v/>
      </c>
      <c r="DF151">
        <f>IF(ISNA(DD151),NA(),Capability!$K$7)</f>
        <v/>
      </c>
      <c r="DG151">
        <f>IF(ISNA(DD151),NA(),Capability!$J$7)</f>
        <v/>
      </c>
      <c r="DH151">
        <f>IF(ISNA(DD151),NA(),Capability!$L$7)</f>
        <v/>
      </c>
      <c r="DI151">
        <f>IF(OR(ISNA(DE151),ISNA(DE150)),NA(),ABS(DE151-DE150))</f>
        <v/>
      </c>
      <c r="DJ151">
        <f>IF(ISNA(DD151),NA(),Capability!$N$7)</f>
        <v/>
      </c>
      <c r="DK151">
        <f>IF(ISNA(DD151),NA(),IF(OR(Capability!$Q$7="",Settings!$F$7&lt;&gt;"Y"),NA(),Capability!$Q$7))</f>
        <v/>
      </c>
      <c r="DL151">
        <f>IF(ISNA(DD151),NA(),IF(OR(Capability!$P$7="",Settings!$F$7&lt;&gt;"Y"),NA(),Capability!$P$7))</f>
        <v/>
      </c>
      <c r="DR151">
        <f>IF((DU$1+147)&gt;DS$1,NA(),(DU$1+147)-4)</f>
        <v/>
      </c>
      <c r="DS151">
        <f>IF((DU$1+147)&gt;DS$1,NA(),INDEX('Data Entry'!$K$5:$K$10004,(DU$1+147)-4))</f>
        <v/>
      </c>
      <c r="DT151">
        <f>IF(ISNA(DR151),NA(),Capability!$K$8)</f>
        <v/>
      </c>
      <c r="DU151">
        <f>IF(ISNA(DR151),NA(),Capability!$J$8)</f>
        <v/>
      </c>
      <c r="DV151">
        <f>IF(ISNA(DR151),NA(),Capability!$L$8)</f>
        <v/>
      </c>
      <c r="DW151">
        <f>IF(OR(ISNA(DS151),ISNA(DS150)),NA(),ABS(DS151-DS150))</f>
        <v/>
      </c>
      <c r="DX151">
        <f>IF(ISNA(DR151),NA(),Capability!$N$8)</f>
        <v/>
      </c>
      <c r="DY151">
        <f>IF(ISNA(DR151),NA(),IF(OR(Capability!$Q$8="",Settings!$F$7&lt;&gt;"Y"),NA(),Capability!$Q$8))</f>
        <v/>
      </c>
      <c r="DZ151">
        <f>IF(ISNA(DR151),NA(),IF(OR(Capability!$P$8="",Settings!$F$7&lt;&gt;"Y"),NA(),Capability!$P$8))</f>
        <v/>
      </c>
      <c r="EF151">
        <f>IF((EI$1+147)&gt;EG$1,NA(),(EI$1+147)-4)</f>
        <v/>
      </c>
      <c r="EG151">
        <f>IF((EI$1+147)&gt;EG$1,NA(),INDEX('Data Entry'!$L$5:$L$10004,(EI$1+147)-4))</f>
        <v/>
      </c>
      <c r="EH151">
        <f>IF(ISNA(EF151),NA(),Capability!$K$9)</f>
        <v/>
      </c>
      <c r="EI151">
        <f>IF(ISNA(EF151),NA(),Capability!$J$9)</f>
        <v/>
      </c>
      <c r="EJ151">
        <f>IF(ISNA(EF151),NA(),Capability!$L$9)</f>
        <v/>
      </c>
      <c r="EK151">
        <f>IF(OR(ISNA(EG151),ISNA(EG150)),NA(),ABS(EG151-EG150))</f>
        <v/>
      </c>
      <c r="EL151">
        <f>IF(ISNA(EF151),NA(),Capability!$N$9)</f>
        <v/>
      </c>
      <c r="EM151">
        <f>IF(ISNA(EF151),NA(),IF(OR(Capability!$Q$9="",Settings!$F$7&lt;&gt;"Y"),NA(),Capability!$Q$9))</f>
        <v/>
      </c>
      <c r="EN151">
        <f>IF(ISNA(EF151),NA(),IF(OR(Capability!$P$9="",Settings!$F$7&lt;&gt;"Y"),NA(),Capability!$P$9))</f>
        <v/>
      </c>
      <c r="ET151">
        <f>IF((EW$1+147)&gt;EU$1,NA(),(EW$1+147)-4)</f>
        <v/>
      </c>
      <c r="EU151">
        <f>IF((EW$1+147)&gt;EU$1,NA(),INDEX('Data Entry'!$M$5:$M$10004,(EW$1+147)-4))</f>
        <v/>
      </c>
      <c r="EV151">
        <f>IF(ISNA(ET151),NA(),Capability!$K$10)</f>
        <v/>
      </c>
      <c r="EW151">
        <f>IF(ISNA(ET151),NA(),Capability!$J$10)</f>
        <v/>
      </c>
      <c r="EX151">
        <f>IF(ISNA(ET151),NA(),Capability!$L$10)</f>
        <v/>
      </c>
      <c r="EY151">
        <f>IF(OR(ISNA(EU151),ISNA(EU150)),NA(),ABS(EU151-EU150))</f>
        <v/>
      </c>
      <c r="EZ151">
        <f>IF(ISNA(ET151),NA(),Capability!$N$10)</f>
        <v/>
      </c>
      <c r="FA151">
        <f>IF(ISNA(ET151),NA(),IF(OR(Capability!$Q$10="",Settings!$F$7&lt;&gt;"Y"),NA(),Capability!$Q$10))</f>
        <v/>
      </c>
      <c r="FB151">
        <f>IF(ISNA(ET151),NA(),IF(OR(Capability!$P$10="",Settings!$F$7&lt;&gt;"Y"),NA(),Capability!$P$10))</f>
        <v/>
      </c>
      <c r="FH151">
        <f>IF((FK$1+147)&gt;FI$1,NA(),(FK$1+147)-4)</f>
        <v/>
      </c>
      <c r="FI151">
        <f>IF((FK$1+147)&gt;FI$1,NA(),INDEX('Data Entry'!$N$5:$N$10004,(FK$1+147)-4))</f>
        <v/>
      </c>
      <c r="FJ151">
        <f>IF(ISNA(FH151),NA(),Capability!$K$11)</f>
        <v/>
      </c>
      <c r="FK151">
        <f>IF(ISNA(FH151),NA(),Capability!$J$11)</f>
        <v/>
      </c>
      <c r="FL151">
        <f>IF(ISNA(FH151),NA(),Capability!$L$11)</f>
        <v/>
      </c>
      <c r="FM151">
        <f>IF(OR(ISNA(FI151),ISNA(FI150)),NA(),ABS(FI151-FI150))</f>
        <v/>
      </c>
      <c r="FN151">
        <f>IF(ISNA(FH151),NA(),Capability!$N$11)</f>
        <v/>
      </c>
      <c r="FO151">
        <f>IF(ISNA(FH151),NA(),IF(OR(Capability!$Q$11="",Settings!$F$7&lt;&gt;"Y"),NA(),Capability!$Q$11))</f>
        <v/>
      </c>
      <c r="FP151">
        <f>IF(ISNA(FH151),NA(),IF(OR(Capability!$P$11="",Settings!$F$7&lt;&gt;"Y"),NA(),Capability!$P$11))</f>
        <v/>
      </c>
      <c r="FV151">
        <f>IF((FY$1+147)&gt;FW$1,NA(),(FY$1+147)-4)</f>
        <v/>
      </c>
      <c r="FW151">
        <f>IF((FY$1+147)&gt;FW$1,NA(),INDEX('Data Entry'!$O$5:$O$10004,(FY$1+147)-4))</f>
        <v/>
      </c>
      <c r="FX151">
        <f>IF(ISNA(FV151),NA(),Capability!$K$12)</f>
        <v/>
      </c>
      <c r="FY151">
        <f>IF(ISNA(FV151),NA(),Capability!$J$12)</f>
        <v/>
      </c>
      <c r="FZ151">
        <f>IF(ISNA(FV151),NA(),Capability!$L$12)</f>
        <v/>
      </c>
      <c r="GA151">
        <f>IF(OR(ISNA(FW151),ISNA(FW150)),NA(),ABS(FW151-FW150))</f>
        <v/>
      </c>
      <c r="GB151">
        <f>IF(ISNA(FV151),NA(),Capability!$N$12)</f>
        <v/>
      </c>
      <c r="GC151">
        <f>IF(ISNA(FV151),NA(),IF(OR(Capability!$Q$12="",Settings!$F$7&lt;&gt;"Y"),NA(),Capability!$Q$12))</f>
        <v/>
      </c>
      <c r="GD151">
        <f>IF(ISNA(FV151),NA(),IF(OR(Capability!$P$12="",Settings!$F$7&lt;&gt;"Y"),NA(),Capability!$P$12))</f>
        <v/>
      </c>
      <c r="GJ151">
        <f>IF((GM$1+147)&gt;GK$1,NA(),(GM$1+147)-4)</f>
        <v/>
      </c>
      <c r="GK151">
        <f>IF((GM$1+147)&gt;GK$1,NA(),INDEX('Data Entry'!$P$5:$P$10004,(GM$1+147)-4))</f>
        <v/>
      </c>
      <c r="GL151">
        <f>IF(ISNA(GJ151),NA(),Capability!$K$13)</f>
        <v/>
      </c>
      <c r="GM151">
        <f>IF(ISNA(GJ151),NA(),Capability!$J$13)</f>
        <v/>
      </c>
      <c r="GN151">
        <f>IF(ISNA(GJ151),NA(),Capability!$L$13)</f>
        <v/>
      </c>
      <c r="GO151">
        <f>IF(OR(ISNA(GK151),ISNA(GK150)),NA(),ABS(GK151-GK150))</f>
        <v/>
      </c>
      <c r="GP151">
        <f>IF(ISNA(GJ151),NA(),Capability!$N$13)</f>
        <v/>
      </c>
      <c r="GQ151">
        <f>IF(ISNA(GJ151),NA(),IF(OR(Capability!$Q$13="",Settings!$F$7&lt;&gt;"Y"),NA(),Capability!$Q$13))</f>
        <v/>
      </c>
      <c r="GR151">
        <f>IF(ISNA(GJ151),NA(),IF(OR(Capability!$P$13="",Settings!$F$7&lt;&gt;"Y"),NA(),Capability!$P$13))</f>
        <v/>
      </c>
      <c r="GX151">
        <f>IF((HA$1+147)&gt;GY$1,NA(),(HA$1+147)-4)</f>
        <v/>
      </c>
      <c r="GY151">
        <f>IF((HA$1+147)&gt;GY$1,NA(),INDEX('Data Entry'!$Q$5:$Q$10004,(HA$1+147)-4))</f>
        <v/>
      </c>
      <c r="GZ151">
        <f>IF(ISNA(GX151),NA(),Capability!$K$14)</f>
        <v/>
      </c>
      <c r="HA151">
        <f>IF(ISNA(GX151),NA(),Capability!$J$14)</f>
        <v/>
      </c>
      <c r="HB151">
        <f>IF(ISNA(GX151),NA(),Capability!$L$14)</f>
        <v/>
      </c>
      <c r="HC151">
        <f>IF(OR(ISNA(GY151),ISNA(GY150)),NA(),ABS(GY151-GY150))</f>
        <v/>
      </c>
      <c r="HD151">
        <f>IF(ISNA(GX151),NA(),Capability!$N$14)</f>
        <v/>
      </c>
      <c r="HE151">
        <f>IF(ISNA(GX151),NA(),IF(OR(Capability!$Q$14="",Settings!$F$7&lt;&gt;"Y"),NA(),Capability!$Q$14))</f>
        <v/>
      </c>
      <c r="HF151">
        <f>IF(ISNA(GX151),NA(),IF(OR(Capability!$P$14="",Settings!$F$7&lt;&gt;"Y"),NA(),Capability!$P$14))</f>
        <v/>
      </c>
    </row>
    <row r="152">
      <c r="A152" s="35" t="inlineStr">
        <is>
          <t>In spec?</t>
        </is>
      </c>
      <c r="B152" s="36">
        <f>Capability!X8</f>
        <v/>
      </c>
      <c r="CB152">
        <f>IF((CE$1+148)&gt;CC$1,NA(),(CE$1+148)-4)</f>
        <v/>
      </c>
      <c r="CC152">
        <f>IF((CE$1+148)&gt;CC$1,NA(),INDEX('Data Entry'!$H$5:$H$10004,(CE$1+148)-4))</f>
        <v/>
      </c>
      <c r="CD152">
        <f>IF(ISNA(CB152),NA(),Capability!$K$5)</f>
        <v/>
      </c>
      <c r="CE152">
        <f>IF(ISNA(CB152),NA(),Capability!$J$5)</f>
        <v/>
      </c>
      <c r="CF152">
        <f>IF(ISNA(CB152),NA(),Capability!$L$5)</f>
        <v/>
      </c>
      <c r="CG152">
        <f>IF(OR(ISNA(CC152),ISNA(CC151)),NA(),ABS(CC152-CC151))</f>
        <v/>
      </c>
      <c r="CH152">
        <f>IF(ISNA(CB152),NA(),Capability!$N$5)</f>
        <v/>
      </c>
      <c r="CI152">
        <f>IF(ISNA(CB152),NA(),IF(OR(Capability!$Q$5="",Settings!$F$7&lt;&gt;"Y"),NA(),Capability!$Q$5))</f>
        <v/>
      </c>
      <c r="CJ152">
        <f>IF(ISNA(CB152),NA(),IF(OR(Capability!$P$5="",Settings!$F$7&lt;&gt;"Y"),NA(),Capability!$P$5))</f>
        <v/>
      </c>
      <c r="CP152">
        <f>IF((CS$1+148)&gt;CQ$1,NA(),(CS$1+148)-4)</f>
        <v/>
      </c>
      <c r="CQ152">
        <f>IF((CS$1+148)&gt;CQ$1,NA(),INDEX('Data Entry'!$I$5:$I$10004,(CS$1+148)-4))</f>
        <v/>
      </c>
      <c r="CR152">
        <f>IF(ISNA(CP152),NA(),Capability!$K$6)</f>
        <v/>
      </c>
      <c r="CS152">
        <f>IF(ISNA(CP152),NA(),Capability!$J$6)</f>
        <v/>
      </c>
      <c r="CT152">
        <f>IF(ISNA(CP152),NA(),Capability!$L$6)</f>
        <v/>
      </c>
      <c r="CU152">
        <f>IF(OR(ISNA(CQ152),ISNA(CQ151)),NA(),ABS(CQ152-CQ151))</f>
        <v/>
      </c>
      <c r="CV152">
        <f>IF(ISNA(CP152),NA(),Capability!$N$6)</f>
        <v/>
      </c>
      <c r="CW152">
        <f>IF(ISNA(CP152),NA(),IF(OR(Capability!$Q$6="",Settings!$F$7&lt;&gt;"Y"),NA(),Capability!$Q$6))</f>
        <v/>
      </c>
      <c r="CX152">
        <f>IF(ISNA(CP152),NA(),IF(OR(Capability!$P$6="",Settings!$F$7&lt;&gt;"Y"),NA(),Capability!$P$6))</f>
        <v/>
      </c>
      <c r="DD152">
        <f>IF((DG$1+148)&gt;DE$1,NA(),(DG$1+148)-4)</f>
        <v/>
      </c>
      <c r="DE152">
        <f>IF((DG$1+148)&gt;DE$1,NA(),INDEX('Data Entry'!$J$5:$J$10004,(DG$1+148)-4))</f>
        <v/>
      </c>
      <c r="DF152">
        <f>IF(ISNA(DD152),NA(),Capability!$K$7)</f>
        <v/>
      </c>
      <c r="DG152">
        <f>IF(ISNA(DD152),NA(),Capability!$J$7)</f>
        <v/>
      </c>
      <c r="DH152">
        <f>IF(ISNA(DD152),NA(),Capability!$L$7)</f>
        <v/>
      </c>
      <c r="DI152">
        <f>IF(OR(ISNA(DE152),ISNA(DE151)),NA(),ABS(DE152-DE151))</f>
        <v/>
      </c>
      <c r="DJ152">
        <f>IF(ISNA(DD152),NA(),Capability!$N$7)</f>
        <v/>
      </c>
      <c r="DK152">
        <f>IF(ISNA(DD152),NA(),IF(OR(Capability!$Q$7="",Settings!$F$7&lt;&gt;"Y"),NA(),Capability!$Q$7))</f>
        <v/>
      </c>
      <c r="DL152">
        <f>IF(ISNA(DD152),NA(),IF(OR(Capability!$P$7="",Settings!$F$7&lt;&gt;"Y"),NA(),Capability!$P$7))</f>
        <v/>
      </c>
      <c r="DR152">
        <f>IF((DU$1+148)&gt;DS$1,NA(),(DU$1+148)-4)</f>
        <v/>
      </c>
      <c r="DS152">
        <f>IF((DU$1+148)&gt;DS$1,NA(),INDEX('Data Entry'!$K$5:$K$10004,(DU$1+148)-4))</f>
        <v/>
      </c>
      <c r="DT152">
        <f>IF(ISNA(DR152),NA(),Capability!$K$8)</f>
        <v/>
      </c>
      <c r="DU152">
        <f>IF(ISNA(DR152),NA(),Capability!$J$8)</f>
        <v/>
      </c>
      <c r="DV152">
        <f>IF(ISNA(DR152),NA(),Capability!$L$8)</f>
        <v/>
      </c>
      <c r="DW152">
        <f>IF(OR(ISNA(DS152),ISNA(DS151)),NA(),ABS(DS152-DS151))</f>
        <v/>
      </c>
      <c r="DX152">
        <f>IF(ISNA(DR152),NA(),Capability!$N$8)</f>
        <v/>
      </c>
      <c r="DY152">
        <f>IF(ISNA(DR152),NA(),IF(OR(Capability!$Q$8="",Settings!$F$7&lt;&gt;"Y"),NA(),Capability!$Q$8))</f>
        <v/>
      </c>
      <c r="DZ152">
        <f>IF(ISNA(DR152),NA(),IF(OR(Capability!$P$8="",Settings!$F$7&lt;&gt;"Y"),NA(),Capability!$P$8))</f>
        <v/>
      </c>
      <c r="EF152">
        <f>IF((EI$1+148)&gt;EG$1,NA(),(EI$1+148)-4)</f>
        <v/>
      </c>
      <c r="EG152">
        <f>IF((EI$1+148)&gt;EG$1,NA(),INDEX('Data Entry'!$L$5:$L$10004,(EI$1+148)-4))</f>
        <v/>
      </c>
      <c r="EH152">
        <f>IF(ISNA(EF152),NA(),Capability!$K$9)</f>
        <v/>
      </c>
      <c r="EI152">
        <f>IF(ISNA(EF152),NA(),Capability!$J$9)</f>
        <v/>
      </c>
      <c r="EJ152">
        <f>IF(ISNA(EF152),NA(),Capability!$L$9)</f>
        <v/>
      </c>
      <c r="EK152">
        <f>IF(OR(ISNA(EG152),ISNA(EG151)),NA(),ABS(EG152-EG151))</f>
        <v/>
      </c>
      <c r="EL152">
        <f>IF(ISNA(EF152),NA(),Capability!$N$9)</f>
        <v/>
      </c>
      <c r="EM152">
        <f>IF(ISNA(EF152),NA(),IF(OR(Capability!$Q$9="",Settings!$F$7&lt;&gt;"Y"),NA(),Capability!$Q$9))</f>
        <v/>
      </c>
      <c r="EN152">
        <f>IF(ISNA(EF152),NA(),IF(OR(Capability!$P$9="",Settings!$F$7&lt;&gt;"Y"),NA(),Capability!$P$9))</f>
        <v/>
      </c>
      <c r="ET152">
        <f>IF((EW$1+148)&gt;EU$1,NA(),(EW$1+148)-4)</f>
        <v/>
      </c>
      <c r="EU152">
        <f>IF((EW$1+148)&gt;EU$1,NA(),INDEX('Data Entry'!$M$5:$M$10004,(EW$1+148)-4))</f>
        <v/>
      </c>
      <c r="EV152">
        <f>IF(ISNA(ET152),NA(),Capability!$K$10)</f>
        <v/>
      </c>
      <c r="EW152">
        <f>IF(ISNA(ET152),NA(),Capability!$J$10)</f>
        <v/>
      </c>
      <c r="EX152">
        <f>IF(ISNA(ET152),NA(),Capability!$L$10)</f>
        <v/>
      </c>
      <c r="EY152">
        <f>IF(OR(ISNA(EU152),ISNA(EU151)),NA(),ABS(EU152-EU151))</f>
        <v/>
      </c>
      <c r="EZ152">
        <f>IF(ISNA(ET152),NA(),Capability!$N$10)</f>
        <v/>
      </c>
      <c r="FA152">
        <f>IF(ISNA(ET152),NA(),IF(OR(Capability!$Q$10="",Settings!$F$7&lt;&gt;"Y"),NA(),Capability!$Q$10))</f>
        <v/>
      </c>
      <c r="FB152">
        <f>IF(ISNA(ET152),NA(),IF(OR(Capability!$P$10="",Settings!$F$7&lt;&gt;"Y"),NA(),Capability!$P$10))</f>
        <v/>
      </c>
      <c r="FH152">
        <f>IF((FK$1+148)&gt;FI$1,NA(),(FK$1+148)-4)</f>
        <v/>
      </c>
      <c r="FI152">
        <f>IF((FK$1+148)&gt;FI$1,NA(),INDEX('Data Entry'!$N$5:$N$10004,(FK$1+148)-4))</f>
        <v/>
      </c>
      <c r="FJ152">
        <f>IF(ISNA(FH152),NA(),Capability!$K$11)</f>
        <v/>
      </c>
      <c r="FK152">
        <f>IF(ISNA(FH152),NA(),Capability!$J$11)</f>
        <v/>
      </c>
      <c r="FL152">
        <f>IF(ISNA(FH152),NA(),Capability!$L$11)</f>
        <v/>
      </c>
      <c r="FM152">
        <f>IF(OR(ISNA(FI152),ISNA(FI151)),NA(),ABS(FI152-FI151))</f>
        <v/>
      </c>
      <c r="FN152">
        <f>IF(ISNA(FH152),NA(),Capability!$N$11)</f>
        <v/>
      </c>
      <c r="FO152">
        <f>IF(ISNA(FH152),NA(),IF(OR(Capability!$Q$11="",Settings!$F$7&lt;&gt;"Y"),NA(),Capability!$Q$11))</f>
        <v/>
      </c>
      <c r="FP152">
        <f>IF(ISNA(FH152),NA(),IF(OR(Capability!$P$11="",Settings!$F$7&lt;&gt;"Y"),NA(),Capability!$P$11))</f>
        <v/>
      </c>
      <c r="FV152">
        <f>IF((FY$1+148)&gt;FW$1,NA(),(FY$1+148)-4)</f>
        <v/>
      </c>
      <c r="FW152">
        <f>IF((FY$1+148)&gt;FW$1,NA(),INDEX('Data Entry'!$O$5:$O$10004,(FY$1+148)-4))</f>
        <v/>
      </c>
      <c r="FX152">
        <f>IF(ISNA(FV152),NA(),Capability!$K$12)</f>
        <v/>
      </c>
      <c r="FY152">
        <f>IF(ISNA(FV152),NA(),Capability!$J$12)</f>
        <v/>
      </c>
      <c r="FZ152">
        <f>IF(ISNA(FV152),NA(),Capability!$L$12)</f>
        <v/>
      </c>
      <c r="GA152">
        <f>IF(OR(ISNA(FW152),ISNA(FW151)),NA(),ABS(FW152-FW151))</f>
        <v/>
      </c>
      <c r="GB152">
        <f>IF(ISNA(FV152),NA(),Capability!$N$12)</f>
        <v/>
      </c>
      <c r="GC152">
        <f>IF(ISNA(FV152),NA(),IF(OR(Capability!$Q$12="",Settings!$F$7&lt;&gt;"Y"),NA(),Capability!$Q$12))</f>
        <v/>
      </c>
      <c r="GD152">
        <f>IF(ISNA(FV152),NA(),IF(OR(Capability!$P$12="",Settings!$F$7&lt;&gt;"Y"),NA(),Capability!$P$12))</f>
        <v/>
      </c>
      <c r="GJ152">
        <f>IF((GM$1+148)&gt;GK$1,NA(),(GM$1+148)-4)</f>
        <v/>
      </c>
      <c r="GK152">
        <f>IF((GM$1+148)&gt;GK$1,NA(),INDEX('Data Entry'!$P$5:$P$10004,(GM$1+148)-4))</f>
        <v/>
      </c>
      <c r="GL152">
        <f>IF(ISNA(GJ152),NA(),Capability!$K$13)</f>
        <v/>
      </c>
      <c r="GM152">
        <f>IF(ISNA(GJ152),NA(),Capability!$J$13)</f>
        <v/>
      </c>
      <c r="GN152">
        <f>IF(ISNA(GJ152),NA(),Capability!$L$13)</f>
        <v/>
      </c>
      <c r="GO152">
        <f>IF(OR(ISNA(GK152),ISNA(GK151)),NA(),ABS(GK152-GK151))</f>
        <v/>
      </c>
      <c r="GP152">
        <f>IF(ISNA(GJ152),NA(),Capability!$N$13)</f>
        <v/>
      </c>
      <c r="GQ152">
        <f>IF(ISNA(GJ152),NA(),IF(OR(Capability!$Q$13="",Settings!$F$7&lt;&gt;"Y"),NA(),Capability!$Q$13))</f>
        <v/>
      </c>
      <c r="GR152">
        <f>IF(ISNA(GJ152),NA(),IF(OR(Capability!$P$13="",Settings!$F$7&lt;&gt;"Y"),NA(),Capability!$P$13))</f>
        <v/>
      </c>
      <c r="GX152">
        <f>IF((HA$1+148)&gt;GY$1,NA(),(HA$1+148)-4)</f>
        <v/>
      </c>
      <c r="GY152">
        <f>IF((HA$1+148)&gt;GY$1,NA(),INDEX('Data Entry'!$Q$5:$Q$10004,(HA$1+148)-4))</f>
        <v/>
      </c>
      <c r="GZ152">
        <f>IF(ISNA(GX152),NA(),Capability!$K$14)</f>
        <v/>
      </c>
      <c r="HA152">
        <f>IF(ISNA(GX152),NA(),Capability!$J$14)</f>
        <v/>
      </c>
      <c r="HB152">
        <f>IF(ISNA(GX152),NA(),Capability!$L$14)</f>
        <v/>
      </c>
      <c r="HC152">
        <f>IF(OR(ISNA(GY152),ISNA(GY151)),NA(),ABS(GY152-GY151))</f>
        <v/>
      </c>
      <c r="HD152">
        <f>IF(ISNA(GX152),NA(),Capability!$N$14)</f>
        <v/>
      </c>
      <c r="HE152">
        <f>IF(ISNA(GX152),NA(),IF(OR(Capability!$Q$14="",Settings!$F$7&lt;&gt;"Y"),NA(),Capability!$Q$14))</f>
        <v/>
      </c>
      <c r="HF152">
        <f>IF(ISNA(GX152),NA(),IF(OR(Capability!$P$14="",Settings!$F$7&lt;&gt;"Y"),NA(),Capability!$P$14))</f>
        <v/>
      </c>
    </row>
    <row r="153">
      <c r="A153" s="35" t="inlineStr">
        <is>
          <t>Verdict</t>
        </is>
      </c>
      <c r="B153" s="36">
        <f>Capability!Y8</f>
        <v/>
      </c>
      <c r="CB153">
        <f>IF((CE$1+149)&gt;CC$1,NA(),(CE$1+149)-4)</f>
        <v/>
      </c>
      <c r="CC153">
        <f>IF((CE$1+149)&gt;CC$1,NA(),INDEX('Data Entry'!$H$5:$H$10004,(CE$1+149)-4))</f>
        <v/>
      </c>
      <c r="CD153">
        <f>IF(ISNA(CB153),NA(),Capability!$K$5)</f>
        <v/>
      </c>
      <c r="CE153">
        <f>IF(ISNA(CB153),NA(),Capability!$J$5)</f>
        <v/>
      </c>
      <c r="CF153">
        <f>IF(ISNA(CB153),NA(),Capability!$L$5)</f>
        <v/>
      </c>
      <c r="CG153">
        <f>IF(OR(ISNA(CC153),ISNA(CC152)),NA(),ABS(CC153-CC152))</f>
        <v/>
      </c>
      <c r="CH153">
        <f>IF(ISNA(CB153),NA(),Capability!$N$5)</f>
        <v/>
      </c>
      <c r="CI153">
        <f>IF(ISNA(CB153),NA(),IF(OR(Capability!$Q$5="",Settings!$F$7&lt;&gt;"Y"),NA(),Capability!$Q$5))</f>
        <v/>
      </c>
      <c r="CJ153">
        <f>IF(ISNA(CB153),NA(),IF(OR(Capability!$P$5="",Settings!$F$7&lt;&gt;"Y"),NA(),Capability!$P$5))</f>
        <v/>
      </c>
      <c r="CP153">
        <f>IF((CS$1+149)&gt;CQ$1,NA(),(CS$1+149)-4)</f>
        <v/>
      </c>
      <c r="CQ153">
        <f>IF((CS$1+149)&gt;CQ$1,NA(),INDEX('Data Entry'!$I$5:$I$10004,(CS$1+149)-4))</f>
        <v/>
      </c>
      <c r="CR153">
        <f>IF(ISNA(CP153),NA(),Capability!$K$6)</f>
        <v/>
      </c>
      <c r="CS153">
        <f>IF(ISNA(CP153),NA(),Capability!$J$6)</f>
        <v/>
      </c>
      <c r="CT153">
        <f>IF(ISNA(CP153),NA(),Capability!$L$6)</f>
        <v/>
      </c>
      <c r="CU153">
        <f>IF(OR(ISNA(CQ153),ISNA(CQ152)),NA(),ABS(CQ153-CQ152))</f>
        <v/>
      </c>
      <c r="CV153">
        <f>IF(ISNA(CP153),NA(),Capability!$N$6)</f>
        <v/>
      </c>
      <c r="CW153">
        <f>IF(ISNA(CP153),NA(),IF(OR(Capability!$Q$6="",Settings!$F$7&lt;&gt;"Y"),NA(),Capability!$Q$6))</f>
        <v/>
      </c>
      <c r="CX153">
        <f>IF(ISNA(CP153),NA(),IF(OR(Capability!$P$6="",Settings!$F$7&lt;&gt;"Y"),NA(),Capability!$P$6))</f>
        <v/>
      </c>
      <c r="DD153">
        <f>IF((DG$1+149)&gt;DE$1,NA(),(DG$1+149)-4)</f>
        <v/>
      </c>
      <c r="DE153">
        <f>IF((DG$1+149)&gt;DE$1,NA(),INDEX('Data Entry'!$J$5:$J$10004,(DG$1+149)-4))</f>
        <v/>
      </c>
      <c r="DF153">
        <f>IF(ISNA(DD153),NA(),Capability!$K$7)</f>
        <v/>
      </c>
      <c r="DG153">
        <f>IF(ISNA(DD153),NA(),Capability!$J$7)</f>
        <v/>
      </c>
      <c r="DH153">
        <f>IF(ISNA(DD153),NA(),Capability!$L$7)</f>
        <v/>
      </c>
      <c r="DI153">
        <f>IF(OR(ISNA(DE153),ISNA(DE152)),NA(),ABS(DE153-DE152))</f>
        <v/>
      </c>
      <c r="DJ153">
        <f>IF(ISNA(DD153),NA(),Capability!$N$7)</f>
        <v/>
      </c>
      <c r="DK153">
        <f>IF(ISNA(DD153),NA(),IF(OR(Capability!$Q$7="",Settings!$F$7&lt;&gt;"Y"),NA(),Capability!$Q$7))</f>
        <v/>
      </c>
      <c r="DL153">
        <f>IF(ISNA(DD153),NA(),IF(OR(Capability!$P$7="",Settings!$F$7&lt;&gt;"Y"),NA(),Capability!$P$7))</f>
        <v/>
      </c>
      <c r="DR153">
        <f>IF((DU$1+149)&gt;DS$1,NA(),(DU$1+149)-4)</f>
        <v/>
      </c>
      <c r="DS153">
        <f>IF((DU$1+149)&gt;DS$1,NA(),INDEX('Data Entry'!$K$5:$K$10004,(DU$1+149)-4))</f>
        <v/>
      </c>
      <c r="DT153">
        <f>IF(ISNA(DR153),NA(),Capability!$K$8)</f>
        <v/>
      </c>
      <c r="DU153">
        <f>IF(ISNA(DR153),NA(),Capability!$J$8)</f>
        <v/>
      </c>
      <c r="DV153">
        <f>IF(ISNA(DR153),NA(),Capability!$L$8)</f>
        <v/>
      </c>
      <c r="DW153">
        <f>IF(OR(ISNA(DS153),ISNA(DS152)),NA(),ABS(DS153-DS152))</f>
        <v/>
      </c>
      <c r="DX153">
        <f>IF(ISNA(DR153),NA(),Capability!$N$8)</f>
        <v/>
      </c>
      <c r="DY153">
        <f>IF(ISNA(DR153),NA(),IF(OR(Capability!$Q$8="",Settings!$F$7&lt;&gt;"Y"),NA(),Capability!$Q$8))</f>
        <v/>
      </c>
      <c r="DZ153">
        <f>IF(ISNA(DR153),NA(),IF(OR(Capability!$P$8="",Settings!$F$7&lt;&gt;"Y"),NA(),Capability!$P$8))</f>
        <v/>
      </c>
      <c r="EF153">
        <f>IF((EI$1+149)&gt;EG$1,NA(),(EI$1+149)-4)</f>
        <v/>
      </c>
      <c r="EG153">
        <f>IF((EI$1+149)&gt;EG$1,NA(),INDEX('Data Entry'!$L$5:$L$10004,(EI$1+149)-4))</f>
        <v/>
      </c>
      <c r="EH153">
        <f>IF(ISNA(EF153),NA(),Capability!$K$9)</f>
        <v/>
      </c>
      <c r="EI153">
        <f>IF(ISNA(EF153),NA(),Capability!$J$9)</f>
        <v/>
      </c>
      <c r="EJ153">
        <f>IF(ISNA(EF153),NA(),Capability!$L$9)</f>
        <v/>
      </c>
      <c r="EK153">
        <f>IF(OR(ISNA(EG153),ISNA(EG152)),NA(),ABS(EG153-EG152))</f>
        <v/>
      </c>
      <c r="EL153">
        <f>IF(ISNA(EF153),NA(),Capability!$N$9)</f>
        <v/>
      </c>
      <c r="EM153">
        <f>IF(ISNA(EF153),NA(),IF(OR(Capability!$Q$9="",Settings!$F$7&lt;&gt;"Y"),NA(),Capability!$Q$9))</f>
        <v/>
      </c>
      <c r="EN153">
        <f>IF(ISNA(EF153),NA(),IF(OR(Capability!$P$9="",Settings!$F$7&lt;&gt;"Y"),NA(),Capability!$P$9))</f>
        <v/>
      </c>
      <c r="ET153">
        <f>IF((EW$1+149)&gt;EU$1,NA(),(EW$1+149)-4)</f>
        <v/>
      </c>
      <c r="EU153">
        <f>IF((EW$1+149)&gt;EU$1,NA(),INDEX('Data Entry'!$M$5:$M$10004,(EW$1+149)-4))</f>
        <v/>
      </c>
      <c r="EV153">
        <f>IF(ISNA(ET153),NA(),Capability!$K$10)</f>
        <v/>
      </c>
      <c r="EW153">
        <f>IF(ISNA(ET153),NA(),Capability!$J$10)</f>
        <v/>
      </c>
      <c r="EX153">
        <f>IF(ISNA(ET153),NA(),Capability!$L$10)</f>
        <v/>
      </c>
      <c r="EY153">
        <f>IF(OR(ISNA(EU153),ISNA(EU152)),NA(),ABS(EU153-EU152))</f>
        <v/>
      </c>
      <c r="EZ153">
        <f>IF(ISNA(ET153),NA(),Capability!$N$10)</f>
        <v/>
      </c>
      <c r="FA153">
        <f>IF(ISNA(ET153),NA(),IF(OR(Capability!$Q$10="",Settings!$F$7&lt;&gt;"Y"),NA(),Capability!$Q$10))</f>
        <v/>
      </c>
      <c r="FB153">
        <f>IF(ISNA(ET153),NA(),IF(OR(Capability!$P$10="",Settings!$F$7&lt;&gt;"Y"),NA(),Capability!$P$10))</f>
        <v/>
      </c>
      <c r="FH153">
        <f>IF((FK$1+149)&gt;FI$1,NA(),(FK$1+149)-4)</f>
        <v/>
      </c>
      <c r="FI153">
        <f>IF((FK$1+149)&gt;FI$1,NA(),INDEX('Data Entry'!$N$5:$N$10004,(FK$1+149)-4))</f>
        <v/>
      </c>
      <c r="FJ153">
        <f>IF(ISNA(FH153),NA(),Capability!$K$11)</f>
        <v/>
      </c>
      <c r="FK153">
        <f>IF(ISNA(FH153),NA(),Capability!$J$11)</f>
        <v/>
      </c>
      <c r="FL153">
        <f>IF(ISNA(FH153),NA(),Capability!$L$11)</f>
        <v/>
      </c>
      <c r="FM153">
        <f>IF(OR(ISNA(FI153),ISNA(FI152)),NA(),ABS(FI153-FI152))</f>
        <v/>
      </c>
      <c r="FN153">
        <f>IF(ISNA(FH153),NA(),Capability!$N$11)</f>
        <v/>
      </c>
      <c r="FO153">
        <f>IF(ISNA(FH153),NA(),IF(OR(Capability!$Q$11="",Settings!$F$7&lt;&gt;"Y"),NA(),Capability!$Q$11))</f>
        <v/>
      </c>
      <c r="FP153">
        <f>IF(ISNA(FH153),NA(),IF(OR(Capability!$P$11="",Settings!$F$7&lt;&gt;"Y"),NA(),Capability!$P$11))</f>
        <v/>
      </c>
      <c r="FV153">
        <f>IF((FY$1+149)&gt;FW$1,NA(),(FY$1+149)-4)</f>
        <v/>
      </c>
      <c r="FW153">
        <f>IF((FY$1+149)&gt;FW$1,NA(),INDEX('Data Entry'!$O$5:$O$10004,(FY$1+149)-4))</f>
        <v/>
      </c>
      <c r="FX153">
        <f>IF(ISNA(FV153),NA(),Capability!$K$12)</f>
        <v/>
      </c>
      <c r="FY153">
        <f>IF(ISNA(FV153),NA(),Capability!$J$12)</f>
        <v/>
      </c>
      <c r="FZ153">
        <f>IF(ISNA(FV153),NA(),Capability!$L$12)</f>
        <v/>
      </c>
      <c r="GA153">
        <f>IF(OR(ISNA(FW153),ISNA(FW152)),NA(),ABS(FW153-FW152))</f>
        <v/>
      </c>
      <c r="GB153">
        <f>IF(ISNA(FV153),NA(),Capability!$N$12)</f>
        <v/>
      </c>
      <c r="GC153">
        <f>IF(ISNA(FV153),NA(),IF(OR(Capability!$Q$12="",Settings!$F$7&lt;&gt;"Y"),NA(),Capability!$Q$12))</f>
        <v/>
      </c>
      <c r="GD153">
        <f>IF(ISNA(FV153),NA(),IF(OR(Capability!$P$12="",Settings!$F$7&lt;&gt;"Y"),NA(),Capability!$P$12))</f>
        <v/>
      </c>
      <c r="GJ153">
        <f>IF((GM$1+149)&gt;GK$1,NA(),(GM$1+149)-4)</f>
        <v/>
      </c>
      <c r="GK153">
        <f>IF((GM$1+149)&gt;GK$1,NA(),INDEX('Data Entry'!$P$5:$P$10004,(GM$1+149)-4))</f>
        <v/>
      </c>
      <c r="GL153">
        <f>IF(ISNA(GJ153),NA(),Capability!$K$13)</f>
        <v/>
      </c>
      <c r="GM153">
        <f>IF(ISNA(GJ153),NA(),Capability!$J$13)</f>
        <v/>
      </c>
      <c r="GN153">
        <f>IF(ISNA(GJ153),NA(),Capability!$L$13)</f>
        <v/>
      </c>
      <c r="GO153">
        <f>IF(OR(ISNA(GK153),ISNA(GK152)),NA(),ABS(GK153-GK152))</f>
        <v/>
      </c>
      <c r="GP153">
        <f>IF(ISNA(GJ153),NA(),Capability!$N$13)</f>
        <v/>
      </c>
      <c r="GQ153">
        <f>IF(ISNA(GJ153),NA(),IF(OR(Capability!$Q$13="",Settings!$F$7&lt;&gt;"Y"),NA(),Capability!$Q$13))</f>
        <v/>
      </c>
      <c r="GR153">
        <f>IF(ISNA(GJ153),NA(),IF(OR(Capability!$P$13="",Settings!$F$7&lt;&gt;"Y"),NA(),Capability!$P$13))</f>
        <v/>
      </c>
      <c r="GX153">
        <f>IF((HA$1+149)&gt;GY$1,NA(),(HA$1+149)-4)</f>
        <v/>
      </c>
      <c r="GY153">
        <f>IF((HA$1+149)&gt;GY$1,NA(),INDEX('Data Entry'!$Q$5:$Q$10004,(HA$1+149)-4))</f>
        <v/>
      </c>
      <c r="GZ153">
        <f>IF(ISNA(GX153),NA(),Capability!$K$14)</f>
        <v/>
      </c>
      <c r="HA153">
        <f>IF(ISNA(GX153),NA(),Capability!$J$14)</f>
        <v/>
      </c>
      <c r="HB153">
        <f>IF(ISNA(GX153),NA(),Capability!$L$14)</f>
        <v/>
      </c>
      <c r="HC153">
        <f>IF(OR(ISNA(GY153),ISNA(GY152)),NA(),ABS(GY153-GY152))</f>
        <v/>
      </c>
      <c r="HD153">
        <f>IF(ISNA(GX153),NA(),Capability!$N$14)</f>
        <v/>
      </c>
      <c r="HE153">
        <f>IF(ISNA(GX153),NA(),IF(OR(Capability!$Q$14="",Settings!$F$7&lt;&gt;"Y"),NA(),Capability!$Q$14))</f>
        <v/>
      </c>
      <c r="HF153">
        <f>IF(ISNA(GX153),NA(),IF(OR(Capability!$P$14="",Settings!$F$7&lt;&gt;"Y"),NA(),Capability!$P$14))</f>
        <v/>
      </c>
    </row>
    <row r="154">
      <c r="CB154">
        <f>IF((CE$1+150)&gt;CC$1,NA(),(CE$1+150)-4)</f>
        <v/>
      </c>
      <c r="CC154">
        <f>IF((CE$1+150)&gt;CC$1,NA(),INDEX('Data Entry'!$H$5:$H$10004,(CE$1+150)-4))</f>
        <v/>
      </c>
      <c r="CD154">
        <f>IF(ISNA(CB154),NA(),Capability!$K$5)</f>
        <v/>
      </c>
      <c r="CE154">
        <f>IF(ISNA(CB154),NA(),Capability!$J$5)</f>
        <v/>
      </c>
      <c r="CF154">
        <f>IF(ISNA(CB154),NA(),Capability!$L$5)</f>
        <v/>
      </c>
      <c r="CG154">
        <f>IF(OR(ISNA(CC154),ISNA(CC153)),NA(),ABS(CC154-CC153))</f>
        <v/>
      </c>
      <c r="CH154">
        <f>IF(ISNA(CB154),NA(),Capability!$N$5)</f>
        <v/>
      </c>
      <c r="CI154">
        <f>IF(ISNA(CB154),NA(),IF(OR(Capability!$Q$5="",Settings!$F$7&lt;&gt;"Y"),NA(),Capability!$Q$5))</f>
        <v/>
      </c>
      <c r="CJ154">
        <f>IF(ISNA(CB154),NA(),IF(OR(Capability!$P$5="",Settings!$F$7&lt;&gt;"Y"),NA(),Capability!$P$5))</f>
        <v/>
      </c>
      <c r="CP154">
        <f>IF((CS$1+150)&gt;CQ$1,NA(),(CS$1+150)-4)</f>
        <v/>
      </c>
      <c r="CQ154">
        <f>IF((CS$1+150)&gt;CQ$1,NA(),INDEX('Data Entry'!$I$5:$I$10004,(CS$1+150)-4))</f>
        <v/>
      </c>
      <c r="CR154">
        <f>IF(ISNA(CP154),NA(),Capability!$K$6)</f>
        <v/>
      </c>
      <c r="CS154">
        <f>IF(ISNA(CP154),NA(),Capability!$J$6)</f>
        <v/>
      </c>
      <c r="CT154">
        <f>IF(ISNA(CP154),NA(),Capability!$L$6)</f>
        <v/>
      </c>
      <c r="CU154">
        <f>IF(OR(ISNA(CQ154),ISNA(CQ153)),NA(),ABS(CQ154-CQ153))</f>
        <v/>
      </c>
      <c r="CV154">
        <f>IF(ISNA(CP154),NA(),Capability!$N$6)</f>
        <v/>
      </c>
      <c r="CW154">
        <f>IF(ISNA(CP154),NA(),IF(OR(Capability!$Q$6="",Settings!$F$7&lt;&gt;"Y"),NA(),Capability!$Q$6))</f>
        <v/>
      </c>
      <c r="CX154">
        <f>IF(ISNA(CP154),NA(),IF(OR(Capability!$P$6="",Settings!$F$7&lt;&gt;"Y"),NA(),Capability!$P$6))</f>
        <v/>
      </c>
      <c r="DD154">
        <f>IF((DG$1+150)&gt;DE$1,NA(),(DG$1+150)-4)</f>
        <v/>
      </c>
      <c r="DE154">
        <f>IF((DG$1+150)&gt;DE$1,NA(),INDEX('Data Entry'!$J$5:$J$10004,(DG$1+150)-4))</f>
        <v/>
      </c>
      <c r="DF154">
        <f>IF(ISNA(DD154),NA(),Capability!$K$7)</f>
        <v/>
      </c>
      <c r="DG154">
        <f>IF(ISNA(DD154),NA(),Capability!$J$7)</f>
        <v/>
      </c>
      <c r="DH154">
        <f>IF(ISNA(DD154),NA(),Capability!$L$7)</f>
        <v/>
      </c>
      <c r="DI154">
        <f>IF(OR(ISNA(DE154),ISNA(DE153)),NA(),ABS(DE154-DE153))</f>
        <v/>
      </c>
      <c r="DJ154">
        <f>IF(ISNA(DD154),NA(),Capability!$N$7)</f>
        <v/>
      </c>
      <c r="DK154">
        <f>IF(ISNA(DD154),NA(),IF(OR(Capability!$Q$7="",Settings!$F$7&lt;&gt;"Y"),NA(),Capability!$Q$7))</f>
        <v/>
      </c>
      <c r="DL154">
        <f>IF(ISNA(DD154),NA(),IF(OR(Capability!$P$7="",Settings!$F$7&lt;&gt;"Y"),NA(),Capability!$P$7))</f>
        <v/>
      </c>
      <c r="DR154">
        <f>IF((DU$1+150)&gt;DS$1,NA(),(DU$1+150)-4)</f>
        <v/>
      </c>
      <c r="DS154">
        <f>IF((DU$1+150)&gt;DS$1,NA(),INDEX('Data Entry'!$K$5:$K$10004,(DU$1+150)-4))</f>
        <v/>
      </c>
      <c r="DT154">
        <f>IF(ISNA(DR154),NA(),Capability!$K$8)</f>
        <v/>
      </c>
      <c r="DU154">
        <f>IF(ISNA(DR154),NA(),Capability!$J$8)</f>
        <v/>
      </c>
      <c r="DV154">
        <f>IF(ISNA(DR154),NA(),Capability!$L$8)</f>
        <v/>
      </c>
      <c r="DW154">
        <f>IF(OR(ISNA(DS154),ISNA(DS153)),NA(),ABS(DS154-DS153))</f>
        <v/>
      </c>
      <c r="DX154">
        <f>IF(ISNA(DR154),NA(),Capability!$N$8)</f>
        <v/>
      </c>
      <c r="DY154">
        <f>IF(ISNA(DR154),NA(),IF(OR(Capability!$Q$8="",Settings!$F$7&lt;&gt;"Y"),NA(),Capability!$Q$8))</f>
        <v/>
      </c>
      <c r="DZ154">
        <f>IF(ISNA(DR154),NA(),IF(OR(Capability!$P$8="",Settings!$F$7&lt;&gt;"Y"),NA(),Capability!$P$8))</f>
        <v/>
      </c>
      <c r="EF154">
        <f>IF((EI$1+150)&gt;EG$1,NA(),(EI$1+150)-4)</f>
        <v/>
      </c>
      <c r="EG154">
        <f>IF((EI$1+150)&gt;EG$1,NA(),INDEX('Data Entry'!$L$5:$L$10004,(EI$1+150)-4))</f>
        <v/>
      </c>
      <c r="EH154">
        <f>IF(ISNA(EF154),NA(),Capability!$K$9)</f>
        <v/>
      </c>
      <c r="EI154">
        <f>IF(ISNA(EF154),NA(),Capability!$J$9)</f>
        <v/>
      </c>
      <c r="EJ154">
        <f>IF(ISNA(EF154),NA(),Capability!$L$9)</f>
        <v/>
      </c>
      <c r="EK154">
        <f>IF(OR(ISNA(EG154),ISNA(EG153)),NA(),ABS(EG154-EG153))</f>
        <v/>
      </c>
      <c r="EL154">
        <f>IF(ISNA(EF154),NA(),Capability!$N$9)</f>
        <v/>
      </c>
      <c r="EM154">
        <f>IF(ISNA(EF154),NA(),IF(OR(Capability!$Q$9="",Settings!$F$7&lt;&gt;"Y"),NA(),Capability!$Q$9))</f>
        <v/>
      </c>
      <c r="EN154">
        <f>IF(ISNA(EF154),NA(),IF(OR(Capability!$P$9="",Settings!$F$7&lt;&gt;"Y"),NA(),Capability!$P$9))</f>
        <v/>
      </c>
      <c r="ET154">
        <f>IF((EW$1+150)&gt;EU$1,NA(),(EW$1+150)-4)</f>
        <v/>
      </c>
      <c r="EU154">
        <f>IF((EW$1+150)&gt;EU$1,NA(),INDEX('Data Entry'!$M$5:$M$10004,(EW$1+150)-4))</f>
        <v/>
      </c>
      <c r="EV154">
        <f>IF(ISNA(ET154),NA(),Capability!$K$10)</f>
        <v/>
      </c>
      <c r="EW154">
        <f>IF(ISNA(ET154),NA(),Capability!$J$10)</f>
        <v/>
      </c>
      <c r="EX154">
        <f>IF(ISNA(ET154),NA(),Capability!$L$10)</f>
        <v/>
      </c>
      <c r="EY154">
        <f>IF(OR(ISNA(EU154),ISNA(EU153)),NA(),ABS(EU154-EU153))</f>
        <v/>
      </c>
      <c r="EZ154">
        <f>IF(ISNA(ET154),NA(),Capability!$N$10)</f>
        <v/>
      </c>
      <c r="FA154">
        <f>IF(ISNA(ET154),NA(),IF(OR(Capability!$Q$10="",Settings!$F$7&lt;&gt;"Y"),NA(),Capability!$Q$10))</f>
        <v/>
      </c>
      <c r="FB154">
        <f>IF(ISNA(ET154),NA(),IF(OR(Capability!$P$10="",Settings!$F$7&lt;&gt;"Y"),NA(),Capability!$P$10))</f>
        <v/>
      </c>
      <c r="FH154">
        <f>IF((FK$1+150)&gt;FI$1,NA(),(FK$1+150)-4)</f>
        <v/>
      </c>
      <c r="FI154">
        <f>IF((FK$1+150)&gt;FI$1,NA(),INDEX('Data Entry'!$N$5:$N$10004,(FK$1+150)-4))</f>
        <v/>
      </c>
      <c r="FJ154">
        <f>IF(ISNA(FH154),NA(),Capability!$K$11)</f>
        <v/>
      </c>
      <c r="FK154">
        <f>IF(ISNA(FH154),NA(),Capability!$J$11)</f>
        <v/>
      </c>
      <c r="FL154">
        <f>IF(ISNA(FH154),NA(),Capability!$L$11)</f>
        <v/>
      </c>
      <c r="FM154">
        <f>IF(OR(ISNA(FI154),ISNA(FI153)),NA(),ABS(FI154-FI153))</f>
        <v/>
      </c>
      <c r="FN154">
        <f>IF(ISNA(FH154),NA(),Capability!$N$11)</f>
        <v/>
      </c>
      <c r="FO154">
        <f>IF(ISNA(FH154),NA(),IF(OR(Capability!$Q$11="",Settings!$F$7&lt;&gt;"Y"),NA(),Capability!$Q$11))</f>
        <v/>
      </c>
      <c r="FP154">
        <f>IF(ISNA(FH154),NA(),IF(OR(Capability!$P$11="",Settings!$F$7&lt;&gt;"Y"),NA(),Capability!$P$11))</f>
        <v/>
      </c>
      <c r="FV154">
        <f>IF((FY$1+150)&gt;FW$1,NA(),(FY$1+150)-4)</f>
        <v/>
      </c>
      <c r="FW154">
        <f>IF((FY$1+150)&gt;FW$1,NA(),INDEX('Data Entry'!$O$5:$O$10004,(FY$1+150)-4))</f>
        <v/>
      </c>
      <c r="FX154">
        <f>IF(ISNA(FV154),NA(),Capability!$K$12)</f>
        <v/>
      </c>
      <c r="FY154">
        <f>IF(ISNA(FV154),NA(),Capability!$J$12)</f>
        <v/>
      </c>
      <c r="FZ154">
        <f>IF(ISNA(FV154),NA(),Capability!$L$12)</f>
        <v/>
      </c>
      <c r="GA154">
        <f>IF(OR(ISNA(FW154),ISNA(FW153)),NA(),ABS(FW154-FW153))</f>
        <v/>
      </c>
      <c r="GB154">
        <f>IF(ISNA(FV154),NA(),Capability!$N$12)</f>
        <v/>
      </c>
      <c r="GC154">
        <f>IF(ISNA(FV154),NA(),IF(OR(Capability!$Q$12="",Settings!$F$7&lt;&gt;"Y"),NA(),Capability!$Q$12))</f>
        <v/>
      </c>
      <c r="GD154">
        <f>IF(ISNA(FV154),NA(),IF(OR(Capability!$P$12="",Settings!$F$7&lt;&gt;"Y"),NA(),Capability!$P$12))</f>
        <v/>
      </c>
      <c r="GJ154">
        <f>IF((GM$1+150)&gt;GK$1,NA(),(GM$1+150)-4)</f>
        <v/>
      </c>
      <c r="GK154">
        <f>IF((GM$1+150)&gt;GK$1,NA(),INDEX('Data Entry'!$P$5:$P$10004,(GM$1+150)-4))</f>
        <v/>
      </c>
      <c r="GL154">
        <f>IF(ISNA(GJ154),NA(),Capability!$K$13)</f>
        <v/>
      </c>
      <c r="GM154">
        <f>IF(ISNA(GJ154),NA(),Capability!$J$13)</f>
        <v/>
      </c>
      <c r="GN154">
        <f>IF(ISNA(GJ154),NA(),Capability!$L$13)</f>
        <v/>
      </c>
      <c r="GO154">
        <f>IF(OR(ISNA(GK154),ISNA(GK153)),NA(),ABS(GK154-GK153))</f>
        <v/>
      </c>
      <c r="GP154">
        <f>IF(ISNA(GJ154),NA(),Capability!$N$13)</f>
        <v/>
      </c>
      <c r="GQ154">
        <f>IF(ISNA(GJ154),NA(),IF(OR(Capability!$Q$13="",Settings!$F$7&lt;&gt;"Y"),NA(),Capability!$Q$13))</f>
        <v/>
      </c>
      <c r="GR154">
        <f>IF(ISNA(GJ154),NA(),IF(OR(Capability!$P$13="",Settings!$F$7&lt;&gt;"Y"),NA(),Capability!$P$13))</f>
        <v/>
      </c>
      <c r="GX154">
        <f>IF((HA$1+150)&gt;GY$1,NA(),(HA$1+150)-4)</f>
        <v/>
      </c>
      <c r="GY154">
        <f>IF((HA$1+150)&gt;GY$1,NA(),INDEX('Data Entry'!$Q$5:$Q$10004,(HA$1+150)-4))</f>
        <v/>
      </c>
      <c r="GZ154">
        <f>IF(ISNA(GX154),NA(),Capability!$K$14)</f>
        <v/>
      </c>
      <c r="HA154">
        <f>IF(ISNA(GX154),NA(),Capability!$J$14)</f>
        <v/>
      </c>
      <c r="HB154">
        <f>IF(ISNA(GX154),NA(),Capability!$L$14)</f>
        <v/>
      </c>
      <c r="HC154">
        <f>IF(OR(ISNA(GY154),ISNA(GY153)),NA(),ABS(GY154-GY153))</f>
        <v/>
      </c>
      <c r="HD154">
        <f>IF(ISNA(GX154),NA(),Capability!$N$14)</f>
        <v/>
      </c>
      <c r="HE154">
        <f>IF(ISNA(GX154),NA(),IF(OR(Capability!$Q$14="",Settings!$F$7&lt;&gt;"Y"),NA(),Capability!$Q$14))</f>
        <v/>
      </c>
      <c r="HF154">
        <f>IF(ISNA(GX154),NA(),IF(OR(Capability!$P$14="",Settings!$F$7&lt;&gt;"Y"),NA(),Capability!$P$14))</f>
        <v/>
      </c>
    </row>
    <row r="155">
      <c r="CB155">
        <f>IF((CE$1+151)&gt;CC$1,NA(),(CE$1+151)-4)</f>
        <v/>
      </c>
      <c r="CC155">
        <f>IF((CE$1+151)&gt;CC$1,NA(),INDEX('Data Entry'!$H$5:$H$10004,(CE$1+151)-4))</f>
        <v/>
      </c>
      <c r="CD155">
        <f>IF(ISNA(CB155),NA(),Capability!$K$5)</f>
        <v/>
      </c>
      <c r="CE155">
        <f>IF(ISNA(CB155),NA(),Capability!$J$5)</f>
        <v/>
      </c>
      <c r="CF155">
        <f>IF(ISNA(CB155),NA(),Capability!$L$5)</f>
        <v/>
      </c>
      <c r="CG155">
        <f>IF(OR(ISNA(CC155),ISNA(CC154)),NA(),ABS(CC155-CC154))</f>
        <v/>
      </c>
      <c r="CH155">
        <f>IF(ISNA(CB155),NA(),Capability!$N$5)</f>
        <v/>
      </c>
      <c r="CI155">
        <f>IF(ISNA(CB155),NA(),IF(OR(Capability!$Q$5="",Settings!$F$7&lt;&gt;"Y"),NA(),Capability!$Q$5))</f>
        <v/>
      </c>
      <c r="CJ155">
        <f>IF(ISNA(CB155),NA(),IF(OR(Capability!$P$5="",Settings!$F$7&lt;&gt;"Y"),NA(),Capability!$P$5))</f>
        <v/>
      </c>
      <c r="CP155">
        <f>IF((CS$1+151)&gt;CQ$1,NA(),(CS$1+151)-4)</f>
        <v/>
      </c>
      <c r="CQ155">
        <f>IF((CS$1+151)&gt;CQ$1,NA(),INDEX('Data Entry'!$I$5:$I$10004,(CS$1+151)-4))</f>
        <v/>
      </c>
      <c r="CR155">
        <f>IF(ISNA(CP155),NA(),Capability!$K$6)</f>
        <v/>
      </c>
      <c r="CS155">
        <f>IF(ISNA(CP155),NA(),Capability!$J$6)</f>
        <v/>
      </c>
      <c r="CT155">
        <f>IF(ISNA(CP155),NA(),Capability!$L$6)</f>
        <v/>
      </c>
      <c r="CU155">
        <f>IF(OR(ISNA(CQ155),ISNA(CQ154)),NA(),ABS(CQ155-CQ154))</f>
        <v/>
      </c>
      <c r="CV155">
        <f>IF(ISNA(CP155),NA(),Capability!$N$6)</f>
        <v/>
      </c>
      <c r="CW155">
        <f>IF(ISNA(CP155),NA(),IF(OR(Capability!$Q$6="",Settings!$F$7&lt;&gt;"Y"),NA(),Capability!$Q$6))</f>
        <v/>
      </c>
      <c r="CX155">
        <f>IF(ISNA(CP155),NA(),IF(OR(Capability!$P$6="",Settings!$F$7&lt;&gt;"Y"),NA(),Capability!$P$6))</f>
        <v/>
      </c>
      <c r="DD155">
        <f>IF((DG$1+151)&gt;DE$1,NA(),(DG$1+151)-4)</f>
        <v/>
      </c>
      <c r="DE155">
        <f>IF((DG$1+151)&gt;DE$1,NA(),INDEX('Data Entry'!$J$5:$J$10004,(DG$1+151)-4))</f>
        <v/>
      </c>
      <c r="DF155">
        <f>IF(ISNA(DD155),NA(),Capability!$K$7)</f>
        <v/>
      </c>
      <c r="DG155">
        <f>IF(ISNA(DD155),NA(),Capability!$J$7)</f>
        <v/>
      </c>
      <c r="DH155">
        <f>IF(ISNA(DD155),NA(),Capability!$L$7)</f>
        <v/>
      </c>
      <c r="DI155">
        <f>IF(OR(ISNA(DE155),ISNA(DE154)),NA(),ABS(DE155-DE154))</f>
        <v/>
      </c>
      <c r="DJ155">
        <f>IF(ISNA(DD155),NA(),Capability!$N$7)</f>
        <v/>
      </c>
      <c r="DK155">
        <f>IF(ISNA(DD155),NA(),IF(OR(Capability!$Q$7="",Settings!$F$7&lt;&gt;"Y"),NA(),Capability!$Q$7))</f>
        <v/>
      </c>
      <c r="DL155">
        <f>IF(ISNA(DD155),NA(),IF(OR(Capability!$P$7="",Settings!$F$7&lt;&gt;"Y"),NA(),Capability!$P$7))</f>
        <v/>
      </c>
      <c r="DR155">
        <f>IF((DU$1+151)&gt;DS$1,NA(),(DU$1+151)-4)</f>
        <v/>
      </c>
      <c r="DS155">
        <f>IF((DU$1+151)&gt;DS$1,NA(),INDEX('Data Entry'!$K$5:$K$10004,(DU$1+151)-4))</f>
        <v/>
      </c>
      <c r="DT155">
        <f>IF(ISNA(DR155),NA(),Capability!$K$8)</f>
        <v/>
      </c>
      <c r="DU155">
        <f>IF(ISNA(DR155),NA(),Capability!$J$8)</f>
        <v/>
      </c>
      <c r="DV155">
        <f>IF(ISNA(DR155),NA(),Capability!$L$8)</f>
        <v/>
      </c>
      <c r="DW155">
        <f>IF(OR(ISNA(DS155),ISNA(DS154)),NA(),ABS(DS155-DS154))</f>
        <v/>
      </c>
      <c r="DX155">
        <f>IF(ISNA(DR155),NA(),Capability!$N$8)</f>
        <v/>
      </c>
      <c r="DY155">
        <f>IF(ISNA(DR155),NA(),IF(OR(Capability!$Q$8="",Settings!$F$7&lt;&gt;"Y"),NA(),Capability!$Q$8))</f>
        <v/>
      </c>
      <c r="DZ155">
        <f>IF(ISNA(DR155),NA(),IF(OR(Capability!$P$8="",Settings!$F$7&lt;&gt;"Y"),NA(),Capability!$P$8))</f>
        <v/>
      </c>
      <c r="EF155">
        <f>IF((EI$1+151)&gt;EG$1,NA(),(EI$1+151)-4)</f>
        <v/>
      </c>
      <c r="EG155">
        <f>IF((EI$1+151)&gt;EG$1,NA(),INDEX('Data Entry'!$L$5:$L$10004,(EI$1+151)-4))</f>
        <v/>
      </c>
      <c r="EH155">
        <f>IF(ISNA(EF155),NA(),Capability!$K$9)</f>
        <v/>
      </c>
      <c r="EI155">
        <f>IF(ISNA(EF155),NA(),Capability!$J$9)</f>
        <v/>
      </c>
      <c r="EJ155">
        <f>IF(ISNA(EF155),NA(),Capability!$L$9)</f>
        <v/>
      </c>
      <c r="EK155">
        <f>IF(OR(ISNA(EG155),ISNA(EG154)),NA(),ABS(EG155-EG154))</f>
        <v/>
      </c>
      <c r="EL155">
        <f>IF(ISNA(EF155),NA(),Capability!$N$9)</f>
        <v/>
      </c>
      <c r="EM155">
        <f>IF(ISNA(EF155),NA(),IF(OR(Capability!$Q$9="",Settings!$F$7&lt;&gt;"Y"),NA(),Capability!$Q$9))</f>
        <v/>
      </c>
      <c r="EN155">
        <f>IF(ISNA(EF155),NA(),IF(OR(Capability!$P$9="",Settings!$F$7&lt;&gt;"Y"),NA(),Capability!$P$9))</f>
        <v/>
      </c>
      <c r="ET155">
        <f>IF((EW$1+151)&gt;EU$1,NA(),(EW$1+151)-4)</f>
        <v/>
      </c>
      <c r="EU155">
        <f>IF((EW$1+151)&gt;EU$1,NA(),INDEX('Data Entry'!$M$5:$M$10004,(EW$1+151)-4))</f>
        <v/>
      </c>
      <c r="EV155">
        <f>IF(ISNA(ET155),NA(),Capability!$K$10)</f>
        <v/>
      </c>
      <c r="EW155">
        <f>IF(ISNA(ET155),NA(),Capability!$J$10)</f>
        <v/>
      </c>
      <c r="EX155">
        <f>IF(ISNA(ET155),NA(),Capability!$L$10)</f>
        <v/>
      </c>
      <c r="EY155">
        <f>IF(OR(ISNA(EU155),ISNA(EU154)),NA(),ABS(EU155-EU154))</f>
        <v/>
      </c>
      <c r="EZ155">
        <f>IF(ISNA(ET155),NA(),Capability!$N$10)</f>
        <v/>
      </c>
      <c r="FA155">
        <f>IF(ISNA(ET155),NA(),IF(OR(Capability!$Q$10="",Settings!$F$7&lt;&gt;"Y"),NA(),Capability!$Q$10))</f>
        <v/>
      </c>
      <c r="FB155">
        <f>IF(ISNA(ET155),NA(),IF(OR(Capability!$P$10="",Settings!$F$7&lt;&gt;"Y"),NA(),Capability!$P$10))</f>
        <v/>
      </c>
      <c r="FH155">
        <f>IF((FK$1+151)&gt;FI$1,NA(),(FK$1+151)-4)</f>
        <v/>
      </c>
      <c r="FI155">
        <f>IF((FK$1+151)&gt;FI$1,NA(),INDEX('Data Entry'!$N$5:$N$10004,(FK$1+151)-4))</f>
        <v/>
      </c>
      <c r="FJ155">
        <f>IF(ISNA(FH155),NA(),Capability!$K$11)</f>
        <v/>
      </c>
      <c r="FK155">
        <f>IF(ISNA(FH155),NA(),Capability!$J$11)</f>
        <v/>
      </c>
      <c r="FL155">
        <f>IF(ISNA(FH155),NA(),Capability!$L$11)</f>
        <v/>
      </c>
      <c r="FM155">
        <f>IF(OR(ISNA(FI155),ISNA(FI154)),NA(),ABS(FI155-FI154))</f>
        <v/>
      </c>
      <c r="FN155">
        <f>IF(ISNA(FH155),NA(),Capability!$N$11)</f>
        <v/>
      </c>
      <c r="FO155">
        <f>IF(ISNA(FH155),NA(),IF(OR(Capability!$Q$11="",Settings!$F$7&lt;&gt;"Y"),NA(),Capability!$Q$11))</f>
        <v/>
      </c>
      <c r="FP155">
        <f>IF(ISNA(FH155),NA(),IF(OR(Capability!$P$11="",Settings!$F$7&lt;&gt;"Y"),NA(),Capability!$P$11))</f>
        <v/>
      </c>
      <c r="FV155">
        <f>IF((FY$1+151)&gt;FW$1,NA(),(FY$1+151)-4)</f>
        <v/>
      </c>
      <c r="FW155">
        <f>IF((FY$1+151)&gt;FW$1,NA(),INDEX('Data Entry'!$O$5:$O$10004,(FY$1+151)-4))</f>
        <v/>
      </c>
      <c r="FX155">
        <f>IF(ISNA(FV155),NA(),Capability!$K$12)</f>
        <v/>
      </c>
      <c r="FY155">
        <f>IF(ISNA(FV155),NA(),Capability!$J$12)</f>
        <v/>
      </c>
      <c r="FZ155">
        <f>IF(ISNA(FV155),NA(),Capability!$L$12)</f>
        <v/>
      </c>
      <c r="GA155">
        <f>IF(OR(ISNA(FW155),ISNA(FW154)),NA(),ABS(FW155-FW154))</f>
        <v/>
      </c>
      <c r="GB155">
        <f>IF(ISNA(FV155),NA(),Capability!$N$12)</f>
        <v/>
      </c>
      <c r="GC155">
        <f>IF(ISNA(FV155),NA(),IF(OR(Capability!$Q$12="",Settings!$F$7&lt;&gt;"Y"),NA(),Capability!$Q$12))</f>
        <v/>
      </c>
      <c r="GD155">
        <f>IF(ISNA(FV155),NA(),IF(OR(Capability!$P$12="",Settings!$F$7&lt;&gt;"Y"),NA(),Capability!$P$12))</f>
        <v/>
      </c>
      <c r="GJ155">
        <f>IF((GM$1+151)&gt;GK$1,NA(),(GM$1+151)-4)</f>
        <v/>
      </c>
      <c r="GK155">
        <f>IF((GM$1+151)&gt;GK$1,NA(),INDEX('Data Entry'!$P$5:$P$10004,(GM$1+151)-4))</f>
        <v/>
      </c>
      <c r="GL155">
        <f>IF(ISNA(GJ155),NA(),Capability!$K$13)</f>
        <v/>
      </c>
      <c r="GM155">
        <f>IF(ISNA(GJ155),NA(),Capability!$J$13)</f>
        <v/>
      </c>
      <c r="GN155">
        <f>IF(ISNA(GJ155),NA(),Capability!$L$13)</f>
        <v/>
      </c>
      <c r="GO155">
        <f>IF(OR(ISNA(GK155),ISNA(GK154)),NA(),ABS(GK155-GK154))</f>
        <v/>
      </c>
      <c r="GP155">
        <f>IF(ISNA(GJ155),NA(),Capability!$N$13)</f>
        <v/>
      </c>
      <c r="GQ155">
        <f>IF(ISNA(GJ155),NA(),IF(OR(Capability!$Q$13="",Settings!$F$7&lt;&gt;"Y"),NA(),Capability!$Q$13))</f>
        <v/>
      </c>
      <c r="GR155">
        <f>IF(ISNA(GJ155),NA(),IF(OR(Capability!$P$13="",Settings!$F$7&lt;&gt;"Y"),NA(),Capability!$P$13))</f>
        <v/>
      </c>
      <c r="GX155">
        <f>IF((HA$1+151)&gt;GY$1,NA(),(HA$1+151)-4)</f>
        <v/>
      </c>
      <c r="GY155">
        <f>IF((HA$1+151)&gt;GY$1,NA(),INDEX('Data Entry'!$Q$5:$Q$10004,(HA$1+151)-4))</f>
        <v/>
      </c>
      <c r="GZ155">
        <f>IF(ISNA(GX155),NA(),Capability!$K$14)</f>
        <v/>
      </c>
      <c r="HA155">
        <f>IF(ISNA(GX155),NA(),Capability!$J$14)</f>
        <v/>
      </c>
      <c r="HB155">
        <f>IF(ISNA(GX155),NA(),Capability!$L$14)</f>
        <v/>
      </c>
      <c r="HC155">
        <f>IF(OR(ISNA(GY155),ISNA(GY154)),NA(),ABS(GY155-GY154))</f>
        <v/>
      </c>
      <c r="HD155">
        <f>IF(ISNA(GX155),NA(),Capability!$N$14)</f>
        <v/>
      </c>
      <c r="HE155">
        <f>IF(ISNA(GX155),NA(),IF(OR(Capability!$Q$14="",Settings!$F$7&lt;&gt;"Y"),NA(),Capability!$Q$14))</f>
        <v/>
      </c>
      <c r="HF155">
        <f>IF(ISNA(GX155),NA(),IF(OR(Capability!$P$14="",Settings!$F$7&lt;&gt;"Y"),NA(),Capability!$P$14))</f>
        <v/>
      </c>
    </row>
    <row r="156">
      <c r="CB156">
        <f>IF((CE$1+152)&gt;CC$1,NA(),(CE$1+152)-4)</f>
        <v/>
      </c>
      <c r="CC156">
        <f>IF((CE$1+152)&gt;CC$1,NA(),INDEX('Data Entry'!$H$5:$H$10004,(CE$1+152)-4))</f>
        <v/>
      </c>
      <c r="CD156">
        <f>IF(ISNA(CB156),NA(),Capability!$K$5)</f>
        <v/>
      </c>
      <c r="CE156">
        <f>IF(ISNA(CB156),NA(),Capability!$J$5)</f>
        <v/>
      </c>
      <c r="CF156">
        <f>IF(ISNA(CB156),NA(),Capability!$L$5)</f>
        <v/>
      </c>
      <c r="CG156">
        <f>IF(OR(ISNA(CC156),ISNA(CC155)),NA(),ABS(CC156-CC155))</f>
        <v/>
      </c>
      <c r="CH156">
        <f>IF(ISNA(CB156),NA(),Capability!$N$5)</f>
        <v/>
      </c>
      <c r="CI156">
        <f>IF(ISNA(CB156),NA(),IF(OR(Capability!$Q$5="",Settings!$F$7&lt;&gt;"Y"),NA(),Capability!$Q$5))</f>
        <v/>
      </c>
      <c r="CJ156">
        <f>IF(ISNA(CB156),NA(),IF(OR(Capability!$P$5="",Settings!$F$7&lt;&gt;"Y"),NA(),Capability!$P$5))</f>
        <v/>
      </c>
      <c r="CP156">
        <f>IF((CS$1+152)&gt;CQ$1,NA(),(CS$1+152)-4)</f>
        <v/>
      </c>
      <c r="CQ156">
        <f>IF((CS$1+152)&gt;CQ$1,NA(),INDEX('Data Entry'!$I$5:$I$10004,(CS$1+152)-4))</f>
        <v/>
      </c>
      <c r="CR156">
        <f>IF(ISNA(CP156),NA(),Capability!$K$6)</f>
        <v/>
      </c>
      <c r="CS156">
        <f>IF(ISNA(CP156),NA(),Capability!$J$6)</f>
        <v/>
      </c>
      <c r="CT156">
        <f>IF(ISNA(CP156),NA(),Capability!$L$6)</f>
        <v/>
      </c>
      <c r="CU156">
        <f>IF(OR(ISNA(CQ156),ISNA(CQ155)),NA(),ABS(CQ156-CQ155))</f>
        <v/>
      </c>
      <c r="CV156">
        <f>IF(ISNA(CP156),NA(),Capability!$N$6)</f>
        <v/>
      </c>
      <c r="CW156">
        <f>IF(ISNA(CP156),NA(),IF(OR(Capability!$Q$6="",Settings!$F$7&lt;&gt;"Y"),NA(),Capability!$Q$6))</f>
        <v/>
      </c>
      <c r="CX156">
        <f>IF(ISNA(CP156),NA(),IF(OR(Capability!$P$6="",Settings!$F$7&lt;&gt;"Y"),NA(),Capability!$P$6))</f>
        <v/>
      </c>
      <c r="DD156">
        <f>IF((DG$1+152)&gt;DE$1,NA(),(DG$1+152)-4)</f>
        <v/>
      </c>
      <c r="DE156">
        <f>IF((DG$1+152)&gt;DE$1,NA(),INDEX('Data Entry'!$J$5:$J$10004,(DG$1+152)-4))</f>
        <v/>
      </c>
      <c r="DF156">
        <f>IF(ISNA(DD156),NA(),Capability!$K$7)</f>
        <v/>
      </c>
      <c r="DG156">
        <f>IF(ISNA(DD156),NA(),Capability!$J$7)</f>
        <v/>
      </c>
      <c r="DH156">
        <f>IF(ISNA(DD156),NA(),Capability!$L$7)</f>
        <v/>
      </c>
      <c r="DI156">
        <f>IF(OR(ISNA(DE156),ISNA(DE155)),NA(),ABS(DE156-DE155))</f>
        <v/>
      </c>
      <c r="DJ156">
        <f>IF(ISNA(DD156),NA(),Capability!$N$7)</f>
        <v/>
      </c>
      <c r="DK156">
        <f>IF(ISNA(DD156),NA(),IF(OR(Capability!$Q$7="",Settings!$F$7&lt;&gt;"Y"),NA(),Capability!$Q$7))</f>
        <v/>
      </c>
      <c r="DL156">
        <f>IF(ISNA(DD156),NA(),IF(OR(Capability!$P$7="",Settings!$F$7&lt;&gt;"Y"),NA(),Capability!$P$7))</f>
        <v/>
      </c>
      <c r="DR156">
        <f>IF((DU$1+152)&gt;DS$1,NA(),(DU$1+152)-4)</f>
        <v/>
      </c>
      <c r="DS156">
        <f>IF((DU$1+152)&gt;DS$1,NA(),INDEX('Data Entry'!$K$5:$K$10004,(DU$1+152)-4))</f>
        <v/>
      </c>
      <c r="DT156">
        <f>IF(ISNA(DR156),NA(),Capability!$K$8)</f>
        <v/>
      </c>
      <c r="DU156">
        <f>IF(ISNA(DR156),NA(),Capability!$J$8)</f>
        <v/>
      </c>
      <c r="DV156">
        <f>IF(ISNA(DR156),NA(),Capability!$L$8)</f>
        <v/>
      </c>
      <c r="DW156">
        <f>IF(OR(ISNA(DS156),ISNA(DS155)),NA(),ABS(DS156-DS155))</f>
        <v/>
      </c>
      <c r="DX156">
        <f>IF(ISNA(DR156),NA(),Capability!$N$8)</f>
        <v/>
      </c>
      <c r="DY156">
        <f>IF(ISNA(DR156),NA(),IF(OR(Capability!$Q$8="",Settings!$F$7&lt;&gt;"Y"),NA(),Capability!$Q$8))</f>
        <v/>
      </c>
      <c r="DZ156">
        <f>IF(ISNA(DR156),NA(),IF(OR(Capability!$P$8="",Settings!$F$7&lt;&gt;"Y"),NA(),Capability!$P$8))</f>
        <v/>
      </c>
      <c r="EF156">
        <f>IF((EI$1+152)&gt;EG$1,NA(),(EI$1+152)-4)</f>
        <v/>
      </c>
      <c r="EG156">
        <f>IF((EI$1+152)&gt;EG$1,NA(),INDEX('Data Entry'!$L$5:$L$10004,(EI$1+152)-4))</f>
        <v/>
      </c>
      <c r="EH156">
        <f>IF(ISNA(EF156),NA(),Capability!$K$9)</f>
        <v/>
      </c>
      <c r="EI156">
        <f>IF(ISNA(EF156),NA(),Capability!$J$9)</f>
        <v/>
      </c>
      <c r="EJ156">
        <f>IF(ISNA(EF156),NA(),Capability!$L$9)</f>
        <v/>
      </c>
      <c r="EK156">
        <f>IF(OR(ISNA(EG156),ISNA(EG155)),NA(),ABS(EG156-EG155))</f>
        <v/>
      </c>
      <c r="EL156">
        <f>IF(ISNA(EF156),NA(),Capability!$N$9)</f>
        <v/>
      </c>
      <c r="EM156">
        <f>IF(ISNA(EF156),NA(),IF(OR(Capability!$Q$9="",Settings!$F$7&lt;&gt;"Y"),NA(),Capability!$Q$9))</f>
        <v/>
      </c>
      <c r="EN156">
        <f>IF(ISNA(EF156),NA(),IF(OR(Capability!$P$9="",Settings!$F$7&lt;&gt;"Y"),NA(),Capability!$P$9))</f>
        <v/>
      </c>
      <c r="ET156">
        <f>IF((EW$1+152)&gt;EU$1,NA(),(EW$1+152)-4)</f>
        <v/>
      </c>
      <c r="EU156">
        <f>IF((EW$1+152)&gt;EU$1,NA(),INDEX('Data Entry'!$M$5:$M$10004,(EW$1+152)-4))</f>
        <v/>
      </c>
      <c r="EV156">
        <f>IF(ISNA(ET156),NA(),Capability!$K$10)</f>
        <v/>
      </c>
      <c r="EW156">
        <f>IF(ISNA(ET156),NA(),Capability!$J$10)</f>
        <v/>
      </c>
      <c r="EX156">
        <f>IF(ISNA(ET156),NA(),Capability!$L$10)</f>
        <v/>
      </c>
      <c r="EY156">
        <f>IF(OR(ISNA(EU156),ISNA(EU155)),NA(),ABS(EU156-EU155))</f>
        <v/>
      </c>
      <c r="EZ156">
        <f>IF(ISNA(ET156),NA(),Capability!$N$10)</f>
        <v/>
      </c>
      <c r="FA156">
        <f>IF(ISNA(ET156),NA(),IF(OR(Capability!$Q$10="",Settings!$F$7&lt;&gt;"Y"),NA(),Capability!$Q$10))</f>
        <v/>
      </c>
      <c r="FB156">
        <f>IF(ISNA(ET156),NA(),IF(OR(Capability!$P$10="",Settings!$F$7&lt;&gt;"Y"),NA(),Capability!$P$10))</f>
        <v/>
      </c>
      <c r="FH156">
        <f>IF((FK$1+152)&gt;FI$1,NA(),(FK$1+152)-4)</f>
        <v/>
      </c>
      <c r="FI156">
        <f>IF((FK$1+152)&gt;FI$1,NA(),INDEX('Data Entry'!$N$5:$N$10004,(FK$1+152)-4))</f>
        <v/>
      </c>
      <c r="FJ156">
        <f>IF(ISNA(FH156),NA(),Capability!$K$11)</f>
        <v/>
      </c>
      <c r="FK156">
        <f>IF(ISNA(FH156),NA(),Capability!$J$11)</f>
        <v/>
      </c>
      <c r="FL156">
        <f>IF(ISNA(FH156),NA(),Capability!$L$11)</f>
        <v/>
      </c>
      <c r="FM156">
        <f>IF(OR(ISNA(FI156),ISNA(FI155)),NA(),ABS(FI156-FI155))</f>
        <v/>
      </c>
      <c r="FN156">
        <f>IF(ISNA(FH156),NA(),Capability!$N$11)</f>
        <v/>
      </c>
      <c r="FO156">
        <f>IF(ISNA(FH156),NA(),IF(OR(Capability!$Q$11="",Settings!$F$7&lt;&gt;"Y"),NA(),Capability!$Q$11))</f>
        <v/>
      </c>
      <c r="FP156">
        <f>IF(ISNA(FH156),NA(),IF(OR(Capability!$P$11="",Settings!$F$7&lt;&gt;"Y"),NA(),Capability!$P$11))</f>
        <v/>
      </c>
      <c r="FV156">
        <f>IF((FY$1+152)&gt;FW$1,NA(),(FY$1+152)-4)</f>
        <v/>
      </c>
      <c r="FW156">
        <f>IF((FY$1+152)&gt;FW$1,NA(),INDEX('Data Entry'!$O$5:$O$10004,(FY$1+152)-4))</f>
        <v/>
      </c>
      <c r="FX156">
        <f>IF(ISNA(FV156),NA(),Capability!$K$12)</f>
        <v/>
      </c>
      <c r="FY156">
        <f>IF(ISNA(FV156),NA(),Capability!$J$12)</f>
        <v/>
      </c>
      <c r="FZ156">
        <f>IF(ISNA(FV156),NA(),Capability!$L$12)</f>
        <v/>
      </c>
      <c r="GA156">
        <f>IF(OR(ISNA(FW156),ISNA(FW155)),NA(),ABS(FW156-FW155))</f>
        <v/>
      </c>
      <c r="GB156">
        <f>IF(ISNA(FV156),NA(),Capability!$N$12)</f>
        <v/>
      </c>
      <c r="GC156">
        <f>IF(ISNA(FV156),NA(),IF(OR(Capability!$Q$12="",Settings!$F$7&lt;&gt;"Y"),NA(),Capability!$Q$12))</f>
        <v/>
      </c>
      <c r="GD156">
        <f>IF(ISNA(FV156),NA(),IF(OR(Capability!$P$12="",Settings!$F$7&lt;&gt;"Y"),NA(),Capability!$P$12))</f>
        <v/>
      </c>
      <c r="GJ156">
        <f>IF((GM$1+152)&gt;GK$1,NA(),(GM$1+152)-4)</f>
        <v/>
      </c>
      <c r="GK156">
        <f>IF((GM$1+152)&gt;GK$1,NA(),INDEX('Data Entry'!$P$5:$P$10004,(GM$1+152)-4))</f>
        <v/>
      </c>
      <c r="GL156">
        <f>IF(ISNA(GJ156),NA(),Capability!$K$13)</f>
        <v/>
      </c>
      <c r="GM156">
        <f>IF(ISNA(GJ156),NA(),Capability!$J$13)</f>
        <v/>
      </c>
      <c r="GN156">
        <f>IF(ISNA(GJ156),NA(),Capability!$L$13)</f>
        <v/>
      </c>
      <c r="GO156">
        <f>IF(OR(ISNA(GK156),ISNA(GK155)),NA(),ABS(GK156-GK155))</f>
        <v/>
      </c>
      <c r="GP156">
        <f>IF(ISNA(GJ156),NA(),Capability!$N$13)</f>
        <v/>
      </c>
      <c r="GQ156">
        <f>IF(ISNA(GJ156),NA(),IF(OR(Capability!$Q$13="",Settings!$F$7&lt;&gt;"Y"),NA(),Capability!$Q$13))</f>
        <v/>
      </c>
      <c r="GR156">
        <f>IF(ISNA(GJ156),NA(),IF(OR(Capability!$P$13="",Settings!$F$7&lt;&gt;"Y"),NA(),Capability!$P$13))</f>
        <v/>
      </c>
      <c r="GX156">
        <f>IF((HA$1+152)&gt;GY$1,NA(),(HA$1+152)-4)</f>
        <v/>
      </c>
      <c r="GY156">
        <f>IF((HA$1+152)&gt;GY$1,NA(),INDEX('Data Entry'!$Q$5:$Q$10004,(HA$1+152)-4))</f>
        <v/>
      </c>
      <c r="GZ156">
        <f>IF(ISNA(GX156),NA(),Capability!$K$14)</f>
        <v/>
      </c>
      <c r="HA156">
        <f>IF(ISNA(GX156),NA(),Capability!$J$14)</f>
        <v/>
      </c>
      <c r="HB156">
        <f>IF(ISNA(GX156),NA(),Capability!$L$14)</f>
        <v/>
      </c>
      <c r="HC156">
        <f>IF(OR(ISNA(GY156),ISNA(GY155)),NA(),ABS(GY156-GY155))</f>
        <v/>
      </c>
      <c r="HD156">
        <f>IF(ISNA(GX156),NA(),Capability!$N$14)</f>
        <v/>
      </c>
      <c r="HE156">
        <f>IF(ISNA(GX156),NA(),IF(OR(Capability!$Q$14="",Settings!$F$7&lt;&gt;"Y"),NA(),Capability!$Q$14))</f>
        <v/>
      </c>
      <c r="HF156">
        <f>IF(ISNA(GX156),NA(),IF(OR(Capability!$P$14="",Settings!$F$7&lt;&gt;"Y"),NA(),Capability!$P$14))</f>
        <v/>
      </c>
    </row>
    <row r="157">
      <c r="CB157">
        <f>IF((CE$1+153)&gt;CC$1,NA(),(CE$1+153)-4)</f>
        <v/>
      </c>
      <c r="CC157">
        <f>IF((CE$1+153)&gt;CC$1,NA(),INDEX('Data Entry'!$H$5:$H$10004,(CE$1+153)-4))</f>
        <v/>
      </c>
      <c r="CD157">
        <f>IF(ISNA(CB157),NA(),Capability!$K$5)</f>
        <v/>
      </c>
      <c r="CE157">
        <f>IF(ISNA(CB157),NA(),Capability!$J$5)</f>
        <v/>
      </c>
      <c r="CF157">
        <f>IF(ISNA(CB157),NA(),Capability!$L$5)</f>
        <v/>
      </c>
      <c r="CG157">
        <f>IF(OR(ISNA(CC157),ISNA(CC156)),NA(),ABS(CC157-CC156))</f>
        <v/>
      </c>
      <c r="CH157">
        <f>IF(ISNA(CB157),NA(),Capability!$N$5)</f>
        <v/>
      </c>
      <c r="CI157">
        <f>IF(ISNA(CB157),NA(),IF(OR(Capability!$Q$5="",Settings!$F$7&lt;&gt;"Y"),NA(),Capability!$Q$5))</f>
        <v/>
      </c>
      <c r="CJ157">
        <f>IF(ISNA(CB157),NA(),IF(OR(Capability!$P$5="",Settings!$F$7&lt;&gt;"Y"),NA(),Capability!$P$5))</f>
        <v/>
      </c>
      <c r="CP157">
        <f>IF((CS$1+153)&gt;CQ$1,NA(),(CS$1+153)-4)</f>
        <v/>
      </c>
      <c r="CQ157">
        <f>IF((CS$1+153)&gt;CQ$1,NA(),INDEX('Data Entry'!$I$5:$I$10004,(CS$1+153)-4))</f>
        <v/>
      </c>
      <c r="CR157">
        <f>IF(ISNA(CP157),NA(),Capability!$K$6)</f>
        <v/>
      </c>
      <c r="CS157">
        <f>IF(ISNA(CP157),NA(),Capability!$J$6)</f>
        <v/>
      </c>
      <c r="CT157">
        <f>IF(ISNA(CP157),NA(),Capability!$L$6)</f>
        <v/>
      </c>
      <c r="CU157">
        <f>IF(OR(ISNA(CQ157),ISNA(CQ156)),NA(),ABS(CQ157-CQ156))</f>
        <v/>
      </c>
      <c r="CV157">
        <f>IF(ISNA(CP157),NA(),Capability!$N$6)</f>
        <v/>
      </c>
      <c r="CW157">
        <f>IF(ISNA(CP157),NA(),IF(OR(Capability!$Q$6="",Settings!$F$7&lt;&gt;"Y"),NA(),Capability!$Q$6))</f>
        <v/>
      </c>
      <c r="CX157">
        <f>IF(ISNA(CP157),NA(),IF(OR(Capability!$P$6="",Settings!$F$7&lt;&gt;"Y"),NA(),Capability!$P$6))</f>
        <v/>
      </c>
      <c r="DD157">
        <f>IF((DG$1+153)&gt;DE$1,NA(),(DG$1+153)-4)</f>
        <v/>
      </c>
      <c r="DE157">
        <f>IF((DG$1+153)&gt;DE$1,NA(),INDEX('Data Entry'!$J$5:$J$10004,(DG$1+153)-4))</f>
        <v/>
      </c>
      <c r="DF157">
        <f>IF(ISNA(DD157),NA(),Capability!$K$7)</f>
        <v/>
      </c>
      <c r="DG157">
        <f>IF(ISNA(DD157),NA(),Capability!$J$7)</f>
        <v/>
      </c>
      <c r="DH157">
        <f>IF(ISNA(DD157),NA(),Capability!$L$7)</f>
        <v/>
      </c>
      <c r="DI157">
        <f>IF(OR(ISNA(DE157),ISNA(DE156)),NA(),ABS(DE157-DE156))</f>
        <v/>
      </c>
      <c r="DJ157">
        <f>IF(ISNA(DD157),NA(),Capability!$N$7)</f>
        <v/>
      </c>
      <c r="DK157">
        <f>IF(ISNA(DD157),NA(),IF(OR(Capability!$Q$7="",Settings!$F$7&lt;&gt;"Y"),NA(),Capability!$Q$7))</f>
        <v/>
      </c>
      <c r="DL157">
        <f>IF(ISNA(DD157),NA(),IF(OR(Capability!$P$7="",Settings!$F$7&lt;&gt;"Y"),NA(),Capability!$P$7))</f>
        <v/>
      </c>
      <c r="DR157">
        <f>IF((DU$1+153)&gt;DS$1,NA(),(DU$1+153)-4)</f>
        <v/>
      </c>
      <c r="DS157">
        <f>IF((DU$1+153)&gt;DS$1,NA(),INDEX('Data Entry'!$K$5:$K$10004,(DU$1+153)-4))</f>
        <v/>
      </c>
      <c r="DT157">
        <f>IF(ISNA(DR157),NA(),Capability!$K$8)</f>
        <v/>
      </c>
      <c r="DU157">
        <f>IF(ISNA(DR157),NA(),Capability!$J$8)</f>
        <v/>
      </c>
      <c r="DV157">
        <f>IF(ISNA(DR157),NA(),Capability!$L$8)</f>
        <v/>
      </c>
      <c r="DW157">
        <f>IF(OR(ISNA(DS157),ISNA(DS156)),NA(),ABS(DS157-DS156))</f>
        <v/>
      </c>
      <c r="DX157">
        <f>IF(ISNA(DR157),NA(),Capability!$N$8)</f>
        <v/>
      </c>
      <c r="DY157">
        <f>IF(ISNA(DR157),NA(),IF(OR(Capability!$Q$8="",Settings!$F$7&lt;&gt;"Y"),NA(),Capability!$Q$8))</f>
        <v/>
      </c>
      <c r="DZ157">
        <f>IF(ISNA(DR157),NA(),IF(OR(Capability!$P$8="",Settings!$F$7&lt;&gt;"Y"),NA(),Capability!$P$8))</f>
        <v/>
      </c>
      <c r="EF157">
        <f>IF((EI$1+153)&gt;EG$1,NA(),(EI$1+153)-4)</f>
        <v/>
      </c>
      <c r="EG157">
        <f>IF((EI$1+153)&gt;EG$1,NA(),INDEX('Data Entry'!$L$5:$L$10004,(EI$1+153)-4))</f>
        <v/>
      </c>
      <c r="EH157">
        <f>IF(ISNA(EF157),NA(),Capability!$K$9)</f>
        <v/>
      </c>
      <c r="EI157">
        <f>IF(ISNA(EF157),NA(),Capability!$J$9)</f>
        <v/>
      </c>
      <c r="EJ157">
        <f>IF(ISNA(EF157),NA(),Capability!$L$9)</f>
        <v/>
      </c>
      <c r="EK157">
        <f>IF(OR(ISNA(EG157),ISNA(EG156)),NA(),ABS(EG157-EG156))</f>
        <v/>
      </c>
      <c r="EL157">
        <f>IF(ISNA(EF157),NA(),Capability!$N$9)</f>
        <v/>
      </c>
      <c r="EM157">
        <f>IF(ISNA(EF157),NA(),IF(OR(Capability!$Q$9="",Settings!$F$7&lt;&gt;"Y"),NA(),Capability!$Q$9))</f>
        <v/>
      </c>
      <c r="EN157">
        <f>IF(ISNA(EF157),NA(),IF(OR(Capability!$P$9="",Settings!$F$7&lt;&gt;"Y"),NA(),Capability!$P$9))</f>
        <v/>
      </c>
      <c r="ET157">
        <f>IF((EW$1+153)&gt;EU$1,NA(),(EW$1+153)-4)</f>
        <v/>
      </c>
      <c r="EU157">
        <f>IF((EW$1+153)&gt;EU$1,NA(),INDEX('Data Entry'!$M$5:$M$10004,(EW$1+153)-4))</f>
        <v/>
      </c>
      <c r="EV157">
        <f>IF(ISNA(ET157),NA(),Capability!$K$10)</f>
        <v/>
      </c>
      <c r="EW157">
        <f>IF(ISNA(ET157),NA(),Capability!$J$10)</f>
        <v/>
      </c>
      <c r="EX157">
        <f>IF(ISNA(ET157),NA(),Capability!$L$10)</f>
        <v/>
      </c>
      <c r="EY157">
        <f>IF(OR(ISNA(EU157),ISNA(EU156)),NA(),ABS(EU157-EU156))</f>
        <v/>
      </c>
      <c r="EZ157">
        <f>IF(ISNA(ET157),NA(),Capability!$N$10)</f>
        <v/>
      </c>
      <c r="FA157">
        <f>IF(ISNA(ET157),NA(),IF(OR(Capability!$Q$10="",Settings!$F$7&lt;&gt;"Y"),NA(),Capability!$Q$10))</f>
        <v/>
      </c>
      <c r="FB157">
        <f>IF(ISNA(ET157),NA(),IF(OR(Capability!$P$10="",Settings!$F$7&lt;&gt;"Y"),NA(),Capability!$P$10))</f>
        <v/>
      </c>
      <c r="FH157">
        <f>IF((FK$1+153)&gt;FI$1,NA(),(FK$1+153)-4)</f>
        <v/>
      </c>
      <c r="FI157">
        <f>IF((FK$1+153)&gt;FI$1,NA(),INDEX('Data Entry'!$N$5:$N$10004,(FK$1+153)-4))</f>
        <v/>
      </c>
      <c r="FJ157">
        <f>IF(ISNA(FH157),NA(),Capability!$K$11)</f>
        <v/>
      </c>
      <c r="FK157">
        <f>IF(ISNA(FH157),NA(),Capability!$J$11)</f>
        <v/>
      </c>
      <c r="FL157">
        <f>IF(ISNA(FH157),NA(),Capability!$L$11)</f>
        <v/>
      </c>
      <c r="FM157">
        <f>IF(OR(ISNA(FI157),ISNA(FI156)),NA(),ABS(FI157-FI156))</f>
        <v/>
      </c>
      <c r="FN157">
        <f>IF(ISNA(FH157),NA(),Capability!$N$11)</f>
        <v/>
      </c>
      <c r="FO157">
        <f>IF(ISNA(FH157),NA(),IF(OR(Capability!$Q$11="",Settings!$F$7&lt;&gt;"Y"),NA(),Capability!$Q$11))</f>
        <v/>
      </c>
      <c r="FP157">
        <f>IF(ISNA(FH157),NA(),IF(OR(Capability!$P$11="",Settings!$F$7&lt;&gt;"Y"),NA(),Capability!$P$11))</f>
        <v/>
      </c>
      <c r="FV157">
        <f>IF((FY$1+153)&gt;FW$1,NA(),(FY$1+153)-4)</f>
        <v/>
      </c>
      <c r="FW157">
        <f>IF((FY$1+153)&gt;FW$1,NA(),INDEX('Data Entry'!$O$5:$O$10004,(FY$1+153)-4))</f>
        <v/>
      </c>
      <c r="FX157">
        <f>IF(ISNA(FV157),NA(),Capability!$K$12)</f>
        <v/>
      </c>
      <c r="FY157">
        <f>IF(ISNA(FV157),NA(),Capability!$J$12)</f>
        <v/>
      </c>
      <c r="FZ157">
        <f>IF(ISNA(FV157),NA(),Capability!$L$12)</f>
        <v/>
      </c>
      <c r="GA157">
        <f>IF(OR(ISNA(FW157),ISNA(FW156)),NA(),ABS(FW157-FW156))</f>
        <v/>
      </c>
      <c r="GB157">
        <f>IF(ISNA(FV157),NA(),Capability!$N$12)</f>
        <v/>
      </c>
      <c r="GC157">
        <f>IF(ISNA(FV157),NA(),IF(OR(Capability!$Q$12="",Settings!$F$7&lt;&gt;"Y"),NA(),Capability!$Q$12))</f>
        <v/>
      </c>
      <c r="GD157">
        <f>IF(ISNA(FV157),NA(),IF(OR(Capability!$P$12="",Settings!$F$7&lt;&gt;"Y"),NA(),Capability!$P$12))</f>
        <v/>
      </c>
      <c r="GJ157">
        <f>IF((GM$1+153)&gt;GK$1,NA(),(GM$1+153)-4)</f>
        <v/>
      </c>
      <c r="GK157">
        <f>IF((GM$1+153)&gt;GK$1,NA(),INDEX('Data Entry'!$P$5:$P$10004,(GM$1+153)-4))</f>
        <v/>
      </c>
      <c r="GL157">
        <f>IF(ISNA(GJ157),NA(),Capability!$K$13)</f>
        <v/>
      </c>
      <c r="GM157">
        <f>IF(ISNA(GJ157),NA(),Capability!$J$13)</f>
        <v/>
      </c>
      <c r="GN157">
        <f>IF(ISNA(GJ157),NA(),Capability!$L$13)</f>
        <v/>
      </c>
      <c r="GO157">
        <f>IF(OR(ISNA(GK157),ISNA(GK156)),NA(),ABS(GK157-GK156))</f>
        <v/>
      </c>
      <c r="GP157">
        <f>IF(ISNA(GJ157),NA(),Capability!$N$13)</f>
        <v/>
      </c>
      <c r="GQ157">
        <f>IF(ISNA(GJ157),NA(),IF(OR(Capability!$Q$13="",Settings!$F$7&lt;&gt;"Y"),NA(),Capability!$Q$13))</f>
        <v/>
      </c>
      <c r="GR157">
        <f>IF(ISNA(GJ157),NA(),IF(OR(Capability!$P$13="",Settings!$F$7&lt;&gt;"Y"),NA(),Capability!$P$13))</f>
        <v/>
      </c>
      <c r="GX157">
        <f>IF((HA$1+153)&gt;GY$1,NA(),(HA$1+153)-4)</f>
        <v/>
      </c>
      <c r="GY157">
        <f>IF((HA$1+153)&gt;GY$1,NA(),INDEX('Data Entry'!$Q$5:$Q$10004,(HA$1+153)-4))</f>
        <v/>
      </c>
      <c r="GZ157">
        <f>IF(ISNA(GX157),NA(),Capability!$K$14)</f>
        <v/>
      </c>
      <c r="HA157">
        <f>IF(ISNA(GX157),NA(),Capability!$J$14)</f>
        <v/>
      </c>
      <c r="HB157">
        <f>IF(ISNA(GX157),NA(),Capability!$L$14)</f>
        <v/>
      </c>
      <c r="HC157">
        <f>IF(OR(ISNA(GY157),ISNA(GY156)),NA(),ABS(GY157-GY156))</f>
        <v/>
      </c>
      <c r="HD157">
        <f>IF(ISNA(GX157),NA(),Capability!$N$14)</f>
        <v/>
      </c>
      <c r="HE157">
        <f>IF(ISNA(GX157),NA(),IF(OR(Capability!$Q$14="",Settings!$F$7&lt;&gt;"Y"),NA(),Capability!$Q$14))</f>
        <v/>
      </c>
      <c r="HF157">
        <f>IF(ISNA(GX157),NA(),IF(OR(Capability!$P$14="",Settings!$F$7&lt;&gt;"Y"),NA(),Capability!$P$14))</f>
        <v/>
      </c>
    </row>
    <row r="158">
      <c r="CB158">
        <f>IF((CE$1+154)&gt;CC$1,NA(),(CE$1+154)-4)</f>
        <v/>
      </c>
      <c r="CC158">
        <f>IF((CE$1+154)&gt;CC$1,NA(),INDEX('Data Entry'!$H$5:$H$10004,(CE$1+154)-4))</f>
        <v/>
      </c>
      <c r="CD158">
        <f>IF(ISNA(CB158),NA(),Capability!$K$5)</f>
        <v/>
      </c>
      <c r="CE158">
        <f>IF(ISNA(CB158),NA(),Capability!$J$5)</f>
        <v/>
      </c>
      <c r="CF158">
        <f>IF(ISNA(CB158),NA(),Capability!$L$5)</f>
        <v/>
      </c>
      <c r="CG158">
        <f>IF(OR(ISNA(CC158),ISNA(CC157)),NA(),ABS(CC158-CC157))</f>
        <v/>
      </c>
      <c r="CH158">
        <f>IF(ISNA(CB158),NA(),Capability!$N$5)</f>
        <v/>
      </c>
      <c r="CI158">
        <f>IF(ISNA(CB158),NA(),IF(OR(Capability!$Q$5="",Settings!$F$7&lt;&gt;"Y"),NA(),Capability!$Q$5))</f>
        <v/>
      </c>
      <c r="CJ158">
        <f>IF(ISNA(CB158),NA(),IF(OR(Capability!$P$5="",Settings!$F$7&lt;&gt;"Y"),NA(),Capability!$P$5))</f>
        <v/>
      </c>
      <c r="CP158">
        <f>IF((CS$1+154)&gt;CQ$1,NA(),(CS$1+154)-4)</f>
        <v/>
      </c>
      <c r="CQ158">
        <f>IF((CS$1+154)&gt;CQ$1,NA(),INDEX('Data Entry'!$I$5:$I$10004,(CS$1+154)-4))</f>
        <v/>
      </c>
      <c r="CR158">
        <f>IF(ISNA(CP158),NA(),Capability!$K$6)</f>
        <v/>
      </c>
      <c r="CS158">
        <f>IF(ISNA(CP158),NA(),Capability!$J$6)</f>
        <v/>
      </c>
      <c r="CT158">
        <f>IF(ISNA(CP158),NA(),Capability!$L$6)</f>
        <v/>
      </c>
      <c r="CU158">
        <f>IF(OR(ISNA(CQ158),ISNA(CQ157)),NA(),ABS(CQ158-CQ157))</f>
        <v/>
      </c>
      <c r="CV158">
        <f>IF(ISNA(CP158),NA(),Capability!$N$6)</f>
        <v/>
      </c>
      <c r="CW158">
        <f>IF(ISNA(CP158),NA(),IF(OR(Capability!$Q$6="",Settings!$F$7&lt;&gt;"Y"),NA(),Capability!$Q$6))</f>
        <v/>
      </c>
      <c r="CX158">
        <f>IF(ISNA(CP158),NA(),IF(OR(Capability!$P$6="",Settings!$F$7&lt;&gt;"Y"),NA(),Capability!$P$6))</f>
        <v/>
      </c>
      <c r="DD158">
        <f>IF((DG$1+154)&gt;DE$1,NA(),(DG$1+154)-4)</f>
        <v/>
      </c>
      <c r="DE158">
        <f>IF((DG$1+154)&gt;DE$1,NA(),INDEX('Data Entry'!$J$5:$J$10004,(DG$1+154)-4))</f>
        <v/>
      </c>
      <c r="DF158">
        <f>IF(ISNA(DD158),NA(),Capability!$K$7)</f>
        <v/>
      </c>
      <c r="DG158">
        <f>IF(ISNA(DD158),NA(),Capability!$J$7)</f>
        <v/>
      </c>
      <c r="DH158">
        <f>IF(ISNA(DD158),NA(),Capability!$L$7)</f>
        <v/>
      </c>
      <c r="DI158">
        <f>IF(OR(ISNA(DE158),ISNA(DE157)),NA(),ABS(DE158-DE157))</f>
        <v/>
      </c>
      <c r="DJ158">
        <f>IF(ISNA(DD158),NA(),Capability!$N$7)</f>
        <v/>
      </c>
      <c r="DK158">
        <f>IF(ISNA(DD158),NA(),IF(OR(Capability!$Q$7="",Settings!$F$7&lt;&gt;"Y"),NA(),Capability!$Q$7))</f>
        <v/>
      </c>
      <c r="DL158">
        <f>IF(ISNA(DD158),NA(),IF(OR(Capability!$P$7="",Settings!$F$7&lt;&gt;"Y"),NA(),Capability!$P$7))</f>
        <v/>
      </c>
      <c r="DR158">
        <f>IF((DU$1+154)&gt;DS$1,NA(),(DU$1+154)-4)</f>
        <v/>
      </c>
      <c r="DS158">
        <f>IF((DU$1+154)&gt;DS$1,NA(),INDEX('Data Entry'!$K$5:$K$10004,(DU$1+154)-4))</f>
        <v/>
      </c>
      <c r="DT158">
        <f>IF(ISNA(DR158),NA(),Capability!$K$8)</f>
        <v/>
      </c>
      <c r="DU158">
        <f>IF(ISNA(DR158),NA(),Capability!$J$8)</f>
        <v/>
      </c>
      <c r="DV158">
        <f>IF(ISNA(DR158),NA(),Capability!$L$8)</f>
        <v/>
      </c>
      <c r="DW158">
        <f>IF(OR(ISNA(DS158),ISNA(DS157)),NA(),ABS(DS158-DS157))</f>
        <v/>
      </c>
      <c r="DX158">
        <f>IF(ISNA(DR158),NA(),Capability!$N$8)</f>
        <v/>
      </c>
      <c r="DY158">
        <f>IF(ISNA(DR158),NA(),IF(OR(Capability!$Q$8="",Settings!$F$7&lt;&gt;"Y"),NA(),Capability!$Q$8))</f>
        <v/>
      </c>
      <c r="DZ158">
        <f>IF(ISNA(DR158),NA(),IF(OR(Capability!$P$8="",Settings!$F$7&lt;&gt;"Y"),NA(),Capability!$P$8))</f>
        <v/>
      </c>
      <c r="EF158">
        <f>IF((EI$1+154)&gt;EG$1,NA(),(EI$1+154)-4)</f>
        <v/>
      </c>
      <c r="EG158">
        <f>IF((EI$1+154)&gt;EG$1,NA(),INDEX('Data Entry'!$L$5:$L$10004,(EI$1+154)-4))</f>
        <v/>
      </c>
      <c r="EH158">
        <f>IF(ISNA(EF158),NA(),Capability!$K$9)</f>
        <v/>
      </c>
      <c r="EI158">
        <f>IF(ISNA(EF158),NA(),Capability!$J$9)</f>
        <v/>
      </c>
      <c r="EJ158">
        <f>IF(ISNA(EF158),NA(),Capability!$L$9)</f>
        <v/>
      </c>
      <c r="EK158">
        <f>IF(OR(ISNA(EG158),ISNA(EG157)),NA(),ABS(EG158-EG157))</f>
        <v/>
      </c>
      <c r="EL158">
        <f>IF(ISNA(EF158),NA(),Capability!$N$9)</f>
        <v/>
      </c>
      <c r="EM158">
        <f>IF(ISNA(EF158),NA(),IF(OR(Capability!$Q$9="",Settings!$F$7&lt;&gt;"Y"),NA(),Capability!$Q$9))</f>
        <v/>
      </c>
      <c r="EN158">
        <f>IF(ISNA(EF158),NA(),IF(OR(Capability!$P$9="",Settings!$F$7&lt;&gt;"Y"),NA(),Capability!$P$9))</f>
        <v/>
      </c>
      <c r="ET158">
        <f>IF((EW$1+154)&gt;EU$1,NA(),(EW$1+154)-4)</f>
        <v/>
      </c>
      <c r="EU158">
        <f>IF((EW$1+154)&gt;EU$1,NA(),INDEX('Data Entry'!$M$5:$M$10004,(EW$1+154)-4))</f>
        <v/>
      </c>
      <c r="EV158">
        <f>IF(ISNA(ET158),NA(),Capability!$K$10)</f>
        <v/>
      </c>
      <c r="EW158">
        <f>IF(ISNA(ET158),NA(),Capability!$J$10)</f>
        <v/>
      </c>
      <c r="EX158">
        <f>IF(ISNA(ET158),NA(),Capability!$L$10)</f>
        <v/>
      </c>
      <c r="EY158">
        <f>IF(OR(ISNA(EU158),ISNA(EU157)),NA(),ABS(EU158-EU157))</f>
        <v/>
      </c>
      <c r="EZ158">
        <f>IF(ISNA(ET158),NA(),Capability!$N$10)</f>
        <v/>
      </c>
      <c r="FA158">
        <f>IF(ISNA(ET158),NA(),IF(OR(Capability!$Q$10="",Settings!$F$7&lt;&gt;"Y"),NA(),Capability!$Q$10))</f>
        <v/>
      </c>
      <c r="FB158">
        <f>IF(ISNA(ET158),NA(),IF(OR(Capability!$P$10="",Settings!$F$7&lt;&gt;"Y"),NA(),Capability!$P$10))</f>
        <v/>
      </c>
      <c r="FH158">
        <f>IF((FK$1+154)&gt;FI$1,NA(),(FK$1+154)-4)</f>
        <v/>
      </c>
      <c r="FI158">
        <f>IF((FK$1+154)&gt;FI$1,NA(),INDEX('Data Entry'!$N$5:$N$10004,(FK$1+154)-4))</f>
        <v/>
      </c>
      <c r="FJ158">
        <f>IF(ISNA(FH158),NA(),Capability!$K$11)</f>
        <v/>
      </c>
      <c r="FK158">
        <f>IF(ISNA(FH158),NA(),Capability!$J$11)</f>
        <v/>
      </c>
      <c r="FL158">
        <f>IF(ISNA(FH158),NA(),Capability!$L$11)</f>
        <v/>
      </c>
      <c r="FM158">
        <f>IF(OR(ISNA(FI158),ISNA(FI157)),NA(),ABS(FI158-FI157))</f>
        <v/>
      </c>
      <c r="FN158">
        <f>IF(ISNA(FH158),NA(),Capability!$N$11)</f>
        <v/>
      </c>
      <c r="FO158">
        <f>IF(ISNA(FH158),NA(),IF(OR(Capability!$Q$11="",Settings!$F$7&lt;&gt;"Y"),NA(),Capability!$Q$11))</f>
        <v/>
      </c>
      <c r="FP158">
        <f>IF(ISNA(FH158),NA(),IF(OR(Capability!$P$11="",Settings!$F$7&lt;&gt;"Y"),NA(),Capability!$P$11))</f>
        <v/>
      </c>
      <c r="FV158">
        <f>IF((FY$1+154)&gt;FW$1,NA(),(FY$1+154)-4)</f>
        <v/>
      </c>
      <c r="FW158">
        <f>IF((FY$1+154)&gt;FW$1,NA(),INDEX('Data Entry'!$O$5:$O$10004,(FY$1+154)-4))</f>
        <v/>
      </c>
      <c r="FX158">
        <f>IF(ISNA(FV158),NA(),Capability!$K$12)</f>
        <v/>
      </c>
      <c r="FY158">
        <f>IF(ISNA(FV158),NA(),Capability!$J$12)</f>
        <v/>
      </c>
      <c r="FZ158">
        <f>IF(ISNA(FV158),NA(),Capability!$L$12)</f>
        <v/>
      </c>
      <c r="GA158">
        <f>IF(OR(ISNA(FW158),ISNA(FW157)),NA(),ABS(FW158-FW157))</f>
        <v/>
      </c>
      <c r="GB158">
        <f>IF(ISNA(FV158),NA(),Capability!$N$12)</f>
        <v/>
      </c>
      <c r="GC158">
        <f>IF(ISNA(FV158),NA(),IF(OR(Capability!$Q$12="",Settings!$F$7&lt;&gt;"Y"),NA(),Capability!$Q$12))</f>
        <v/>
      </c>
      <c r="GD158">
        <f>IF(ISNA(FV158),NA(),IF(OR(Capability!$P$12="",Settings!$F$7&lt;&gt;"Y"),NA(),Capability!$P$12))</f>
        <v/>
      </c>
      <c r="GJ158">
        <f>IF((GM$1+154)&gt;GK$1,NA(),(GM$1+154)-4)</f>
        <v/>
      </c>
      <c r="GK158">
        <f>IF((GM$1+154)&gt;GK$1,NA(),INDEX('Data Entry'!$P$5:$P$10004,(GM$1+154)-4))</f>
        <v/>
      </c>
      <c r="GL158">
        <f>IF(ISNA(GJ158),NA(),Capability!$K$13)</f>
        <v/>
      </c>
      <c r="GM158">
        <f>IF(ISNA(GJ158),NA(),Capability!$J$13)</f>
        <v/>
      </c>
      <c r="GN158">
        <f>IF(ISNA(GJ158),NA(),Capability!$L$13)</f>
        <v/>
      </c>
      <c r="GO158">
        <f>IF(OR(ISNA(GK158),ISNA(GK157)),NA(),ABS(GK158-GK157))</f>
        <v/>
      </c>
      <c r="GP158">
        <f>IF(ISNA(GJ158),NA(),Capability!$N$13)</f>
        <v/>
      </c>
      <c r="GQ158">
        <f>IF(ISNA(GJ158),NA(),IF(OR(Capability!$Q$13="",Settings!$F$7&lt;&gt;"Y"),NA(),Capability!$Q$13))</f>
        <v/>
      </c>
      <c r="GR158">
        <f>IF(ISNA(GJ158),NA(),IF(OR(Capability!$P$13="",Settings!$F$7&lt;&gt;"Y"),NA(),Capability!$P$13))</f>
        <v/>
      </c>
      <c r="GX158">
        <f>IF((HA$1+154)&gt;GY$1,NA(),(HA$1+154)-4)</f>
        <v/>
      </c>
      <c r="GY158">
        <f>IF((HA$1+154)&gt;GY$1,NA(),INDEX('Data Entry'!$Q$5:$Q$10004,(HA$1+154)-4))</f>
        <v/>
      </c>
      <c r="GZ158">
        <f>IF(ISNA(GX158),NA(),Capability!$K$14)</f>
        <v/>
      </c>
      <c r="HA158">
        <f>IF(ISNA(GX158),NA(),Capability!$J$14)</f>
        <v/>
      </c>
      <c r="HB158">
        <f>IF(ISNA(GX158),NA(),Capability!$L$14)</f>
        <v/>
      </c>
      <c r="HC158">
        <f>IF(OR(ISNA(GY158),ISNA(GY157)),NA(),ABS(GY158-GY157))</f>
        <v/>
      </c>
      <c r="HD158">
        <f>IF(ISNA(GX158),NA(),Capability!$N$14)</f>
        <v/>
      </c>
      <c r="HE158">
        <f>IF(ISNA(GX158),NA(),IF(OR(Capability!$Q$14="",Settings!$F$7&lt;&gt;"Y"),NA(),Capability!$Q$14))</f>
        <v/>
      </c>
      <c r="HF158">
        <f>IF(ISNA(GX158),NA(),IF(OR(Capability!$P$14="",Settings!$F$7&lt;&gt;"Y"),NA(),Capability!$P$14))</f>
        <v/>
      </c>
    </row>
    <row r="159">
      <c r="CB159">
        <f>IF((CE$1+155)&gt;CC$1,NA(),(CE$1+155)-4)</f>
        <v/>
      </c>
      <c r="CC159">
        <f>IF((CE$1+155)&gt;CC$1,NA(),INDEX('Data Entry'!$H$5:$H$10004,(CE$1+155)-4))</f>
        <v/>
      </c>
      <c r="CD159">
        <f>IF(ISNA(CB159),NA(),Capability!$K$5)</f>
        <v/>
      </c>
      <c r="CE159">
        <f>IF(ISNA(CB159),NA(),Capability!$J$5)</f>
        <v/>
      </c>
      <c r="CF159">
        <f>IF(ISNA(CB159),NA(),Capability!$L$5)</f>
        <v/>
      </c>
      <c r="CG159">
        <f>IF(OR(ISNA(CC159),ISNA(CC158)),NA(),ABS(CC159-CC158))</f>
        <v/>
      </c>
      <c r="CH159">
        <f>IF(ISNA(CB159),NA(),Capability!$N$5)</f>
        <v/>
      </c>
      <c r="CI159">
        <f>IF(ISNA(CB159),NA(),IF(OR(Capability!$Q$5="",Settings!$F$7&lt;&gt;"Y"),NA(),Capability!$Q$5))</f>
        <v/>
      </c>
      <c r="CJ159">
        <f>IF(ISNA(CB159),NA(),IF(OR(Capability!$P$5="",Settings!$F$7&lt;&gt;"Y"),NA(),Capability!$P$5))</f>
        <v/>
      </c>
      <c r="CP159">
        <f>IF((CS$1+155)&gt;CQ$1,NA(),(CS$1+155)-4)</f>
        <v/>
      </c>
      <c r="CQ159">
        <f>IF((CS$1+155)&gt;CQ$1,NA(),INDEX('Data Entry'!$I$5:$I$10004,(CS$1+155)-4))</f>
        <v/>
      </c>
      <c r="CR159">
        <f>IF(ISNA(CP159),NA(),Capability!$K$6)</f>
        <v/>
      </c>
      <c r="CS159">
        <f>IF(ISNA(CP159),NA(),Capability!$J$6)</f>
        <v/>
      </c>
      <c r="CT159">
        <f>IF(ISNA(CP159),NA(),Capability!$L$6)</f>
        <v/>
      </c>
      <c r="CU159">
        <f>IF(OR(ISNA(CQ159),ISNA(CQ158)),NA(),ABS(CQ159-CQ158))</f>
        <v/>
      </c>
      <c r="CV159">
        <f>IF(ISNA(CP159),NA(),Capability!$N$6)</f>
        <v/>
      </c>
      <c r="CW159">
        <f>IF(ISNA(CP159),NA(),IF(OR(Capability!$Q$6="",Settings!$F$7&lt;&gt;"Y"),NA(),Capability!$Q$6))</f>
        <v/>
      </c>
      <c r="CX159">
        <f>IF(ISNA(CP159),NA(),IF(OR(Capability!$P$6="",Settings!$F$7&lt;&gt;"Y"),NA(),Capability!$P$6))</f>
        <v/>
      </c>
      <c r="DD159">
        <f>IF((DG$1+155)&gt;DE$1,NA(),(DG$1+155)-4)</f>
        <v/>
      </c>
      <c r="DE159">
        <f>IF((DG$1+155)&gt;DE$1,NA(),INDEX('Data Entry'!$J$5:$J$10004,(DG$1+155)-4))</f>
        <v/>
      </c>
      <c r="DF159">
        <f>IF(ISNA(DD159),NA(),Capability!$K$7)</f>
        <v/>
      </c>
      <c r="DG159">
        <f>IF(ISNA(DD159),NA(),Capability!$J$7)</f>
        <v/>
      </c>
      <c r="DH159">
        <f>IF(ISNA(DD159),NA(),Capability!$L$7)</f>
        <v/>
      </c>
      <c r="DI159">
        <f>IF(OR(ISNA(DE159),ISNA(DE158)),NA(),ABS(DE159-DE158))</f>
        <v/>
      </c>
      <c r="DJ159">
        <f>IF(ISNA(DD159),NA(),Capability!$N$7)</f>
        <v/>
      </c>
      <c r="DK159">
        <f>IF(ISNA(DD159),NA(),IF(OR(Capability!$Q$7="",Settings!$F$7&lt;&gt;"Y"),NA(),Capability!$Q$7))</f>
        <v/>
      </c>
      <c r="DL159">
        <f>IF(ISNA(DD159),NA(),IF(OR(Capability!$P$7="",Settings!$F$7&lt;&gt;"Y"),NA(),Capability!$P$7))</f>
        <v/>
      </c>
      <c r="DR159">
        <f>IF((DU$1+155)&gt;DS$1,NA(),(DU$1+155)-4)</f>
        <v/>
      </c>
      <c r="DS159">
        <f>IF((DU$1+155)&gt;DS$1,NA(),INDEX('Data Entry'!$K$5:$K$10004,(DU$1+155)-4))</f>
        <v/>
      </c>
      <c r="DT159">
        <f>IF(ISNA(DR159),NA(),Capability!$K$8)</f>
        <v/>
      </c>
      <c r="DU159">
        <f>IF(ISNA(DR159),NA(),Capability!$J$8)</f>
        <v/>
      </c>
      <c r="DV159">
        <f>IF(ISNA(DR159),NA(),Capability!$L$8)</f>
        <v/>
      </c>
      <c r="DW159">
        <f>IF(OR(ISNA(DS159),ISNA(DS158)),NA(),ABS(DS159-DS158))</f>
        <v/>
      </c>
      <c r="DX159">
        <f>IF(ISNA(DR159),NA(),Capability!$N$8)</f>
        <v/>
      </c>
      <c r="DY159">
        <f>IF(ISNA(DR159),NA(),IF(OR(Capability!$Q$8="",Settings!$F$7&lt;&gt;"Y"),NA(),Capability!$Q$8))</f>
        <v/>
      </c>
      <c r="DZ159">
        <f>IF(ISNA(DR159),NA(),IF(OR(Capability!$P$8="",Settings!$F$7&lt;&gt;"Y"),NA(),Capability!$P$8))</f>
        <v/>
      </c>
      <c r="EF159">
        <f>IF((EI$1+155)&gt;EG$1,NA(),(EI$1+155)-4)</f>
        <v/>
      </c>
      <c r="EG159">
        <f>IF((EI$1+155)&gt;EG$1,NA(),INDEX('Data Entry'!$L$5:$L$10004,(EI$1+155)-4))</f>
        <v/>
      </c>
      <c r="EH159">
        <f>IF(ISNA(EF159),NA(),Capability!$K$9)</f>
        <v/>
      </c>
      <c r="EI159">
        <f>IF(ISNA(EF159),NA(),Capability!$J$9)</f>
        <v/>
      </c>
      <c r="EJ159">
        <f>IF(ISNA(EF159),NA(),Capability!$L$9)</f>
        <v/>
      </c>
      <c r="EK159">
        <f>IF(OR(ISNA(EG159),ISNA(EG158)),NA(),ABS(EG159-EG158))</f>
        <v/>
      </c>
      <c r="EL159">
        <f>IF(ISNA(EF159),NA(),Capability!$N$9)</f>
        <v/>
      </c>
      <c r="EM159">
        <f>IF(ISNA(EF159),NA(),IF(OR(Capability!$Q$9="",Settings!$F$7&lt;&gt;"Y"),NA(),Capability!$Q$9))</f>
        <v/>
      </c>
      <c r="EN159">
        <f>IF(ISNA(EF159),NA(),IF(OR(Capability!$P$9="",Settings!$F$7&lt;&gt;"Y"),NA(),Capability!$P$9))</f>
        <v/>
      </c>
      <c r="ET159">
        <f>IF((EW$1+155)&gt;EU$1,NA(),(EW$1+155)-4)</f>
        <v/>
      </c>
      <c r="EU159">
        <f>IF((EW$1+155)&gt;EU$1,NA(),INDEX('Data Entry'!$M$5:$M$10004,(EW$1+155)-4))</f>
        <v/>
      </c>
      <c r="EV159">
        <f>IF(ISNA(ET159),NA(),Capability!$K$10)</f>
        <v/>
      </c>
      <c r="EW159">
        <f>IF(ISNA(ET159),NA(),Capability!$J$10)</f>
        <v/>
      </c>
      <c r="EX159">
        <f>IF(ISNA(ET159),NA(),Capability!$L$10)</f>
        <v/>
      </c>
      <c r="EY159">
        <f>IF(OR(ISNA(EU159),ISNA(EU158)),NA(),ABS(EU159-EU158))</f>
        <v/>
      </c>
      <c r="EZ159">
        <f>IF(ISNA(ET159),NA(),Capability!$N$10)</f>
        <v/>
      </c>
      <c r="FA159">
        <f>IF(ISNA(ET159),NA(),IF(OR(Capability!$Q$10="",Settings!$F$7&lt;&gt;"Y"),NA(),Capability!$Q$10))</f>
        <v/>
      </c>
      <c r="FB159">
        <f>IF(ISNA(ET159),NA(),IF(OR(Capability!$P$10="",Settings!$F$7&lt;&gt;"Y"),NA(),Capability!$P$10))</f>
        <v/>
      </c>
      <c r="FH159">
        <f>IF((FK$1+155)&gt;FI$1,NA(),(FK$1+155)-4)</f>
        <v/>
      </c>
      <c r="FI159">
        <f>IF((FK$1+155)&gt;FI$1,NA(),INDEX('Data Entry'!$N$5:$N$10004,(FK$1+155)-4))</f>
        <v/>
      </c>
      <c r="FJ159">
        <f>IF(ISNA(FH159),NA(),Capability!$K$11)</f>
        <v/>
      </c>
      <c r="FK159">
        <f>IF(ISNA(FH159),NA(),Capability!$J$11)</f>
        <v/>
      </c>
      <c r="FL159">
        <f>IF(ISNA(FH159),NA(),Capability!$L$11)</f>
        <v/>
      </c>
      <c r="FM159">
        <f>IF(OR(ISNA(FI159),ISNA(FI158)),NA(),ABS(FI159-FI158))</f>
        <v/>
      </c>
      <c r="FN159">
        <f>IF(ISNA(FH159),NA(),Capability!$N$11)</f>
        <v/>
      </c>
      <c r="FO159">
        <f>IF(ISNA(FH159),NA(),IF(OR(Capability!$Q$11="",Settings!$F$7&lt;&gt;"Y"),NA(),Capability!$Q$11))</f>
        <v/>
      </c>
      <c r="FP159">
        <f>IF(ISNA(FH159),NA(),IF(OR(Capability!$P$11="",Settings!$F$7&lt;&gt;"Y"),NA(),Capability!$P$11))</f>
        <v/>
      </c>
      <c r="FV159">
        <f>IF((FY$1+155)&gt;FW$1,NA(),(FY$1+155)-4)</f>
        <v/>
      </c>
      <c r="FW159">
        <f>IF((FY$1+155)&gt;FW$1,NA(),INDEX('Data Entry'!$O$5:$O$10004,(FY$1+155)-4))</f>
        <v/>
      </c>
      <c r="FX159">
        <f>IF(ISNA(FV159),NA(),Capability!$K$12)</f>
        <v/>
      </c>
      <c r="FY159">
        <f>IF(ISNA(FV159),NA(),Capability!$J$12)</f>
        <v/>
      </c>
      <c r="FZ159">
        <f>IF(ISNA(FV159),NA(),Capability!$L$12)</f>
        <v/>
      </c>
      <c r="GA159">
        <f>IF(OR(ISNA(FW159),ISNA(FW158)),NA(),ABS(FW159-FW158))</f>
        <v/>
      </c>
      <c r="GB159">
        <f>IF(ISNA(FV159),NA(),Capability!$N$12)</f>
        <v/>
      </c>
      <c r="GC159">
        <f>IF(ISNA(FV159),NA(),IF(OR(Capability!$Q$12="",Settings!$F$7&lt;&gt;"Y"),NA(),Capability!$Q$12))</f>
        <v/>
      </c>
      <c r="GD159">
        <f>IF(ISNA(FV159),NA(),IF(OR(Capability!$P$12="",Settings!$F$7&lt;&gt;"Y"),NA(),Capability!$P$12))</f>
        <v/>
      </c>
      <c r="GJ159">
        <f>IF((GM$1+155)&gt;GK$1,NA(),(GM$1+155)-4)</f>
        <v/>
      </c>
      <c r="GK159">
        <f>IF((GM$1+155)&gt;GK$1,NA(),INDEX('Data Entry'!$P$5:$P$10004,(GM$1+155)-4))</f>
        <v/>
      </c>
      <c r="GL159">
        <f>IF(ISNA(GJ159),NA(),Capability!$K$13)</f>
        <v/>
      </c>
      <c r="GM159">
        <f>IF(ISNA(GJ159),NA(),Capability!$J$13)</f>
        <v/>
      </c>
      <c r="GN159">
        <f>IF(ISNA(GJ159),NA(),Capability!$L$13)</f>
        <v/>
      </c>
      <c r="GO159">
        <f>IF(OR(ISNA(GK159),ISNA(GK158)),NA(),ABS(GK159-GK158))</f>
        <v/>
      </c>
      <c r="GP159">
        <f>IF(ISNA(GJ159),NA(),Capability!$N$13)</f>
        <v/>
      </c>
      <c r="GQ159">
        <f>IF(ISNA(GJ159),NA(),IF(OR(Capability!$Q$13="",Settings!$F$7&lt;&gt;"Y"),NA(),Capability!$Q$13))</f>
        <v/>
      </c>
      <c r="GR159">
        <f>IF(ISNA(GJ159),NA(),IF(OR(Capability!$P$13="",Settings!$F$7&lt;&gt;"Y"),NA(),Capability!$P$13))</f>
        <v/>
      </c>
      <c r="GX159">
        <f>IF((HA$1+155)&gt;GY$1,NA(),(HA$1+155)-4)</f>
        <v/>
      </c>
      <c r="GY159">
        <f>IF((HA$1+155)&gt;GY$1,NA(),INDEX('Data Entry'!$Q$5:$Q$10004,(HA$1+155)-4))</f>
        <v/>
      </c>
      <c r="GZ159">
        <f>IF(ISNA(GX159),NA(),Capability!$K$14)</f>
        <v/>
      </c>
      <c r="HA159">
        <f>IF(ISNA(GX159),NA(),Capability!$J$14)</f>
        <v/>
      </c>
      <c r="HB159">
        <f>IF(ISNA(GX159),NA(),Capability!$L$14)</f>
        <v/>
      </c>
      <c r="HC159">
        <f>IF(OR(ISNA(GY159),ISNA(GY158)),NA(),ABS(GY159-GY158))</f>
        <v/>
      </c>
      <c r="HD159">
        <f>IF(ISNA(GX159),NA(),Capability!$N$14)</f>
        <v/>
      </c>
      <c r="HE159">
        <f>IF(ISNA(GX159),NA(),IF(OR(Capability!$Q$14="",Settings!$F$7&lt;&gt;"Y"),NA(),Capability!$Q$14))</f>
        <v/>
      </c>
      <c r="HF159">
        <f>IF(ISNA(GX159),NA(),IF(OR(Capability!$P$14="",Settings!$F$7&lt;&gt;"Y"),NA(),Capability!$P$14))</f>
        <v/>
      </c>
    </row>
    <row r="160">
      <c r="CB160">
        <f>IF((CE$1+156)&gt;CC$1,NA(),(CE$1+156)-4)</f>
        <v/>
      </c>
      <c r="CC160">
        <f>IF((CE$1+156)&gt;CC$1,NA(),INDEX('Data Entry'!$H$5:$H$10004,(CE$1+156)-4))</f>
        <v/>
      </c>
      <c r="CD160">
        <f>IF(ISNA(CB160),NA(),Capability!$K$5)</f>
        <v/>
      </c>
      <c r="CE160">
        <f>IF(ISNA(CB160),NA(),Capability!$J$5)</f>
        <v/>
      </c>
      <c r="CF160">
        <f>IF(ISNA(CB160),NA(),Capability!$L$5)</f>
        <v/>
      </c>
      <c r="CG160">
        <f>IF(OR(ISNA(CC160),ISNA(CC159)),NA(),ABS(CC160-CC159))</f>
        <v/>
      </c>
      <c r="CH160">
        <f>IF(ISNA(CB160),NA(),Capability!$N$5)</f>
        <v/>
      </c>
      <c r="CI160">
        <f>IF(ISNA(CB160),NA(),IF(OR(Capability!$Q$5="",Settings!$F$7&lt;&gt;"Y"),NA(),Capability!$Q$5))</f>
        <v/>
      </c>
      <c r="CJ160">
        <f>IF(ISNA(CB160),NA(),IF(OR(Capability!$P$5="",Settings!$F$7&lt;&gt;"Y"),NA(),Capability!$P$5))</f>
        <v/>
      </c>
      <c r="CP160">
        <f>IF((CS$1+156)&gt;CQ$1,NA(),(CS$1+156)-4)</f>
        <v/>
      </c>
      <c r="CQ160">
        <f>IF((CS$1+156)&gt;CQ$1,NA(),INDEX('Data Entry'!$I$5:$I$10004,(CS$1+156)-4))</f>
        <v/>
      </c>
      <c r="CR160">
        <f>IF(ISNA(CP160),NA(),Capability!$K$6)</f>
        <v/>
      </c>
      <c r="CS160">
        <f>IF(ISNA(CP160),NA(),Capability!$J$6)</f>
        <v/>
      </c>
      <c r="CT160">
        <f>IF(ISNA(CP160),NA(),Capability!$L$6)</f>
        <v/>
      </c>
      <c r="CU160">
        <f>IF(OR(ISNA(CQ160),ISNA(CQ159)),NA(),ABS(CQ160-CQ159))</f>
        <v/>
      </c>
      <c r="CV160">
        <f>IF(ISNA(CP160),NA(),Capability!$N$6)</f>
        <v/>
      </c>
      <c r="CW160">
        <f>IF(ISNA(CP160),NA(),IF(OR(Capability!$Q$6="",Settings!$F$7&lt;&gt;"Y"),NA(),Capability!$Q$6))</f>
        <v/>
      </c>
      <c r="CX160">
        <f>IF(ISNA(CP160),NA(),IF(OR(Capability!$P$6="",Settings!$F$7&lt;&gt;"Y"),NA(),Capability!$P$6))</f>
        <v/>
      </c>
      <c r="DD160">
        <f>IF((DG$1+156)&gt;DE$1,NA(),(DG$1+156)-4)</f>
        <v/>
      </c>
      <c r="DE160">
        <f>IF((DG$1+156)&gt;DE$1,NA(),INDEX('Data Entry'!$J$5:$J$10004,(DG$1+156)-4))</f>
        <v/>
      </c>
      <c r="DF160">
        <f>IF(ISNA(DD160),NA(),Capability!$K$7)</f>
        <v/>
      </c>
      <c r="DG160">
        <f>IF(ISNA(DD160),NA(),Capability!$J$7)</f>
        <v/>
      </c>
      <c r="DH160">
        <f>IF(ISNA(DD160),NA(),Capability!$L$7)</f>
        <v/>
      </c>
      <c r="DI160">
        <f>IF(OR(ISNA(DE160),ISNA(DE159)),NA(),ABS(DE160-DE159))</f>
        <v/>
      </c>
      <c r="DJ160">
        <f>IF(ISNA(DD160),NA(),Capability!$N$7)</f>
        <v/>
      </c>
      <c r="DK160">
        <f>IF(ISNA(DD160),NA(),IF(OR(Capability!$Q$7="",Settings!$F$7&lt;&gt;"Y"),NA(),Capability!$Q$7))</f>
        <v/>
      </c>
      <c r="DL160">
        <f>IF(ISNA(DD160),NA(),IF(OR(Capability!$P$7="",Settings!$F$7&lt;&gt;"Y"),NA(),Capability!$P$7))</f>
        <v/>
      </c>
      <c r="DR160">
        <f>IF((DU$1+156)&gt;DS$1,NA(),(DU$1+156)-4)</f>
        <v/>
      </c>
      <c r="DS160">
        <f>IF((DU$1+156)&gt;DS$1,NA(),INDEX('Data Entry'!$K$5:$K$10004,(DU$1+156)-4))</f>
        <v/>
      </c>
      <c r="DT160">
        <f>IF(ISNA(DR160),NA(),Capability!$K$8)</f>
        <v/>
      </c>
      <c r="DU160">
        <f>IF(ISNA(DR160),NA(),Capability!$J$8)</f>
        <v/>
      </c>
      <c r="DV160">
        <f>IF(ISNA(DR160),NA(),Capability!$L$8)</f>
        <v/>
      </c>
      <c r="DW160">
        <f>IF(OR(ISNA(DS160),ISNA(DS159)),NA(),ABS(DS160-DS159))</f>
        <v/>
      </c>
      <c r="DX160">
        <f>IF(ISNA(DR160),NA(),Capability!$N$8)</f>
        <v/>
      </c>
      <c r="DY160">
        <f>IF(ISNA(DR160),NA(),IF(OR(Capability!$Q$8="",Settings!$F$7&lt;&gt;"Y"),NA(),Capability!$Q$8))</f>
        <v/>
      </c>
      <c r="DZ160">
        <f>IF(ISNA(DR160),NA(),IF(OR(Capability!$P$8="",Settings!$F$7&lt;&gt;"Y"),NA(),Capability!$P$8))</f>
        <v/>
      </c>
      <c r="EF160">
        <f>IF((EI$1+156)&gt;EG$1,NA(),(EI$1+156)-4)</f>
        <v/>
      </c>
      <c r="EG160">
        <f>IF((EI$1+156)&gt;EG$1,NA(),INDEX('Data Entry'!$L$5:$L$10004,(EI$1+156)-4))</f>
        <v/>
      </c>
      <c r="EH160">
        <f>IF(ISNA(EF160),NA(),Capability!$K$9)</f>
        <v/>
      </c>
      <c r="EI160">
        <f>IF(ISNA(EF160),NA(),Capability!$J$9)</f>
        <v/>
      </c>
      <c r="EJ160">
        <f>IF(ISNA(EF160),NA(),Capability!$L$9)</f>
        <v/>
      </c>
      <c r="EK160">
        <f>IF(OR(ISNA(EG160),ISNA(EG159)),NA(),ABS(EG160-EG159))</f>
        <v/>
      </c>
      <c r="EL160">
        <f>IF(ISNA(EF160),NA(),Capability!$N$9)</f>
        <v/>
      </c>
      <c r="EM160">
        <f>IF(ISNA(EF160),NA(),IF(OR(Capability!$Q$9="",Settings!$F$7&lt;&gt;"Y"),NA(),Capability!$Q$9))</f>
        <v/>
      </c>
      <c r="EN160">
        <f>IF(ISNA(EF160),NA(),IF(OR(Capability!$P$9="",Settings!$F$7&lt;&gt;"Y"),NA(),Capability!$P$9))</f>
        <v/>
      </c>
      <c r="ET160">
        <f>IF((EW$1+156)&gt;EU$1,NA(),(EW$1+156)-4)</f>
        <v/>
      </c>
      <c r="EU160">
        <f>IF((EW$1+156)&gt;EU$1,NA(),INDEX('Data Entry'!$M$5:$M$10004,(EW$1+156)-4))</f>
        <v/>
      </c>
      <c r="EV160">
        <f>IF(ISNA(ET160),NA(),Capability!$K$10)</f>
        <v/>
      </c>
      <c r="EW160">
        <f>IF(ISNA(ET160),NA(),Capability!$J$10)</f>
        <v/>
      </c>
      <c r="EX160">
        <f>IF(ISNA(ET160),NA(),Capability!$L$10)</f>
        <v/>
      </c>
      <c r="EY160">
        <f>IF(OR(ISNA(EU160),ISNA(EU159)),NA(),ABS(EU160-EU159))</f>
        <v/>
      </c>
      <c r="EZ160">
        <f>IF(ISNA(ET160),NA(),Capability!$N$10)</f>
        <v/>
      </c>
      <c r="FA160">
        <f>IF(ISNA(ET160),NA(),IF(OR(Capability!$Q$10="",Settings!$F$7&lt;&gt;"Y"),NA(),Capability!$Q$10))</f>
        <v/>
      </c>
      <c r="FB160">
        <f>IF(ISNA(ET160),NA(),IF(OR(Capability!$P$10="",Settings!$F$7&lt;&gt;"Y"),NA(),Capability!$P$10))</f>
        <v/>
      </c>
      <c r="FH160">
        <f>IF((FK$1+156)&gt;FI$1,NA(),(FK$1+156)-4)</f>
        <v/>
      </c>
      <c r="FI160">
        <f>IF((FK$1+156)&gt;FI$1,NA(),INDEX('Data Entry'!$N$5:$N$10004,(FK$1+156)-4))</f>
        <v/>
      </c>
      <c r="FJ160">
        <f>IF(ISNA(FH160),NA(),Capability!$K$11)</f>
        <v/>
      </c>
      <c r="FK160">
        <f>IF(ISNA(FH160),NA(),Capability!$J$11)</f>
        <v/>
      </c>
      <c r="FL160">
        <f>IF(ISNA(FH160),NA(),Capability!$L$11)</f>
        <v/>
      </c>
      <c r="FM160">
        <f>IF(OR(ISNA(FI160),ISNA(FI159)),NA(),ABS(FI160-FI159))</f>
        <v/>
      </c>
      <c r="FN160">
        <f>IF(ISNA(FH160),NA(),Capability!$N$11)</f>
        <v/>
      </c>
      <c r="FO160">
        <f>IF(ISNA(FH160),NA(),IF(OR(Capability!$Q$11="",Settings!$F$7&lt;&gt;"Y"),NA(),Capability!$Q$11))</f>
        <v/>
      </c>
      <c r="FP160">
        <f>IF(ISNA(FH160),NA(),IF(OR(Capability!$P$11="",Settings!$F$7&lt;&gt;"Y"),NA(),Capability!$P$11))</f>
        <v/>
      </c>
      <c r="FV160">
        <f>IF((FY$1+156)&gt;FW$1,NA(),(FY$1+156)-4)</f>
        <v/>
      </c>
      <c r="FW160">
        <f>IF((FY$1+156)&gt;FW$1,NA(),INDEX('Data Entry'!$O$5:$O$10004,(FY$1+156)-4))</f>
        <v/>
      </c>
      <c r="FX160">
        <f>IF(ISNA(FV160),NA(),Capability!$K$12)</f>
        <v/>
      </c>
      <c r="FY160">
        <f>IF(ISNA(FV160),NA(),Capability!$J$12)</f>
        <v/>
      </c>
      <c r="FZ160">
        <f>IF(ISNA(FV160),NA(),Capability!$L$12)</f>
        <v/>
      </c>
      <c r="GA160">
        <f>IF(OR(ISNA(FW160),ISNA(FW159)),NA(),ABS(FW160-FW159))</f>
        <v/>
      </c>
      <c r="GB160">
        <f>IF(ISNA(FV160),NA(),Capability!$N$12)</f>
        <v/>
      </c>
      <c r="GC160">
        <f>IF(ISNA(FV160),NA(),IF(OR(Capability!$Q$12="",Settings!$F$7&lt;&gt;"Y"),NA(),Capability!$Q$12))</f>
        <v/>
      </c>
      <c r="GD160">
        <f>IF(ISNA(FV160),NA(),IF(OR(Capability!$P$12="",Settings!$F$7&lt;&gt;"Y"),NA(),Capability!$P$12))</f>
        <v/>
      </c>
      <c r="GJ160">
        <f>IF((GM$1+156)&gt;GK$1,NA(),(GM$1+156)-4)</f>
        <v/>
      </c>
      <c r="GK160">
        <f>IF((GM$1+156)&gt;GK$1,NA(),INDEX('Data Entry'!$P$5:$P$10004,(GM$1+156)-4))</f>
        <v/>
      </c>
      <c r="GL160">
        <f>IF(ISNA(GJ160),NA(),Capability!$K$13)</f>
        <v/>
      </c>
      <c r="GM160">
        <f>IF(ISNA(GJ160),NA(),Capability!$J$13)</f>
        <v/>
      </c>
      <c r="GN160">
        <f>IF(ISNA(GJ160),NA(),Capability!$L$13)</f>
        <v/>
      </c>
      <c r="GO160">
        <f>IF(OR(ISNA(GK160),ISNA(GK159)),NA(),ABS(GK160-GK159))</f>
        <v/>
      </c>
      <c r="GP160">
        <f>IF(ISNA(GJ160),NA(),Capability!$N$13)</f>
        <v/>
      </c>
      <c r="GQ160">
        <f>IF(ISNA(GJ160),NA(),IF(OR(Capability!$Q$13="",Settings!$F$7&lt;&gt;"Y"),NA(),Capability!$Q$13))</f>
        <v/>
      </c>
      <c r="GR160">
        <f>IF(ISNA(GJ160),NA(),IF(OR(Capability!$P$13="",Settings!$F$7&lt;&gt;"Y"),NA(),Capability!$P$13))</f>
        <v/>
      </c>
      <c r="GX160">
        <f>IF((HA$1+156)&gt;GY$1,NA(),(HA$1+156)-4)</f>
        <v/>
      </c>
      <c r="GY160">
        <f>IF((HA$1+156)&gt;GY$1,NA(),INDEX('Data Entry'!$Q$5:$Q$10004,(HA$1+156)-4))</f>
        <v/>
      </c>
      <c r="GZ160">
        <f>IF(ISNA(GX160),NA(),Capability!$K$14)</f>
        <v/>
      </c>
      <c r="HA160">
        <f>IF(ISNA(GX160),NA(),Capability!$J$14)</f>
        <v/>
      </c>
      <c r="HB160">
        <f>IF(ISNA(GX160),NA(),Capability!$L$14)</f>
        <v/>
      </c>
      <c r="HC160">
        <f>IF(OR(ISNA(GY160),ISNA(GY159)),NA(),ABS(GY160-GY159))</f>
        <v/>
      </c>
      <c r="HD160">
        <f>IF(ISNA(GX160),NA(),Capability!$N$14)</f>
        <v/>
      </c>
      <c r="HE160">
        <f>IF(ISNA(GX160),NA(),IF(OR(Capability!$Q$14="",Settings!$F$7&lt;&gt;"Y"),NA(),Capability!$Q$14))</f>
        <v/>
      </c>
      <c r="HF160">
        <f>IF(ISNA(GX160),NA(),IF(OR(Capability!$P$14="",Settings!$F$7&lt;&gt;"Y"),NA(),Capability!$P$14))</f>
        <v/>
      </c>
    </row>
    <row r="161">
      <c r="CB161">
        <f>IF((CE$1+157)&gt;CC$1,NA(),(CE$1+157)-4)</f>
        <v/>
      </c>
      <c r="CC161">
        <f>IF((CE$1+157)&gt;CC$1,NA(),INDEX('Data Entry'!$H$5:$H$10004,(CE$1+157)-4))</f>
        <v/>
      </c>
      <c r="CD161">
        <f>IF(ISNA(CB161),NA(),Capability!$K$5)</f>
        <v/>
      </c>
      <c r="CE161">
        <f>IF(ISNA(CB161),NA(),Capability!$J$5)</f>
        <v/>
      </c>
      <c r="CF161">
        <f>IF(ISNA(CB161),NA(),Capability!$L$5)</f>
        <v/>
      </c>
      <c r="CG161">
        <f>IF(OR(ISNA(CC161),ISNA(CC160)),NA(),ABS(CC161-CC160))</f>
        <v/>
      </c>
      <c r="CH161">
        <f>IF(ISNA(CB161),NA(),Capability!$N$5)</f>
        <v/>
      </c>
      <c r="CI161">
        <f>IF(ISNA(CB161),NA(),IF(OR(Capability!$Q$5="",Settings!$F$7&lt;&gt;"Y"),NA(),Capability!$Q$5))</f>
        <v/>
      </c>
      <c r="CJ161">
        <f>IF(ISNA(CB161),NA(),IF(OR(Capability!$P$5="",Settings!$F$7&lt;&gt;"Y"),NA(),Capability!$P$5))</f>
        <v/>
      </c>
      <c r="CP161">
        <f>IF((CS$1+157)&gt;CQ$1,NA(),(CS$1+157)-4)</f>
        <v/>
      </c>
      <c r="CQ161">
        <f>IF((CS$1+157)&gt;CQ$1,NA(),INDEX('Data Entry'!$I$5:$I$10004,(CS$1+157)-4))</f>
        <v/>
      </c>
      <c r="CR161">
        <f>IF(ISNA(CP161),NA(),Capability!$K$6)</f>
        <v/>
      </c>
      <c r="CS161">
        <f>IF(ISNA(CP161),NA(),Capability!$J$6)</f>
        <v/>
      </c>
      <c r="CT161">
        <f>IF(ISNA(CP161),NA(),Capability!$L$6)</f>
        <v/>
      </c>
      <c r="CU161">
        <f>IF(OR(ISNA(CQ161),ISNA(CQ160)),NA(),ABS(CQ161-CQ160))</f>
        <v/>
      </c>
      <c r="CV161">
        <f>IF(ISNA(CP161),NA(),Capability!$N$6)</f>
        <v/>
      </c>
      <c r="CW161">
        <f>IF(ISNA(CP161),NA(),IF(OR(Capability!$Q$6="",Settings!$F$7&lt;&gt;"Y"),NA(),Capability!$Q$6))</f>
        <v/>
      </c>
      <c r="CX161">
        <f>IF(ISNA(CP161),NA(),IF(OR(Capability!$P$6="",Settings!$F$7&lt;&gt;"Y"),NA(),Capability!$P$6))</f>
        <v/>
      </c>
      <c r="DD161">
        <f>IF((DG$1+157)&gt;DE$1,NA(),(DG$1+157)-4)</f>
        <v/>
      </c>
      <c r="DE161">
        <f>IF((DG$1+157)&gt;DE$1,NA(),INDEX('Data Entry'!$J$5:$J$10004,(DG$1+157)-4))</f>
        <v/>
      </c>
      <c r="DF161">
        <f>IF(ISNA(DD161),NA(),Capability!$K$7)</f>
        <v/>
      </c>
      <c r="DG161">
        <f>IF(ISNA(DD161),NA(),Capability!$J$7)</f>
        <v/>
      </c>
      <c r="DH161">
        <f>IF(ISNA(DD161),NA(),Capability!$L$7)</f>
        <v/>
      </c>
      <c r="DI161">
        <f>IF(OR(ISNA(DE161),ISNA(DE160)),NA(),ABS(DE161-DE160))</f>
        <v/>
      </c>
      <c r="DJ161">
        <f>IF(ISNA(DD161),NA(),Capability!$N$7)</f>
        <v/>
      </c>
      <c r="DK161">
        <f>IF(ISNA(DD161),NA(),IF(OR(Capability!$Q$7="",Settings!$F$7&lt;&gt;"Y"),NA(),Capability!$Q$7))</f>
        <v/>
      </c>
      <c r="DL161">
        <f>IF(ISNA(DD161),NA(),IF(OR(Capability!$P$7="",Settings!$F$7&lt;&gt;"Y"),NA(),Capability!$P$7))</f>
        <v/>
      </c>
      <c r="DR161">
        <f>IF((DU$1+157)&gt;DS$1,NA(),(DU$1+157)-4)</f>
        <v/>
      </c>
      <c r="DS161">
        <f>IF((DU$1+157)&gt;DS$1,NA(),INDEX('Data Entry'!$K$5:$K$10004,(DU$1+157)-4))</f>
        <v/>
      </c>
      <c r="DT161">
        <f>IF(ISNA(DR161),NA(),Capability!$K$8)</f>
        <v/>
      </c>
      <c r="DU161">
        <f>IF(ISNA(DR161),NA(),Capability!$J$8)</f>
        <v/>
      </c>
      <c r="DV161">
        <f>IF(ISNA(DR161),NA(),Capability!$L$8)</f>
        <v/>
      </c>
      <c r="DW161">
        <f>IF(OR(ISNA(DS161),ISNA(DS160)),NA(),ABS(DS161-DS160))</f>
        <v/>
      </c>
      <c r="DX161">
        <f>IF(ISNA(DR161),NA(),Capability!$N$8)</f>
        <v/>
      </c>
      <c r="DY161">
        <f>IF(ISNA(DR161),NA(),IF(OR(Capability!$Q$8="",Settings!$F$7&lt;&gt;"Y"),NA(),Capability!$Q$8))</f>
        <v/>
      </c>
      <c r="DZ161">
        <f>IF(ISNA(DR161),NA(),IF(OR(Capability!$P$8="",Settings!$F$7&lt;&gt;"Y"),NA(),Capability!$P$8))</f>
        <v/>
      </c>
      <c r="EF161">
        <f>IF((EI$1+157)&gt;EG$1,NA(),(EI$1+157)-4)</f>
        <v/>
      </c>
      <c r="EG161">
        <f>IF((EI$1+157)&gt;EG$1,NA(),INDEX('Data Entry'!$L$5:$L$10004,(EI$1+157)-4))</f>
        <v/>
      </c>
      <c r="EH161">
        <f>IF(ISNA(EF161),NA(),Capability!$K$9)</f>
        <v/>
      </c>
      <c r="EI161">
        <f>IF(ISNA(EF161),NA(),Capability!$J$9)</f>
        <v/>
      </c>
      <c r="EJ161">
        <f>IF(ISNA(EF161),NA(),Capability!$L$9)</f>
        <v/>
      </c>
      <c r="EK161">
        <f>IF(OR(ISNA(EG161),ISNA(EG160)),NA(),ABS(EG161-EG160))</f>
        <v/>
      </c>
      <c r="EL161">
        <f>IF(ISNA(EF161),NA(),Capability!$N$9)</f>
        <v/>
      </c>
      <c r="EM161">
        <f>IF(ISNA(EF161),NA(),IF(OR(Capability!$Q$9="",Settings!$F$7&lt;&gt;"Y"),NA(),Capability!$Q$9))</f>
        <v/>
      </c>
      <c r="EN161">
        <f>IF(ISNA(EF161),NA(),IF(OR(Capability!$P$9="",Settings!$F$7&lt;&gt;"Y"),NA(),Capability!$P$9))</f>
        <v/>
      </c>
      <c r="ET161">
        <f>IF((EW$1+157)&gt;EU$1,NA(),(EW$1+157)-4)</f>
        <v/>
      </c>
      <c r="EU161">
        <f>IF((EW$1+157)&gt;EU$1,NA(),INDEX('Data Entry'!$M$5:$M$10004,(EW$1+157)-4))</f>
        <v/>
      </c>
      <c r="EV161">
        <f>IF(ISNA(ET161),NA(),Capability!$K$10)</f>
        <v/>
      </c>
      <c r="EW161">
        <f>IF(ISNA(ET161),NA(),Capability!$J$10)</f>
        <v/>
      </c>
      <c r="EX161">
        <f>IF(ISNA(ET161),NA(),Capability!$L$10)</f>
        <v/>
      </c>
      <c r="EY161">
        <f>IF(OR(ISNA(EU161),ISNA(EU160)),NA(),ABS(EU161-EU160))</f>
        <v/>
      </c>
      <c r="EZ161">
        <f>IF(ISNA(ET161),NA(),Capability!$N$10)</f>
        <v/>
      </c>
      <c r="FA161">
        <f>IF(ISNA(ET161),NA(),IF(OR(Capability!$Q$10="",Settings!$F$7&lt;&gt;"Y"),NA(),Capability!$Q$10))</f>
        <v/>
      </c>
      <c r="FB161">
        <f>IF(ISNA(ET161),NA(),IF(OR(Capability!$P$10="",Settings!$F$7&lt;&gt;"Y"),NA(),Capability!$P$10))</f>
        <v/>
      </c>
      <c r="FH161">
        <f>IF((FK$1+157)&gt;FI$1,NA(),(FK$1+157)-4)</f>
        <v/>
      </c>
      <c r="FI161">
        <f>IF((FK$1+157)&gt;FI$1,NA(),INDEX('Data Entry'!$N$5:$N$10004,(FK$1+157)-4))</f>
        <v/>
      </c>
      <c r="FJ161">
        <f>IF(ISNA(FH161),NA(),Capability!$K$11)</f>
        <v/>
      </c>
      <c r="FK161">
        <f>IF(ISNA(FH161),NA(),Capability!$J$11)</f>
        <v/>
      </c>
      <c r="FL161">
        <f>IF(ISNA(FH161),NA(),Capability!$L$11)</f>
        <v/>
      </c>
      <c r="FM161">
        <f>IF(OR(ISNA(FI161),ISNA(FI160)),NA(),ABS(FI161-FI160))</f>
        <v/>
      </c>
      <c r="FN161">
        <f>IF(ISNA(FH161),NA(),Capability!$N$11)</f>
        <v/>
      </c>
      <c r="FO161">
        <f>IF(ISNA(FH161),NA(),IF(OR(Capability!$Q$11="",Settings!$F$7&lt;&gt;"Y"),NA(),Capability!$Q$11))</f>
        <v/>
      </c>
      <c r="FP161">
        <f>IF(ISNA(FH161),NA(),IF(OR(Capability!$P$11="",Settings!$F$7&lt;&gt;"Y"),NA(),Capability!$P$11))</f>
        <v/>
      </c>
      <c r="FV161">
        <f>IF((FY$1+157)&gt;FW$1,NA(),(FY$1+157)-4)</f>
        <v/>
      </c>
      <c r="FW161">
        <f>IF((FY$1+157)&gt;FW$1,NA(),INDEX('Data Entry'!$O$5:$O$10004,(FY$1+157)-4))</f>
        <v/>
      </c>
      <c r="FX161">
        <f>IF(ISNA(FV161),NA(),Capability!$K$12)</f>
        <v/>
      </c>
      <c r="FY161">
        <f>IF(ISNA(FV161),NA(),Capability!$J$12)</f>
        <v/>
      </c>
      <c r="FZ161">
        <f>IF(ISNA(FV161),NA(),Capability!$L$12)</f>
        <v/>
      </c>
      <c r="GA161">
        <f>IF(OR(ISNA(FW161),ISNA(FW160)),NA(),ABS(FW161-FW160))</f>
        <v/>
      </c>
      <c r="GB161">
        <f>IF(ISNA(FV161),NA(),Capability!$N$12)</f>
        <v/>
      </c>
      <c r="GC161">
        <f>IF(ISNA(FV161),NA(),IF(OR(Capability!$Q$12="",Settings!$F$7&lt;&gt;"Y"),NA(),Capability!$Q$12))</f>
        <v/>
      </c>
      <c r="GD161">
        <f>IF(ISNA(FV161),NA(),IF(OR(Capability!$P$12="",Settings!$F$7&lt;&gt;"Y"),NA(),Capability!$P$12))</f>
        <v/>
      </c>
      <c r="GJ161">
        <f>IF((GM$1+157)&gt;GK$1,NA(),(GM$1+157)-4)</f>
        <v/>
      </c>
      <c r="GK161">
        <f>IF((GM$1+157)&gt;GK$1,NA(),INDEX('Data Entry'!$P$5:$P$10004,(GM$1+157)-4))</f>
        <v/>
      </c>
      <c r="GL161">
        <f>IF(ISNA(GJ161),NA(),Capability!$K$13)</f>
        <v/>
      </c>
      <c r="GM161">
        <f>IF(ISNA(GJ161),NA(),Capability!$J$13)</f>
        <v/>
      </c>
      <c r="GN161">
        <f>IF(ISNA(GJ161),NA(),Capability!$L$13)</f>
        <v/>
      </c>
      <c r="GO161">
        <f>IF(OR(ISNA(GK161),ISNA(GK160)),NA(),ABS(GK161-GK160))</f>
        <v/>
      </c>
      <c r="GP161">
        <f>IF(ISNA(GJ161),NA(),Capability!$N$13)</f>
        <v/>
      </c>
      <c r="GQ161">
        <f>IF(ISNA(GJ161),NA(),IF(OR(Capability!$Q$13="",Settings!$F$7&lt;&gt;"Y"),NA(),Capability!$Q$13))</f>
        <v/>
      </c>
      <c r="GR161">
        <f>IF(ISNA(GJ161),NA(),IF(OR(Capability!$P$13="",Settings!$F$7&lt;&gt;"Y"),NA(),Capability!$P$13))</f>
        <v/>
      </c>
      <c r="GX161">
        <f>IF((HA$1+157)&gt;GY$1,NA(),(HA$1+157)-4)</f>
        <v/>
      </c>
      <c r="GY161">
        <f>IF((HA$1+157)&gt;GY$1,NA(),INDEX('Data Entry'!$Q$5:$Q$10004,(HA$1+157)-4))</f>
        <v/>
      </c>
      <c r="GZ161">
        <f>IF(ISNA(GX161),NA(),Capability!$K$14)</f>
        <v/>
      </c>
      <c r="HA161">
        <f>IF(ISNA(GX161),NA(),Capability!$J$14)</f>
        <v/>
      </c>
      <c r="HB161">
        <f>IF(ISNA(GX161),NA(),Capability!$L$14)</f>
        <v/>
      </c>
      <c r="HC161">
        <f>IF(OR(ISNA(GY161),ISNA(GY160)),NA(),ABS(GY161-GY160))</f>
        <v/>
      </c>
      <c r="HD161">
        <f>IF(ISNA(GX161),NA(),Capability!$N$14)</f>
        <v/>
      </c>
      <c r="HE161">
        <f>IF(ISNA(GX161),NA(),IF(OR(Capability!$Q$14="",Settings!$F$7&lt;&gt;"Y"),NA(),Capability!$Q$14))</f>
        <v/>
      </c>
      <c r="HF161">
        <f>IF(ISNA(GX161),NA(),IF(OR(Capability!$P$14="",Settings!$F$7&lt;&gt;"Y"),NA(),Capability!$P$14))</f>
        <v/>
      </c>
    </row>
    <row r="162">
      <c r="CB162">
        <f>IF((CE$1+158)&gt;CC$1,NA(),(CE$1+158)-4)</f>
        <v/>
      </c>
      <c r="CC162">
        <f>IF((CE$1+158)&gt;CC$1,NA(),INDEX('Data Entry'!$H$5:$H$10004,(CE$1+158)-4))</f>
        <v/>
      </c>
      <c r="CD162">
        <f>IF(ISNA(CB162),NA(),Capability!$K$5)</f>
        <v/>
      </c>
      <c r="CE162">
        <f>IF(ISNA(CB162),NA(),Capability!$J$5)</f>
        <v/>
      </c>
      <c r="CF162">
        <f>IF(ISNA(CB162),NA(),Capability!$L$5)</f>
        <v/>
      </c>
      <c r="CG162">
        <f>IF(OR(ISNA(CC162),ISNA(CC161)),NA(),ABS(CC162-CC161))</f>
        <v/>
      </c>
      <c r="CH162">
        <f>IF(ISNA(CB162),NA(),Capability!$N$5)</f>
        <v/>
      </c>
      <c r="CI162">
        <f>IF(ISNA(CB162),NA(),IF(OR(Capability!$Q$5="",Settings!$F$7&lt;&gt;"Y"),NA(),Capability!$Q$5))</f>
        <v/>
      </c>
      <c r="CJ162">
        <f>IF(ISNA(CB162),NA(),IF(OR(Capability!$P$5="",Settings!$F$7&lt;&gt;"Y"),NA(),Capability!$P$5))</f>
        <v/>
      </c>
      <c r="CP162">
        <f>IF((CS$1+158)&gt;CQ$1,NA(),(CS$1+158)-4)</f>
        <v/>
      </c>
      <c r="CQ162">
        <f>IF((CS$1+158)&gt;CQ$1,NA(),INDEX('Data Entry'!$I$5:$I$10004,(CS$1+158)-4))</f>
        <v/>
      </c>
      <c r="CR162">
        <f>IF(ISNA(CP162),NA(),Capability!$K$6)</f>
        <v/>
      </c>
      <c r="CS162">
        <f>IF(ISNA(CP162),NA(),Capability!$J$6)</f>
        <v/>
      </c>
      <c r="CT162">
        <f>IF(ISNA(CP162),NA(),Capability!$L$6)</f>
        <v/>
      </c>
      <c r="CU162">
        <f>IF(OR(ISNA(CQ162),ISNA(CQ161)),NA(),ABS(CQ162-CQ161))</f>
        <v/>
      </c>
      <c r="CV162">
        <f>IF(ISNA(CP162),NA(),Capability!$N$6)</f>
        <v/>
      </c>
      <c r="CW162">
        <f>IF(ISNA(CP162),NA(),IF(OR(Capability!$Q$6="",Settings!$F$7&lt;&gt;"Y"),NA(),Capability!$Q$6))</f>
        <v/>
      </c>
      <c r="CX162">
        <f>IF(ISNA(CP162),NA(),IF(OR(Capability!$P$6="",Settings!$F$7&lt;&gt;"Y"),NA(),Capability!$P$6))</f>
        <v/>
      </c>
      <c r="DD162">
        <f>IF((DG$1+158)&gt;DE$1,NA(),(DG$1+158)-4)</f>
        <v/>
      </c>
      <c r="DE162">
        <f>IF((DG$1+158)&gt;DE$1,NA(),INDEX('Data Entry'!$J$5:$J$10004,(DG$1+158)-4))</f>
        <v/>
      </c>
      <c r="DF162">
        <f>IF(ISNA(DD162),NA(),Capability!$K$7)</f>
        <v/>
      </c>
      <c r="DG162">
        <f>IF(ISNA(DD162),NA(),Capability!$J$7)</f>
        <v/>
      </c>
      <c r="DH162">
        <f>IF(ISNA(DD162),NA(),Capability!$L$7)</f>
        <v/>
      </c>
      <c r="DI162">
        <f>IF(OR(ISNA(DE162),ISNA(DE161)),NA(),ABS(DE162-DE161))</f>
        <v/>
      </c>
      <c r="DJ162">
        <f>IF(ISNA(DD162),NA(),Capability!$N$7)</f>
        <v/>
      </c>
      <c r="DK162">
        <f>IF(ISNA(DD162),NA(),IF(OR(Capability!$Q$7="",Settings!$F$7&lt;&gt;"Y"),NA(),Capability!$Q$7))</f>
        <v/>
      </c>
      <c r="DL162">
        <f>IF(ISNA(DD162),NA(),IF(OR(Capability!$P$7="",Settings!$F$7&lt;&gt;"Y"),NA(),Capability!$P$7))</f>
        <v/>
      </c>
      <c r="DR162">
        <f>IF((DU$1+158)&gt;DS$1,NA(),(DU$1+158)-4)</f>
        <v/>
      </c>
      <c r="DS162">
        <f>IF((DU$1+158)&gt;DS$1,NA(),INDEX('Data Entry'!$K$5:$K$10004,(DU$1+158)-4))</f>
        <v/>
      </c>
      <c r="DT162">
        <f>IF(ISNA(DR162),NA(),Capability!$K$8)</f>
        <v/>
      </c>
      <c r="DU162">
        <f>IF(ISNA(DR162),NA(),Capability!$J$8)</f>
        <v/>
      </c>
      <c r="DV162">
        <f>IF(ISNA(DR162),NA(),Capability!$L$8)</f>
        <v/>
      </c>
      <c r="DW162">
        <f>IF(OR(ISNA(DS162),ISNA(DS161)),NA(),ABS(DS162-DS161))</f>
        <v/>
      </c>
      <c r="DX162">
        <f>IF(ISNA(DR162),NA(),Capability!$N$8)</f>
        <v/>
      </c>
      <c r="DY162">
        <f>IF(ISNA(DR162),NA(),IF(OR(Capability!$Q$8="",Settings!$F$7&lt;&gt;"Y"),NA(),Capability!$Q$8))</f>
        <v/>
      </c>
      <c r="DZ162">
        <f>IF(ISNA(DR162),NA(),IF(OR(Capability!$P$8="",Settings!$F$7&lt;&gt;"Y"),NA(),Capability!$P$8))</f>
        <v/>
      </c>
      <c r="EF162">
        <f>IF((EI$1+158)&gt;EG$1,NA(),(EI$1+158)-4)</f>
        <v/>
      </c>
      <c r="EG162">
        <f>IF((EI$1+158)&gt;EG$1,NA(),INDEX('Data Entry'!$L$5:$L$10004,(EI$1+158)-4))</f>
        <v/>
      </c>
      <c r="EH162">
        <f>IF(ISNA(EF162),NA(),Capability!$K$9)</f>
        <v/>
      </c>
      <c r="EI162">
        <f>IF(ISNA(EF162),NA(),Capability!$J$9)</f>
        <v/>
      </c>
      <c r="EJ162">
        <f>IF(ISNA(EF162),NA(),Capability!$L$9)</f>
        <v/>
      </c>
      <c r="EK162">
        <f>IF(OR(ISNA(EG162),ISNA(EG161)),NA(),ABS(EG162-EG161))</f>
        <v/>
      </c>
      <c r="EL162">
        <f>IF(ISNA(EF162),NA(),Capability!$N$9)</f>
        <v/>
      </c>
      <c r="EM162">
        <f>IF(ISNA(EF162),NA(),IF(OR(Capability!$Q$9="",Settings!$F$7&lt;&gt;"Y"),NA(),Capability!$Q$9))</f>
        <v/>
      </c>
      <c r="EN162">
        <f>IF(ISNA(EF162),NA(),IF(OR(Capability!$P$9="",Settings!$F$7&lt;&gt;"Y"),NA(),Capability!$P$9))</f>
        <v/>
      </c>
      <c r="ET162">
        <f>IF((EW$1+158)&gt;EU$1,NA(),(EW$1+158)-4)</f>
        <v/>
      </c>
      <c r="EU162">
        <f>IF((EW$1+158)&gt;EU$1,NA(),INDEX('Data Entry'!$M$5:$M$10004,(EW$1+158)-4))</f>
        <v/>
      </c>
      <c r="EV162">
        <f>IF(ISNA(ET162),NA(),Capability!$K$10)</f>
        <v/>
      </c>
      <c r="EW162">
        <f>IF(ISNA(ET162),NA(),Capability!$J$10)</f>
        <v/>
      </c>
      <c r="EX162">
        <f>IF(ISNA(ET162),NA(),Capability!$L$10)</f>
        <v/>
      </c>
      <c r="EY162">
        <f>IF(OR(ISNA(EU162),ISNA(EU161)),NA(),ABS(EU162-EU161))</f>
        <v/>
      </c>
      <c r="EZ162">
        <f>IF(ISNA(ET162),NA(),Capability!$N$10)</f>
        <v/>
      </c>
      <c r="FA162">
        <f>IF(ISNA(ET162),NA(),IF(OR(Capability!$Q$10="",Settings!$F$7&lt;&gt;"Y"),NA(),Capability!$Q$10))</f>
        <v/>
      </c>
      <c r="FB162">
        <f>IF(ISNA(ET162),NA(),IF(OR(Capability!$P$10="",Settings!$F$7&lt;&gt;"Y"),NA(),Capability!$P$10))</f>
        <v/>
      </c>
      <c r="FH162">
        <f>IF((FK$1+158)&gt;FI$1,NA(),(FK$1+158)-4)</f>
        <v/>
      </c>
      <c r="FI162">
        <f>IF((FK$1+158)&gt;FI$1,NA(),INDEX('Data Entry'!$N$5:$N$10004,(FK$1+158)-4))</f>
        <v/>
      </c>
      <c r="FJ162">
        <f>IF(ISNA(FH162),NA(),Capability!$K$11)</f>
        <v/>
      </c>
      <c r="FK162">
        <f>IF(ISNA(FH162),NA(),Capability!$J$11)</f>
        <v/>
      </c>
      <c r="FL162">
        <f>IF(ISNA(FH162),NA(),Capability!$L$11)</f>
        <v/>
      </c>
      <c r="FM162">
        <f>IF(OR(ISNA(FI162),ISNA(FI161)),NA(),ABS(FI162-FI161))</f>
        <v/>
      </c>
      <c r="FN162">
        <f>IF(ISNA(FH162),NA(),Capability!$N$11)</f>
        <v/>
      </c>
      <c r="FO162">
        <f>IF(ISNA(FH162),NA(),IF(OR(Capability!$Q$11="",Settings!$F$7&lt;&gt;"Y"),NA(),Capability!$Q$11))</f>
        <v/>
      </c>
      <c r="FP162">
        <f>IF(ISNA(FH162),NA(),IF(OR(Capability!$P$11="",Settings!$F$7&lt;&gt;"Y"),NA(),Capability!$P$11))</f>
        <v/>
      </c>
      <c r="FV162">
        <f>IF((FY$1+158)&gt;FW$1,NA(),(FY$1+158)-4)</f>
        <v/>
      </c>
      <c r="FW162">
        <f>IF((FY$1+158)&gt;FW$1,NA(),INDEX('Data Entry'!$O$5:$O$10004,(FY$1+158)-4))</f>
        <v/>
      </c>
      <c r="FX162">
        <f>IF(ISNA(FV162),NA(),Capability!$K$12)</f>
        <v/>
      </c>
      <c r="FY162">
        <f>IF(ISNA(FV162),NA(),Capability!$J$12)</f>
        <v/>
      </c>
      <c r="FZ162">
        <f>IF(ISNA(FV162),NA(),Capability!$L$12)</f>
        <v/>
      </c>
      <c r="GA162">
        <f>IF(OR(ISNA(FW162),ISNA(FW161)),NA(),ABS(FW162-FW161))</f>
        <v/>
      </c>
      <c r="GB162">
        <f>IF(ISNA(FV162),NA(),Capability!$N$12)</f>
        <v/>
      </c>
      <c r="GC162">
        <f>IF(ISNA(FV162),NA(),IF(OR(Capability!$Q$12="",Settings!$F$7&lt;&gt;"Y"),NA(),Capability!$Q$12))</f>
        <v/>
      </c>
      <c r="GD162">
        <f>IF(ISNA(FV162),NA(),IF(OR(Capability!$P$12="",Settings!$F$7&lt;&gt;"Y"),NA(),Capability!$P$12))</f>
        <v/>
      </c>
      <c r="GJ162">
        <f>IF((GM$1+158)&gt;GK$1,NA(),(GM$1+158)-4)</f>
        <v/>
      </c>
      <c r="GK162">
        <f>IF((GM$1+158)&gt;GK$1,NA(),INDEX('Data Entry'!$P$5:$P$10004,(GM$1+158)-4))</f>
        <v/>
      </c>
      <c r="GL162">
        <f>IF(ISNA(GJ162),NA(),Capability!$K$13)</f>
        <v/>
      </c>
      <c r="GM162">
        <f>IF(ISNA(GJ162),NA(),Capability!$J$13)</f>
        <v/>
      </c>
      <c r="GN162">
        <f>IF(ISNA(GJ162),NA(),Capability!$L$13)</f>
        <v/>
      </c>
      <c r="GO162">
        <f>IF(OR(ISNA(GK162),ISNA(GK161)),NA(),ABS(GK162-GK161))</f>
        <v/>
      </c>
      <c r="GP162">
        <f>IF(ISNA(GJ162),NA(),Capability!$N$13)</f>
        <v/>
      </c>
      <c r="GQ162">
        <f>IF(ISNA(GJ162),NA(),IF(OR(Capability!$Q$13="",Settings!$F$7&lt;&gt;"Y"),NA(),Capability!$Q$13))</f>
        <v/>
      </c>
      <c r="GR162">
        <f>IF(ISNA(GJ162),NA(),IF(OR(Capability!$P$13="",Settings!$F$7&lt;&gt;"Y"),NA(),Capability!$P$13))</f>
        <v/>
      </c>
      <c r="GX162">
        <f>IF((HA$1+158)&gt;GY$1,NA(),(HA$1+158)-4)</f>
        <v/>
      </c>
      <c r="GY162">
        <f>IF((HA$1+158)&gt;GY$1,NA(),INDEX('Data Entry'!$Q$5:$Q$10004,(HA$1+158)-4))</f>
        <v/>
      </c>
      <c r="GZ162">
        <f>IF(ISNA(GX162),NA(),Capability!$K$14)</f>
        <v/>
      </c>
      <c r="HA162">
        <f>IF(ISNA(GX162),NA(),Capability!$J$14)</f>
        <v/>
      </c>
      <c r="HB162">
        <f>IF(ISNA(GX162),NA(),Capability!$L$14)</f>
        <v/>
      </c>
      <c r="HC162">
        <f>IF(OR(ISNA(GY162),ISNA(GY161)),NA(),ABS(GY162-GY161))</f>
        <v/>
      </c>
      <c r="HD162">
        <f>IF(ISNA(GX162),NA(),Capability!$N$14)</f>
        <v/>
      </c>
      <c r="HE162">
        <f>IF(ISNA(GX162),NA(),IF(OR(Capability!$Q$14="",Settings!$F$7&lt;&gt;"Y"),NA(),Capability!$Q$14))</f>
        <v/>
      </c>
      <c r="HF162">
        <f>IF(ISNA(GX162),NA(),IF(OR(Capability!$P$14="",Settings!$F$7&lt;&gt;"Y"),NA(),Capability!$P$14))</f>
        <v/>
      </c>
    </row>
    <row r="163">
      <c r="CB163">
        <f>IF((CE$1+159)&gt;CC$1,NA(),(CE$1+159)-4)</f>
        <v/>
      </c>
      <c r="CC163">
        <f>IF((CE$1+159)&gt;CC$1,NA(),INDEX('Data Entry'!$H$5:$H$10004,(CE$1+159)-4))</f>
        <v/>
      </c>
      <c r="CD163">
        <f>IF(ISNA(CB163),NA(),Capability!$K$5)</f>
        <v/>
      </c>
      <c r="CE163">
        <f>IF(ISNA(CB163),NA(),Capability!$J$5)</f>
        <v/>
      </c>
      <c r="CF163">
        <f>IF(ISNA(CB163),NA(),Capability!$L$5)</f>
        <v/>
      </c>
      <c r="CG163">
        <f>IF(OR(ISNA(CC163),ISNA(CC162)),NA(),ABS(CC163-CC162))</f>
        <v/>
      </c>
      <c r="CH163">
        <f>IF(ISNA(CB163),NA(),Capability!$N$5)</f>
        <v/>
      </c>
      <c r="CI163">
        <f>IF(ISNA(CB163),NA(),IF(OR(Capability!$Q$5="",Settings!$F$7&lt;&gt;"Y"),NA(),Capability!$Q$5))</f>
        <v/>
      </c>
      <c r="CJ163">
        <f>IF(ISNA(CB163),NA(),IF(OR(Capability!$P$5="",Settings!$F$7&lt;&gt;"Y"),NA(),Capability!$P$5))</f>
        <v/>
      </c>
      <c r="CP163">
        <f>IF((CS$1+159)&gt;CQ$1,NA(),(CS$1+159)-4)</f>
        <v/>
      </c>
      <c r="CQ163">
        <f>IF((CS$1+159)&gt;CQ$1,NA(),INDEX('Data Entry'!$I$5:$I$10004,(CS$1+159)-4))</f>
        <v/>
      </c>
      <c r="CR163">
        <f>IF(ISNA(CP163),NA(),Capability!$K$6)</f>
        <v/>
      </c>
      <c r="CS163">
        <f>IF(ISNA(CP163),NA(),Capability!$J$6)</f>
        <v/>
      </c>
      <c r="CT163">
        <f>IF(ISNA(CP163),NA(),Capability!$L$6)</f>
        <v/>
      </c>
      <c r="CU163">
        <f>IF(OR(ISNA(CQ163),ISNA(CQ162)),NA(),ABS(CQ163-CQ162))</f>
        <v/>
      </c>
      <c r="CV163">
        <f>IF(ISNA(CP163),NA(),Capability!$N$6)</f>
        <v/>
      </c>
      <c r="CW163">
        <f>IF(ISNA(CP163),NA(),IF(OR(Capability!$Q$6="",Settings!$F$7&lt;&gt;"Y"),NA(),Capability!$Q$6))</f>
        <v/>
      </c>
      <c r="CX163">
        <f>IF(ISNA(CP163),NA(),IF(OR(Capability!$P$6="",Settings!$F$7&lt;&gt;"Y"),NA(),Capability!$P$6))</f>
        <v/>
      </c>
      <c r="DD163">
        <f>IF((DG$1+159)&gt;DE$1,NA(),(DG$1+159)-4)</f>
        <v/>
      </c>
      <c r="DE163">
        <f>IF((DG$1+159)&gt;DE$1,NA(),INDEX('Data Entry'!$J$5:$J$10004,(DG$1+159)-4))</f>
        <v/>
      </c>
      <c r="DF163">
        <f>IF(ISNA(DD163),NA(),Capability!$K$7)</f>
        <v/>
      </c>
      <c r="DG163">
        <f>IF(ISNA(DD163),NA(),Capability!$J$7)</f>
        <v/>
      </c>
      <c r="DH163">
        <f>IF(ISNA(DD163),NA(),Capability!$L$7)</f>
        <v/>
      </c>
      <c r="DI163">
        <f>IF(OR(ISNA(DE163),ISNA(DE162)),NA(),ABS(DE163-DE162))</f>
        <v/>
      </c>
      <c r="DJ163">
        <f>IF(ISNA(DD163),NA(),Capability!$N$7)</f>
        <v/>
      </c>
      <c r="DK163">
        <f>IF(ISNA(DD163),NA(),IF(OR(Capability!$Q$7="",Settings!$F$7&lt;&gt;"Y"),NA(),Capability!$Q$7))</f>
        <v/>
      </c>
      <c r="DL163">
        <f>IF(ISNA(DD163),NA(),IF(OR(Capability!$P$7="",Settings!$F$7&lt;&gt;"Y"),NA(),Capability!$P$7))</f>
        <v/>
      </c>
      <c r="DR163">
        <f>IF((DU$1+159)&gt;DS$1,NA(),(DU$1+159)-4)</f>
        <v/>
      </c>
      <c r="DS163">
        <f>IF((DU$1+159)&gt;DS$1,NA(),INDEX('Data Entry'!$K$5:$K$10004,(DU$1+159)-4))</f>
        <v/>
      </c>
      <c r="DT163">
        <f>IF(ISNA(DR163),NA(),Capability!$K$8)</f>
        <v/>
      </c>
      <c r="DU163">
        <f>IF(ISNA(DR163),NA(),Capability!$J$8)</f>
        <v/>
      </c>
      <c r="DV163">
        <f>IF(ISNA(DR163),NA(),Capability!$L$8)</f>
        <v/>
      </c>
      <c r="DW163">
        <f>IF(OR(ISNA(DS163),ISNA(DS162)),NA(),ABS(DS163-DS162))</f>
        <v/>
      </c>
      <c r="DX163">
        <f>IF(ISNA(DR163),NA(),Capability!$N$8)</f>
        <v/>
      </c>
      <c r="DY163">
        <f>IF(ISNA(DR163),NA(),IF(OR(Capability!$Q$8="",Settings!$F$7&lt;&gt;"Y"),NA(),Capability!$Q$8))</f>
        <v/>
      </c>
      <c r="DZ163">
        <f>IF(ISNA(DR163),NA(),IF(OR(Capability!$P$8="",Settings!$F$7&lt;&gt;"Y"),NA(),Capability!$P$8))</f>
        <v/>
      </c>
      <c r="EF163">
        <f>IF((EI$1+159)&gt;EG$1,NA(),(EI$1+159)-4)</f>
        <v/>
      </c>
      <c r="EG163">
        <f>IF((EI$1+159)&gt;EG$1,NA(),INDEX('Data Entry'!$L$5:$L$10004,(EI$1+159)-4))</f>
        <v/>
      </c>
      <c r="EH163">
        <f>IF(ISNA(EF163),NA(),Capability!$K$9)</f>
        <v/>
      </c>
      <c r="EI163">
        <f>IF(ISNA(EF163),NA(),Capability!$J$9)</f>
        <v/>
      </c>
      <c r="EJ163">
        <f>IF(ISNA(EF163),NA(),Capability!$L$9)</f>
        <v/>
      </c>
      <c r="EK163">
        <f>IF(OR(ISNA(EG163),ISNA(EG162)),NA(),ABS(EG163-EG162))</f>
        <v/>
      </c>
      <c r="EL163">
        <f>IF(ISNA(EF163),NA(),Capability!$N$9)</f>
        <v/>
      </c>
      <c r="EM163">
        <f>IF(ISNA(EF163),NA(),IF(OR(Capability!$Q$9="",Settings!$F$7&lt;&gt;"Y"),NA(),Capability!$Q$9))</f>
        <v/>
      </c>
      <c r="EN163">
        <f>IF(ISNA(EF163),NA(),IF(OR(Capability!$P$9="",Settings!$F$7&lt;&gt;"Y"),NA(),Capability!$P$9))</f>
        <v/>
      </c>
      <c r="ET163">
        <f>IF((EW$1+159)&gt;EU$1,NA(),(EW$1+159)-4)</f>
        <v/>
      </c>
      <c r="EU163">
        <f>IF((EW$1+159)&gt;EU$1,NA(),INDEX('Data Entry'!$M$5:$M$10004,(EW$1+159)-4))</f>
        <v/>
      </c>
      <c r="EV163">
        <f>IF(ISNA(ET163),NA(),Capability!$K$10)</f>
        <v/>
      </c>
      <c r="EW163">
        <f>IF(ISNA(ET163),NA(),Capability!$J$10)</f>
        <v/>
      </c>
      <c r="EX163">
        <f>IF(ISNA(ET163),NA(),Capability!$L$10)</f>
        <v/>
      </c>
      <c r="EY163">
        <f>IF(OR(ISNA(EU163),ISNA(EU162)),NA(),ABS(EU163-EU162))</f>
        <v/>
      </c>
      <c r="EZ163">
        <f>IF(ISNA(ET163),NA(),Capability!$N$10)</f>
        <v/>
      </c>
      <c r="FA163">
        <f>IF(ISNA(ET163),NA(),IF(OR(Capability!$Q$10="",Settings!$F$7&lt;&gt;"Y"),NA(),Capability!$Q$10))</f>
        <v/>
      </c>
      <c r="FB163">
        <f>IF(ISNA(ET163),NA(),IF(OR(Capability!$P$10="",Settings!$F$7&lt;&gt;"Y"),NA(),Capability!$P$10))</f>
        <v/>
      </c>
      <c r="FH163">
        <f>IF((FK$1+159)&gt;FI$1,NA(),(FK$1+159)-4)</f>
        <v/>
      </c>
      <c r="FI163">
        <f>IF((FK$1+159)&gt;FI$1,NA(),INDEX('Data Entry'!$N$5:$N$10004,(FK$1+159)-4))</f>
        <v/>
      </c>
      <c r="FJ163">
        <f>IF(ISNA(FH163),NA(),Capability!$K$11)</f>
        <v/>
      </c>
      <c r="FK163">
        <f>IF(ISNA(FH163),NA(),Capability!$J$11)</f>
        <v/>
      </c>
      <c r="FL163">
        <f>IF(ISNA(FH163),NA(),Capability!$L$11)</f>
        <v/>
      </c>
      <c r="FM163">
        <f>IF(OR(ISNA(FI163),ISNA(FI162)),NA(),ABS(FI163-FI162))</f>
        <v/>
      </c>
      <c r="FN163">
        <f>IF(ISNA(FH163),NA(),Capability!$N$11)</f>
        <v/>
      </c>
      <c r="FO163">
        <f>IF(ISNA(FH163),NA(),IF(OR(Capability!$Q$11="",Settings!$F$7&lt;&gt;"Y"),NA(),Capability!$Q$11))</f>
        <v/>
      </c>
      <c r="FP163">
        <f>IF(ISNA(FH163),NA(),IF(OR(Capability!$P$11="",Settings!$F$7&lt;&gt;"Y"),NA(),Capability!$P$11))</f>
        <v/>
      </c>
      <c r="FV163">
        <f>IF((FY$1+159)&gt;FW$1,NA(),(FY$1+159)-4)</f>
        <v/>
      </c>
      <c r="FW163">
        <f>IF((FY$1+159)&gt;FW$1,NA(),INDEX('Data Entry'!$O$5:$O$10004,(FY$1+159)-4))</f>
        <v/>
      </c>
      <c r="FX163">
        <f>IF(ISNA(FV163),NA(),Capability!$K$12)</f>
        <v/>
      </c>
      <c r="FY163">
        <f>IF(ISNA(FV163),NA(),Capability!$J$12)</f>
        <v/>
      </c>
      <c r="FZ163">
        <f>IF(ISNA(FV163),NA(),Capability!$L$12)</f>
        <v/>
      </c>
      <c r="GA163">
        <f>IF(OR(ISNA(FW163),ISNA(FW162)),NA(),ABS(FW163-FW162))</f>
        <v/>
      </c>
      <c r="GB163">
        <f>IF(ISNA(FV163),NA(),Capability!$N$12)</f>
        <v/>
      </c>
      <c r="GC163">
        <f>IF(ISNA(FV163),NA(),IF(OR(Capability!$Q$12="",Settings!$F$7&lt;&gt;"Y"),NA(),Capability!$Q$12))</f>
        <v/>
      </c>
      <c r="GD163">
        <f>IF(ISNA(FV163),NA(),IF(OR(Capability!$P$12="",Settings!$F$7&lt;&gt;"Y"),NA(),Capability!$P$12))</f>
        <v/>
      </c>
      <c r="GJ163">
        <f>IF((GM$1+159)&gt;GK$1,NA(),(GM$1+159)-4)</f>
        <v/>
      </c>
      <c r="GK163">
        <f>IF((GM$1+159)&gt;GK$1,NA(),INDEX('Data Entry'!$P$5:$P$10004,(GM$1+159)-4))</f>
        <v/>
      </c>
      <c r="GL163">
        <f>IF(ISNA(GJ163),NA(),Capability!$K$13)</f>
        <v/>
      </c>
      <c r="GM163">
        <f>IF(ISNA(GJ163),NA(),Capability!$J$13)</f>
        <v/>
      </c>
      <c r="GN163">
        <f>IF(ISNA(GJ163),NA(),Capability!$L$13)</f>
        <v/>
      </c>
      <c r="GO163">
        <f>IF(OR(ISNA(GK163),ISNA(GK162)),NA(),ABS(GK163-GK162))</f>
        <v/>
      </c>
      <c r="GP163">
        <f>IF(ISNA(GJ163),NA(),Capability!$N$13)</f>
        <v/>
      </c>
      <c r="GQ163">
        <f>IF(ISNA(GJ163),NA(),IF(OR(Capability!$Q$13="",Settings!$F$7&lt;&gt;"Y"),NA(),Capability!$Q$13))</f>
        <v/>
      </c>
      <c r="GR163">
        <f>IF(ISNA(GJ163),NA(),IF(OR(Capability!$P$13="",Settings!$F$7&lt;&gt;"Y"),NA(),Capability!$P$13))</f>
        <v/>
      </c>
      <c r="GX163">
        <f>IF((HA$1+159)&gt;GY$1,NA(),(HA$1+159)-4)</f>
        <v/>
      </c>
      <c r="GY163">
        <f>IF((HA$1+159)&gt;GY$1,NA(),INDEX('Data Entry'!$Q$5:$Q$10004,(HA$1+159)-4))</f>
        <v/>
      </c>
      <c r="GZ163">
        <f>IF(ISNA(GX163),NA(),Capability!$K$14)</f>
        <v/>
      </c>
      <c r="HA163">
        <f>IF(ISNA(GX163),NA(),Capability!$J$14)</f>
        <v/>
      </c>
      <c r="HB163">
        <f>IF(ISNA(GX163),NA(),Capability!$L$14)</f>
        <v/>
      </c>
      <c r="HC163">
        <f>IF(OR(ISNA(GY163),ISNA(GY162)),NA(),ABS(GY163-GY162))</f>
        <v/>
      </c>
      <c r="HD163">
        <f>IF(ISNA(GX163),NA(),Capability!$N$14)</f>
        <v/>
      </c>
      <c r="HE163">
        <f>IF(ISNA(GX163),NA(),IF(OR(Capability!$Q$14="",Settings!$F$7&lt;&gt;"Y"),NA(),Capability!$Q$14))</f>
        <v/>
      </c>
      <c r="HF163">
        <f>IF(ISNA(GX163),NA(),IF(OR(Capability!$P$14="",Settings!$F$7&lt;&gt;"Y"),NA(),Capability!$P$14))</f>
        <v/>
      </c>
    </row>
    <row r="164">
      <c r="A164" s="34">
        <f>"FEATURE 5: "&amp;IF(Settings!B21="","(unnamed)",Settings!B21)</f>
        <v/>
      </c>
      <c r="B164" s="9" t="n"/>
      <c r="CB164">
        <f>IF((CE$1+160)&gt;CC$1,NA(),(CE$1+160)-4)</f>
        <v/>
      </c>
      <c r="CC164">
        <f>IF((CE$1+160)&gt;CC$1,NA(),INDEX('Data Entry'!$H$5:$H$10004,(CE$1+160)-4))</f>
        <v/>
      </c>
      <c r="CD164">
        <f>IF(ISNA(CB164),NA(),Capability!$K$5)</f>
        <v/>
      </c>
      <c r="CE164">
        <f>IF(ISNA(CB164),NA(),Capability!$J$5)</f>
        <v/>
      </c>
      <c r="CF164">
        <f>IF(ISNA(CB164),NA(),Capability!$L$5)</f>
        <v/>
      </c>
      <c r="CG164">
        <f>IF(OR(ISNA(CC164),ISNA(CC163)),NA(),ABS(CC164-CC163))</f>
        <v/>
      </c>
      <c r="CH164">
        <f>IF(ISNA(CB164),NA(),Capability!$N$5)</f>
        <v/>
      </c>
      <c r="CI164">
        <f>IF(ISNA(CB164),NA(),IF(OR(Capability!$Q$5="",Settings!$F$7&lt;&gt;"Y"),NA(),Capability!$Q$5))</f>
        <v/>
      </c>
      <c r="CJ164">
        <f>IF(ISNA(CB164),NA(),IF(OR(Capability!$P$5="",Settings!$F$7&lt;&gt;"Y"),NA(),Capability!$P$5))</f>
        <v/>
      </c>
      <c r="CP164">
        <f>IF((CS$1+160)&gt;CQ$1,NA(),(CS$1+160)-4)</f>
        <v/>
      </c>
      <c r="CQ164">
        <f>IF((CS$1+160)&gt;CQ$1,NA(),INDEX('Data Entry'!$I$5:$I$10004,(CS$1+160)-4))</f>
        <v/>
      </c>
      <c r="CR164">
        <f>IF(ISNA(CP164),NA(),Capability!$K$6)</f>
        <v/>
      </c>
      <c r="CS164">
        <f>IF(ISNA(CP164),NA(),Capability!$J$6)</f>
        <v/>
      </c>
      <c r="CT164">
        <f>IF(ISNA(CP164),NA(),Capability!$L$6)</f>
        <v/>
      </c>
      <c r="CU164">
        <f>IF(OR(ISNA(CQ164),ISNA(CQ163)),NA(),ABS(CQ164-CQ163))</f>
        <v/>
      </c>
      <c r="CV164">
        <f>IF(ISNA(CP164),NA(),Capability!$N$6)</f>
        <v/>
      </c>
      <c r="CW164">
        <f>IF(ISNA(CP164),NA(),IF(OR(Capability!$Q$6="",Settings!$F$7&lt;&gt;"Y"),NA(),Capability!$Q$6))</f>
        <v/>
      </c>
      <c r="CX164">
        <f>IF(ISNA(CP164),NA(),IF(OR(Capability!$P$6="",Settings!$F$7&lt;&gt;"Y"),NA(),Capability!$P$6))</f>
        <v/>
      </c>
      <c r="DD164">
        <f>IF((DG$1+160)&gt;DE$1,NA(),(DG$1+160)-4)</f>
        <v/>
      </c>
      <c r="DE164">
        <f>IF((DG$1+160)&gt;DE$1,NA(),INDEX('Data Entry'!$J$5:$J$10004,(DG$1+160)-4))</f>
        <v/>
      </c>
      <c r="DF164">
        <f>IF(ISNA(DD164),NA(),Capability!$K$7)</f>
        <v/>
      </c>
      <c r="DG164">
        <f>IF(ISNA(DD164),NA(),Capability!$J$7)</f>
        <v/>
      </c>
      <c r="DH164">
        <f>IF(ISNA(DD164),NA(),Capability!$L$7)</f>
        <v/>
      </c>
      <c r="DI164">
        <f>IF(OR(ISNA(DE164),ISNA(DE163)),NA(),ABS(DE164-DE163))</f>
        <v/>
      </c>
      <c r="DJ164">
        <f>IF(ISNA(DD164),NA(),Capability!$N$7)</f>
        <v/>
      </c>
      <c r="DK164">
        <f>IF(ISNA(DD164),NA(),IF(OR(Capability!$Q$7="",Settings!$F$7&lt;&gt;"Y"),NA(),Capability!$Q$7))</f>
        <v/>
      </c>
      <c r="DL164">
        <f>IF(ISNA(DD164),NA(),IF(OR(Capability!$P$7="",Settings!$F$7&lt;&gt;"Y"),NA(),Capability!$P$7))</f>
        <v/>
      </c>
      <c r="DR164">
        <f>IF((DU$1+160)&gt;DS$1,NA(),(DU$1+160)-4)</f>
        <v/>
      </c>
      <c r="DS164">
        <f>IF((DU$1+160)&gt;DS$1,NA(),INDEX('Data Entry'!$K$5:$K$10004,(DU$1+160)-4))</f>
        <v/>
      </c>
      <c r="DT164">
        <f>IF(ISNA(DR164),NA(),Capability!$K$8)</f>
        <v/>
      </c>
      <c r="DU164">
        <f>IF(ISNA(DR164),NA(),Capability!$J$8)</f>
        <v/>
      </c>
      <c r="DV164">
        <f>IF(ISNA(DR164),NA(),Capability!$L$8)</f>
        <v/>
      </c>
      <c r="DW164">
        <f>IF(OR(ISNA(DS164),ISNA(DS163)),NA(),ABS(DS164-DS163))</f>
        <v/>
      </c>
      <c r="DX164">
        <f>IF(ISNA(DR164),NA(),Capability!$N$8)</f>
        <v/>
      </c>
      <c r="DY164">
        <f>IF(ISNA(DR164),NA(),IF(OR(Capability!$Q$8="",Settings!$F$7&lt;&gt;"Y"),NA(),Capability!$Q$8))</f>
        <v/>
      </c>
      <c r="DZ164">
        <f>IF(ISNA(DR164),NA(),IF(OR(Capability!$P$8="",Settings!$F$7&lt;&gt;"Y"),NA(),Capability!$P$8))</f>
        <v/>
      </c>
      <c r="EF164">
        <f>IF((EI$1+160)&gt;EG$1,NA(),(EI$1+160)-4)</f>
        <v/>
      </c>
      <c r="EG164">
        <f>IF((EI$1+160)&gt;EG$1,NA(),INDEX('Data Entry'!$L$5:$L$10004,(EI$1+160)-4))</f>
        <v/>
      </c>
      <c r="EH164">
        <f>IF(ISNA(EF164),NA(),Capability!$K$9)</f>
        <v/>
      </c>
      <c r="EI164">
        <f>IF(ISNA(EF164),NA(),Capability!$J$9)</f>
        <v/>
      </c>
      <c r="EJ164">
        <f>IF(ISNA(EF164),NA(),Capability!$L$9)</f>
        <v/>
      </c>
      <c r="EK164">
        <f>IF(OR(ISNA(EG164),ISNA(EG163)),NA(),ABS(EG164-EG163))</f>
        <v/>
      </c>
      <c r="EL164">
        <f>IF(ISNA(EF164),NA(),Capability!$N$9)</f>
        <v/>
      </c>
      <c r="EM164">
        <f>IF(ISNA(EF164),NA(),IF(OR(Capability!$Q$9="",Settings!$F$7&lt;&gt;"Y"),NA(),Capability!$Q$9))</f>
        <v/>
      </c>
      <c r="EN164">
        <f>IF(ISNA(EF164),NA(),IF(OR(Capability!$P$9="",Settings!$F$7&lt;&gt;"Y"),NA(),Capability!$P$9))</f>
        <v/>
      </c>
      <c r="ET164">
        <f>IF((EW$1+160)&gt;EU$1,NA(),(EW$1+160)-4)</f>
        <v/>
      </c>
      <c r="EU164">
        <f>IF((EW$1+160)&gt;EU$1,NA(),INDEX('Data Entry'!$M$5:$M$10004,(EW$1+160)-4))</f>
        <v/>
      </c>
      <c r="EV164">
        <f>IF(ISNA(ET164),NA(),Capability!$K$10)</f>
        <v/>
      </c>
      <c r="EW164">
        <f>IF(ISNA(ET164),NA(),Capability!$J$10)</f>
        <v/>
      </c>
      <c r="EX164">
        <f>IF(ISNA(ET164),NA(),Capability!$L$10)</f>
        <v/>
      </c>
      <c r="EY164">
        <f>IF(OR(ISNA(EU164),ISNA(EU163)),NA(),ABS(EU164-EU163))</f>
        <v/>
      </c>
      <c r="EZ164">
        <f>IF(ISNA(ET164),NA(),Capability!$N$10)</f>
        <v/>
      </c>
      <c r="FA164">
        <f>IF(ISNA(ET164),NA(),IF(OR(Capability!$Q$10="",Settings!$F$7&lt;&gt;"Y"),NA(),Capability!$Q$10))</f>
        <v/>
      </c>
      <c r="FB164">
        <f>IF(ISNA(ET164),NA(),IF(OR(Capability!$P$10="",Settings!$F$7&lt;&gt;"Y"),NA(),Capability!$P$10))</f>
        <v/>
      </c>
      <c r="FH164">
        <f>IF((FK$1+160)&gt;FI$1,NA(),(FK$1+160)-4)</f>
        <v/>
      </c>
      <c r="FI164">
        <f>IF((FK$1+160)&gt;FI$1,NA(),INDEX('Data Entry'!$N$5:$N$10004,(FK$1+160)-4))</f>
        <v/>
      </c>
      <c r="FJ164">
        <f>IF(ISNA(FH164),NA(),Capability!$K$11)</f>
        <v/>
      </c>
      <c r="FK164">
        <f>IF(ISNA(FH164),NA(),Capability!$J$11)</f>
        <v/>
      </c>
      <c r="FL164">
        <f>IF(ISNA(FH164),NA(),Capability!$L$11)</f>
        <v/>
      </c>
      <c r="FM164">
        <f>IF(OR(ISNA(FI164),ISNA(FI163)),NA(),ABS(FI164-FI163))</f>
        <v/>
      </c>
      <c r="FN164">
        <f>IF(ISNA(FH164),NA(),Capability!$N$11)</f>
        <v/>
      </c>
      <c r="FO164">
        <f>IF(ISNA(FH164),NA(),IF(OR(Capability!$Q$11="",Settings!$F$7&lt;&gt;"Y"),NA(),Capability!$Q$11))</f>
        <v/>
      </c>
      <c r="FP164">
        <f>IF(ISNA(FH164),NA(),IF(OR(Capability!$P$11="",Settings!$F$7&lt;&gt;"Y"),NA(),Capability!$P$11))</f>
        <v/>
      </c>
      <c r="FV164">
        <f>IF((FY$1+160)&gt;FW$1,NA(),(FY$1+160)-4)</f>
        <v/>
      </c>
      <c r="FW164">
        <f>IF((FY$1+160)&gt;FW$1,NA(),INDEX('Data Entry'!$O$5:$O$10004,(FY$1+160)-4))</f>
        <v/>
      </c>
      <c r="FX164">
        <f>IF(ISNA(FV164),NA(),Capability!$K$12)</f>
        <v/>
      </c>
      <c r="FY164">
        <f>IF(ISNA(FV164),NA(),Capability!$J$12)</f>
        <v/>
      </c>
      <c r="FZ164">
        <f>IF(ISNA(FV164),NA(),Capability!$L$12)</f>
        <v/>
      </c>
      <c r="GA164">
        <f>IF(OR(ISNA(FW164),ISNA(FW163)),NA(),ABS(FW164-FW163))</f>
        <v/>
      </c>
      <c r="GB164">
        <f>IF(ISNA(FV164),NA(),Capability!$N$12)</f>
        <v/>
      </c>
      <c r="GC164">
        <f>IF(ISNA(FV164),NA(),IF(OR(Capability!$Q$12="",Settings!$F$7&lt;&gt;"Y"),NA(),Capability!$Q$12))</f>
        <v/>
      </c>
      <c r="GD164">
        <f>IF(ISNA(FV164),NA(),IF(OR(Capability!$P$12="",Settings!$F$7&lt;&gt;"Y"),NA(),Capability!$P$12))</f>
        <v/>
      </c>
      <c r="GJ164">
        <f>IF((GM$1+160)&gt;GK$1,NA(),(GM$1+160)-4)</f>
        <v/>
      </c>
      <c r="GK164">
        <f>IF((GM$1+160)&gt;GK$1,NA(),INDEX('Data Entry'!$P$5:$P$10004,(GM$1+160)-4))</f>
        <v/>
      </c>
      <c r="GL164">
        <f>IF(ISNA(GJ164),NA(),Capability!$K$13)</f>
        <v/>
      </c>
      <c r="GM164">
        <f>IF(ISNA(GJ164),NA(),Capability!$J$13)</f>
        <v/>
      </c>
      <c r="GN164">
        <f>IF(ISNA(GJ164),NA(),Capability!$L$13)</f>
        <v/>
      </c>
      <c r="GO164">
        <f>IF(OR(ISNA(GK164),ISNA(GK163)),NA(),ABS(GK164-GK163))</f>
        <v/>
      </c>
      <c r="GP164">
        <f>IF(ISNA(GJ164),NA(),Capability!$N$13)</f>
        <v/>
      </c>
      <c r="GQ164">
        <f>IF(ISNA(GJ164),NA(),IF(OR(Capability!$Q$13="",Settings!$F$7&lt;&gt;"Y"),NA(),Capability!$Q$13))</f>
        <v/>
      </c>
      <c r="GR164">
        <f>IF(ISNA(GJ164),NA(),IF(OR(Capability!$P$13="",Settings!$F$7&lt;&gt;"Y"),NA(),Capability!$P$13))</f>
        <v/>
      </c>
      <c r="GX164">
        <f>IF((HA$1+160)&gt;GY$1,NA(),(HA$1+160)-4)</f>
        <v/>
      </c>
      <c r="GY164">
        <f>IF((HA$1+160)&gt;GY$1,NA(),INDEX('Data Entry'!$Q$5:$Q$10004,(HA$1+160)-4))</f>
        <v/>
      </c>
      <c r="GZ164">
        <f>IF(ISNA(GX164),NA(),Capability!$K$14)</f>
        <v/>
      </c>
      <c r="HA164">
        <f>IF(ISNA(GX164),NA(),Capability!$J$14)</f>
        <v/>
      </c>
      <c r="HB164">
        <f>IF(ISNA(GX164),NA(),Capability!$L$14)</f>
        <v/>
      </c>
      <c r="HC164">
        <f>IF(OR(ISNA(GY164),ISNA(GY163)),NA(),ABS(GY164-GY163))</f>
        <v/>
      </c>
      <c r="HD164">
        <f>IF(ISNA(GX164),NA(),Capability!$N$14)</f>
        <v/>
      </c>
      <c r="HE164">
        <f>IF(ISNA(GX164),NA(),IF(OR(Capability!$Q$14="",Settings!$F$7&lt;&gt;"Y"),NA(),Capability!$Q$14))</f>
        <v/>
      </c>
      <c r="HF164">
        <f>IF(ISNA(GX164),NA(),IF(OR(Capability!$P$14="",Settings!$F$7&lt;&gt;"Y"),NA(),Capability!$P$14))</f>
        <v/>
      </c>
    </row>
    <row r="165">
      <c r="A165" s="35" t="inlineStr">
        <is>
          <t>Feature</t>
        </is>
      </c>
      <c r="B165" s="36">
        <f>Capability!A9</f>
        <v/>
      </c>
      <c r="CB165">
        <f>IF((CE$1+161)&gt;CC$1,NA(),(CE$1+161)-4)</f>
        <v/>
      </c>
      <c r="CC165">
        <f>IF((CE$1+161)&gt;CC$1,NA(),INDEX('Data Entry'!$H$5:$H$10004,(CE$1+161)-4))</f>
        <v/>
      </c>
      <c r="CD165">
        <f>IF(ISNA(CB165),NA(),Capability!$K$5)</f>
        <v/>
      </c>
      <c r="CE165">
        <f>IF(ISNA(CB165),NA(),Capability!$J$5)</f>
        <v/>
      </c>
      <c r="CF165">
        <f>IF(ISNA(CB165),NA(),Capability!$L$5)</f>
        <v/>
      </c>
      <c r="CG165">
        <f>IF(OR(ISNA(CC165),ISNA(CC164)),NA(),ABS(CC165-CC164))</f>
        <v/>
      </c>
      <c r="CH165">
        <f>IF(ISNA(CB165),NA(),Capability!$N$5)</f>
        <v/>
      </c>
      <c r="CI165">
        <f>IF(ISNA(CB165),NA(),IF(OR(Capability!$Q$5="",Settings!$F$7&lt;&gt;"Y"),NA(),Capability!$Q$5))</f>
        <v/>
      </c>
      <c r="CJ165">
        <f>IF(ISNA(CB165),NA(),IF(OR(Capability!$P$5="",Settings!$F$7&lt;&gt;"Y"),NA(),Capability!$P$5))</f>
        <v/>
      </c>
      <c r="CP165">
        <f>IF((CS$1+161)&gt;CQ$1,NA(),(CS$1+161)-4)</f>
        <v/>
      </c>
      <c r="CQ165">
        <f>IF((CS$1+161)&gt;CQ$1,NA(),INDEX('Data Entry'!$I$5:$I$10004,(CS$1+161)-4))</f>
        <v/>
      </c>
      <c r="CR165">
        <f>IF(ISNA(CP165),NA(),Capability!$K$6)</f>
        <v/>
      </c>
      <c r="CS165">
        <f>IF(ISNA(CP165),NA(),Capability!$J$6)</f>
        <v/>
      </c>
      <c r="CT165">
        <f>IF(ISNA(CP165),NA(),Capability!$L$6)</f>
        <v/>
      </c>
      <c r="CU165">
        <f>IF(OR(ISNA(CQ165),ISNA(CQ164)),NA(),ABS(CQ165-CQ164))</f>
        <v/>
      </c>
      <c r="CV165">
        <f>IF(ISNA(CP165),NA(),Capability!$N$6)</f>
        <v/>
      </c>
      <c r="CW165">
        <f>IF(ISNA(CP165),NA(),IF(OR(Capability!$Q$6="",Settings!$F$7&lt;&gt;"Y"),NA(),Capability!$Q$6))</f>
        <v/>
      </c>
      <c r="CX165">
        <f>IF(ISNA(CP165),NA(),IF(OR(Capability!$P$6="",Settings!$F$7&lt;&gt;"Y"),NA(),Capability!$P$6))</f>
        <v/>
      </c>
      <c r="DD165">
        <f>IF((DG$1+161)&gt;DE$1,NA(),(DG$1+161)-4)</f>
        <v/>
      </c>
      <c r="DE165">
        <f>IF((DG$1+161)&gt;DE$1,NA(),INDEX('Data Entry'!$J$5:$J$10004,(DG$1+161)-4))</f>
        <v/>
      </c>
      <c r="DF165">
        <f>IF(ISNA(DD165),NA(),Capability!$K$7)</f>
        <v/>
      </c>
      <c r="DG165">
        <f>IF(ISNA(DD165),NA(),Capability!$J$7)</f>
        <v/>
      </c>
      <c r="DH165">
        <f>IF(ISNA(DD165),NA(),Capability!$L$7)</f>
        <v/>
      </c>
      <c r="DI165">
        <f>IF(OR(ISNA(DE165),ISNA(DE164)),NA(),ABS(DE165-DE164))</f>
        <v/>
      </c>
      <c r="DJ165">
        <f>IF(ISNA(DD165),NA(),Capability!$N$7)</f>
        <v/>
      </c>
      <c r="DK165">
        <f>IF(ISNA(DD165),NA(),IF(OR(Capability!$Q$7="",Settings!$F$7&lt;&gt;"Y"),NA(),Capability!$Q$7))</f>
        <v/>
      </c>
      <c r="DL165">
        <f>IF(ISNA(DD165),NA(),IF(OR(Capability!$P$7="",Settings!$F$7&lt;&gt;"Y"),NA(),Capability!$P$7))</f>
        <v/>
      </c>
      <c r="DR165">
        <f>IF((DU$1+161)&gt;DS$1,NA(),(DU$1+161)-4)</f>
        <v/>
      </c>
      <c r="DS165">
        <f>IF((DU$1+161)&gt;DS$1,NA(),INDEX('Data Entry'!$K$5:$K$10004,(DU$1+161)-4))</f>
        <v/>
      </c>
      <c r="DT165">
        <f>IF(ISNA(DR165),NA(),Capability!$K$8)</f>
        <v/>
      </c>
      <c r="DU165">
        <f>IF(ISNA(DR165),NA(),Capability!$J$8)</f>
        <v/>
      </c>
      <c r="DV165">
        <f>IF(ISNA(DR165),NA(),Capability!$L$8)</f>
        <v/>
      </c>
      <c r="DW165">
        <f>IF(OR(ISNA(DS165),ISNA(DS164)),NA(),ABS(DS165-DS164))</f>
        <v/>
      </c>
      <c r="DX165">
        <f>IF(ISNA(DR165),NA(),Capability!$N$8)</f>
        <v/>
      </c>
      <c r="DY165">
        <f>IF(ISNA(DR165),NA(),IF(OR(Capability!$Q$8="",Settings!$F$7&lt;&gt;"Y"),NA(),Capability!$Q$8))</f>
        <v/>
      </c>
      <c r="DZ165">
        <f>IF(ISNA(DR165),NA(),IF(OR(Capability!$P$8="",Settings!$F$7&lt;&gt;"Y"),NA(),Capability!$P$8))</f>
        <v/>
      </c>
      <c r="EF165">
        <f>IF((EI$1+161)&gt;EG$1,NA(),(EI$1+161)-4)</f>
        <v/>
      </c>
      <c r="EG165">
        <f>IF((EI$1+161)&gt;EG$1,NA(),INDEX('Data Entry'!$L$5:$L$10004,(EI$1+161)-4))</f>
        <v/>
      </c>
      <c r="EH165">
        <f>IF(ISNA(EF165),NA(),Capability!$K$9)</f>
        <v/>
      </c>
      <c r="EI165">
        <f>IF(ISNA(EF165),NA(),Capability!$J$9)</f>
        <v/>
      </c>
      <c r="EJ165">
        <f>IF(ISNA(EF165),NA(),Capability!$L$9)</f>
        <v/>
      </c>
      <c r="EK165">
        <f>IF(OR(ISNA(EG165),ISNA(EG164)),NA(),ABS(EG165-EG164))</f>
        <v/>
      </c>
      <c r="EL165">
        <f>IF(ISNA(EF165),NA(),Capability!$N$9)</f>
        <v/>
      </c>
      <c r="EM165">
        <f>IF(ISNA(EF165),NA(),IF(OR(Capability!$Q$9="",Settings!$F$7&lt;&gt;"Y"),NA(),Capability!$Q$9))</f>
        <v/>
      </c>
      <c r="EN165">
        <f>IF(ISNA(EF165),NA(),IF(OR(Capability!$P$9="",Settings!$F$7&lt;&gt;"Y"),NA(),Capability!$P$9))</f>
        <v/>
      </c>
      <c r="ET165">
        <f>IF((EW$1+161)&gt;EU$1,NA(),(EW$1+161)-4)</f>
        <v/>
      </c>
      <c r="EU165">
        <f>IF((EW$1+161)&gt;EU$1,NA(),INDEX('Data Entry'!$M$5:$M$10004,(EW$1+161)-4))</f>
        <v/>
      </c>
      <c r="EV165">
        <f>IF(ISNA(ET165),NA(),Capability!$K$10)</f>
        <v/>
      </c>
      <c r="EW165">
        <f>IF(ISNA(ET165),NA(),Capability!$J$10)</f>
        <v/>
      </c>
      <c r="EX165">
        <f>IF(ISNA(ET165),NA(),Capability!$L$10)</f>
        <v/>
      </c>
      <c r="EY165">
        <f>IF(OR(ISNA(EU165),ISNA(EU164)),NA(),ABS(EU165-EU164))</f>
        <v/>
      </c>
      <c r="EZ165">
        <f>IF(ISNA(ET165),NA(),Capability!$N$10)</f>
        <v/>
      </c>
      <c r="FA165">
        <f>IF(ISNA(ET165),NA(),IF(OR(Capability!$Q$10="",Settings!$F$7&lt;&gt;"Y"),NA(),Capability!$Q$10))</f>
        <v/>
      </c>
      <c r="FB165">
        <f>IF(ISNA(ET165),NA(),IF(OR(Capability!$P$10="",Settings!$F$7&lt;&gt;"Y"),NA(),Capability!$P$10))</f>
        <v/>
      </c>
      <c r="FH165">
        <f>IF((FK$1+161)&gt;FI$1,NA(),(FK$1+161)-4)</f>
        <v/>
      </c>
      <c r="FI165">
        <f>IF((FK$1+161)&gt;FI$1,NA(),INDEX('Data Entry'!$N$5:$N$10004,(FK$1+161)-4))</f>
        <v/>
      </c>
      <c r="FJ165">
        <f>IF(ISNA(FH165),NA(),Capability!$K$11)</f>
        <v/>
      </c>
      <c r="FK165">
        <f>IF(ISNA(FH165),NA(),Capability!$J$11)</f>
        <v/>
      </c>
      <c r="FL165">
        <f>IF(ISNA(FH165),NA(),Capability!$L$11)</f>
        <v/>
      </c>
      <c r="FM165">
        <f>IF(OR(ISNA(FI165),ISNA(FI164)),NA(),ABS(FI165-FI164))</f>
        <v/>
      </c>
      <c r="FN165">
        <f>IF(ISNA(FH165),NA(),Capability!$N$11)</f>
        <v/>
      </c>
      <c r="FO165">
        <f>IF(ISNA(FH165),NA(),IF(OR(Capability!$Q$11="",Settings!$F$7&lt;&gt;"Y"),NA(),Capability!$Q$11))</f>
        <v/>
      </c>
      <c r="FP165">
        <f>IF(ISNA(FH165),NA(),IF(OR(Capability!$P$11="",Settings!$F$7&lt;&gt;"Y"),NA(),Capability!$P$11))</f>
        <v/>
      </c>
      <c r="FV165">
        <f>IF((FY$1+161)&gt;FW$1,NA(),(FY$1+161)-4)</f>
        <v/>
      </c>
      <c r="FW165">
        <f>IF((FY$1+161)&gt;FW$1,NA(),INDEX('Data Entry'!$O$5:$O$10004,(FY$1+161)-4))</f>
        <v/>
      </c>
      <c r="FX165">
        <f>IF(ISNA(FV165),NA(),Capability!$K$12)</f>
        <v/>
      </c>
      <c r="FY165">
        <f>IF(ISNA(FV165),NA(),Capability!$J$12)</f>
        <v/>
      </c>
      <c r="FZ165">
        <f>IF(ISNA(FV165),NA(),Capability!$L$12)</f>
        <v/>
      </c>
      <c r="GA165">
        <f>IF(OR(ISNA(FW165),ISNA(FW164)),NA(),ABS(FW165-FW164))</f>
        <v/>
      </c>
      <c r="GB165">
        <f>IF(ISNA(FV165),NA(),Capability!$N$12)</f>
        <v/>
      </c>
      <c r="GC165">
        <f>IF(ISNA(FV165),NA(),IF(OR(Capability!$Q$12="",Settings!$F$7&lt;&gt;"Y"),NA(),Capability!$Q$12))</f>
        <v/>
      </c>
      <c r="GD165">
        <f>IF(ISNA(FV165),NA(),IF(OR(Capability!$P$12="",Settings!$F$7&lt;&gt;"Y"),NA(),Capability!$P$12))</f>
        <v/>
      </c>
      <c r="GJ165">
        <f>IF((GM$1+161)&gt;GK$1,NA(),(GM$1+161)-4)</f>
        <v/>
      </c>
      <c r="GK165">
        <f>IF((GM$1+161)&gt;GK$1,NA(),INDEX('Data Entry'!$P$5:$P$10004,(GM$1+161)-4))</f>
        <v/>
      </c>
      <c r="GL165">
        <f>IF(ISNA(GJ165),NA(),Capability!$K$13)</f>
        <v/>
      </c>
      <c r="GM165">
        <f>IF(ISNA(GJ165),NA(),Capability!$J$13)</f>
        <v/>
      </c>
      <c r="GN165">
        <f>IF(ISNA(GJ165),NA(),Capability!$L$13)</f>
        <v/>
      </c>
      <c r="GO165">
        <f>IF(OR(ISNA(GK165),ISNA(GK164)),NA(),ABS(GK165-GK164))</f>
        <v/>
      </c>
      <c r="GP165">
        <f>IF(ISNA(GJ165),NA(),Capability!$N$13)</f>
        <v/>
      </c>
      <c r="GQ165">
        <f>IF(ISNA(GJ165),NA(),IF(OR(Capability!$Q$13="",Settings!$F$7&lt;&gt;"Y"),NA(),Capability!$Q$13))</f>
        <v/>
      </c>
      <c r="GR165">
        <f>IF(ISNA(GJ165),NA(),IF(OR(Capability!$P$13="",Settings!$F$7&lt;&gt;"Y"),NA(),Capability!$P$13))</f>
        <v/>
      </c>
      <c r="GX165">
        <f>IF((HA$1+161)&gt;GY$1,NA(),(HA$1+161)-4)</f>
        <v/>
      </c>
      <c r="GY165">
        <f>IF((HA$1+161)&gt;GY$1,NA(),INDEX('Data Entry'!$Q$5:$Q$10004,(HA$1+161)-4))</f>
        <v/>
      </c>
      <c r="GZ165">
        <f>IF(ISNA(GX165),NA(),Capability!$K$14)</f>
        <v/>
      </c>
      <c r="HA165">
        <f>IF(ISNA(GX165),NA(),Capability!$J$14)</f>
        <v/>
      </c>
      <c r="HB165">
        <f>IF(ISNA(GX165),NA(),Capability!$L$14)</f>
        <v/>
      </c>
      <c r="HC165">
        <f>IF(OR(ISNA(GY165),ISNA(GY164)),NA(),ABS(GY165-GY164))</f>
        <v/>
      </c>
      <c r="HD165">
        <f>IF(ISNA(GX165),NA(),Capability!$N$14)</f>
        <v/>
      </c>
      <c r="HE165">
        <f>IF(ISNA(GX165),NA(),IF(OR(Capability!$Q$14="",Settings!$F$7&lt;&gt;"Y"),NA(),Capability!$Q$14))</f>
        <v/>
      </c>
      <c r="HF165">
        <f>IF(ISNA(GX165),NA(),IF(OR(Capability!$P$14="",Settings!$F$7&lt;&gt;"Y"),NA(),Capability!$P$14))</f>
        <v/>
      </c>
    </row>
    <row r="166">
      <c r="A166" s="35" t="inlineStr">
        <is>
          <t>Unit</t>
        </is>
      </c>
      <c r="B166" s="36">
        <f>Settings!F21</f>
        <v/>
      </c>
      <c r="CB166">
        <f>IF((CE$1+162)&gt;CC$1,NA(),(CE$1+162)-4)</f>
        <v/>
      </c>
      <c r="CC166">
        <f>IF((CE$1+162)&gt;CC$1,NA(),INDEX('Data Entry'!$H$5:$H$10004,(CE$1+162)-4))</f>
        <v/>
      </c>
      <c r="CD166">
        <f>IF(ISNA(CB166),NA(),Capability!$K$5)</f>
        <v/>
      </c>
      <c r="CE166">
        <f>IF(ISNA(CB166),NA(),Capability!$J$5)</f>
        <v/>
      </c>
      <c r="CF166">
        <f>IF(ISNA(CB166),NA(),Capability!$L$5)</f>
        <v/>
      </c>
      <c r="CG166">
        <f>IF(OR(ISNA(CC166),ISNA(CC165)),NA(),ABS(CC166-CC165))</f>
        <v/>
      </c>
      <c r="CH166">
        <f>IF(ISNA(CB166),NA(),Capability!$N$5)</f>
        <v/>
      </c>
      <c r="CI166">
        <f>IF(ISNA(CB166),NA(),IF(OR(Capability!$Q$5="",Settings!$F$7&lt;&gt;"Y"),NA(),Capability!$Q$5))</f>
        <v/>
      </c>
      <c r="CJ166">
        <f>IF(ISNA(CB166),NA(),IF(OR(Capability!$P$5="",Settings!$F$7&lt;&gt;"Y"),NA(),Capability!$P$5))</f>
        <v/>
      </c>
      <c r="CP166">
        <f>IF((CS$1+162)&gt;CQ$1,NA(),(CS$1+162)-4)</f>
        <v/>
      </c>
      <c r="CQ166">
        <f>IF((CS$1+162)&gt;CQ$1,NA(),INDEX('Data Entry'!$I$5:$I$10004,(CS$1+162)-4))</f>
        <v/>
      </c>
      <c r="CR166">
        <f>IF(ISNA(CP166),NA(),Capability!$K$6)</f>
        <v/>
      </c>
      <c r="CS166">
        <f>IF(ISNA(CP166),NA(),Capability!$J$6)</f>
        <v/>
      </c>
      <c r="CT166">
        <f>IF(ISNA(CP166),NA(),Capability!$L$6)</f>
        <v/>
      </c>
      <c r="CU166">
        <f>IF(OR(ISNA(CQ166),ISNA(CQ165)),NA(),ABS(CQ166-CQ165))</f>
        <v/>
      </c>
      <c r="CV166">
        <f>IF(ISNA(CP166),NA(),Capability!$N$6)</f>
        <v/>
      </c>
      <c r="CW166">
        <f>IF(ISNA(CP166),NA(),IF(OR(Capability!$Q$6="",Settings!$F$7&lt;&gt;"Y"),NA(),Capability!$Q$6))</f>
        <v/>
      </c>
      <c r="CX166">
        <f>IF(ISNA(CP166),NA(),IF(OR(Capability!$P$6="",Settings!$F$7&lt;&gt;"Y"),NA(),Capability!$P$6))</f>
        <v/>
      </c>
      <c r="DD166">
        <f>IF((DG$1+162)&gt;DE$1,NA(),(DG$1+162)-4)</f>
        <v/>
      </c>
      <c r="DE166">
        <f>IF((DG$1+162)&gt;DE$1,NA(),INDEX('Data Entry'!$J$5:$J$10004,(DG$1+162)-4))</f>
        <v/>
      </c>
      <c r="DF166">
        <f>IF(ISNA(DD166),NA(),Capability!$K$7)</f>
        <v/>
      </c>
      <c r="DG166">
        <f>IF(ISNA(DD166),NA(),Capability!$J$7)</f>
        <v/>
      </c>
      <c r="DH166">
        <f>IF(ISNA(DD166),NA(),Capability!$L$7)</f>
        <v/>
      </c>
      <c r="DI166">
        <f>IF(OR(ISNA(DE166),ISNA(DE165)),NA(),ABS(DE166-DE165))</f>
        <v/>
      </c>
      <c r="DJ166">
        <f>IF(ISNA(DD166),NA(),Capability!$N$7)</f>
        <v/>
      </c>
      <c r="DK166">
        <f>IF(ISNA(DD166),NA(),IF(OR(Capability!$Q$7="",Settings!$F$7&lt;&gt;"Y"),NA(),Capability!$Q$7))</f>
        <v/>
      </c>
      <c r="DL166">
        <f>IF(ISNA(DD166),NA(),IF(OR(Capability!$P$7="",Settings!$F$7&lt;&gt;"Y"),NA(),Capability!$P$7))</f>
        <v/>
      </c>
      <c r="DR166">
        <f>IF((DU$1+162)&gt;DS$1,NA(),(DU$1+162)-4)</f>
        <v/>
      </c>
      <c r="DS166">
        <f>IF((DU$1+162)&gt;DS$1,NA(),INDEX('Data Entry'!$K$5:$K$10004,(DU$1+162)-4))</f>
        <v/>
      </c>
      <c r="DT166">
        <f>IF(ISNA(DR166),NA(),Capability!$K$8)</f>
        <v/>
      </c>
      <c r="DU166">
        <f>IF(ISNA(DR166),NA(),Capability!$J$8)</f>
        <v/>
      </c>
      <c r="DV166">
        <f>IF(ISNA(DR166),NA(),Capability!$L$8)</f>
        <v/>
      </c>
      <c r="DW166">
        <f>IF(OR(ISNA(DS166),ISNA(DS165)),NA(),ABS(DS166-DS165))</f>
        <v/>
      </c>
      <c r="DX166">
        <f>IF(ISNA(DR166),NA(),Capability!$N$8)</f>
        <v/>
      </c>
      <c r="DY166">
        <f>IF(ISNA(DR166),NA(),IF(OR(Capability!$Q$8="",Settings!$F$7&lt;&gt;"Y"),NA(),Capability!$Q$8))</f>
        <v/>
      </c>
      <c r="DZ166">
        <f>IF(ISNA(DR166),NA(),IF(OR(Capability!$P$8="",Settings!$F$7&lt;&gt;"Y"),NA(),Capability!$P$8))</f>
        <v/>
      </c>
      <c r="EF166">
        <f>IF((EI$1+162)&gt;EG$1,NA(),(EI$1+162)-4)</f>
        <v/>
      </c>
      <c r="EG166">
        <f>IF((EI$1+162)&gt;EG$1,NA(),INDEX('Data Entry'!$L$5:$L$10004,(EI$1+162)-4))</f>
        <v/>
      </c>
      <c r="EH166">
        <f>IF(ISNA(EF166),NA(),Capability!$K$9)</f>
        <v/>
      </c>
      <c r="EI166">
        <f>IF(ISNA(EF166),NA(),Capability!$J$9)</f>
        <v/>
      </c>
      <c r="EJ166">
        <f>IF(ISNA(EF166),NA(),Capability!$L$9)</f>
        <v/>
      </c>
      <c r="EK166">
        <f>IF(OR(ISNA(EG166),ISNA(EG165)),NA(),ABS(EG166-EG165))</f>
        <v/>
      </c>
      <c r="EL166">
        <f>IF(ISNA(EF166),NA(),Capability!$N$9)</f>
        <v/>
      </c>
      <c r="EM166">
        <f>IF(ISNA(EF166),NA(),IF(OR(Capability!$Q$9="",Settings!$F$7&lt;&gt;"Y"),NA(),Capability!$Q$9))</f>
        <v/>
      </c>
      <c r="EN166">
        <f>IF(ISNA(EF166),NA(),IF(OR(Capability!$P$9="",Settings!$F$7&lt;&gt;"Y"),NA(),Capability!$P$9))</f>
        <v/>
      </c>
      <c r="ET166">
        <f>IF((EW$1+162)&gt;EU$1,NA(),(EW$1+162)-4)</f>
        <v/>
      </c>
      <c r="EU166">
        <f>IF((EW$1+162)&gt;EU$1,NA(),INDEX('Data Entry'!$M$5:$M$10004,(EW$1+162)-4))</f>
        <v/>
      </c>
      <c r="EV166">
        <f>IF(ISNA(ET166),NA(),Capability!$K$10)</f>
        <v/>
      </c>
      <c r="EW166">
        <f>IF(ISNA(ET166),NA(),Capability!$J$10)</f>
        <v/>
      </c>
      <c r="EX166">
        <f>IF(ISNA(ET166),NA(),Capability!$L$10)</f>
        <v/>
      </c>
      <c r="EY166">
        <f>IF(OR(ISNA(EU166),ISNA(EU165)),NA(),ABS(EU166-EU165))</f>
        <v/>
      </c>
      <c r="EZ166">
        <f>IF(ISNA(ET166),NA(),Capability!$N$10)</f>
        <v/>
      </c>
      <c r="FA166">
        <f>IF(ISNA(ET166),NA(),IF(OR(Capability!$Q$10="",Settings!$F$7&lt;&gt;"Y"),NA(),Capability!$Q$10))</f>
        <v/>
      </c>
      <c r="FB166">
        <f>IF(ISNA(ET166),NA(),IF(OR(Capability!$P$10="",Settings!$F$7&lt;&gt;"Y"),NA(),Capability!$P$10))</f>
        <v/>
      </c>
      <c r="FH166">
        <f>IF((FK$1+162)&gt;FI$1,NA(),(FK$1+162)-4)</f>
        <v/>
      </c>
      <c r="FI166">
        <f>IF((FK$1+162)&gt;FI$1,NA(),INDEX('Data Entry'!$N$5:$N$10004,(FK$1+162)-4))</f>
        <v/>
      </c>
      <c r="FJ166">
        <f>IF(ISNA(FH166),NA(),Capability!$K$11)</f>
        <v/>
      </c>
      <c r="FK166">
        <f>IF(ISNA(FH166),NA(),Capability!$J$11)</f>
        <v/>
      </c>
      <c r="FL166">
        <f>IF(ISNA(FH166),NA(),Capability!$L$11)</f>
        <v/>
      </c>
      <c r="FM166">
        <f>IF(OR(ISNA(FI166),ISNA(FI165)),NA(),ABS(FI166-FI165))</f>
        <v/>
      </c>
      <c r="FN166">
        <f>IF(ISNA(FH166),NA(),Capability!$N$11)</f>
        <v/>
      </c>
      <c r="FO166">
        <f>IF(ISNA(FH166),NA(),IF(OR(Capability!$Q$11="",Settings!$F$7&lt;&gt;"Y"),NA(),Capability!$Q$11))</f>
        <v/>
      </c>
      <c r="FP166">
        <f>IF(ISNA(FH166),NA(),IF(OR(Capability!$P$11="",Settings!$F$7&lt;&gt;"Y"),NA(),Capability!$P$11))</f>
        <v/>
      </c>
      <c r="FV166">
        <f>IF((FY$1+162)&gt;FW$1,NA(),(FY$1+162)-4)</f>
        <v/>
      </c>
      <c r="FW166">
        <f>IF((FY$1+162)&gt;FW$1,NA(),INDEX('Data Entry'!$O$5:$O$10004,(FY$1+162)-4))</f>
        <v/>
      </c>
      <c r="FX166">
        <f>IF(ISNA(FV166),NA(),Capability!$K$12)</f>
        <v/>
      </c>
      <c r="FY166">
        <f>IF(ISNA(FV166),NA(),Capability!$J$12)</f>
        <v/>
      </c>
      <c r="FZ166">
        <f>IF(ISNA(FV166),NA(),Capability!$L$12)</f>
        <v/>
      </c>
      <c r="GA166">
        <f>IF(OR(ISNA(FW166),ISNA(FW165)),NA(),ABS(FW166-FW165))</f>
        <v/>
      </c>
      <c r="GB166">
        <f>IF(ISNA(FV166),NA(),Capability!$N$12)</f>
        <v/>
      </c>
      <c r="GC166">
        <f>IF(ISNA(FV166),NA(),IF(OR(Capability!$Q$12="",Settings!$F$7&lt;&gt;"Y"),NA(),Capability!$Q$12))</f>
        <v/>
      </c>
      <c r="GD166">
        <f>IF(ISNA(FV166),NA(),IF(OR(Capability!$P$12="",Settings!$F$7&lt;&gt;"Y"),NA(),Capability!$P$12))</f>
        <v/>
      </c>
      <c r="GJ166">
        <f>IF((GM$1+162)&gt;GK$1,NA(),(GM$1+162)-4)</f>
        <v/>
      </c>
      <c r="GK166">
        <f>IF((GM$1+162)&gt;GK$1,NA(),INDEX('Data Entry'!$P$5:$P$10004,(GM$1+162)-4))</f>
        <v/>
      </c>
      <c r="GL166">
        <f>IF(ISNA(GJ166),NA(),Capability!$K$13)</f>
        <v/>
      </c>
      <c r="GM166">
        <f>IF(ISNA(GJ166),NA(),Capability!$J$13)</f>
        <v/>
      </c>
      <c r="GN166">
        <f>IF(ISNA(GJ166),NA(),Capability!$L$13)</f>
        <v/>
      </c>
      <c r="GO166">
        <f>IF(OR(ISNA(GK166),ISNA(GK165)),NA(),ABS(GK166-GK165))</f>
        <v/>
      </c>
      <c r="GP166">
        <f>IF(ISNA(GJ166),NA(),Capability!$N$13)</f>
        <v/>
      </c>
      <c r="GQ166">
        <f>IF(ISNA(GJ166),NA(),IF(OR(Capability!$Q$13="",Settings!$F$7&lt;&gt;"Y"),NA(),Capability!$Q$13))</f>
        <v/>
      </c>
      <c r="GR166">
        <f>IF(ISNA(GJ166),NA(),IF(OR(Capability!$P$13="",Settings!$F$7&lt;&gt;"Y"),NA(),Capability!$P$13))</f>
        <v/>
      </c>
      <c r="GX166">
        <f>IF((HA$1+162)&gt;GY$1,NA(),(HA$1+162)-4)</f>
        <v/>
      </c>
      <c r="GY166">
        <f>IF((HA$1+162)&gt;GY$1,NA(),INDEX('Data Entry'!$Q$5:$Q$10004,(HA$1+162)-4))</f>
        <v/>
      </c>
      <c r="GZ166">
        <f>IF(ISNA(GX166),NA(),Capability!$K$14)</f>
        <v/>
      </c>
      <c r="HA166">
        <f>IF(ISNA(GX166),NA(),Capability!$J$14)</f>
        <v/>
      </c>
      <c r="HB166">
        <f>IF(ISNA(GX166),NA(),Capability!$L$14)</f>
        <v/>
      </c>
      <c r="HC166">
        <f>IF(OR(ISNA(GY166),ISNA(GY165)),NA(),ABS(GY166-GY165))</f>
        <v/>
      </c>
      <c r="HD166">
        <f>IF(ISNA(GX166),NA(),Capability!$N$14)</f>
        <v/>
      </c>
      <c r="HE166">
        <f>IF(ISNA(GX166),NA(),IF(OR(Capability!$Q$14="",Settings!$F$7&lt;&gt;"Y"),NA(),Capability!$Q$14))</f>
        <v/>
      </c>
      <c r="HF166">
        <f>IF(ISNA(GX166),NA(),IF(OR(Capability!$P$14="",Settings!$F$7&lt;&gt;"Y"),NA(),Capability!$P$14))</f>
        <v/>
      </c>
    </row>
    <row r="167">
      <c r="A167" s="35" t="inlineStr">
        <is>
          <t>Samples (n)</t>
        </is>
      </c>
      <c r="B167" s="22">
        <f>Capability!B9</f>
        <v/>
      </c>
      <c r="CB167">
        <f>IF((CE$1+163)&gt;CC$1,NA(),(CE$1+163)-4)</f>
        <v/>
      </c>
      <c r="CC167">
        <f>IF((CE$1+163)&gt;CC$1,NA(),INDEX('Data Entry'!$H$5:$H$10004,(CE$1+163)-4))</f>
        <v/>
      </c>
      <c r="CD167">
        <f>IF(ISNA(CB167),NA(),Capability!$K$5)</f>
        <v/>
      </c>
      <c r="CE167">
        <f>IF(ISNA(CB167),NA(),Capability!$J$5)</f>
        <v/>
      </c>
      <c r="CF167">
        <f>IF(ISNA(CB167),NA(),Capability!$L$5)</f>
        <v/>
      </c>
      <c r="CG167">
        <f>IF(OR(ISNA(CC167),ISNA(CC166)),NA(),ABS(CC167-CC166))</f>
        <v/>
      </c>
      <c r="CH167">
        <f>IF(ISNA(CB167),NA(),Capability!$N$5)</f>
        <v/>
      </c>
      <c r="CI167">
        <f>IF(ISNA(CB167),NA(),IF(OR(Capability!$Q$5="",Settings!$F$7&lt;&gt;"Y"),NA(),Capability!$Q$5))</f>
        <v/>
      </c>
      <c r="CJ167">
        <f>IF(ISNA(CB167),NA(),IF(OR(Capability!$P$5="",Settings!$F$7&lt;&gt;"Y"),NA(),Capability!$P$5))</f>
        <v/>
      </c>
      <c r="CP167">
        <f>IF((CS$1+163)&gt;CQ$1,NA(),(CS$1+163)-4)</f>
        <v/>
      </c>
      <c r="CQ167">
        <f>IF((CS$1+163)&gt;CQ$1,NA(),INDEX('Data Entry'!$I$5:$I$10004,(CS$1+163)-4))</f>
        <v/>
      </c>
      <c r="CR167">
        <f>IF(ISNA(CP167),NA(),Capability!$K$6)</f>
        <v/>
      </c>
      <c r="CS167">
        <f>IF(ISNA(CP167),NA(),Capability!$J$6)</f>
        <v/>
      </c>
      <c r="CT167">
        <f>IF(ISNA(CP167),NA(),Capability!$L$6)</f>
        <v/>
      </c>
      <c r="CU167">
        <f>IF(OR(ISNA(CQ167),ISNA(CQ166)),NA(),ABS(CQ167-CQ166))</f>
        <v/>
      </c>
      <c r="CV167">
        <f>IF(ISNA(CP167),NA(),Capability!$N$6)</f>
        <v/>
      </c>
      <c r="CW167">
        <f>IF(ISNA(CP167),NA(),IF(OR(Capability!$Q$6="",Settings!$F$7&lt;&gt;"Y"),NA(),Capability!$Q$6))</f>
        <v/>
      </c>
      <c r="CX167">
        <f>IF(ISNA(CP167),NA(),IF(OR(Capability!$P$6="",Settings!$F$7&lt;&gt;"Y"),NA(),Capability!$P$6))</f>
        <v/>
      </c>
      <c r="DD167">
        <f>IF((DG$1+163)&gt;DE$1,NA(),(DG$1+163)-4)</f>
        <v/>
      </c>
      <c r="DE167">
        <f>IF((DG$1+163)&gt;DE$1,NA(),INDEX('Data Entry'!$J$5:$J$10004,(DG$1+163)-4))</f>
        <v/>
      </c>
      <c r="DF167">
        <f>IF(ISNA(DD167),NA(),Capability!$K$7)</f>
        <v/>
      </c>
      <c r="DG167">
        <f>IF(ISNA(DD167),NA(),Capability!$J$7)</f>
        <v/>
      </c>
      <c r="DH167">
        <f>IF(ISNA(DD167),NA(),Capability!$L$7)</f>
        <v/>
      </c>
      <c r="DI167">
        <f>IF(OR(ISNA(DE167),ISNA(DE166)),NA(),ABS(DE167-DE166))</f>
        <v/>
      </c>
      <c r="DJ167">
        <f>IF(ISNA(DD167),NA(),Capability!$N$7)</f>
        <v/>
      </c>
      <c r="DK167">
        <f>IF(ISNA(DD167),NA(),IF(OR(Capability!$Q$7="",Settings!$F$7&lt;&gt;"Y"),NA(),Capability!$Q$7))</f>
        <v/>
      </c>
      <c r="DL167">
        <f>IF(ISNA(DD167),NA(),IF(OR(Capability!$P$7="",Settings!$F$7&lt;&gt;"Y"),NA(),Capability!$P$7))</f>
        <v/>
      </c>
      <c r="DR167">
        <f>IF((DU$1+163)&gt;DS$1,NA(),(DU$1+163)-4)</f>
        <v/>
      </c>
      <c r="DS167">
        <f>IF((DU$1+163)&gt;DS$1,NA(),INDEX('Data Entry'!$K$5:$K$10004,(DU$1+163)-4))</f>
        <v/>
      </c>
      <c r="DT167">
        <f>IF(ISNA(DR167),NA(),Capability!$K$8)</f>
        <v/>
      </c>
      <c r="DU167">
        <f>IF(ISNA(DR167),NA(),Capability!$J$8)</f>
        <v/>
      </c>
      <c r="DV167">
        <f>IF(ISNA(DR167),NA(),Capability!$L$8)</f>
        <v/>
      </c>
      <c r="DW167">
        <f>IF(OR(ISNA(DS167),ISNA(DS166)),NA(),ABS(DS167-DS166))</f>
        <v/>
      </c>
      <c r="DX167">
        <f>IF(ISNA(DR167),NA(),Capability!$N$8)</f>
        <v/>
      </c>
      <c r="DY167">
        <f>IF(ISNA(DR167),NA(),IF(OR(Capability!$Q$8="",Settings!$F$7&lt;&gt;"Y"),NA(),Capability!$Q$8))</f>
        <v/>
      </c>
      <c r="DZ167">
        <f>IF(ISNA(DR167),NA(),IF(OR(Capability!$P$8="",Settings!$F$7&lt;&gt;"Y"),NA(),Capability!$P$8))</f>
        <v/>
      </c>
      <c r="EF167">
        <f>IF((EI$1+163)&gt;EG$1,NA(),(EI$1+163)-4)</f>
        <v/>
      </c>
      <c r="EG167">
        <f>IF((EI$1+163)&gt;EG$1,NA(),INDEX('Data Entry'!$L$5:$L$10004,(EI$1+163)-4))</f>
        <v/>
      </c>
      <c r="EH167">
        <f>IF(ISNA(EF167),NA(),Capability!$K$9)</f>
        <v/>
      </c>
      <c r="EI167">
        <f>IF(ISNA(EF167),NA(),Capability!$J$9)</f>
        <v/>
      </c>
      <c r="EJ167">
        <f>IF(ISNA(EF167),NA(),Capability!$L$9)</f>
        <v/>
      </c>
      <c r="EK167">
        <f>IF(OR(ISNA(EG167),ISNA(EG166)),NA(),ABS(EG167-EG166))</f>
        <v/>
      </c>
      <c r="EL167">
        <f>IF(ISNA(EF167),NA(),Capability!$N$9)</f>
        <v/>
      </c>
      <c r="EM167">
        <f>IF(ISNA(EF167),NA(),IF(OR(Capability!$Q$9="",Settings!$F$7&lt;&gt;"Y"),NA(),Capability!$Q$9))</f>
        <v/>
      </c>
      <c r="EN167">
        <f>IF(ISNA(EF167),NA(),IF(OR(Capability!$P$9="",Settings!$F$7&lt;&gt;"Y"),NA(),Capability!$P$9))</f>
        <v/>
      </c>
      <c r="ET167">
        <f>IF((EW$1+163)&gt;EU$1,NA(),(EW$1+163)-4)</f>
        <v/>
      </c>
      <c r="EU167">
        <f>IF((EW$1+163)&gt;EU$1,NA(),INDEX('Data Entry'!$M$5:$M$10004,(EW$1+163)-4))</f>
        <v/>
      </c>
      <c r="EV167">
        <f>IF(ISNA(ET167),NA(),Capability!$K$10)</f>
        <v/>
      </c>
      <c r="EW167">
        <f>IF(ISNA(ET167),NA(),Capability!$J$10)</f>
        <v/>
      </c>
      <c r="EX167">
        <f>IF(ISNA(ET167),NA(),Capability!$L$10)</f>
        <v/>
      </c>
      <c r="EY167">
        <f>IF(OR(ISNA(EU167),ISNA(EU166)),NA(),ABS(EU167-EU166))</f>
        <v/>
      </c>
      <c r="EZ167">
        <f>IF(ISNA(ET167),NA(),Capability!$N$10)</f>
        <v/>
      </c>
      <c r="FA167">
        <f>IF(ISNA(ET167),NA(),IF(OR(Capability!$Q$10="",Settings!$F$7&lt;&gt;"Y"),NA(),Capability!$Q$10))</f>
        <v/>
      </c>
      <c r="FB167">
        <f>IF(ISNA(ET167),NA(),IF(OR(Capability!$P$10="",Settings!$F$7&lt;&gt;"Y"),NA(),Capability!$P$10))</f>
        <v/>
      </c>
      <c r="FH167">
        <f>IF((FK$1+163)&gt;FI$1,NA(),(FK$1+163)-4)</f>
        <v/>
      </c>
      <c r="FI167">
        <f>IF((FK$1+163)&gt;FI$1,NA(),INDEX('Data Entry'!$N$5:$N$10004,(FK$1+163)-4))</f>
        <v/>
      </c>
      <c r="FJ167">
        <f>IF(ISNA(FH167),NA(),Capability!$K$11)</f>
        <v/>
      </c>
      <c r="FK167">
        <f>IF(ISNA(FH167),NA(),Capability!$J$11)</f>
        <v/>
      </c>
      <c r="FL167">
        <f>IF(ISNA(FH167),NA(),Capability!$L$11)</f>
        <v/>
      </c>
      <c r="FM167">
        <f>IF(OR(ISNA(FI167),ISNA(FI166)),NA(),ABS(FI167-FI166))</f>
        <v/>
      </c>
      <c r="FN167">
        <f>IF(ISNA(FH167),NA(),Capability!$N$11)</f>
        <v/>
      </c>
      <c r="FO167">
        <f>IF(ISNA(FH167),NA(),IF(OR(Capability!$Q$11="",Settings!$F$7&lt;&gt;"Y"),NA(),Capability!$Q$11))</f>
        <v/>
      </c>
      <c r="FP167">
        <f>IF(ISNA(FH167),NA(),IF(OR(Capability!$P$11="",Settings!$F$7&lt;&gt;"Y"),NA(),Capability!$P$11))</f>
        <v/>
      </c>
      <c r="FV167">
        <f>IF((FY$1+163)&gt;FW$1,NA(),(FY$1+163)-4)</f>
        <v/>
      </c>
      <c r="FW167">
        <f>IF((FY$1+163)&gt;FW$1,NA(),INDEX('Data Entry'!$O$5:$O$10004,(FY$1+163)-4))</f>
        <v/>
      </c>
      <c r="FX167">
        <f>IF(ISNA(FV167),NA(),Capability!$K$12)</f>
        <v/>
      </c>
      <c r="FY167">
        <f>IF(ISNA(FV167),NA(),Capability!$J$12)</f>
        <v/>
      </c>
      <c r="FZ167">
        <f>IF(ISNA(FV167),NA(),Capability!$L$12)</f>
        <v/>
      </c>
      <c r="GA167">
        <f>IF(OR(ISNA(FW167),ISNA(FW166)),NA(),ABS(FW167-FW166))</f>
        <v/>
      </c>
      <c r="GB167">
        <f>IF(ISNA(FV167),NA(),Capability!$N$12)</f>
        <v/>
      </c>
      <c r="GC167">
        <f>IF(ISNA(FV167),NA(),IF(OR(Capability!$Q$12="",Settings!$F$7&lt;&gt;"Y"),NA(),Capability!$Q$12))</f>
        <v/>
      </c>
      <c r="GD167">
        <f>IF(ISNA(FV167),NA(),IF(OR(Capability!$P$12="",Settings!$F$7&lt;&gt;"Y"),NA(),Capability!$P$12))</f>
        <v/>
      </c>
      <c r="GJ167">
        <f>IF((GM$1+163)&gt;GK$1,NA(),(GM$1+163)-4)</f>
        <v/>
      </c>
      <c r="GK167">
        <f>IF((GM$1+163)&gt;GK$1,NA(),INDEX('Data Entry'!$P$5:$P$10004,(GM$1+163)-4))</f>
        <v/>
      </c>
      <c r="GL167">
        <f>IF(ISNA(GJ167),NA(),Capability!$K$13)</f>
        <v/>
      </c>
      <c r="GM167">
        <f>IF(ISNA(GJ167),NA(),Capability!$J$13)</f>
        <v/>
      </c>
      <c r="GN167">
        <f>IF(ISNA(GJ167),NA(),Capability!$L$13)</f>
        <v/>
      </c>
      <c r="GO167">
        <f>IF(OR(ISNA(GK167),ISNA(GK166)),NA(),ABS(GK167-GK166))</f>
        <v/>
      </c>
      <c r="GP167">
        <f>IF(ISNA(GJ167),NA(),Capability!$N$13)</f>
        <v/>
      </c>
      <c r="GQ167">
        <f>IF(ISNA(GJ167),NA(),IF(OR(Capability!$Q$13="",Settings!$F$7&lt;&gt;"Y"),NA(),Capability!$Q$13))</f>
        <v/>
      </c>
      <c r="GR167">
        <f>IF(ISNA(GJ167),NA(),IF(OR(Capability!$P$13="",Settings!$F$7&lt;&gt;"Y"),NA(),Capability!$P$13))</f>
        <v/>
      </c>
      <c r="GX167">
        <f>IF((HA$1+163)&gt;GY$1,NA(),(HA$1+163)-4)</f>
        <v/>
      </c>
      <c r="GY167">
        <f>IF((HA$1+163)&gt;GY$1,NA(),INDEX('Data Entry'!$Q$5:$Q$10004,(HA$1+163)-4))</f>
        <v/>
      </c>
      <c r="GZ167">
        <f>IF(ISNA(GX167),NA(),Capability!$K$14)</f>
        <v/>
      </c>
      <c r="HA167">
        <f>IF(ISNA(GX167),NA(),Capability!$J$14)</f>
        <v/>
      </c>
      <c r="HB167">
        <f>IF(ISNA(GX167),NA(),Capability!$L$14)</f>
        <v/>
      </c>
      <c r="HC167">
        <f>IF(OR(ISNA(GY167),ISNA(GY166)),NA(),ABS(GY167-GY166))</f>
        <v/>
      </c>
      <c r="HD167">
        <f>IF(ISNA(GX167),NA(),Capability!$N$14)</f>
        <v/>
      </c>
      <c r="HE167">
        <f>IF(ISNA(GX167),NA(),IF(OR(Capability!$Q$14="",Settings!$F$7&lt;&gt;"Y"),NA(),Capability!$Q$14))</f>
        <v/>
      </c>
      <c r="HF167">
        <f>IF(ISNA(GX167),NA(),IF(OR(Capability!$P$14="",Settings!$F$7&lt;&gt;"Y"),NA(),Capability!$P$14))</f>
        <v/>
      </c>
    </row>
    <row r="168">
      <c r="A168" s="37" t="inlineStr">
        <is>
          <t>DATA RANGE</t>
        </is>
      </c>
      <c r="B168" s="28" t="n"/>
      <c r="CB168">
        <f>IF((CE$1+164)&gt;CC$1,NA(),(CE$1+164)-4)</f>
        <v/>
      </c>
      <c r="CC168">
        <f>IF((CE$1+164)&gt;CC$1,NA(),INDEX('Data Entry'!$H$5:$H$10004,(CE$1+164)-4))</f>
        <v/>
      </c>
      <c r="CD168">
        <f>IF(ISNA(CB168),NA(),Capability!$K$5)</f>
        <v/>
      </c>
      <c r="CE168">
        <f>IF(ISNA(CB168),NA(),Capability!$J$5)</f>
        <v/>
      </c>
      <c r="CF168">
        <f>IF(ISNA(CB168),NA(),Capability!$L$5)</f>
        <v/>
      </c>
      <c r="CG168">
        <f>IF(OR(ISNA(CC168),ISNA(CC167)),NA(),ABS(CC168-CC167))</f>
        <v/>
      </c>
      <c r="CH168">
        <f>IF(ISNA(CB168),NA(),Capability!$N$5)</f>
        <v/>
      </c>
      <c r="CI168">
        <f>IF(ISNA(CB168),NA(),IF(OR(Capability!$Q$5="",Settings!$F$7&lt;&gt;"Y"),NA(),Capability!$Q$5))</f>
        <v/>
      </c>
      <c r="CJ168">
        <f>IF(ISNA(CB168),NA(),IF(OR(Capability!$P$5="",Settings!$F$7&lt;&gt;"Y"),NA(),Capability!$P$5))</f>
        <v/>
      </c>
      <c r="CP168">
        <f>IF((CS$1+164)&gt;CQ$1,NA(),(CS$1+164)-4)</f>
        <v/>
      </c>
      <c r="CQ168">
        <f>IF((CS$1+164)&gt;CQ$1,NA(),INDEX('Data Entry'!$I$5:$I$10004,(CS$1+164)-4))</f>
        <v/>
      </c>
      <c r="CR168">
        <f>IF(ISNA(CP168),NA(),Capability!$K$6)</f>
        <v/>
      </c>
      <c r="CS168">
        <f>IF(ISNA(CP168),NA(),Capability!$J$6)</f>
        <v/>
      </c>
      <c r="CT168">
        <f>IF(ISNA(CP168),NA(),Capability!$L$6)</f>
        <v/>
      </c>
      <c r="CU168">
        <f>IF(OR(ISNA(CQ168),ISNA(CQ167)),NA(),ABS(CQ168-CQ167))</f>
        <v/>
      </c>
      <c r="CV168">
        <f>IF(ISNA(CP168),NA(),Capability!$N$6)</f>
        <v/>
      </c>
      <c r="CW168">
        <f>IF(ISNA(CP168),NA(),IF(OR(Capability!$Q$6="",Settings!$F$7&lt;&gt;"Y"),NA(),Capability!$Q$6))</f>
        <v/>
      </c>
      <c r="CX168">
        <f>IF(ISNA(CP168),NA(),IF(OR(Capability!$P$6="",Settings!$F$7&lt;&gt;"Y"),NA(),Capability!$P$6))</f>
        <v/>
      </c>
      <c r="DD168">
        <f>IF((DG$1+164)&gt;DE$1,NA(),(DG$1+164)-4)</f>
        <v/>
      </c>
      <c r="DE168">
        <f>IF((DG$1+164)&gt;DE$1,NA(),INDEX('Data Entry'!$J$5:$J$10004,(DG$1+164)-4))</f>
        <v/>
      </c>
      <c r="DF168">
        <f>IF(ISNA(DD168),NA(),Capability!$K$7)</f>
        <v/>
      </c>
      <c r="DG168">
        <f>IF(ISNA(DD168),NA(),Capability!$J$7)</f>
        <v/>
      </c>
      <c r="DH168">
        <f>IF(ISNA(DD168),NA(),Capability!$L$7)</f>
        <v/>
      </c>
      <c r="DI168">
        <f>IF(OR(ISNA(DE168),ISNA(DE167)),NA(),ABS(DE168-DE167))</f>
        <v/>
      </c>
      <c r="DJ168">
        <f>IF(ISNA(DD168),NA(),Capability!$N$7)</f>
        <v/>
      </c>
      <c r="DK168">
        <f>IF(ISNA(DD168),NA(),IF(OR(Capability!$Q$7="",Settings!$F$7&lt;&gt;"Y"),NA(),Capability!$Q$7))</f>
        <v/>
      </c>
      <c r="DL168">
        <f>IF(ISNA(DD168),NA(),IF(OR(Capability!$P$7="",Settings!$F$7&lt;&gt;"Y"),NA(),Capability!$P$7))</f>
        <v/>
      </c>
      <c r="DR168">
        <f>IF((DU$1+164)&gt;DS$1,NA(),(DU$1+164)-4)</f>
        <v/>
      </c>
      <c r="DS168">
        <f>IF((DU$1+164)&gt;DS$1,NA(),INDEX('Data Entry'!$K$5:$K$10004,(DU$1+164)-4))</f>
        <v/>
      </c>
      <c r="DT168">
        <f>IF(ISNA(DR168),NA(),Capability!$K$8)</f>
        <v/>
      </c>
      <c r="DU168">
        <f>IF(ISNA(DR168),NA(),Capability!$J$8)</f>
        <v/>
      </c>
      <c r="DV168">
        <f>IF(ISNA(DR168),NA(),Capability!$L$8)</f>
        <v/>
      </c>
      <c r="DW168">
        <f>IF(OR(ISNA(DS168),ISNA(DS167)),NA(),ABS(DS168-DS167))</f>
        <v/>
      </c>
      <c r="DX168">
        <f>IF(ISNA(DR168),NA(),Capability!$N$8)</f>
        <v/>
      </c>
      <c r="DY168">
        <f>IF(ISNA(DR168),NA(),IF(OR(Capability!$Q$8="",Settings!$F$7&lt;&gt;"Y"),NA(),Capability!$Q$8))</f>
        <v/>
      </c>
      <c r="DZ168">
        <f>IF(ISNA(DR168),NA(),IF(OR(Capability!$P$8="",Settings!$F$7&lt;&gt;"Y"),NA(),Capability!$P$8))</f>
        <v/>
      </c>
      <c r="EF168">
        <f>IF((EI$1+164)&gt;EG$1,NA(),(EI$1+164)-4)</f>
        <v/>
      </c>
      <c r="EG168">
        <f>IF((EI$1+164)&gt;EG$1,NA(),INDEX('Data Entry'!$L$5:$L$10004,(EI$1+164)-4))</f>
        <v/>
      </c>
      <c r="EH168">
        <f>IF(ISNA(EF168),NA(),Capability!$K$9)</f>
        <v/>
      </c>
      <c r="EI168">
        <f>IF(ISNA(EF168),NA(),Capability!$J$9)</f>
        <v/>
      </c>
      <c r="EJ168">
        <f>IF(ISNA(EF168),NA(),Capability!$L$9)</f>
        <v/>
      </c>
      <c r="EK168">
        <f>IF(OR(ISNA(EG168),ISNA(EG167)),NA(),ABS(EG168-EG167))</f>
        <v/>
      </c>
      <c r="EL168">
        <f>IF(ISNA(EF168),NA(),Capability!$N$9)</f>
        <v/>
      </c>
      <c r="EM168">
        <f>IF(ISNA(EF168),NA(),IF(OR(Capability!$Q$9="",Settings!$F$7&lt;&gt;"Y"),NA(),Capability!$Q$9))</f>
        <v/>
      </c>
      <c r="EN168">
        <f>IF(ISNA(EF168),NA(),IF(OR(Capability!$P$9="",Settings!$F$7&lt;&gt;"Y"),NA(),Capability!$P$9))</f>
        <v/>
      </c>
      <c r="ET168">
        <f>IF((EW$1+164)&gt;EU$1,NA(),(EW$1+164)-4)</f>
        <v/>
      </c>
      <c r="EU168">
        <f>IF((EW$1+164)&gt;EU$1,NA(),INDEX('Data Entry'!$M$5:$M$10004,(EW$1+164)-4))</f>
        <v/>
      </c>
      <c r="EV168">
        <f>IF(ISNA(ET168),NA(),Capability!$K$10)</f>
        <v/>
      </c>
      <c r="EW168">
        <f>IF(ISNA(ET168),NA(),Capability!$J$10)</f>
        <v/>
      </c>
      <c r="EX168">
        <f>IF(ISNA(ET168),NA(),Capability!$L$10)</f>
        <v/>
      </c>
      <c r="EY168">
        <f>IF(OR(ISNA(EU168),ISNA(EU167)),NA(),ABS(EU168-EU167))</f>
        <v/>
      </c>
      <c r="EZ168">
        <f>IF(ISNA(ET168),NA(),Capability!$N$10)</f>
        <v/>
      </c>
      <c r="FA168">
        <f>IF(ISNA(ET168),NA(),IF(OR(Capability!$Q$10="",Settings!$F$7&lt;&gt;"Y"),NA(),Capability!$Q$10))</f>
        <v/>
      </c>
      <c r="FB168">
        <f>IF(ISNA(ET168),NA(),IF(OR(Capability!$P$10="",Settings!$F$7&lt;&gt;"Y"),NA(),Capability!$P$10))</f>
        <v/>
      </c>
      <c r="FH168">
        <f>IF((FK$1+164)&gt;FI$1,NA(),(FK$1+164)-4)</f>
        <v/>
      </c>
      <c r="FI168">
        <f>IF((FK$1+164)&gt;FI$1,NA(),INDEX('Data Entry'!$N$5:$N$10004,(FK$1+164)-4))</f>
        <v/>
      </c>
      <c r="FJ168">
        <f>IF(ISNA(FH168),NA(),Capability!$K$11)</f>
        <v/>
      </c>
      <c r="FK168">
        <f>IF(ISNA(FH168),NA(),Capability!$J$11)</f>
        <v/>
      </c>
      <c r="FL168">
        <f>IF(ISNA(FH168),NA(),Capability!$L$11)</f>
        <v/>
      </c>
      <c r="FM168">
        <f>IF(OR(ISNA(FI168),ISNA(FI167)),NA(),ABS(FI168-FI167))</f>
        <v/>
      </c>
      <c r="FN168">
        <f>IF(ISNA(FH168),NA(),Capability!$N$11)</f>
        <v/>
      </c>
      <c r="FO168">
        <f>IF(ISNA(FH168),NA(),IF(OR(Capability!$Q$11="",Settings!$F$7&lt;&gt;"Y"),NA(),Capability!$Q$11))</f>
        <v/>
      </c>
      <c r="FP168">
        <f>IF(ISNA(FH168),NA(),IF(OR(Capability!$P$11="",Settings!$F$7&lt;&gt;"Y"),NA(),Capability!$P$11))</f>
        <v/>
      </c>
      <c r="FV168">
        <f>IF((FY$1+164)&gt;FW$1,NA(),(FY$1+164)-4)</f>
        <v/>
      </c>
      <c r="FW168">
        <f>IF((FY$1+164)&gt;FW$1,NA(),INDEX('Data Entry'!$O$5:$O$10004,(FY$1+164)-4))</f>
        <v/>
      </c>
      <c r="FX168">
        <f>IF(ISNA(FV168),NA(),Capability!$K$12)</f>
        <v/>
      </c>
      <c r="FY168">
        <f>IF(ISNA(FV168),NA(),Capability!$J$12)</f>
        <v/>
      </c>
      <c r="FZ168">
        <f>IF(ISNA(FV168),NA(),Capability!$L$12)</f>
        <v/>
      </c>
      <c r="GA168">
        <f>IF(OR(ISNA(FW168),ISNA(FW167)),NA(),ABS(FW168-FW167))</f>
        <v/>
      </c>
      <c r="GB168">
        <f>IF(ISNA(FV168),NA(),Capability!$N$12)</f>
        <v/>
      </c>
      <c r="GC168">
        <f>IF(ISNA(FV168),NA(),IF(OR(Capability!$Q$12="",Settings!$F$7&lt;&gt;"Y"),NA(),Capability!$Q$12))</f>
        <v/>
      </c>
      <c r="GD168">
        <f>IF(ISNA(FV168),NA(),IF(OR(Capability!$P$12="",Settings!$F$7&lt;&gt;"Y"),NA(),Capability!$P$12))</f>
        <v/>
      </c>
      <c r="GJ168">
        <f>IF((GM$1+164)&gt;GK$1,NA(),(GM$1+164)-4)</f>
        <v/>
      </c>
      <c r="GK168">
        <f>IF((GM$1+164)&gt;GK$1,NA(),INDEX('Data Entry'!$P$5:$P$10004,(GM$1+164)-4))</f>
        <v/>
      </c>
      <c r="GL168">
        <f>IF(ISNA(GJ168),NA(),Capability!$K$13)</f>
        <v/>
      </c>
      <c r="GM168">
        <f>IF(ISNA(GJ168),NA(),Capability!$J$13)</f>
        <v/>
      </c>
      <c r="GN168">
        <f>IF(ISNA(GJ168),NA(),Capability!$L$13)</f>
        <v/>
      </c>
      <c r="GO168">
        <f>IF(OR(ISNA(GK168),ISNA(GK167)),NA(),ABS(GK168-GK167))</f>
        <v/>
      </c>
      <c r="GP168">
        <f>IF(ISNA(GJ168),NA(),Capability!$N$13)</f>
        <v/>
      </c>
      <c r="GQ168">
        <f>IF(ISNA(GJ168),NA(),IF(OR(Capability!$Q$13="",Settings!$F$7&lt;&gt;"Y"),NA(),Capability!$Q$13))</f>
        <v/>
      </c>
      <c r="GR168">
        <f>IF(ISNA(GJ168),NA(),IF(OR(Capability!$P$13="",Settings!$F$7&lt;&gt;"Y"),NA(),Capability!$P$13))</f>
        <v/>
      </c>
      <c r="GX168">
        <f>IF((HA$1+164)&gt;GY$1,NA(),(HA$1+164)-4)</f>
        <v/>
      </c>
      <c r="GY168">
        <f>IF((HA$1+164)&gt;GY$1,NA(),INDEX('Data Entry'!$Q$5:$Q$10004,(HA$1+164)-4))</f>
        <v/>
      </c>
      <c r="GZ168">
        <f>IF(ISNA(GX168),NA(),Capability!$K$14)</f>
        <v/>
      </c>
      <c r="HA168">
        <f>IF(ISNA(GX168),NA(),Capability!$J$14)</f>
        <v/>
      </c>
      <c r="HB168">
        <f>IF(ISNA(GX168),NA(),Capability!$L$14)</f>
        <v/>
      </c>
      <c r="HC168">
        <f>IF(OR(ISNA(GY168),ISNA(GY167)),NA(),ABS(GY168-GY167))</f>
        <v/>
      </c>
      <c r="HD168">
        <f>IF(ISNA(GX168),NA(),Capability!$N$14)</f>
        <v/>
      </c>
      <c r="HE168">
        <f>IF(ISNA(GX168),NA(),IF(OR(Capability!$Q$14="",Settings!$F$7&lt;&gt;"Y"),NA(),Capability!$Q$14))</f>
        <v/>
      </c>
      <c r="HF168">
        <f>IF(ISNA(GX168),NA(),IF(OR(Capability!$P$14="",Settings!$F$7&lt;&gt;"Y"),NA(),Capability!$P$14))</f>
        <v/>
      </c>
    </row>
    <row r="169">
      <c r="A169" s="35" t="inlineStr">
        <is>
          <t>Min</t>
        </is>
      </c>
      <c r="B169" s="23">
        <f>Capability!E9</f>
        <v/>
      </c>
      <c r="CB169">
        <f>IF((CE$1+165)&gt;CC$1,NA(),(CE$1+165)-4)</f>
        <v/>
      </c>
      <c r="CC169">
        <f>IF((CE$1+165)&gt;CC$1,NA(),INDEX('Data Entry'!$H$5:$H$10004,(CE$1+165)-4))</f>
        <v/>
      </c>
      <c r="CD169">
        <f>IF(ISNA(CB169),NA(),Capability!$K$5)</f>
        <v/>
      </c>
      <c r="CE169">
        <f>IF(ISNA(CB169),NA(),Capability!$J$5)</f>
        <v/>
      </c>
      <c r="CF169">
        <f>IF(ISNA(CB169),NA(),Capability!$L$5)</f>
        <v/>
      </c>
      <c r="CG169">
        <f>IF(OR(ISNA(CC169),ISNA(CC168)),NA(),ABS(CC169-CC168))</f>
        <v/>
      </c>
      <c r="CH169">
        <f>IF(ISNA(CB169),NA(),Capability!$N$5)</f>
        <v/>
      </c>
      <c r="CI169">
        <f>IF(ISNA(CB169),NA(),IF(OR(Capability!$Q$5="",Settings!$F$7&lt;&gt;"Y"),NA(),Capability!$Q$5))</f>
        <v/>
      </c>
      <c r="CJ169">
        <f>IF(ISNA(CB169),NA(),IF(OR(Capability!$P$5="",Settings!$F$7&lt;&gt;"Y"),NA(),Capability!$P$5))</f>
        <v/>
      </c>
      <c r="CP169">
        <f>IF((CS$1+165)&gt;CQ$1,NA(),(CS$1+165)-4)</f>
        <v/>
      </c>
      <c r="CQ169">
        <f>IF((CS$1+165)&gt;CQ$1,NA(),INDEX('Data Entry'!$I$5:$I$10004,(CS$1+165)-4))</f>
        <v/>
      </c>
      <c r="CR169">
        <f>IF(ISNA(CP169),NA(),Capability!$K$6)</f>
        <v/>
      </c>
      <c r="CS169">
        <f>IF(ISNA(CP169),NA(),Capability!$J$6)</f>
        <v/>
      </c>
      <c r="CT169">
        <f>IF(ISNA(CP169),NA(),Capability!$L$6)</f>
        <v/>
      </c>
      <c r="CU169">
        <f>IF(OR(ISNA(CQ169),ISNA(CQ168)),NA(),ABS(CQ169-CQ168))</f>
        <v/>
      </c>
      <c r="CV169">
        <f>IF(ISNA(CP169),NA(),Capability!$N$6)</f>
        <v/>
      </c>
      <c r="CW169">
        <f>IF(ISNA(CP169),NA(),IF(OR(Capability!$Q$6="",Settings!$F$7&lt;&gt;"Y"),NA(),Capability!$Q$6))</f>
        <v/>
      </c>
      <c r="CX169">
        <f>IF(ISNA(CP169),NA(),IF(OR(Capability!$P$6="",Settings!$F$7&lt;&gt;"Y"),NA(),Capability!$P$6))</f>
        <v/>
      </c>
      <c r="DD169">
        <f>IF((DG$1+165)&gt;DE$1,NA(),(DG$1+165)-4)</f>
        <v/>
      </c>
      <c r="DE169">
        <f>IF((DG$1+165)&gt;DE$1,NA(),INDEX('Data Entry'!$J$5:$J$10004,(DG$1+165)-4))</f>
        <v/>
      </c>
      <c r="DF169">
        <f>IF(ISNA(DD169),NA(),Capability!$K$7)</f>
        <v/>
      </c>
      <c r="DG169">
        <f>IF(ISNA(DD169),NA(),Capability!$J$7)</f>
        <v/>
      </c>
      <c r="DH169">
        <f>IF(ISNA(DD169),NA(),Capability!$L$7)</f>
        <v/>
      </c>
      <c r="DI169">
        <f>IF(OR(ISNA(DE169),ISNA(DE168)),NA(),ABS(DE169-DE168))</f>
        <v/>
      </c>
      <c r="DJ169">
        <f>IF(ISNA(DD169),NA(),Capability!$N$7)</f>
        <v/>
      </c>
      <c r="DK169">
        <f>IF(ISNA(DD169),NA(),IF(OR(Capability!$Q$7="",Settings!$F$7&lt;&gt;"Y"),NA(),Capability!$Q$7))</f>
        <v/>
      </c>
      <c r="DL169">
        <f>IF(ISNA(DD169),NA(),IF(OR(Capability!$P$7="",Settings!$F$7&lt;&gt;"Y"),NA(),Capability!$P$7))</f>
        <v/>
      </c>
      <c r="DR169">
        <f>IF((DU$1+165)&gt;DS$1,NA(),(DU$1+165)-4)</f>
        <v/>
      </c>
      <c r="DS169">
        <f>IF((DU$1+165)&gt;DS$1,NA(),INDEX('Data Entry'!$K$5:$K$10004,(DU$1+165)-4))</f>
        <v/>
      </c>
      <c r="DT169">
        <f>IF(ISNA(DR169),NA(),Capability!$K$8)</f>
        <v/>
      </c>
      <c r="DU169">
        <f>IF(ISNA(DR169),NA(),Capability!$J$8)</f>
        <v/>
      </c>
      <c r="DV169">
        <f>IF(ISNA(DR169),NA(),Capability!$L$8)</f>
        <v/>
      </c>
      <c r="DW169">
        <f>IF(OR(ISNA(DS169),ISNA(DS168)),NA(),ABS(DS169-DS168))</f>
        <v/>
      </c>
      <c r="DX169">
        <f>IF(ISNA(DR169),NA(),Capability!$N$8)</f>
        <v/>
      </c>
      <c r="DY169">
        <f>IF(ISNA(DR169),NA(),IF(OR(Capability!$Q$8="",Settings!$F$7&lt;&gt;"Y"),NA(),Capability!$Q$8))</f>
        <v/>
      </c>
      <c r="DZ169">
        <f>IF(ISNA(DR169),NA(),IF(OR(Capability!$P$8="",Settings!$F$7&lt;&gt;"Y"),NA(),Capability!$P$8))</f>
        <v/>
      </c>
      <c r="EF169">
        <f>IF((EI$1+165)&gt;EG$1,NA(),(EI$1+165)-4)</f>
        <v/>
      </c>
      <c r="EG169">
        <f>IF((EI$1+165)&gt;EG$1,NA(),INDEX('Data Entry'!$L$5:$L$10004,(EI$1+165)-4))</f>
        <v/>
      </c>
      <c r="EH169">
        <f>IF(ISNA(EF169),NA(),Capability!$K$9)</f>
        <v/>
      </c>
      <c r="EI169">
        <f>IF(ISNA(EF169),NA(),Capability!$J$9)</f>
        <v/>
      </c>
      <c r="EJ169">
        <f>IF(ISNA(EF169),NA(),Capability!$L$9)</f>
        <v/>
      </c>
      <c r="EK169">
        <f>IF(OR(ISNA(EG169),ISNA(EG168)),NA(),ABS(EG169-EG168))</f>
        <v/>
      </c>
      <c r="EL169">
        <f>IF(ISNA(EF169),NA(),Capability!$N$9)</f>
        <v/>
      </c>
      <c r="EM169">
        <f>IF(ISNA(EF169),NA(),IF(OR(Capability!$Q$9="",Settings!$F$7&lt;&gt;"Y"),NA(),Capability!$Q$9))</f>
        <v/>
      </c>
      <c r="EN169">
        <f>IF(ISNA(EF169),NA(),IF(OR(Capability!$P$9="",Settings!$F$7&lt;&gt;"Y"),NA(),Capability!$P$9))</f>
        <v/>
      </c>
      <c r="ET169">
        <f>IF((EW$1+165)&gt;EU$1,NA(),(EW$1+165)-4)</f>
        <v/>
      </c>
      <c r="EU169">
        <f>IF((EW$1+165)&gt;EU$1,NA(),INDEX('Data Entry'!$M$5:$M$10004,(EW$1+165)-4))</f>
        <v/>
      </c>
      <c r="EV169">
        <f>IF(ISNA(ET169),NA(),Capability!$K$10)</f>
        <v/>
      </c>
      <c r="EW169">
        <f>IF(ISNA(ET169),NA(),Capability!$J$10)</f>
        <v/>
      </c>
      <c r="EX169">
        <f>IF(ISNA(ET169),NA(),Capability!$L$10)</f>
        <v/>
      </c>
      <c r="EY169">
        <f>IF(OR(ISNA(EU169),ISNA(EU168)),NA(),ABS(EU169-EU168))</f>
        <v/>
      </c>
      <c r="EZ169">
        <f>IF(ISNA(ET169),NA(),Capability!$N$10)</f>
        <v/>
      </c>
      <c r="FA169">
        <f>IF(ISNA(ET169),NA(),IF(OR(Capability!$Q$10="",Settings!$F$7&lt;&gt;"Y"),NA(),Capability!$Q$10))</f>
        <v/>
      </c>
      <c r="FB169">
        <f>IF(ISNA(ET169),NA(),IF(OR(Capability!$P$10="",Settings!$F$7&lt;&gt;"Y"),NA(),Capability!$P$10))</f>
        <v/>
      </c>
      <c r="FH169">
        <f>IF((FK$1+165)&gt;FI$1,NA(),(FK$1+165)-4)</f>
        <v/>
      </c>
      <c r="FI169">
        <f>IF((FK$1+165)&gt;FI$1,NA(),INDEX('Data Entry'!$N$5:$N$10004,(FK$1+165)-4))</f>
        <v/>
      </c>
      <c r="FJ169">
        <f>IF(ISNA(FH169),NA(),Capability!$K$11)</f>
        <v/>
      </c>
      <c r="FK169">
        <f>IF(ISNA(FH169),NA(),Capability!$J$11)</f>
        <v/>
      </c>
      <c r="FL169">
        <f>IF(ISNA(FH169),NA(),Capability!$L$11)</f>
        <v/>
      </c>
      <c r="FM169">
        <f>IF(OR(ISNA(FI169),ISNA(FI168)),NA(),ABS(FI169-FI168))</f>
        <v/>
      </c>
      <c r="FN169">
        <f>IF(ISNA(FH169),NA(),Capability!$N$11)</f>
        <v/>
      </c>
      <c r="FO169">
        <f>IF(ISNA(FH169),NA(),IF(OR(Capability!$Q$11="",Settings!$F$7&lt;&gt;"Y"),NA(),Capability!$Q$11))</f>
        <v/>
      </c>
      <c r="FP169">
        <f>IF(ISNA(FH169),NA(),IF(OR(Capability!$P$11="",Settings!$F$7&lt;&gt;"Y"),NA(),Capability!$P$11))</f>
        <v/>
      </c>
      <c r="FV169">
        <f>IF((FY$1+165)&gt;FW$1,NA(),(FY$1+165)-4)</f>
        <v/>
      </c>
      <c r="FW169">
        <f>IF((FY$1+165)&gt;FW$1,NA(),INDEX('Data Entry'!$O$5:$O$10004,(FY$1+165)-4))</f>
        <v/>
      </c>
      <c r="FX169">
        <f>IF(ISNA(FV169),NA(),Capability!$K$12)</f>
        <v/>
      </c>
      <c r="FY169">
        <f>IF(ISNA(FV169),NA(),Capability!$J$12)</f>
        <v/>
      </c>
      <c r="FZ169">
        <f>IF(ISNA(FV169),NA(),Capability!$L$12)</f>
        <v/>
      </c>
      <c r="GA169">
        <f>IF(OR(ISNA(FW169),ISNA(FW168)),NA(),ABS(FW169-FW168))</f>
        <v/>
      </c>
      <c r="GB169">
        <f>IF(ISNA(FV169),NA(),Capability!$N$12)</f>
        <v/>
      </c>
      <c r="GC169">
        <f>IF(ISNA(FV169),NA(),IF(OR(Capability!$Q$12="",Settings!$F$7&lt;&gt;"Y"),NA(),Capability!$Q$12))</f>
        <v/>
      </c>
      <c r="GD169">
        <f>IF(ISNA(FV169),NA(),IF(OR(Capability!$P$12="",Settings!$F$7&lt;&gt;"Y"),NA(),Capability!$P$12))</f>
        <v/>
      </c>
      <c r="GJ169">
        <f>IF((GM$1+165)&gt;GK$1,NA(),(GM$1+165)-4)</f>
        <v/>
      </c>
      <c r="GK169">
        <f>IF((GM$1+165)&gt;GK$1,NA(),INDEX('Data Entry'!$P$5:$P$10004,(GM$1+165)-4))</f>
        <v/>
      </c>
      <c r="GL169">
        <f>IF(ISNA(GJ169),NA(),Capability!$K$13)</f>
        <v/>
      </c>
      <c r="GM169">
        <f>IF(ISNA(GJ169),NA(),Capability!$J$13)</f>
        <v/>
      </c>
      <c r="GN169">
        <f>IF(ISNA(GJ169),NA(),Capability!$L$13)</f>
        <v/>
      </c>
      <c r="GO169">
        <f>IF(OR(ISNA(GK169),ISNA(GK168)),NA(),ABS(GK169-GK168))</f>
        <v/>
      </c>
      <c r="GP169">
        <f>IF(ISNA(GJ169),NA(),Capability!$N$13)</f>
        <v/>
      </c>
      <c r="GQ169">
        <f>IF(ISNA(GJ169),NA(),IF(OR(Capability!$Q$13="",Settings!$F$7&lt;&gt;"Y"),NA(),Capability!$Q$13))</f>
        <v/>
      </c>
      <c r="GR169">
        <f>IF(ISNA(GJ169),NA(),IF(OR(Capability!$P$13="",Settings!$F$7&lt;&gt;"Y"),NA(),Capability!$P$13))</f>
        <v/>
      </c>
      <c r="GX169">
        <f>IF((HA$1+165)&gt;GY$1,NA(),(HA$1+165)-4)</f>
        <v/>
      </c>
      <c r="GY169">
        <f>IF((HA$1+165)&gt;GY$1,NA(),INDEX('Data Entry'!$Q$5:$Q$10004,(HA$1+165)-4))</f>
        <v/>
      </c>
      <c r="GZ169">
        <f>IF(ISNA(GX169),NA(),Capability!$K$14)</f>
        <v/>
      </c>
      <c r="HA169">
        <f>IF(ISNA(GX169),NA(),Capability!$J$14)</f>
        <v/>
      </c>
      <c r="HB169">
        <f>IF(ISNA(GX169),NA(),Capability!$L$14)</f>
        <v/>
      </c>
      <c r="HC169">
        <f>IF(OR(ISNA(GY169),ISNA(GY168)),NA(),ABS(GY169-GY168))</f>
        <v/>
      </c>
      <c r="HD169">
        <f>IF(ISNA(GX169),NA(),Capability!$N$14)</f>
        <v/>
      </c>
      <c r="HE169">
        <f>IF(ISNA(GX169),NA(),IF(OR(Capability!$Q$14="",Settings!$F$7&lt;&gt;"Y"),NA(),Capability!$Q$14))</f>
        <v/>
      </c>
      <c r="HF169">
        <f>IF(ISNA(GX169),NA(),IF(OR(Capability!$P$14="",Settings!$F$7&lt;&gt;"Y"),NA(),Capability!$P$14))</f>
        <v/>
      </c>
    </row>
    <row r="170">
      <c r="A170" s="35" t="inlineStr">
        <is>
          <t>Max</t>
        </is>
      </c>
      <c r="B170" s="23">
        <f>Capability!F9</f>
        <v/>
      </c>
      <c r="CB170">
        <f>IF((CE$1+166)&gt;CC$1,NA(),(CE$1+166)-4)</f>
        <v/>
      </c>
      <c r="CC170">
        <f>IF((CE$1+166)&gt;CC$1,NA(),INDEX('Data Entry'!$H$5:$H$10004,(CE$1+166)-4))</f>
        <v/>
      </c>
      <c r="CD170">
        <f>IF(ISNA(CB170),NA(),Capability!$K$5)</f>
        <v/>
      </c>
      <c r="CE170">
        <f>IF(ISNA(CB170),NA(),Capability!$J$5)</f>
        <v/>
      </c>
      <c r="CF170">
        <f>IF(ISNA(CB170),NA(),Capability!$L$5)</f>
        <v/>
      </c>
      <c r="CG170">
        <f>IF(OR(ISNA(CC170),ISNA(CC169)),NA(),ABS(CC170-CC169))</f>
        <v/>
      </c>
      <c r="CH170">
        <f>IF(ISNA(CB170),NA(),Capability!$N$5)</f>
        <v/>
      </c>
      <c r="CI170">
        <f>IF(ISNA(CB170),NA(),IF(OR(Capability!$Q$5="",Settings!$F$7&lt;&gt;"Y"),NA(),Capability!$Q$5))</f>
        <v/>
      </c>
      <c r="CJ170">
        <f>IF(ISNA(CB170),NA(),IF(OR(Capability!$P$5="",Settings!$F$7&lt;&gt;"Y"),NA(),Capability!$P$5))</f>
        <v/>
      </c>
      <c r="CP170">
        <f>IF((CS$1+166)&gt;CQ$1,NA(),(CS$1+166)-4)</f>
        <v/>
      </c>
      <c r="CQ170">
        <f>IF((CS$1+166)&gt;CQ$1,NA(),INDEX('Data Entry'!$I$5:$I$10004,(CS$1+166)-4))</f>
        <v/>
      </c>
      <c r="CR170">
        <f>IF(ISNA(CP170),NA(),Capability!$K$6)</f>
        <v/>
      </c>
      <c r="CS170">
        <f>IF(ISNA(CP170),NA(),Capability!$J$6)</f>
        <v/>
      </c>
      <c r="CT170">
        <f>IF(ISNA(CP170),NA(),Capability!$L$6)</f>
        <v/>
      </c>
      <c r="CU170">
        <f>IF(OR(ISNA(CQ170),ISNA(CQ169)),NA(),ABS(CQ170-CQ169))</f>
        <v/>
      </c>
      <c r="CV170">
        <f>IF(ISNA(CP170),NA(),Capability!$N$6)</f>
        <v/>
      </c>
      <c r="CW170">
        <f>IF(ISNA(CP170),NA(),IF(OR(Capability!$Q$6="",Settings!$F$7&lt;&gt;"Y"),NA(),Capability!$Q$6))</f>
        <v/>
      </c>
      <c r="CX170">
        <f>IF(ISNA(CP170),NA(),IF(OR(Capability!$P$6="",Settings!$F$7&lt;&gt;"Y"),NA(),Capability!$P$6))</f>
        <v/>
      </c>
      <c r="DD170">
        <f>IF((DG$1+166)&gt;DE$1,NA(),(DG$1+166)-4)</f>
        <v/>
      </c>
      <c r="DE170">
        <f>IF((DG$1+166)&gt;DE$1,NA(),INDEX('Data Entry'!$J$5:$J$10004,(DG$1+166)-4))</f>
        <v/>
      </c>
      <c r="DF170">
        <f>IF(ISNA(DD170),NA(),Capability!$K$7)</f>
        <v/>
      </c>
      <c r="DG170">
        <f>IF(ISNA(DD170),NA(),Capability!$J$7)</f>
        <v/>
      </c>
      <c r="DH170">
        <f>IF(ISNA(DD170),NA(),Capability!$L$7)</f>
        <v/>
      </c>
      <c r="DI170">
        <f>IF(OR(ISNA(DE170),ISNA(DE169)),NA(),ABS(DE170-DE169))</f>
        <v/>
      </c>
      <c r="DJ170">
        <f>IF(ISNA(DD170),NA(),Capability!$N$7)</f>
        <v/>
      </c>
      <c r="DK170">
        <f>IF(ISNA(DD170),NA(),IF(OR(Capability!$Q$7="",Settings!$F$7&lt;&gt;"Y"),NA(),Capability!$Q$7))</f>
        <v/>
      </c>
      <c r="DL170">
        <f>IF(ISNA(DD170),NA(),IF(OR(Capability!$P$7="",Settings!$F$7&lt;&gt;"Y"),NA(),Capability!$P$7))</f>
        <v/>
      </c>
      <c r="DR170">
        <f>IF((DU$1+166)&gt;DS$1,NA(),(DU$1+166)-4)</f>
        <v/>
      </c>
      <c r="DS170">
        <f>IF((DU$1+166)&gt;DS$1,NA(),INDEX('Data Entry'!$K$5:$K$10004,(DU$1+166)-4))</f>
        <v/>
      </c>
      <c r="DT170">
        <f>IF(ISNA(DR170),NA(),Capability!$K$8)</f>
        <v/>
      </c>
      <c r="DU170">
        <f>IF(ISNA(DR170),NA(),Capability!$J$8)</f>
        <v/>
      </c>
      <c r="DV170">
        <f>IF(ISNA(DR170),NA(),Capability!$L$8)</f>
        <v/>
      </c>
      <c r="DW170">
        <f>IF(OR(ISNA(DS170),ISNA(DS169)),NA(),ABS(DS170-DS169))</f>
        <v/>
      </c>
      <c r="DX170">
        <f>IF(ISNA(DR170),NA(),Capability!$N$8)</f>
        <v/>
      </c>
      <c r="DY170">
        <f>IF(ISNA(DR170),NA(),IF(OR(Capability!$Q$8="",Settings!$F$7&lt;&gt;"Y"),NA(),Capability!$Q$8))</f>
        <v/>
      </c>
      <c r="DZ170">
        <f>IF(ISNA(DR170),NA(),IF(OR(Capability!$P$8="",Settings!$F$7&lt;&gt;"Y"),NA(),Capability!$P$8))</f>
        <v/>
      </c>
      <c r="EF170">
        <f>IF((EI$1+166)&gt;EG$1,NA(),(EI$1+166)-4)</f>
        <v/>
      </c>
      <c r="EG170">
        <f>IF((EI$1+166)&gt;EG$1,NA(),INDEX('Data Entry'!$L$5:$L$10004,(EI$1+166)-4))</f>
        <v/>
      </c>
      <c r="EH170">
        <f>IF(ISNA(EF170),NA(),Capability!$K$9)</f>
        <v/>
      </c>
      <c r="EI170">
        <f>IF(ISNA(EF170),NA(),Capability!$J$9)</f>
        <v/>
      </c>
      <c r="EJ170">
        <f>IF(ISNA(EF170),NA(),Capability!$L$9)</f>
        <v/>
      </c>
      <c r="EK170">
        <f>IF(OR(ISNA(EG170),ISNA(EG169)),NA(),ABS(EG170-EG169))</f>
        <v/>
      </c>
      <c r="EL170">
        <f>IF(ISNA(EF170),NA(),Capability!$N$9)</f>
        <v/>
      </c>
      <c r="EM170">
        <f>IF(ISNA(EF170),NA(),IF(OR(Capability!$Q$9="",Settings!$F$7&lt;&gt;"Y"),NA(),Capability!$Q$9))</f>
        <v/>
      </c>
      <c r="EN170">
        <f>IF(ISNA(EF170),NA(),IF(OR(Capability!$P$9="",Settings!$F$7&lt;&gt;"Y"),NA(),Capability!$P$9))</f>
        <v/>
      </c>
      <c r="ET170">
        <f>IF((EW$1+166)&gt;EU$1,NA(),(EW$1+166)-4)</f>
        <v/>
      </c>
      <c r="EU170">
        <f>IF((EW$1+166)&gt;EU$1,NA(),INDEX('Data Entry'!$M$5:$M$10004,(EW$1+166)-4))</f>
        <v/>
      </c>
      <c r="EV170">
        <f>IF(ISNA(ET170),NA(),Capability!$K$10)</f>
        <v/>
      </c>
      <c r="EW170">
        <f>IF(ISNA(ET170),NA(),Capability!$J$10)</f>
        <v/>
      </c>
      <c r="EX170">
        <f>IF(ISNA(ET170),NA(),Capability!$L$10)</f>
        <v/>
      </c>
      <c r="EY170">
        <f>IF(OR(ISNA(EU170),ISNA(EU169)),NA(),ABS(EU170-EU169))</f>
        <v/>
      </c>
      <c r="EZ170">
        <f>IF(ISNA(ET170),NA(),Capability!$N$10)</f>
        <v/>
      </c>
      <c r="FA170">
        <f>IF(ISNA(ET170),NA(),IF(OR(Capability!$Q$10="",Settings!$F$7&lt;&gt;"Y"),NA(),Capability!$Q$10))</f>
        <v/>
      </c>
      <c r="FB170">
        <f>IF(ISNA(ET170),NA(),IF(OR(Capability!$P$10="",Settings!$F$7&lt;&gt;"Y"),NA(),Capability!$P$10))</f>
        <v/>
      </c>
      <c r="FH170">
        <f>IF((FK$1+166)&gt;FI$1,NA(),(FK$1+166)-4)</f>
        <v/>
      </c>
      <c r="FI170">
        <f>IF((FK$1+166)&gt;FI$1,NA(),INDEX('Data Entry'!$N$5:$N$10004,(FK$1+166)-4))</f>
        <v/>
      </c>
      <c r="FJ170">
        <f>IF(ISNA(FH170),NA(),Capability!$K$11)</f>
        <v/>
      </c>
      <c r="FK170">
        <f>IF(ISNA(FH170),NA(),Capability!$J$11)</f>
        <v/>
      </c>
      <c r="FL170">
        <f>IF(ISNA(FH170),NA(),Capability!$L$11)</f>
        <v/>
      </c>
      <c r="FM170">
        <f>IF(OR(ISNA(FI170),ISNA(FI169)),NA(),ABS(FI170-FI169))</f>
        <v/>
      </c>
      <c r="FN170">
        <f>IF(ISNA(FH170),NA(),Capability!$N$11)</f>
        <v/>
      </c>
      <c r="FO170">
        <f>IF(ISNA(FH170),NA(),IF(OR(Capability!$Q$11="",Settings!$F$7&lt;&gt;"Y"),NA(),Capability!$Q$11))</f>
        <v/>
      </c>
      <c r="FP170">
        <f>IF(ISNA(FH170),NA(),IF(OR(Capability!$P$11="",Settings!$F$7&lt;&gt;"Y"),NA(),Capability!$P$11))</f>
        <v/>
      </c>
      <c r="FV170">
        <f>IF((FY$1+166)&gt;FW$1,NA(),(FY$1+166)-4)</f>
        <v/>
      </c>
      <c r="FW170">
        <f>IF((FY$1+166)&gt;FW$1,NA(),INDEX('Data Entry'!$O$5:$O$10004,(FY$1+166)-4))</f>
        <v/>
      </c>
      <c r="FX170">
        <f>IF(ISNA(FV170),NA(),Capability!$K$12)</f>
        <v/>
      </c>
      <c r="FY170">
        <f>IF(ISNA(FV170),NA(),Capability!$J$12)</f>
        <v/>
      </c>
      <c r="FZ170">
        <f>IF(ISNA(FV170),NA(),Capability!$L$12)</f>
        <v/>
      </c>
      <c r="GA170">
        <f>IF(OR(ISNA(FW170),ISNA(FW169)),NA(),ABS(FW170-FW169))</f>
        <v/>
      </c>
      <c r="GB170">
        <f>IF(ISNA(FV170),NA(),Capability!$N$12)</f>
        <v/>
      </c>
      <c r="GC170">
        <f>IF(ISNA(FV170),NA(),IF(OR(Capability!$Q$12="",Settings!$F$7&lt;&gt;"Y"),NA(),Capability!$Q$12))</f>
        <v/>
      </c>
      <c r="GD170">
        <f>IF(ISNA(FV170),NA(),IF(OR(Capability!$P$12="",Settings!$F$7&lt;&gt;"Y"),NA(),Capability!$P$12))</f>
        <v/>
      </c>
      <c r="GJ170">
        <f>IF((GM$1+166)&gt;GK$1,NA(),(GM$1+166)-4)</f>
        <v/>
      </c>
      <c r="GK170">
        <f>IF((GM$1+166)&gt;GK$1,NA(),INDEX('Data Entry'!$P$5:$P$10004,(GM$1+166)-4))</f>
        <v/>
      </c>
      <c r="GL170">
        <f>IF(ISNA(GJ170),NA(),Capability!$K$13)</f>
        <v/>
      </c>
      <c r="GM170">
        <f>IF(ISNA(GJ170),NA(),Capability!$J$13)</f>
        <v/>
      </c>
      <c r="GN170">
        <f>IF(ISNA(GJ170),NA(),Capability!$L$13)</f>
        <v/>
      </c>
      <c r="GO170">
        <f>IF(OR(ISNA(GK170),ISNA(GK169)),NA(),ABS(GK170-GK169))</f>
        <v/>
      </c>
      <c r="GP170">
        <f>IF(ISNA(GJ170),NA(),Capability!$N$13)</f>
        <v/>
      </c>
      <c r="GQ170">
        <f>IF(ISNA(GJ170),NA(),IF(OR(Capability!$Q$13="",Settings!$F$7&lt;&gt;"Y"),NA(),Capability!$Q$13))</f>
        <v/>
      </c>
      <c r="GR170">
        <f>IF(ISNA(GJ170),NA(),IF(OR(Capability!$P$13="",Settings!$F$7&lt;&gt;"Y"),NA(),Capability!$P$13))</f>
        <v/>
      </c>
      <c r="GX170">
        <f>IF((HA$1+166)&gt;GY$1,NA(),(HA$1+166)-4)</f>
        <v/>
      </c>
      <c r="GY170">
        <f>IF((HA$1+166)&gt;GY$1,NA(),INDEX('Data Entry'!$Q$5:$Q$10004,(HA$1+166)-4))</f>
        <v/>
      </c>
      <c r="GZ170">
        <f>IF(ISNA(GX170),NA(),Capability!$K$14)</f>
        <v/>
      </c>
      <c r="HA170">
        <f>IF(ISNA(GX170),NA(),Capability!$J$14)</f>
        <v/>
      </c>
      <c r="HB170">
        <f>IF(ISNA(GX170),NA(),Capability!$L$14)</f>
        <v/>
      </c>
      <c r="HC170">
        <f>IF(OR(ISNA(GY170),ISNA(GY169)),NA(),ABS(GY170-GY169))</f>
        <v/>
      </c>
      <c r="HD170">
        <f>IF(ISNA(GX170),NA(),Capability!$N$14)</f>
        <v/>
      </c>
      <c r="HE170">
        <f>IF(ISNA(GX170),NA(),IF(OR(Capability!$Q$14="",Settings!$F$7&lt;&gt;"Y"),NA(),Capability!$Q$14))</f>
        <v/>
      </c>
      <c r="HF170">
        <f>IF(ISNA(GX170),NA(),IF(OR(Capability!$P$14="",Settings!$F$7&lt;&gt;"Y"),NA(),Capability!$P$14))</f>
        <v/>
      </c>
    </row>
    <row r="171">
      <c r="A171" s="35" t="inlineStr">
        <is>
          <t>Range</t>
        </is>
      </c>
      <c r="B171" s="23">
        <f>Capability!G9</f>
        <v/>
      </c>
      <c r="CB171">
        <f>IF((CE$1+167)&gt;CC$1,NA(),(CE$1+167)-4)</f>
        <v/>
      </c>
      <c r="CC171">
        <f>IF((CE$1+167)&gt;CC$1,NA(),INDEX('Data Entry'!$H$5:$H$10004,(CE$1+167)-4))</f>
        <v/>
      </c>
      <c r="CD171">
        <f>IF(ISNA(CB171),NA(),Capability!$K$5)</f>
        <v/>
      </c>
      <c r="CE171">
        <f>IF(ISNA(CB171),NA(),Capability!$J$5)</f>
        <v/>
      </c>
      <c r="CF171">
        <f>IF(ISNA(CB171),NA(),Capability!$L$5)</f>
        <v/>
      </c>
      <c r="CG171">
        <f>IF(OR(ISNA(CC171),ISNA(CC170)),NA(),ABS(CC171-CC170))</f>
        <v/>
      </c>
      <c r="CH171">
        <f>IF(ISNA(CB171),NA(),Capability!$N$5)</f>
        <v/>
      </c>
      <c r="CI171">
        <f>IF(ISNA(CB171),NA(),IF(OR(Capability!$Q$5="",Settings!$F$7&lt;&gt;"Y"),NA(),Capability!$Q$5))</f>
        <v/>
      </c>
      <c r="CJ171">
        <f>IF(ISNA(CB171),NA(),IF(OR(Capability!$P$5="",Settings!$F$7&lt;&gt;"Y"),NA(),Capability!$P$5))</f>
        <v/>
      </c>
      <c r="CP171">
        <f>IF((CS$1+167)&gt;CQ$1,NA(),(CS$1+167)-4)</f>
        <v/>
      </c>
      <c r="CQ171">
        <f>IF((CS$1+167)&gt;CQ$1,NA(),INDEX('Data Entry'!$I$5:$I$10004,(CS$1+167)-4))</f>
        <v/>
      </c>
      <c r="CR171">
        <f>IF(ISNA(CP171),NA(),Capability!$K$6)</f>
        <v/>
      </c>
      <c r="CS171">
        <f>IF(ISNA(CP171),NA(),Capability!$J$6)</f>
        <v/>
      </c>
      <c r="CT171">
        <f>IF(ISNA(CP171),NA(),Capability!$L$6)</f>
        <v/>
      </c>
      <c r="CU171">
        <f>IF(OR(ISNA(CQ171),ISNA(CQ170)),NA(),ABS(CQ171-CQ170))</f>
        <v/>
      </c>
      <c r="CV171">
        <f>IF(ISNA(CP171),NA(),Capability!$N$6)</f>
        <v/>
      </c>
      <c r="CW171">
        <f>IF(ISNA(CP171),NA(),IF(OR(Capability!$Q$6="",Settings!$F$7&lt;&gt;"Y"),NA(),Capability!$Q$6))</f>
        <v/>
      </c>
      <c r="CX171">
        <f>IF(ISNA(CP171),NA(),IF(OR(Capability!$P$6="",Settings!$F$7&lt;&gt;"Y"),NA(),Capability!$P$6))</f>
        <v/>
      </c>
      <c r="DD171">
        <f>IF((DG$1+167)&gt;DE$1,NA(),(DG$1+167)-4)</f>
        <v/>
      </c>
      <c r="DE171">
        <f>IF((DG$1+167)&gt;DE$1,NA(),INDEX('Data Entry'!$J$5:$J$10004,(DG$1+167)-4))</f>
        <v/>
      </c>
      <c r="DF171">
        <f>IF(ISNA(DD171),NA(),Capability!$K$7)</f>
        <v/>
      </c>
      <c r="DG171">
        <f>IF(ISNA(DD171),NA(),Capability!$J$7)</f>
        <v/>
      </c>
      <c r="DH171">
        <f>IF(ISNA(DD171),NA(),Capability!$L$7)</f>
        <v/>
      </c>
      <c r="DI171">
        <f>IF(OR(ISNA(DE171),ISNA(DE170)),NA(),ABS(DE171-DE170))</f>
        <v/>
      </c>
      <c r="DJ171">
        <f>IF(ISNA(DD171),NA(),Capability!$N$7)</f>
        <v/>
      </c>
      <c r="DK171">
        <f>IF(ISNA(DD171),NA(),IF(OR(Capability!$Q$7="",Settings!$F$7&lt;&gt;"Y"),NA(),Capability!$Q$7))</f>
        <v/>
      </c>
      <c r="DL171">
        <f>IF(ISNA(DD171),NA(),IF(OR(Capability!$P$7="",Settings!$F$7&lt;&gt;"Y"),NA(),Capability!$P$7))</f>
        <v/>
      </c>
      <c r="DR171">
        <f>IF((DU$1+167)&gt;DS$1,NA(),(DU$1+167)-4)</f>
        <v/>
      </c>
      <c r="DS171">
        <f>IF((DU$1+167)&gt;DS$1,NA(),INDEX('Data Entry'!$K$5:$K$10004,(DU$1+167)-4))</f>
        <v/>
      </c>
      <c r="DT171">
        <f>IF(ISNA(DR171),NA(),Capability!$K$8)</f>
        <v/>
      </c>
      <c r="DU171">
        <f>IF(ISNA(DR171),NA(),Capability!$J$8)</f>
        <v/>
      </c>
      <c r="DV171">
        <f>IF(ISNA(DR171),NA(),Capability!$L$8)</f>
        <v/>
      </c>
      <c r="DW171">
        <f>IF(OR(ISNA(DS171),ISNA(DS170)),NA(),ABS(DS171-DS170))</f>
        <v/>
      </c>
      <c r="DX171">
        <f>IF(ISNA(DR171),NA(),Capability!$N$8)</f>
        <v/>
      </c>
      <c r="DY171">
        <f>IF(ISNA(DR171),NA(),IF(OR(Capability!$Q$8="",Settings!$F$7&lt;&gt;"Y"),NA(),Capability!$Q$8))</f>
        <v/>
      </c>
      <c r="DZ171">
        <f>IF(ISNA(DR171),NA(),IF(OR(Capability!$P$8="",Settings!$F$7&lt;&gt;"Y"),NA(),Capability!$P$8))</f>
        <v/>
      </c>
      <c r="EF171">
        <f>IF((EI$1+167)&gt;EG$1,NA(),(EI$1+167)-4)</f>
        <v/>
      </c>
      <c r="EG171">
        <f>IF((EI$1+167)&gt;EG$1,NA(),INDEX('Data Entry'!$L$5:$L$10004,(EI$1+167)-4))</f>
        <v/>
      </c>
      <c r="EH171">
        <f>IF(ISNA(EF171),NA(),Capability!$K$9)</f>
        <v/>
      </c>
      <c r="EI171">
        <f>IF(ISNA(EF171),NA(),Capability!$J$9)</f>
        <v/>
      </c>
      <c r="EJ171">
        <f>IF(ISNA(EF171),NA(),Capability!$L$9)</f>
        <v/>
      </c>
      <c r="EK171">
        <f>IF(OR(ISNA(EG171),ISNA(EG170)),NA(),ABS(EG171-EG170))</f>
        <v/>
      </c>
      <c r="EL171">
        <f>IF(ISNA(EF171),NA(),Capability!$N$9)</f>
        <v/>
      </c>
      <c r="EM171">
        <f>IF(ISNA(EF171),NA(),IF(OR(Capability!$Q$9="",Settings!$F$7&lt;&gt;"Y"),NA(),Capability!$Q$9))</f>
        <v/>
      </c>
      <c r="EN171">
        <f>IF(ISNA(EF171),NA(),IF(OR(Capability!$P$9="",Settings!$F$7&lt;&gt;"Y"),NA(),Capability!$P$9))</f>
        <v/>
      </c>
      <c r="ET171">
        <f>IF((EW$1+167)&gt;EU$1,NA(),(EW$1+167)-4)</f>
        <v/>
      </c>
      <c r="EU171">
        <f>IF((EW$1+167)&gt;EU$1,NA(),INDEX('Data Entry'!$M$5:$M$10004,(EW$1+167)-4))</f>
        <v/>
      </c>
      <c r="EV171">
        <f>IF(ISNA(ET171),NA(),Capability!$K$10)</f>
        <v/>
      </c>
      <c r="EW171">
        <f>IF(ISNA(ET171),NA(),Capability!$J$10)</f>
        <v/>
      </c>
      <c r="EX171">
        <f>IF(ISNA(ET171),NA(),Capability!$L$10)</f>
        <v/>
      </c>
      <c r="EY171">
        <f>IF(OR(ISNA(EU171),ISNA(EU170)),NA(),ABS(EU171-EU170))</f>
        <v/>
      </c>
      <c r="EZ171">
        <f>IF(ISNA(ET171),NA(),Capability!$N$10)</f>
        <v/>
      </c>
      <c r="FA171">
        <f>IF(ISNA(ET171),NA(),IF(OR(Capability!$Q$10="",Settings!$F$7&lt;&gt;"Y"),NA(),Capability!$Q$10))</f>
        <v/>
      </c>
      <c r="FB171">
        <f>IF(ISNA(ET171),NA(),IF(OR(Capability!$P$10="",Settings!$F$7&lt;&gt;"Y"),NA(),Capability!$P$10))</f>
        <v/>
      </c>
      <c r="FH171">
        <f>IF((FK$1+167)&gt;FI$1,NA(),(FK$1+167)-4)</f>
        <v/>
      </c>
      <c r="FI171">
        <f>IF((FK$1+167)&gt;FI$1,NA(),INDEX('Data Entry'!$N$5:$N$10004,(FK$1+167)-4))</f>
        <v/>
      </c>
      <c r="FJ171">
        <f>IF(ISNA(FH171),NA(),Capability!$K$11)</f>
        <v/>
      </c>
      <c r="FK171">
        <f>IF(ISNA(FH171),NA(),Capability!$J$11)</f>
        <v/>
      </c>
      <c r="FL171">
        <f>IF(ISNA(FH171),NA(),Capability!$L$11)</f>
        <v/>
      </c>
      <c r="FM171">
        <f>IF(OR(ISNA(FI171),ISNA(FI170)),NA(),ABS(FI171-FI170))</f>
        <v/>
      </c>
      <c r="FN171">
        <f>IF(ISNA(FH171),NA(),Capability!$N$11)</f>
        <v/>
      </c>
      <c r="FO171">
        <f>IF(ISNA(FH171),NA(),IF(OR(Capability!$Q$11="",Settings!$F$7&lt;&gt;"Y"),NA(),Capability!$Q$11))</f>
        <v/>
      </c>
      <c r="FP171">
        <f>IF(ISNA(FH171),NA(),IF(OR(Capability!$P$11="",Settings!$F$7&lt;&gt;"Y"),NA(),Capability!$P$11))</f>
        <v/>
      </c>
      <c r="FV171">
        <f>IF((FY$1+167)&gt;FW$1,NA(),(FY$1+167)-4)</f>
        <v/>
      </c>
      <c r="FW171">
        <f>IF((FY$1+167)&gt;FW$1,NA(),INDEX('Data Entry'!$O$5:$O$10004,(FY$1+167)-4))</f>
        <v/>
      </c>
      <c r="FX171">
        <f>IF(ISNA(FV171),NA(),Capability!$K$12)</f>
        <v/>
      </c>
      <c r="FY171">
        <f>IF(ISNA(FV171),NA(),Capability!$J$12)</f>
        <v/>
      </c>
      <c r="FZ171">
        <f>IF(ISNA(FV171),NA(),Capability!$L$12)</f>
        <v/>
      </c>
      <c r="GA171">
        <f>IF(OR(ISNA(FW171),ISNA(FW170)),NA(),ABS(FW171-FW170))</f>
        <v/>
      </c>
      <c r="GB171">
        <f>IF(ISNA(FV171),NA(),Capability!$N$12)</f>
        <v/>
      </c>
      <c r="GC171">
        <f>IF(ISNA(FV171),NA(),IF(OR(Capability!$Q$12="",Settings!$F$7&lt;&gt;"Y"),NA(),Capability!$Q$12))</f>
        <v/>
      </c>
      <c r="GD171">
        <f>IF(ISNA(FV171),NA(),IF(OR(Capability!$P$12="",Settings!$F$7&lt;&gt;"Y"),NA(),Capability!$P$12))</f>
        <v/>
      </c>
      <c r="GJ171">
        <f>IF((GM$1+167)&gt;GK$1,NA(),(GM$1+167)-4)</f>
        <v/>
      </c>
      <c r="GK171">
        <f>IF((GM$1+167)&gt;GK$1,NA(),INDEX('Data Entry'!$P$5:$P$10004,(GM$1+167)-4))</f>
        <v/>
      </c>
      <c r="GL171">
        <f>IF(ISNA(GJ171),NA(),Capability!$K$13)</f>
        <v/>
      </c>
      <c r="GM171">
        <f>IF(ISNA(GJ171),NA(),Capability!$J$13)</f>
        <v/>
      </c>
      <c r="GN171">
        <f>IF(ISNA(GJ171),NA(),Capability!$L$13)</f>
        <v/>
      </c>
      <c r="GO171">
        <f>IF(OR(ISNA(GK171),ISNA(GK170)),NA(),ABS(GK171-GK170))</f>
        <v/>
      </c>
      <c r="GP171">
        <f>IF(ISNA(GJ171),NA(),Capability!$N$13)</f>
        <v/>
      </c>
      <c r="GQ171">
        <f>IF(ISNA(GJ171),NA(),IF(OR(Capability!$Q$13="",Settings!$F$7&lt;&gt;"Y"),NA(),Capability!$Q$13))</f>
        <v/>
      </c>
      <c r="GR171">
        <f>IF(ISNA(GJ171),NA(),IF(OR(Capability!$P$13="",Settings!$F$7&lt;&gt;"Y"),NA(),Capability!$P$13))</f>
        <v/>
      </c>
      <c r="GX171">
        <f>IF((HA$1+167)&gt;GY$1,NA(),(HA$1+167)-4)</f>
        <v/>
      </c>
      <c r="GY171">
        <f>IF((HA$1+167)&gt;GY$1,NA(),INDEX('Data Entry'!$Q$5:$Q$10004,(HA$1+167)-4))</f>
        <v/>
      </c>
      <c r="GZ171">
        <f>IF(ISNA(GX171),NA(),Capability!$K$14)</f>
        <v/>
      </c>
      <c r="HA171">
        <f>IF(ISNA(GX171),NA(),Capability!$J$14)</f>
        <v/>
      </c>
      <c r="HB171">
        <f>IF(ISNA(GX171),NA(),Capability!$L$14)</f>
        <v/>
      </c>
      <c r="HC171">
        <f>IF(OR(ISNA(GY171),ISNA(GY170)),NA(),ABS(GY171-GY170))</f>
        <v/>
      </c>
      <c r="HD171">
        <f>IF(ISNA(GX171),NA(),Capability!$N$14)</f>
        <v/>
      </c>
      <c r="HE171">
        <f>IF(ISNA(GX171),NA(),IF(OR(Capability!$Q$14="",Settings!$F$7&lt;&gt;"Y"),NA(),Capability!$Q$14))</f>
        <v/>
      </c>
      <c r="HF171">
        <f>IF(ISNA(GX171),NA(),IF(OR(Capability!$P$14="",Settings!$F$7&lt;&gt;"Y"),NA(),Capability!$P$14))</f>
        <v/>
      </c>
    </row>
    <row r="172">
      <c r="A172" s="35" t="inlineStr">
        <is>
          <t>Mean</t>
        </is>
      </c>
      <c r="B172" s="23">
        <f>Capability!C9</f>
        <v/>
      </c>
      <c r="CB172">
        <f>IF((CE$1+168)&gt;CC$1,NA(),(CE$1+168)-4)</f>
        <v/>
      </c>
      <c r="CC172">
        <f>IF((CE$1+168)&gt;CC$1,NA(),INDEX('Data Entry'!$H$5:$H$10004,(CE$1+168)-4))</f>
        <v/>
      </c>
      <c r="CD172">
        <f>IF(ISNA(CB172),NA(),Capability!$K$5)</f>
        <v/>
      </c>
      <c r="CE172">
        <f>IF(ISNA(CB172),NA(),Capability!$J$5)</f>
        <v/>
      </c>
      <c r="CF172">
        <f>IF(ISNA(CB172),NA(),Capability!$L$5)</f>
        <v/>
      </c>
      <c r="CG172">
        <f>IF(OR(ISNA(CC172),ISNA(CC171)),NA(),ABS(CC172-CC171))</f>
        <v/>
      </c>
      <c r="CH172">
        <f>IF(ISNA(CB172),NA(),Capability!$N$5)</f>
        <v/>
      </c>
      <c r="CI172">
        <f>IF(ISNA(CB172),NA(),IF(OR(Capability!$Q$5="",Settings!$F$7&lt;&gt;"Y"),NA(),Capability!$Q$5))</f>
        <v/>
      </c>
      <c r="CJ172">
        <f>IF(ISNA(CB172),NA(),IF(OR(Capability!$P$5="",Settings!$F$7&lt;&gt;"Y"),NA(),Capability!$P$5))</f>
        <v/>
      </c>
      <c r="CP172">
        <f>IF((CS$1+168)&gt;CQ$1,NA(),(CS$1+168)-4)</f>
        <v/>
      </c>
      <c r="CQ172">
        <f>IF((CS$1+168)&gt;CQ$1,NA(),INDEX('Data Entry'!$I$5:$I$10004,(CS$1+168)-4))</f>
        <v/>
      </c>
      <c r="CR172">
        <f>IF(ISNA(CP172),NA(),Capability!$K$6)</f>
        <v/>
      </c>
      <c r="CS172">
        <f>IF(ISNA(CP172),NA(),Capability!$J$6)</f>
        <v/>
      </c>
      <c r="CT172">
        <f>IF(ISNA(CP172),NA(),Capability!$L$6)</f>
        <v/>
      </c>
      <c r="CU172">
        <f>IF(OR(ISNA(CQ172),ISNA(CQ171)),NA(),ABS(CQ172-CQ171))</f>
        <v/>
      </c>
      <c r="CV172">
        <f>IF(ISNA(CP172),NA(),Capability!$N$6)</f>
        <v/>
      </c>
      <c r="CW172">
        <f>IF(ISNA(CP172),NA(),IF(OR(Capability!$Q$6="",Settings!$F$7&lt;&gt;"Y"),NA(),Capability!$Q$6))</f>
        <v/>
      </c>
      <c r="CX172">
        <f>IF(ISNA(CP172),NA(),IF(OR(Capability!$P$6="",Settings!$F$7&lt;&gt;"Y"),NA(),Capability!$P$6))</f>
        <v/>
      </c>
      <c r="DD172">
        <f>IF((DG$1+168)&gt;DE$1,NA(),(DG$1+168)-4)</f>
        <v/>
      </c>
      <c r="DE172">
        <f>IF((DG$1+168)&gt;DE$1,NA(),INDEX('Data Entry'!$J$5:$J$10004,(DG$1+168)-4))</f>
        <v/>
      </c>
      <c r="DF172">
        <f>IF(ISNA(DD172),NA(),Capability!$K$7)</f>
        <v/>
      </c>
      <c r="DG172">
        <f>IF(ISNA(DD172),NA(),Capability!$J$7)</f>
        <v/>
      </c>
      <c r="DH172">
        <f>IF(ISNA(DD172),NA(),Capability!$L$7)</f>
        <v/>
      </c>
      <c r="DI172">
        <f>IF(OR(ISNA(DE172),ISNA(DE171)),NA(),ABS(DE172-DE171))</f>
        <v/>
      </c>
      <c r="DJ172">
        <f>IF(ISNA(DD172),NA(),Capability!$N$7)</f>
        <v/>
      </c>
      <c r="DK172">
        <f>IF(ISNA(DD172),NA(),IF(OR(Capability!$Q$7="",Settings!$F$7&lt;&gt;"Y"),NA(),Capability!$Q$7))</f>
        <v/>
      </c>
      <c r="DL172">
        <f>IF(ISNA(DD172),NA(),IF(OR(Capability!$P$7="",Settings!$F$7&lt;&gt;"Y"),NA(),Capability!$P$7))</f>
        <v/>
      </c>
      <c r="DR172">
        <f>IF((DU$1+168)&gt;DS$1,NA(),(DU$1+168)-4)</f>
        <v/>
      </c>
      <c r="DS172">
        <f>IF((DU$1+168)&gt;DS$1,NA(),INDEX('Data Entry'!$K$5:$K$10004,(DU$1+168)-4))</f>
        <v/>
      </c>
      <c r="DT172">
        <f>IF(ISNA(DR172),NA(),Capability!$K$8)</f>
        <v/>
      </c>
      <c r="DU172">
        <f>IF(ISNA(DR172),NA(),Capability!$J$8)</f>
        <v/>
      </c>
      <c r="DV172">
        <f>IF(ISNA(DR172),NA(),Capability!$L$8)</f>
        <v/>
      </c>
      <c r="DW172">
        <f>IF(OR(ISNA(DS172),ISNA(DS171)),NA(),ABS(DS172-DS171))</f>
        <v/>
      </c>
      <c r="DX172">
        <f>IF(ISNA(DR172),NA(),Capability!$N$8)</f>
        <v/>
      </c>
      <c r="DY172">
        <f>IF(ISNA(DR172),NA(),IF(OR(Capability!$Q$8="",Settings!$F$7&lt;&gt;"Y"),NA(),Capability!$Q$8))</f>
        <v/>
      </c>
      <c r="DZ172">
        <f>IF(ISNA(DR172),NA(),IF(OR(Capability!$P$8="",Settings!$F$7&lt;&gt;"Y"),NA(),Capability!$P$8))</f>
        <v/>
      </c>
      <c r="EF172">
        <f>IF((EI$1+168)&gt;EG$1,NA(),(EI$1+168)-4)</f>
        <v/>
      </c>
      <c r="EG172">
        <f>IF((EI$1+168)&gt;EG$1,NA(),INDEX('Data Entry'!$L$5:$L$10004,(EI$1+168)-4))</f>
        <v/>
      </c>
      <c r="EH172">
        <f>IF(ISNA(EF172),NA(),Capability!$K$9)</f>
        <v/>
      </c>
      <c r="EI172">
        <f>IF(ISNA(EF172),NA(),Capability!$J$9)</f>
        <v/>
      </c>
      <c r="EJ172">
        <f>IF(ISNA(EF172),NA(),Capability!$L$9)</f>
        <v/>
      </c>
      <c r="EK172">
        <f>IF(OR(ISNA(EG172),ISNA(EG171)),NA(),ABS(EG172-EG171))</f>
        <v/>
      </c>
      <c r="EL172">
        <f>IF(ISNA(EF172),NA(),Capability!$N$9)</f>
        <v/>
      </c>
      <c r="EM172">
        <f>IF(ISNA(EF172),NA(),IF(OR(Capability!$Q$9="",Settings!$F$7&lt;&gt;"Y"),NA(),Capability!$Q$9))</f>
        <v/>
      </c>
      <c r="EN172">
        <f>IF(ISNA(EF172),NA(),IF(OR(Capability!$P$9="",Settings!$F$7&lt;&gt;"Y"),NA(),Capability!$P$9))</f>
        <v/>
      </c>
      <c r="ET172">
        <f>IF((EW$1+168)&gt;EU$1,NA(),(EW$1+168)-4)</f>
        <v/>
      </c>
      <c r="EU172">
        <f>IF((EW$1+168)&gt;EU$1,NA(),INDEX('Data Entry'!$M$5:$M$10004,(EW$1+168)-4))</f>
        <v/>
      </c>
      <c r="EV172">
        <f>IF(ISNA(ET172),NA(),Capability!$K$10)</f>
        <v/>
      </c>
      <c r="EW172">
        <f>IF(ISNA(ET172),NA(),Capability!$J$10)</f>
        <v/>
      </c>
      <c r="EX172">
        <f>IF(ISNA(ET172),NA(),Capability!$L$10)</f>
        <v/>
      </c>
      <c r="EY172">
        <f>IF(OR(ISNA(EU172),ISNA(EU171)),NA(),ABS(EU172-EU171))</f>
        <v/>
      </c>
      <c r="EZ172">
        <f>IF(ISNA(ET172),NA(),Capability!$N$10)</f>
        <v/>
      </c>
      <c r="FA172">
        <f>IF(ISNA(ET172),NA(),IF(OR(Capability!$Q$10="",Settings!$F$7&lt;&gt;"Y"),NA(),Capability!$Q$10))</f>
        <v/>
      </c>
      <c r="FB172">
        <f>IF(ISNA(ET172),NA(),IF(OR(Capability!$P$10="",Settings!$F$7&lt;&gt;"Y"),NA(),Capability!$P$10))</f>
        <v/>
      </c>
      <c r="FH172">
        <f>IF((FK$1+168)&gt;FI$1,NA(),(FK$1+168)-4)</f>
        <v/>
      </c>
      <c r="FI172">
        <f>IF((FK$1+168)&gt;FI$1,NA(),INDEX('Data Entry'!$N$5:$N$10004,(FK$1+168)-4))</f>
        <v/>
      </c>
      <c r="FJ172">
        <f>IF(ISNA(FH172),NA(),Capability!$K$11)</f>
        <v/>
      </c>
      <c r="FK172">
        <f>IF(ISNA(FH172),NA(),Capability!$J$11)</f>
        <v/>
      </c>
      <c r="FL172">
        <f>IF(ISNA(FH172),NA(),Capability!$L$11)</f>
        <v/>
      </c>
      <c r="FM172">
        <f>IF(OR(ISNA(FI172),ISNA(FI171)),NA(),ABS(FI172-FI171))</f>
        <v/>
      </c>
      <c r="FN172">
        <f>IF(ISNA(FH172),NA(),Capability!$N$11)</f>
        <v/>
      </c>
      <c r="FO172">
        <f>IF(ISNA(FH172),NA(),IF(OR(Capability!$Q$11="",Settings!$F$7&lt;&gt;"Y"),NA(),Capability!$Q$11))</f>
        <v/>
      </c>
      <c r="FP172">
        <f>IF(ISNA(FH172),NA(),IF(OR(Capability!$P$11="",Settings!$F$7&lt;&gt;"Y"),NA(),Capability!$P$11))</f>
        <v/>
      </c>
      <c r="FV172">
        <f>IF((FY$1+168)&gt;FW$1,NA(),(FY$1+168)-4)</f>
        <v/>
      </c>
      <c r="FW172">
        <f>IF((FY$1+168)&gt;FW$1,NA(),INDEX('Data Entry'!$O$5:$O$10004,(FY$1+168)-4))</f>
        <v/>
      </c>
      <c r="FX172">
        <f>IF(ISNA(FV172),NA(),Capability!$K$12)</f>
        <v/>
      </c>
      <c r="FY172">
        <f>IF(ISNA(FV172),NA(),Capability!$J$12)</f>
        <v/>
      </c>
      <c r="FZ172">
        <f>IF(ISNA(FV172),NA(),Capability!$L$12)</f>
        <v/>
      </c>
      <c r="GA172">
        <f>IF(OR(ISNA(FW172),ISNA(FW171)),NA(),ABS(FW172-FW171))</f>
        <v/>
      </c>
      <c r="GB172">
        <f>IF(ISNA(FV172),NA(),Capability!$N$12)</f>
        <v/>
      </c>
      <c r="GC172">
        <f>IF(ISNA(FV172),NA(),IF(OR(Capability!$Q$12="",Settings!$F$7&lt;&gt;"Y"),NA(),Capability!$Q$12))</f>
        <v/>
      </c>
      <c r="GD172">
        <f>IF(ISNA(FV172),NA(),IF(OR(Capability!$P$12="",Settings!$F$7&lt;&gt;"Y"),NA(),Capability!$P$12))</f>
        <v/>
      </c>
      <c r="GJ172">
        <f>IF((GM$1+168)&gt;GK$1,NA(),(GM$1+168)-4)</f>
        <v/>
      </c>
      <c r="GK172">
        <f>IF((GM$1+168)&gt;GK$1,NA(),INDEX('Data Entry'!$P$5:$P$10004,(GM$1+168)-4))</f>
        <v/>
      </c>
      <c r="GL172">
        <f>IF(ISNA(GJ172),NA(),Capability!$K$13)</f>
        <v/>
      </c>
      <c r="GM172">
        <f>IF(ISNA(GJ172),NA(),Capability!$J$13)</f>
        <v/>
      </c>
      <c r="GN172">
        <f>IF(ISNA(GJ172),NA(),Capability!$L$13)</f>
        <v/>
      </c>
      <c r="GO172">
        <f>IF(OR(ISNA(GK172),ISNA(GK171)),NA(),ABS(GK172-GK171))</f>
        <v/>
      </c>
      <c r="GP172">
        <f>IF(ISNA(GJ172),NA(),Capability!$N$13)</f>
        <v/>
      </c>
      <c r="GQ172">
        <f>IF(ISNA(GJ172),NA(),IF(OR(Capability!$Q$13="",Settings!$F$7&lt;&gt;"Y"),NA(),Capability!$Q$13))</f>
        <v/>
      </c>
      <c r="GR172">
        <f>IF(ISNA(GJ172),NA(),IF(OR(Capability!$P$13="",Settings!$F$7&lt;&gt;"Y"),NA(),Capability!$P$13))</f>
        <v/>
      </c>
      <c r="GX172">
        <f>IF((HA$1+168)&gt;GY$1,NA(),(HA$1+168)-4)</f>
        <v/>
      </c>
      <c r="GY172">
        <f>IF((HA$1+168)&gt;GY$1,NA(),INDEX('Data Entry'!$Q$5:$Q$10004,(HA$1+168)-4))</f>
        <v/>
      </c>
      <c r="GZ172">
        <f>IF(ISNA(GX172),NA(),Capability!$K$14)</f>
        <v/>
      </c>
      <c r="HA172">
        <f>IF(ISNA(GX172),NA(),Capability!$J$14)</f>
        <v/>
      </c>
      <c r="HB172">
        <f>IF(ISNA(GX172),NA(),Capability!$L$14)</f>
        <v/>
      </c>
      <c r="HC172">
        <f>IF(OR(ISNA(GY172),ISNA(GY171)),NA(),ABS(GY172-GY171))</f>
        <v/>
      </c>
      <c r="HD172">
        <f>IF(ISNA(GX172),NA(),Capability!$N$14)</f>
        <v/>
      </c>
      <c r="HE172">
        <f>IF(ISNA(GX172),NA(),IF(OR(Capability!$Q$14="",Settings!$F$7&lt;&gt;"Y"),NA(),Capability!$Q$14))</f>
        <v/>
      </c>
      <c r="HF172">
        <f>IF(ISNA(GX172),NA(),IF(OR(Capability!$P$14="",Settings!$F$7&lt;&gt;"Y"),NA(),Capability!$P$14))</f>
        <v/>
      </c>
    </row>
    <row r="173">
      <c r="A173" s="35" t="inlineStr">
        <is>
          <t>Median</t>
        </is>
      </c>
      <c r="B173" s="23">
        <f>Capability!D9</f>
        <v/>
      </c>
      <c r="CB173">
        <f>IF((CE$1+169)&gt;CC$1,NA(),(CE$1+169)-4)</f>
        <v/>
      </c>
      <c r="CC173">
        <f>IF((CE$1+169)&gt;CC$1,NA(),INDEX('Data Entry'!$H$5:$H$10004,(CE$1+169)-4))</f>
        <v/>
      </c>
      <c r="CD173">
        <f>IF(ISNA(CB173),NA(),Capability!$K$5)</f>
        <v/>
      </c>
      <c r="CE173">
        <f>IF(ISNA(CB173),NA(),Capability!$J$5)</f>
        <v/>
      </c>
      <c r="CF173">
        <f>IF(ISNA(CB173),NA(),Capability!$L$5)</f>
        <v/>
      </c>
      <c r="CG173">
        <f>IF(OR(ISNA(CC173),ISNA(CC172)),NA(),ABS(CC173-CC172))</f>
        <v/>
      </c>
      <c r="CH173">
        <f>IF(ISNA(CB173),NA(),Capability!$N$5)</f>
        <v/>
      </c>
      <c r="CI173">
        <f>IF(ISNA(CB173),NA(),IF(OR(Capability!$Q$5="",Settings!$F$7&lt;&gt;"Y"),NA(),Capability!$Q$5))</f>
        <v/>
      </c>
      <c r="CJ173">
        <f>IF(ISNA(CB173),NA(),IF(OR(Capability!$P$5="",Settings!$F$7&lt;&gt;"Y"),NA(),Capability!$P$5))</f>
        <v/>
      </c>
      <c r="CP173">
        <f>IF((CS$1+169)&gt;CQ$1,NA(),(CS$1+169)-4)</f>
        <v/>
      </c>
      <c r="CQ173">
        <f>IF((CS$1+169)&gt;CQ$1,NA(),INDEX('Data Entry'!$I$5:$I$10004,(CS$1+169)-4))</f>
        <v/>
      </c>
      <c r="CR173">
        <f>IF(ISNA(CP173),NA(),Capability!$K$6)</f>
        <v/>
      </c>
      <c r="CS173">
        <f>IF(ISNA(CP173),NA(),Capability!$J$6)</f>
        <v/>
      </c>
      <c r="CT173">
        <f>IF(ISNA(CP173),NA(),Capability!$L$6)</f>
        <v/>
      </c>
      <c r="CU173">
        <f>IF(OR(ISNA(CQ173),ISNA(CQ172)),NA(),ABS(CQ173-CQ172))</f>
        <v/>
      </c>
      <c r="CV173">
        <f>IF(ISNA(CP173),NA(),Capability!$N$6)</f>
        <v/>
      </c>
      <c r="CW173">
        <f>IF(ISNA(CP173),NA(),IF(OR(Capability!$Q$6="",Settings!$F$7&lt;&gt;"Y"),NA(),Capability!$Q$6))</f>
        <v/>
      </c>
      <c r="CX173">
        <f>IF(ISNA(CP173),NA(),IF(OR(Capability!$P$6="",Settings!$F$7&lt;&gt;"Y"),NA(),Capability!$P$6))</f>
        <v/>
      </c>
      <c r="DD173">
        <f>IF((DG$1+169)&gt;DE$1,NA(),(DG$1+169)-4)</f>
        <v/>
      </c>
      <c r="DE173">
        <f>IF((DG$1+169)&gt;DE$1,NA(),INDEX('Data Entry'!$J$5:$J$10004,(DG$1+169)-4))</f>
        <v/>
      </c>
      <c r="DF173">
        <f>IF(ISNA(DD173),NA(),Capability!$K$7)</f>
        <v/>
      </c>
      <c r="DG173">
        <f>IF(ISNA(DD173),NA(),Capability!$J$7)</f>
        <v/>
      </c>
      <c r="DH173">
        <f>IF(ISNA(DD173),NA(),Capability!$L$7)</f>
        <v/>
      </c>
      <c r="DI173">
        <f>IF(OR(ISNA(DE173),ISNA(DE172)),NA(),ABS(DE173-DE172))</f>
        <v/>
      </c>
      <c r="DJ173">
        <f>IF(ISNA(DD173),NA(),Capability!$N$7)</f>
        <v/>
      </c>
      <c r="DK173">
        <f>IF(ISNA(DD173),NA(),IF(OR(Capability!$Q$7="",Settings!$F$7&lt;&gt;"Y"),NA(),Capability!$Q$7))</f>
        <v/>
      </c>
      <c r="DL173">
        <f>IF(ISNA(DD173),NA(),IF(OR(Capability!$P$7="",Settings!$F$7&lt;&gt;"Y"),NA(),Capability!$P$7))</f>
        <v/>
      </c>
      <c r="DR173">
        <f>IF((DU$1+169)&gt;DS$1,NA(),(DU$1+169)-4)</f>
        <v/>
      </c>
      <c r="DS173">
        <f>IF((DU$1+169)&gt;DS$1,NA(),INDEX('Data Entry'!$K$5:$K$10004,(DU$1+169)-4))</f>
        <v/>
      </c>
      <c r="DT173">
        <f>IF(ISNA(DR173),NA(),Capability!$K$8)</f>
        <v/>
      </c>
      <c r="DU173">
        <f>IF(ISNA(DR173),NA(),Capability!$J$8)</f>
        <v/>
      </c>
      <c r="DV173">
        <f>IF(ISNA(DR173),NA(),Capability!$L$8)</f>
        <v/>
      </c>
      <c r="DW173">
        <f>IF(OR(ISNA(DS173),ISNA(DS172)),NA(),ABS(DS173-DS172))</f>
        <v/>
      </c>
      <c r="DX173">
        <f>IF(ISNA(DR173),NA(),Capability!$N$8)</f>
        <v/>
      </c>
      <c r="DY173">
        <f>IF(ISNA(DR173),NA(),IF(OR(Capability!$Q$8="",Settings!$F$7&lt;&gt;"Y"),NA(),Capability!$Q$8))</f>
        <v/>
      </c>
      <c r="DZ173">
        <f>IF(ISNA(DR173),NA(),IF(OR(Capability!$P$8="",Settings!$F$7&lt;&gt;"Y"),NA(),Capability!$P$8))</f>
        <v/>
      </c>
      <c r="EF173">
        <f>IF((EI$1+169)&gt;EG$1,NA(),(EI$1+169)-4)</f>
        <v/>
      </c>
      <c r="EG173">
        <f>IF((EI$1+169)&gt;EG$1,NA(),INDEX('Data Entry'!$L$5:$L$10004,(EI$1+169)-4))</f>
        <v/>
      </c>
      <c r="EH173">
        <f>IF(ISNA(EF173),NA(),Capability!$K$9)</f>
        <v/>
      </c>
      <c r="EI173">
        <f>IF(ISNA(EF173),NA(),Capability!$J$9)</f>
        <v/>
      </c>
      <c r="EJ173">
        <f>IF(ISNA(EF173),NA(),Capability!$L$9)</f>
        <v/>
      </c>
      <c r="EK173">
        <f>IF(OR(ISNA(EG173),ISNA(EG172)),NA(),ABS(EG173-EG172))</f>
        <v/>
      </c>
      <c r="EL173">
        <f>IF(ISNA(EF173),NA(),Capability!$N$9)</f>
        <v/>
      </c>
      <c r="EM173">
        <f>IF(ISNA(EF173),NA(),IF(OR(Capability!$Q$9="",Settings!$F$7&lt;&gt;"Y"),NA(),Capability!$Q$9))</f>
        <v/>
      </c>
      <c r="EN173">
        <f>IF(ISNA(EF173),NA(),IF(OR(Capability!$P$9="",Settings!$F$7&lt;&gt;"Y"),NA(),Capability!$P$9))</f>
        <v/>
      </c>
      <c r="ET173">
        <f>IF((EW$1+169)&gt;EU$1,NA(),(EW$1+169)-4)</f>
        <v/>
      </c>
      <c r="EU173">
        <f>IF((EW$1+169)&gt;EU$1,NA(),INDEX('Data Entry'!$M$5:$M$10004,(EW$1+169)-4))</f>
        <v/>
      </c>
      <c r="EV173">
        <f>IF(ISNA(ET173),NA(),Capability!$K$10)</f>
        <v/>
      </c>
      <c r="EW173">
        <f>IF(ISNA(ET173),NA(),Capability!$J$10)</f>
        <v/>
      </c>
      <c r="EX173">
        <f>IF(ISNA(ET173),NA(),Capability!$L$10)</f>
        <v/>
      </c>
      <c r="EY173">
        <f>IF(OR(ISNA(EU173),ISNA(EU172)),NA(),ABS(EU173-EU172))</f>
        <v/>
      </c>
      <c r="EZ173">
        <f>IF(ISNA(ET173),NA(),Capability!$N$10)</f>
        <v/>
      </c>
      <c r="FA173">
        <f>IF(ISNA(ET173),NA(),IF(OR(Capability!$Q$10="",Settings!$F$7&lt;&gt;"Y"),NA(),Capability!$Q$10))</f>
        <v/>
      </c>
      <c r="FB173">
        <f>IF(ISNA(ET173),NA(),IF(OR(Capability!$P$10="",Settings!$F$7&lt;&gt;"Y"),NA(),Capability!$P$10))</f>
        <v/>
      </c>
      <c r="FH173">
        <f>IF((FK$1+169)&gt;FI$1,NA(),(FK$1+169)-4)</f>
        <v/>
      </c>
      <c r="FI173">
        <f>IF((FK$1+169)&gt;FI$1,NA(),INDEX('Data Entry'!$N$5:$N$10004,(FK$1+169)-4))</f>
        <v/>
      </c>
      <c r="FJ173">
        <f>IF(ISNA(FH173),NA(),Capability!$K$11)</f>
        <v/>
      </c>
      <c r="FK173">
        <f>IF(ISNA(FH173),NA(),Capability!$J$11)</f>
        <v/>
      </c>
      <c r="FL173">
        <f>IF(ISNA(FH173),NA(),Capability!$L$11)</f>
        <v/>
      </c>
      <c r="FM173">
        <f>IF(OR(ISNA(FI173),ISNA(FI172)),NA(),ABS(FI173-FI172))</f>
        <v/>
      </c>
      <c r="FN173">
        <f>IF(ISNA(FH173),NA(),Capability!$N$11)</f>
        <v/>
      </c>
      <c r="FO173">
        <f>IF(ISNA(FH173),NA(),IF(OR(Capability!$Q$11="",Settings!$F$7&lt;&gt;"Y"),NA(),Capability!$Q$11))</f>
        <v/>
      </c>
      <c r="FP173">
        <f>IF(ISNA(FH173),NA(),IF(OR(Capability!$P$11="",Settings!$F$7&lt;&gt;"Y"),NA(),Capability!$P$11))</f>
        <v/>
      </c>
      <c r="FV173">
        <f>IF((FY$1+169)&gt;FW$1,NA(),(FY$1+169)-4)</f>
        <v/>
      </c>
      <c r="FW173">
        <f>IF((FY$1+169)&gt;FW$1,NA(),INDEX('Data Entry'!$O$5:$O$10004,(FY$1+169)-4))</f>
        <v/>
      </c>
      <c r="FX173">
        <f>IF(ISNA(FV173),NA(),Capability!$K$12)</f>
        <v/>
      </c>
      <c r="FY173">
        <f>IF(ISNA(FV173),NA(),Capability!$J$12)</f>
        <v/>
      </c>
      <c r="FZ173">
        <f>IF(ISNA(FV173),NA(),Capability!$L$12)</f>
        <v/>
      </c>
      <c r="GA173">
        <f>IF(OR(ISNA(FW173),ISNA(FW172)),NA(),ABS(FW173-FW172))</f>
        <v/>
      </c>
      <c r="GB173">
        <f>IF(ISNA(FV173),NA(),Capability!$N$12)</f>
        <v/>
      </c>
      <c r="GC173">
        <f>IF(ISNA(FV173),NA(),IF(OR(Capability!$Q$12="",Settings!$F$7&lt;&gt;"Y"),NA(),Capability!$Q$12))</f>
        <v/>
      </c>
      <c r="GD173">
        <f>IF(ISNA(FV173),NA(),IF(OR(Capability!$P$12="",Settings!$F$7&lt;&gt;"Y"),NA(),Capability!$P$12))</f>
        <v/>
      </c>
      <c r="GJ173">
        <f>IF((GM$1+169)&gt;GK$1,NA(),(GM$1+169)-4)</f>
        <v/>
      </c>
      <c r="GK173">
        <f>IF((GM$1+169)&gt;GK$1,NA(),INDEX('Data Entry'!$P$5:$P$10004,(GM$1+169)-4))</f>
        <v/>
      </c>
      <c r="GL173">
        <f>IF(ISNA(GJ173),NA(),Capability!$K$13)</f>
        <v/>
      </c>
      <c r="GM173">
        <f>IF(ISNA(GJ173),NA(),Capability!$J$13)</f>
        <v/>
      </c>
      <c r="GN173">
        <f>IF(ISNA(GJ173),NA(),Capability!$L$13)</f>
        <v/>
      </c>
      <c r="GO173">
        <f>IF(OR(ISNA(GK173),ISNA(GK172)),NA(),ABS(GK173-GK172))</f>
        <v/>
      </c>
      <c r="GP173">
        <f>IF(ISNA(GJ173),NA(),Capability!$N$13)</f>
        <v/>
      </c>
      <c r="GQ173">
        <f>IF(ISNA(GJ173),NA(),IF(OR(Capability!$Q$13="",Settings!$F$7&lt;&gt;"Y"),NA(),Capability!$Q$13))</f>
        <v/>
      </c>
      <c r="GR173">
        <f>IF(ISNA(GJ173),NA(),IF(OR(Capability!$P$13="",Settings!$F$7&lt;&gt;"Y"),NA(),Capability!$P$13))</f>
        <v/>
      </c>
      <c r="GX173">
        <f>IF((HA$1+169)&gt;GY$1,NA(),(HA$1+169)-4)</f>
        <v/>
      </c>
      <c r="GY173">
        <f>IF((HA$1+169)&gt;GY$1,NA(),INDEX('Data Entry'!$Q$5:$Q$10004,(HA$1+169)-4))</f>
        <v/>
      </c>
      <c r="GZ173">
        <f>IF(ISNA(GX173),NA(),Capability!$K$14)</f>
        <v/>
      </c>
      <c r="HA173">
        <f>IF(ISNA(GX173),NA(),Capability!$J$14)</f>
        <v/>
      </c>
      <c r="HB173">
        <f>IF(ISNA(GX173),NA(),Capability!$L$14)</f>
        <v/>
      </c>
      <c r="HC173">
        <f>IF(OR(ISNA(GY173),ISNA(GY172)),NA(),ABS(GY173-GY172))</f>
        <v/>
      </c>
      <c r="HD173">
        <f>IF(ISNA(GX173),NA(),Capability!$N$14)</f>
        <v/>
      </c>
      <c r="HE173">
        <f>IF(ISNA(GX173),NA(),IF(OR(Capability!$Q$14="",Settings!$F$7&lt;&gt;"Y"),NA(),Capability!$Q$14))</f>
        <v/>
      </c>
      <c r="HF173">
        <f>IF(ISNA(GX173),NA(),IF(OR(Capability!$P$14="",Settings!$F$7&lt;&gt;"Y"),NA(),Capability!$P$14))</f>
        <v/>
      </c>
    </row>
    <row r="174">
      <c r="A174" s="35" t="inlineStr">
        <is>
          <t>Std Dev (overall)</t>
        </is>
      </c>
      <c r="B174" s="23">
        <f>Capability!I9</f>
        <v/>
      </c>
      <c r="CB174">
        <f>IF((CE$1+170)&gt;CC$1,NA(),(CE$1+170)-4)</f>
        <v/>
      </c>
      <c r="CC174">
        <f>IF((CE$1+170)&gt;CC$1,NA(),INDEX('Data Entry'!$H$5:$H$10004,(CE$1+170)-4))</f>
        <v/>
      </c>
      <c r="CD174">
        <f>IF(ISNA(CB174),NA(),Capability!$K$5)</f>
        <v/>
      </c>
      <c r="CE174">
        <f>IF(ISNA(CB174),NA(),Capability!$J$5)</f>
        <v/>
      </c>
      <c r="CF174">
        <f>IF(ISNA(CB174),NA(),Capability!$L$5)</f>
        <v/>
      </c>
      <c r="CG174">
        <f>IF(OR(ISNA(CC174),ISNA(CC173)),NA(),ABS(CC174-CC173))</f>
        <v/>
      </c>
      <c r="CH174">
        <f>IF(ISNA(CB174),NA(),Capability!$N$5)</f>
        <v/>
      </c>
      <c r="CI174">
        <f>IF(ISNA(CB174),NA(),IF(OR(Capability!$Q$5="",Settings!$F$7&lt;&gt;"Y"),NA(),Capability!$Q$5))</f>
        <v/>
      </c>
      <c r="CJ174">
        <f>IF(ISNA(CB174),NA(),IF(OR(Capability!$P$5="",Settings!$F$7&lt;&gt;"Y"),NA(),Capability!$P$5))</f>
        <v/>
      </c>
      <c r="CP174">
        <f>IF((CS$1+170)&gt;CQ$1,NA(),(CS$1+170)-4)</f>
        <v/>
      </c>
      <c r="CQ174">
        <f>IF((CS$1+170)&gt;CQ$1,NA(),INDEX('Data Entry'!$I$5:$I$10004,(CS$1+170)-4))</f>
        <v/>
      </c>
      <c r="CR174">
        <f>IF(ISNA(CP174),NA(),Capability!$K$6)</f>
        <v/>
      </c>
      <c r="CS174">
        <f>IF(ISNA(CP174),NA(),Capability!$J$6)</f>
        <v/>
      </c>
      <c r="CT174">
        <f>IF(ISNA(CP174),NA(),Capability!$L$6)</f>
        <v/>
      </c>
      <c r="CU174">
        <f>IF(OR(ISNA(CQ174),ISNA(CQ173)),NA(),ABS(CQ174-CQ173))</f>
        <v/>
      </c>
      <c r="CV174">
        <f>IF(ISNA(CP174),NA(),Capability!$N$6)</f>
        <v/>
      </c>
      <c r="CW174">
        <f>IF(ISNA(CP174),NA(),IF(OR(Capability!$Q$6="",Settings!$F$7&lt;&gt;"Y"),NA(),Capability!$Q$6))</f>
        <v/>
      </c>
      <c r="CX174">
        <f>IF(ISNA(CP174),NA(),IF(OR(Capability!$P$6="",Settings!$F$7&lt;&gt;"Y"),NA(),Capability!$P$6))</f>
        <v/>
      </c>
      <c r="DD174">
        <f>IF((DG$1+170)&gt;DE$1,NA(),(DG$1+170)-4)</f>
        <v/>
      </c>
      <c r="DE174">
        <f>IF((DG$1+170)&gt;DE$1,NA(),INDEX('Data Entry'!$J$5:$J$10004,(DG$1+170)-4))</f>
        <v/>
      </c>
      <c r="DF174">
        <f>IF(ISNA(DD174),NA(),Capability!$K$7)</f>
        <v/>
      </c>
      <c r="DG174">
        <f>IF(ISNA(DD174),NA(),Capability!$J$7)</f>
        <v/>
      </c>
      <c r="DH174">
        <f>IF(ISNA(DD174),NA(),Capability!$L$7)</f>
        <v/>
      </c>
      <c r="DI174">
        <f>IF(OR(ISNA(DE174),ISNA(DE173)),NA(),ABS(DE174-DE173))</f>
        <v/>
      </c>
      <c r="DJ174">
        <f>IF(ISNA(DD174),NA(),Capability!$N$7)</f>
        <v/>
      </c>
      <c r="DK174">
        <f>IF(ISNA(DD174),NA(),IF(OR(Capability!$Q$7="",Settings!$F$7&lt;&gt;"Y"),NA(),Capability!$Q$7))</f>
        <v/>
      </c>
      <c r="DL174">
        <f>IF(ISNA(DD174),NA(),IF(OR(Capability!$P$7="",Settings!$F$7&lt;&gt;"Y"),NA(),Capability!$P$7))</f>
        <v/>
      </c>
      <c r="DR174">
        <f>IF((DU$1+170)&gt;DS$1,NA(),(DU$1+170)-4)</f>
        <v/>
      </c>
      <c r="DS174">
        <f>IF((DU$1+170)&gt;DS$1,NA(),INDEX('Data Entry'!$K$5:$K$10004,(DU$1+170)-4))</f>
        <v/>
      </c>
      <c r="DT174">
        <f>IF(ISNA(DR174),NA(),Capability!$K$8)</f>
        <v/>
      </c>
      <c r="DU174">
        <f>IF(ISNA(DR174),NA(),Capability!$J$8)</f>
        <v/>
      </c>
      <c r="DV174">
        <f>IF(ISNA(DR174),NA(),Capability!$L$8)</f>
        <v/>
      </c>
      <c r="DW174">
        <f>IF(OR(ISNA(DS174),ISNA(DS173)),NA(),ABS(DS174-DS173))</f>
        <v/>
      </c>
      <c r="DX174">
        <f>IF(ISNA(DR174),NA(),Capability!$N$8)</f>
        <v/>
      </c>
      <c r="DY174">
        <f>IF(ISNA(DR174),NA(),IF(OR(Capability!$Q$8="",Settings!$F$7&lt;&gt;"Y"),NA(),Capability!$Q$8))</f>
        <v/>
      </c>
      <c r="DZ174">
        <f>IF(ISNA(DR174),NA(),IF(OR(Capability!$P$8="",Settings!$F$7&lt;&gt;"Y"),NA(),Capability!$P$8))</f>
        <v/>
      </c>
      <c r="EF174">
        <f>IF((EI$1+170)&gt;EG$1,NA(),(EI$1+170)-4)</f>
        <v/>
      </c>
      <c r="EG174">
        <f>IF((EI$1+170)&gt;EG$1,NA(),INDEX('Data Entry'!$L$5:$L$10004,(EI$1+170)-4))</f>
        <v/>
      </c>
      <c r="EH174">
        <f>IF(ISNA(EF174),NA(),Capability!$K$9)</f>
        <v/>
      </c>
      <c r="EI174">
        <f>IF(ISNA(EF174),NA(),Capability!$J$9)</f>
        <v/>
      </c>
      <c r="EJ174">
        <f>IF(ISNA(EF174),NA(),Capability!$L$9)</f>
        <v/>
      </c>
      <c r="EK174">
        <f>IF(OR(ISNA(EG174),ISNA(EG173)),NA(),ABS(EG174-EG173))</f>
        <v/>
      </c>
      <c r="EL174">
        <f>IF(ISNA(EF174),NA(),Capability!$N$9)</f>
        <v/>
      </c>
      <c r="EM174">
        <f>IF(ISNA(EF174),NA(),IF(OR(Capability!$Q$9="",Settings!$F$7&lt;&gt;"Y"),NA(),Capability!$Q$9))</f>
        <v/>
      </c>
      <c r="EN174">
        <f>IF(ISNA(EF174),NA(),IF(OR(Capability!$P$9="",Settings!$F$7&lt;&gt;"Y"),NA(),Capability!$P$9))</f>
        <v/>
      </c>
      <c r="ET174">
        <f>IF((EW$1+170)&gt;EU$1,NA(),(EW$1+170)-4)</f>
        <v/>
      </c>
      <c r="EU174">
        <f>IF((EW$1+170)&gt;EU$1,NA(),INDEX('Data Entry'!$M$5:$M$10004,(EW$1+170)-4))</f>
        <v/>
      </c>
      <c r="EV174">
        <f>IF(ISNA(ET174),NA(),Capability!$K$10)</f>
        <v/>
      </c>
      <c r="EW174">
        <f>IF(ISNA(ET174),NA(),Capability!$J$10)</f>
        <v/>
      </c>
      <c r="EX174">
        <f>IF(ISNA(ET174),NA(),Capability!$L$10)</f>
        <v/>
      </c>
      <c r="EY174">
        <f>IF(OR(ISNA(EU174),ISNA(EU173)),NA(),ABS(EU174-EU173))</f>
        <v/>
      </c>
      <c r="EZ174">
        <f>IF(ISNA(ET174),NA(),Capability!$N$10)</f>
        <v/>
      </c>
      <c r="FA174">
        <f>IF(ISNA(ET174),NA(),IF(OR(Capability!$Q$10="",Settings!$F$7&lt;&gt;"Y"),NA(),Capability!$Q$10))</f>
        <v/>
      </c>
      <c r="FB174">
        <f>IF(ISNA(ET174),NA(),IF(OR(Capability!$P$10="",Settings!$F$7&lt;&gt;"Y"),NA(),Capability!$P$10))</f>
        <v/>
      </c>
      <c r="FH174">
        <f>IF((FK$1+170)&gt;FI$1,NA(),(FK$1+170)-4)</f>
        <v/>
      </c>
      <c r="FI174">
        <f>IF((FK$1+170)&gt;FI$1,NA(),INDEX('Data Entry'!$N$5:$N$10004,(FK$1+170)-4))</f>
        <v/>
      </c>
      <c r="FJ174">
        <f>IF(ISNA(FH174),NA(),Capability!$K$11)</f>
        <v/>
      </c>
      <c r="FK174">
        <f>IF(ISNA(FH174),NA(),Capability!$J$11)</f>
        <v/>
      </c>
      <c r="FL174">
        <f>IF(ISNA(FH174),NA(),Capability!$L$11)</f>
        <v/>
      </c>
      <c r="FM174">
        <f>IF(OR(ISNA(FI174),ISNA(FI173)),NA(),ABS(FI174-FI173))</f>
        <v/>
      </c>
      <c r="FN174">
        <f>IF(ISNA(FH174),NA(),Capability!$N$11)</f>
        <v/>
      </c>
      <c r="FO174">
        <f>IF(ISNA(FH174),NA(),IF(OR(Capability!$Q$11="",Settings!$F$7&lt;&gt;"Y"),NA(),Capability!$Q$11))</f>
        <v/>
      </c>
      <c r="FP174">
        <f>IF(ISNA(FH174),NA(),IF(OR(Capability!$P$11="",Settings!$F$7&lt;&gt;"Y"),NA(),Capability!$P$11))</f>
        <v/>
      </c>
      <c r="FV174">
        <f>IF((FY$1+170)&gt;FW$1,NA(),(FY$1+170)-4)</f>
        <v/>
      </c>
      <c r="FW174">
        <f>IF((FY$1+170)&gt;FW$1,NA(),INDEX('Data Entry'!$O$5:$O$10004,(FY$1+170)-4))</f>
        <v/>
      </c>
      <c r="FX174">
        <f>IF(ISNA(FV174),NA(),Capability!$K$12)</f>
        <v/>
      </c>
      <c r="FY174">
        <f>IF(ISNA(FV174),NA(),Capability!$J$12)</f>
        <v/>
      </c>
      <c r="FZ174">
        <f>IF(ISNA(FV174),NA(),Capability!$L$12)</f>
        <v/>
      </c>
      <c r="GA174">
        <f>IF(OR(ISNA(FW174),ISNA(FW173)),NA(),ABS(FW174-FW173))</f>
        <v/>
      </c>
      <c r="GB174">
        <f>IF(ISNA(FV174),NA(),Capability!$N$12)</f>
        <v/>
      </c>
      <c r="GC174">
        <f>IF(ISNA(FV174),NA(),IF(OR(Capability!$Q$12="",Settings!$F$7&lt;&gt;"Y"),NA(),Capability!$Q$12))</f>
        <v/>
      </c>
      <c r="GD174">
        <f>IF(ISNA(FV174),NA(),IF(OR(Capability!$P$12="",Settings!$F$7&lt;&gt;"Y"),NA(),Capability!$P$12))</f>
        <v/>
      </c>
      <c r="GJ174">
        <f>IF((GM$1+170)&gt;GK$1,NA(),(GM$1+170)-4)</f>
        <v/>
      </c>
      <c r="GK174">
        <f>IF((GM$1+170)&gt;GK$1,NA(),INDEX('Data Entry'!$P$5:$P$10004,(GM$1+170)-4))</f>
        <v/>
      </c>
      <c r="GL174">
        <f>IF(ISNA(GJ174),NA(),Capability!$K$13)</f>
        <v/>
      </c>
      <c r="GM174">
        <f>IF(ISNA(GJ174),NA(),Capability!$J$13)</f>
        <v/>
      </c>
      <c r="GN174">
        <f>IF(ISNA(GJ174),NA(),Capability!$L$13)</f>
        <v/>
      </c>
      <c r="GO174">
        <f>IF(OR(ISNA(GK174),ISNA(GK173)),NA(),ABS(GK174-GK173))</f>
        <v/>
      </c>
      <c r="GP174">
        <f>IF(ISNA(GJ174),NA(),Capability!$N$13)</f>
        <v/>
      </c>
      <c r="GQ174">
        <f>IF(ISNA(GJ174),NA(),IF(OR(Capability!$Q$13="",Settings!$F$7&lt;&gt;"Y"),NA(),Capability!$Q$13))</f>
        <v/>
      </c>
      <c r="GR174">
        <f>IF(ISNA(GJ174),NA(),IF(OR(Capability!$P$13="",Settings!$F$7&lt;&gt;"Y"),NA(),Capability!$P$13))</f>
        <v/>
      </c>
      <c r="GX174">
        <f>IF((HA$1+170)&gt;GY$1,NA(),(HA$1+170)-4)</f>
        <v/>
      </c>
      <c r="GY174">
        <f>IF((HA$1+170)&gt;GY$1,NA(),INDEX('Data Entry'!$Q$5:$Q$10004,(HA$1+170)-4))</f>
        <v/>
      </c>
      <c r="GZ174">
        <f>IF(ISNA(GX174),NA(),Capability!$K$14)</f>
        <v/>
      </c>
      <c r="HA174">
        <f>IF(ISNA(GX174),NA(),Capability!$J$14)</f>
        <v/>
      </c>
      <c r="HB174">
        <f>IF(ISNA(GX174),NA(),Capability!$L$14)</f>
        <v/>
      </c>
      <c r="HC174">
        <f>IF(OR(ISNA(GY174),ISNA(GY173)),NA(),ABS(GY174-GY173))</f>
        <v/>
      </c>
      <c r="HD174">
        <f>IF(ISNA(GX174),NA(),Capability!$N$14)</f>
        <v/>
      </c>
      <c r="HE174">
        <f>IF(ISNA(GX174),NA(),IF(OR(Capability!$Q$14="",Settings!$F$7&lt;&gt;"Y"),NA(),Capability!$Q$14))</f>
        <v/>
      </c>
      <c r="HF174">
        <f>IF(ISNA(GX174),NA(),IF(OR(Capability!$P$14="",Settings!$F$7&lt;&gt;"Y"),NA(),Capability!$P$14))</f>
        <v/>
      </c>
    </row>
    <row r="175">
      <c r="A175" s="35" t="inlineStr">
        <is>
          <t>Sigma (within)</t>
        </is>
      </c>
      <c r="B175" s="23">
        <f>Capability!H9</f>
        <v/>
      </c>
      <c r="CB175">
        <f>IF((CE$1+171)&gt;CC$1,NA(),(CE$1+171)-4)</f>
        <v/>
      </c>
      <c r="CC175">
        <f>IF((CE$1+171)&gt;CC$1,NA(),INDEX('Data Entry'!$H$5:$H$10004,(CE$1+171)-4))</f>
        <v/>
      </c>
      <c r="CD175">
        <f>IF(ISNA(CB175),NA(),Capability!$K$5)</f>
        <v/>
      </c>
      <c r="CE175">
        <f>IF(ISNA(CB175),NA(),Capability!$J$5)</f>
        <v/>
      </c>
      <c r="CF175">
        <f>IF(ISNA(CB175),NA(),Capability!$L$5)</f>
        <v/>
      </c>
      <c r="CG175">
        <f>IF(OR(ISNA(CC175),ISNA(CC174)),NA(),ABS(CC175-CC174))</f>
        <v/>
      </c>
      <c r="CH175">
        <f>IF(ISNA(CB175),NA(),Capability!$N$5)</f>
        <v/>
      </c>
      <c r="CI175">
        <f>IF(ISNA(CB175),NA(),IF(OR(Capability!$Q$5="",Settings!$F$7&lt;&gt;"Y"),NA(),Capability!$Q$5))</f>
        <v/>
      </c>
      <c r="CJ175">
        <f>IF(ISNA(CB175),NA(),IF(OR(Capability!$P$5="",Settings!$F$7&lt;&gt;"Y"),NA(),Capability!$P$5))</f>
        <v/>
      </c>
      <c r="CP175">
        <f>IF((CS$1+171)&gt;CQ$1,NA(),(CS$1+171)-4)</f>
        <v/>
      </c>
      <c r="CQ175">
        <f>IF((CS$1+171)&gt;CQ$1,NA(),INDEX('Data Entry'!$I$5:$I$10004,(CS$1+171)-4))</f>
        <v/>
      </c>
      <c r="CR175">
        <f>IF(ISNA(CP175),NA(),Capability!$K$6)</f>
        <v/>
      </c>
      <c r="CS175">
        <f>IF(ISNA(CP175),NA(),Capability!$J$6)</f>
        <v/>
      </c>
      <c r="CT175">
        <f>IF(ISNA(CP175),NA(),Capability!$L$6)</f>
        <v/>
      </c>
      <c r="CU175">
        <f>IF(OR(ISNA(CQ175),ISNA(CQ174)),NA(),ABS(CQ175-CQ174))</f>
        <v/>
      </c>
      <c r="CV175">
        <f>IF(ISNA(CP175),NA(),Capability!$N$6)</f>
        <v/>
      </c>
      <c r="CW175">
        <f>IF(ISNA(CP175),NA(),IF(OR(Capability!$Q$6="",Settings!$F$7&lt;&gt;"Y"),NA(),Capability!$Q$6))</f>
        <v/>
      </c>
      <c r="CX175">
        <f>IF(ISNA(CP175),NA(),IF(OR(Capability!$P$6="",Settings!$F$7&lt;&gt;"Y"),NA(),Capability!$P$6))</f>
        <v/>
      </c>
      <c r="DD175">
        <f>IF((DG$1+171)&gt;DE$1,NA(),(DG$1+171)-4)</f>
        <v/>
      </c>
      <c r="DE175">
        <f>IF((DG$1+171)&gt;DE$1,NA(),INDEX('Data Entry'!$J$5:$J$10004,(DG$1+171)-4))</f>
        <v/>
      </c>
      <c r="DF175">
        <f>IF(ISNA(DD175),NA(),Capability!$K$7)</f>
        <v/>
      </c>
      <c r="DG175">
        <f>IF(ISNA(DD175),NA(),Capability!$J$7)</f>
        <v/>
      </c>
      <c r="DH175">
        <f>IF(ISNA(DD175),NA(),Capability!$L$7)</f>
        <v/>
      </c>
      <c r="DI175">
        <f>IF(OR(ISNA(DE175),ISNA(DE174)),NA(),ABS(DE175-DE174))</f>
        <v/>
      </c>
      <c r="DJ175">
        <f>IF(ISNA(DD175),NA(),Capability!$N$7)</f>
        <v/>
      </c>
      <c r="DK175">
        <f>IF(ISNA(DD175),NA(),IF(OR(Capability!$Q$7="",Settings!$F$7&lt;&gt;"Y"),NA(),Capability!$Q$7))</f>
        <v/>
      </c>
      <c r="DL175">
        <f>IF(ISNA(DD175),NA(),IF(OR(Capability!$P$7="",Settings!$F$7&lt;&gt;"Y"),NA(),Capability!$P$7))</f>
        <v/>
      </c>
      <c r="DR175">
        <f>IF((DU$1+171)&gt;DS$1,NA(),(DU$1+171)-4)</f>
        <v/>
      </c>
      <c r="DS175">
        <f>IF((DU$1+171)&gt;DS$1,NA(),INDEX('Data Entry'!$K$5:$K$10004,(DU$1+171)-4))</f>
        <v/>
      </c>
      <c r="DT175">
        <f>IF(ISNA(DR175),NA(),Capability!$K$8)</f>
        <v/>
      </c>
      <c r="DU175">
        <f>IF(ISNA(DR175),NA(),Capability!$J$8)</f>
        <v/>
      </c>
      <c r="DV175">
        <f>IF(ISNA(DR175),NA(),Capability!$L$8)</f>
        <v/>
      </c>
      <c r="DW175">
        <f>IF(OR(ISNA(DS175),ISNA(DS174)),NA(),ABS(DS175-DS174))</f>
        <v/>
      </c>
      <c r="DX175">
        <f>IF(ISNA(DR175),NA(),Capability!$N$8)</f>
        <v/>
      </c>
      <c r="DY175">
        <f>IF(ISNA(DR175),NA(),IF(OR(Capability!$Q$8="",Settings!$F$7&lt;&gt;"Y"),NA(),Capability!$Q$8))</f>
        <v/>
      </c>
      <c r="DZ175">
        <f>IF(ISNA(DR175),NA(),IF(OR(Capability!$P$8="",Settings!$F$7&lt;&gt;"Y"),NA(),Capability!$P$8))</f>
        <v/>
      </c>
      <c r="EF175">
        <f>IF((EI$1+171)&gt;EG$1,NA(),(EI$1+171)-4)</f>
        <v/>
      </c>
      <c r="EG175">
        <f>IF((EI$1+171)&gt;EG$1,NA(),INDEX('Data Entry'!$L$5:$L$10004,(EI$1+171)-4))</f>
        <v/>
      </c>
      <c r="EH175">
        <f>IF(ISNA(EF175),NA(),Capability!$K$9)</f>
        <v/>
      </c>
      <c r="EI175">
        <f>IF(ISNA(EF175),NA(),Capability!$J$9)</f>
        <v/>
      </c>
      <c r="EJ175">
        <f>IF(ISNA(EF175),NA(),Capability!$L$9)</f>
        <v/>
      </c>
      <c r="EK175">
        <f>IF(OR(ISNA(EG175),ISNA(EG174)),NA(),ABS(EG175-EG174))</f>
        <v/>
      </c>
      <c r="EL175">
        <f>IF(ISNA(EF175),NA(),Capability!$N$9)</f>
        <v/>
      </c>
      <c r="EM175">
        <f>IF(ISNA(EF175),NA(),IF(OR(Capability!$Q$9="",Settings!$F$7&lt;&gt;"Y"),NA(),Capability!$Q$9))</f>
        <v/>
      </c>
      <c r="EN175">
        <f>IF(ISNA(EF175),NA(),IF(OR(Capability!$P$9="",Settings!$F$7&lt;&gt;"Y"),NA(),Capability!$P$9))</f>
        <v/>
      </c>
      <c r="ET175">
        <f>IF((EW$1+171)&gt;EU$1,NA(),(EW$1+171)-4)</f>
        <v/>
      </c>
      <c r="EU175">
        <f>IF((EW$1+171)&gt;EU$1,NA(),INDEX('Data Entry'!$M$5:$M$10004,(EW$1+171)-4))</f>
        <v/>
      </c>
      <c r="EV175">
        <f>IF(ISNA(ET175),NA(),Capability!$K$10)</f>
        <v/>
      </c>
      <c r="EW175">
        <f>IF(ISNA(ET175),NA(),Capability!$J$10)</f>
        <v/>
      </c>
      <c r="EX175">
        <f>IF(ISNA(ET175),NA(),Capability!$L$10)</f>
        <v/>
      </c>
      <c r="EY175">
        <f>IF(OR(ISNA(EU175),ISNA(EU174)),NA(),ABS(EU175-EU174))</f>
        <v/>
      </c>
      <c r="EZ175">
        <f>IF(ISNA(ET175),NA(),Capability!$N$10)</f>
        <v/>
      </c>
      <c r="FA175">
        <f>IF(ISNA(ET175),NA(),IF(OR(Capability!$Q$10="",Settings!$F$7&lt;&gt;"Y"),NA(),Capability!$Q$10))</f>
        <v/>
      </c>
      <c r="FB175">
        <f>IF(ISNA(ET175),NA(),IF(OR(Capability!$P$10="",Settings!$F$7&lt;&gt;"Y"),NA(),Capability!$P$10))</f>
        <v/>
      </c>
      <c r="FH175">
        <f>IF((FK$1+171)&gt;FI$1,NA(),(FK$1+171)-4)</f>
        <v/>
      </c>
      <c r="FI175">
        <f>IF((FK$1+171)&gt;FI$1,NA(),INDEX('Data Entry'!$N$5:$N$10004,(FK$1+171)-4))</f>
        <v/>
      </c>
      <c r="FJ175">
        <f>IF(ISNA(FH175),NA(),Capability!$K$11)</f>
        <v/>
      </c>
      <c r="FK175">
        <f>IF(ISNA(FH175),NA(),Capability!$J$11)</f>
        <v/>
      </c>
      <c r="FL175">
        <f>IF(ISNA(FH175),NA(),Capability!$L$11)</f>
        <v/>
      </c>
      <c r="FM175">
        <f>IF(OR(ISNA(FI175),ISNA(FI174)),NA(),ABS(FI175-FI174))</f>
        <v/>
      </c>
      <c r="FN175">
        <f>IF(ISNA(FH175),NA(),Capability!$N$11)</f>
        <v/>
      </c>
      <c r="FO175">
        <f>IF(ISNA(FH175),NA(),IF(OR(Capability!$Q$11="",Settings!$F$7&lt;&gt;"Y"),NA(),Capability!$Q$11))</f>
        <v/>
      </c>
      <c r="FP175">
        <f>IF(ISNA(FH175),NA(),IF(OR(Capability!$P$11="",Settings!$F$7&lt;&gt;"Y"),NA(),Capability!$P$11))</f>
        <v/>
      </c>
      <c r="FV175">
        <f>IF((FY$1+171)&gt;FW$1,NA(),(FY$1+171)-4)</f>
        <v/>
      </c>
      <c r="FW175">
        <f>IF((FY$1+171)&gt;FW$1,NA(),INDEX('Data Entry'!$O$5:$O$10004,(FY$1+171)-4))</f>
        <v/>
      </c>
      <c r="FX175">
        <f>IF(ISNA(FV175),NA(),Capability!$K$12)</f>
        <v/>
      </c>
      <c r="FY175">
        <f>IF(ISNA(FV175),NA(),Capability!$J$12)</f>
        <v/>
      </c>
      <c r="FZ175">
        <f>IF(ISNA(FV175),NA(),Capability!$L$12)</f>
        <v/>
      </c>
      <c r="GA175">
        <f>IF(OR(ISNA(FW175),ISNA(FW174)),NA(),ABS(FW175-FW174))</f>
        <v/>
      </c>
      <c r="GB175">
        <f>IF(ISNA(FV175),NA(),Capability!$N$12)</f>
        <v/>
      </c>
      <c r="GC175">
        <f>IF(ISNA(FV175),NA(),IF(OR(Capability!$Q$12="",Settings!$F$7&lt;&gt;"Y"),NA(),Capability!$Q$12))</f>
        <v/>
      </c>
      <c r="GD175">
        <f>IF(ISNA(FV175),NA(),IF(OR(Capability!$P$12="",Settings!$F$7&lt;&gt;"Y"),NA(),Capability!$P$12))</f>
        <v/>
      </c>
      <c r="GJ175">
        <f>IF((GM$1+171)&gt;GK$1,NA(),(GM$1+171)-4)</f>
        <v/>
      </c>
      <c r="GK175">
        <f>IF((GM$1+171)&gt;GK$1,NA(),INDEX('Data Entry'!$P$5:$P$10004,(GM$1+171)-4))</f>
        <v/>
      </c>
      <c r="GL175">
        <f>IF(ISNA(GJ175),NA(),Capability!$K$13)</f>
        <v/>
      </c>
      <c r="GM175">
        <f>IF(ISNA(GJ175),NA(),Capability!$J$13)</f>
        <v/>
      </c>
      <c r="GN175">
        <f>IF(ISNA(GJ175),NA(),Capability!$L$13)</f>
        <v/>
      </c>
      <c r="GO175">
        <f>IF(OR(ISNA(GK175),ISNA(GK174)),NA(),ABS(GK175-GK174))</f>
        <v/>
      </c>
      <c r="GP175">
        <f>IF(ISNA(GJ175),NA(),Capability!$N$13)</f>
        <v/>
      </c>
      <c r="GQ175">
        <f>IF(ISNA(GJ175),NA(),IF(OR(Capability!$Q$13="",Settings!$F$7&lt;&gt;"Y"),NA(),Capability!$Q$13))</f>
        <v/>
      </c>
      <c r="GR175">
        <f>IF(ISNA(GJ175),NA(),IF(OR(Capability!$P$13="",Settings!$F$7&lt;&gt;"Y"),NA(),Capability!$P$13))</f>
        <v/>
      </c>
      <c r="GX175">
        <f>IF((HA$1+171)&gt;GY$1,NA(),(HA$1+171)-4)</f>
        <v/>
      </c>
      <c r="GY175">
        <f>IF((HA$1+171)&gt;GY$1,NA(),INDEX('Data Entry'!$Q$5:$Q$10004,(HA$1+171)-4))</f>
        <v/>
      </c>
      <c r="GZ175">
        <f>IF(ISNA(GX175),NA(),Capability!$K$14)</f>
        <v/>
      </c>
      <c r="HA175">
        <f>IF(ISNA(GX175),NA(),Capability!$J$14)</f>
        <v/>
      </c>
      <c r="HB175">
        <f>IF(ISNA(GX175),NA(),Capability!$L$14)</f>
        <v/>
      </c>
      <c r="HC175">
        <f>IF(OR(ISNA(GY175),ISNA(GY174)),NA(),ABS(GY175-GY174))</f>
        <v/>
      </c>
      <c r="HD175">
        <f>IF(ISNA(GX175),NA(),Capability!$N$14)</f>
        <v/>
      </c>
      <c r="HE175">
        <f>IF(ISNA(GX175),NA(),IF(OR(Capability!$Q$14="",Settings!$F$7&lt;&gt;"Y"),NA(),Capability!$Q$14))</f>
        <v/>
      </c>
      <c r="HF175">
        <f>IF(ISNA(GX175),NA(),IF(OR(Capability!$P$14="",Settings!$F$7&lt;&gt;"Y"),NA(),Capability!$P$14))</f>
        <v/>
      </c>
    </row>
    <row r="176">
      <c r="A176" s="37" t="inlineStr">
        <is>
          <t>CONTROL</t>
        </is>
      </c>
      <c r="B176" s="28" t="n"/>
      <c r="CB176">
        <f>IF((CE$1+172)&gt;CC$1,NA(),(CE$1+172)-4)</f>
        <v/>
      </c>
      <c r="CC176">
        <f>IF((CE$1+172)&gt;CC$1,NA(),INDEX('Data Entry'!$H$5:$H$10004,(CE$1+172)-4))</f>
        <v/>
      </c>
      <c r="CD176">
        <f>IF(ISNA(CB176),NA(),Capability!$K$5)</f>
        <v/>
      </c>
      <c r="CE176">
        <f>IF(ISNA(CB176),NA(),Capability!$J$5)</f>
        <v/>
      </c>
      <c r="CF176">
        <f>IF(ISNA(CB176),NA(),Capability!$L$5)</f>
        <v/>
      </c>
      <c r="CG176">
        <f>IF(OR(ISNA(CC176),ISNA(CC175)),NA(),ABS(CC176-CC175))</f>
        <v/>
      </c>
      <c r="CH176">
        <f>IF(ISNA(CB176),NA(),Capability!$N$5)</f>
        <v/>
      </c>
      <c r="CI176">
        <f>IF(ISNA(CB176),NA(),IF(OR(Capability!$Q$5="",Settings!$F$7&lt;&gt;"Y"),NA(),Capability!$Q$5))</f>
        <v/>
      </c>
      <c r="CJ176">
        <f>IF(ISNA(CB176),NA(),IF(OR(Capability!$P$5="",Settings!$F$7&lt;&gt;"Y"),NA(),Capability!$P$5))</f>
        <v/>
      </c>
      <c r="CP176">
        <f>IF((CS$1+172)&gt;CQ$1,NA(),(CS$1+172)-4)</f>
        <v/>
      </c>
      <c r="CQ176">
        <f>IF((CS$1+172)&gt;CQ$1,NA(),INDEX('Data Entry'!$I$5:$I$10004,(CS$1+172)-4))</f>
        <v/>
      </c>
      <c r="CR176">
        <f>IF(ISNA(CP176),NA(),Capability!$K$6)</f>
        <v/>
      </c>
      <c r="CS176">
        <f>IF(ISNA(CP176),NA(),Capability!$J$6)</f>
        <v/>
      </c>
      <c r="CT176">
        <f>IF(ISNA(CP176),NA(),Capability!$L$6)</f>
        <v/>
      </c>
      <c r="CU176">
        <f>IF(OR(ISNA(CQ176),ISNA(CQ175)),NA(),ABS(CQ176-CQ175))</f>
        <v/>
      </c>
      <c r="CV176">
        <f>IF(ISNA(CP176),NA(),Capability!$N$6)</f>
        <v/>
      </c>
      <c r="CW176">
        <f>IF(ISNA(CP176),NA(),IF(OR(Capability!$Q$6="",Settings!$F$7&lt;&gt;"Y"),NA(),Capability!$Q$6))</f>
        <v/>
      </c>
      <c r="CX176">
        <f>IF(ISNA(CP176),NA(),IF(OR(Capability!$P$6="",Settings!$F$7&lt;&gt;"Y"),NA(),Capability!$P$6))</f>
        <v/>
      </c>
      <c r="DD176">
        <f>IF((DG$1+172)&gt;DE$1,NA(),(DG$1+172)-4)</f>
        <v/>
      </c>
      <c r="DE176">
        <f>IF((DG$1+172)&gt;DE$1,NA(),INDEX('Data Entry'!$J$5:$J$10004,(DG$1+172)-4))</f>
        <v/>
      </c>
      <c r="DF176">
        <f>IF(ISNA(DD176),NA(),Capability!$K$7)</f>
        <v/>
      </c>
      <c r="DG176">
        <f>IF(ISNA(DD176),NA(),Capability!$J$7)</f>
        <v/>
      </c>
      <c r="DH176">
        <f>IF(ISNA(DD176),NA(),Capability!$L$7)</f>
        <v/>
      </c>
      <c r="DI176">
        <f>IF(OR(ISNA(DE176),ISNA(DE175)),NA(),ABS(DE176-DE175))</f>
        <v/>
      </c>
      <c r="DJ176">
        <f>IF(ISNA(DD176),NA(),Capability!$N$7)</f>
        <v/>
      </c>
      <c r="DK176">
        <f>IF(ISNA(DD176),NA(),IF(OR(Capability!$Q$7="",Settings!$F$7&lt;&gt;"Y"),NA(),Capability!$Q$7))</f>
        <v/>
      </c>
      <c r="DL176">
        <f>IF(ISNA(DD176),NA(),IF(OR(Capability!$P$7="",Settings!$F$7&lt;&gt;"Y"),NA(),Capability!$P$7))</f>
        <v/>
      </c>
      <c r="DR176">
        <f>IF((DU$1+172)&gt;DS$1,NA(),(DU$1+172)-4)</f>
        <v/>
      </c>
      <c r="DS176">
        <f>IF((DU$1+172)&gt;DS$1,NA(),INDEX('Data Entry'!$K$5:$K$10004,(DU$1+172)-4))</f>
        <v/>
      </c>
      <c r="DT176">
        <f>IF(ISNA(DR176),NA(),Capability!$K$8)</f>
        <v/>
      </c>
      <c r="DU176">
        <f>IF(ISNA(DR176),NA(),Capability!$J$8)</f>
        <v/>
      </c>
      <c r="DV176">
        <f>IF(ISNA(DR176),NA(),Capability!$L$8)</f>
        <v/>
      </c>
      <c r="DW176">
        <f>IF(OR(ISNA(DS176),ISNA(DS175)),NA(),ABS(DS176-DS175))</f>
        <v/>
      </c>
      <c r="DX176">
        <f>IF(ISNA(DR176),NA(),Capability!$N$8)</f>
        <v/>
      </c>
      <c r="DY176">
        <f>IF(ISNA(DR176),NA(),IF(OR(Capability!$Q$8="",Settings!$F$7&lt;&gt;"Y"),NA(),Capability!$Q$8))</f>
        <v/>
      </c>
      <c r="DZ176">
        <f>IF(ISNA(DR176),NA(),IF(OR(Capability!$P$8="",Settings!$F$7&lt;&gt;"Y"),NA(),Capability!$P$8))</f>
        <v/>
      </c>
      <c r="EF176">
        <f>IF((EI$1+172)&gt;EG$1,NA(),(EI$1+172)-4)</f>
        <v/>
      </c>
      <c r="EG176">
        <f>IF((EI$1+172)&gt;EG$1,NA(),INDEX('Data Entry'!$L$5:$L$10004,(EI$1+172)-4))</f>
        <v/>
      </c>
      <c r="EH176">
        <f>IF(ISNA(EF176),NA(),Capability!$K$9)</f>
        <v/>
      </c>
      <c r="EI176">
        <f>IF(ISNA(EF176),NA(),Capability!$J$9)</f>
        <v/>
      </c>
      <c r="EJ176">
        <f>IF(ISNA(EF176),NA(),Capability!$L$9)</f>
        <v/>
      </c>
      <c r="EK176">
        <f>IF(OR(ISNA(EG176),ISNA(EG175)),NA(),ABS(EG176-EG175))</f>
        <v/>
      </c>
      <c r="EL176">
        <f>IF(ISNA(EF176),NA(),Capability!$N$9)</f>
        <v/>
      </c>
      <c r="EM176">
        <f>IF(ISNA(EF176),NA(),IF(OR(Capability!$Q$9="",Settings!$F$7&lt;&gt;"Y"),NA(),Capability!$Q$9))</f>
        <v/>
      </c>
      <c r="EN176">
        <f>IF(ISNA(EF176),NA(),IF(OR(Capability!$P$9="",Settings!$F$7&lt;&gt;"Y"),NA(),Capability!$P$9))</f>
        <v/>
      </c>
      <c r="ET176">
        <f>IF((EW$1+172)&gt;EU$1,NA(),(EW$1+172)-4)</f>
        <v/>
      </c>
      <c r="EU176">
        <f>IF((EW$1+172)&gt;EU$1,NA(),INDEX('Data Entry'!$M$5:$M$10004,(EW$1+172)-4))</f>
        <v/>
      </c>
      <c r="EV176">
        <f>IF(ISNA(ET176),NA(),Capability!$K$10)</f>
        <v/>
      </c>
      <c r="EW176">
        <f>IF(ISNA(ET176),NA(),Capability!$J$10)</f>
        <v/>
      </c>
      <c r="EX176">
        <f>IF(ISNA(ET176),NA(),Capability!$L$10)</f>
        <v/>
      </c>
      <c r="EY176">
        <f>IF(OR(ISNA(EU176),ISNA(EU175)),NA(),ABS(EU176-EU175))</f>
        <v/>
      </c>
      <c r="EZ176">
        <f>IF(ISNA(ET176),NA(),Capability!$N$10)</f>
        <v/>
      </c>
      <c r="FA176">
        <f>IF(ISNA(ET176),NA(),IF(OR(Capability!$Q$10="",Settings!$F$7&lt;&gt;"Y"),NA(),Capability!$Q$10))</f>
        <v/>
      </c>
      <c r="FB176">
        <f>IF(ISNA(ET176),NA(),IF(OR(Capability!$P$10="",Settings!$F$7&lt;&gt;"Y"),NA(),Capability!$P$10))</f>
        <v/>
      </c>
      <c r="FH176">
        <f>IF((FK$1+172)&gt;FI$1,NA(),(FK$1+172)-4)</f>
        <v/>
      </c>
      <c r="FI176">
        <f>IF((FK$1+172)&gt;FI$1,NA(),INDEX('Data Entry'!$N$5:$N$10004,(FK$1+172)-4))</f>
        <v/>
      </c>
      <c r="FJ176">
        <f>IF(ISNA(FH176),NA(),Capability!$K$11)</f>
        <v/>
      </c>
      <c r="FK176">
        <f>IF(ISNA(FH176),NA(),Capability!$J$11)</f>
        <v/>
      </c>
      <c r="FL176">
        <f>IF(ISNA(FH176),NA(),Capability!$L$11)</f>
        <v/>
      </c>
      <c r="FM176">
        <f>IF(OR(ISNA(FI176),ISNA(FI175)),NA(),ABS(FI176-FI175))</f>
        <v/>
      </c>
      <c r="FN176">
        <f>IF(ISNA(FH176),NA(),Capability!$N$11)</f>
        <v/>
      </c>
      <c r="FO176">
        <f>IF(ISNA(FH176),NA(),IF(OR(Capability!$Q$11="",Settings!$F$7&lt;&gt;"Y"),NA(),Capability!$Q$11))</f>
        <v/>
      </c>
      <c r="FP176">
        <f>IF(ISNA(FH176),NA(),IF(OR(Capability!$P$11="",Settings!$F$7&lt;&gt;"Y"),NA(),Capability!$P$11))</f>
        <v/>
      </c>
      <c r="FV176">
        <f>IF((FY$1+172)&gt;FW$1,NA(),(FY$1+172)-4)</f>
        <v/>
      </c>
      <c r="FW176">
        <f>IF((FY$1+172)&gt;FW$1,NA(),INDEX('Data Entry'!$O$5:$O$10004,(FY$1+172)-4))</f>
        <v/>
      </c>
      <c r="FX176">
        <f>IF(ISNA(FV176),NA(),Capability!$K$12)</f>
        <v/>
      </c>
      <c r="FY176">
        <f>IF(ISNA(FV176),NA(),Capability!$J$12)</f>
        <v/>
      </c>
      <c r="FZ176">
        <f>IF(ISNA(FV176),NA(),Capability!$L$12)</f>
        <v/>
      </c>
      <c r="GA176">
        <f>IF(OR(ISNA(FW176),ISNA(FW175)),NA(),ABS(FW176-FW175))</f>
        <v/>
      </c>
      <c r="GB176">
        <f>IF(ISNA(FV176),NA(),Capability!$N$12)</f>
        <v/>
      </c>
      <c r="GC176">
        <f>IF(ISNA(FV176),NA(),IF(OR(Capability!$Q$12="",Settings!$F$7&lt;&gt;"Y"),NA(),Capability!$Q$12))</f>
        <v/>
      </c>
      <c r="GD176">
        <f>IF(ISNA(FV176),NA(),IF(OR(Capability!$P$12="",Settings!$F$7&lt;&gt;"Y"),NA(),Capability!$P$12))</f>
        <v/>
      </c>
      <c r="GJ176">
        <f>IF((GM$1+172)&gt;GK$1,NA(),(GM$1+172)-4)</f>
        <v/>
      </c>
      <c r="GK176">
        <f>IF((GM$1+172)&gt;GK$1,NA(),INDEX('Data Entry'!$P$5:$P$10004,(GM$1+172)-4))</f>
        <v/>
      </c>
      <c r="GL176">
        <f>IF(ISNA(GJ176),NA(),Capability!$K$13)</f>
        <v/>
      </c>
      <c r="GM176">
        <f>IF(ISNA(GJ176),NA(),Capability!$J$13)</f>
        <v/>
      </c>
      <c r="GN176">
        <f>IF(ISNA(GJ176),NA(),Capability!$L$13)</f>
        <v/>
      </c>
      <c r="GO176">
        <f>IF(OR(ISNA(GK176),ISNA(GK175)),NA(),ABS(GK176-GK175))</f>
        <v/>
      </c>
      <c r="GP176">
        <f>IF(ISNA(GJ176),NA(),Capability!$N$13)</f>
        <v/>
      </c>
      <c r="GQ176">
        <f>IF(ISNA(GJ176),NA(),IF(OR(Capability!$Q$13="",Settings!$F$7&lt;&gt;"Y"),NA(),Capability!$Q$13))</f>
        <v/>
      </c>
      <c r="GR176">
        <f>IF(ISNA(GJ176),NA(),IF(OR(Capability!$P$13="",Settings!$F$7&lt;&gt;"Y"),NA(),Capability!$P$13))</f>
        <v/>
      </c>
      <c r="GX176">
        <f>IF((HA$1+172)&gt;GY$1,NA(),(HA$1+172)-4)</f>
        <v/>
      </c>
      <c r="GY176">
        <f>IF((HA$1+172)&gt;GY$1,NA(),INDEX('Data Entry'!$Q$5:$Q$10004,(HA$1+172)-4))</f>
        <v/>
      </c>
      <c r="GZ176">
        <f>IF(ISNA(GX176),NA(),Capability!$K$14)</f>
        <v/>
      </c>
      <c r="HA176">
        <f>IF(ISNA(GX176),NA(),Capability!$J$14)</f>
        <v/>
      </c>
      <c r="HB176">
        <f>IF(ISNA(GX176),NA(),Capability!$L$14)</f>
        <v/>
      </c>
      <c r="HC176">
        <f>IF(OR(ISNA(GY176),ISNA(GY175)),NA(),ABS(GY176-GY175))</f>
        <v/>
      </c>
      <c r="HD176">
        <f>IF(ISNA(GX176),NA(),Capability!$N$14)</f>
        <v/>
      </c>
      <c r="HE176">
        <f>IF(ISNA(GX176),NA(),IF(OR(Capability!$Q$14="",Settings!$F$7&lt;&gt;"Y"),NA(),Capability!$Q$14))</f>
        <v/>
      </c>
      <c r="HF176">
        <f>IF(ISNA(GX176),NA(),IF(OR(Capability!$P$14="",Settings!$F$7&lt;&gt;"Y"),NA(),Capability!$P$14))</f>
        <v/>
      </c>
    </row>
    <row r="177">
      <c r="A177" s="35" t="inlineStr">
        <is>
          <t>UCL</t>
        </is>
      </c>
      <c r="B177" s="23">
        <f>Capability!J9</f>
        <v/>
      </c>
      <c r="CB177">
        <f>IF((CE$1+173)&gt;CC$1,NA(),(CE$1+173)-4)</f>
        <v/>
      </c>
      <c r="CC177">
        <f>IF((CE$1+173)&gt;CC$1,NA(),INDEX('Data Entry'!$H$5:$H$10004,(CE$1+173)-4))</f>
        <v/>
      </c>
      <c r="CD177">
        <f>IF(ISNA(CB177),NA(),Capability!$K$5)</f>
        <v/>
      </c>
      <c r="CE177">
        <f>IF(ISNA(CB177),NA(),Capability!$J$5)</f>
        <v/>
      </c>
      <c r="CF177">
        <f>IF(ISNA(CB177),NA(),Capability!$L$5)</f>
        <v/>
      </c>
      <c r="CG177">
        <f>IF(OR(ISNA(CC177),ISNA(CC176)),NA(),ABS(CC177-CC176))</f>
        <v/>
      </c>
      <c r="CH177">
        <f>IF(ISNA(CB177),NA(),Capability!$N$5)</f>
        <v/>
      </c>
      <c r="CI177">
        <f>IF(ISNA(CB177),NA(),IF(OR(Capability!$Q$5="",Settings!$F$7&lt;&gt;"Y"),NA(),Capability!$Q$5))</f>
        <v/>
      </c>
      <c r="CJ177">
        <f>IF(ISNA(CB177),NA(),IF(OR(Capability!$P$5="",Settings!$F$7&lt;&gt;"Y"),NA(),Capability!$P$5))</f>
        <v/>
      </c>
      <c r="CP177">
        <f>IF((CS$1+173)&gt;CQ$1,NA(),(CS$1+173)-4)</f>
        <v/>
      </c>
      <c r="CQ177">
        <f>IF((CS$1+173)&gt;CQ$1,NA(),INDEX('Data Entry'!$I$5:$I$10004,(CS$1+173)-4))</f>
        <v/>
      </c>
      <c r="CR177">
        <f>IF(ISNA(CP177),NA(),Capability!$K$6)</f>
        <v/>
      </c>
      <c r="CS177">
        <f>IF(ISNA(CP177),NA(),Capability!$J$6)</f>
        <v/>
      </c>
      <c r="CT177">
        <f>IF(ISNA(CP177),NA(),Capability!$L$6)</f>
        <v/>
      </c>
      <c r="CU177">
        <f>IF(OR(ISNA(CQ177),ISNA(CQ176)),NA(),ABS(CQ177-CQ176))</f>
        <v/>
      </c>
      <c r="CV177">
        <f>IF(ISNA(CP177),NA(),Capability!$N$6)</f>
        <v/>
      </c>
      <c r="CW177">
        <f>IF(ISNA(CP177),NA(),IF(OR(Capability!$Q$6="",Settings!$F$7&lt;&gt;"Y"),NA(),Capability!$Q$6))</f>
        <v/>
      </c>
      <c r="CX177">
        <f>IF(ISNA(CP177),NA(),IF(OR(Capability!$P$6="",Settings!$F$7&lt;&gt;"Y"),NA(),Capability!$P$6))</f>
        <v/>
      </c>
      <c r="DD177">
        <f>IF((DG$1+173)&gt;DE$1,NA(),(DG$1+173)-4)</f>
        <v/>
      </c>
      <c r="DE177">
        <f>IF((DG$1+173)&gt;DE$1,NA(),INDEX('Data Entry'!$J$5:$J$10004,(DG$1+173)-4))</f>
        <v/>
      </c>
      <c r="DF177">
        <f>IF(ISNA(DD177),NA(),Capability!$K$7)</f>
        <v/>
      </c>
      <c r="DG177">
        <f>IF(ISNA(DD177),NA(),Capability!$J$7)</f>
        <v/>
      </c>
      <c r="DH177">
        <f>IF(ISNA(DD177),NA(),Capability!$L$7)</f>
        <v/>
      </c>
      <c r="DI177">
        <f>IF(OR(ISNA(DE177),ISNA(DE176)),NA(),ABS(DE177-DE176))</f>
        <v/>
      </c>
      <c r="DJ177">
        <f>IF(ISNA(DD177),NA(),Capability!$N$7)</f>
        <v/>
      </c>
      <c r="DK177">
        <f>IF(ISNA(DD177),NA(),IF(OR(Capability!$Q$7="",Settings!$F$7&lt;&gt;"Y"),NA(),Capability!$Q$7))</f>
        <v/>
      </c>
      <c r="DL177">
        <f>IF(ISNA(DD177),NA(),IF(OR(Capability!$P$7="",Settings!$F$7&lt;&gt;"Y"),NA(),Capability!$P$7))</f>
        <v/>
      </c>
      <c r="DR177">
        <f>IF((DU$1+173)&gt;DS$1,NA(),(DU$1+173)-4)</f>
        <v/>
      </c>
      <c r="DS177">
        <f>IF((DU$1+173)&gt;DS$1,NA(),INDEX('Data Entry'!$K$5:$K$10004,(DU$1+173)-4))</f>
        <v/>
      </c>
      <c r="DT177">
        <f>IF(ISNA(DR177),NA(),Capability!$K$8)</f>
        <v/>
      </c>
      <c r="DU177">
        <f>IF(ISNA(DR177),NA(),Capability!$J$8)</f>
        <v/>
      </c>
      <c r="DV177">
        <f>IF(ISNA(DR177),NA(),Capability!$L$8)</f>
        <v/>
      </c>
      <c r="DW177">
        <f>IF(OR(ISNA(DS177),ISNA(DS176)),NA(),ABS(DS177-DS176))</f>
        <v/>
      </c>
      <c r="DX177">
        <f>IF(ISNA(DR177),NA(),Capability!$N$8)</f>
        <v/>
      </c>
      <c r="DY177">
        <f>IF(ISNA(DR177),NA(),IF(OR(Capability!$Q$8="",Settings!$F$7&lt;&gt;"Y"),NA(),Capability!$Q$8))</f>
        <v/>
      </c>
      <c r="DZ177">
        <f>IF(ISNA(DR177),NA(),IF(OR(Capability!$P$8="",Settings!$F$7&lt;&gt;"Y"),NA(),Capability!$P$8))</f>
        <v/>
      </c>
      <c r="EF177">
        <f>IF((EI$1+173)&gt;EG$1,NA(),(EI$1+173)-4)</f>
        <v/>
      </c>
      <c r="EG177">
        <f>IF((EI$1+173)&gt;EG$1,NA(),INDEX('Data Entry'!$L$5:$L$10004,(EI$1+173)-4))</f>
        <v/>
      </c>
      <c r="EH177">
        <f>IF(ISNA(EF177),NA(),Capability!$K$9)</f>
        <v/>
      </c>
      <c r="EI177">
        <f>IF(ISNA(EF177),NA(),Capability!$J$9)</f>
        <v/>
      </c>
      <c r="EJ177">
        <f>IF(ISNA(EF177),NA(),Capability!$L$9)</f>
        <v/>
      </c>
      <c r="EK177">
        <f>IF(OR(ISNA(EG177),ISNA(EG176)),NA(),ABS(EG177-EG176))</f>
        <v/>
      </c>
      <c r="EL177">
        <f>IF(ISNA(EF177),NA(),Capability!$N$9)</f>
        <v/>
      </c>
      <c r="EM177">
        <f>IF(ISNA(EF177),NA(),IF(OR(Capability!$Q$9="",Settings!$F$7&lt;&gt;"Y"),NA(),Capability!$Q$9))</f>
        <v/>
      </c>
      <c r="EN177">
        <f>IF(ISNA(EF177),NA(),IF(OR(Capability!$P$9="",Settings!$F$7&lt;&gt;"Y"),NA(),Capability!$P$9))</f>
        <v/>
      </c>
      <c r="ET177">
        <f>IF((EW$1+173)&gt;EU$1,NA(),(EW$1+173)-4)</f>
        <v/>
      </c>
      <c r="EU177">
        <f>IF((EW$1+173)&gt;EU$1,NA(),INDEX('Data Entry'!$M$5:$M$10004,(EW$1+173)-4))</f>
        <v/>
      </c>
      <c r="EV177">
        <f>IF(ISNA(ET177),NA(),Capability!$K$10)</f>
        <v/>
      </c>
      <c r="EW177">
        <f>IF(ISNA(ET177),NA(),Capability!$J$10)</f>
        <v/>
      </c>
      <c r="EX177">
        <f>IF(ISNA(ET177),NA(),Capability!$L$10)</f>
        <v/>
      </c>
      <c r="EY177">
        <f>IF(OR(ISNA(EU177),ISNA(EU176)),NA(),ABS(EU177-EU176))</f>
        <v/>
      </c>
      <c r="EZ177">
        <f>IF(ISNA(ET177),NA(),Capability!$N$10)</f>
        <v/>
      </c>
      <c r="FA177">
        <f>IF(ISNA(ET177),NA(),IF(OR(Capability!$Q$10="",Settings!$F$7&lt;&gt;"Y"),NA(),Capability!$Q$10))</f>
        <v/>
      </c>
      <c r="FB177">
        <f>IF(ISNA(ET177),NA(),IF(OR(Capability!$P$10="",Settings!$F$7&lt;&gt;"Y"),NA(),Capability!$P$10))</f>
        <v/>
      </c>
      <c r="FH177">
        <f>IF((FK$1+173)&gt;FI$1,NA(),(FK$1+173)-4)</f>
        <v/>
      </c>
      <c r="FI177">
        <f>IF((FK$1+173)&gt;FI$1,NA(),INDEX('Data Entry'!$N$5:$N$10004,(FK$1+173)-4))</f>
        <v/>
      </c>
      <c r="FJ177">
        <f>IF(ISNA(FH177),NA(),Capability!$K$11)</f>
        <v/>
      </c>
      <c r="FK177">
        <f>IF(ISNA(FH177),NA(),Capability!$J$11)</f>
        <v/>
      </c>
      <c r="FL177">
        <f>IF(ISNA(FH177),NA(),Capability!$L$11)</f>
        <v/>
      </c>
      <c r="FM177">
        <f>IF(OR(ISNA(FI177),ISNA(FI176)),NA(),ABS(FI177-FI176))</f>
        <v/>
      </c>
      <c r="FN177">
        <f>IF(ISNA(FH177),NA(),Capability!$N$11)</f>
        <v/>
      </c>
      <c r="FO177">
        <f>IF(ISNA(FH177),NA(),IF(OR(Capability!$Q$11="",Settings!$F$7&lt;&gt;"Y"),NA(),Capability!$Q$11))</f>
        <v/>
      </c>
      <c r="FP177">
        <f>IF(ISNA(FH177),NA(),IF(OR(Capability!$P$11="",Settings!$F$7&lt;&gt;"Y"),NA(),Capability!$P$11))</f>
        <v/>
      </c>
      <c r="FV177">
        <f>IF((FY$1+173)&gt;FW$1,NA(),(FY$1+173)-4)</f>
        <v/>
      </c>
      <c r="FW177">
        <f>IF((FY$1+173)&gt;FW$1,NA(),INDEX('Data Entry'!$O$5:$O$10004,(FY$1+173)-4))</f>
        <v/>
      </c>
      <c r="FX177">
        <f>IF(ISNA(FV177),NA(),Capability!$K$12)</f>
        <v/>
      </c>
      <c r="FY177">
        <f>IF(ISNA(FV177),NA(),Capability!$J$12)</f>
        <v/>
      </c>
      <c r="FZ177">
        <f>IF(ISNA(FV177),NA(),Capability!$L$12)</f>
        <v/>
      </c>
      <c r="GA177">
        <f>IF(OR(ISNA(FW177),ISNA(FW176)),NA(),ABS(FW177-FW176))</f>
        <v/>
      </c>
      <c r="GB177">
        <f>IF(ISNA(FV177),NA(),Capability!$N$12)</f>
        <v/>
      </c>
      <c r="GC177">
        <f>IF(ISNA(FV177),NA(),IF(OR(Capability!$Q$12="",Settings!$F$7&lt;&gt;"Y"),NA(),Capability!$Q$12))</f>
        <v/>
      </c>
      <c r="GD177">
        <f>IF(ISNA(FV177),NA(),IF(OR(Capability!$P$12="",Settings!$F$7&lt;&gt;"Y"),NA(),Capability!$P$12))</f>
        <v/>
      </c>
      <c r="GJ177">
        <f>IF((GM$1+173)&gt;GK$1,NA(),(GM$1+173)-4)</f>
        <v/>
      </c>
      <c r="GK177">
        <f>IF((GM$1+173)&gt;GK$1,NA(),INDEX('Data Entry'!$P$5:$P$10004,(GM$1+173)-4))</f>
        <v/>
      </c>
      <c r="GL177">
        <f>IF(ISNA(GJ177),NA(),Capability!$K$13)</f>
        <v/>
      </c>
      <c r="GM177">
        <f>IF(ISNA(GJ177),NA(),Capability!$J$13)</f>
        <v/>
      </c>
      <c r="GN177">
        <f>IF(ISNA(GJ177),NA(),Capability!$L$13)</f>
        <v/>
      </c>
      <c r="GO177">
        <f>IF(OR(ISNA(GK177),ISNA(GK176)),NA(),ABS(GK177-GK176))</f>
        <v/>
      </c>
      <c r="GP177">
        <f>IF(ISNA(GJ177),NA(),Capability!$N$13)</f>
        <v/>
      </c>
      <c r="GQ177">
        <f>IF(ISNA(GJ177),NA(),IF(OR(Capability!$Q$13="",Settings!$F$7&lt;&gt;"Y"),NA(),Capability!$Q$13))</f>
        <v/>
      </c>
      <c r="GR177">
        <f>IF(ISNA(GJ177),NA(),IF(OR(Capability!$P$13="",Settings!$F$7&lt;&gt;"Y"),NA(),Capability!$P$13))</f>
        <v/>
      </c>
      <c r="GX177">
        <f>IF((HA$1+173)&gt;GY$1,NA(),(HA$1+173)-4)</f>
        <v/>
      </c>
      <c r="GY177">
        <f>IF((HA$1+173)&gt;GY$1,NA(),INDEX('Data Entry'!$Q$5:$Q$10004,(HA$1+173)-4))</f>
        <v/>
      </c>
      <c r="GZ177">
        <f>IF(ISNA(GX177),NA(),Capability!$K$14)</f>
        <v/>
      </c>
      <c r="HA177">
        <f>IF(ISNA(GX177),NA(),Capability!$J$14)</f>
        <v/>
      </c>
      <c r="HB177">
        <f>IF(ISNA(GX177),NA(),Capability!$L$14)</f>
        <v/>
      </c>
      <c r="HC177">
        <f>IF(OR(ISNA(GY177),ISNA(GY176)),NA(),ABS(GY177-GY176))</f>
        <v/>
      </c>
      <c r="HD177">
        <f>IF(ISNA(GX177),NA(),Capability!$N$14)</f>
        <v/>
      </c>
      <c r="HE177">
        <f>IF(ISNA(GX177),NA(),IF(OR(Capability!$Q$14="",Settings!$F$7&lt;&gt;"Y"),NA(),Capability!$Q$14))</f>
        <v/>
      </c>
      <c r="HF177">
        <f>IF(ISNA(GX177),NA(),IF(OR(Capability!$P$14="",Settings!$F$7&lt;&gt;"Y"),NA(),Capability!$P$14))</f>
        <v/>
      </c>
    </row>
    <row r="178">
      <c r="A178" s="35" t="inlineStr">
        <is>
          <t>CL</t>
        </is>
      </c>
      <c r="B178" s="23">
        <f>Capability!K9</f>
        <v/>
      </c>
      <c r="CB178">
        <f>IF((CE$1+174)&gt;CC$1,NA(),(CE$1+174)-4)</f>
        <v/>
      </c>
      <c r="CC178">
        <f>IF((CE$1+174)&gt;CC$1,NA(),INDEX('Data Entry'!$H$5:$H$10004,(CE$1+174)-4))</f>
        <v/>
      </c>
      <c r="CD178">
        <f>IF(ISNA(CB178),NA(),Capability!$K$5)</f>
        <v/>
      </c>
      <c r="CE178">
        <f>IF(ISNA(CB178),NA(),Capability!$J$5)</f>
        <v/>
      </c>
      <c r="CF178">
        <f>IF(ISNA(CB178),NA(),Capability!$L$5)</f>
        <v/>
      </c>
      <c r="CG178">
        <f>IF(OR(ISNA(CC178),ISNA(CC177)),NA(),ABS(CC178-CC177))</f>
        <v/>
      </c>
      <c r="CH178">
        <f>IF(ISNA(CB178),NA(),Capability!$N$5)</f>
        <v/>
      </c>
      <c r="CI178">
        <f>IF(ISNA(CB178),NA(),IF(OR(Capability!$Q$5="",Settings!$F$7&lt;&gt;"Y"),NA(),Capability!$Q$5))</f>
        <v/>
      </c>
      <c r="CJ178">
        <f>IF(ISNA(CB178),NA(),IF(OR(Capability!$P$5="",Settings!$F$7&lt;&gt;"Y"),NA(),Capability!$P$5))</f>
        <v/>
      </c>
      <c r="CP178">
        <f>IF((CS$1+174)&gt;CQ$1,NA(),(CS$1+174)-4)</f>
        <v/>
      </c>
      <c r="CQ178">
        <f>IF((CS$1+174)&gt;CQ$1,NA(),INDEX('Data Entry'!$I$5:$I$10004,(CS$1+174)-4))</f>
        <v/>
      </c>
      <c r="CR178">
        <f>IF(ISNA(CP178),NA(),Capability!$K$6)</f>
        <v/>
      </c>
      <c r="CS178">
        <f>IF(ISNA(CP178),NA(),Capability!$J$6)</f>
        <v/>
      </c>
      <c r="CT178">
        <f>IF(ISNA(CP178),NA(),Capability!$L$6)</f>
        <v/>
      </c>
      <c r="CU178">
        <f>IF(OR(ISNA(CQ178),ISNA(CQ177)),NA(),ABS(CQ178-CQ177))</f>
        <v/>
      </c>
      <c r="CV178">
        <f>IF(ISNA(CP178),NA(),Capability!$N$6)</f>
        <v/>
      </c>
      <c r="CW178">
        <f>IF(ISNA(CP178),NA(),IF(OR(Capability!$Q$6="",Settings!$F$7&lt;&gt;"Y"),NA(),Capability!$Q$6))</f>
        <v/>
      </c>
      <c r="CX178">
        <f>IF(ISNA(CP178),NA(),IF(OR(Capability!$P$6="",Settings!$F$7&lt;&gt;"Y"),NA(),Capability!$P$6))</f>
        <v/>
      </c>
      <c r="DD178">
        <f>IF((DG$1+174)&gt;DE$1,NA(),(DG$1+174)-4)</f>
        <v/>
      </c>
      <c r="DE178">
        <f>IF((DG$1+174)&gt;DE$1,NA(),INDEX('Data Entry'!$J$5:$J$10004,(DG$1+174)-4))</f>
        <v/>
      </c>
      <c r="DF178">
        <f>IF(ISNA(DD178),NA(),Capability!$K$7)</f>
        <v/>
      </c>
      <c r="DG178">
        <f>IF(ISNA(DD178),NA(),Capability!$J$7)</f>
        <v/>
      </c>
      <c r="DH178">
        <f>IF(ISNA(DD178),NA(),Capability!$L$7)</f>
        <v/>
      </c>
      <c r="DI178">
        <f>IF(OR(ISNA(DE178),ISNA(DE177)),NA(),ABS(DE178-DE177))</f>
        <v/>
      </c>
      <c r="DJ178">
        <f>IF(ISNA(DD178),NA(),Capability!$N$7)</f>
        <v/>
      </c>
      <c r="DK178">
        <f>IF(ISNA(DD178),NA(),IF(OR(Capability!$Q$7="",Settings!$F$7&lt;&gt;"Y"),NA(),Capability!$Q$7))</f>
        <v/>
      </c>
      <c r="DL178">
        <f>IF(ISNA(DD178),NA(),IF(OR(Capability!$P$7="",Settings!$F$7&lt;&gt;"Y"),NA(),Capability!$P$7))</f>
        <v/>
      </c>
      <c r="DR178">
        <f>IF((DU$1+174)&gt;DS$1,NA(),(DU$1+174)-4)</f>
        <v/>
      </c>
      <c r="DS178">
        <f>IF((DU$1+174)&gt;DS$1,NA(),INDEX('Data Entry'!$K$5:$K$10004,(DU$1+174)-4))</f>
        <v/>
      </c>
      <c r="DT178">
        <f>IF(ISNA(DR178),NA(),Capability!$K$8)</f>
        <v/>
      </c>
      <c r="DU178">
        <f>IF(ISNA(DR178),NA(),Capability!$J$8)</f>
        <v/>
      </c>
      <c r="DV178">
        <f>IF(ISNA(DR178),NA(),Capability!$L$8)</f>
        <v/>
      </c>
      <c r="DW178">
        <f>IF(OR(ISNA(DS178),ISNA(DS177)),NA(),ABS(DS178-DS177))</f>
        <v/>
      </c>
      <c r="DX178">
        <f>IF(ISNA(DR178),NA(),Capability!$N$8)</f>
        <v/>
      </c>
      <c r="DY178">
        <f>IF(ISNA(DR178),NA(),IF(OR(Capability!$Q$8="",Settings!$F$7&lt;&gt;"Y"),NA(),Capability!$Q$8))</f>
        <v/>
      </c>
      <c r="DZ178">
        <f>IF(ISNA(DR178),NA(),IF(OR(Capability!$P$8="",Settings!$F$7&lt;&gt;"Y"),NA(),Capability!$P$8))</f>
        <v/>
      </c>
      <c r="EF178">
        <f>IF((EI$1+174)&gt;EG$1,NA(),(EI$1+174)-4)</f>
        <v/>
      </c>
      <c r="EG178">
        <f>IF((EI$1+174)&gt;EG$1,NA(),INDEX('Data Entry'!$L$5:$L$10004,(EI$1+174)-4))</f>
        <v/>
      </c>
      <c r="EH178">
        <f>IF(ISNA(EF178),NA(),Capability!$K$9)</f>
        <v/>
      </c>
      <c r="EI178">
        <f>IF(ISNA(EF178),NA(),Capability!$J$9)</f>
        <v/>
      </c>
      <c r="EJ178">
        <f>IF(ISNA(EF178),NA(),Capability!$L$9)</f>
        <v/>
      </c>
      <c r="EK178">
        <f>IF(OR(ISNA(EG178),ISNA(EG177)),NA(),ABS(EG178-EG177))</f>
        <v/>
      </c>
      <c r="EL178">
        <f>IF(ISNA(EF178),NA(),Capability!$N$9)</f>
        <v/>
      </c>
      <c r="EM178">
        <f>IF(ISNA(EF178),NA(),IF(OR(Capability!$Q$9="",Settings!$F$7&lt;&gt;"Y"),NA(),Capability!$Q$9))</f>
        <v/>
      </c>
      <c r="EN178">
        <f>IF(ISNA(EF178),NA(),IF(OR(Capability!$P$9="",Settings!$F$7&lt;&gt;"Y"),NA(),Capability!$P$9))</f>
        <v/>
      </c>
      <c r="ET178">
        <f>IF((EW$1+174)&gt;EU$1,NA(),(EW$1+174)-4)</f>
        <v/>
      </c>
      <c r="EU178">
        <f>IF((EW$1+174)&gt;EU$1,NA(),INDEX('Data Entry'!$M$5:$M$10004,(EW$1+174)-4))</f>
        <v/>
      </c>
      <c r="EV178">
        <f>IF(ISNA(ET178),NA(),Capability!$K$10)</f>
        <v/>
      </c>
      <c r="EW178">
        <f>IF(ISNA(ET178),NA(),Capability!$J$10)</f>
        <v/>
      </c>
      <c r="EX178">
        <f>IF(ISNA(ET178),NA(),Capability!$L$10)</f>
        <v/>
      </c>
      <c r="EY178">
        <f>IF(OR(ISNA(EU178),ISNA(EU177)),NA(),ABS(EU178-EU177))</f>
        <v/>
      </c>
      <c r="EZ178">
        <f>IF(ISNA(ET178),NA(),Capability!$N$10)</f>
        <v/>
      </c>
      <c r="FA178">
        <f>IF(ISNA(ET178),NA(),IF(OR(Capability!$Q$10="",Settings!$F$7&lt;&gt;"Y"),NA(),Capability!$Q$10))</f>
        <v/>
      </c>
      <c r="FB178">
        <f>IF(ISNA(ET178),NA(),IF(OR(Capability!$P$10="",Settings!$F$7&lt;&gt;"Y"),NA(),Capability!$P$10))</f>
        <v/>
      </c>
      <c r="FH178">
        <f>IF((FK$1+174)&gt;FI$1,NA(),(FK$1+174)-4)</f>
        <v/>
      </c>
      <c r="FI178">
        <f>IF((FK$1+174)&gt;FI$1,NA(),INDEX('Data Entry'!$N$5:$N$10004,(FK$1+174)-4))</f>
        <v/>
      </c>
      <c r="FJ178">
        <f>IF(ISNA(FH178),NA(),Capability!$K$11)</f>
        <v/>
      </c>
      <c r="FK178">
        <f>IF(ISNA(FH178),NA(),Capability!$J$11)</f>
        <v/>
      </c>
      <c r="FL178">
        <f>IF(ISNA(FH178),NA(),Capability!$L$11)</f>
        <v/>
      </c>
      <c r="FM178">
        <f>IF(OR(ISNA(FI178),ISNA(FI177)),NA(),ABS(FI178-FI177))</f>
        <v/>
      </c>
      <c r="FN178">
        <f>IF(ISNA(FH178),NA(),Capability!$N$11)</f>
        <v/>
      </c>
      <c r="FO178">
        <f>IF(ISNA(FH178),NA(),IF(OR(Capability!$Q$11="",Settings!$F$7&lt;&gt;"Y"),NA(),Capability!$Q$11))</f>
        <v/>
      </c>
      <c r="FP178">
        <f>IF(ISNA(FH178),NA(),IF(OR(Capability!$P$11="",Settings!$F$7&lt;&gt;"Y"),NA(),Capability!$P$11))</f>
        <v/>
      </c>
      <c r="FV178">
        <f>IF((FY$1+174)&gt;FW$1,NA(),(FY$1+174)-4)</f>
        <v/>
      </c>
      <c r="FW178">
        <f>IF((FY$1+174)&gt;FW$1,NA(),INDEX('Data Entry'!$O$5:$O$10004,(FY$1+174)-4))</f>
        <v/>
      </c>
      <c r="FX178">
        <f>IF(ISNA(FV178),NA(),Capability!$K$12)</f>
        <v/>
      </c>
      <c r="FY178">
        <f>IF(ISNA(FV178),NA(),Capability!$J$12)</f>
        <v/>
      </c>
      <c r="FZ178">
        <f>IF(ISNA(FV178),NA(),Capability!$L$12)</f>
        <v/>
      </c>
      <c r="GA178">
        <f>IF(OR(ISNA(FW178),ISNA(FW177)),NA(),ABS(FW178-FW177))</f>
        <v/>
      </c>
      <c r="GB178">
        <f>IF(ISNA(FV178),NA(),Capability!$N$12)</f>
        <v/>
      </c>
      <c r="GC178">
        <f>IF(ISNA(FV178),NA(),IF(OR(Capability!$Q$12="",Settings!$F$7&lt;&gt;"Y"),NA(),Capability!$Q$12))</f>
        <v/>
      </c>
      <c r="GD178">
        <f>IF(ISNA(FV178),NA(),IF(OR(Capability!$P$12="",Settings!$F$7&lt;&gt;"Y"),NA(),Capability!$P$12))</f>
        <v/>
      </c>
      <c r="GJ178">
        <f>IF((GM$1+174)&gt;GK$1,NA(),(GM$1+174)-4)</f>
        <v/>
      </c>
      <c r="GK178">
        <f>IF((GM$1+174)&gt;GK$1,NA(),INDEX('Data Entry'!$P$5:$P$10004,(GM$1+174)-4))</f>
        <v/>
      </c>
      <c r="GL178">
        <f>IF(ISNA(GJ178),NA(),Capability!$K$13)</f>
        <v/>
      </c>
      <c r="GM178">
        <f>IF(ISNA(GJ178),NA(),Capability!$J$13)</f>
        <v/>
      </c>
      <c r="GN178">
        <f>IF(ISNA(GJ178),NA(),Capability!$L$13)</f>
        <v/>
      </c>
      <c r="GO178">
        <f>IF(OR(ISNA(GK178),ISNA(GK177)),NA(),ABS(GK178-GK177))</f>
        <v/>
      </c>
      <c r="GP178">
        <f>IF(ISNA(GJ178),NA(),Capability!$N$13)</f>
        <v/>
      </c>
      <c r="GQ178">
        <f>IF(ISNA(GJ178),NA(),IF(OR(Capability!$Q$13="",Settings!$F$7&lt;&gt;"Y"),NA(),Capability!$Q$13))</f>
        <v/>
      </c>
      <c r="GR178">
        <f>IF(ISNA(GJ178),NA(),IF(OR(Capability!$P$13="",Settings!$F$7&lt;&gt;"Y"),NA(),Capability!$P$13))</f>
        <v/>
      </c>
      <c r="GX178">
        <f>IF((HA$1+174)&gt;GY$1,NA(),(HA$1+174)-4)</f>
        <v/>
      </c>
      <c r="GY178">
        <f>IF((HA$1+174)&gt;GY$1,NA(),INDEX('Data Entry'!$Q$5:$Q$10004,(HA$1+174)-4))</f>
        <v/>
      </c>
      <c r="GZ178">
        <f>IF(ISNA(GX178),NA(),Capability!$K$14)</f>
        <v/>
      </c>
      <c r="HA178">
        <f>IF(ISNA(GX178),NA(),Capability!$J$14)</f>
        <v/>
      </c>
      <c r="HB178">
        <f>IF(ISNA(GX178),NA(),Capability!$L$14)</f>
        <v/>
      </c>
      <c r="HC178">
        <f>IF(OR(ISNA(GY178),ISNA(GY177)),NA(),ABS(GY178-GY177))</f>
        <v/>
      </c>
      <c r="HD178">
        <f>IF(ISNA(GX178),NA(),Capability!$N$14)</f>
        <v/>
      </c>
      <c r="HE178">
        <f>IF(ISNA(GX178),NA(),IF(OR(Capability!$Q$14="",Settings!$F$7&lt;&gt;"Y"),NA(),Capability!$Q$14))</f>
        <v/>
      </c>
      <c r="HF178">
        <f>IF(ISNA(GX178),NA(),IF(OR(Capability!$P$14="",Settings!$F$7&lt;&gt;"Y"),NA(),Capability!$P$14))</f>
        <v/>
      </c>
    </row>
    <row r="179">
      <c r="A179" s="35" t="inlineStr">
        <is>
          <t>LCL</t>
        </is>
      </c>
      <c r="B179" s="23">
        <f>Capability!L9</f>
        <v/>
      </c>
      <c r="CB179">
        <f>IF((CE$1+175)&gt;CC$1,NA(),(CE$1+175)-4)</f>
        <v/>
      </c>
      <c r="CC179">
        <f>IF((CE$1+175)&gt;CC$1,NA(),INDEX('Data Entry'!$H$5:$H$10004,(CE$1+175)-4))</f>
        <v/>
      </c>
      <c r="CD179">
        <f>IF(ISNA(CB179),NA(),Capability!$K$5)</f>
        <v/>
      </c>
      <c r="CE179">
        <f>IF(ISNA(CB179),NA(),Capability!$J$5)</f>
        <v/>
      </c>
      <c r="CF179">
        <f>IF(ISNA(CB179),NA(),Capability!$L$5)</f>
        <v/>
      </c>
      <c r="CG179">
        <f>IF(OR(ISNA(CC179),ISNA(CC178)),NA(),ABS(CC179-CC178))</f>
        <v/>
      </c>
      <c r="CH179">
        <f>IF(ISNA(CB179),NA(),Capability!$N$5)</f>
        <v/>
      </c>
      <c r="CI179">
        <f>IF(ISNA(CB179),NA(),IF(OR(Capability!$Q$5="",Settings!$F$7&lt;&gt;"Y"),NA(),Capability!$Q$5))</f>
        <v/>
      </c>
      <c r="CJ179">
        <f>IF(ISNA(CB179),NA(),IF(OR(Capability!$P$5="",Settings!$F$7&lt;&gt;"Y"),NA(),Capability!$P$5))</f>
        <v/>
      </c>
      <c r="CP179">
        <f>IF((CS$1+175)&gt;CQ$1,NA(),(CS$1+175)-4)</f>
        <v/>
      </c>
      <c r="CQ179">
        <f>IF((CS$1+175)&gt;CQ$1,NA(),INDEX('Data Entry'!$I$5:$I$10004,(CS$1+175)-4))</f>
        <v/>
      </c>
      <c r="CR179">
        <f>IF(ISNA(CP179),NA(),Capability!$K$6)</f>
        <v/>
      </c>
      <c r="CS179">
        <f>IF(ISNA(CP179),NA(),Capability!$J$6)</f>
        <v/>
      </c>
      <c r="CT179">
        <f>IF(ISNA(CP179),NA(),Capability!$L$6)</f>
        <v/>
      </c>
      <c r="CU179">
        <f>IF(OR(ISNA(CQ179),ISNA(CQ178)),NA(),ABS(CQ179-CQ178))</f>
        <v/>
      </c>
      <c r="CV179">
        <f>IF(ISNA(CP179),NA(),Capability!$N$6)</f>
        <v/>
      </c>
      <c r="CW179">
        <f>IF(ISNA(CP179),NA(),IF(OR(Capability!$Q$6="",Settings!$F$7&lt;&gt;"Y"),NA(),Capability!$Q$6))</f>
        <v/>
      </c>
      <c r="CX179">
        <f>IF(ISNA(CP179),NA(),IF(OR(Capability!$P$6="",Settings!$F$7&lt;&gt;"Y"),NA(),Capability!$P$6))</f>
        <v/>
      </c>
      <c r="DD179">
        <f>IF((DG$1+175)&gt;DE$1,NA(),(DG$1+175)-4)</f>
        <v/>
      </c>
      <c r="DE179">
        <f>IF((DG$1+175)&gt;DE$1,NA(),INDEX('Data Entry'!$J$5:$J$10004,(DG$1+175)-4))</f>
        <v/>
      </c>
      <c r="DF179">
        <f>IF(ISNA(DD179),NA(),Capability!$K$7)</f>
        <v/>
      </c>
      <c r="DG179">
        <f>IF(ISNA(DD179),NA(),Capability!$J$7)</f>
        <v/>
      </c>
      <c r="DH179">
        <f>IF(ISNA(DD179),NA(),Capability!$L$7)</f>
        <v/>
      </c>
      <c r="DI179">
        <f>IF(OR(ISNA(DE179),ISNA(DE178)),NA(),ABS(DE179-DE178))</f>
        <v/>
      </c>
      <c r="DJ179">
        <f>IF(ISNA(DD179),NA(),Capability!$N$7)</f>
        <v/>
      </c>
      <c r="DK179">
        <f>IF(ISNA(DD179),NA(),IF(OR(Capability!$Q$7="",Settings!$F$7&lt;&gt;"Y"),NA(),Capability!$Q$7))</f>
        <v/>
      </c>
      <c r="DL179">
        <f>IF(ISNA(DD179),NA(),IF(OR(Capability!$P$7="",Settings!$F$7&lt;&gt;"Y"),NA(),Capability!$P$7))</f>
        <v/>
      </c>
      <c r="DR179">
        <f>IF((DU$1+175)&gt;DS$1,NA(),(DU$1+175)-4)</f>
        <v/>
      </c>
      <c r="DS179">
        <f>IF((DU$1+175)&gt;DS$1,NA(),INDEX('Data Entry'!$K$5:$K$10004,(DU$1+175)-4))</f>
        <v/>
      </c>
      <c r="DT179">
        <f>IF(ISNA(DR179),NA(),Capability!$K$8)</f>
        <v/>
      </c>
      <c r="DU179">
        <f>IF(ISNA(DR179),NA(),Capability!$J$8)</f>
        <v/>
      </c>
      <c r="DV179">
        <f>IF(ISNA(DR179),NA(),Capability!$L$8)</f>
        <v/>
      </c>
      <c r="DW179">
        <f>IF(OR(ISNA(DS179),ISNA(DS178)),NA(),ABS(DS179-DS178))</f>
        <v/>
      </c>
      <c r="DX179">
        <f>IF(ISNA(DR179),NA(),Capability!$N$8)</f>
        <v/>
      </c>
      <c r="DY179">
        <f>IF(ISNA(DR179),NA(),IF(OR(Capability!$Q$8="",Settings!$F$7&lt;&gt;"Y"),NA(),Capability!$Q$8))</f>
        <v/>
      </c>
      <c r="DZ179">
        <f>IF(ISNA(DR179),NA(),IF(OR(Capability!$P$8="",Settings!$F$7&lt;&gt;"Y"),NA(),Capability!$P$8))</f>
        <v/>
      </c>
      <c r="EF179">
        <f>IF((EI$1+175)&gt;EG$1,NA(),(EI$1+175)-4)</f>
        <v/>
      </c>
      <c r="EG179">
        <f>IF((EI$1+175)&gt;EG$1,NA(),INDEX('Data Entry'!$L$5:$L$10004,(EI$1+175)-4))</f>
        <v/>
      </c>
      <c r="EH179">
        <f>IF(ISNA(EF179),NA(),Capability!$K$9)</f>
        <v/>
      </c>
      <c r="EI179">
        <f>IF(ISNA(EF179),NA(),Capability!$J$9)</f>
        <v/>
      </c>
      <c r="EJ179">
        <f>IF(ISNA(EF179),NA(),Capability!$L$9)</f>
        <v/>
      </c>
      <c r="EK179">
        <f>IF(OR(ISNA(EG179),ISNA(EG178)),NA(),ABS(EG179-EG178))</f>
        <v/>
      </c>
      <c r="EL179">
        <f>IF(ISNA(EF179),NA(),Capability!$N$9)</f>
        <v/>
      </c>
      <c r="EM179">
        <f>IF(ISNA(EF179),NA(),IF(OR(Capability!$Q$9="",Settings!$F$7&lt;&gt;"Y"),NA(),Capability!$Q$9))</f>
        <v/>
      </c>
      <c r="EN179">
        <f>IF(ISNA(EF179),NA(),IF(OR(Capability!$P$9="",Settings!$F$7&lt;&gt;"Y"),NA(),Capability!$P$9))</f>
        <v/>
      </c>
      <c r="ET179">
        <f>IF((EW$1+175)&gt;EU$1,NA(),(EW$1+175)-4)</f>
        <v/>
      </c>
      <c r="EU179">
        <f>IF((EW$1+175)&gt;EU$1,NA(),INDEX('Data Entry'!$M$5:$M$10004,(EW$1+175)-4))</f>
        <v/>
      </c>
      <c r="EV179">
        <f>IF(ISNA(ET179),NA(),Capability!$K$10)</f>
        <v/>
      </c>
      <c r="EW179">
        <f>IF(ISNA(ET179),NA(),Capability!$J$10)</f>
        <v/>
      </c>
      <c r="EX179">
        <f>IF(ISNA(ET179),NA(),Capability!$L$10)</f>
        <v/>
      </c>
      <c r="EY179">
        <f>IF(OR(ISNA(EU179),ISNA(EU178)),NA(),ABS(EU179-EU178))</f>
        <v/>
      </c>
      <c r="EZ179">
        <f>IF(ISNA(ET179),NA(),Capability!$N$10)</f>
        <v/>
      </c>
      <c r="FA179">
        <f>IF(ISNA(ET179),NA(),IF(OR(Capability!$Q$10="",Settings!$F$7&lt;&gt;"Y"),NA(),Capability!$Q$10))</f>
        <v/>
      </c>
      <c r="FB179">
        <f>IF(ISNA(ET179),NA(),IF(OR(Capability!$P$10="",Settings!$F$7&lt;&gt;"Y"),NA(),Capability!$P$10))</f>
        <v/>
      </c>
      <c r="FH179">
        <f>IF((FK$1+175)&gt;FI$1,NA(),(FK$1+175)-4)</f>
        <v/>
      </c>
      <c r="FI179">
        <f>IF((FK$1+175)&gt;FI$1,NA(),INDEX('Data Entry'!$N$5:$N$10004,(FK$1+175)-4))</f>
        <v/>
      </c>
      <c r="FJ179">
        <f>IF(ISNA(FH179),NA(),Capability!$K$11)</f>
        <v/>
      </c>
      <c r="FK179">
        <f>IF(ISNA(FH179),NA(),Capability!$J$11)</f>
        <v/>
      </c>
      <c r="FL179">
        <f>IF(ISNA(FH179),NA(),Capability!$L$11)</f>
        <v/>
      </c>
      <c r="FM179">
        <f>IF(OR(ISNA(FI179),ISNA(FI178)),NA(),ABS(FI179-FI178))</f>
        <v/>
      </c>
      <c r="FN179">
        <f>IF(ISNA(FH179),NA(),Capability!$N$11)</f>
        <v/>
      </c>
      <c r="FO179">
        <f>IF(ISNA(FH179),NA(),IF(OR(Capability!$Q$11="",Settings!$F$7&lt;&gt;"Y"),NA(),Capability!$Q$11))</f>
        <v/>
      </c>
      <c r="FP179">
        <f>IF(ISNA(FH179),NA(),IF(OR(Capability!$P$11="",Settings!$F$7&lt;&gt;"Y"),NA(),Capability!$P$11))</f>
        <v/>
      </c>
      <c r="FV179">
        <f>IF((FY$1+175)&gt;FW$1,NA(),(FY$1+175)-4)</f>
        <v/>
      </c>
      <c r="FW179">
        <f>IF((FY$1+175)&gt;FW$1,NA(),INDEX('Data Entry'!$O$5:$O$10004,(FY$1+175)-4))</f>
        <v/>
      </c>
      <c r="FX179">
        <f>IF(ISNA(FV179),NA(),Capability!$K$12)</f>
        <v/>
      </c>
      <c r="FY179">
        <f>IF(ISNA(FV179),NA(),Capability!$J$12)</f>
        <v/>
      </c>
      <c r="FZ179">
        <f>IF(ISNA(FV179),NA(),Capability!$L$12)</f>
        <v/>
      </c>
      <c r="GA179">
        <f>IF(OR(ISNA(FW179),ISNA(FW178)),NA(),ABS(FW179-FW178))</f>
        <v/>
      </c>
      <c r="GB179">
        <f>IF(ISNA(FV179),NA(),Capability!$N$12)</f>
        <v/>
      </c>
      <c r="GC179">
        <f>IF(ISNA(FV179),NA(),IF(OR(Capability!$Q$12="",Settings!$F$7&lt;&gt;"Y"),NA(),Capability!$Q$12))</f>
        <v/>
      </c>
      <c r="GD179">
        <f>IF(ISNA(FV179),NA(),IF(OR(Capability!$P$12="",Settings!$F$7&lt;&gt;"Y"),NA(),Capability!$P$12))</f>
        <v/>
      </c>
      <c r="GJ179">
        <f>IF((GM$1+175)&gt;GK$1,NA(),(GM$1+175)-4)</f>
        <v/>
      </c>
      <c r="GK179">
        <f>IF((GM$1+175)&gt;GK$1,NA(),INDEX('Data Entry'!$P$5:$P$10004,(GM$1+175)-4))</f>
        <v/>
      </c>
      <c r="GL179">
        <f>IF(ISNA(GJ179),NA(),Capability!$K$13)</f>
        <v/>
      </c>
      <c r="GM179">
        <f>IF(ISNA(GJ179),NA(),Capability!$J$13)</f>
        <v/>
      </c>
      <c r="GN179">
        <f>IF(ISNA(GJ179),NA(),Capability!$L$13)</f>
        <v/>
      </c>
      <c r="GO179">
        <f>IF(OR(ISNA(GK179),ISNA(GK178)),NA(),ABS(GK179-GK178))</f>
        <v/>
      </c>
      <c r="GP179">
        <f>IF(ISNA(GJ179),NA(),Capability!$N$13)</f>
        <v/>
      </c>
      <c r="GQ179">
        <f>IF(ISNA(GJ179),NA(),IF(OR(Capability!$Q$13="",Settings!$F$7&lt;&gt;"Y"),NA(),Capability!$Q$13))</f>
        <v/>
      </c>
      <c r="GR179">
        <f>IF(ISNA(GJ179),NA(),IF(OR(Capability!$P$13="",Settings!$F$7&lt;&gt;"Y"),NA(),Capability!$P$13))</f>
        <v/>
      </c>
      <c r="GX179">
        <f>IF((HA$1+175)&gt;GY$1,NA(),(HA$1+175)-4)</f>
        <v/>
      </c>
      <c r="GY179">
        <f>IF((HA$1+175)&gt;GY$1,NA(),INDEX('Data Entry'!$Q$5:$Q$10004,(HA$1+175)-4))</f>
        <v/>
      </c>
      <c r="GZ179">
        <f>IF(ISNA(GX179),NA(),Capability!$K$14)</f>
        <v/>
      </c>
      <c r="HA179">
        <f>IF(ISNA(GX179),NA(),Capability!$J$14)</f>
        <v/>
      </c>
      <c r="HB179">
        <f>IF(ISNA(GX179),NA(),Capability!$L$14)</f>
        <v/>
      </c>
      <c r="HC179">
        <f>IF(OR(ISNA(GY179),ISNA(GY178)),NA(),ABS(GY179-GY178))</f>
        <v/>
      </c>
      <c r="HD179">
        <f>IF(ISNA(GX179),NA(),Capability!$N$14)</f>
        <v/>
      </c>
      <c r="HE179">
        <f>IF(ISNA(GX179),NA(),IF(OR(Capability!$Q$14="",Settings!$F$7&lt;&gt;"Y"),NA(),Capability!$Q$14))</f>
        <v/>
      </c>
      <c r="HF179">
        <f>IF(ISNA(GX179),NA(),IF(OR(Capability!$P$14="",Settings!$F$7&lt;&gt;"Y"),NA(),Capability!$P$14))</f>
        <v/>
      </c>
    </row>
    <row r="180">
      <c r="A180" s="35" t="inlineStr">
        <is>
          <t>mR-bar</t>
        </is>
      </c>
      <c r="B180" s="23">
        <f>Capability!M9</f>
        <v/>
      </c>
      <c r="CB180">
        <f>IF((CE$1+176)&gt;CC$1,NA(),(CE$1+176)-4)</f>
        <v/>
      </c>
      <c r="CC180">
        <f>IF((CE$1+176)&gt;CC$1,NA(),INDEX('Data Entry'!$H$5:$H$10004,(CE$1+176)-4))</f>
        <v/>
      </c>
      <c r="CD180">
        <f>IF(ISNA(CB180),NA(),Capability!$K$5)</f>
        <v/>
      </c>
      <c r="CE180">
        <f>IF(ISNA(CB180),NA(),Capability!$J$5)</f>
        <v/>
      </c>
      <c r="CF180">
        <f>IF(ISNA(CB180),NA(),Capability!$L$5)</f>
        <v/>
      </c>
      <c r="CG180">
        <f>IF(OR(ISNA(CC180),ISNA(CC179)),NA(),ABS(CC180-CC179))</f>
        <v/>
      </c>
      <c r="CH180">
        <f>IF(ISNA(CB180),NA(),Capability!$N$5)</f>
        <v/>
      </c>
      <c r="CI180">
        <f>IF(ISNA(CB180),NA(),IF(OR(Capability!$Q$5="",Settings!$F$7&lt;&gt;"Y"),NA(),Capability!$Q$5))</f>
        <v/>
      </c>
      <c r="CJ180">
        <f>IF(ISNA(CB180),NA(),IF(OR(Capability!$P$5="",Settings!$F$7&lt;&gt;"Y"),NA(),Capability!$P$5))</f>
        <v/>
      </c>
      <c r="CP180">
        <f>IF((CS$1+176)&gt;CQ$1,NA(),(CS$1+176)-4)</f>
        <v/>
      </c>
      <c r="CQ180">
        <f>IF((CS$1+176)&gt;CQ$1,NA(),INDEX('Data Entry'!$I$5:$I$10004,(CS$1+176)-4))</f>
        <v/>
      </c>
      <c r="CR180">
        <f>IF(ISNA(CP180),NA(),Capability!$K$6)</f>
        <v/>
      </c>
      <c r="CS180">
        <f>IF(ISNA(CP180),NA(),Capability!$J$6)</f>
        <v/>
      </c>
      <c r="CT180">
        <f>IF(ISNA(CP180),NA(),Capability!$L$6)</f>
        <v/>
      </c>
      <c r="CU180">
        <f>IF(OR(ISNA(CQ180),ISNA(CQ179)),NA(),ABS(CQ180-CQ179))</f>
        <v/>
      </c>
      <c r="CV180">
        <f>IF(ISNA(CP180),NA(),Capability!$N$6)</f>
        <v/>
      </c>
      <c r="CW180">
        <f>IF(ISNA(CP180),NA(),IF(OR(Capability!$Q$6="",Settings!$F$7&lt;&gt;"Y"),NA(),Capability!$Q$6))</f>
        <v/>
      </c>
      <c r="CX180">
        <f>IF(ISNA(CP180),NA(),IF(OR(Capability!$P$6="",Settings!$F$7&lt;&gt;"Y"),NA(),Capability!$P$6))</f>
        <v/>
      </c>
      <c r="DD180">
        <f>IF((DG$1+176)&gt;DE$1,NA(),(DG$1+176)-4)</f>
        <v/>
      </c>
      <c r="DE180">
        <f>IF((DG$1+176)&gt;DE$1,NA(),INDEX('Data Entry'!$J$5:$J$10004,(DG$1+176)-4))</f>
        <v/>
      </c>
      <c r="DF180">
        <f>IF(ISNA(DD180),NA(),Capability!$K$7)</f>
        <v/>
      </c>
      <c r="DG180">
        <f>IF(ISNA(DD180),NA(),Capability!$J$7)</f>
        <v/>
      </c>
      <c r="DH180">
        <f>IF(ISNA(DD180),NA(),Capability!$L$7)</f>
        <v/>
      </c>
      <c r="DI180">
        <f>IF(OR(ISNA(DE180),ISNA(DE179)),NA(),ABS(DE180-DE179))</f>
        <v/>
      </c>
      <c r="DJ180">
        <f>IF(ISNA(DD180),NA(),Capability!$N$7)</f>
        <v/>
      </c>
      <c r="DK180">
        <f>IF(ISNA(DD180),NA(),IF(OR(Capability!$Q$7="",Settings!$F$7&lt;&gt;"Y"),NA(),Capability!$Q$7))</f>
        <v/>
      </c>
      <c r="DL180">
        <f>IF(ISNA(DD180),NA(),IF(OR(Capability!$P$7="",Settings!$F$7&lt;&gt;"Y"),NA(),Capability!$P$7))</f>
        <v/>
      </c>
      <c r="DR180">
        <f>IF((DU$1+176)&gt;DS$1,NA(),(DU$1+176)-4)</f>
        <v/>
      </c>
      <c r="DS180">
        <f>IF((DU$1+176)&gt;DS$1,NA(),INDEX('Data Entry'!$K$5:$K$10004,(DU$1+176)-4))</f>
        <v/>
      </c>
      <c r="DT180">
        <f>IF(ISNA(DR180),NA(),Capability!$K$8)</f>
        <v/>
      </c>
      <c r="DU180">
        <f>IF(ISNA(DR180),NA(),Capability!$J$8)</f>
        <v/>
      </c>
      <c r="DV180">
        <f>IF(ISNA(DR180),NA(),Capability!$L$8)</f>
        <v/>
      </c>
      <c r="DW180">
        <f>IF(OR(ISNA(DS180),ISNA(DS179)),NA(),ABS(DS180-DS179))</f>
        <v/>
      </c>
      <c r="DX180">
        <f>IF(ISNA(DR180),NA(),Capability!$N$8)</f>
        <v/>
      </c>
      <c r="DY180">
        <f>IF(ISNA(DR180),NA(),IF(OR(Capability!$Q$8="",Settings!$F$7&lt;&gt;"Y"),NA(),Capability!$Q$8))</f>
        <v/>
      </c>
      <c r="DZ180">
        <f>IF(ISNA(DR180),NA(),IF(OR(Capability!$P$8="",Settings!$F$7&lt;&gt;"Y"),NA(),Capability!$P$8))</f>
        <v/>
      </c>
      <c r="EF180">
        <f>IF((EI$1+176)&gt;EG$1,NA(),(EI$1+176)-4)</f>
        <v/>
      </c>
      <c r="EG180">
        <f>IF((EI$1+176)&gt;EG$1,NA(),INDEX('Data Entry'!$L$5:$L$10004,(EI$1+176)-4))</f>
        <v/>
      </c>
      <c r="EH180">
        <f>IF(ISNA(EF180),NA(),Capability!$K$9)</f>
        <v/>
      </c>
      <c r="EI180">
        <f>IF(ISNA(EF180),NA(),Capability!$J$9)</f>
        <v/>
      </c>
      <c r="EJ180">
        <f>IF(ISNA(EF180),NA(),Capability!$L$9)</f>
        <v/>
      </c>
      <c r="EK180">
        <f>IF(OR(ISNA(EG180),ISNA(EG179)),NA(),ABS(EG180-EG179))</f>
        <v/>
      </c>
      <c r="EL180">
        <f>IF(ISNA(EF180),NA(),Capability!$N$9)</f>
        <v/>
      </c>
      <c r="EM180">
        <f>IF(ISNA(EF180),NA(),IF(OR(Capability!$Q$9="",Settings!$F$7&lt;&gt;"Y"),NA(),Capability!$Q$9))</f>
        <v/>
      </c>
      <c r="EN180">
        <f>IF(ISNA(EF180),NA(),IF(OR(Capability!$P$9="",Settings!$F$7&lt;&gt;"Y"),NA(),Capability!$P$9))</f>
        <v/>
      </c>
      <c r="ET180">
        <f>IF((EW$1+176)&gt;EU$1,NA(),(EW$1+176)-4)</f>
        <v/>
      </c>
      <c r="EU180">
        <f>IF((EW$1+176)&gt;EU$1,NA(),INDEX('Data Entry'!$M$5:$M$10004,(EW$1+176)-4))</f>
        <v/>
      </c>
      <c r="EV180">
        <f>IF(ISNA(ET180),NA(),Capability!$K$10)</f>
        <v/>
      </c>
      <c r="EW180">
        <f>IF(ISNA(ET180),NA(),Capability!$J$10)</f>
        <v/>
      </c>
      <c r="EX180">
        <f>IF(ISNA(ET180),NA(),Capability!$L$10)</f>
        <v/>
      </c>
      <c r="EY180">
        <f>IF(OR(ISNA(EU180),ISNA(EU179)),NA(),ABS(EU180-EU179))</f>
        <v/>
      </c>
      <c r="EZ180">
        <f>IF(ISNA(ET180),NA(),Capability!$N$10)</f>
        <v/>
      </c>
      <c r="FA180">
        <f>IF(ISNA(ET180),NA(),IF(OR(Capability!$Q$10="",Settings!$F$7&lt;&gt;"Y"),NA(),Capability!$Q$10))</f>
        <v/>
      </c>
      <c r="FB180">
        <f>IF(ISNA(ET180),NA(),IF(OR(Capability!$P$10="",Settings!$F$7&lt;&gt;"Y"),NA(),Capability!$P$10))</f>
        <v/>
      </c>
      <c r="FH180">
        <f>IF((FK$1+176)&gt;FI$1,NA(),(FK$1+176)-4)</f>
        <v/>
      </c>
      <c r="FI180">
        <f>IF((FK$1+176)&gt;FI$1,NA(),INDEX('Data Entry'!$N$5:$N$10004,(FK$1+176)-4))</f>
        <v/>
      </c>
      <c r="FJ180">
        <f>IF(ISNA(FH180),NA(),Capability!$K$11)</f>
        <v/>
      </c>
      <c r="FK180">
        <f>IF(ISNA(FH180),NA(),Capability!$J$11)</f>
        <v/>
      </c>
      <c r="FL180">
        <f>IF(ISNA(FH180),NA(),Capability!$L$11)</f>
        <v/>
      </c>
      <c r="FM180">
        <f>IF(OR(ISNA(FI180),ISNA(FI179)),NA(),ABS(FI180-FI179))</f>
        <v/>
      </c>
      <c r="FN180">
        <f>IF(ISNA(FH180),NA(),Capability!$N$11)</f>
        <v/>
      </c>
      <c r="FO180">
        <f>IF(ISNA(FH180),NA(),IF(OR(Capability!$Q$11="",Settings!$F$7&lt;&gt;"Y"),NA(),Capability!$Q$11))</f>
        <v/>
      </c>
      <c r="FP180">
        <f>IF(ISNA(FH180),NA(),IF(OR(Capability!$P$11="",Settings!$F$7&lt;&gt;"Y"),NA(),Capability!$P$11))</f>
        <v/>
      </c>
      <c r="FV180">
        <f>IF((FY$1+176)&gt;FW$1,NA(),(FY$1+176)-4)</f>
        <v/>
      </c>
      <c r="FW180">
        <f>IF((FY$1+176)&gt;FW$1,NA(),INDEX('Data Entry'!$O$5:$O$10004,(FY$1+176)-4))</f>
        <v/>
      </c>
      <c r="FX180">
        <f>IF(ISNA(FV180),NA(),Capability!$K$12)</f>
        <v/>
      </c>
      <c r="FY180">
        <f>IF(ISNA(FV180),NA(),Capability!$J$12)</f>
        <v/>
      </c>
      <c r="FZ180">
        <f>IF(ISNA(FV180),NA(),Capability!$L$12)</f>
        <v/>
      </c>
      <c r="GA180">
        <f>IF(OR(ISNA(FW180),ISNA(FW179)),NA(),ABS(FW180-FW179))</f>
        <v/>
      </c>
      <c r="GB180">
        <f>IF(ISNA(FV180),NA(),Capability!$N$12)</f>
        <v/>
      </c>
      <c r="GC180">
        <f>IF(ISNA(FV180),NA(),IF(OR(Capability!$Q$12="",Settings!$F$7&lt;&gt;"Y"),NA(),Capability!$Q$12))</f>
        <v/>
      </c>
      <c r="GD180">
        <f>IF(ISNA(FV180),NA(),IF(OR(Capability!$P$12="",Settings!$F$7&lt;&gt;"Y"),NA(),Capability!$P$12))</f>
        <v/>
      </c>
      <c r="GJ180">
        <f>IF((GM$1+176)&gt;GK$1,NA(),(GM$1+176)-4)</f>
        <v/>
      </c>
      <c r="GK180">
        <f>IF((GM$1+176)&gt;GK$1,NA(),INDEX('Data Entry'!$P$5:$P$10004,(GM$1+176)-4))</f>
        <v/>
      </c>
      <c r="GL180">
        <f>IF(ISNA(GJ180),NA(),Capability!$K$13)</f>
        <v/>
      </c>
      <c r="GM180">
        <f>IF(ISNA(GJ180),NA(),Capability!$J$13)</f>
        <v/>
      </c>
      <c r="GN180">
        <f>IF(ISNA(GJ180),NA(),Capability!$L$13)</f>
        <v/>
      </c>
      <c r="GO180">
        <f>IF(OR(ISNA(GK180),ISNA(GK179)),NA(),ABS(GK180-GK179))</f>
        <v/>
      </c>
      <c r="GP180">
        <f>IF(ISNA(GJ180),NA(),Capability!$N$13)</f>
        <v/>
      </c>
      <c r="GQ180">
        <f>IF(ISNA(GJ180),NA(),IF(OR(Capability!$Q$13="",Settings!$F$7&lt;&gt;"Y"),NA(),Capability!$Q$13))</f>
        <v/>
      </c>
      <c r="GR180">
        <f>IF(ISNA(GJ180),NA(),IF(OR(Capability!$P$13="",Settings!$F$7&lt;&gt;"Y"),NA(),Capability!$P$13))</f>
        <v/>
      </c>
      <c r="GX180">
        <f>IF((HA$1+176)&gt;GY$1,NA(),(HA$1+176)-4)</f>
        <v/>
      </c>
      <c r="GY180">
        <f>IF((HA$1+176)&gt;GY$1,NA(),INDEX('Data Entry'!$Q$5:$Q$10004,(HA$1+176)-4))</f>
        <v/>
      </c>
      <c r="GZ180">
        <f>IF(ISNA(GX180),NA(),Capability!$K$14)</f>
        <v/>
      </c>
      <c r="HA180">
        <f>IF(ISNA(GX180),NA(),Capability!$J$14)</f>
        <v/>
      </c>
      <c r="HB180">
        <f>IF(ISNA(GX180),NA(),Capability!$L$14)</f>
        <v/>
      </c>
      <c r="HC180">
        <f>IF(OR(ISNA(GY180),ISNA(GY179)),NA(),ABS(GY180-GY179))</f>
        <v/>
      </c>
      <c r="HD180">
        <f>IF(ISNA(GX180),NA(),Capability!$N$14)</f>
        <v/>
      </c>
      <c r="HE180">
        <f>IF(ISNA(GX180),NA(),IF(OR(Capability!$Q$14="",Settings!$F$7&lt;&gt;"Y"),NA(),Capability!$Q$14))</f>
        <v/>
      </c>
      <c r="HF180">
        <f>IF(ISNA(GX180),NA(),IF(OR(Capability!$P$14="",Settings!$F$7&lt;&gt;"Y"),NA(),Capability!$P$14))</f>
        <v/>
      </c>
    </row>
    <row r="181">
      <c r="A181" s="35" t="inlineStr">
        <is>
          <t>mR UCL</t>
        </is>
      </c>
      <c r="B181" s="23">
        <f>Capability!N9</f>
        <v/>
      </c>
      <c r="CB181">
        <f>IF((CE$1+177)&gt;CC$1,NA(),(CE$1+177)-4)</f>
        <v/>
      </c>
      <c r="CC181">
        <f>IF((CE$1+177)&gt;CC$1,NA(),INDEX('Data Entry'!$H$5:$H$10004,(CE$1+177)-4))</f>
        <v/>
      </c>
      <c r="CD181">
        <f>IF(ISNA(CB181),NA(),Capability!$K$5)</f>
        <v/>
      </c>
      <c r="CE181">
        <f>IF(ISNA(CB181),NA(),Capability!$J$5)</f>
        <v/>
      </c>
      <c r="CF181">
        <f>IF(ISNA(CB181),NA(),Capability!$L$5)</f>
        <v/>
      </c>
      <c r="CG181">
        <f>IF(OR(ISNA(CC181),ISNA(CC180)),NA(),ABS(CC181-CC180))</f>
        <v/>
      </c>
      <c r="CH181">
        <f>IF(ISNA(CB181),NA(),Capability!$N$5)</f>
        <v/>
      </c>
      <c r="CI181">
        <f>IF(ISNA(CB181),NA(),IF(OR(Capability!$Q$5="",Settings!$F$7&lt;&gt;"Y"),NA(),Capability!$Q$5))</f>
        <v/>
      </c>
      <c r="CJ181">
        <f>IF(ISNA(CB181),NA(),IF(OR(Capability!$P$5="",Settings!$F$7&lt;&gt;"Y"),NA(),Capability!$P$5))</f>
        <v/>
      </c>
      <c r="CP181">
        <f>IF((CS$1+177)&gt;CQ$1,NA(),(CS$1+177)-4)</f>
        <v/>
      </c>
      <c r="CQ181">
        <f>IF((CS$1+177)&gt;CQ$1,NA(),INDEX('Data Entry'!$I$5:$I$10004,(CS$1+177)-4))</f>
        <v/>
      </c>
      <c r="CR181">
        <f>IF(ISNA(CP181),NA(),Capability!$K$6)</f>
        <v/>
      </c>
      <c r="CS181">
        <f>IF(ISNA(CP181),NA(),Capability!$J$6)</f>
        <v/>
      </c>
      <c r="CT181">
        <f>IF(ISNA(CP181),NA(),Capability!$L$6)</f>
        <v/>
      </c>
      <c r="CU181">
        <f>IF(OR(ISNA(CQ181),ISNA(CQ180)),NA(),ABS(CQ181-CQ180))</f>
        <v/>
      </c>
      <c r="CV181">
        <f>IF(ISNA(CP181),NA(),Capability!$N$6)</f>
        <v/>
      </c>
      <c r="CW181">
        <f>IF(ISNA(CP181),NA(),IF(OR(Capability!$Q$6="",Settings!$F$7&lt;&gt;"Y"),NA(),Capability!$Q$6))</f>
        <v/>
      </c>
      <c r="CX181">
        <f>IF(ISNA(CP181),NA(),IF(OR(Capability!$P$6="",Settings!$F$7&lt;&gt;"Y"),NA(),Capability!$P$6))</f>
        <v/>
      </c>
      <c r="DD181">
        <f>IF((DG$1+177)&gt;DE$1,NA(),(DG$1+177)-4)</f>
        <v/>
      </c>
      <c r="DE181">
        <f>IF((DG$1+177)&gt;DE$1,NA(),INDEX('Data Entry'!$J$5:$J$10004,(DG$1+177)-4))</f>
        <v/>
      </c>
      <c r="DF181">
        <f>IF(ISNA(DD181),NA(),Capability!$K$7)</f>
        <v/>
      </c>
      <c r="DG181">
        <f>IF(ISNA(DD181),NA(),Capability!$J$7)</f>
        <v/>
      </c>
      <c r="DH181">
        <f>IF(ISNA(DD181),NA(),Capability!$L$7)</f>
        <v/>
      </c>
      <c r="DI181">
        <f>IF(OR(ISNA(DE181),ISNA(DE180)),NA(),ABS(DE181-DE180))</f>
        <v/>
      </c>
      <c r="DJ181">
        <f>IF(ISNA(DD181),NA(),Capability!$N$7)</f>
        <v/>
      </c>
      <c r="DK181">
        <f>IF(ISNA(DD181),NA(),IF(OR(Capability!$Q$7="",Settings!$F$7&lt;&gt;"Y"),NA(),Capability!$Q$7))</f>
        <v/>
      </c>
      <c r="DL181">
        <f>IF(ISNA(DD181),NA(),IF(OR(Capability!$P$7="",Settings!$F$7&lt;&gt;"Y"),NA(),Capability!$P$7))</f>
        <v/>
      </c>
      <c r="DR181">
        <f>IF((DU$1+177)&gt;DS$1,NA(),(DU$1+177)-4)</f>
        <v/>
      </c>
      <c r="DS181">
        <f>IF((DU$1+177)&gt;DS$1,NA(),INDEX('Data Entry'!$K$5:$K$10004,(DU$1+177)-4))</f>
        <v/>
      </c>
      <c r="DT181">
        <f>IF(ISNA(DR181),NA(),Capability!$K$8)</f>
        <v/>
      </c>
      <c r="DU181">
        <f>IF(ISNA(DR181),NA(),Capability!$J$8)</f>
        <v/>
      </c>
      <c r="DV181">
        <f>IF(ISNA(DR181),NA(),Capability!$L$8)</f>
        <v/>
      </c>
      <c r="DW181">
        <f>IF(OR(ISNA(DS181),ISNA(DS180)),NA(),ABS(DS181-DS180))</f>
        <v/>
      </c>
      <c r="DX181">
        <f>IF(ISNA(DR181),NA(),Capability!$N$8)</f>
        <v/>
      </c>
      <c r="DY181">
        <f>IF(ISNA(DR181),NA(),IF(OR(Capability!$Q$8="",Settings!$F$7&lt;&gt;"Y"),NA(),Capability!$Q$8))</f>
        <v/>
      </c>
      <c r="DZ181">
        <f>IF(ISNA(DR181),NA(),IF(OR(Capability!$P$8="",Settings!$F$7&lt;&gt;"Y"),NA(),Capability!$P$8))</f>
        <v/>
      </c>
      <c r="EF181">
        <f>IF((EI$1+177)&gt;EG$1,NA(),(EI$1+177)-4)</f>
        <v/>
      </c>
      <c r="EG181">
        <f>IF((EI$1+177)&gt;EG$1,NA(),INDEX('Data Entry'!$L$5:$L$10004,(EI$1+177)-4))</f>
        <v/>
      </c>
      <c r="EH181">
        <f>IF(ISNA(EF181),NA(),Capability!$K$9)</f>
        <v/>
      </c>
      <c r="EI181">
        <f>IF(ISNA(EF181),NA(),Capability!$J$9)</f>
        <v/>
      </c>
      <c r="EJ181">
        <f>IF(ISNA(EF181),NA(),Capability!$L$9)</f>
        <v/>
      </c>
      <c r="EK181">
        <f>IF(OR(ISNA(EG181),ISNA(EG180)),NA(),ABS(EG181-EG180))</f>
        <v/>
      </c>
      <c r="EL181">
        <f>IF(ISNA(EF181),NA(),Capability!$N$9)</f>
        <v/>
      </c>
      <c r="EM181">
        <f>IF(ISNA(EF181),NA(),IF(OR(Capability!$Q$9="",Settings!$F$7&lt;&gt;"Y"),NA(),Capability!$Q$9))</f>
        <v/>
      </c>
      <c r="EN181">
        <f>IF(ISNA(EF181),NA(),IF(OR(Capability!$P$9="",Settings!$F$7&lt;&gt;"Y"),NA(),Capability!$P$9))</f>
        <v/>
      </c>
      <c r="ET181">
        <f>IF((EW$1+177)&gt;EU$1,NA(),(EW$1+177)-4)</f>
        <v/>
      </c>
      <c r="EU181">
        <f>IF((EW$1+177)&gt;EU$1,NA(),INDEX('Data Entry'!$M$5:$M$10004,(EW$1+177)-4))</f>
        <v/>
      </c>
      <c r="EV181">
        <f>IF(ISNA(ET181),NA(),Capability!$K$10)</f>
        <v/>
      </c>
      <c r="EW181">
        <f>IF(ISNA(ET181),NA(),Capability!$J$10)</f>
        <v/>
      </c>
      <c r="EX181">
        <f>IF(ISNA(ET181),NA(),Capability!$L$10)</f>
        <v/>
      </c>
      <c r="EY181">
        <f>IF(OR(ISNA(EU181),ISNA(EU180)),NA(),ABS(EU181-EU180))</f>
        <v/>
      </c>
      <c r="EZ181">
        <f>IF(ISNA(ET181),NA(),Capability!$N$10)</f>
        <v/>
      </c>
      <c r="FA181">
        <f>IF(ISNA(ET181),NA(),IF(OR(Capability!$Q$10="",Settings!$F$7&lt;&gt;"Y"),NA(),Capability!$Q$10))</f>
        <v/>
      </c>
      <c r="FB181">
        <f>IF(ISNA(ET181),NA(),IF(OR(Capability!$P$10="",Settings!$F$7&lt;&gt;"Y"),NA(),Capability!$P$10))</f>
        <v/>
      </c>
      <c r="FH181">
        <f>IF((FK$1+177)&gt;FI$1,NA(),(FK$1+177)-4)</f>
        <v/>
      </c>
      <c r="FI181">
        <f>IF((FK$1+177)&gt;FI$1,NA(),INDEX('Data Entry'!$N$5:$N$10004,(FK$1+177)-4))</f>
        <v/>
      </c>
      <c r="FJ181">
        <f>IF(ISNA(FH181),NA(),Capability!$K$11)</f>
        <v/>
      </c>
      <c r="FK181">
        <f>IF(ISNA(FH181),NA(),Capability!$J$11)</f>
        <v/>
      </c>
      <c r="FL181">
        <f>IF(ISNA(FH181),NA(),Capability!$L$11)</f>
        <v/>
      </c>
      <c r="FM181">
        <f>IF(OR(ISNA(FI181),ISNA(FI180)),NA(),ABS(FI181-FI180))</f>
        <v/>
      </c>
      <c r="FN181">
        <f>IF(ISNA(FH181),NA(),Capability!$N$11)</f>
        <v/>
      </c>
      <c r="FO181">
        <f>IF(ISNA(FH181),NA(),IF(OR(Capability!$Q$11="",Settings!$F$7&lt;&gt;"Y"),NA(),Capability!$Q$11))</f>
        <v/>
      </c>
      <c r="FP181">
        <f>IF(ISNA(FH181),NA(),IF(OR(Capability!$P$11="",Settings!$F$7&lt;&gt;"Y"),NA(),Capability!$P$11))</f>
        <v/>
      </c>
      <c r="FV181">
        <f>IF((FY$1+177)&gt;FW$1,NA(),(FY$1+177)-4)</f>
        <v/>
      </c>
      <c r="FW181">
        <f>IF((FY$1+177)&gt;FW$1,NA(),INDEX('Data Entry'!$O$5:$O$10004,(FY$1+177)-4))</f>
        <v/>
      </c>
      <c r="FX181">
        <f>IF(ISNA(FV181),NA(),Capability!$K$12)</f>
        <v/>
      </c>
      <c r="FY181">
        <f>IF(ISNA(FV181),NA(),Capability!$J$12)</f>
        <v/>
      </c>
      <c r="FZ181">
        <f>IF(ISNA(FV181),NA(),Capability!$L$12)</f>
        <v/>
      </c>
      <c r="GA181">
        <f>IF(OR(ISNA(FW181),ISNA(FW180)),NA(),ABS(FW181-FW180))</f>
        <v/>
      </c>
      <c r="GB181">
        <f>IF(ISNA(FV181),NA(),Capability!$N$12)</f>
        <v/>
      </c>
      <c r="GC181">
        <f>IF(ISNA(FV181),NA(),IF(OR(Capability!$Q$12="",Settings!$F$7&lt;&gt;"Y"),NA(),Capability!$Q$12))</f>
        <v/>
      </c>
      <c r="GD181">
        <f>IF(ISNA(FV181),NA(),IF(OR(Capability!$P$12="",Settings!$F$7&lt;&gt;"Y"),NA(),Capability!$P$12))</f>
        <v/>
      </c>
      <c r="GJ181">
        <f>IF((GM$1+177)&gt;GK$1,NA(),(GM$1+177)-4)</f>
        <v/>
      </c>
      <c r="GK181">
        <f>IF((GM$1+177)&gt;GK$1,NA(),INDEX('Data Entry'!$P$5:$P$10004,(GM$1+177)-4))</f>
        <v/>
      </c>
      <c r="GL181">
        <f>IF(ISNA(GJ181),NA(),Capability!$K$13)</f>
        <v/>
      </c>
      <c r="GM181">
        <f>IF(ISNA(GJ181),NA(),Capability!$J$13)</f>
        <v/>
      </c>
      <c r="GN181">
        <f>IF(ISNA(GJ181),NA(),Capability!$L$13)</f>
        <v/>
      </c>
      <c r="GO181">
        <f>IF(OR(ISNA(GK181),ISNA(GK180)),NA(),ABS(GK181-GK180))</f>
        <v/>
      </c>
      <c r="GP181">
        <f>IF(ISNA(GJ181),NA(),Capability!$N$13)</f>
        <v/>
      </c>
      <c r="GQ181">
        <f>IF(ISNA(GJ181),NA(),IF(OR(Capability!$Q$13="",Settings!$F$7&lt;&gt;"Y"),NA(),Capability!$Q$13))</f>
        <v/>
      </c>
      <c r="GR181">
        <f>IF(ISNA(GJ181),NA(),IF(OR(Capability!$P$13="",Settings!$F$7&lt;&gt;"Y"),NA(),Capability!$P$13))</f>
        <v/>
      </c>
      <c r="GX181">
        <f>IF((HA$1+177)&gt;GY$1,NA(),(HA$1+177)-4)</f>
        <v/>
      </c>
      <c r="GY181">
        <f>IF((HA$1+177)&gt;GY$1,NA(),INDEX('Data Entry'!$Q$5:$Q$10004,(HA$1+177)-4))</f>
        <v/>
      </c>
      <c r="GZ181">
        <f>IF(ISNA(GX181),NA(),Capability!$K$14)</f>
        <v/>
      </c>
      <c r="HA181">
        <f>IF(ISNA(GX181),NA(),Capability!$J$14)</f>
        <v/>
      </c>
      <c r="HB181">
        <f>IF(ISNA(GX181),NA(),Capability!$L$14)</f>
        <v/>
      </c>
      <c r="HC181">
        <f>IF(OR(ISNA(GY181),ISNA(GY180)),NA(),ABS(GY181-GY180))</f>
        <v/>
      </c>
      <c r="HD181">
        <f>IF(ISNA(GX181),NA(),Capability!$N$14)</f>
        <v/>
      </c>
      <c r="HE181">
        <f>IF(ISNA(GX181),NA(),IF(OR(Capability!$Q$14="",Settings!$F$7&lt;&gt;"Y"),NA(),Capability!$Q$14))</f>
        <v/>
      </c>
      <c r="HF181">
        <f>IF(ISNA(GX181),NA(),IF(OR(Capability!$P$14="",Settings!$F$7&lt;&gt;"Y"),NA(),Capability!$P$14))</f>
        <v/>
      </c>
    </row>
    <row r="182">
      <c r="A182" s="37" t="inlineStr">
        <is>
          <t>SPECIFICATION</t>
        </is>
      </c>
      <c r="B182" s="28" t="n"/>
      <c r="CB182">
        <f>IF((CE$1+178)&gt;CC$1,NA(),(CE$1+178)-4)</f>
        <v/>
      </c>
      <c r="CC182">
        <f>IF((CE$1+178)&gt;CC$1,NA(),INDEX('Data Entry'!$H$5:$H$10004,(CE$1+178)-4))</f>
        <v/>
      </c>
      <c r="CD182">
        <f>IF(ISNA(CB182),NA(),Capability!$K$5)</f>
        <v/>
      </c>
      <c r="CE182">
        <f>IF(ISNA(CB182),NA(),Capability!$J$5)</f>
        <v/>
      </c>
      <c r="CF182">
        <f>IF(ISNA(CB182),NA(),Capability!$L$5)</f>
        <v/>
      </c>
      <c r="CG182">
        <f>IF(OR(ISNA(CC182),ISNA(CC181)),NA(),ABS(CC182-CC181))</f>
        <v/>
      </c>
      <c r="CH182">
        <f>IF(ISNA(CB182),NA(),Capability!$N$5)</f>
        <v/>
      </c>
      <c r="CI182">
        <f>IF(ISNA(CB182),NA(),IF(OR(Capability!$Q$5="",Settings!$F$7&lt;&gt;"Y"),NA(),Capability!$Q$5))</f>
        <v/>
      </c>
      <c r="CJ182">
        <f>IF(ISNA(CB182),NA(),IF(OR(Capability!$P$5="",Settings!$F$7&lt;&gt;"Y"),NA(),Capability!$P$5))</f>
        <v/>
      </c>
      <c r="CP182">
        <f>IF((CS$1+178)&gt;CQ$1,NA(),(CS$1+178)-4)</f>
        <v/>
      </c>
      <c r="CQ182">
        <f>IF((CS$1+178)&gt;CQ$1,NA(),INDEX('Data Entry'!$I$5:$I$10004,(CS$1+178)-4))</f>
        <v/>
      </c>
      <c r="CR182">
        <f>IF(ISNA(CP182),NA(),Capability!$K$6)</f>
        <v/>
      </c>
      <c r="CS182">
        <f>IF(ISNA(CP182),NA(),Capability!$J$6)</f>
        <v/>
      </c>
      <c r="CT182">
        <f>IF(ISNA(CP182),NA(),Capability!$L$6)</f>
        <v/>
      </c>
      <c r="CU182">
        <f>IF(OR(ISNA(CQ182),ISNA(CQ181)),NA(),ABS(CQ182-CQ181))</f>
        <v/>
      </c>
      <c r="CV182">
        <f>IF(ISNA(CP182),NA(),Capability!$N$6)</f>
        <v/>
      </c>
      <c r="CW182">
        <f>IF(ISNA(CP182),NA(),IF(OR(Capability!$Q$6="",Settings!$F$7&lt;&gt;"Y"),NA(),Capability!$Q$6))</f>
        <v/>
      </c>
      <c r="CX182">
        <f>IF(ISNA(CP182),NA(),IF(OR(Capability!$P$6="",Settings!$F$7&lt;&gt;"Y"),NA(),Capability!$P$6))</f>
        <v/>
      </c>
      <c r="DD182">
        <f>IF((DG$1+178)&gt;DE$1,NA(),(DG$1+178)-4)</f>
        <v/>
      </c>
      <c r="DE182">
        <f>IF((DG$1+178)&gt;DE$1,NA(),INDEX('Data Entry'!$J$5:$J$10004,(DG$1+178)-4))</f>
        <v/>
      </c>
      <c r="DF182">
        <f>IF(ISNA(DD182),NA(),Capability!$K$7)</f>
        <v/>
      </c>
      <c r="DG182">
        <f>IF(ISNA(DD182),NA(),Capability!$J$7)</f>
        <v/>
      </c>
      <c r="DH182">
        <f>IF(ISNA(DD182),NA(),Capability!$L$7)</f>
        <v/>
      </c>
      <c r="DI182">
        <f>IF(OR(ISNA(DE182),ISNA(DE181)),NA(),ABS(DE182-DE181))</f>
        <v/>
      </c>
      <c r="DJ182">
        <f>IF(ISNA(DD182),NA(),Capability!$N$7)</f>
        <v/>
      </c>
      <c r="DK182">
        <f>IF(ISNA(DD182),NA(),IF(OR(Capability!$Q$7="",Settings!$F$7&lt;&gt;"Y"),NA(),Capability!$Q$7))</f>
        <v/>
      </c>
      <c r="DL182">
        <f>IF(ISNA(DD182),NA(),IF(OR(Capability!$P$7="",Settings!$F$7&lt;&gt;"Y"),NA(),Capability!$P$7))</f>
        <v/>
      </c>
      <c r="DR182">
        <f>IF((DU$1+178)&gt;DS$1,NA(),(DU$1+178)-4)</f>
        <v/>
      </c>
      <c r="DS182">
        <f>IF((DU$1+178)&gt;DS$1,NA(),INDEX('Data Entry'!$K$5:$K$10004,(DU$1+178)-4))</f>
        <v/>
      </c>
      <c r="DT182">
        <f>IF(ISNA(DR182),NA(),Capability!$K$8)</f>
        <v/>
      </c>
      <c r="DU182">
        <f>IF(ISNA(DR182),NA(),Capability!$J$8)</f>
        <v/>
      </c>
      <c r="DV182">
        <f>IF(ISNA(DR182),NA(),Capability!$L$8)</f>
        <v/>
      </c>
      <c r="DW182">
        <f>IF(OR(ISNA(DS182),ISNA(DS181)),NA(),ABS(DS182-DS181))</f>
        <v/>
      </c>
      <c r="DX182">
        <f>IF(ISNA(DR182),NA(),Capability!$N$8)</f>
        <v/>
      </c>
      <c r="DY182">
        <f>IF(ISNA(DR182),NA(),IF(OR(Capability!$Q$8="",Settings!$F$7&lt;&gt;"Y"),NA(),Capability!$Q$8))</f>
        <v/>
      </c>
      <c r="DZ182">
        <f>IF(ISNA(DR182),NA(),IF(OR(Capability!$P$8="",Settings!$F$7&lt;&gt;"Y"),NA(),Capability!$P$8))</f>
        <v/>
      </c>
      <c r="EF182">
        <f>IF((EI$1+178)&gt;EG$1,NA(),(EI$1+178)-4)</f>
        <v/>
      </c>
      <c r="EG182">
        <f>IF((EI$1+178)&gt;EG$1,NA(),INDEX('Data Entry'!$L$5:$L$10004,(EI$1+178)-4))</f>
        <v/>
      </c>
      <c r="EH182">
        <f>IF(ISNA(EF182),NA(),Capability!$K$9)</f>
        <v/>
      </c>
      <c r="EI182">
        <f>IF(ISNA(EF182),NA(),Capability!$J$9)</f>
        <v/>
      </c>
      <c r="EJ182">
        <f>IF(ISNA(EF182),NA(),Capability!$L$9)</f>
        <v/>
      </c>
      <c r="EK182">
        <f>IF(OR(ISNA(EG182),ISNA(EG181)),NA(),ABS(EG182-EG181))</f>
        <v/>
      </c>
      <c r="EL182">
        <f>IF(ISNA(EF182),NA(),Capability!$N$9)</f>
        <v/>
      </c>
      <c r="EM182">
        <f>IF(ISNA(EF182),NA(),IF(OR(Capability!$Q$9="",Settings!$F$7&lt;&gt;"Y"),NA(),Capability!$Q$9))</f>
        <v/>
      </c>
      <c r="EN182">
        <f>IF(ISNA(EF182),NA(),IF(OR(Capability!$P$9="",Settings!$F$7&lt;&gt;"Y"),NA(),Capability!$P$9))</f>
        <v/>
      </c>
      <c r="ET182">
        <f>IF((EW$1+178)&gt;EU$1,NA(),(EW$1+178)-4)</f>
        <v/>
      </c>
      <c r="EU182">
        <f>IF((EW$1+178)&gt;EU$1,NA(),INDEX('Data Entry'!$M$5:$M$10004,(EW$1+178)-4))</f>
        <v/>
      </c>
      <c r="EV182">
        <f>IF(ISNA(ET182),NA(),Capability!$K$10)</f>
        <v/>
      </c>
      <c r="EW182">
        <f>IF(ISNA(ET182),NA(),Capability!$J$10)</f>
        <v/>
      </c>
      <c r="EX182">
        <f>IF(ISNA(ET182),NA(),Capability!$L$10)</f>
        <v/>
      </c>
      <c r="EY182">
        <f>IF(OR(ISNA(EU182),ISNA(EU181)),NA(),ABS(EU182-EU181))</f>
        <v/>
      </c>
      <c r="EZ182">
        <f>IF(ISNA(ET182),NA(),Capability!$N$10)</f>
        <v/>
      </c>
      <c r="FA182">
        <f>IF(ISNA(ET182),NA(),IF(OR(Capability!$Q$10="",Settings!$F$7&lt;&gt;"Y"),NA(),Capability!$Q$10))</f>
        <v/>
      </c>
      <c r="FB182">
        <f>IF(ISNA(ET182),NA(),IF(OR(Capability!$P$10="",Settings!$F$7&lt;&gt;"Y"),NA(),Capability!$P$10))</f>
        <v/>
      </c>
      <c r="FH182">
        <f>IF((FK$1+178)&gt;FI$1,NA(),(FK$1+178)-4)</f>
        <v/>
      </c>
      <c r="FI182">
        <f>IF((FK$1+178)&gt;FI$1,NA(),INDEX('Data Entry'!$N$5:$N$10004,(FK$1+178)-4))</f>
        <v/>
      </c>
      <c r="FJ182">
        <f>IF(ISNA(FH182),NA(),Capability!$K$11)</f>
        <v/>
      </c>
      <c r="FK182">
        <f>IF(ISNA(FH182),NA(),Capability!$J$11)</f>
        <v/>
      </c>
      <c r="FL182">
        <f>IF(ISNA(FH182),NA(),Capability!$L$11)</f>
        <v/>
      </c>
      <c r="FM182">
        <f>IF(OR(ISNA(FI182),ISNA(FI181)),NA(),ABS(FI182-FI181))</f>
        <v/>
      </c>
      <c r="FN182">
        <f>IF(ISNA(FH182),NA(),Capability!$N$11)</f>
        <v/>
      </c>
      <c r="FO182">
        <f>IF(ISNA(FH182),NA(),IF(OR(Capability!$Q$11="",Settings!$F$7&lt;&gt;"Y"),NA(),Capability!$Q$11))</f>
        <v/>
      </c>
      <c r="FP182">
        <f>IF(ISNA(FH182),NA(),IF(OR(Capability!$P$11="",Settings!$F$7&lt;&gt;"Y"),NA(),Capability!$P$11))</f>
        <v/>
      </c>
      <c r="FV182">
        <f>IF((FY$1+178)&gt;FW$1,NA(),(FY$1+178)-4)</f>
        <v/>
      </c>
      <c r="FW182">
        <f>IF((FY$1+178)&gt;FW$1,NA(),INDEX('Data Entry'!$O$5:$O$10004,(FY$1+178)-4))</f>
        <v/>
      </c>
      <c r="FX182">
        <f>IF(ISNA(FV182),NA(),Capability!$K$12)</f>
        <v/>
      </c>
      <c r="FY182">
        <f>IF(ISNA(FV182),NA(),Capability!$J$12)</f>
        <v/>
      </c>
      <c r="FZ182">
        <f>IF(ISNA(FV182),NA(),Capability!$L$12)</f>
        <v/>
      </c>
      <c r="GA182">
        <f>IF(OR(ISNA(FW182),ISNA(FW181)),NA(),ABS(FW182-FW181))</f>
        <v/>
      </c>
      <c r="GB182">
        <f>IF(ISNA(FV182),NA(),Capability!$N$12)</f>
        <v/>
      </c>
      <c r="GC182">
        <f>IF(ISNA(FV182),NA(),IF(OR(Capability!$Q$12="",Settings!$F$7&lt;&gt;"Y"),NA(),Capability!$Q$12))</f>
        <v/>
      </c>
      <c r="GD182">
        <f>IF(ISNA(FV182),NA(),IF(OR(Capability!$P$12="",Settings!$F$7&lt;&gt;"Y"),NA(),Capability!$P$12))</f>
        <v/>
      </c>
      <c r="GJ182">
        <f>IF((GM$1+178)&gt;GK$1,NA(),(GM$1+178)-4)</f>
        <v/>
      </c>
      <c r="GK182">
        <f>IF((GM$1+178)&gt;GK$1,NA(),INDEX('Data Entry'!$P$5:$P$10004,(GM$1+178)-4))</f>
        <v/>
      </c>
      <c r="GL182">
        <f>IF(ISNA(GJ182),NA(),Capability!$K$13)</f>
        <v/>
      </c>
      <c r="GM182">
        <f>IF(ISNA(GJ182),NA(),Capability!$J$13)</f>
        <v/>
      </c>
      <c r="GN182">
        <f>IF(ISNA(GJ182),NA(),Capability!$L$13)</f>
        <v/>
      </c>
      <c r="GO182">
        <f>IF(OR(ISNA(GK182),ISNA(GK181)),NA(),ABS(GK182-GK181))</f>
        <v/>
      </c>
      <c r="GP182">
        <f>IF(ISNA(GJ182),NA(),Capability!$N$13)</f>
        <v/>
      </c>
      <c r="GQ182">
        <f>IF(ISNA(GJ182),NA(),IF(OR(Capability!$Q$13="",Settings!$F$7&lt;&gt;"Y"),NA(),Capability!$Q$13))</f>
        <v/>
      </c>
      <c r="GR182">
        <f>IF(ISNA(GJ182),NA(),IF(OR(Capability!$P$13="",Settings!$F$7&lt;&gt;"Y"),NA(),Capability!$P$13))</f>
        <v/>
      </c>
      <c r="GX182">
        <f>IF((HA$1+178)&gt;GY$1,NA(),(HA$1+178)-4)</f>
        <v/>
      </c>
      <c r="GY182">
        <f>IF((HA$1+178)&gt;GY$1,NA(),INDEX('Data Entry'!$Q$5:$Q$10004,(HA$1+178)-4))</f>
        <v/>
      </c>
      <c r="GZ182">
        <f>IF(ISNA(GX182),NA(),Capability!$K$14)</f>
        <v/>
      </c>
      <c r="HA182">
        <f>IF(ISNA(GX182),NA(),Capability!$J$14)</f>
        <v/>
      </c>
      <c r="HB182">
        <f>IF(ISNA(GX182),NA(),Capability!$L$14)</f>
        <v/>
      </c>
      <c r="HC182">
        <f>IF(OR(ISNA(GY182),ISNA(GY181)),NA(),ABS(GY182-GY181))</f>
        <v/>
      </c>
      <c r="HD182">
        <f>IF(ISNA(GX182),NA(),Capability!$N$14)</f>
        <v/>
      </c>
      <c r="HE182">
        <f>IF(ISNA(GX182),NA(),IF(OR(Capability!$Q$14="",Settings!$F$7&lt;&gt;"Y"),NA(),Capability!$Q$14))</f>
        <v/>
      </c>
      <c r="HF182">
        <f>IF(ISNA(GX182),NA(),IF(OR(Capability!$P$14="",Settings!$F$7&lt;&gt;"Y"),NA(),Capability!$P$14))</f>
        <v/>
      </c>
    </row>
    <row r="183">
      <c r="A183" s="35" t="inlineStr">
        <is>
          <t>USL</t>
        </is>
      </c>
      <c r="B183" s="23">
        <f>Capability!Q9</f>
        <v/>
      </c>
      <c r="CB183">
        <f>IF((CE$1+179)&gt;CC$1,NA(),(CE$1+179)-4)</f>
        <v/>
      </c>
      <c r="CC183">
        <f>IF((CE$1+179)&gt;CC$1,NA(),INDEX('Data Entry'!$H$5:$H$10004,(CE$1+179)-4))</f>
        <v/>
      </c>
      <c r="CD183">
        <f>IF(ISNA(CB183),NA(),Capability!$K$5)</f>
        <v/>
      </c>
      <c r="CE183">
        <f>IF(ISNA(CB183),NA(),Capability!$J$5)</f>
        <v/>
      </c>
      <c r="CF183">
        <f>IF(ISNA(CB183),NA(),Capability!$L$5)</f>
        <v/>
      </c>
      <c r="CG183">
        <f>IF(OR(ISNA(CC183),ISNA(CC182)),NA(),ABS(CC183-CC182))</f>
        <v/>
      </c>
      <c r="CH183">
        <f>IF(ISNA(CB183),NA(),Capability!$N$5)</f>
        <v/>
      </c>
      <c r="CI183">
        <f>IF(ISNA(CB183),NA(),IF(OR(Capability!$Q$5="",Settings!$F$7&lt;&gt;"Y"),NA(),Capability!$Q$5))</f>
        <v/>
      </c>
      <c r="CJ183">
        <f>IF(ISNA(CB183),NA(),IF(OR(Capability!$P$5="",Settings!$F$7&lt;&gt;"Y"),NA(),Capability!$P$5))</f>
        <v/>
      </c>
      <c r="CP183">
        <f>IF((CS$1+179)&gt;CQ$1,NA(),(CS$1+179)-4)</f>
        <v/>
      </c>
      <c r="CQ183">
        <f>IF((CS$1+179)&gt;CQ$1,NA(),INDEX('Data Entry'!$I$5:$I$10004,(CS$1+179)-4))</f>
        <v/>
      </c>
      <c r="CR183">
        <f>IF(ISNA(CP183),NA(),Capability!$K$6)</f>
        <v/>
      </c>
      <c r="CS183">
        <f>IF(ISNA(CP183),NA(),Capability!$J$6)</f>
        <v/>
      </c>
      <c r="CT183">
        <f>IF(ISNA(CP183),NA(),Capability!$L$6)</f>
        <v/>
      </c>
      <c r="CU183">
        <f>IF(OR(ISNA(CQ183),ISNA(CQ182)),NA(),ABS(CQ183-CQ182))</f>
        <v/>
      </c>
      <c r="CV183">
        <f>IF(ISNA(CP183),NA(),Capability!$N$6)</f>
        <v/>
      </c>
      <c r="CW183">
        <f>IF(ISNA(CP183),NA(),IF(OR(Capability!$Q$6="",Settings!$F$7&lt;&gt;"Y"),NA(),Capability!$Q$6))</f>
        <v/>
      </c>
      <c r="CX183">
        <f>IF(ISNA(CP183),NA(),IF(OR(Capability!$P$6="",Settings!$F$7&lt;&gt;"Y"),NA(),Capability!$P$6))</f>
        <v/>
      </c>
      <c r="DD183">
        <f>IF((DG$1+179)&gt;DE$1,NA(),(DG$1+179)-4)</f>
        <v/>
      </c>
      <c r="DE183">
        <f>IF((DG$1+179)&gt;DE$1,NA(),INDEX('Data Entry'!$J$5:$J$10004,(DG$1+179)-4))</f>
        <v/>
      </c>
      <c r="DF183">
        <f>IF(ISNA(DD183),NA(),Capability!$K$7)</f>
        <v/>
      </c>
      <c r="DG183">
        <f>IF(ISNA(DD183),NA(),Capability!$J$7)</f>
        <v/>
      </c>
      <c r="DH183">
        <f>IF(ISNA(DD183),NA(),Capability!$L$7)</f>
        <v/>
      </c>
      <c r="DI183">
        <f>IF(OR(ISNA(DE183),ISNA(DE182)),NA(),ABS(DE183-DE182))</f>
        <v/>
      </c>
      <c r="DJ183">
        <f>IF(ISNA(DD183),NA(),Capability!$N$7)</f>
        <v/>
      </c>
      <c r="DK183">
        <f>IF(ISNA(DD183),NA(),IF(OR(Capability!$Q$7="",Settings!$F$7&lt;&gt;"Y"),NA(),Capability!$Q$7))</f>
        <v/>
      </c>
      <c r="DL183">
        <f>IF(ISNA(DD183),NA(),IF(OR(Capability!$P$7="",Settings!$F$7&lt;&gt;"Y"),NA(),Capability!$P$7))</f>
        <v/>
      </c>
      <c r="DR183">
        <f>IF((DU$1+179)&gt;DS$1,NA(),(DU$1+179)-4)</f>
        <v/>
      </c>
      <c r="DS183">
        <f>IF((DU$1+179)&gt;DS$1,NA(),INDEX('Data Entry'!$K$5:$K$10004,(DU$1+179)-4))</f>
        <v/>
      </c>
      <c r="DT183">
        <f>IF(ISNA(DR183),NA(),Capability!$K$8)</f>
        <v/>
      </c>
      <c r="DU183">
        <f>IF(ISNA(DR183),NA(),Capability!$J$8)</f>
        <v/>
      </c>
      <c r="DV183">
        <f>IF(ISNA(DR183),NA(),Capability!$L$8)</f>
        <v/>
      </c>
      <c r="DW183">
        <f>IF(OR(ISNA(DS183),ISNA(DS182)),NA(),ABS(DS183-DS182))</f>
        <v/>
      </c>
      <c r="DX183">
        <f>IF(ISNA(DR183),NA(),Capability!$N$8)</f>
        <v/>
      </c>
      <c r="DY183">
        <f>IF(ISNA(DR183),NA(),IF(OR(Capability!$Q$8="",Settings!$F$7&lt;&gt;"Y"),NA(),Capability!$Q$8))</f>
        <v/>
      </c>
      <c r="DZ183">
        <f>IF(ISNA(DR183),NA(),IF(OR(Capability!$P$8="",Settings!$F$7&lt;&gt;"Y"),NA(),Capability!$P$8))</f>
        <v/>
      </c>
      <c r="EF183">
        <f>IF((EI$1+179)&gt;EG$1,NA(),(EI$1+179)-4)</f>
        <v/>
      </c>
      <c r="EG183">
        <f>IF((EI$1+179)&gt;EG$1,NA(),INDEX('Data Entry'!$L$5:$L$10004,(EI$1+179)-4))</f>
        <v/>
      </c>
      <c r="EH183">
        <f>IF(ISNA(EF183),NA(),Capability!$K$9)</f>
        <v/>
      </c>
      <c r="EI183">
        <f>IF(ISNA(EF183),NA(),Capability!$J$9)</f>
        <v/>
      </c>
      <c r="EJ183">
        <f>IF(ISNA(EF183),NA(),Capability!$L$9)</f>
        <v/>
      </c>
      <c r="EK183">
        <f>IF(OR(ISNA(EG183),ISNA(EG182)),NA(),ABS(EG183-EG182))</f>
        <v/>
      </c>
      <c r="EL183">
        <f>IF(ISNA(EF183),NA(),Capability!$N$9)</f>
        <v/>
      </c>
      <c r="EM183">
        <f>IF(ISNA(EF183),NA(),IF(OR(Capability!$Q$9="",Settings!$F$7&lt;&gt;"Y"),NA(),Capability!$Q$9))</f>
        <v/>
      </c>
      <c r="EN183">
        <f>IF(ISNA(EF183),NA(),IF(OR(Capability!$P$9="",Settings!$F$7&lt;&gt;"Y"),NA(),Capability!$P$9))</f>
        <v/>
      </c>
      <c r="ET183">
        <f>IF((EW$1+179)&gt;EU$1,NA(),(EW$1+179)-4)</f>
        <v/>
      </c>
      <c r="EU183">
        <f>IF((EW$1+179)&gt;EU$1,NA(),INDEX('Data Entry'!$M$5:$M$10004,(EW$1+179)-4))</f>
        <v/>
      </c>
      <c r="EV183">
        <f>IF(ISNA(ET183),NA(),Capability!$K$10)</f>
        <v/>
      </c>
      <c r="EW183">
        <f>IF(ISNA(ET183),NA(),Capability!$J$10)</f>
        <v/>
      </c>
      <c r="EX183">
        <f>IF(ISNA(ET183),NA(),Capability!$L$10)</f>
        <v/>
      </c>
      <c r="EY183">
        <f>IF(OR(ISNA(EU183),ISNA(EU182)),NA(),ABS(EU183-EU182))</f>
        <v/>
      </c>
      <c r="EZ183">
        <f>IF(ISNA(ET183),NA(),Capability!$N$10)</f>
        <v/>
      </c>
      <c r="FA183">
        <f>IF(ISNA(ET183),NA(),IF(OR(Capability!$Q$10="",Settings!$F$7&lt;&gt;"Y"),NA(),Capability!$Q$10))</f>
        <v/>
      </c>
      <c r="FB183">
        <f>IF(ISNA(ET183),NA(),IF(OR(Capability!$P$10="",Settings!$F$7&lt;&gt;"Y"),NA(),Capability!$P$10))</f>
        <v/>
      </c>
      <c r="FH183">
        <f>IF((FK$1+179)&gt;FI$1,NA(),(FK$1+179)-4)</f>
        <v/>
      </c>
      <c r="FI183">
        <f>IF((FK$1+179)&gt;FI$1,NA(),INDEX('Data Entry'!$N$5:$N$10004,(FK$1+179)-4))</f>
        <v/>
      </c>
      <c r="FJ183">
        <f>IF(ISNA(FH183),NA(),Capability!$K$11)</f>
        <v/>
      </c>
      <c r="FK183">
        <f>IF(ISNA(FH183),NA(),Capability!$J$11)</f>
        <v/>
      </c>
      <c r="FL183">
        <f>IF(ISNA(FH183),NA(),Capability!$L$11)</f>
        <v/>
      </c>
      <c r="FM183">
        <f>IF(OR(ISNA(FI183),ISNA(FI182)),NA(),ABS(FI183-FI182))</f>
        <v/>
      </c>
      <c r="FN183">
        <f>IF(ISNA(FH183),NA(),Capability!$N$11)</f>
        <v/>
      </c>
      <c r="FO183">
        <f>IF(ISNA(FH183),NA(),IF(OR(Capability!$Q$11="",Settings!$F$7&lt;&gt;"Y"),NA(),Capability!$Q$11))</f>
        <v/>
      </c>
      <c r="FP183">
        <f>IF(ISNA(FH183),NA(),IF(OR(Capability!$P$11="",Settings!$F$7&lt;&gt;"Y"),NA(),Capability!$P$11))</f>
        <v/>
      </c>
      <c r="FV183">
        <f>IF((FY$1+179)&gt;FW$1,NA(),(FY$1+179)-4)</f>
        <v/>
      </c>
      <c r="FW183">
        <f>IF((FY$1+179)&gt;FW$1,NA(),INDEX('Data Entry'!$O$5:$O$10004,(FY$1+179)-4))</f>
        <v/>
      </c>
      <c r="FX183">
        <f>IF(ISNA(FV183),NA(),Capability!$K$12)</f>
        <v/>
      </c>
      <c r="FY183">
        <f>IF(ISNA(FV183),NA(),Capability!$J$12)</f>
        <v/>
      </c>
      <c r="FZ183">
        <f>IF(ISNA(FV183),NA(),Capability!$L$12)</f>
        <v/>
      </c>
      <c r="GA183">
        <f>IF(OR(ISNA(FW183),ISNA(FW182)),NA(),ABS(FW183-FW182))</f>
        <v/>
      </c>
      <c r="GB183">
        <f>IF(ISNA(FV183),NA(),Capability!$N$12)</f>
        <v/>
      </c>
      <c r="GC183">
        <f>IF(ISNA(FV183),NA(),IF(OR(Capability!$Q$12="",Settings!$F$7&lt;&gt;"Y"),NA(),Capability!$Q$12))</f>
        <v/>
      </c>
      <c r="GD183">
        <f>IF(ISNA(FV183),NA(),IF(OR(Capability!$P$12="",Settings!$F$7&lt;&gt;"Y"),NA(),Capability!$P$12))</f>
        <v/>
      </c>
      <c r="GJ183">
        <f>IF((GM$1+179)&gt;GK$1,NA(),(GM$1+179)-4)</f>
        <v/>
      </c>
      <c r="GK183">
        <f>IF((GM$1+179)&gt;GK$1,NA(),INDEX('Data Entry'!$P$5:$P$10004,(GM$1+179)-4))</f>
        <v/>
      </c>
      <c r="GL183">
        <f>IF(ISNA(GJ183),NA(),Capability!$K$13)</f>
        <v/>
      </c>
      <c r="GM183">
        <f>IF(ISNA(GJ183),NA(),Capability!$J$13)</f>
        <v/>
      </c>
      <c r="GN183">
        <f>IF(ISNA(GJ183),NA(),Capability!$L$13)</f>
        <v/>
      </c>
      <c r="GO183">
        <f>IF(OR(ISNA(GK183),ISNA(GK182)),NA(),ABS(GK183-GK182))</f>
        <v/>
      </c>
      <c r="GP183">
        <f>IF(ISNA(GJ183),NA(),Capability!$N$13)</f>
        <v/>
      </c>
      <c r="GQ183">
        <f>IF(ISNA(GJ183),NA(),IF(OR(Capability!$Q$13="",Settings!$F$7&lt;&gt;"Y"),NA(),Capability!$Q$13))</f>
        <v/>
      </c>
      <c r="GR183">
        <f>IF(ISNA(GJ183),NA(),IF(OR(Capability!$P$13="",Settings!$F$7&lt;&gt;"Y"),NA(),Capability!$P$13))</f>
        <v/>
      </c>
      <c r="GX183">
        <f>IF((HA$1+179)&gt;GY$1,NA(),(HA$1+179)-4)</f>
        <v/>
      </c>
      <c r="GY183">
        <f>IF((HA$1+179)&gt;GY$1,NA(),INDEX('Data Entry'!$Q$5:$Q$10004,(HA$1+179)-4))</f>
        <v/>
      </c>
      <c r="GZ183">
        <f>IF(ISNA(GX183),NA(),Capability!$K$14)</f>
        <v/>
      </c>
      <c r="HA183">
        <f>IF(ISNA(GX183),NA(),Capability!$J$14)</f>
        <v/>
      </c>
      <c r="HB183">
        <f>IF(ISNA(GX183),NA(),Capability!$L$14)</f>
        <v/>
      </c>
      <c r="HC183">
        <f>IF(OR(ISNA(GY183),ISNA(GY182)),NA(),ABS(GY183-GY182))</f>
        <v/>
      </c>
      <c r="HD183">
        <f>IF(ISNA(GX183),NA(),Capability!$N$14)</f>
        <v/>
      </c>
      <c r="HE183">
        <f>IF(ISNA(GX183),NA(),IF(OR(Capability!$Q$14="",Settings!$F$7&lt;&gt;"Y"),NA(),Capability!$Q$14))</f>
        <v/>
      </c>
      <c r="HF183">
        <f>IF(ISNA(GX183),NA(),IF(OR(Capability!$P$14="",Settings!$F$7&lt;&gt;"Y"),NA(),Capability!$P$14))</f>
        <v/>
      </c>
    </row>
    <row r="184">
      <c r="A184" s="35" t="inlineStr">
        <is>
          <t>Nominal</t>
        </is>
      </c>
      <c r="B184" s="23">
        <f>Capability!O9</f>
        <v/>
      </c>
      <c r="CB184">
        <f>IF((CE$1+180)&gt;CC$1,NA(),(CE$1+180)-4)</f>
        <v/>
      </c>
      <c r="CC184">
        <f>IF((CE$1+180)&gt;CC$1,NA(),INDEX('Data Entry'!$H$5:$H$10004,(CE$1+180)-4))</f>
        <v/>
      </c>
      <c r="CD184">
        <f>IF(ISNA(CB184),NA(),Capability!$K$5)</f>
        <v/>
      </c>
      <c r="CE184">
        <f>IF(ISNA(CB184),NA(),Capability!$J$5)</f>
        <v/>
      </c>
      <c r="CF184">
        <f>IF(ISNA(CB184),NA(),Capability!$L$5)</f>
        <v/>
      </c>
      <c r="CG184">
        <f>IF(OR(ISNA(CC184),ISNA(CC183)),NA(),ABS(CC184-CC183))</f>
        <v/>
      </c>
      <c r="CH184">
        <f>IF(ISNA(CB184),NA(),Capability!$N$5)</f>
        <v/>
      </c>
      <c r="CI184">
        <f>IF(ISNA(CB184),NA(),IF(OR(Capability!$Q$5="",Settings!$F$7&lt;&gt;"Y"),NA(),Capability!$Q$5))</f>
        <v/>
      </c>
      <c r="CJ184">
        <f>IF(ISNA(CB184),NA(),IF(OR(Capability!$P$5="",Settings!$F$7&lt;&gt;"Y"),NA(),Capability!$P$5))</f>
        <v/>
      </c>
      <c r="CP184">
        <f>IF((CS$1+180)&gt;CQ$1,NA(),(CS$1+180)-4)</f>
        <v/>
      </c>
      <c r="CQ184">
        <f>IF((CS$1+180)&gt;CQ$1,NA(),INDEX('Data Entry'!$I$5:$I$10004,(CS$1+180)-4))</f>
        <v/>
      </c>
      <c r="CR184">
        <f>IF(ISNA(CP184),NA(),Capability!$K$6)</f>
        <v/>
      </c>
      <c r="CS184">
        <f>IF(ISNA(CP184),NA(),Capability!$J$6)</f>
        <v/>
      </c>
      <c r="CT184">
        <f>IF(ISNA(CP184),NA(),Capability!$L$6)</f>
        <v/>
      </c>
      <c r="CU184">
        <f>IF(OR(ISNA(CQ184),ISNA(CQ183)),NA(),ABS(CQ184-CQ183))</f>
        <v/>
      </c>
      <c r="CV184">
        <f>IF(ISNA(CP184),NA(),Capability!$N$6)</f>
        <v/>
      </c>
      <c r="CW184">
        <f>IF(ISNA(CP184),NA(),IF(OR(Capability!$Q$6="",Settings!$F$7&lt;&gt;"Y"),NA(),Capability!$Q$6))</f>
        <v/>
      </c>
      <c r="CX184">
        <f>IF(ISNA(CP184),NA(),IF(OR(Capability!$P$6="",Settings!$F$7&lt;&gt;"Y"),NA(),Capability!$P$6))</f>
        <v/>
      </c>
      <c r="DD184">
        <f>IF((DG$1+180)&gt;DE$1,NA(),(DG$1+180)-4)</f>
        <v/>
      </c>
      <c r="DE184">
        <f>IF((DG$1+180)&gt;DE$1,NA(),INDEX('Data Entry'!$J$5:$J$10004,(DG$1+180)-4))</f>
        <v/>
      </c>
      <c r="DF184">
        <f>IF(ISNA(DD184),NA(),Capability!$K$7)</f>
        <v/>
      </c>
      <c r="DG184">
        <f>IF(ISNA(DD184),NA(),Capability!$J$7)</f>
        <v/>
      </c>
      <c r="DH184">
        <f>IF(ISNA(DD184),NA(),Capability!$L$7)</f>
        <v/>
      </c>
      <c r="DI184">
        <f>IF(OR(ISNA(DE184),ISNA(DE183)),NA(),ABS(DE184-DE183))</f>
        <v/>
      </c>
      <c r="DJ184">
        <f>IF(ISNA(DD184),NA(),Capability!$N$7)</f>
        <v/>
      </c>
      <c r="DK184">
        <f>IF(ISNA(DD184),NA(),IF(OR(Capability!$Q$7="",Settings!$F$7&lt;&gt;"Y"),NA(),Capability!$Q$7))</f>
        <v/>
      </c>
      <c r="DL184">
        <f>IF(ISNA(DD184),NA(),IF(OR(Capability!$P$7="",Settings!$F$7&lt;&gt;"Y"),NA(),Capability!$P$7))</f>
        <v/>
      </c>
      <c r="DR184">
        <f>IF((DU$1+180)&gt;DS$1,NA(),(DU$1+180)-4)</f>
        <v/>
      </c>
      <c r="DS184">
        <f>IF((DU$1+180)&gt;DS$1,NA(),INDEX('Data Entry'!$K$5:$K$10004,(DU$1+180)-4))</f>
        <v/>
      </c>
      <c r="DT184">
        <f>IF(ISNA(DR184),NA(),Capability!$K$8)</f>
        <v/>
      </c>
      <c r="DU184">
        <f>IF(ISNA(DR184),NA(),Capability!$J$8)</f>
        <v/>
      </c>
      <c r="DV184">
        <f>IF(ISNA(DR184),NA(),Capability!$L$8)</f>
        <v/>
      </c>
      <c r="DW184">
        <f>IF(OR(ISNA(DS184),ISNA(DS183)),NA(),ABS(DS184-DS183))</f>
        <v/>
      </c>
      <c r="DX184">
        <f>IF(ISNA(DR184),NA(),Capability!$N$8)</f>
        <v/>
      </c>
      <c r="DY184">
        <f>IF(ISNA(DR184),NA(),IF(OR(Capability!$Q$8="",Settings!$F$7&lt;&gt;"Y"),NA(),Capability!$Q$8))</f>
        <v/>
      </c>
      <c r="DZ184">
        <f>IF(ISNA(DR184),NA(),IF(OR(Capability!$P$8="",Settings!$F$7&lt;&gt;"Y"),NA(),Capability!$P$8))</f>
        <v/>
      </c>
      <c r="EF184">
        <f>IF((EI$1+180)&gt;EG$1,NA(),(EI$1+180)-4)</f>
        <v/>
      </c>
      <c r="EG184">
        <f>IF((EI$1+180)&gt;EG$1,NA(),INDEX('Data Entry'!$L$5:$L$10004,(EI$1+180)-4))</f>
        <v/>
      </c>
      <c r="EH184">
        <f>IF(ISNA(EF184),NA(),Capability!$K$9)</f>
        <v/>
      </c>
      <c r="EI184">
        <f>IF(ISNA(EF184),NA(),Capability!$J$9)</f>
        <v/>
      </c>
      <c r="EJ184">
        <f>IF(ISNA(EF184),NA(),Capability!$L$9)</f>
        <v/>
      </c>
      <c r="EK184">
        <f>IF(OR(ISNA(EG184),ISNA(EG183)),NA(),ABS(EG184-EG183))</f>
        <v/>
      </c>
      <c r="EL184">
        <f>IF(ISNA(EF184),NA(),Capability!$N$9)</f>
        <v/>
      </c>
      <c r="EM184">
        <f>IF(ISNA(EF184),NA(),IF(OR(Capability!$Q$9="",Settings!$F$7&lt;&gt;"Y"),NA(),Capability!$Q$9))</f>
        <v/>
      </c>
      <c r="EN184">
        <f>IF(ISNA(EF184),NA(),IF(OR(Capability!$P$9="",Settings!$F$7&lt;&gt;"Y"),NA(),Capability!$P$9))</f>
        <v/>
      </c>
      <c r="ET184">
        <f>IF((EW$1+180)&gt;EU$1,NA(),(EW$1+180)-4)</f>
        <v/>
      </c>
      <c r="EU184">
        <f>IF((EW$1+180)&gt;EU$1,NA(),INDEX('Data Entry'!$M$5:$M$10004,(EW$1+180)-4))</f>
        <v/>
      </c>
      <c r="EV184">
        <f>IF(ISNA(ET184),NA(),Capability!$K$10)</f>
        <v/>
      </c>
      <c r="EW184">
        <f>IF(ISNA(ET184),NA(),Capability!$J$10)</f>
        <v/>
      </c>
      <c r="EX184">
        <f>IF(ISNA(ET184),NA(),Capability!$L$10)</f>
        <v/>
      </c>
      <c r="EY184">
        <f>IF(OR(ISNA(EU184),ISNA(EU183)),NA(),ABS(EU184-EU183))</f>
        <v/>
      </c>
      <c r="EZ184">
        <f>IF(ISNA(ET184),NA(),Capability!$N$10)</f>
        <v/>
      </c>
      <c r="FA184">
        <f>IF(ISNA(ET184),NA(),IF(OR(Capability!$Q$10="",Settings!$F$7&lt;&gt;"Y"),NA(),Capability!$Q$10))</f>
        <v/>
      </c>
      <c r="FB184">
        <f>IF(ISNA(ET184),NA(),IF(OR(Capability!$P$10="",Settings!$F$7&lt;&gt;"Y"),NA(),Capability!$P$10))</f>
        <v/>
      </c>
      <c r="FH184">
        <f>IF((FK$1+180)&gt;FI$1,NA(),(FK$1+180)-4)</f>
        <v/>
      </c>
      <c r="FI184">
        <f>IF((FK$1+180)&gt;FI$1,NA(),INDEX('Data Entry'!$N$5:$N$10004,(FK$1+180)-4))</f>
        <v/>
      </c>
      <c r="FJ184">
        <f>IF(ISNA(FH184),NA(),Capability!$K$11)</f>
        <v/>
      </c>
      <c r="FK184">
        <f>IF(ISNA(FH184),NA(),Capability!$J$11)</f>
        <v/>
      </c>
      <c r="FL184">
        <f>IF(ISNA(FH184),NA(),Capability!$L$11)</f>
        <v/>
      </c>
      <c r="FM184">
        <f>IF(OR(ISNA(FI184),ISNA(FI183)),NA(),ABS(FI184-FI183))</f>
        <v/>
      </c>
      <c r="FN184">
        <f>IF(ISNA(FH184),NA(),Capability!$N$11)</f>
        <v/>
      </c>
      <c r="FO184">
        <f>IF(ISNA(FH184),NA(),IF(OR(Capability!$Q$11="",Settings!$F$7&lt;&gt;"Y"),NA(),Capability!$Q$11))</f>
        <v/>
      </c>
      <c r="FP184">
        <f>IF(ISNA(FH184),NA(),IF(OR(Capability!$P$11="",Settings!$F$7&lt;&gt;"Y"),NA(),Capability!$P$11))</f>
        <v/>
      </c>
      <c r="FV184">
        <f>IF((FY$1+180)&gt;FW$1,NA(),(FY$1+180)-4)</f>
        <v/>
      </c>
      <c r="FW184">
        <f>IF((FY$1+180)&gt;FW$1,NA(),INDEX('Data Entry'!$O$5:$O$10004,(FY$1+180)-4))</f>
        <v/>
      </c>
      <c r="FX184">
        <f>IF(ISNA(FV184),NA(),Capability!$K$12)</f>
        <v/>
      </c>
      <c r="FY184">
        <f>IF(ISNA(FV184),NA(),Capability!$J$12)</f>
        <v/>
      </c>
      <c r="FZ184">
        <f>IF(ISNA(FV184),NA(),Capability!$L$12)</f>
        <v/>
      </c>
      <c r="GA184">
        <f>IF(OR(ISNA(FW184),ISNA(FW183)),NA(),ABS(FW184-FW183))</f>
        <v/>
      </c>
      <c r="GB184">
        <f>IF(ISNA(FV184),NA(),Capability!$N$12)</f>
        <v/>
      </c>
      <c r="GC184">
        <f>IF(ISNA(FV184),NA(),IF(OR(Capability!$Q$12="",Settings!$F$7&lt;&gt;"Y"),NA(),Capability!$Q$12))</f>
        <v/>
      </c>
      <c r="GD184">
        <f>IF(ISNA(FV184),NA(),IF(OR(Capability!$P$12="",Settings!$F$7&lt;&gt;"Y"),NA(),Capability!$P$12))</f>
        <v/>
      </c>
      <c r="GJ184">
        <f>IF((GM$1+180)&gt;GK$1,NA(),(GM$1+180)-4)</f>
        <v/>
      </c>
      <c r="GK184">
        <f>IF((GM$1+180)&gt;GK$1,NA(),INDEX('Data Entry'!$P$5:$P$10004,(GM$1+180)-4))</f>
        <v/>
      </c>
      <c r="GL184">
        <f>IF(ISNA(GJ184),NA(),Capability!$K$13)</f>
        <v/>
      </c>
      <c r="GM184">
        <f>IF(ISNA(GJ184),NA(),Capability!$J$13)</f>
        <v/>
      </c>
      <c r="GN184">
        <f>IF(ISNA(GJ184),NA(),Capability!$L$13)</f>
        <v/>
      </c>
      <c r="GO184">
        <f>IF(OR(ISNA(GK184),ISNA(GK183)),NA(),ABS(GK184-GK183))</f>
        <v/>
      </c>
      <c r="GP184">
        <f>IF(ISNA(GJ184),NA(),Capability!$N$13)</f>
        <v/>
      </c>
      <c r="GQ184">
        <f>IF(ISNA(GJ184),NA(),IF(OR(Capability!$Q$13="",Settings!$F$7&lt;&gt;"Y"),NA(),Capability!$Q$13))</f>
        <v/>
      </c>
      <c r="GR184">
        <f>IF(ISNA(GJ184),NA(),IF(OR(Capability!$P$13="",Settings!$F$7&lt;&gt;"Y"),NA(),Capability!$P$13))</f>
        <v/>
      </c>
      <c r="GX184">
        <f>IF((HA$1+180)&gt;GY$1,NA(),(HA$1+180)-4)</f>
        <v/>
      </c>
      <c r="GY184">
        <f>IF((HA$1+180)&gt;GY$1,NA(),INDEX('Data Entry'!$Q$5:$Q$10004,(HA$1+180)-4))</f>
        <v/>
      </c>
      <c r="GZ184">
        <f>IF(ISNA(GX184),NA(),Capability!$K$14)</f>
        <v/>
      </c>
      <c r="HA184">
        <f>IF(ISNA(GX184),NA(),Capability!$J$14)</f>
        <v/>
      </c>
      <c r="HB184">
        <f>IF(ISNA(GX184),NA(),Capability!$L$14)</f>
        <v/>
      </c>
      <c r="HC184">
        <f>IF(OR(ISNA(GY184),ISNA(GY183)),NA(),ABS(GY184-GY183))</f>
        <v/>
      </c>
      <c r="HD184">
        <f>IF(ISNA(GX184),NA(),Capability!$N$14)</f>
        <v/>
      </c>
      <c r="HE184">
        <f>IF(ISNA(GX184),NA(),IF(OR(Capability!$Q$14="",Settings!$F$7&lt;&gt;"Y"),NA(),Capability!$Q$14))</f>
        <v/>
      </c>
      <c r="HF184">
        <f>IF(ISNA(GX184),NA(),IF(OR(Capability!$P$14="",Settings!$F$7&lt;&gt;"Y"),NA(),Capability!$P$14))</f>
        <v/>
      </c>
    </row>
    <row r="185">
      <c r="A185" s="35" t="inlineStr">
        <is>
          <t>LSL</t>
        </is>
      </c>
      <c r="B185" s="23">
        <f>Capability!P9</f>
        <v/>
      </c>
      <c r="CB185">
        <f>IF((CE$1+181)&gt;CC$1,NA(),(CE$1+181)-4)</f>
        <v/>
      </c>
      <c r="CC185">
        <f>IF((CE$1+181)&gt;CC$1,NA(),INDEX('Data Entry'!$H$5:$H$10004,(CE$1+181)-4))</f>
        <v/>
      </c>
      <c r="CD185">
        <f>IF(ISNA(CB185),NA(),Capability!$K$5)</f>
        <v/>
      </c>
      <c r="CE185">
        <f>IF(ISNA(CB185),NA(),Capability!$J$5)</f>
        <v/>
      </c>
      <c r="CF185">
        <f>IF(ISNA(CB185),NA(),Capability!$L$5)</f>
        <v/>
      </c>
      <c r="CG185">
        <f>IF(OR(ISNA(CC185),ISNA(CC184)),NA(),ABS(CC185-CC184))</f>
        <v/>
      </c>
      <c r="CH185">
        <f>IF(ISNA(CB185),NA(),Capability!$N$5)</f>
        <v/>
      </c>
      <c r="CI185">
        <f>IF(ISNA(CB185),NA(),IF(OR(Capability!$Q$5="",Settings!$F$7&lt;&gt;"Y"),NA(),Capability!$Q$5))</f>
        <v/>
      </c>
      <c r="CJ185">
        <f>IF(ISNA(CB185),NA(),IF(OR(Capability!$P$5="",Settings!$F$7&lt;&gt;"Y"),NA(),Capability!$P$5))</f>
        <v/>
      </c>
      <c r="CP185">
        <f>IF((CS$1+181)&gt;CQ$1,NA(),(CS$1+181)-4)</f>
        <v/>
      </c>
      <c r="CQ185">
        <f>IF((CS$1+181)&gt;CQ$1,NA(),INDEX('Data Entry'!$I$5:$I$10004,(CS$1+181)-4))</f>
        <v/>
      </c>
      <c r="CR185">
        <f>IF(ISNA(CP185),NA(),Capability!$K$6)</f>
        <v/>
      </c>
      <c r="CS185">
        <f>IF(ISNA(CP185),NA(),Capability!$J$6)</f>
        <v/>
      </c>
      <c r="CT185">
        <f>IF(ISNA(CP185),NA(),Capability!$L$6)</f>
        <v/>
      </c>
      <c r="CU185">
        <f>IF(OR(ISNA(CQ185),ISNA(CQ184)),NA(),ABS(CQ185-CQ184))</f>
        <v/>
      </c>
      <c r="CV185">
        <f>IF(ISNA(CP185),NA(),Capability!$N$6)</f>
        <v/>
      </c>
      <c r="CW185">
        <f>IF(ISNA(CP185),NA(),IF(OR(Capability!$Q$6="",Settings!$F$7&lt;&gt;"Y"),NA(),Capability!$Q$6))</f>
        <v/>
      </c>
      <c r="CX185">
        <f>IF(ISNA(CP185),NA(),IF(OR(Capability!$P$6="",Settings!$F$7&lt;&gt;"Y"),NA(),Capability!$P$6))</f>
        <v/>
      </c>
      <c r="DD185">
        <f>IF((DG$1+181)&gt;DE$1,NA(),(DG$1+181)-4)</f>
        <v/>
      </c>
      <c r="DE185">
        <f>IF((DG$1+181)&gt;DE$1,NA(),INDEX('Data Entry'!$J$5:$J$10004,(DG$1+181)-4))</f>
        <v/>
      </c>
      <c r="DF185">
        <f>IF(ISNA(DD185),NA(),Capability!$K$7)</f>
        <v/>
      </c>
      <c r="DG185">
        <f>IF(ISNA(DD185),NA(),Capability!$J$7)</f>
        <v/>
      </c>
      <c r="DH185">
        <f>IF(ISNA(DD185),NA(),Capability!$L$7)</f>
        <v/>
      </c>
      <c r="DI185">
        <f>IF(OR(ISNA(DE185),ISNA(DE184)),NA(),ABS(DE185-DE184))</f>
        <v/>
      </c>
      <c r="DJ185">
        <f>IF(ISNA(DD185),NA(),Capability!$N$7)</f>
        <v/>
      </c>
      <c r="DK185">
        <f>IF(ISNA(DD185),NA(),IF(OR(Capability!$Q$7="",Settings!$F$7&lt;&gt;"Y"),NA(),Capability!$Q$7))</f>
        <v/>
      </c>
      <c r="DL185">
        <f>IF(ISNA(DD185),NA(),IF(OR(Capability!$P$7="",Settings!$F$7&lt;&gt;"Y"),NA(),Capability!$P$7))</f>
        <v/>
      </c>
      <c r="DR185">
        <f>IF((DU$1+181)&gt;DS$1,NA(),(DU$1+181)-4)</f>
        <v/>
      </c>
      <c r="DS185">
        <f>IF((DU$1+181)&gt;DS$1,NA(),INDEX('Data Entry'!$K$5:$K$10004,(DU$1+181)-4))</f>
        <v/>
      </c>
      <c r="DT185">
        <f>IF(ISNA(DR185),NA(),Capability!$K$8)</f>
        <v/>
      </c>
      <c r="DU185">
        <f>IF(ISNA(DR185),NA(),Capability!$J$8)</f>
        <v/>
      </c>
      <c r="DV185">
        <f>IF(ISNA(DR185),NA(),Capability!$L$8)</f>
        <v/>
      </c>
      <c r="DW185">
        <f>IF(OR(ISNA(DS185),ISNA(DS184)),NA(),ABS(DS185-DS184))</f>
        <v/>
      </c>
      <c r="DX185">
        <f>IF(ISNA(DR185),NA(),Capability!$N$8)</f>
        <v/>
      </c>
      <c r="DY185">
        <f>IF(ISNA(DR185),NA(),IF(OR(Capability!$Q$8="",Settings!$F$7&lt;&gt;"Y"),NA(),Capability!$Q$8))</f>
        <v/>
      </c>
      <c r="DZ185">
        <f>IF(ISNA(DR185),NA(),IF(OR(Capability!$P$8="",Settings!$F$7&lt;&gt;"Y"),NA(),Capability!$P$8))</f>
        <v/>
      </c>
      <c r="EF185">
        <f>IF((EI$1+181)&gt;EG$1,NA(),(EI$1+181)-4)</f>
        <v/>
      </c>
      <c r="EG185">
        <f>IF((EI$1+181)&gt;EG$1,NA(),INDEX('Data Entry'!$L$5:$L$10004,(EI$1+181)-4))</f>
        <v/>
      </c>
      <c r="EH185">
        <f>IF(ISNA(EF185),NA(),Capability!$K$9)</f>
        <v/>
      </c>
      <c r="EI185">
        <f>IF(ISNA(EF185),NA(),Capability!$J$9)</f>
        <v/>
      </c>
      <c r="EJ185">
        <f>IF(ISNA(EF185),NA(),Capability!$L$9)</f>
        <v/>
      </c>
      <c r="EK185">
        <f>IF(OR(ISNA(EG185),ISNA(EG184)),NA(),ABS(EG185-EG184))</f>
        <v/>
      </c>
      <c r="EL185">
        <f>IF(ISNA(EF185),NA(),Capability!$N$9)</f>
        <v/>
      </c>
      <c r="EM185">
        <f>IF(ISNA(EF185),NA(),IF(OR(Capability!$Q$9="",Settings!$F$7&lt;&gt;"Y"),NA(),Capability!$Q$9))</f>
        <v/>
      </c>
      <c r="EN185">
        <f>IF(ISNA(EF185),NA(),IF(OR(Capability!$P$9="",Settings!$F$7&lt;&gt;"Y"),NA(),Capability!$P$9))</f>
        <v/>
      </c>
      <c r="ET185">
        <f>IF((EW$1+181)&gt;EU$1,NA(),(EW$1+181)-4)</f>
        <v/>
      </c>
      <c r="EU185">
        <f>IF((EW$1+181)&gt;EU$1,NA(),INDEX('Data Entry'!$M$5:$M$10004,(EW$1+181)-4))</f>
        <v/>
      </c>
      <c r="EV185">
        <f>IF(ISNA(ET185),NA(),Capability!$K$10)</f>
        <v/>
      </c>
      <c r="EW185">
        <f>IF(ISNA(ET185),NA(),Capability!$J$10)</f>
        <v/>
      </c>
      <c r="EX185">
        <f>IF(ISNA(ET185),NA(),Capability!$L$10)</f>
        <v/>
      </c>
      <c r="EY185">
        <f>IF(OR(ISNA(EU185),ISNA(EU184)),NA(),ABS(EU185-EU184))</f>
        <v/>
      </c>
      <c r="EZ185">
        <f>IF(ISNA(ET185),NA(),Capability!$N$10)</f>
        <v/>
      </c>
      <c r="FA185">
        <f>IF(ISNA(ET185),NA(),IF(OR(Capability!$Q$10="",Settings!$F$7&lt;&gt;"Y"),NA(),Capability!$Q$10))</f>
        <v/>
      </c>
      <c r="FB185">
        <f>IF(ISNA(ET185),NA(),IF(OR(Capability!$P$10="",Settings!$F$7&lt;&gt;"Y"),NA(),Capability!$P$10))</f>
        <v/>
      </c>
      <c r="FH185">
        <f>IF((FK$1+181)&gt;FI$1,NA(),(FK$1+181)-4)</f>
        <v/>
      </c>
      <c r="FI185">
        <f>IF((FK$1+181)&gt;FI$1,NA(),INDEX('Data Entry'!$N$5:$N$10004,(FK$1+181)-4))</f>
        <v/>
      </c>
      <c r="FJ185">
        <f>IF(ISNA(FH185),NA(),Capability!$K$11)</f>
        <v/>
      </c>
      <c r="FK185">
        <f>IF(ISNA(FH185),NA(),Capability!$J$11)</f>
        <v/>
      </c>
      <c r="FL185">
        <f>IF(ISNA(FH185),NA(),Capability!$L$11)</f>
        <v/>
      </c>
      <c r="FM185">
        <f>IF(OR(ISNA(FI185),ISNA(FI184)),NA(),ABS(FI185-FI184))</f>
        <v/>
      </c>
      <c r="FN185">
        <f>IF(ISNA(FH185),NA(),Capability!$N$11)</f>
        <v/>
      </c>
      <c r="FO185">
        <f>IF(ISNA(FH185),NA(),IF(OR(Capability!$Q$11="",Settings!$F$7&lt;&gt;"Y"),NA(),Capability!$Q$11))</f>
        <v/>
      </c>
      <c r="FP185">
        <f>IF(ISNA(FH185),NA(),IF(OR(Capability!$P$11="",Settings!$F$7&lt;&gt;"Y"),NA(),Capability!$P$11))</f>
        <v/>
      </c>
      <c r="FV185">
        <f>IF((FY$1+181)&gt;FW$1,NA(),(FY$1+181)-4)</f>
        <v/>
      </c>
      <c r="FW185">
        <f>IF((FY$1+181)&gt;FW$1,NA(),INDEX('Data Entry'!$O$5:$O$10004,(FY$1+181)-4))</f>
        <v/>
      </c>
      <c r="FX185">
        <f>IF(ISNA(FV185),NA(),Capability!$K$12)</f>
        <v/>
      </c>
      <c r="FY185">
        <f>IF(ISNA(FV185),NA(),Capability!$J$12)</f>
        <v/>
      </c>
      <c r="FZ185">
        <f>IF(ISNA(FV185),NA(),Capability!$L$12)</f>
        <v/>
      </c>
      <c r="GA185">
        <f>IF(OR(ISNA(FW185),ISNA(FW184)),NA(),ABS(FW185-FW184))</f>
        <v/>
      </c>
      <c r="GB185">
        <f>IF(ISNA(FV185),NA(),Capability!$N$12)</f>
        <v/>
      </c>
      <c r="GC185">
        <f>IF(ISNA(FV185),NA(),IF(OR(Capability!$Q$12="",Settings!$F$7&lt;&gt;"Y"),NA(),Capability!$Q$12))</f>
        <v/>
      </c>
      <c r="GD185">
        <f>IF(ISNA(FV185),NA(),IF(OR(Capability!$P$12="",Settings!$F$7&lt;&gt;"Y"),NA(),Capability!$P$12))</f>
        <v/>
      </c>
      <c r="GJ185">
        <f>IF((GM$1+181)&gt;GK$1,NA(),(GM$1+181)-4)</f>
        <v/>
      </c>
      <c r="GK185">
        <f>IF((GM$1+181)&gt;GK$1,NA(),INDEX('Data Entry'!$P$5:$P$10004,(GM$1+181)-4))</f>
        <v/>
      </c>
      <c r="GL185">
        <f>IF(ISNA(GJ185),NA(),Capability!$K$13)</f>
        <v/>
      </c>
      <c r="GM185">
        <f>IF(ISNA(GJ185),NA(),Capability!$J$13)</f>
        <v/>
      </c>
      <c r="GN185">
        <f>IF(ISNA(GJ185),NA(),Capability!$L$13)</f>
        <v/>
      </c>
      <c r="GO185">
        <f>IF(OR(ISNA(GK185),ISNA(GK184)),NA(),ABS(GK185-GK184))</f>
        <v/>
      </c>
      <c r="GP185">
        <f>IF(ISNA(GJ185),NA(),Capability!$N$13)</f>
        <v/>
      </c>
      <c r="GQ185">
        <f>IF(ISNA(GJ185),NA(),IF(OR(Capability!$Q$13="",Settings!$F$7&lt;&gt;"Y"),NA(),Capability!$Q$13))</f>
        <v/>
      </c>
      <c r="GR185">
        <f>IF(ISNA(GJ185),NA(),IF(OR(Capability!$P$13="",Settings!$F$7&lt;&gt;"Y"),NA(),Capability!$P$13))</f>
        <v/>
      </c>
      <c r="GX185">
        <f>IF((HA$1+181)&gt;GY$1,NA(),(HA$1+181)-4)</f>
        <v/>
      </c>
      <c r="GY185">
        <f>IF((HA$1+181)&gt;GY$1,NA(),INDEX('Data Entry'!$Q$5:$Q$10004,(HA$1+181)-4))</f>
        <v/>
      </c>
      <c r="GZ185">
        <f>IF(ISNA(GX185),NA(),Capability!$K$14)</f>
        <v/>
      </c>
      <c r="HA185">
        <f>IF(ISNA(GX185),NA(),Capability!$J$14)</f>
        <v/>
      </c>
      <c r="HB185">
        <f>IF(ISNA(GX185),NA(),Capability!$L$14)</f>
        <v/>
      </c>
      <c r="HC185">
        <f>IF(OR(ISNA(GY185),ISNA(GY184)),NA(),ABS(GY185-GY184))</f>
        <v/>
      </c>
      <c r="HD185">
        <f>IF(ISNA(GX185),NA(),Capability!$N$14)</f>
        <v/>
      </c>
      <c r="HE185">
        <f>IF(ISNA(GX185),NA(),IF(OR(Capability!$Q$14="",Settings!$F$7&lt;&gt;"Y"),NA(),Capability!$Q$14))</f>
        <v/>
      </c>
      <c r="HF185">
        <f>IF(ISNA(GX185),NA(),IF(OR(Capability!$P$14="",Settings!$F$7&lt;&gt;"Y"),NA(),Capability!$P$14))</f>
        <v/>
      </c>
    </row>
    <row r="186">
      <c r="A186" s="37" t="inlineStr">
        <is>
          <t>CAPABILITY</t>
        </is>
      </c>
      <c r="B186" s="28" t="n"/>
      <c r="CB186">
        <f>IF((CE$1+182)&gt;CC$1,NA(),(CE$1+182)-4)</f>
        <v/>
      </c>
      <c r="CC186">
        <f>IF((CE$1+182)&gt;CC$1,NA(),INDEX('Data Entry'!$H$5:$H$10004,(CE$1+182)-4))</f>
        <v/>
      </c>
      <c r="CD186">
        <f>IF(ISNA(CB186),NA(),Capability!$K$5)</f>
        <v/>
      </c>
      <c r="CE186">
        <f>IF(ISNA(CB186),NA(),Capability!$J$5)</f>
        <v/>
      </c>
      <c r="CF186">
        <f>IF(ISNA(CB186),NA(),Capability!$L$5)</f>
        <v/>
      </c>
      <c r="CG186">
        <f>IF(OR(ISNA(CC186),ISNA(CC185)),NA(),ABS(CC186-CC185))</f>
        <v/>
      </c>
      <c r="CH186">
        <f>IF(ISNA(CB186),NA(),Capability!$N$5)</f>
        <v/>
      </c>
      <c r="CI186">
        <f>IF(ISNA(CB186),NA(),IF(OR(Capability!$Q$5="",Settings!$F$7&lt;&gt;"Y"),NA(),Capability!$Q$5))</f>
        <v/>
      </c>
      <c r="CJ186">
        <f>IF(ISNA(CB186),NA(),IF(OR(Capability!$P$5="",Settings!$F$7&lt;&gt;"Y"),NA(),Capability!$P$5))</f>
        <v/>
      </c>
      <c r="CP186">
        <f>IF((CS$1+182)&gt;CQ$1,NA(),(CS$1+182)-4)</f>
        <v/>
      </c>
      <c r="CQ186">
        <f>IF((CS$1+182)&gt;CQ$1,NA(),INDEX('Data Entry'!$I$5:$I$10004,(CS$1+182)-4))</f>
        <v/>
      </c>
      <c r="CR186">
        <f>IF(ISNA(CP186),NA(),Capability!$K$6)</f>
        <v/>
      </c>
      <c r="CS186">
        <f>IF(ISNA(CP186),NA(),Capability!$J$6)</f>
        <v/>
      </c>
      <c r="CT186">
        <f>IF(ISNA(CP186),NA(),Capability!$L$6)</f>
        <v/>
      </c>
      <c r="CU186">
        <f>IF(OR(ISNA(CQ186),ISNA(CQ185)),NA(),ABS(CQ186-CQ185))</f>
        <v/>
      </c>
      <c r="CV186">
        <f>IF(ISNA(CP186),NA(),Capability!$N$6)</f>
        <v/>
      </c>
      <c r="CW186">
        <f>IF(ISNA(CP186),NA(),IF(OR(Capability!$Q$6="",Settings!$F$7&lt;&gt;"Y"),NA(),Capability!$Q$6))</f>
        <v/>
      </c>
      <c r="CX186">
        <f>IF(ISNA(CP186),NA(),IF(OR(Capability!$P$6="",Settings!$F$7&lt;&gt;"Y"),NA(),Capability!$P$6))</f>
        <v/>
      </c>
      <c r="DD186">
        <f>IF((DG$1+182)&gt;DE$1,NA(),(DG$1+182)-4)</f>
        <v/>
      </c>
      <c r="DE186">
        <f>IF((DG$1+182)&gt;DE$1,NA(),INDEX('Data Entry'!$J$5:$J$10004,(DG$1+182)-4))</f>
        <v/>
      </c>
      <c r="DF186">
        <f>IF(ISNA(DD186),NA(),Capability!$K$7)</f>
        <v/>
      </c>
      <c r="DG186">
        <f>IF(ISNA(DD186),NA(),Capability!$J$7)</f>
        <v/>
      </c>
      <c r="DH186">
        <f>IF(ISNA(DD186),NA(),Capability!$L$7)</f>
        <v/>
      </c>
      <c r="DI186">
        <f>IF(OR(ISNA(DE186),ISNA(DE185)),NA(),ABS(DE186-DE185))</f>
        <v/>
      </c>
      <c r="DJ186">
        <f>IF(ISNA(DD186),NA(),Capability!$N$7)</f>
        <v/>
      </c>
      <c r="DK186">
        <f>IF(ISNA(DD186),NA(),IF(OR(Capability!$Q$7="",Settings!$F$7&lt;&gt;"Y"),NA(),Capability!$Q$7))</f>
        <v/>
      </c>
      <c r="DL186">
        <f>IF(ISNA(DD186),NA(),IF(OR(Capability!$P$7="",Settings!$F$7&lt;&gt;"Y"),NA(),Capability!$P$7))</f>
        <v/>
      </c>
      <c r="DR186">
        <f>IF((DU$1+182)&gt;DS$1,NA(),(DU$1+182)-4)</f>
        <v/>
      </c>
      <c r="DS186">
        <f>IF((DU$1+182)&gt;DS$1,NA(),INDEX('Data Entry'!$K$5:$K$10004,(DU$1+182)-4))</f>
        <v/>
      </c>
      <c r="DT186">
        <f>IF(ISNA(DR186),NA(),Capability!$K$8)</f>
        <v/>
      </c>
      <c r="DU186">
        <f>IF(ISNA(DR186),NA(),Capability!$J$8)</f>
        <v/>
      </c>
      <c r="DV186">
        <f>IF(ISNA(DR186),NA(),Capability!$L$8)</f>
        <v/>
      </c>
      <c r="DW186">
        <f>IF(OR(ISNA(DS186),ISNA(DS185)),NA(),ABS(DS186-DS185))</f>
        <v/>
      </c>
      <c r="DX186">
        <f>IF(ISNA(DR186),NA(),Capability!$N$8)</f>
        <v/>
      </c>
      <c r="DY186">
        <f>IF(ISNA(DR186),NA(),IF(OR(Capability!$Q$8="",Settings!$F$7&lt;&gt;"Y"),NA(),Capability!$Q$8))</f>
        <v/>
      </c>
      <c r="DZ186">
        <f>IF(ISNA(DR186),NA(),IF(OR(Capability!$P$8="",Settings!$F$7&lt;&gt;"Y"),NA(),Capability!$P$8))</f>
        <v/>
      </c>
      <c r="EF186">
        <f>IF((EI$1+182)&gt;EG$1,NA(),(EI$1+182)-4)</f>
        <v/>
      </c>
      <c r="EG186">
        <f>IF((EI$1+182)&gt;EG$1,NA(),INDEX('Data Entry'!$L$5:$L$10004,(EI$1+182)-4))</f>
        <v/>
      </c>
      <c r="EH186">
        <f>IF(ISNA(EF186),NA(),Capability!$K$9)</f>
        <v/>
      </c>
      <c r="EI186">
        <f>IF(ISNA(EF186),NA(),Capability!$J$9)</f>
        <v/>
      </c>
      <c r="EJ186">
        <f>IF(ISNA(EF186),NA(),Capability!$L$9)</f>
        <v/>
      </c>
      <c r="EK186">
        <f>IF(OR(ISNA(EG186),ISNA(EG185)),NA(),ABS(EG186-EG185))</f>
        <v/>
      </c>
      <c r="EL186">
        <f>IF(ISNA(EF186),NA(),Capability!$N$9)</f>
        <v/>
      </c>
      <c r="EM186">
        <f>IF(ISNA(EF186),NA(),IF(OR(Capability!$Q$9="",Settings!$F$7&lt;&gt;"Y"),NA(),Capability!$Q$9))</f>
        <v/>
      </c>
      <c r="EN186">
        <f>IF(ISNA(EF186),NA(),IF(OR(Capability!$P$9="",Settings!$F$7&lt;&gt;"Y"),NA(),Capability!$P$9))</f>
        <v/>
      </c>
      <c r="ET186">
        <f>IF((EW$1+182)&gt;EU$1,NA(),(EW$1+182)-4)</f>
        <v/>
      </c>
      <c r="EU186">
        <f>IF((EW$1+182)&gt;EU$1,NA(),INDEX('Data Entry'!$M$5:$M$10004,(EW$1+182)-4))</f>
        <v/>
      </c>
      <c r="EV186">
        <f>IF(ISNA(ET186),NA(),Capability!$K$10)</f>
        <v/>
      </c>
      <c r="EW186">
        <f>IF(ISNA(ET186),NA(),Capability!$J$10)</f>
        <v/>
      </c>
      <c r="EX186">
        <f>IF(ISNA(ET186),NA(),Capability!$L$10)</f>
        <v/>
      </c>
      <c r="EY186">
        <f>IF(OR(ISNA(EU186),ISNA(EU185)),NA(),ABS(EU186-EU185))</f>
        <v/>
      </c>
      <c r="EZ186">
        <f>IF(ISNA(ET186),NA(),Capability!$N$10)</f>
        <v/>
      </c>
      <c r="FA186">
        <f>IF(ISNA(ET186),NA(),IF(OR(Capability!$Q$10="",Settings!$F$7&lt;&gt;"Y"),NA(),Capability!$Q$10))</f>
        <v/>
      </c>
      <c r="FB186">
        <f>IF(ISNA(ET186),NA(),IF(OR(Capability!$P$10="",Settings!$F$7&lt;&gt;"Y"),NA(),Capability!$P$10))</f>
        <v/>
      </c>
      <c r="FH186">
        <f>IF((FK$1+182)&gt;FI$1,NA(),(FK$1+182)-4)</f>
        <v/>
      </c>
      <c r="FI186">
        <f>IF((FK$1+182)&gt;FI$1,NA(),INDEX('Data Entry'!$N$5:$N$10004,(FK$1+182)-4))</f>
        <v/>
      </c>
      <c r="FJ186">
        <f>IF(ISNA(FH186),NA(),Capability!$K$11)</f>
        <v/>
      </c>
      <c r="FK186">
        <f>IF(ISNA(FH186),NA(),Capability!$J$11)</f>
        <v/>
      </c>
      <c r="FL186">
        <f>IF(ISNA(FH186),NA(),Capability!$L$11)</f>
        <v/>
      </c>
      <c r="FM186">
        <f>IF(OR(ISNA(FI186),ISNA(FI185)),NA(),ABS(FI186-FI185))</f>
        <v/>
      </c>
      <c r="FN186">
        <f>IF(ISNA(FH186),NA(),Capability!$N$11)</f>
        <v/>
      </c>
      <c r="FO186">
        <f>IF(ISNA(FH186),NA(),IF(OR(Capability!$Q$11="",Settings!$F$7&lt;&gt;"Y"),NA(),Capability!$Q$11))</f>
        <v/>
      </c>
      <c r="FP186">
        <f>IF(ISNA(FH186),NA(),IF(OR(Capability!$P$11="",Settings!$F$7&lt;&gt;"Y"),NA(),Capability!$P$11))</f>
        <v/>
      </c>
      <c r="FV186">
        <f>IF((FY$1+182)&gt;FW$1,NA(),(FY$1+182)-4)</f>
        <v/>
      </c>
      <c r="FW186">
        <f>IF((FY$1+182)&gt;FW$1,NA(),INDEX('Data Entry'!$O$5:$O$10004,(FY$1+182)-4))</f>
        <v/>
      </c>
      <c r="FX186">
        <f>IF(ISNA(FV186),NA(),Capability!$K$12)</f>
        <v/>
      </c>
      <c r="FY186">
        <f>IF(ISNA(FV186),NA(),Capability!$J$12)</f>
        <v/>
      </c>
      <c r="FZ186">
        <f>IF(ISNA(FV186),NA(),Capability!$L$12)</f>
        <v/>
      </c>
      <c r="GA186">
        <f>IF(OR(ISNA(FW186),ISNA(FW185)),NA(),ABS(FW186-FW185))</f>
        <v/>
      </c>
      <c r="GB186">
        <f>IF(ISNA(FV186),NA(),Capability!$N$12)</f>
        <v/>
      </c>
      <c r="GC186">
        <f>IF(ISNA(FV186),NA(),IF(OR(Capability!$Q$12="",Settings!$F$7&lt;&gt;"Y"),NA(),Capability!$Q$12))</f>
        <v/>
      </c>
      <c r="GD186">
        <f>IF(ISNA(FV186),NA(),IF(OR(Capability!$P$12="",Settings!$F$7&lt;&gt;"Y"),NA(),Capability!$P$12))</f>
        <v/>
      </c>
      <c r="GJ186">
        <f>IF((GM$1+182)&gt;GK$1,NA(),(GM$1+182)-4)</f>
        <v/>
      </c>
      <c r="GK186">
        <f>IF((GM$1+182)&gt;GK$1,NA(),INDEX('Data Entry'!$P$5:$P$10004,(GM$1+182)-4))</f>
        <v/>
      </c>
      <c r="GL186">
        <f>IF(ISNA(GJ186),NA(),Capability!$K$13)</f>
        <v/>
      </c>
      <c r="GM186">
        <f>IF(ISNA(GJ186),NA(),Capability!$J$13)</f>
        <v/>
      </c>
      <c r="GN186">
        <f>IF(ISNA(GJ186),NA(),Capability!$L$13)</f>
        <v/>
      </c>
      <c r="GO186">
        <f>IF(OR(ISNA(GK186),ISNA(GK185)),NA(),ABS(GK186-GK185))</f>
        <v/>
      </c>
      <c r="GP186">
        <f>IF(ISNA(GJ186),NA(),Capability!$N$13)</f>
        <v/>
      </c>
      <c r="GQ186">
        <f>IF(ISNA(GJ186),NA(),IF(OR(Capability!$Q$13="",Settings!$F$7&lt;&gt;"Y"),NA(),Capability!$Q$13))</f>
        <v/>
      </c>
      <c r="GR186">
        <f>IF(ISNA(GJ186),NA(),IF(OR(Capability!$P$13="",Settings!$F$7&lt;&gt;"Y"),NA(),Capability!$P$13))</f>
        <v/>
      </c>
      <c r="GX186">
        <f>IF((HA$1+182)&gt;GY$1,NA(),(HA$1+182)-4)</f>
        <v/>
      </c>
      <c r="GY186">
        <f>IF((HA$1+182)&gt;GY$1,NA(),INDEX('Data Entry'!$Q$5:$Q$10004,(HA$1+182)-4))</f>
        <v/>
      </c>
      <c r="GZ186">
        <f>IF(ISNA(GX186),NA(),Capability!$K$14)</f>
        <v/>
      </c>
      <c r="HA186">
        <f>IF(ISNA(GX186),NA(),Capability!$J$14)</f>
        <v/>
      </c>
      <c r="HB186">
        <f>IF(ISNA(GX186),NA(),Capability!$L$14)</f>
        <v/>
      </c>
      <c r="HC186">
        <f>IF(OR(ISNA(GY186),ISNA(GY185)),NA(),ABS(GY186-GY185))</f>
        <v/>
      </c>
      <c r="HD186">
        <f>IF(ISNA(GX186),NA(),Capability!$N$14)</f>
        <v/>
      </c>
      <c r="HE186">
        <f>IF(ISNA(GX186),NA(),IF(OR(Capability!$Q$14="",Settings!$F$7&lt;&gt;"Y"),NA(),Capability!$Q$14))</f>
        <v/>
      </c>
      <c r="HF186">
        <f>IF(ISNA(GX186),NA(),IF(OR(Capability!$P$14="",Settings!$F$7&lt;&gt;"Y"),NA(),Capability!$P$14))</f>
        <v/>
      </c>
    </row>
    <row r="187">
      <c r="A187" s="35" t="inlineStr">
        <is>
          <t>Cp</t>
        </is>
      </c>
      <c r="B187" s="38">
        <f>Capability!S9</f>
        <v/>
      </c>
      <c r="CB187">
        <f>IF((CE$1+183)&gt;CC$1,NA(),(CE$1+183)-4)</f>
        <v/>
      </c>
      <c r="CC187">
        <f>IF((CE$1+183)&gt;CC$1,NA(),INDEX('Data Entry'!$H$5:$H$10004,(CE$1+183)-4))</f>
        <v/>
      </c>
      <c r="CD187">
        <f>IF(ISNA(CB187),NA(),Capability!$K$5)</f>
        <v/>
      </c>
      <c r="CE187">
        <f>IF(ISNA(CB187),NA(),Capability!$J$5)</f>
        <v/>
      </c>
      <c r="CF187">
        <f>IF(ISNA(CB187),NA(),Capability!$L$5)</f>
        <v/>
      </c>
      <c r="CG187">
        <f>IF(OR(ISNA(CC187),ISNA(CC186)),NA(),ABS(CC187-CC186))</f>
        <v/>
      </c>
      <c r="CH187">
        <f>IF(ISNA(CB187),NA(),Capability!$N$5)</f>
        <v/>
      </c>
      <c r="CI187">
        <f>IF(ISNA(CB187),NA(),IF(OR(Capability!$Q$5="",Settings!$F$7&lt;&gt;"Y"),NA(),Capability!$Q$5))</f>
        <v/>
      </c>
      <c r="CJ187">
        <f>IF(ISNA(CB187),NA(),IF(OR(Capability!$P$5="",Settings!$F$7&lt;&gt;"Y"),NA(),Capability!$P$5))</f>
        <v/>
      </c>
      <c r="CP187">
        <f>IF((CS$1+183)&gt;CQ$1,NA(),(CS$1+183)-4)</f>
        <v/>
      </c>
      <c r="CQ187">
        <f>IF((CS$1+183)&gt;CQ$1,NA(),INDEX('Data Entry'!$I$5:$I$10004,(CS$1+183)-4))</f>
        <v/>
      </c>
      <c r="CR187">
        <f>IF(ISNA(CP187),NA(),Capability!$K$6)</f>
        <v/>
      </c>
      <c r="CS187">
        <f>IF(ISNA(CP187),NA(),Capability!$J$6)</f>
        <v/>
      </c>
      <c r="CT187">
        <f>IF(ISNA(CP187),NA(),Capability!$L$6)</f>
        <v/>
      </c>
      <c r="CU187">
        <f>IF(OR(ISNA(CQ187),ISNA(CQ186)),NA(),ABS(CQ187-CQ186))</f>
        <v/>
      </c>
      <c r="CV187">
        <f>IF(ISNA(CP187),NA(),Capability!$N$6)</f>
        <v/>
      </c>
      <c r="CW187">
        <f>IF(ISNA(CP187),NA(),IF(OR(Capability!$Q$6="",Settings!$F$7&lt;&gt;"Y"),NA(),Capability!$Q$6))</f>
        <v/>
      </c>
      <c r="CX187">
        <f>IF(ISNA(CP187),NA(),IF(OR(Capability!$P$6="",Settings!$F$7&lt;&gt;"Y"),NA(),Capability!$P$6))</f>
        <v/>
      </c>
      <c r="DD187">
        <f>IF((DG$1+183)&gt;DE$1,NA(),(DG$1+183)-4)</f>
        <v/>
      </c>
      <c r="DE187">
        <f>IF((DG$1+183)&gt;DE$1,NA(),INDEX('Data Entry'!$J$5:$J$10004,(DG$1+183)-4))</f>
        <v/>
      </c>
      <c r="DF187">
        <f>IF(ISNA(DD187),NA(),Capability!$K$7)</f>
        <v/>
      </c>
      <c r="DG187">
        <f>IF(ISNA(DD187),NA(),Capability!$J$7)</f>
        <v/>
      </c>
      <c r="DH187">
        <f>IF(ISNA(DD187),NA(),Capability!$L$7)</f>
        <v/>
      </c>
      <c r="DI187">
        <f>IF(OR(ISNA(DE187),ISNA(DE186)),NA(),ABS(DE187-DE186))</f>
        <v/>
      </c>
      <c r="DJ187">
        <f>IF(ISNA(DD187),NA(),Capability!$N$7)</f>
        <v/>
      </c>
      <c r="DK187">
        <f>IF(ISNA(DD187),NA(),IF(OR(Capability!$Q$7="",Settings!$F$7&lt;&gt;"Y"),NA(),Capability!$Q$7))</f>
        <v/>
      </c>
      <c r="DL187">
        <f>IF(ISNA(DD187),NA(),IF(OR(Capability!$P$7="",Settings!$F$7&lt;&gt;"Y"),NA(),Capability!$P$7))</f>
        <v/>
      </c>
      <c r="DR187">
        <f>IF((DU$1+183)&gt;DS$1,NA(),(DU$1+183)-4)</f>
        <v/>
      </c>
      <c r="DS187">
        <f>IF((DU$1+183)&gt;DS$1,NA(),INDEX('Data Entry'!$K$5:$K$10004,(DU$1+183)-4))</f>
        <v/>
      </c>
      <c r="DT187">
        <f>IF(ISNA(DR187),NA(),Capability!$K$8)</f>
        <v/>
      </c>
      <c r="DU187">
        <f>IF(ISNA(DR187),NA(),Capability!$J$8)</f>
        <v/>
      </c>
      <c r="DV187">
        <f>IF(ISNA(DR187),NA(),Capability!$L$8)</f>
        <v/>
      </c>
      <c r="DW187">
        <f>IF(OR(ISNA(DS187),ISNA(DS186)),NA(),ABS(DS187-DS186))</f>
        <v/>
      </c>
      <c r="DX187">
        <f>IF(ISNA(DR187),NA(),Capability!$N$8)</f>
        <v/>
      </c>
      <c r="DY187">
        <f>IF(ISNA(DR187),NA(),IF(OR(Capability!$Q$8="",Settings!$F$7&lt;&gt;"Y"),NA(),Capability!$Q$8))</f>
        <v/>
      </c>
      <c r="DZ187">
        <f>IF(ISNA(DR187),NA(),IF(OR(Capability!$P$8="",Settings!$F$7&lt;&gt;"Y"),NA(),Capability!$P$8))</f>
        <v/>
      </c>
      <c r="EF187">
        <f>IF((EI$1+183)&gt;EG$1,NA(),(EI$1+183)-4)</f>
        <v/>
      </c>
      <c r="EG187">
        <f>IF((EI$1+183)&gt;EG$1,NA(),INDEX('Data Entry'!$L$5:$L$10004,(EI$1+183)-4))</f>
        <v/>
      </c>
      <c r="EH187">
        <f>IF(ISNA(EF187),NA(),Capability!$K$9)</f>
        <v/>
      </c>
      <c r="EI187">
        <f>IF(ISNA(EF187),NA(),Capability!$J$9)</f>
        <v/>
      </c>
      <c r="EJ187">
        <f>IF(ISNA(EF187),NA(),Capability!$L$9)</f>
        <v/>
      </c>
      <c r="EK187">
        <f>IF(OR(ISNA(EG187),ISNA(EG186)),NA(),ABS(EG187-EG186))</f>
        <v/>
      </c>
      <c r="EL187">
        <f>IF(ISNA(EF187),NA(),Capability!$N$9)</f>
        <v/>
      </c>
      <c r="EM187">
        <f>IF(ISNA(EF187),NA(),IF(OR(Capability!$Q$9="",Settings!$F$7&lt;&gt;"Y"),NA(),Capability!$Q$9))</f>
        <v/>
      </c>
      <c r="EN187">
        <f>IF(ISNA(EF187),NA(),IF(OR(Capability!$P$9="",Settings!$F$7&lt;&gt;"Y"),NA(),Capability!$P$9))</f>
        <v/>
      </c>
      <c r="ET187">
        <f>IF((EW$1+183)&gt;EU$1,NA(),(EW$1+183)-4)</f>
        <v/>
      </c>
      <c r="EU187">
        <f>IF((EW$1+183)&gt;EU$1,NA(),INDEX('Data Entry'!$M$5:$M$10004,(EW$1+183)-4))</f>
        <v/>
      </c>
      <c r="EV187">
        <f>IF(ISNA(ET187),NA(),Capability!$K$10)</f>
        <v/>
      </c>
      <c r="EW187">
        <f>IF(ISNA(ET187),NA(),Capability!$J$10)</f>
        <v/>
      </c>
      <c r="EX187">
        <f>IF(ISNA(ET187),NA(),Capability!$L$10)</f>
        <v/>
      </c>
      <c r="EY187">
        <f>IF(OR(ISNA(EU187),ISNA(EU186)),NA(),ABS(EU187-EU186))</f>
        <v/>
      </c>
      <c r="EZ187">
        <f>IF(ISNA(ET187),NA(),Capability!$N$10)</f>
        <v/>
      </c>
      <c r="FA187">
        <f>IF(ISNA(ET187),NA(),IF(OR(Capability!$Q$10="",Settings!$F$7&lt;&gt;"Y"),NA(),Capability!$Q$10))</f>
        <v/>
      </c>
      <c r="FB187">
        <f>IF(ISNA(ET187),NA(),IF(OR(Capability!$P$10="",Settings!$F$7&lt;&gt;"Y"),NA(),Capability!$P$10))</f>
        <v/>
      </c>
      <c r="FH187">
        <f>IF((FK$1+183)&gt;FI$1,NA(),(FK$1+183)-4)</f>
        <v/>
      </c>
      <c r="FI187">
        <f>IF((FK$1+183)&gt;FI$1,NA(),INDEX('Data Entry'!$N$5:$N$10004,(FK$1+183)-4))</f>
        <v/>
      </c>
      <c r="FJ187">
        <f>IF(ISNA(FH187),NA(),Capability!$K$11)</f>
        <v/>
      </c>
      <c r="FK187">
        <f>IF(ISNA(FH187),NA(),Capability!$J$11)</f>
        <v/>
      </c>
      <c r="FL187">
        <f>IF(ISNA(FH187),NA(),Capability!$L$11)</f>
        <v/>
      </c>
      <c r="FM187">
        <f>IF(OR(ISNA(FI187),ISNA(FI186)),NA(),ABS(FI187-FI186))</f>
        <v/>
      </c>
      <c r="FN187">
        <f>IF(ISNA(FH187),NA(),Capability!$N$11)</f>
        <v/>
      </c>
      <c r="FO187">
        <f>IF(ISNA(FH187),NA(),IF(OR(Capability!$Q$11="",Settings!$F$7&lt;&gt;"Y"),NA(),Capability!$Q$11))</f>
        <v/>
      </c>
      <c r="FP187">
        <f>IF(ISNA(FH187),NA(),IF(OR(Capability!$P$11="",Settings!$F$7&lt;&gt;"Y"),NA(),Capability!$P$11))</f>
        <v/>
      </c>
      <c r="FV187">
        <f>IF((FY$1+183)&gt;FW$1,NA(),(FY$1+183)-4)</f>
        <v/>
      </c>
      <c r="FW187">
        <f>IF((FY$1+183)&gt;FW$1,NA(),INDEX('Data Entry'!$O$5:$O$10004,(FY$1+183)-4))</f>
        <v/>
      </c>
      <c r="FX187">
        <f>IF(ISNA(FV187),NA(),Capability!$K$12)</f>
        <v/>
      </c>
      <c r="FY187">
        <f>IF(ISNA(FV187),NA(),Capability!$J$12)</f>
        <v/>
      </c>
      <c r="FZ187">
        <f>IF(ISNA(FV187),NA(),Capability!$L$12)</f>
        <v/>
      </c>
      <c r="GA187">
        <f>IF(OR(ISNA(FW187),ISNA(FW186)),NA(),ABS(FW187-FW186))</f>
        <v/>
      </c>
      <c r="GB187">
        <f>IF(ISNA(FV187),NA(),Capability!$N$12)</f>
        <v/>
      </c>
      <c r="GC187">
        <f>IF(ISNA(FV187),NA(),IF(OR(Capability!$Q$12="",Settings!$F$7&lt;&gt;"Y"),NA(),Capability!$Q$12))</f>
        <v/>
      </c>
      <c r="GD187">
        <f>IF(ISNA(FV187),NA(),IF(OR(Capability!$P$12="",Settings!$F$7&lt;&gt;"Y"),NA(),Capability!$P$12))</f>
        <v/>
      </c>
      <c r="GJ187">
        <f>IF((GM$1+183)&gt;GK$1,NA(),(GM$1+183)-4)</f>
        <v/>
      </c>
      <c r="GK187">
        <f>IF((GM$1+183)&gt;GK$1,NA(),INDEX('Data Entry'!$P$5:$P$10004,(GM$1+183)-4))</f>
        <v/>
      </c>
      <c r="GL187">
        <f>IF(ISNA(GJ187),NA(),Capability!$K$13)</f>
        <v/>
      </c>
      <c r="GM187">
        <f>IF(ISNA(GJ187),NA(),Capability!$J$13)</f>
        <v/>
      </c>
      <c r="GN187">
        <f>IF(ISNA(GJ187),NA(),Capability!$L$13)</f>
        <v/>
      </c>
      <c r="GO187">
        <f>IF(OR(ISNA(GK187),ISNA(GK186)),NA(),ABS(GK187-GK186))</f>
        <v/>
      </c>
      <c r="GP187">
        <f>IF(ISNA(GJ187),NA(),Capability!$N$13)</f>
        <v/>
      </c>
      <c r="GQ187">
        <f>IF(ISNA(GJ187),NA(),IF(OR(Capability!$Q$13="",Settings!$F$7&lt;&gt;"Y"),NA(),Capability!$Q$13))</f>
        <v/>
      </c>
      <c r="GR187">
        <f>IF(ISNA(GJ187),NA(),IF(OR(Capability!$P$13="",Settings!$F$7&lt;&gt;"Y"),NA(),Capability!$P$13))</f>
        <v/>
      </c>
      <c r="GX187">
        <f>IF((HA$1+183)&gt;GY$1,NA(),(HA$1+183)-4)</f>
        <v/>
      </c>
      <c r="GY187">
        <f>IF((HA$1+183)&gt;GY$1,NA(),INDEX('Data Entry'!$Q$5:$Q$10004,(HA$1+183)-4))</f>
        <v/>
      </c>
      <c r="GZ187">
        <f>IF(ISNA(GX187),NA(),Capability!$K$14)</f>
        <v/>
      </c>
      <c r="HA187">
        <f>IF(ISNA(GX187),NA(),Capability!$J$14)</f>
        <v/>
      </c>
      <c r="HB187">
        <f>IF(ISNA(GX187),NA(),Capability!$L$14)</f>
        <v/>
      </c>
      <c r="HC187">
        <f>IF(OR(ISNA(GY187),ISNA(GY186)),NA(),ABS(GY187-GY186))</f>
        <v/>
      </c>
      <c r="HD187">
        <f>IF(ISNA(GX187),NA(),Capability!$N$14)</f>
        <v/>
      </c>
      <c r="HE187">
        <f>IF(ISNA(GX187),NA(),IF(OR(Capability!$Q$14="",Settings!$F$7&lt;&gt;"Y"),NA(),Capability!$Q$14))</f>
        <v/>
      </c>
      <c r="HF187">
        <f>IF(ISNA(GX187),NA(),IF(OR(Capability!$P$14="",Settings!$F$7&lt;&gt;"Y"),NA(),Capability!$P$14))</f>
        <v/>
      </c>
    </row>
    <row r="188">
      <c r="A188" s="35" t="inlineStr">
        <is>
          <t>Cpk</t>
        </is>
      </c>
      <c r="B188" s="38">
        <f>Capability!T9</f>
        <v/>
      </c>
      <c r="CB188">
        <f>IF((CE$1+184)&gt;CC$1,NA(),(CE$1+184)-4)</f>
        <v/>
      </c>
      <c r="CC188">
        <f>IF((CE$1+184)&gt;CC$1,NA(),INDEX('Data Entry'!$H$5:$H$10004,(CE$1+184)-4))</f>
        <v/>
      </c>
      <c r="CD188">
        <f>IF(ISNA(CB188),NA(),Capability!$K$5)</f>
        <v/>
      </c>
      <c r="CE188">
        <f>IF(ISNA(CB188),NA(),Capability!$J$5)</f>
        <v/>
      </c>
      <c r="CF188">
        <f>IF(ISNA(CB188),NA(),Capability!$L$5)</f>
        <v/>
      </c>
      <c r="CG188">
        <f>IF(OR(ISNA(CC188),ISNA(CC187)),NA(),ABS(CC188-CC187))</f>
        <v/>
      </c>
      <c r="CH188">
        <f>IF(ISNA(CB188),NA(),Capability!$N$5)</f>
        <v/>
      </c>
      <c r="CI188">
        <f>IF(ISNA(CB188),NA(),IF(OR(Capability!$Q$5="",Settings!$F$7&lt;&gt;"Y"),NA(),Capability!$Q$5))</f>
        <v/>
      </c>
      <c r="CJ188">
        <f>IF(ISNA(CB188),NA(),IF(OR(Capability!$P$5="",Settings!$F$7&lt;&gt;"Y"),NA(),Capability!$P$5))</f>
        <v/>
      </c>
      <c r="CP188">
        <f>IF((CS$1+184)&gt;CQ$1,NA(),(CS$1+184)-4)</f>
        <v/>
      </c>
      <c r="CQ188">
        <f>IF((CS$1+184)&gt;CQ$1,NA(),INDEX('Data Entry'!$I$5:$I$10004,(CS$1+184)-4))</f>
        <v/>
      </c>
      <c r="CR188">
        <f>IF(ISNA(CP188),NA(),Capability!$K$6)</f>
        <v/>
      </c>
      <c r="CS188">
        <f>IF(ISNA(CP188),NA(),Capability!$J$6)</f>
        <v/>
      </c>
      <c r="CT188">
        <f>IF(ISNA(CP188),NA(),Capability!$L$6)</f>
        <v/>
      </c>
      <c r="CU188">
        <f>IF(OR(ISNA(CQ188),ISNA(CQ187)),NA(),ABS(CQ188-CQ187))</f>
        <v/>
      </c>
      <c r="CV188">
        <f>IF(ISNA(CP188),NA(),Capability!$N$6)</f>
        <v/>
      </c>
      <c r="CW188">
        <f>IF(ISNA(CP188),NA(),IF(OR(Capability!$Q$6="",Settings!$F$7&lt;&gt;"Y"),NA(),Capability!$Q$6))</f>
        <v/>
      </c>
      <c r="CX188">
        <f>IF(ISNA(CP188),NA(),IF(OR(Capability!$P$6="",Settings!$F$7&lt;&gt;"Y"),NA(),Capability!$P$6))</f>
        <v/>
      </c>
      <c r="DD188">
        <f>IF((DG$1+184)&gt;DE$1,NA(),(DG$1+184)-4)</f>
        <v/>
      </c>
      <c r="DE188">
        <f>IF((DG$1+184)&gt;DE$1,NA(),INDEX('Data Entry'!$J$5:$J$10004,(DG$1+184)-4))</f>
        <v/>
      </c>
      <c r="DF188">
        <f>IF(ISNA(DD188),NA(),Capability!$K$7)</f>
        <v/>
      </c>
      <c r="DG188">
        <f>IF(ISNA(DD188),NA(),Capability!$J$7)</f>
        <v/>
      </c>
      <c r="DH188">
        <f>IF(ISNA(DD188),NA(),Capability!$L$7)</f>
        <v/>
      </c>
      <c r="DI188">
        <f>IF(OR(ISNA(DE188),ISNA(DE187)),NA(),ABS(DE188-DE187))</f>
        <v/>
      </c>
      <c r="DJ188">
        <f>IF(ISNA(DD188),NA(),Capability!$N$7)</f>
        <v/>
      </c>
      <c r="DK188">
        <f>IF(ISNA(DD188),NA(),IF(OR(Capability!$Q$7="",Settings!$F$7&lt;&gt;"Y"),NA(),Capability!$Q$7))</f>
        <v/>
      </c>
      <c r="DL188">
        <f>IF(ISNA(DD188),NA(),IF(OR(Capability!$P$7="",Settings!$F$7&lt;&gt;"Y"),NA(),Capability!$P$7))</f>
        <v/>
      </c>
      <c r="DR188">
        <f>IF((DU$1+184)&gt;DS$1,NA(),(DU$1+184)-4)</f>
        <v/>
      </c>
      <c r="DS188">
        <f>IF((DU$1+184)&gt;DS$1,NA(),INDEX('Data Entry'!$K$5:$K$10004,(DU$1+184)-4))</f>
        <v/>
      </c>
      <c r="DT188">
        <f>IF(ISNA(DR188),NA(),Capability!$K$8)</f>
        <v/>
      </c>
      <c r="DU188">
        <f>IF(ISNA(DR188),NA(),Capability!$J$8)</f>
        <v/>
      </c>
      <c r="DV188">
        <f>IF(ISNA(DR188),NA(),Capability!$L$8)</f>
        <v/>
      </c>
      <c r="DW188">
        <f>IF(OR(ISNA(DS188),ISNA(DS187)),NA(),ABS(DS188-DS187))</f>
        <v/>
      </c>
      <c r="DX188">
        <f>IF(ISNA(DR188),NA(),Capability!$N$8)</f>
        <v/>
      </c>
      <c r="DY188">
        <f>IF(ISNA(DR188),NA(),IF(OR(Capability!$Q$8="",Settings!$F$7&lt;&gt;"Y"),NA(),Capability!$Q$8))</f>
        <v/>
      </c>
      <c r="DZ188">
        <f>IF(ISNA(DR188),NA(),IF(OR(Capability!$P$8="",Settings!$F$7&lt;&gt;"Y"),NA(),Capability!$P$8))</f>
        <v/>
      </c>
      <c r="EF188">
        <f>IF((EI$1+184)&gt;EG$1,NA(),(EI$1+184)-4)</f>
        <v/>
      </c>
      <c r="EG188">
        <f>IF((EI$1+184)&gt;EG$1,NA(),INDEX('Data Entry'!$L$5:$L$10004,(EI$1+184)-4))</f>
        <v/>
      </c>
      <c r="EH188">
        <f>IF(ISNA(EF188),NA(),Capability!$K$9)</f>
        <v/>
      </c>
      <c r="EI188">
        <f>IF(ISNA(EF188),NA(),Capability!$J$9)</f>
        <v/>
      </c>
      <c r="EJ188">
        <f>IF(ISNA(EF188),NA(),Capability!$L$9)</f>
        <v/>
      </c>
      <c r="EK188">
        <f>IF(OR(ISNA(EG188),ISNA(EG187)),NA(),ABS(EG188-EG187))</f>
        <v/>
      </c>
      <c r="EL188">
        <f>IF(ISNA(EF188),NA(),Capability!$N$9)</f>
        <v/>
      </c>
      <c r="EM188">
        <f>IF(ISNA(EF188),NA(),IF(OR(Capability!$Q$9="",Settings!$F$7&lt;&gt;"Y"),NA(),Capability!$Q$9))</f>
        <v/>
      </c>
      <c r="EN188">
        <f>IF(ISNA(EF188),NA(),IF(OR(Capability!$P$9="",Settings!$F$7&lt;&gt;"Y"),NA(),Capability!$P$9))</f>
        <v/>
      </c>
      <c r="ET188">
        <f>IF((EW$1+184)&gt;EU$1,NA(),(EW$1+184)-4)</f>
        <v/>
      </c>
      <c r="EU188">
        <f>IF((EW$1+184)&gt;EU$1,NA(),INDEX('Data Entry'!$M$5:$M$10004,(EW$1+184)-4))</f>
        <v/>
      </c>
      <c r="EV188">
        <f>IF(ISNA(ET188),NA(),Capability!$K$10)</f>
        <v/>
      </c>
      <c r="EW188">
        <f>IF(ISNA(ET188),NA(),Capability!$J$10)</f>
        <v/>
      </c>
      <c r="EX188">
        <f>IF(ISNA(ET188),NA(),Capability!$L$10)</f>
        <v/>
      </c>
      <c r="EY188">
        <f>IF(OR(ISNA(EU188),ISNA(EU187)),NA(),ABS(EU188-EU187))</f>
        <v/>
      </c>
      <c r="EZ188">
        <f>IF(ISNA(ET188),NA(),Capability!$N$10)</f>
        <v/>
      </c>
      <c r="FA188">
        <f>IF(ISNA(ET188),NA(),IF(OR(Capability!$Q$10="",Settings!$F$7&lt;&gt;"Y"),NA(),Capability!$Q$10))</f>
        <v/>
      </c>
      <c r="FB188">
        <f>IF(ISNA(ET188),NA(),IF(OR(Capability!$P$10="",Settings!$F$7&lt;&gt;"Y"),NA(),Capability!$P$10))</f>
        <v/>
      </c>
      <c r="FH188">
        <f>IF((FK$1+184)&gt;FI$1,NA(),(FK$1+184)-4)</f>
        <v/>
      </c>
      <c r="FI188">
        <f>IF((FK$1+184)&gt;FI$1,NA(),INDEX('Data Entry'!$N$5:$N$10004,(FK$1+184)-4))</f>
        <v/>
      </c>
      <c r="FJ188">
        <f>IF(ISNA(FH188),NA(),Capability!$K$11)</f>
        <v/>
      </c>
      <c r="FK188">
        <f>IF(ISNA(FH188),NA(),Capability!$J$11)</f>
        <v/>
      </c>
      <c r="FL188">
        <f>IF(ISNA(FH188),NA(),Capability!$L$11)</f>
        <v/>
      </c>
      <c r="FM188">
        <f>IF(OR(ISNA(FI188),ISNA(FI187)),NA(),ABS(FI188-FI187))</f>
        <v/>
      </c>
      <c r="FN188">
        <f>IF(ISNA(FH188),NA(),Capability!$N$11)</f>
        <v/>
      </c>
      <c r="FO188">
        <f>IF(ISNA(FH188),NA(),IF(OR(Capability!$Q$11="",Settings!$F$7&lt;&gt;"Y"),NA(),Capability!$Q$11))</f>
        <v/>
      </c>
      <c r="FP188">
        <f>IF(ISNA(FH188),NA(),IF(OR(Capability!$P$11="",Settings!$F$7&lt;&gt;"Y"),NA(),Capability!$P$11))</f>
        <v/>
      </c>
      <c r="FV188">
        <f>IF((FY$1+184)&gt;FW$1,NA(),(FY$1+184)-4)</f>
        <v/>
      </c>
      <c r="FW188">
        <f>IF((FY$1+184)&gt;FW$1,NA(),INDEX('Data Entry'!$O$5:$O$10004,(FY$1+184)-4))</f>
        <v/>
      </c>
      <c r="FX188">
        <f>IF(ISNA(FV188),NA(),Capability!$K$12)</f>
        <v/>
      </c>
      <c r="FY188">
        <f>IF(ISNA(FV188),NA(),Capability!$J$12)</f>
        <v/>
      </c>
      <c r="FZ188">
        <f>IF(ISNA(FV188),NA(),Capability!$L$12)</f>
        <v/>
      </c>
      <c r="GA188">
        <f>IF(OR(ISNA(FW188),ISNA(FW187)),NA(),ABS(FW188-FW187))</f>
        <v/>
      </c>
      <c r="GB188">
        <f>IF(ISNA(FV188),NA(),Capability!$N$12)</f>
        <v/>
      </c>
      <c r="GC188">
        <f>IF(ISNA(FV188),NA(),IF(OR(Capability!$Q$12="",Settings!$F$7&lt;&gt;"Y"),NA(),Capability!$Q$12))</f>
        <v/>
      </c>
      <c r="GD188">
        <f>IF(ISNA(FV188),NA(),IF(OR(Capability!$P$12="",Settings!$F$7&lt;&gt;"Y"),NA(),Capability!$P$12))</f>
        <v/>
      </c>
      <c r="GJ188">
        <f>IF((GM$1+184)&gt;GK$1,NA(),(GM$1+184)-4)</f>
        <v/>
      </c>
      <c r="GK188">
        <f>IF((GM$1+184)&gt;GK$1,NA(),INDEX('Data Entry'!$P$5:$P$10004,(GM$1+184)-4))</f>
        <v/>
      </c>
      <c r="GL188">
        <f>IF(ISNA(GJ188),NA(),Capability!$K$13)</f>
        <v/>
      </c>
      <c r="GM188">
        <f>IF(ISNA(GJ188),NA(),Capability!$J$13)</f>
        <v/>
      </c>
      <c r="GN188">
        <f>IF(ISNA(GJ188),NA(),Capability!$L$13)</f>
        <v/>
      </c>
      <c r="GO188">
        <f>IF(OR(ISNA(GK188),ISNA(GK187)),NA(),ABS(GK188-GK187))</f>
        <v/>
      </c>
      <c r="GP188">
        <f>IF(ISNA(GJ188),NA(),Capability!$N$13)</f>
        <v/>
      </c>
      <c r="GQ188">
        <f>IF(ISNA(GJ188),NA(),IF(OR(Capability!$Q$13="",Settings!$F$7&lt;&gt;"Y"),NA(),Capability!$Q$13))</f>
        <v/>
      </c>
      <c r="GR188">
        <f>IF(ISNA(GJ188),NA(),IF(OR(Capability!$P$13="",Settings!$F$7&lt;&gt;"Y"),NA(),Capability!$P$13))</f>
        <v/>
      </c>
      <c r="GX188">
        <f>IF((HA$1+184)&gt;GY$1,NA(),(HA$1+184)-4)</f>
        <v/>
      </c>
      <c r="GY188">
        <f>IF((HA$1+184)&gt;GY$1,NA(),INDEX('Data Entry'!$Q$5:$Q$10004,(HA$1+184)-4))</f>
        <v/>
      </c>
      <c r="GZ188">
        <f>IF(ISNA(GX188),NA(),Capability!$K$14)</f>
        <v/>
      </c>
      <c r="HA188">
        <f>IF(ISNA(GX188),NA(),Capability!$J$14)</f>
        <v/>
      </c>
      <c r="HB188">
        <f>IF(ISNA(GX188),NA(),Capability!$L$14)</f>
        <v/>
      </c>
      <c r="HC188">
        <f>IF(OR(ISNA(GY188),ISNA(GY187)),NA(),ABS(GY188-GY187))</f>
        <v/>
      </c>
      <c r="HD188">
        <f>IF(ISNA(GX188),NA(),Capability!$N$14)</f>
        <v/>
      </c>
      <c r="HE188">
        <f>IF(ISNA(GX188),NA(),IF(OR(Capability!$Q$14="",Settings!$F$7&lt;&gt;"Y"),NA(),Capability!$Q$14))</f>
        <v/>
      </c>
      <c r="HF188">
        <f>IF(ISNA(GX188),NA(),IF(OR(Capability!$P$14="",Settings!$F$7&lt;&gt;"Y"),NA(),Capability!$P$14))</f>
        <v/>
      </c>
    </row>
    <row r="189">
      <c r="A189" s="35" t="inlineStr">
        <is>
          <t>Pp</t>
        </is>
      </c>
      <c r="B189" s="38">
        <f>Capability!U9</f>
        <v/>
      </c>
      <c r="CB189">
        <f>IF((CE$1+185)&gt;CC$1,NA(),(CE$1+185)-4)</f>
        <v/>
      </c>
      <c r="CC189">
        <f>IF((CE$1+185)&gt;CC$1,NA(),INDEX('Data Entry'!$H$5:$H$10004,(CE$1+185)-4))</f>
        <v/>
      </c>
      <c r="CD189">
        <f>IF(ISNA(CB189),NA(),Capability!$K$5)</f>
        <v/>
      </c>
      <c r="CE189">
        <f>IF(ISNA(CB189),NA(),Capability!$J$5)</f>
        <v/>
      </c>
      <c r="CF189">
        <f>IF(ISNA(CB189),NA(),Capability!$L$5)</f>
        <v/>
      </c>
      <c r="CG189">
        <f>IF(OR(ISNA(CC189),ISNA(CC188)),NA(),ABS(CC189-CC188))</f>
        <v/>
      </c>
      <c r="CH189">
        <f>IF(ISNA(CB189),NA(),Capability!$N$5)</f>
        <v/>
      </c>
      <c r="CI189">
        <f>IF(ISNA(CB189),NA(),IF(OR(Capability!$Q$5="",Settings!$F$7&lt;&gt;"Y"),NA(),Capability!$Q$5))</f>
        <v/>
      </c>
      <c r="CJ189">
        <f>IF(ISNA(CB189),NA(),IF(OR(Capability!$P$5="",Settings!$F$7&lt;&gt;"Y"),NA(),Capability!$P$5))</f>
        <v/>
      </c>
      <c r="CP189">
        <f>IF((CS$1+185)&gt;CQ$1,NA(),(CS$1+185)-4)</f>
        <v/>
      </c>
      <c r="CQ189">
        <f>IF((CS$1+185)&gt;CQ$1,NA(),INDEX('Data Entry'!$I$5:$I$10004,(CS$1+185)-4))</f>
        <v/>
      </c>
      <c r="CR189">
        <f>IF(ISNA(CP189),NA(),Capability!$K$6)</f>
        <v/>
      </c>
      <c r="CS189">
        <f>IF(ISNA(CP189),NA(),Capability!$J$6)</f>
        <v/>
      </c>
      <c r="CT189">
        <f>IF(ISNA(CP189),NA(),Capability!$L$6)</f>
        <v/>
      </c>
      <c r="CU189">
        <f>IF(OR(ISNA(CQ189),ISNA(CQ188)),NA(),ABS(CQ189-CQ188))</f>
        <v/>
      </c>
      <c r="CV189">
        <f>IF(ISNA(CP189),NA(),Capability!$N$6)</f>
        <v/>
      </c>
      <c r="CW189">
        <f>IF(ISNA(CP189),NA(),IF(OR(Capability!$Q$6="",Settings!$F$7&lt;&gt;"Y"),NA(),Capability!$Q$6))</f>
        <v/>
      </c>
      <c r="CX189">
        <f>IF(ISNA(CP189),NA(),IF(OR(Capability!$P$6="",Settings!$F$7&lt;&gt;"Y"),NA(),Capability!$P$6))</f>
        <v/>
      </c>
      <c r="DD189">
        <f>IF((DG$1+185)&gt;DE$1,NA(),(DG$1+185)-4)</f>
        <v/>
      </c>
      <c r="DE189">
        <f>IF((DG$1+185)&gt;DE$1,NA(),INDEX('Data Entry'!$J$5:$J$10004,(DG$1+185)-4))</f>
        <v/>
      </c>
      <c r="DF189">
        <f>IF(ISNA(DD189),NA(),Capability!$K$7)</f>
        <v/>
      </c>
      <c r="DG189">
        <f>IF(ISNA(DD189),NA(),Capability!$J$7)</f>
        <v/>
      </c>
      <c r="DH189">
        <f>IF(ISNA(DD189),NA(),Capability!$L$7)</f>
        <v/>
      </c>
      <c r="DI189">
        <f>IF(OR(ISNA(DE189),ISNA(DE188)),NA(),ABS(DE189-DE188))</f>
        <v/>
      </c>
      <c r="DJ189">
        <f>IF(ISNA(DD189),NA(),Capability!$N$7)</f>
        <v/>
      </c>
      <c r="DK189">
        <f>IF(ISNA(DD189),NA(),IF(OR(Capability!$Q$7="",Settings!$F$7&lt;&gt;"Y"),NA(),Capability!$Q$7))</f>
        <v/>
      </c>
      <c r="DL189">
        <f>IF(ISNA(DD189),NA(),IF(OR(Capability!$P$7="",Settings!$F$7&lt;&gt;"Y"),NA(),Capability!$P$7))</f>
        <v/>
      </c>
      <c r="DR189">
        <f>IF((DU$1+185)&gt;DS$1,NA(),(DU$1+185)-4)</f>
        <v/>
      </c>
      <c r="DS189">
        <f>IF((DU$1+185)&gt;DS$1,NA(),INDEX('Data Entry'!$K$5:$K$10004,(DU$1+185)-4))</f>
        <v/>
      </c>
      <c r="DT189">
        <f>IF(ISNA(DR189),NA(),Capability!$K$8)</f>
        <v/>
      </c>
      <c r="DU189">
        <f>IF(ISNA(DR189),NA(),Capability!$J$8)</f>
        <v/>
      </c>
      <c r="DV189">
        <f>IF(ISNA(DR189),NA(),Capability!$L$8)</f>
        <v/>
      </c>
      <c r="DW189">
        <f>IF(OR(ISNA(DS189),ISNA(DS188)),NA(),ABS(DS189-DS188))</f>
        <v/>
      </c>
      <c r="DX189">
        <f>IF(ISNA(DR189),NA(),Capability!$N$8)</f>
        <v/>
      </c>
      <c r="DY189">
        <f>IF(ISNA(DR189),NA(),IF(OR(Capability!$Q$8="",Settings!$F$7&lt;&gt;"Y"),NA(),Capability!$Q$8))</f>
        <v/>
      </c>
      <c r="DZ189">
        <f>IF(ISNA(DR189),NA(),IF(OR(Capability!$P$8="",Settings!$F$7&lt;&gt;"Y"),NA(),Capability!$P$8))</f>
        <v/>
      </c>
      <c r="EF189">
        <f>IF((EI$1+185)&gt;EG$1,NA(),(EI$1+185)-4)</f>
        <v/>
      </c>
      <c r="EG189">
        <f>IF((EI$1+185)&gt;EG$1,NA(),INDEX('Data Entry'!$L$5:$L$10004,(EI$1+185)-4))</f>
        <v/>
      </c>
      <c r="EH189">
        <f>IF(ISNA(EF189),NA(),Capability!$K$9)</f>
        <v/>
      </c>
      <c r="EI189">
        <f>IF(ISNA(EF189),NA(),Capability!$J$9)</f>
        <v/>
      </c>
      <c r="EJ189">
        <f>IF(ISNA(EF189),NA(),Capability!$L$9)</f>
        <v/>
      </c>
      <c r="EK189">
        <f>IF(OR(ISNA(EG189),ISNA(EG188)),NA(),ABS(EG189-EG188))</f>
        <v/>
      </c>
      <c r="EL189">
        <f>IF(ISNA(EF189),NA(),Capability!$N$9)</f>
        <v/>
      </c>
      <c r="EM189">
        <f>IF(ISNA(EF189),NA(),IF(OR(Capability!$Q$9="",Settings!$F$7&lt;&gt;"Y"),NA(),Capability!$Q$9))</f>
        <v/>
      </c>
      <c r="EN189">
        <f>IF(ISNA(EF189),NA(),IF(OR(Capability!$P$9="",Settings!$F$7&lt;&gt;"Y"),NA(),Capability!$P$9))</f>
        <v/>
      </c>
      <c r="ET189">
        <f>IF((EW$1+185)&gt;EU$1,NA(),(EW$1+185)-4)</f>
        <v/>
      </c>
      <c r="EU189">
        <f>IF((EW$1+185)&gt;EU$1,NA(),INDEX('Data Entry'!$M$5:$M$10004,(EW$1+185)-4))</f>
        <v/>
      </c>
      <c r="EV189">
        <f>IF(ISNA(ET189),NA(),Capability!$K$10)</f>
        <v/>
      </c>
      <c r="EW189">
        <f>IF(ISNA(ET189),NA(),Capability!$J$10)</f>
        <v/>
      </c>
      <c r="EX189">
        <f>IF(ISNA(ET189),NA(),Capability!$L$10)</f>
        <v/>
      </c>
      <c r="EY189">
        <f>IF(OR(ISNA(EU189),ISNA(EU188)),NA(),ABS(EU189-EU188))</f>
        <v/>
      </c>
      <c r="EZ189">
        <f>IF(ISNA(ET189),NA(),Capability!$N$10)</f>
        <v/>
      </c>
      <c r="FA189">
        <f>IF(ISNA(ET189),NA(),IF(OR(Capability!$Q$10="",Settings!$F$7&lt;&gt;"Y"),NA(),Capability!$Q$10))</f>
        <v/>
      </c>
      <c r="FB189">
        <f>IF(ISNA(ET189),NA(),IF(OR(Capability!$P$10="",Settings!$F$7&lt;&gt;"Y"),NA(),Capability!$P$10))</f>
        <v/>
      </c>
      <c r="FH189">
        <f>IF((FK$1+185)&gt;FI$1,NA(),(FK$1+185)-4)</f>
        <v/>
      </c>
      <c r="FI189">
        <f>IF((FK$1+185)&gt;FI$1,NA(),INDEX('Data Entry'!$N$5:$N$10004,(FK$1+185)-4))</f>
        <v/>
      </c>
      <c r="FJ189">
        <f>IF(ISNA(FH189),NA(),Capability!$K$11)</f>
        <v/>
      </c>
      <c r="FK189">
        <f>IF(ISNA(FH189),NA(),Capability!$J$11)</f>
        <v/>
      </c>
      <c r="FL189">
        <f>IF(ISNA(FH189),NA(),Capability!$L$11)</f>
        <v/>
      </c>
      <c r="FM189">
        <f>IF(OR(ISNA(FI189),ISNA(FI188)),NA(),ABS(FI189-FI188))</f>
        <v/>
      </c>
      <c r="FN189">
        <f>IF(ISNA(FH189),NA(),Capability!$N$11)</f>
        <v/>
      </c>
      <c r="FO189">
        <f>IF(ISNA(FH189),NA(),IF(OR(Capability!$Q$11="",Settings!$F$7&lt;&gt;"Y"),NA(),Capability!$Q$11))</f>
        <v/>
      </c>
      <c r="FP189">
        <f>IF(ISNA(FH189),NA(),IF(OR(Capability!$P$11="",Settings!$F$7&lt;&gt;"Y"),NA(),Capability!$P$11))</f>
        <v/>
      </c>
      <c r="FV189">
        <f>IF((FY$1+185)&gt;FW$1,NA(),(FY$1+185)-4)</f>
        <v/>
      </c>
      <c r="FW189">
        <f>IF((FY$1+185)&gt;FW$1,NA(),INDEX('Data Entry'!$O$5:$O$10004,(FY$1+185)-4))</f>
        <v/>
      </c>
      <c r="FX189">
        <f>IF(ISNA(FV189),NA(),Capability!$K$12)</f>
        <v/>
      </c>
      <c r="FY189">
        <f>IF(ISNA(FV189),NA(),Capability!$J$12)</f>
        <v/>
      </c>
      <c r="FZ189">
        <f>IF(ISNA(FV189),NA(),Capability!$L$12)</f>
        <v/>
      </c>
      <c r="GA189">
        <f>IF(OR(ISNA(FW189),ISNA(FW188)),NA(),ABS(FW189-FW188))</f>
        <v/>
      </c>
      <c r="GB189">
        <f>IF(ISNA(FV189),NA(),Capability!$N$12)</f>
        <v/>
      </c>
      <c r="GC189">
        <f>IF(ISNA(FV189),NA(),IF(OR(Capability!$Q$12="",Settings!$F$7&lt;&gt;"Y"),NA(),Capability!$Q$12))</f>
        <v/>
      </c>
      <c r="GD189">
        <f>IF(ISNA(FV189),NA(),IF(OR(Capability!$P$12="",Settings!$F$7&lt;&gt;"Y"),NA(),Capability!$P$12))</f>
        <v/>
      </c>
      <c r="GJ189">
        <f>IF((GM$1+185)&gt;GK$1,NA(),(GM$1+185)-4)</f>
        <v/>
      </c>
      <c r="GK189">
        <f>IF((GM$1+185)&gt;GK$1,NA(),INDEX('Data Entry'!$P$5:$P$10004,(GM$1+185)-4))</f>
        <v/>
      </c>
      <c r="GL189">
        <f>IF(ISNA(GJ189),NA(),Capability!$K$13)</f>
        <v/>
      </c>
      <c r="GM189">
        <f>IF(ISNA(GJ189),NA(),Capability!$J$13)</f>
        <v/>
      </c>
      <c r="GN189">
        <f>IF(ISNA(GJ189),NA(),Capability!$L$13)</f>
        <v/>
      </c>
      <c r="GO189">
        <f>IF(OR(ISNA(GK189),ISNA(GK188)),NA(),ABS(GK189-GK188))</f>
        <v/>
      </c>
      <c r="GP189">
        <f>IF(ISNA(GJ189),NA(),Capability!$N$13)</f>
        <v/>
      </c>
      <c r="GQ189">
        <f>IF(ISNA(GJ189),NA(),IF(OR(Capability!$Q$13="",Settings!$F$7&lt;&gt;"Y"),NA(),Capability!$Q$13))</f>
        <v/>
      </c>
      <c r="GR189">
        <f>IF(ISNA(GJ189),NA(),IF(OR(Capability!$P$13="",Settings!$F$7&lt;&gt;"Y"),NA(),Capability!$P$13))</f>
        <v/>
      </c>
      <c r="GX189">
        <f>IF((HA$1+185)&gt;GY$1,NA(),(HA$1+185)-4)</f>
        <v/>
      </c>
      <c r="GY189">
        <f>IF((HA$1+185)&gt;GY$1,NA(),INDEX('Data Entry'!$Q$5:$Q$10004,(HA$1+185)-4))</f>
        <v/>
      </c>
      <c r="GZ189">
        <f>IF(ISNA(GX189),NA(),Capability!$K$14)</f>
        <v/>
      </c>
      <c r="HA189">
        <f>IF(ISNA(GX189),NA(),Capability!$J$14)</f>
        <v/>
      </c>
      <c r="HB189">
        <f>IF(ISNA(GX189),NA(),Capability!$L$14)</f>
        <v/>
      </c>
      <c r="HC189">
        <f>IF(OR(ISNA(GY189),ISNA(GY188)),NA(),ABS(GY189-GY188))</f>
        <v/>
      </c>
      <c r="HD189">
        <f>IF(ISNA(GX189),NA(),Capability!$N$14)</f>
        <v/>
      </c>
      <c r="HE189">
        <f>IF(ISNA(GX189),NA(),IF(OR(Capability!$Q$14="",Settings!$F$7&lt;&gt;"Y"),NA(),Capability!$Q$14))</f>
        <v/>
      </c>
      <c r="HF189">
        <f>IF(ISNA(GX189),NA(),IF(OR(Capability!$P$14="",Settings!$F$7&lt;&gt;"Y"),NA(),Capability!$P$14))</f>
        <v/>
      </c>
    </row>
    <row r="190">
      <c r="A190" s="35" t="inlineStr">
        <is>
          <t>Ppk</t>
        </is>
      </c>
      <c r="B190" s="38">
        <f>Capability!V9</f>
        <v/>
      </c>
      <c r="CB190">
        <f>IF((CE$1+186)&gt;CC$1,NA(),(CE$1+186)-4)</f>
        <v/>
      </c>
      <c r="CC190">
        <f>IF((CE$1+186)&gt;CC$1,NA(),INDEX('Data Entry'!$H$5:$H$10004,(CE$1+186)-4))</f>
        <v/>
      </c>
      <c r="CD190">
        <f>IF(ISNA(CB190),NA(),Capability!$K$5)</f>
        <v/>
      </c>
      <c r="CE190">
        <f>IF(ISNA(CB190),NA(),Capability!$J$5)</f>
        <v/>
      </c>
      <c r="CF190">
        <f>IF(ISNA(CB190),NA(),Capability!$L$5)</f>
        <v/>
      </c>
      <c r="CG190">
        <f>IF(OR(ISNA(CC190),ISNA(CC189)),NA(),ABS(CC190-CC189))</f>
        <v/>
      </c>
      <c r="CH190">
        <f>IF(ISNA(CB190),NA(),Capability!$N$5)</f>
        <v/>
      </c>
      <c r="CI190">
        <f>IF(ISNA(CB190),NA(),IF(OR(Capability!$Q$5="",Settings!$F$7&lt;&gt;"Y"),NA(),Capability!$Q$5))</f>
        <v/>
      </c>
      <c r="CJ190">
        <f>IF(ISNA(CB190),NA(),IF(OR(Capability!$P$5="",Settings!$F$7&lt;&gt;"Y"),NA(),Capability!$P$5))</f>
        <v/>
      </c>
      <c r="CP190">
        <f>IF((CS$1+186)&gt;CQ$1,NA(),(CS$1+186)-4)</f>
        <v/>
      </c>
      <c r="CQ190">
        <f>IF((CS$1+186)&gt;CQ$1,NA(),INDEX('Data Entry'!$I$5:$I$10004,(CS$1+186)-4))</f>
        <v/>
      </c>
      <c r="CR190">
        <f>IF(ISNA(CP190),NA(),Capability!$K$6)</f>
        <v/>
      </c>
      <c r="CS190">
        <f>IF(ISNA(CP190),NA(),Capability!$J$6)</f>
        <v/>
      </c>
      <c r="CT190">
        <f>IF(ISNA(CP190),NA(),Capability!$L$6)</f>
        <v/>
      </c>
      <c r="CU190">
        <f>IF(OR(ISNA(CQ190),ISNA(CQ189)),NA(),ABS(CQ190-CQ189))</f>
        <v/>
      </c>
      <c r="CV190">
        <f>IF(ISNA(CP190),NA(),Capability!$N$6)</f>
        <v/>
      </c>
      <c r="CW190">
        <f>IF(ISNA(CP190),NA(),IF(OR(Capability!$Q$6="",Settings!$F$7&lt;&gt;"Y"),NA(),Capability!$Q$6))</f>
        <v/>
      </c>
      <c r="CX190">
        <f>IF(ISNA(CP190),NA(),IF(OR(Capability!$P$6="",Settings!$F$7&lt;&gt;"Y"),NA(),Capability!$P$6))</f>
        <v/>
      </c>
      <c r="DD190">
        <f>IF((DG$1+186)&gt;DE$1,NA(),(DG$1+186)-4)</f>
        <v/>
      </c>
      <c r="DE190">
        <f>IF((DG$1+186)&gt;DE$1,NA(),INDEX('Data Entry'!$J$5:$J$10004,(DG$1+186)-4))</f>
        <v/>
      </c>
      <c r="DF190">
        <f>IF(ISNA(DD190),NA(),Capability!$K$7)</f>
        <v/>
      </c>
      <c r="DG190">
        <f>IF(ISNA(DD190),NA(),Capability!$J$7)</f>
        <v/>
      </c>
      <c r="DH190">
        <f>IF(ISNA(DD190),NA(),Capability!$L$7)</f>
        <v/>
      </c>
      <c r="DI190">
        <f>IF(OR(ISNA(DE190),ISNA(DE189)),NA(),ABS(DE190-DE189))</f>
        <v/>
      </c>
      <c r="DJ190">
        <f>IF(ISNA(DD190),NA(),Capability!$N$7)</f>
        <v/>
      </c>
      <c r="DK190">
        <f>IF(ISNA(DD190),NA(),IF(OR(Capability!$Q$7="",Settings!$F$7&lt;&gt;"Y"),NA(),Capability!$Q$7))</f>
        <v/>
      </c>
      <c r="DL190">
        <f>IF(ISNA(DD190),NA(),IF(OR(Capability!$P$7="",Settings!$F$7&lt;&gt;"Y"),NA(),Capability!$P$7))</f>
        <v/>
      </c>
      <c r="DR190">
        <f>IF((DU$1+186)&gt;DS$1,NA(),(DU$1+186)-4)</f>
        <v/>
      </c>
      <c r="DS190">
        <f>IF((DU$1+186)&gt;DS$1,NA(),INDEX('Data Entry'!$K$5:$K$10004,(DU$1+186)-4))</f>
        <v/>
      </c>
      <c r="DT190">
        <f>IF(ISNA(DR190),NA(),Capability!$K$8)</f>
        <v/>
      </c>
      <c r="DU190">
        <f>IF(ISNA(DR190),NA(),Capability!$J$8)</f>
        <v/>
      </c>
      <c r="DV190">
        <f>IF(ISNA(DR190),NA(),Capability!$L$8)</f>
        <v/>
      </c>
      <c r="DW190">
        <f>IF(OR(ISNA(DS190),ISNA(DS189)),NA(),ABS(DS190-DS189))</f>
        <v/>
      </c>
      <c r="DX190">
        <f>IF(ISNA(DR190),NA(),Capability!$N$8)</f>
        <v/>
      </c>
      <c r="DY190">
        <f>IF(ISNA(DR190),NA(),IF(OR(Capability!$Q$8="",Settings!$F$7&lt;&gt;"Y"),NA(),Capability!$Q$8))</f>
        <v/>
      </c>
      <c r="DZ190">
        <f>IF(ISNA(DR190),NA(),IF(OR(Capability!$P$8="",Settings!$F$7&lt;&gt;"Y"),NA(),Capability!$P$8))</f>
        <v/>
      </c>
      <c r="EF190">
        <f>IF((EI$1+186)&gt;EG$1,NA(),(EI$1+186)-4)</f>
        <v/>
      </c>
      <c r="EG190">
        <f>IF((EI$1+186)&gt;EG$1,NA(),INDEX('Data Entry'!$L$5:$L$10004,(EI$1+186)-4))</f>
        <v/>
      </c>
      <c r="EH190">
        <f>IF(ISNA(EF190),NA(),Capability!$K$9)</f>
        <v/>
      </c>
      <c r="EI190">
        <f>IF(ISNA(EF190),NA(),Capability!$J$9)</f>
        <v/>
      </c>
      <c r="EJ190">
        <f>IF(ISNA(EF190),NA(),Capability!$L$9)</f>
        <v/>
      </c>
      <c r="EK190">
        <f>IF(OR(ISNA(EG190),ISNA(EG189)),NA(),ABS(EG190-EG189))</f>
        <v/>
      </c>
      <c r="EL190">
        <f>IF(ISNA(EF190),NA(),Capability!$N$9)</f>
        <v/>
      </c>
      <c r="EM190">
        <f>IF(ISNA(EF190),NA(),IF(OR(Capability!$Q$9="",Settings!$F$7&lt;&gt;"Y"),NA(),Capability!$Q$9))</f>
        <v/>
      </c>
      <c r="EN190">
        <f>IF(ISNA(EF190),NA(),IF(OR(Capability!$P$9="",Settings!$F$7&lt;&gt;"Y"),NA(),Capability!$P$9))</f>
        <v/>
      </c>
      <c r="ET190">
        <f>IF((EW$1+186)&gt;EU$1,NA(),(EW$1+186)-4)</f>
        <v/>
      </c>
      <c r="EU190">
        <f>IF((EW$1+186)&gt;EU$1,NA(),INDEX('Data Entry'!$M$5:$M$10004,(EW$1+186)-4))</f>
        <v/>
      </c>
      <c r="EV190">
        <f>IF(ISNA(ET190),NA(),Capability!$K$10)</f>
        <v/>
      </c>
      <c r="EW190">
        <f>IF(ISNA(ET190),NA(),Capability!$J$10)</f>
        <v/>
      </c>
      <c r="EX190">
        <f>IF(ISNA(ET190),NA(),Capability!$L$10)</f>
        <v/>
      </c>
      <c r="EY190">
        <f>IF(OR(ISNA(EU190),ISNA(EU189)),NA(),ABS(EU190-EU189))</f>
        <v/>
      </c>
      <c r="EZ190">
        <f>IF(ISNA(ET190),NA(),Capability!$N$10)</f>
        <v/>
      </c>
      <c r="FA190">
        <f>IF(ISNA(ET190),NA(),IF(OR(Capability!$Q$10="",Settings!$F$7&lt;&gt;"Y"),NA(),Capability!$Q$10))</f>
        <v/>
      </c>
      <c r="FB190">
        <f>IF(ISNA(ET190),NA(),IF(OR(Capability!$P$10="",Settings!$F$7&lt;&gt;"Y"),NA(),Capability!$P$10))</f>
        <v/>
      </c>
      <c r="FH190">
        <f>IF((FK$1+186)&gt;FI$1,NA(),(FK$1+186)-4)</f>
        <v/>
      </c>
      <c r="FI190">
        <f>IF((FK$1+186)&gt;FI$1,NA(),INDEX('Data Entry'!$N$5:$N$10004,(FK$1+186)-4))</f>
        <v/>
      </c>
      <c r="FJ190">
        <f>IF(ISNA(FH190),NA(),Capability!$K$11)</f>
        <v/>
      </c>
      <c r="FK190">
        <f>IF(ISNA(FH190),NA(),Capability!$J$11)</f>
        <v/>
      </c>
      <c r="FL190">
        <f>IF(ISNA(FH190),NA(),Capability!$L$11)</f>
        <v/>
      </c>
      <c r="FM190">
        <f>IF(OR(ISNA(FI190),ISNA(FI189)),NA(),ABS(FI190-FI189))</f>
        <v/>
      </c>
      <c r="FN190">
        <f>IF(ISNA(FH190),NA(),Capability!$N$11)</f>
        <v/>
      </c>
      <c r="FO190">
        <f>IF(ISNA(FH190),NA(),IF(OR(Capability!$Q$11="",Settings!$F$7&lt;&gt;"Y"),NA(),Capability!$Q$11))</f>
        <v/>
      </c>
      <c r="FP190">
        <f>IF(ISNA(FH190),NA(),IF(OR(Capability!$P$11="",Settings!$F$7&lt;&gt;"Y"),NA(),Capability!$P$11))</f>
        <v/>
      </c>
      <c r="FV190">
        <f>IF((FY$1+186)&gt;FW$1,NA(),(FY$1+186)-4)</f>
        <v/>
      </c>
      <c r="FW190">
        <f>IF((FY$1+186)&gt;FW$1,NA(),INDEX('Data Entry'!$O$5:$O$10004,(FY$1+186)-4))</f>
        <v/>
      </c>
      <c r="FX190">
        <f>IF(ISNA(FV190),NA(),Capability!$K$12)</f>
        <v/>
      </c>
      <c r="FY190">
        <f>IF(ISNA(FV190),NA(),Capability!$J$12)</f>
        <v/>
      </c>
      <c r="FZ190">
        <f>IF(ISNA(FV190),NA(),Capability!$L$12)</f>
        <v/>
      </c>
      <c r="GA190">
        <f>IF(OR(ISNA(FW190),ISNA(FW189)),NA(),ABS(FW190-FW189))</f>
        <v/>
      </c>
      <c r="GB190">
        <f>IF(ISNA(FV190),NA(),Capability!$N$12)</f>
        <v/>
      </c>
      <c r="GC190">
        <f>IF(ISNA(FV190),NA(),IF(OR(Capability!$Q$12="",Settings!$F$7&lt;&gt;"Y"),NA(),Capability!$Q$12))</f>
        <v/>
      </c>
      <c r="GD190">
        <f>IF(ISNA(FV190),NA(),IF(OR(Capability!$P$12="",Settings!$F$7&lt;&gt;"Y"),NA(),Capability!$P$12))</f>
        <v/>
      </c>
      <c r="GJ190">
        <f>IF((GM$1+186)&gt;GK$1,NA(),(GM$1+186)-4)</f>
        <v/>
      </c>
      <c r="GK190">
        <f>IF((GM$1+186)&gt;GK$1,NA(),INDEX('Data Entry'!$P$5:$P$10004,(GM$1+186)-4))</f>
        <v/>
      </c>
      <c r="GL190">
        <f>IF(ISNA(GJ190),NA(),Capability!$K$13)</f>
        <v/>
      </c>
      <c r="GM190">
        <f>IF(ISNA(GJ190),NA(),Capability!$J$13)</f>
        <v/>
      </c>
      <c r="GN190">
        <f>IF(ISNA(GJ190),NA(),Capability!$L$13)</f>
        <v/>
      </c>
      <c r="GO190">
        <f>IF(OR(ISNA(GK190),ISNA(GK189)),NA(),ABS(GK190-GK189))</f>
        <v/>
      </c>
      <c r="GP190">
        <f>IF(ISNA(GJ190),NA(),Capability!$N$13)</f>
        <v/>
      </c>
      <c r="GQ190">
        <f>IF(ISNA(GJ190),NA(),IF(OR(Capability!$Q$13="",Settings!$F$7&lt;&gt;"Y"),NA(),Capability!$Q$13))</f>
        <v/>
      </c>
      <c r="GR190">
        <f>IF(ISNA(GJ190),NA(),IF(OR(Capability!$P$13="",Settings!$F$7&lt;&gt;"Y"),NA(),Capability!$P$13))</f>
        <v/>
      </c>
      <c r="GX190">
        <f>IF((HA$1+186)&gt;GY$1,NA(),(HA$1+186)-4)</f>
        <v/>
      </c>
      <c r="GY190">
        <f>IF((HA$1+186)&gt;GY$1,NA(),INDEX('Data Entry'!$Q$5:$Q$10004,(HA$1+186)-4))</f>
        <v/>
      </c>
      <c r="GZ190">
        <f>IF(ISNA(GX190),NA(),Capability!$K$14)</f>
        <v/>
      </c>
      <c r="HA190">
        <f>IF(ISNA(GX190),NA(),Capability!$J$14)</f>
        <v/>
      </c>
      <c r="HB190">
        <f>IF(ISNA(GX190),NA(),Capability!$L$14)</f>
        <v/>
      </c>
      <c r="HC190">
        <f>IF(OR(ISNA(GY190),ISNA(GY189)),NA(),ABS(GY190-GY189))</f>
        <v/>
      </c>
      <c r="HD190">
        <f>IF(ISNA(GX190),NA(),Capability!$N$14)</f>
        <v/>
      </c>
      <c r="HE190">
        <f>IF(ISNA(GX190),NA(),IF(OR(Capability!$Q$14="",Settings!$F$7&lt;&gt;"Y"),NA(),Capability!$Q$14))</f>
        <v/>
      </c>
      <c r="HF190">
        <f>IF(ISNA(GX190),NA(),IF(OR(Capability!$P$14="",Settings!$F$7&lt;&gt;"Y"),NA(),Capability!$P$14))</f>
        <v/>
      </c>
    </row>
    <row r="191">
      <c r="A191" s="35" t="inlineStr">
        <is>
          <t>In control?</t>
        </is>
      </c>
      <c r="B191" s="36">
        <f>Capability!W9</f>
        <v/>
      </c>
      <c r="CB191">
        <f>IF((CE$1+187)&gt;CC$1,NA(),(CE$1+187)-4)</f>
        <v/>
      </c>
      <c r="CC191">
        <f>IF((CE$1+187)&gt;CC$1,NA(),INDEX('Data Entry'!$H$5:$H$10004,(CE$1+187)-4))</f>
        <v/>
      </c>
      <c r="CD191">
        <f>IF(ISNA(CB191),NA(),Capability!$K$5)</f>
        <v/>
      </c>
      <c r="CE191">
        <f>IF(ISNA(CB191),NA(),Capability!$J$5)</f>
        <v/>
      </c>
      <c r="CF191">
        <f>IF(ISNA(CB191),NA(),Capability!$L$5)</f>
        <v/>
      </c>
      <c r="CG191">
        <f>IF(OR(ISNA(CC191),ISNA(CC190)),NA(),ABS(CC191-CC190))</f>
        <v/>
      </c>
      <c r="CH191">
        <f>IF(ISNA(CB191),NA(),Capability!$N$5)</f>
        <v/>
      </c>
      <c r="CI191">
        <f>IF(ISNA(CB191),NA(),IF(OR(Capability!$Q$5="",Settings!$F$7&lt;&gt;"Y"),NA(),Capability!$Q$5))</f>
        <v/>
      </c>
      <c r="CJ191">
        <f>IF(ISNA(CB191),NA(),IF(OR(Capability!$P$5="",Settings!$F$7&lt;&gt;"Y"),NA(),Capability!$P$5))</f>
        <v/>
      </c>
      <c r="CP191">
        <f>IF((CS$1+187)&gt;CQ$1,NA(),(CS$1+187)-4)</f>
        <v/>
      </c>
      <c r="CQ191">
        <f>IF((CS$1+187)&gt;CQ$1,NA(),INDEX('Data Entry'!$I$5:$I$10004,(CS$1+187)-4))</f>
        <v/>
      </c>
      <c r="CR191">
        <f>IF(ISNA(CP191),NA(),Capability!$K$6)</f>
        <v/>
      </c>
      <c r="CS191">
        <f>IF(ISNA(CP191),NA(),Capability!$J$6)</f>
        <v/>
      </c>
      <c r="CT191">
        <f>IF(ISNA(CP191),NA(),Capability!$L$6)</f>
        <v/>
      </c>
      <c r="CU191">
        <f>IF(OR(ISNA(CQ191),ISNA(CQ190)),NA(),ABS(CQ191-CQ190))</f>
        <v/>
      </c>
      <c r="CV191">
        <f>IF(ISNA(CP191),NA(),Capability!$N$6)</f>
        <v/>
      </c>
      <c r="CW191">
        <f>IF(ISNA(CP191),NA(),IF(OR(Capability!$Q$6="",Settings!$F$7&lt;&gt;"Y"),NA(),Capability!$Q$6))</f>
        <v/>
      </c>
      <c r="CX191">
        <f>IF(ISNA(CP191),NA(),IF(OR(Capability!$P$6="",Settings!$F$7&lt;&gt;"Y"),NA(),Capability!$P$6))</f>
        <v/>
      </c>
      <c r="DD191">
        <f>IF((DG$1+187)&gt;DE$1,NA(),(DG$1+187)-4)</f>
        <v/>
      </c>
      <c r="DE191">
        <f>IF((DG$1+187)&gt;DE$1,NA(),INDEX('Data Entry'!$J$5:$J$10004,(DG$1+187)-4))</f>
        <v/>
      </c>
      <c r="DF191">
        <f>IF(ISNA(DD191),NA(),Capability!$K$7)</f>
        <v/>
      </c>
      <c r="DG191">
        <f>IF(ISNA(DD191),NA(),Capability!$J$7)</f>
        <v/>
      </c>
      <c r="DH191">
        <f>IF(ISNA(DD191),NA(),Capability!$L$7)</f>
        <v/>
      </c>
      <c r="DI191">
        <f>IF(OR(ISNA(DE191),ISNA(DE190)),NA(),ABS(DE191-DE190))</f>
        <v/>
      </c>
      <c r="DJ191">
        <f>IF(ISNA(DD191),NA(),Capability!$N$7)</f>
        <v/>
      </c>
      <c r="DK191">
        <f>IF(ISNA(DD191),NA(),IF(OR(Capability!$Q$7="",Settings!$F$7&lt;&gt;"Y"),NA(),Capability!$Q$7))</f>
        <v/>
      </c>
      <c r="DL191">
        <f>IF(ISNA(DD191),NA(),IF(OR(Capability!$P$7="",Settings!$F$7&lt;&gt;"Y"),NA(),Capability!$P$7))</f>
        <v/>
      </c>
      <c r="DR191">
        <f>IF((DU$1+187)&gt;DS$1,NA(),(DU$1+187)-4)</f>
        <v/>
      </c>
      <c r="DS191">
        <f>IF((DU$1+187)&gt;DS$1,NA(),INDEX('Data Entry'!$K$5:$K$10004,(DU$1+187)-4))</f>
        <v/>
      </c>
      <c r="DT191">
        <f>IF(ISNA(DR191),NA(),Capability!$K$8)</f>
        <v/>
      </c>
      <c r="DU191">
        <f>IF(ISNA(DR191),NA(),Capability!$J$8)</f>
        <v/>
      </c>
      <c r="DV191">
        <f>IF(ISNA(DR191),NA(),Capability!$L$8)</f>
        <v/>
      </c>
      <c r="DW191">
        <f>IF(OR(ISNA(DS191),ISNA(DS190)),NA(),ABS(DS191-DS190))</f>
        <v/>
      </c>
      <c r="DX191">
        <f>IF(ISNA(DR191),NA(),Capability!$N$8)</f>
        <v/>
      </c>
      <c r="DY191">
        <f>IF(ISNA(DR191),NA(),IF(OR(Capability!$Q$8="",Settings!$F$7&lt;&gt;"Y"),NA(),Capability!$Q$8))</f>
        <v/>
      </c>
      <c r="DZ191">
        <f>IF(ISNA(DR191),NA(),IF(OR(Capability!$P$8="",Settings!$F$7&lt;&gt;"Y"),NA(),Capability!$P$8))</f>
        <v/>
      </c>
      <c r="EF191">
        <f>IF((EI$1+187)&gt;EG$1,NA(),(EI$1+187)-4)</f>
        <v/>
      </c>
      <c r="EG191">
        <f>IF((EI$1+187)&gt;EG$1,NA(),INDEX('Data Entry'!$L$5:$L$10004,(EI$1+187)-4))</f>
        <v/>
      </c>
      <c r="EH191">
        <f>IF(ISNA(EF191),NA(),Capability!$K$9)</f>
        <v/>
      </c>
      <c r="EI191">
        <f>IF(ISNA(EF191),NA(),Capability!$J$9)</f>
        <v/>
      </c>
      <c r="EJ191">
        <f>IF(ISNA(EF191),NA(),Capability!$L$9)</f>
        <v/>
      </c>
      <c r="EK191">
        <f>IF(OR(ISNA(EG191),ISNA(EG190)),NA(),ABS(EG191-EG190))</f>
        <v/>
      </c>
      <c r="EL191">
        <f>IF(ISNA(EF191),NA(),Capability!$N$9)</f>
        <v/>
      </c>
      <c r="EM191">
        <f>IF(ISNA(EF191),NA(),IF(OR(Capability!$Q$9="",Settings!$F$7&lt;&gt;"Y"),NA(),Capability!$Q$9))</f>
        <v/>
      </c>
      <c r="EN191">
        <f>IF(ISNA(EF191),NA(),IF(OR(Capability!$P$9="",Settings!$F$7&lt;&gt;"Y"),NA(),Capability!$P$9))</f>
        <v/>
      </c>
      <c r="ET191">
        <f>IF((EW$1+187)&gt;EU$1,NA(),(EW$1+187)-4)</f>
        <v/>
      </c>
      <c r="EU191">
        <f>IF((EW$1+187)&gt;EU$1,NA(),INDEX('Data Entry'!$M$5:$M$10004,(EW$1+187)-4))</f>
        <v/>
      </c>
      <c r="EV191">
        <f>IF(ISNA(ET191),NA(),Capability!$K$10)</f>
        <v/>
      </c>
      <c r="EW191">
        <f>IF(ISNA(ET191),NA(),Capability!$J$10)</f>
        <v/>
      </c>
      <c r="EX191">
        <f>IF(ISNA(ET191),NA(),Capability!$L$10)</f>
        <v/>
      </c>
      <c r="EY191">
        <f>IF(OR(ISNA(EU191),ISNA(EU190)),NA(),ABS(EU191-EU190))</f>
        <v/>
      </c>
      <c r="EZ191">
        <f>IF(ISNA(ET191),NA(),Capability!$N$10)</f>
        <v/>
      </c>
      <c r="FA191">
        <f>IF(ISNA(ET191),NA(),IF(OR(Capability!$Q$10="",Settings!$F$7&lt;&gt;"Y"),NA(),Capability!$Q$10))</f>
        <v/>
      </c>
      <c r="FB191">
        <f>IF(ISNA(ET191),NA(),IF(OR(Capability!$P$10="",Settings!$F$7&lt;&gt;"Y"),NA(),Capability!$P$10))</f>
        <v/>
      </c>
      <c r="FH191">
        <f>IF((FK$1+187)&gt;FI$1,NA(),(FK$1+187)-4)</f>
        <v/>
      </c>
      <c r="FI191">
        <f>IF((FK$1+187)&gt;FI$1,NA(),INDEX('Data Entry'!$N$5:$N$10004,(FK$1+187)-4))</f>
        <v/>
      </c>
      <c r="FJ191">
        <f>IF(ISNA(FH191),NA(),Capability!$K$11)</f>
        <v/>
      </c>
      <c r="FK191">
        <f>IF(ISNA(FH191),NA(),Capability!$J$11)</f>
        <v/>
      </c>
      <c r="FL191">
        <f>IF(ISNA(FH191),NA(),Capability!$L$11)</f>
        <v/>
      </c>
      <c r="FM191">
        <f>IF(OR(ISNA(FI191),ISNA(FI190)),NA(),ABS(FI191-FI190))</f>
        <v/>
      </c>
      <c r="FN191">
        <f>IF(ISNA(FH191),NA(),Capability!$N$11)</f>
        <v/>
      </c>
      <c r="FO191">
        <f>IF(ISNA(FH191),NA(),IF(OR(Capability!$Q$11="",Settings!$F$7&lt;&gt;"Y"),NA(),Capability!$Q$11))</f>
        <v/>
      </c>
      <c r="FP191">
        <f>IF(ISNA(FH191),NA(),IF(OR(Capability!$P$11="",Settings!$F$7&lt;&gt;"Y"),NA(),Capability!$P$11))</f>
        <v/>
      </c>
      <c r="FV191">
        <f>IF((FY$1+187)&gt;FW$1,NA(),(FY$1+187)-4)</f>
        <v/>
      </c>
      <c r="FW191">
        <f>IF((FY$1+187)&gt;FW$1,NA(),INDEX('Data Entry'!$O$5:$O$10004,(FY$1+187)-4))</f>
        <v/>
      </c>
      <c r="FX191">
        <f>IF(ISNA(FV191),NA(),Capability!$K$12)</f>
        <v/>
      </c>
      <c r="FY191">
        <f>IF(ISNA(FV191),NA(),Capability!$J$12)</f>
        <v/>
      </c>
      <c r="FZ191">
        <f>IF(ISNA(FV191),NA(),Capability!$L$12)</f>
        <v/>
      </c>
      <c r="GA191">
        <f>IF(OR(ISNA(FW191),ISNA(FW190)),NA(),ABS(FW191-FW190))</f>
        <v/>
      </c>
      <c r="GB191">
        <f>IF(ISNA(FV191),NA(),Capability!$N$12)</f>
        <v/>
      </c>
      <c r="GC191">
        <f>IF(ISNA(FV191),NA(),IF(OR(Capability!$Q$12="",Settings!$F$7&lt;&gt;"Y"),NA(),Capability!$Q$12))</f>
        <v/>
      </c>
      <c r="GD191">
        <f>IF(ISNA(FV191),NA(),IF(OR(Capability!$P$12="",Settings!$F$7&lt;&gt;"Y"),NA(),Capability!$P$12))</f>
        <v/>
      </c>
      <c r="GJ191">
        <f>IF((GM$1+187)&gt;GK$1,NA(),(GM$1+187)-4)</f>
        <v/>
      </c>
      <c r="GK191">
        <f>IF((GM$1+187)&gt;GK$1,NA(),INDEX('Data Entry'!$P$5:$P$10004,(GM$1+187)-4))</f>
        <v/>
      </c>
      <c r="GL191">
        <f>IF(ISNA(GJ191),NA(),Capability!$K$13)</f>
        <v/>
      </c>
      <c r="GM191">
        <f>IF(ISNA(GJ191),NA(),Capability!$J$13)</f>
        <v/>
      </c>
      <c r="GN191">
        <f>IF(ISNA(GJ191),NA(),Capability!$L$13)</f>
        <v/>
      </c>
      <c r="GO191">
        <f>IF(OR(ISNA(GK191),ISNA(GK190)),NA(),ABS(GK191-GK190))</f>
        <v/>
      </c>
      <c r="GP191">
        <f>IF(ISNA(GJ191),NA(),Capability!$N$13)</f>
        <v/>
      </c>
      <c r="GQ191">
        <f>IF(ISNA(GJ191),NA(),IF(OR(Capability!$Q$13="",Settings!$F$7&lt;&gt;"Y"),NA(),Capability!$Q$13))</f>
        <v/>
      </c>
      <c r="GR191">
        <f>IF(ISNA(GJ191),NA(),IF(OR(Capability!$P$13="",Settings!$F$7&lt;&gt;"Y"),NA(),Capability!$P$13))</f>
        <v/>
      </c>
      <c r="GX191">
        <f>IF((HA$1+187)&gt;GY$1,NA(),(HA$1+187)-4)</f>
        <v/>
      </c>
      <c r="GY191">
        <f>IF((HA$1+187)&gt;GY$1,NA(),INDEX('Data Entry'!$Q$5:$Q$10004,(HA$1+187)-4))</f>
        <v/>
      </c>
      <c r="GZ191">
        <f>IF(ISNA(GX191),NA(),Capability!$K$14)</f>
        <v/>
      </c>
      <c r="HA191">
        <f>IF(ISNA(GX191),NA(),Capability!$J$14)</f>
        <v/>
      </c>
      <c r="HB191">
        <f>IF(ISNA(GX191),NA(),Capability!$L$14)</f>
        <v/>
      </c>
      <c r="HC191">
        <f>IF(OR(ISNA(GY191),ISNA(GY190)),NA(),ABS(GY191-GY190))</f>
        <v/>
      </c>
      <c r="HD191">
        <f>IF(ISNA(GX191),NA(),Capability!$N$14)</f>
        <v/>
      </c>
      <c r="HE191">
        <f>IF(ISNA(GX191),NA(),IF(OR(Capability!$Q$14="",Settings!$F$7&lt;&gt;"Y"),NA(),Capability!$Q$14))</f>
        <v/>
      </c>
      <c r="HF191">
        <f>IF(ISNA(GX191),NA(),IF(OR(Capability!$P$14="",Settings!$F$7&lt;&gt;"Y"),NA(),Capability!$P$14))</f>
        <v/>
      </c>
    </row>
    <row r="192">
      <c r="A192" s="35" t="inlineStr">
        <is>
          <t>In spec?</t>
        </is>
      </c>
      <c r="B192" s="36">
        <f>Capability!X9</f>
        <v/>
      </c>
      <c r="CB192">
        <f>IF((CE$1+188)&gt;CC$1,NA(),(CE$1+188)-4)</f>
        <v/>
      </c>
      <c r="CC192">
        <f>IF((CE$1+188)&gt;CC$1,NA(),INDEX('Data Entry'!$H$5:$H$10004,(CE$1+188)-4))</f>
        <v/>
      </c>
      <c r="CD192">
        <f>IF(ISNA(CB192),NA(),Capability!$K$5)</f>
        <v/>
      </c>
      <c r="CE192">
        <f>IF(ISNA(CB192),NA(),Capability!$J$5)</f>
        <v/>
      </c>
      <c r="CF192">
        <f>IF(ISNA(CB192),NA(),Capability!$L$5)</f>
        <v/>
      </c>
      <c r="CG192">
        <f>IF(OR(ISNA(CC192),ISNA(CC191)),NA(),ABS(CC192-CC191))</f>
        <v/>
      </c>
      <c r="CH192">
        <f>IF(ISNA(CB192),NA(),Capability!$N$5)</f>
        <v/>
      </c>
      <c r="CI192">
        <f>IF(ISNA(CB192),NA(),IF(OR(Capability!$Q$5="",Settings!$F$7&lt;&gt;"Y"),NA(),Capability!$Q$5))</f>
        <v/>
      </c>
      <c r="CJ192">
        <f>IF(ISNA(CB192),NA(),IF(OR(Capability!$P$5="",Settings!$F$7&lt;&gt;"Y"),NA(),Capability!$P$5))</f>
        <v/>
      </c>
      <c r="CP192">
        <f>IF((CS$1+188)&gt;CQ$1,NA(),(CS$1+188)-4)</f>
        <v/>
      </c>
      <c r="CQ192">
        <f>IF((CS$1+188)&gt;CQ$1,NA(),INDEX('Data Entry'!$I$5:$I$10004,(CS$1+188)-4))</f>
        <v/>
      </c>
      <c r="CR192">
        <f>IF(ISNA(CP192),NA(),Capability!$K$6)</f>
        <v/>
      </c>
      <c r="CS192">
        <f>IF(ISNA(CP192),NA(),Capability!$J$6)</f>
        <v/>
      </c>
      <c r="CT192">
        <f>IF(ISNA(CP192),NA(),Capability!$L$6)</f>
        <v/>
      </c>
      <c r="CU192">
        <f>IF(OR(ISNA(CQ192),ISNA(CQ191)),NA(),ABS(CQ192-CQ191))</f>
        <v/>
      </c>
      <c r="CV192">
        <f>IF(ISNA(CP192),NA(),Capability!$N$6)</f>
        <v/>
      </c>
      <c r="CW192">
        <f>IF(ISNA(CP192),NA(),IF(OR(Capability!$Q$6="",Settings!$F$7&lt;&gt;"Y"),NA(),Capability!$Q$6))</f>
        <v/>
      </c>
      <c r="CX192">
        <f>IF(ISNA(CP192),NA(),IF(OR(Capability!$P$6="",Settings!$F$7&lt;&gt;"Y"),NA(),Capability!$P$6))</f>
        <v/>
      </c>
      <c r="DD192">
        <f>IF((DG$1+188)&gt;DE$1,NA(),(DG$1+188)-4)</f>
        <v/>
      </c>
      <c r="DE192">
        <f>IF((DG$1+188)&gt;DE$1,NA(),INDEX('Data Entry'!$J$5:$J$10004,(DG$1+188)-4))</f>
        <v/>
      </c>
      <c r="DF192">
        <f>IF(ISNA(DD192),NA(),Capability!$K$7)</f>
        <v/>
      </c>
      <c r="DG192">
        <f>IF(ISNA(DD192),NA(),Capability!$J$7)</f>
        <v/>
      </c>
      <c r="DH192">
        <f>IF(ISNA(DD192),NA(),Capability!$L$7)</f>
        <v/>
      </c>
      <c r="DI192">
        <f>IF(OR(ISNA(DE192),ISNA(DE191)),NA(),ABS(DE192-DE191))</f>
        <v/>
      </c>
      <c r="DJ192">
        <f>IF(ISNA(DD192),NA(),Capability!$N$7)</f>
        <v/>
      </c>
      <c r="DK192">
        <f>IF(ISNA(DD192),NA(),IF(OR(Capability!$Q$7="",Settings!$F$7&lt;&gt;"Y"),NA(),Capability!$Q$7))</f>
        <v/>
      </c>
      <c r="DL192">
        <f>IF(ISNA(DD192),NA(),IF(OR(Capability!$P$7="",Settings!$F$7&lt;&gt;"Y"),NA(),Capability!$P$7))</f>
        <v/>
      </c>
      <c r="DR192">
        <f>IF((DU$1+188)&gt;DS$1,NA(),(DU$1+188)-4)</f>
        <v/>
      </c>
      <c r="DS192">
        <f>IF((DU$1+188)&gt;DS$1,NA(),INDEX('Data Entry'!$K$5:$K$10004,(DU$1+188)-4))</f>
        <v/>
      </c>
      <c r="DT192">
        <f>IF(ISNA(DR192),NA(),Capability!$K$8)</f>
        <v/>
      </c>
      <c r="DU192">
        <f>IF(ISNA(DR192),NA(),Capability!$J$8)</f>
        <v/>
      </c>
      <c r="DV192">
        <f>IF(ISNA(DR192),NA(),Capability!$L$8)</f>
        <v/>
      </c>
      <c r="DW192">
        <f>IF(OR(ISNA(DS192),ISNA(DS191)),NA(),ABS(DS192-DS191))</f>
        <v/>
      </c>
      <c r="DX192">
        <f>IF(ISNA(DR192),NA(),Capability!$N$8)</f>
        <v/>
      </c>
      <c r="DY192">
        <f>IF(ISNA(DR192),NA(),IF(OR(Capability!$Q$8="",Settings!$F$7&lt;&gt;"Y"),NA(),Capability!$Q$8))</f>
        <v/>
      </c>
      <c r="DZ192">
        <f>IF(ISNA(DR192),NA(),IF(OR(Capability!$P$8="",Settings!$F$7&lt;&gt;"Y"),NA(),Capability!$P$8))</f>
        <v/>
      </c>
      <c r="EF192">
        <f>IF((EI$1+188)&gt;EG$1,NA(),(EI$1+188)-4)</f>
        <v/>
      </c>
      <c r="EG192">
        <f>IF((EI$1+188)&gt;EG$1,NA(),INDEX('Data Entry'!$L$5:$L$10004,(EI$1+188)-4))</f>
        <v/>
      </c>
      <c r="EH192">
        <f>IF(ISNA(EF192),NA(),Capability!$K$9)</f>
        <v/>
      </c>
      <c r="EI192">
        <f>IF(ISNA(EF192),NA(),Capability!$J$9)</f>
        <v/>
      </c>
      <c r="EJ192">
        <f>IF(ISNA(EF192),NA(),Capability!$L$9)</f>
        <v/>
      </c>
      <c r="EK192">
        <f>IF(OR(ISNA(EG192),ISNA(EG191)),NA(),ABS(EG192-EG191))</f>
        <v/>
      </c>
      <c r="EL192">
        <f>IF(ISNA(EF192),NA(),Capability!$N$9)</f>
        <v/>
      </c>
      <c r="EM192">
        <f>IF(ISNA(EF192),NA(),IF(OR(Capability!$Q$9="",Settings!$F$7&lt;&gt;"Y"),NA(),Capability!$Q$9))</f>
        <v/>
      </c>
      <c r="EN192">
        <f>IF(ISNA(EF192),NA(),IF(OR(Capability!$P$9="",Settings!$F$7&lt;&gt;"Y"),NA(),Capability!$P$9))</f>
        <v/>
      </c>
      <c r="ET192">
        <f>IF((EW$1+188)&gt;EU$1,NA(),(EW$1+188)-4)</f>
        <v/>
      </c>
      <c r="EU192">
        <f>IF((EW$1+188)&gt;EU$1,NA(),INDEX('Data Entry'!$M$5:$M$10004,(EW$1+188)-4))</f>
        <v/>
      </c>
      <c r="EV192">
        <f>IF(ISNA(ET192),NA(),Capability!$K$10)</f>
        <v/>
      </c>
      <c r="EW192">
        <f>IF(ISNA(ET192),NA(),Capability!$J$10)</f>
        <v/>
      </c>
      <c r="EX192">
        <f>IF(ISNA(ET192),NA(),Capability!$L$10)</f>
        <v/>
      </c>
      <c r="EY192">
        <f>IF(OR(ISNA(EU192),ISNA(EU191)),NA(),ABS(EU192-EU191))</f>
        <v/>
      </c>
      <c r="EZ192">
        <f>IF(ISNA(ET192),NA(),Capability!$N$10)</f>
        <v/>
      </c>
      <c r="FA192">
        <f>IF(ISNA(ET192),NA(),IF(OR(Capability!$Q$10="",Settings!$F$7&lt;&gt;"Y"),NA(),Capability!$Q$10))</f>
        <v/>
      </c>
      <c r="FB192">
        <f>IF(ISNA(ET192),NA(),IF(OR(Capability!$P$10="",Settings!$F$7&lt;&gt;"Y"),NA(),Capability!$P$10))</f>
        <v/>
      </c>
      <c r="FH192">
        <f>IF((FK$1+188)&gt;FI$1,NA(),(FK$1+188)-4)</f>
        <v/>
      </c>
      <c r="FI192">
        <f>IF((FK$1+188)&gt;FI$1,NA(),INDEX('Data Entry'!$N$5:$N$10004,(FK$1+188)-4))</f>
        <v/>
      </c>
      <c r="FJ192">
        <f>IF(ISNA(FH192),NA(),Capability!$K$11)</f>
        <v/>
      </c>
      <c r="FK192">
        <f>IF(ISNA(FH192),NA(),Capability!$J$11)</f>
        <v/>
      </c>
      <c r="FL192">
        <f>IF(ISNA(FH192),NA(),Capability!$L$11)</f>
        <v/>
      </c>
      <c r="FM192">
        <f>IF(OR(ISNA(FI192),ISNA(FI191)),NA(),ABS(FI192-FI191))</f>
        <v/>
      </c>
      <c r="FN192">
        <f>IF(ISNA(FH192),NA(),Capability!$N$11)</f>
        <v/>
      </c>
      <c r="FO192">
        <f>IF(ISNA(FH192),NA(),IF(OR(Capability!$Q$11="",Settings!$F$7&lt;&gt;"Y"),NA(),Capability!$Q$11))</f>
        <v/>
      </c>
      <c r="FP192">
        <f>IF(ISNA(FH192),NA(),IF(OR(Capability!$P$11="",Settings!$F$7&lt;&gt;"Y"),NA(),Capability!$P$11))</f>
        <v/>
      </c>
      <c r="FV192">
        <f>IF((FY$1+188)&gt;FW$1,NA(),(FY$1+188)-4)</f>
        <v/>
      </c>
      <c r="FW192">
        <f>IF((FY$1+188)&gt;FW$1,NA(),INDEX('Data Entry'!$O$5:$O$10004,(FY$1+188)-4))</f>
        <v/>
      </c>
      <c r="FX192">
        <f>IF(ISNA(FV192),NA(),Capability!$K$12)</f>
        <v/>
      </c>
      <c r="FY192">
        <f>IF(ISNA(FV192),NA(),Capability!$J$12)</f>
        <v/>
      </c>
      <c r="FZ192">
        <f>IF(ISNA(FV192),NA(),Capability!$L$12)</f>
        <v/>
      </c>
      <c r="GA192">
        <f>IF(OR(ISNA(FW192),ISNA(FW191)),NA(),ABS(FW192-FW191))</f>
        <v/>
      </c>
      <c r="GB192">
        <f>IF(ISNA(FV192),NA(),Capability!$N$12)</f>
        <v/>
      </c>
      <c r="GC192">
        <f>IF(ISNA(FV192),NA(),IF(OR(Capability!$Q$12="",Settings!$F$7&lt;&gt;"Y"),NA(),Capability!$Q$12))</f>
        <v/>
      </c>
      <c r="GD192">
        <f>IF(ISNA(FV192),NA(),IF(OR(Capability!$P$12="",Settings!$F$7&lt;&gt;"Y"),NA(),Capability!$P$12))</f>
        <v/>
      </c>
      <c r="GJ192">
        <f>IF((GM$1+188)&gt;GK$1,NA(),(GM$1+188)-4)</f>
        <v/>
      </c>
      <c r="GK192">
        <f>IF((GM$1+188)&gt;GK$1,NA(),INDEX('Data Entry'!$P$5:$P$10004,(GM$1+188)-4))</f>
        <v/>
      </c>
      <c r="GL192">
        <f>IF(ISNA(GJ192),NA(),Capability!$K$13)</f>
        <v/>
      </c>
      <c r="GM192">
        <f>IF(ISNA(GJ192),NA(),Capability!$J$13)</f>
        <v/>
      </c>
      <c r="GN192">
        <f>IF(ISNA(GJ192),NA(),Capability!$L$13)</f>
        <v/>
      </c>
      <c r="GO192">
        <f>IF(OR(ISNA(GK192),ISNA(GK191)),NA(),ABS(GK192-GK191))</f>
        <v/>
      </c>
      <c r="GP192">
        <f>IF(ISNA(GJ192),NA(),Capability!$N$13)</f>
        <v/>
      </c>
      <c r="GQ192">
        <f>IF(ISNA(GJ192),NA(),IF(OR(Capability!$Q$13="",Settings!$F$7&lt;&gt;"Y"),NA(),Capability!$Q$13))</f>
        <v/>
      </c>
      <c r="GR192">
        <f>IF(ISNA(GJ192),NA(),IF(OR(Capability!$P$13="",Settings!$F$7&lt;&gt;"Y"),NA(),Capability!$P$13))</f>
        <v/>
      </c>
      <c r="GX192">
        <f>IF((HA$1+188)&gt;GY$1,NA(),(HA$1+188)-4)</f>
        <v/>
      </c>
      <c r="GY192">
        <f>IF((HA$1+188)&gt;GY$1,NA(),INDEX('Data Entry'!$Q$5:$Q$10004,(HA$1+188)-4))</f>
        <v/>
      </c>
      <c r="GZ192">
        <f>IF(ISNA(GX192),NA(),Capability!$K$14)</f>
        <v/>
      </c>
      <c r="HA192">
        <f>IF(ISNA(GX192),NA(),Capability!$J$14)</f>
        <v/>
      </c>
      <c r="HB192">
        <f>IF(ISNA(GX192),NA(),Capability!$L$14)</f>
        <v/>
      </c>
      <c r="HC192">
        <f>IF(OR(ISNA(GY192),ISNA(GY191)),NA(),ABS(GY192-GY191))</f>
        <v/>
      </c>
      <c r="HD192">
        <f>IF(ISNA(GX192),NA(),Capability!$N$14)</f>
        <v/>
      </c>
      <c r="HE192">
        <f>IF(ISNA(GX192),NA(),IF(OR(Capability!$Q$14="",Settings!$F$7&lt;&gt;"Y"),NA(),Capability!$Q$14))</f>
        <v/>
      </c>
      <c r="HF192">
        <f>IF(ISNA(GX192),NA(),IF(OR(Capability!$P$14="",Settings!$F$7&lt;&gt;"Y"),NA(),Capability!$P$14))</f>
        <v/>
      </c>
    </row>
    <row r="193">
      <c r="A193" s="35" t="inlineStr">
        <is>
          <t>Verdict</t>
        </is>
      </c>
      <c r="B193" s="36">
        <f>Capability!Y9</f>
        <v/>
      </c>
      <c r="CB193">
        <f>IF((CE$1+189)&gt;CC$1,NA(),(CE$1+189)-4)</f>
        <v/>
      </c>
      <c r="CC193">
        <f>IF((CE$1+189)&gt;CC$1,NA(),INDEX('Data Entry'!$H$5:$H$10004,(CE$1+189)-4))</f>
        <v/>
      </c>
      <c r="CD193">
        <f>IF(ISNA(CB193),NA(),Capability!$K$5)</f>
        <v/>
      </c>
      <c r="CE193">
        <f>IF(ISNA(CB193),NA(),Capability!$J$5)</f>
        <v/>
      </c>
      <c r="CF193">
        <f>IF(ISNA(CB193),NA(),Capability!$L$5)</f>
        <v/>
      </c>
      <c r="CG193">
        <f>IF(OR(ISNA(CC193),ISNA(CC192)),NA(),ABS(CC193-CC192))</f>
        <v/>
      </c>
      <c r="CH193">
        <f>IF(ISNA(CB193),NA(),Capability!$N$5)</f>
        <v/>
      </c>
      <c r="CI193">
        <f>IF(ISNA(CB193),NA(),IF(OR(Capability!$Q$5="",Settings!$F$7&lt;&gt;"Y"),NA(),Capability!$Q$5))</f>
        <v/>
      </c>
      <c r="CJ193">
        <f>IF(ISNA(CB193),NA(),IF(OR(Capability!$P$5="",Settings!$F$7&lt;&gt;"Y"),NA(),Capability!$P$5))</f>
        <v/>
      </c>
      <c r="CP193">
        <f>IF((CS$1+189)&gt;CQ$1,NA(),(CS$1+189)-4)</f>
        <v/>
      </c>
      <c r="CQ193">
        <f>IF((CS$1+189)&gt;CQ$1,NA(),INDEX('Data Entry'!$I$5:$I$10004,(CS$1+189)-4))</f>
        <v/>
      </c>
      <c r="CR193">
        <f>IF(ISNA(CP193),NA(),Capability!$K$6)</f>
        <v/>
      </c>
      <c r="CS193">
        <f>IF(ISNA(CP193),NA(),Capability!$J$6)</f>
        <v/>
      </c>
      <c r="CT193">
        <f>IF(ISNA(CP193),NA(),Capability!$L$6)</f>
        <v/>
      </c>
      <c r="CU193">
        <f>IF(OR(ISNA(CQ193),ISNA(CQ192)),NA(),ABS(CQ193-CQ192))</f>
        <v/>
      </c>
      <c r="CV193">
        <f>IF(ISNA(CP193),NA(),Capability!$N$6)</f>
        <v/>
      </c>
      <c r="CW193">
        <f>IF(ISNA(CP193),NA(),IF(OR(Capability!$Q$6="",Settings!$F$7&lt;&gt;"Y"),NA(),Capability!$Q$6))</f>
        <v/>
      </c>
      <c r="CX193">
        <f>IF(ISNA(CP193),NA(),IF(OR(Capability!$P$6="",Settings!$F$7&lt;&gt;"Y"),NA(),Capability!$P$6))</f>
        <v/>
      </c>
      <c r="DD193">
        <f>IF((DG$1+189)&gt;DE$1,NA(),(DG$1+189)-4)</f>
        <v/>
      </c>
      <c r="DE193">
        <f>IF((DG$1+189)&gt;DE$1,NA(),INDEX('Data Entry'!$J$5:$J$10004,(DG$1+189)-4))</f>
        <v/>
      </c>
      <c r="DF193">
        <f>IF(ISNA(DD193),NA(),Capability!$K$7)</f>
        <v/>
      </c>
      <c r="DG193">
        <f>IF(ISNA(DD193),NA(),Capability!$J$7)</f>
        <v/>
      </c>
      <c r="DH193">
        <f>IF(ISNA(DD193),NA(),Capability!$L$7)</f>
        <v/>
      </c>
      <c r="DI193">
        <f>IF(OR(ISNA(DE193),ISNA(DE192)),NA(),ABS(DE193-DE192))</f>
        <v/>
      </c>
      <c r="DJ193">
        <f>IF(ISNA(DD193),NA(),Capability!$N$7)</f>
        <v/>
      </c>
      <c r="DK193">
        <f>IF(ISNA(DD193),NA(),IF(OR(Capability!$Q$7="",Settings!$F$7&lt;&gt;"Y"),NA(),Capability!$Q$7))</f>
        <v/>
      </c>
      <c r="DL193">
        <f>IF(ISNA(DD193),NA(),IF(OR(Capability!$P$7="",Settings!$F$7&lt;&gt;"Y"),NA(),Capability!$P$7))</f>
        <v/>
      </c>
      <c r="DR193">
        <f>IF((DU$1+189)&gt;DS$1,NA(),(DU$1+189)-4)</f>
        <v/>
      </c>
      <c r="DS193">
        <f>IF((DU$1+189)&gt;DS$1,NA(),INDEX('Data Entry'!$K$5:$K$10004,(DU$1+189)-4))</f>
        <v/>
      </c>
      <c r="DT193">
        <f>IF(ISNA(DR193),NA(),Capability!$K$8)</f>
        <v/>
      </c>
      <c r="DU193">
        <f>IF(ISNA(DR193),NA(),Capability!$J$8)</f>
        <v/>
      </c>
      <c r="DV193">
        <f>IF(ISNA(DR193),NA(),Capability!$L$8)</f>
        <v/>
      </c>
      <c r="DW193">
        <f>IF(OR(ISNA(DS193),ISNA(DS192)),NA(),ABS(DS193-DS192))</f>
        <v/>
      </c>
      <c r="DX193">
        <f>IF(ISNA(DR193),NA(),Capability!$N$8)</f>
        <v/>
      </c>
      <c r="DY193">
        <f>IF(ISNA(DR193),NA(),IF(OR(Capability!$Q$8="",Settings!$F$7&lt;&gt;"Y"),NA(),Capability!$Q$8))</f>
        <v/>
      </c>
      <c r="DZ193">
        <f>IF(ISNA(DR193),NA(),IF(OR(Capability!$P$8="",Settings!$F$7&lt;&gt;"Y"),NA(),Capability!$P$8))</f>
        <v/>
      </c>
      <c r="EF193">
        <f>IF((EI$1+189)&gt;EG$1,NA(),(EI$1+189)-4)</f>
        <v/>
      </c>
      <c r="EG193">
        <f>IF((EI$1+189)&gt;EG$1,NA(),INDEX('Data Entry'!$L$5:$L$10004,(EI$1+189)-4))</f>
        <v/>
      </c>
      <c r="EH193">
        <f>IF(ISNA(EF193),NA(),Capability!$K$9)</f>
        <v/>
      </c>
      <c r="EI193">
        <f>IF(ISNA(EF193),NA(),Capability!$J$9)</f>
        <v/>
      </c>
      <c r="EJ193">
        <f>IF(ISNA(EF193),NA(),Capability!$L$9)</f>
        <v/>
      </c>
      <c r="EK193">
        <f>IF(OR(ISNA(EG193),ISNA(EG192)),NA(),ABS(EG193-EG192))</f>
        <v/>
      </c>
      <c r="EL193">
        <f>IF(ISNA(EF193),NA(),Capability!$N$9)</f>
        <v/>
      </c>
      <c r="EM193">
        <f>IF(ISNA(EF193),NA(),IF(OR(Capability!$Q$9="",Settings!$F$7&lt;&gt;"Y"),NA(),Capability!$Q$9))</f>
        <v/>
      </c>
      <c r="EN193">
        <f>IF(ISNA(EF193),NA(),IF(OR(Capability!$P$9="",Settings!$F$7&lt;&gt;"Y"),NA(),Capability!$P$9))</f>
        <v/>
      </c>
      <c r="ET193">
        <f>IF((EW$1+189)&gt;EU$1,NA(),(EW$1+189)-4)</f>
        <v/>
      </c>
      <c r="EU193">
        <f>IF((EW$1+189)&gt;EU$1,NA(),INDEX('Data Entry'!$M$5:$M$10004,(EW$1+189)-4))</f>
        <v/>
      </c>
      <c r="EV193">
        <f>IF(ISNA(ET193),NA(),Capability!$K$10)</f>
        <v/>
      </c>
      <c r="EW193">
        <f>IF(ISNA(ET193),NA(),Capability!$J$10)</f>
        <v/>
      </c>
      <c r="EX193">
        <f>IF(ISNA(ET193),NA(),Capability!$L$10)</f>
        <v/>
      </c>
      <c r="EY193">
        <f>IF(OR(ISNA(EU193),ISNA(EU192)),NA(),ABS(EU193-EU192))</f>
        <v/>
      </c>
      <c r="EZ193">
        <f>IF(ISNA(ET193),NA(),Capability!$N$10)</f>
        <v/>
      </c>
      <c r="FA193">
        <f>IF(ISNA(ET193),NA(),IF(OR(Capability!$Q$10="",Settings!$F$7&lt;&gt;"Y"),NA(),Capability!$Q$10))</f>
        <v/>
      </c>
      <c r="FB193">
        <f>IF(ISNA(ET193),NA(),IF(OR(Capability!$P$10="",Settings!$F$7&lt;&gt;"Y"),NA(),Capability!$P$10))</f>
        <v/>
      </c>
      <c r="FH193">
        <f>IF((FK$1+189)&gt;FI$1,NA(),(FK$1+189)-4)</f>
        <v/>
      </c>
      <c r="FI193">
        <f>IF((FK$1+189)&gt;FI$1,NA(),INDEX('Data Entry'!$N$5:$N$10004,(FK$1+189)-4))</f>
        <v/>
      </c>
      <c r="FJ193">
        <f>IF(ISNA(FH193),NA(),Capability!$K$11)</f>
        <v/>
      </c>
      <c r="FK193">
        <f>IF(ISNA(FH193),NA(),Capability!$J$11)</f>
        <v/>
      </c>
      <c r="FL193">
        <f>IF(ISNA(FH193),NA(),Capability!$L$11)</f>
        <v/>
      </c>
      <c r="FM193">
        <f>IF(OR(ISNA(FI193),ISNA(FI192)),NA(),ABS(FI193-FI192))</f>
        <v/>
      </c>
      <c r="FN193">
        <f>IF(ISNA(FH193),NA(),Capability!$N$11)</f>
        <v/>
      </c>
      <c r="FO193">
        <f>IF(ISNA(FH193),NA(),IF(OR(Capability!$Q$11="",Settings!$F$7&lt;&gt;"Y"),NA(),Capability!$Q$11))</f>
        <v/>
      </c>
      <c r="FP193">
        <f>IF(ISNA(FH193),NA(),IF(OR(Capability!$P$11="",Settings!$F$7&lt;&gt;"Y"),NA(),Capability!$P$11))</f>
        <v/>
      </c>
      <c r="FV193">
        <f>IF((FY$1+189)&gt;FW$1,NA(),(FY$1+189)-4)</f>
        <v/>
      </c>
      <c r="FW193">
        <f>IF((FY$1+189)&gt;FW$1,NA(),INDEX('Data Entry'!$O$5:$O$10004,(FY$1+189)-4))</f>
        <v/>
      </c>
      <c r="FX193">
        <f>IF(ISNA(FV193),NA(),Capability!$K$12)</f>
        <v/>
      </c>
      <c r="FY193">
        <f>IF(ISNA(FV193),NA(),Capability!$J$12)</f>
        <v/>
      </c>
      <c r="FZ193">
        <f>IF(ISNA(FV193),NA(),Capability!$L$12)</f>
        <v/>
      </c>
      <c r="GA193">
        <f>IF(OR(ISNA(FW193),ISNA(FW192)),NA(),ABS(FW193-FW192))</f>
        <v/>
      </c>
      <c r="GB193">
        <f>IF(ISNA(FV193),NA(),Capability!$N$12)</f>
        <v/>
      </c>
      <c r="GC193">
        <f>IF(ISNA(FV193),NA(),IF(OR(Capability!$Q$12="",Settings!$F$7&lt;&gt;"Y"),NA(),Capability!$Q$12))</f>
        <v/>
      </c>
      <c r="GD193">
        <f>IF(ISNA(FV193),NA(),IF(OR(Capability!$P$12="",Settings!$F$7&lt;&gt;"Y"),NA(),Capability!$P$12))</f>
        <v/>
      </c>
      <c r="GJ193">
        <f>IF((GM$1+189)&gt;GK$1,NA(),(GM$1+189)-4)</f>
        <v/>
      </c>
      <c r="GK193">
        <f>IF((GM$1+189)&gt;GK$1,NA(),INDEX('Data Entry'!$P$5:$P$10004,(GM$1+189)-4))</f>
        <v/>
      </c>
      <c r="GL193">
        <f>IF(ISNA(GJ193),NA(),Capability!$K$13)</f>
        <v/>
      </c>
      <c r="GM193">
        <f>IF(ISNA(GJ193),NA(),Capability!$J$13)</f>
        <v/>
      </c>
      <c r="GN193">
        <f>IF(ISNA(GJ193),NA(),Capability!$L$13)</f>
        <v/>
      </c>
      <c r="GO193">
        <f>IF(OR(ISNA(GK193),ISNA(GK192)),NA(),ABS(GK193-GK192))</f>
        <v/>
      </c>
      <c r="GP193">
        <f>IF(ISNA(GJ193),NA(),Capability!$N$13)</f>
        <v/>
      </c>
      <c r="GQ193">
        <f>IF(ISNA(GJ193),NA(),IF(OR(Capability!$Q$13="",Settings!$F$7&lt;&gt;"Y"),NA(),Capability!$Q$13))</f>
        <v/>
      </c>
      <c r="GR193">
        <f>IF(ISNA(GJ193),NA(),IF(OR(Capability!$P$13="",Settings!$F$7&lt;&gt;"Y"),NA(),Capability!$P$13))</f>
        <v/>
      </c>
      <c r="GX193">
        <f>IF((HA$1+189)&gt;GY$1,NA(),(HA$1+189)-4)</f>
        <v/>
      </c>
      <c r="GY193">
        <f>IF((HA$1+189)&gt;GY$1,NA(),INDEX('Data Entry'!$Q$5:$Q$10004,(HA$1+189)-4))</f>
        <v/>
      </c>
      <c r="GZ193">
        <f>IF(ISNA(GX193),NA(),Capability!$K$14)</f>
        <v/>
      </c>
      <c r="HA193">
        <f>IF(ISNA(GX193),NA(),Capability!$J$14)</f>
        <v/>
      </c>
      <c r="HB193">
        <f>IF(ISNA(GX193),NA(),Capability!$L$14)</f>
        <v/>
      </c>
      <c r="HC193">
        <f>IF(OR(ISNA(GY193),ISNA(GY192)),NA(),ABS(GY193-GY192))</f>
        <v/>
      </c>
      <c r="HD193">
        <f>IF(ISNA(GX193),NA(),Capability!$N$14)</f>
        <v/>
      </c>
      <c r="HE193">
        <f>IF(ISNA(GX193),NA(),IF(OR(Capability!$Q$14="",Settings!$F$7&lt;&gt;"Y"),NA(),Capability!$Q$14))</f>
        <v/>
      </c>
      <c r="HF193">
        <f>IF(ISNA(GX193),NA(),IF(OR(Capability!$P$14="",Settings!$F$7&lt;&gt;"Y"),NA(),Capability!$P$14))</f>
        <v/>
      </c>
    </row>
    <row r="194">
      <c r="CB194">
        <f>IF((CE$1+190)&gt;CC$1,NA(),(CE$1+190)-4)</f>
        <v/>
      </c>
      <c r="CC194">
        <f>IF((CE$1+190)&gt;CC$1,NA(),INDEX('Data Entry'!$H$5:$H$10004,(CE$1+190)-4))</f>
        <v/>
      </c>
      <c r="CD194">
        <f>IF(ISNA(CB194),NA(),Capability!$K$5)</f>
        <v/>
      </c>
      <c r="CE194">
        <f>IF(ISNA(CB194),NA(),Capability!$J$5)</f>
        <v/>
      </c>
      <c r="CF194">
        <f>IF(ISNA(CB194),NA(),Capability!$L$5)</f>
        <v/>
      </c>
      <c r="CG194">
        <f>IF(OR(ISNA(CC194),ISNA(CC193)),NA(),ABS(CC194-CC193))</f>
        <v/>
      </c>
      <c r="CH194">
        <f>IF(ISNA(CB194),NA(),Capability!$N$5)</f>
        <v/>
      </c>
      <c r="CI194">
        <f>IF(ISNA(CB194),NA(),IF(OR(Capability!$Q$5="",Settings!$F$7&lt;&gt;"Y"),NA(),Capability!$Q$5))</f>
        <v/>
      </c>
      <c r="CJ194">
        <f>IF(ISNA(CB194),NA(),IF(OR(Capability!$P$5="",Settings!$F$7&lt;&gt;"Y"),NA(),Capability!$P$5))</f>
        <v/>
      </c>
      <c r="CP194">
        <f>IF((CS$1+190)&gt;CQ$1,NA(),(CS$1+190)-4)</f>
        <v/>
      </c>
      <c r="CQ194">
        <f>IF((CS$1+190)&gt;CQ$1,NA(),INDEX('Data Entry'!$I$5:$I$10004,(CS$1+190)-4))</f>
        <v/>
      </c>
      <c r="CR194">
        <f>IF(ISNA(CP194),NA(),Capability!$K$6)</f>
        <v/>
      </c>
      <c r="CS194">
        <f>IF(ISNA(CP194),NA(),Capability!$J$6)</f>
        <v/>
      </c>
      <c r="CT194">
        <f>IF(ISNA(CP194),NA(),Capability!$L$6)</f>
        <v/>
      </c>
      <c r="CU194">
        <f>IF(OR(ISNA(CQ194),ISNA(CQ193)),NA(),ABS(CQ194-CQ193))</f>
        <v/>
      </c>
      <c r="CV194">
        <f>IF(ISNA(CP194),NA(),Capability!$N$6)</f>
        <v/>
      </c>
      <c r="CW194">
        <f>IF(ISNA(CP194),NA(),IF(OR(Capability!$Q$6="",Settings!$F$7&lt;&gt;"Y"),NA(),Capability!$Q$6))</f>
        <v/>
      </c>
      <c r="CX194">
        <f>IF(ISNA(CP194),NA(),IF(OR(Capability!$P$6="",Settings!$F$7&lt;&gt;"Y"),NA(),Capability!$P$6))</f>
        <v/>
      </c>
      <c r="DD194">
        <f>IF((DG$1+190)&gt;DE$1,NA(),(DG$1+190)-4)</f>
        <v/>
      </c>
      <c r="DE194">
        <f>IF((DG$1+190)&gt;DE$1,NA(),INDEX('Data Entry'!$J$5:$J$10004,(DG$1+190)-4))</f>
        <v/>
      </c>
      <c r="DF194">
        <f>IF(ISNA(DD194),NA(),Capability!$K$7)</f>
        <v/>
      </c>
      <c r="DG194">
        <f>IF(ISNA(DD194),NA(),Capability!$J$7)</f>
        <v/>
      </c>
      <c r="DH194">
        <f>IF(ISNA(DD194),NA(),Capability!$L$7)</f>
        <v/>
      </c>
      <c r="DI194">
        <f>IF(OR(ISNA(DE194),ISNA(DE193)),NA(),ABS(DE194-DE193))</f>
        <v/>
      </c>
      <c r="DJ194">
        <f>IF(ISNA(DD194),NA(),Capability!$N$7)</f>
        <v/>
      </c>
      <c r="DK194">
        <f>IF(ISNA(DD194),NA(),IF(OR(Capability!$Q$7="",Settings!$F$7&lt;&gt;"Y"),NA(),Capability!$Q$7))</f>
        <v/>
      </c>
      <c r="DL194">
        <f>IF(ISNA(DD194),NA(),IF(OR(Capability!$P$7="",Settings!$F$7&lt;&gt;"Y"),NA(),Capability!$P$7))</f>
        <v/>
      </c>
      <c r="DR194">
        <f>IF((DU$1+190)&gt;DS$1,NA(),(DU$1+190)-4)</f>
        <v/>
      </c>
      <c r="DS194">
        <f>IF((DU$1+190)&gt;DS$1,NA(),INDEX('Data Entry'!$K$5:$K$10004,(DU$1+190)-4))</f>
        <v/>
      </c>
      <c r="DT194">
        <f>IF(ISNA(DR194),NA(),Capability!$K$8)</f>
        <v/>
      </c>
      <c r="DU194">
        <f>IF(ISNA(DR194),NA(),Capability!$J$8)</f>
        <v/>
      </c>
      <c r="DV194">
        <f>IF(ISNA(DR194),NA(),Capability!$L$8)</f>
        <v/>
      </c>
      <c r="DW194">
        <f>IF(OR(ISNA(DS194),ISNA(DS193)),NA(),ABS(DS194-DS193))</f>
        <v/>
      </c>
      <c r="DX194">
        <f>IF(ISNA(DR194),NA(),Capability!$N$8)</f>
        <v/>
      </c>
      <c r="DY194">
        <f>IF(ISNA(DR194),NA(),IF(OR(Capability!$Q$8="",Settings!$F$7&lt;&gt;"Y"),NA(),Capability!$Q$8))</f>
        <v/>
      </c>
      <c r="DZ194">
        <f>IF(ISNA(DR194),NA(),IF(OR(Capability!$P$8="",Settings!$F$7&lt;&gt;"Y"),NA(),Capability!$P$8))</f>
        <v/>
      </c>
      <c r="EF194">
        <f>IF((EI$1+190)&gt;EG$1,NA(),(EI$1+190)-4)</f>
        <v/>
      </c>
      <c r="EG194">
        <f>IF((EI$1+190)&gt;EG$1,NA(),INDEX('Data Entry'!$L$5:$L$10004,(EI$1+190)-4))</f>
        <v/>
      </c>
      <c r="EH194">
        <f>IF(ISNA(EF194),NA(),Capability!$K$9)</f>
        <v/>
      </c>
      <c r="EI194">
        <f>IF(ISNA(EF194),NA(),Capability!$J$9)</f>
        <v/>
      </c>
      <c r="EJ194">
        <f>IF(ISNA(EF194),NA(),Capability!$L$9)</f>
        <v/>
      </c>
      <c r="EK194">
        <f>IF(OR(ISNA(EG194),ISNA(EG193)),NA(),ABS(EG194-EG193))</f>
        <v/>
      </c>
      <c r="EL194">
        <f>IF(ISNA(EF194),NA(),Capability!$N$9)</f>
        <v/>
      </c>
      <c r="EM194">
        <f>IF(ISNA(EF194),NA(),IF(OR(Capability!$Q$9="",Settings!$F$7&lt;&gt;"Y"),NA(),Capability!$Q$9))</f>
        <v/>
      </c>
      <c r="EN194">
        <f>IF(ISNA(EF194),NA(),IF(OR(Capability!$P$9="",Settings!$F$7&lt;&gt;"Y"),NA(),Capability!$P$9))</f>
        <v/>
      </c>
      <c r="ET194">
        <f>IF((EW$1+190)&gt;EU$1,NA(),(EW$1+190)-4)</f>
        <v/>
      </c>
      <c r="EU194">
        <f>IF((EW$1+190)&gt;EU$1,NA(),INDEX('Data Entry'!$M$5:$M$10004,(EW$1+190)-4))</f>
        <v/>
      </c>
      <c r="EV194">
        <f>IF(ISNA(ET194),NA(),Capability!$K$10)</f>
        <v/>
      </c>
      <c r="EW194">
        <f>IF(ISNA(ET194),NA(),Capability!$J$10)</f>
        <v/>
      </c>
      <c r="EX194">
        <f>IF(ISNA(ET194),NA(),Capability!$L$10)</f>
        <v/>
      </c>
      <c r="EY194">
        <f>IF(OR(ISNA(EU194),ISNA(EU193)),NA(),ABS(EU194-EU193))</f>
        <v/>
      </c>
      <c r="EZ194">
        <f>IF(ISNA(ET194),NA(),Capability!$N$10)</f>
        <v/>
      </c>
      <c r="FA194">
        <f>IF(ISNA(ET194),NA(),IF(OR(Capability!$Q$10="",Settings!$F$7&lt;&gt;"Y"),NA(),Capability!$Q$10))</f>
        <v/>
      </c>
      <c r="FB194">
        <f>IF(ISNA(ET194),NA(),IF(OR(Capability!$P$10="",Settings!$F$7&lt;&gt;"Y"),NA(),Capability!$P$10))</f>
        <v/>
      </c>
      <c r="FH194">
        <f>IF((FK$1+190)&gt;FI$1,NA(),(FK$1+190)-4)</f>
        <v/>
      </c>
      <c r="FI194">
        <f>IF((FK$1+190)&gt;FI$1,NA(),INDEX('Data Entry'!$N$5:$N$10004,(FK$1+190)-4))</f>
        <v/>
      </c>
      <c r="FJ194">
        <f>IF(ISNA(FH194),NA(),Capability!$K$11)</f>
        <v/>
      </c>
      <c r="FK194">
        <f>IF(ISNA(FH194),NA(),Capability!$J$11)</f>
        <v/>
      </c>
      <c r="FL194">
        <f>IF(ISNA(FH194),NA(),Capability!$L$11)</f>
        <v/>
      </c>
      <c r="FM194">
        <f>IF(OR(ISNA(FI194),ISNA(FI193)),NA(),ABS(FI194-FI193))</f>
        <v/>
      </c>
      <c r="FN194">
        <f>IF(ISNA(FH194),NA(),Capability!$N$11)</f>
        <v/>
      </c>
      <c r="FO194">
        <f>IF(ISNA(FH194),NA(),IF(OR(Capability!$Q$11="",Settings!$F$7&lt;&gt;"Y"),NA(),Capability!$Q$11))</f>
        <v/>
      </c>
      <c r="FP194">
        <f>IF(ISNA(FH194),NA(),IF(OR(Capability!$P$11="",Settings!$F$7&lt;&gt;"Y"),NA(),Capability!$P$11))</f>
        <v/>
      </c>
      <c r="FV194">
        <f>IF((FY$1+190)&gt;FW$1,NA(),(FY$1+190)-4)</f>
        <v/>
      </c>
      <c r="FW194">
        <f>IF((FY$1+190)&gt;FW$1,NA(),INDEX('Data Entry'!$O$5:$O$10004,(FY$1+190)-4))</f>
        <v/>
      </c>
      <c r="FX194">
        <f>IF(ISNA(FV194),NA(),Capability!$K$12)</f>
        <v/>
      </c>
      <c r="FY194">
        <f>IF(ISNA(FV194),NA(),Capability!$J$12)</f>
        <v/>
      </c>
      <c r="FZ194">
        <f>IF(ISNA(FV194),NA(),Capability!$L$12)</f>
        <v/>
      </c>
      <c r="GA194">
        <f>IF(OR(ISNA(FW194),ISNA(FW193)),NA(),ABS(FW194-FW193))</f>
        <v/>
      </c>
      <c r="GB194">
        <f>IF(ISNA(FV194),NA(),Capability!$N$12)</f>
        <v/>
      </c>
      <c r="GC194">
        <f>IF(ISNA(FV194),NA(),IF(OR(Capability!$Q$12="",Settings!$F$7&lt;&gt;"Y"),NA(),Capability!$Q$12))</f>
        <v/>
      </c>
      <c r="GD194">
        <f>IF(ISNA(FV194),NA(),IF(OR(Capability!$P$12="",Settings!$F$7&lt;&gt;"Y"),NA(),Capability!$P$12))</f>
        <v/>
      </c>
      <c r="GJ194">
        <f>IF((GM$1+190)&gt;GK$1,NA(),(GM$1+190)-4)</f>
        <v/>
      </c>
      <c r="GK194">
        <f>IF((GM$1+190)&gt;GK$1,NA(),INDEX('Data Entry'!$P$5:$P$10004,(GM$1+190)-4))</f>
        <v/>
      </c>
      <c r="GL194">
        <f>IF(ISNA(GJ194),NA(),Capability!$K$13)</f>
        <v/>
      </c>
      <c r="GM194">
        <f>IF(ISNA(GJ194),NA(),Capability!$J$13)</f>
        <v/>
      </c>
      <c r="GN194">
        <f>IF(ISNA(GJ194),NA(),Capability!$L$13)</f>
        <v/>
      </c>
      <c r="GO194">
        <f>IF(OR(ISNA(GK194),ISNA(GK193)),NA(),ABS(GK194-GK193))</f>
        <v/>
      </c>
      <c r="GP194">
        <f>IF(ISNA(GJ194),NA(),Capability!$N$13)</f>
        <v/>
      </c>
      <c r="GQ194">
        <f>IF(ISNA(GJ194),NA(),IF(OR(Capability!$Q$13="",Settings!$F$7&lt;&gt;"Y"),NA(),Capability!$Q$13))</f>
        <v/>
      </c>
      <c r="GR194">
        <f>IF(ISNA(GJ194),NA(),IF(OR(Capability!$P$13="",Settings!$F$7&lt;&gt;"Y"),NA(),Capability!$P$13))</f>
        <v/>
      </c>
      <c r="GX194">
        <f>IF((HA$1+190)&gt;GY$1,NA(),(HA$1+190)-4)</f>
        <v/>
      </c>
      <c r="GY194">
        <f>IF((HA$1+190)&gt;GY$1,NA(),INDEX('Data Entry'!$Q$5:$Q$10004,(HA$1+190)-4))</f>
        <v/>
      </c>
      <c r="GZ194">
        <f>IF(ISNA(GX194),NA(),Capability!$K$14)</f>
        <v/>
      </c>
      <c r="HA194">
        <f>IF(ISNA(GX194),NA(),Capability!$J$14)</f>
        <v/>
      </c>
      <c r="HB194">
        <f>IF(ISNA(GX194),NA(),Capability!$L$14)</f>
        <v/>
      </c>
      <c r="HC194">
        <f>IF(OR(ISNA(GY194),ISNA(GY193)),NA(),ABS(GY194-GY193))</f>
        <v/>
      </c>
      <c r="HD194">
        <f>IF(ISNA(GX194),NA(),Capability!$N$14)</f>
        <v/>
      </c>
      <c r="HE194">
        <f>IF(ISNA(GX194),NA(),IF(OR(Capability!$Q$14="",Settings!$F$7&lt;&gt;"Y"),NA(),Capability!$Q$14))</f>
        <v/>
      </c>
      <c r="HF194">
        <f>IF(ISNA(GX194),NA(),IF(OR(Capability!$P$14="",Settings!$F$7&lt;&gt;"Y"),NA(),Capability!$P$14))</f>
        <v/>
      </c>
    </row>
    <row r="195">
      <c r="CB195">
        <f>IF((CE$1+191)&gt;CC$1,NA(),(CE$1+191)-4)</f>
        <v/>
      </c>
      <c r="CC195">
        <f>IF((CE$1+191)&gt;CC$1,NA(),INDEX('Data Entry'!$H$5:$H$10004,(CE$1+191)-4))</f>
        <v/>
      </c>
      <c r="CD195">
        <f>IF(ISNA(CB195),NA(),Capability!$K$5)</f>
        <v/>
      </c>
      <c r="CE195">
        <f>IF(ISNA(CB195),NA(),Capability!$J$5)</f>
        <v/>
      </c>
      <c r="CF195">
        <f>IF(ISNA(CB195),NA(),Capability!$L$5)</f>
        <v/>
      </c>
      <c r="CG195">
        <f>IF(OR(ISNA(CC195),ISNA(CC194)),NA(),ABS(CC195-CC194))</f>
        <v/>
      </c>
      <c r="CH195">
        <f>IF(ISNA(CB195),NA(),Capability!$N$5)</f>
        <v/>
      </c>
      <c r="CI195">
        <f>IF(ISNA(CB195),NA(),IF(OR(Capability!$Q$5="",Settings!$F$7&lt;&gt;"Y"),NA(),Capability!$Q$5))</f>
        <v/>
      </c>
      <c r="CJ195">
        <f>IF(ISNA(CB195),NA(),IF(OR(Capability!$P$5="",Settings!$F$7&lt;&gt;"Y"),NA(),Capability!$P$5))</f>
        <v/>
      </c>
      <c r="CP195">
        <f>IF((CS$1+191)&gt;CQ$1,NA(),(CS$1+191)-4)</f>
        <v/>
      </c>
      <c r="CQ195">
        <f>IF((CS$1+191)&gt;CQ$1,NA(),INDEX('Data Entry'!$I$5:$I$10004,(CS$1+191)-4))</f>
        <v/>
      </c>
      <c r="CR195">
        <f>IF(ISNA(CP195),NA(),Capability!$K$6)</f>
        <v/>
      </c>
      <c r="CS195">
        <f>IF(ISNA(CP195),NA(),Capability!$J$6)</f>
        <v/>
      </c>
      <c r="CT195">
        <f>IF(ISNA(CP195),NA(),Capability!$L$6)</f>
        <v/>
      </c>
      <c r="CU195">
        <f>IF(OR(ISNA(CQ195),ISNA(CQ194)),NA(),ABS(CQ195-CQ194))</f>
        <v/>
      </c>
      <c r="CV195">
        <f>IF(ISNA(CP195),NA(),Capability!$N$6)</f>
        <v/>
      </c>
      <c r="CW195">
        <f>IF(ISNA(CP195),NA(),IF(OR(Capability!$Q$6="",Settings!$F$7&lt;&gt;"Y"),NA(),Capability!$Q$6))</f>
        <v/>
      </c>
      <c r="CX195">
        <f>IF(ISNA(CP195),NA(),IF(OR(Capability!$P$6="",Settings!$F$7&lt;&gt;"Y"),NA(),Capability!$P$6))</f>
        <v/>
      </c>
      <c r="DD195">
        <f>IF((DG$1+191)&gt;DE$1,NA(),(DG$1+191)-4)</f>
        <v/>
      </c>
      <c r="DE195">
        <f>IF((DG$1+191)&gt;DE$1,NA(),INDEX('Data Entry'!$J$5:$J$10004,(DG$1+191)-4))</f>
        <v/>
      </c>
      <c r="DF195">
        <f>IF(ISNA(DD195),NA(),Capability!$K$7)</f>
        <v/>
      </c>
      <c r="DG195">
        <f>IF(ISNA(DD195),NA(),Capability!$J$7)</f>
        <v/>
      </c>
      <c r="DH195">
        <f>IF(ISNA(DD195),NA(),Capability!$L$7)</f>
        <v/>
      </c>
      <c r="DI195">
        <f>IF(OR(ISNA(DE195),ISNA(DE194)),NA(),ABS(DE195-DE194))</f>
        <v/>
      </c>
      <c r="DJ195">
        <f>IF(ISNA(DD195),NA(),Capability!$N$7)</f>
        <v/>
      </c>
      <c r="DK195">
        <f>IF(ISNA(DD195),NA(),IF(OR(Capability!$Q$7="",Settings!$F$7&lt;&gt;"Y"),NA(),Capability!$Q$7))</f>
        <v/>
      </c>
      <c r="DL195">
        <f>IF(ISNA(DD195),NA(),IF(OR(Capability!$P$7="",Settings!$F$7&lt;&gt;"Y"),NA(),Capability!$P$7))</f>
        <v/>
      </c>
      <c r="DR195">
        <f>IF((DU$1+191)&gt;DS$1,NA(),(DU$1+191)-4)</f>
        <v/>
      </c>
      <c r="DS195">
        <f>IF((DU$1+191)&gt;DS$1,NA(),INDEX('Data Entry'!$K$5:$K$10004,(DU$1+191)-4))</f>
        <v/>
      </c>
      <c r="DT195">
        <f>IF(ISNA(DR195),NA(),Capability!$K$8)</f>
        <v/>
      </c>
      <c r="DU195">
        <f>IF(ISNA(DR195),NA(),Capability!$J$8)</f>
        <v/>
      </c>
      <c r="DV195">
        <f>IF(ISNA(DR195),NA(),Capability!$L$8)</f>
        <v/>
      </c>
      <c r="DW195">
        <f>IF(OR(ISNA(DS195),ISNA(DS194)),NA(),ABS(DS195-DS194))</f>
        <v/>
      </c>
      <c r="DX195">
        <f>IF(ISNA(DR195),NA(),Capability!$N$8)</f>
        <v/>
      </c>
      <c r="DY195">
        <f>IF(ISNA(DR195),NA(),IF(OR(Capability!$Q$8="",Settings!$F$7&lt;&gt;"Y"),NA(),Capability!$Q$8))</f>
        <v/>
      </c>
      <c r="DZ195">
        <f>IF(ISNA(DR195),NA(),IF(OR(Capability!$P$8="",Settings!$F$7&lt;&gt;"Y"),NA(),Capability!$P$8))</f>
        <v/>
      </c>
      <c r="EF195">
        <f>IF((EI$1+191)&gt;EG$1,NA(),(EI$1+191)-4)</f>
        <v/>
      </c>
      <c r="EG195">
        <f>IF((EI$1+191)&gt;EG$1,NA(),INDEX('Data Entry'!$L$5:$L$10004,(EI$1+191)-4))</f>
        <v/>
      </c>
      <c r="EH195">
        <f>IF(ISNA(EF195),NA(),Capability!$K$9)</f>
        <v/>
      </c>
      <c r="EI195">
        <f>IF(ISNA(EF195),NA(),Capability!$J$9)</f>
        <v/>
      </c>
      <c r="EJ195">
        <f>IF(ISNA(EF195),NA(),Capability!$L$9)</f>
        <v/>
      </c>
      <c r="EK195">
        <f>IF(OR(ISNA(EG195),ISNA(EG194)),NA(),ABS(EG195-EG194))</f>
        <v/>
      </c>
      <c r="EL195">
        <f>IF(ISNA(EF195),NA(),Capability!$N$9)</f>
        <v/>
      </c>
      <c r="EM195">
        <f>IF(ISNA(EF195),NA(),IF(OR(Capability!$Q$9="",Settings!$F$7&lt;&gt;"Y"),NA(),Capability!$Q$9))</f>
        <v/>
      </c>
      <c r="EN195">
        <f>IF(ISNA(EF195),NA(),IF(OR(Capability!$P$9="",Settings!$F$7&lt;&gt;"Y"),NA(),Capability!$P$9))</f>
        <v/>
      </c>
      <c r="ET195">
        <f>IF((EW$1+191)&gt;EU$1,NA(),(EW$1+191)-4)</f>
        <v/>
      </c>
      <c r="EU195">
        <f>IF((EW$1+191)&gt;EU$1,NA(),INDEX('Data Entry'!$M$5:$M$10004,(EW$1+191)-4))</f>
        <v/>
      </c>
      <c r="EV195">
        <f>IF(ISNA(ET195),NA(),Capability!$K$10)</f>
        <v/>
      </c>
      <c r="EW195">
        <f>IF(ISNA(ET195),NA(),Capability!$J$10)</f>
        <v/>
      </c>
      <c r="EX195">
        <f>IF(ISNA(ET195),NA(),Capability!$L$10)</f>
        <v/>
      </c>
      <c r="EY195">
        <f>IF(OR(ISNA(EU195),ISNA(EU194)),NA(),ABS(EU195-EU194))</f>
        <v/>
      </c>
      <c r="EZ195">
        <f>IF(ISNA(ET195),NA(),Capability!$N$10)</f>
        <v/>
      </c>
      <c r="FA195">
        <f>IF(ISNA(ET195),NA(),IF(OR(Capability!$Q$10="",Settings!$F$7&lt;&gt;"Y"),NA(),Capability!$Q$10))</f>
        <v/>
      </c>
      <c r="FB195">
        <f>IF(ISNA(ET195),NA(),IF(OR(Capability!$P$10="",Settings!$F$7&lt;&gt;"Y"),NA(),Capability!$P$10))</f>
        <v/>
      </c>
      <c r="FH195">
        <f>IF((FK$1+191)&gt;FI$1,NA(),(FK$1+191)-4)</f>
        <v/>
      </c>
      <c r="FI195">
        <f>IF((FK$1+191)&gt;FI$1,NA(),INDEX('Data Entry'!$N$5:$N$10004,(FK$1+191)-4))</f>
        <v/>
      </c>
      <c r="FJ195">
        <f>IF(ISNA(FH195),NA(),Capability!$K$11)</f>
        <v/>
      </c>
      <c r="FK195">
        <f>IF(ISNA(FH195),NA(),Capability!$J$11)</f>
        <v/>
      </c>
      <c r="FL195">
        <f>IF(ISNA(FH195),NA(),Capability!$L$11)</f>
        <v/>
      </c>
      <c r="FM195">
        <f>IF(OR(ISNA(FI195),ISNA(FI194)),NA(),ABS(FI195-FI194))</f>
        <v/>
      </c>
      <c r="FN195">
        <f>IF(ISNA(FH195),NA(),Capability!$N$11)</f>
        <v/>
      </c>
      <c r="FO195">
        <f>IF(ISNA(FH195),NA(),IF(OR(Capability!$Q$11="",Settings!$F$7&lt;&gt;"Y"),NA(),Capability!$Q$11))</f>
        <v/>
      </c>
      <c r="FP195">
        <f>IF(ISNA(FH195),NA(),IF(OR(Capability!$P$11="",Settings!$F$7&lt;&gt;"Y"),NA(),Capability!$P$11))</f>
        <v/>
      </c>
      <c r="FV195">
        <f>IF((FY$1+191)&gt;FW$1,NA(),(FY$1+191)-4)</f>
        <v/>
      </c>
      <c r="FW195">
        <f>IF((FY$1+191)&gt;FW$1,NA(),INDEX('Data Entry'!$O$5:$O$10004,(FY$1+191)-4))</f>
        <v/>
      </c>
      <c r="FX195">
        <f>IF(ISNA(FV195),NA(),Capability!$K$12)</f>
        <v/>
      </c>
      <c r="FY195">
        <f>IF(ISNA(FV195),NA(),Capability!$J$12)</f>
        <v/>
      </c>
      <c r="FZ195">
        <f>IF(ISNA(FV195),NA(),Capability!$L$12)</f>
        <v/>
      </c>
      <c r="GA195">
        <f>IF(OR(ISNA(FW195),ISNA(FW194)),NA(),ABS(FW195-FW194))</f>
        <v/>
      </c>
      <c r="GB195">
        <f>IF(ISNA(FV195),NA(),Capability!$N$12)</f>
        <v/>
      </c>
      <c r="GC195">
        <f>IF(ISNA(FV195),NA(),IF(OR(Capability!$Q$12="",Settings!$F$7&lt;&gt;"Y"),NA(),Capability!$Q$12))</f>
        <v/>
      </c>
      <c r="GD195">
        <f>IF(ISNA(FV195),NA(),IF(OR(Capability!$P$12="",Settings!$F$7&lt;&gt;"Y"),NA(),Capability!$P$12))</f>
        <v/>
      </c>
      <c r="GJ195">
        <f>IF((GM$1+191)&gt;GK$1,NA(),(GM$1+191)-4)</f>
        <v/>
      </c>
      <c r="GK195">
        <f>IF((GM$1+191)&gt;GK$1,NA(),INDEX('Data Entry'!$P$5:$P$10004,(GM$1+191)-4))</f>
        <v/>
      </c>
      <c r="GL195">
        <f>IF(ISNA(GJ195),NA(),Capability!$K$13)</f>
        <v/>
      </c>
      <c r="GM195">
        <f>IF(ISNA(GJ195),NA(),Capability!$J$13)</f>
        <v/>
      </c>
      <c r="GN195">
        <f>IF(ISNA(GJ195),NA(),Capability!$L$13)</f>
        <v/>
      </c>
      <c r="GO195">
        <f>IF(OR(ISNA(GK195),ISNA(GK194)),NA(),ABS(GK195-GK194))</f>
        <v/>
      </c>
      <c r="GP195">
        <f>IF(ISNA(GJ195),NA(),Capability!$N$13)</f>
        <v/>
      </c>
      <c r="GQ195">
        <f>IF(ISNA(GJ195),NA(),IF(OR(Capability!$Q$13="",Settings!$F$7&lt;&gt;"Y"),NA(),Capability!$Q$13))</f>
        <v/>
      </c>
      <c r="GR195">
        <f>IF(ISNA(GJ195),NA(),IF(OR(Capability!$P$13="",Settings!$F$7&lt;&gt;"Y"),NA(),Capability!$P$13))</f>
        <v/>
      </c>
      <c r="GX195">
        <f>IF((HA$1+191)&gt;GY$1,NA(),(HA$1+191)-4)</f>
        <v/>
      </c>
      <c r="GY195">
        <f>IF((HA$1+191)&gt;GY$1,NA(),INDEX('Data Entry'!$Q$5:$Q$10004,(HA$1+191)-4))</f>
        <v/>
      </c>
      <c r="GZ195">
        <f>IF(ISNA(GX195),NA(),Capability!$K$14)</f>
        <v/>
      </c>
      <c r="HA195">
        <f>IF(ISNA(GX195),NA(),Capability!$J$14)</f>
        <v/>
      </c>
      <c r="HB195">
        <f>IF(ISNA(GX195),NA(),Capability!$L$14)</f>
        <v/>
      </c>
      <c r="HC195">
        <f>IF(OR(ISNA(GY195),ISNA(GY194)),NA(),ABS(GY195-GY194))</f>
        <v/>
      </c>
      <c r="HD195">
        <f>IF(ISNA(GX195),NA(),Capability!$N$14)</f>
        <v/>
      </c>
      <c r="HE195">
        <f>IF(ISNA(GX195),NA(),IF(OR(Capability!$Q$14="",Settings!$F$7&lt;&gt;"Y"),NA(),Capability!$Q$14))</f>
        <v/>
      </c>
      <c r="HF195">
        <f>IF(ISNA(GX195),NA(),IF(OR(Capability!$P$14="",Settings!$F$7&lt;&gt;"Y"),NA(),Capability!$P$14))</f>
        <v/>
      </c>
    </row>
    <row r="196">
      <c r="CB196">
        <f>IF((CE$1+192)&gt;CC$1,NA(),(CE$1+192)-4)</f>
        <v/>
      </c>
      <c r="CC196">
        <f>IF((CE$1+192)&gt;CC$1,NA(),INDEX('Data Entry'!$H$5:$H$10004,(CE$1+192)-4))</f>
        <v/>
      </c>
      <c r="CD196">
        <f>IF(ISNA(CB196),NA(),Capability!$K$5)</f>
        <v/>
      </c>
      <c r="CE196">
        <f>IF(ISNA(CB196),NA(),Capability!$J$5)</f>
        <v/>
      </c>
      <c r="CF196">
        <f>IF(ISNA(CB196),NA(),Capability!$L$5)</f>
        <v/>
      </c>
      <c r="CG196">
        <f>IF(OR(ISNA(CC196),ISNA(CC195)),NA(),ABS(CC196-CC195))</f>
        <v/>
      </c>
      <c r="CH196">
        <f>IF(ISNA(CB196),NA(),Capability!$N$5)</f>
        <v/>
      </c>
      <c r="CI196">
        <f>IF(ISNA(CB196),NA(),IF(OR(Capability!$Q$5="",Settings!$F$7&lt;&gt;"Y"),NA(),Capability!$Q$5))</f>
        <v/>
      </c>
      <c r="CJ196">
        <f>IF(ISNA(CB196),NA(),IF(OR(Capability!$P$5="",Settings!$F$7&lt;&gt;"Y"),NA(),Capability!$P$5))</f>
        <v/>
      </c>
      <c r="CP196">
        <f>IF((CS$1+192)&gt;CQ$1,NA(),(CS$1+192)-4)</f>
        <v/>
      </c>
      <c r="CQ196">
        <f>IF((CS$1+192)&gt;CQ$1,NA(),INDEX('Data Entry'!$I$5:$I$10004,(CS$1+192)-4))</f>
        <v/>
      </c>
      <c r="CR196">
        <f>IF(ISNA(CP196),NA(),Capability!$K$6)</f>
        <v/>
      </c>
      <c r="CS196">
        <f>IF(ISNA(CP196),NA(),Capability!$J$6)</f>
        <v/>
      </c>
      <c r="CT196">
        <f>IF(ISNA(CP196),NA(),Capability!$L$6)</f>
        <v/>
      </c>
      <c r="CU196">
        <f>IF(OR(ISNA(CQ196),ISNA(CQ195)),NA(),ABS(CQ196-CQ195))</f>
        <v/>
      </c>
      <c r="CV196">
        <f>IF(ISNA(CP196),NA(),Capability!$N$6)</f>
        <v/>
      </c>
      <c r="CW196">
        <f>IF(ISNA(CP196),NA(),IF(OR(Capability!$Q$6="",Settings!$F$7&lt;&gt;"Y"),NA(),Capability!$Q$6))</f>
        <v/>
      </c>
      <c r="CX196">
        <f>IF(ISNA(CP196),NA(),IF(OR(Capability!$P$6="",Settings!$F$7&lt;&gt;"Y"),NA(),Capability!$P$6))</f>
        <v/>
      </c>
      <c r="DD196">
        <f>IF((DG$1+192)&gt;DE$1,NA(),(DG$1+192)-4)</f>
        <v/>
      </c>
      <c r="DE196">
        <f>IF((DG$1+192)&gt;DE$1,NA(),INDEX('Data Entry'!$J$5:$J$10004,(DG$1+192)-4))</f>
        <v/>
      </c>
      <c r="DF196">
        <f>IF(ISNA(DD196),NA(),Capability!$K$7)</f>
        <v/>
      </c>
      <c r="DG196">
        <f>IF(ISNA(DD196),NA(),Capability!$J$7)</f>
        <v/>
      </c>
      <c r="DH196">
        <f>IF(ISNA(DD196),NA(),Capability!$L$7)</f>
        <v/>
      </c>
      <c r="DI196">
        <f>IF(OR(ISNA(DE196),ISNA(DE195)),NA(),ABS(DE196-DE195))</f>
        <v/>
      </c>
      <c r="DJ196">
        <f>IF(ISNA(DD196),NA(),Capability!$N$7)</f>
        <v/>
      </c>
      <c r="DK196">
        <f>IF(ISNA(DD196),NA(),IF(OR(Capability!$Q$7="",Settings!$F$7&lt;&gt;"Y"),NA(),Capability!$Q$7))</f>
        <v/>
      </c>
      <c r="DL196">
        <f>IF(ISNA(DD196),NA(),IF(OR(Capability!$P$7="",Settings!$F$7&lt;&gt;"Y"),NA(),Capability!$P$7))</f>
        <v/>
      </c>
      <c r="DR196">
        <f>IF((DU$1+192)&gt;DS$1,NA(),(DU$1+192)-4)</f>
        <v/>
      </c>
      <c r="DS196">
        <f>IF((DU$1+192)&gt;DS$1,NA(),INDEX('Data Entry'!$K$5:$K$10004,(DU$1+192)-4))</f>
        <v/>
      </c>
      <c r="DT196">
        <f>IF(ISNA(DR196),NA(),Capability!$K$8)</f>
        <v/>
      </c>
      <c r="DU196">
        <f>IF(ISNA(DR196),NA(),Capability!$J$8)</f>
        <v/>
      </c>
      <c r="DV196">
        <f>IF(ISNA(DR196),NA(),Capability!$L$8)</f>
        <v/>
      </c>
      <c r="DW196">
        <f>IF(OR(ISNA(DS196),ISNA(DS195)),NA(),ABS(DS196-DS195))</f>
        <v/>
      </c>
      <c r="DX196">
        <f>IF(ISNA(DR196),NA(),Capability!$N$8)</f>
        <v/>
      </c>
      <c r="DY196">
        <f>IF(ISNA(DR196),NA(),IF(OR(Capability!$Q$8="",Settings!$F$7&lt;&gt;"Y"),NA(),Capability!$Q$8))</f>
        <v/>
      </c>
      <c r="DZ196">
        <f>IF(ISNA(DR196),NA(),IF(OR(Capability!$P$8="",Settings!$F$7&lt;&gt;"Y"),NA(),Capability!$P$8))</f>
        <v/>
      </c>
      <c r="EF196">
        <f>IF((EI$1+192)&gt;EG$1,NA(),(EI$1+192)-4)</f>
        <v/>
      </c>
      <c r="EG196">
        <f>IF((EI$1+192)&gt;EG$1,NA(),INDEX('Data Entry'!$L$5:$L$10004,(EI$1+192)-4))</f>
        <v/>
      </c>
      <c r="EH196">
        <f>IF(ISNA(EF196),NA(),Capability!$K$9)</f>
        <v/>
      </c>
      <c r="EI196">
        <f>IF(ISNA(EF196),NA(),Capability!$J$9)</f>
        <v/>
      </c>
      <c r="EJ196">
        <f>IF(ISNA(EF196),NA(),Capability!$L$9)</f>
        <v/>
      </c>
      <c r="EK196">
        <f>IF(OR(ISNA(EG196),ISNA(EG195)),NA(),ABS(EG196-EG195))</f>
        <v/>
      </c>
      <c r="EL196">
        <f>IF(ISNA(EF196),NA(),Capability!$N$9)</f>
        <v/>
      </c>
      <c r="EM196">
        <f>IF(ISNA(EF196),NA(),IF(OR(Capability!$Q$9="",Settings!$F$7&lt;&gt;"Y"),NA(),Capability!$Q$9))</f>
        <v/>
      </c>
      <c r="EN196">
        <f>IF(ISNA(EF196),NA(),IF(OR(Capability!$P$9="",Settings!$F$7&lt;&gt;"Y"),NA(),Capability!$P$9))</f>
        <v/>
      </c>
      <c r="ET196">
        <f>IF((EW$1+192)&gt;EU$1,NA(),(EW$1+192)-4)</f>
        <v/>
      </c>
      <c r="EU196">
        <f>IF((EW$1+192)&gt;EU$1,NA(),INDEX('Data Entry'!$M$5:$M$10004,(EW$1+192)-4))</f>
        <v/>
      </c>
      <c r="EV196">
        <f>IF(ISNA(ET196),NA(),Capability!$K$10)</f>
        <v/>
      </c>
      <c r="EW196">
        <f>IF(ISNA(ET196),NA(),Capability!$J$10)</f>
        <v/>
      </c>
      <c r="EX196">
        <f>IF(ISNA(ET196),NA(),Capability!$L$10)</f>
        <v/>
      </c>
      <c r="EY196">
        <f>IF(OR(ISNA(EU196),ISNA(EU195)),NA(),ABS(EU196-EU195))</f>
        <v/>
      </c>
      <c r="EZ196">
        <f>IF(ISNA(ET196),NA(),Capability!$N$10)</f>
        <v/>
      </c>
      <c r="FA196">
        <f>IF(ISNA(ET196),NA(),IF(OR(Capability!$Q$10="",Settings!$F$7&lt;&gt;"Y"),NA(),Capability!$Q$10))</f>
        <v/>
      </c>
      <c r="FB196">
        <f>IF(ISNA(ET196),NA(),IF(OR(Capability!$P$10="",Settings!$F$7&lt;&gt;"Y"),NA(),Capability!$P$10))</f>
        <v/>
      </c>
      <c r="FH196">
        <f>IF((FK$1+192)&gt;FI$1,NA(),(FK$1+192)-4)</f>
        <v/>
      </c>
      <c r="FI196">
        <f>IF((FK$1+192)&gt;FI$1,NA(),INDEX('Data Entry'!$N$5:$N$10004,(FK$1+192)-4))</f>
        <v/>
      </c>
      <c r="FJ196">
        <f>IF(ISNA(FH196),NA(),Capability!$K$11)</f>
        <v/>
      </c>
      <c r="FK196">
        <f>IF(ISNA(FH196),NA(),Capability!$J$11)</f>
        <v/>
      </c>
      <c r="FL196">
        <f>IF(ISNA(FH196),NA(),Capability!$L$11)</f>
        <v/>
      </c>
      <c r="FM196">
        <f>IF(OR(ISNA(FI196),ISNA(FI195)),NA(),ABS(FI196-FI195))</f>
        <v/>
      </c>
      <c r="FN196">
        <f>IF(ISNA(FH196),NA(),Capability!$N$11)</f>
        <v/>
      </c>
      <c r="FO196">
        <f>IF(ISNA(FH196),NA(),IF(OR(Capability!$Q$11="",Settings!$F$7&lt;&gt;"Y"),NA(),Capability!$Q$11))</f>
        <v/>
      </c>
      <c r="FP196">
        <f>IF(ISNA(FH196),NA(),IF(OR(Capability!$P$11="",Settings!$F$7&lt;&gt;"Y"),NA(),Capability!$P$11))</f>
        <v/>
      </c>
      <c r="FV196">
        <f>IF((FY$1+192)&gt;FW$1,NA(),(FY$1+192)-4)</f>
        <v/>
      </c>
      <c r="FW196">
        <f>IF((FY$1+192)&gt;FW$1,NA(),INDEX('Data Entry'!$O$5:$O$10004,(FY$1+192)-4))</f>
        <v/>
      </c>
      <c r="FX196">
        <f>IF(ISNA(FV196),NA(),Capability!$K$12)</f>
        <v/>
      </c>
      <c r="FY196">
        <f>IF(ISNA(FV196),NA(),Capability!$J$12)</f>
        <v/>
      </c>
      <c r="FZ196">
        <f>IF(ISNA(FV196),NA(),Capability!$L$12)</f>
        <v/>
      </c>
      <c r="GA196">
        <f>IF(OR(ISNA(FW196),ISNA(FW195)),NA(),ABS(FW196-FW195))</f>
        <v/>
      </c>
      <c r="GB196">
        <f>IF(ISNA(FV196),NA(),Capability!$N$12)</f>
        <v/>
      </c>
      <c r="GC196">
        <f>IF(ISNA(FV196),NA(),IF(OR(Capability!$Q$12="",Settings!$F$7&lt;&gt;"Y"),NA(),Capability!$Q$12))</f>
        <v/>
      </c>
      <c r="GD196">
        <f>IF(ISNA(FV196),NA(),IF(OR(Capability!$P$12="",Settings!$F$7&lt;&gt;"Y"),NA(),Capability!$P$12))</f>
        <v/>
      </c>
      <c r="GJ196">
        <f>IF((GM$1+192)&gt;GK$1,NA(),(GM$1+192)-4)</f>
        <v/>
      </c>
      <c r="GK196">
        <f>IF((GM$1+192)&gt;GK$1,NA(),INDEX('Data Entry'!$P$5:$P$10004,(GM$1+192)-4))</f>
        <v/>
      </c>
      <c r="GL196">
        <f>IF(ISNA(GJ196),NA(),Capability!$K$13)</f>
        <v/>
      </c>
      <c r="GM196">
        <f>IF(ISNA(GJ196),NA(),Capability!$J$13)</f>
        <v/>
      </c>
      <c r="GN196">
        <f>IF(ISNA(GJ196),NA(),Capability!$L$13)</f>
        <v/>
      </c>
      <c r="GO196">
        <f>IF(OR(ISNA(GK196),ISNA(GK195)),NA(),ABS(GK196-GK195))</f>
        <v/>
      </c>
      <c r="GP196">
        <f>IF(ISNA(GJ196),NA(),Capability!$N$13)</f>
        <v/>
      </c>
      <c r="GQ196">
        <f>IF(ISNA(GJ196),NA(),IF(OR(Capability!$Q$13="",Settings!$F$7&lt;&gt;"Y"),NA(),Capability!$Q$13))</f>
        <v/>
      </c>
      <c r="GR196">
        <f>IF(ISNA(GJ196),NA(),IF(OR(Capability!$P$13="",Settings!$F$7&lt;&gt;"Y"),NA(),Capability!$P$13))</f>
        <v/>
      </c>
      <c r="GX196">
        <f>IF((HA$1+192)&gt;GY$1,NA(),(HA$1+192)-4)</f>
        <v/>
      </c>
      <c r="GY196">
        <f>IF((HA$1+192)&gt;GY$1,NA(),INDEX('Data Entry'!$Q$5:$Q$10004,(HA$1+192)-4))</f>
        <v/>
      </c>
      <c r="GZ196">
        <f>IF(ISNA(GX196),NA(),Capability!$K$14)</f>
        <v/>
      </c>
      <c r="HA196">
        <f>IF(ISNA(GX196),NA(),Capability!$J$14)</f>
        <v/>
      </c>
      <c r="HB196">
        <f>IF(ISNA(GX196),NA(),Capability!$L$14)</f>
        <v/>
      </c>
      <c r="HC196">
        <f>IF(OR(ISNA(GY196),ISNA(GY195)),NA(),ABS(GY196-GY195))</f>
        <v/>
      </c>
      <c r="HD196">
        <f>IF(ISNA(GX196),NA(),Capability!$N$14)</f>
        <v/>
      </c>
      <c r="HE196">
        <f>IF(ISNA(GX196),NA(),IF(OR(Capability!$Q$14="",Settings!$F$7&lt;&gt;"Y"),NA(),Capability!$Q$14))</f>
        <v/>
      </c>
      <c r="HF196">
        <f>IF(ISNA(GX196),NA(),IF(OR(Capability!$P$14="",Settings!$F$7&lt;&gt;"Y"),NA(),Capability!$P$14))</f>
        <v/>
      </c>
    </row>
    <row r="197">
      <c r="CB197">
        <f>IF((CE$1+193)&gt;CC$1,NA(),(CE$1+193)-4)</f>
        <v/>
      </c>
      <c r="CC197">
        <f>IF((CE$1+193)&gt;CC$1,NA(),INDEX('Data Entry'!$H$5:$H$10004,(CE$1+193)-4))</f>
        <v/>
      </c>
      <c r="CD197">
        <f>IF(ISNA(CB197),NA(),Capability!$K$5)</f>
        <v/>
      </c>
      <c r="CE197">
        <f>IF(ISNA(CB197),NA(),Capability!$J$5)</f>
        <v/>
      </c>
      <c r="CF197">
        <f>IF(ISNA(CB197),NA(),Capability!$L$5)</f>
        <v/>
      </c>
      <c r="CG197">
        <f>IF(OR(ISNA(CC197),ISNA(CC196)),NA(),ABS(CC197-CC196))</f>
        <v/>
      </c>
      <c r="CH197">
        <f>IF(ISNA(CB197),NA(),Capability!$N$5)</f>
        <v/>
      </c>
      <c r="CI197">
        <f>IF(ISNA(CB197),NA(),IF(OR(Capability!$Q$5="",Settings!$F$7&lt;&gt;"Y"),NA(),Capability!$Q$5))</f>
        <v/>
      </c>
      <c r="CJ197">
        <f>IF(ISNA(CB197),NA(),IF(OR(Capability!$P$5="",Settings!$F$7&lt;&gt;"Y"),NA(),Capability!$P$5))</f>
        <v/>
      </c>
      <c r="CP197">
        <f>IF((CS$1+193)&gt;CQ$1,NA(),(CS$1+193)-4)</f>
        <v/>
      </c>
      <c r="CQ197">
        <f>IF((CS$1+193)&gt;CQ$1,NA(),INDEX('Data Entry'!$I$5:$I$10004,(CS$1+193)-4))</f>
        <v/>
      </c>
      <c r="CR197">
        <f>IF(ISNA(CP197),NA(),Capability!$K$6)</f>
        <v/>
      </c>
      <c r="CS197">
        <f>IF(ISNA(CP197),NA(),Capability!$J$6)</f>
        <v/>
      </c>
      <c r="CT197">
        <f>IF(ISNA(CP197),NA(),Capability!$L$6)</f>
        <v/>
      </c>
      <c r="CU197">
        <f>IF(OR(ISNA(CQ197),ISNA(CQ196)),NA(),ABS(CQ197-CQ196))</f>
        <v/>
      </c>
      <c r="CV197">
        <f>IF(ISNA(CP197),NA(),Capability!$N$6)</f>
        <v/>
      </c>
      <c r="CW197">
        <f>IF(ISNA(CP197),NA(),IF(OR(Capability!$Q$6="",Settings!$F$7&lt;&gt;"Y"),NA(),Capability!$Q$6))</f>
        <v/>
      </c>
      <c r="CX197">
        <f>IF(ISNA(CP197),NA(),IF(OR(Capability!$P$6="",Settings!$F$7&lt;&gt;"Y"),NA(),Capability!$P$6))</f>
        <v/>
      </c>
      <c r="DD197">
        <f>IF((DG$1+193)&gt;DE$1,NA(),(DG$1+193)-4)</f>
        <v/>
      </c>
      <c r="DE197">
        <f>IF((DG$1+193)&gt;DE$1,NA(),INDEX('Data Entry'!$J$5:$J$10004,(DG$1+193)-4))</f>
        <v/>
      </c>
      <c r="DF197">
        <f>IF(ISNA(DD197),NA(),Capability!$K$7)</f>
        <v/>
      </c>
      <c r="DG197">
        <f>IF(ISNA(DD197),NA(),Capability!$J$7)</f>
        <v/>
      </c>
      <c r="DH197">
        <f>IF(ISNA(DD197),NA(),Capability!$L$7)</f>
        <v/>
      </c>
      <c r="DI197">
        <f>IF(OR(ISNA(DE197),ISNA(DE196)),NA(),ABS(DE197-DE196))</f>
        <v/>
      </c>
      <c r="DJ197">
        <f>IF(ISNA(DD197),NA(),Capability!$N$7)</f>
        <v/>
      </c>
      <c r="DK197">
        <f>IF(ISNA(DD197),NA(),IF(OR(Capability!$Q$7="",Settings!$F$7&lt;&gt;"Y"),NA(),Capability!$Q$7))</f>
        <v/>
      </c>
      <c r="DL197">
        <f>IF(ISNA(DD197),NA(),IF(OR(Capability!$P$7="",Settings!$F$7&lt;&gt;"Y"),NA(),Capability!$P$7))</f>
        <v/>
      </c>
      <c r="DR197">
        <f>IF((DU$1+193)&gt;DS$1,NA(),(DU$1+193)-4)</f>
        <v/>
      </c>
      <c r="DS197">
        <f>IF((DU$1+193)&gt;DS$1,NA(),INDEX('Data Entry'!$K$5:$K$10004,(DU$1+193)-4))</f>
        <v/>
      </c>
      <c r="DT197">
        <f>IF(ISNA(DR197),NA(),Capability!$K$8)</f>
        <v/>
      </c>
      <c r="DU197">
        <f>IF(ISNA(DR197),NA(),Capability!$J$8)</f>
        <v/>
      </c>
      <c r="DV197">
        <f>IF(ISNA(DR197),NA(),Capability!$L$8)</f>
        <v/>
      </c>
      <c r="DW197">
        <f>IF(OR(ISNA(DS197),ISNA(DS196)),NA(),ABS(DS197-DS196))</f>
        <v/>
      </c>
      <c r="DX197">
        <f>IF(ISNA(DR197),NA(),Capability!$N$8)</f>
        <v/>
      </c>
      <c r="DY197">
        <f>IF(ISNA(DR197),NA(),IF(OR(Capability!$Q$8="",Settings!$F$7&lt;&gt;"Y"),NA(),Capability!$Q$8))</f>
        <v/>
      </c>
      <c r="DZ197">
        <f>IF(ISNA(DR197),NA(),IF(OR(Capability!$P$8="",Settings!$F$7&lt;&gt;"Y"),NA(),Capability!$P$8))</f>
        <v/>
      </c>
      <c r="EF197">
        <f>IF((EI$1+193)&gt;EG$1,NA(),(EI$1+193)-4)</f>
        <v/>
      </c>
      <c r="EG197">
        <f>IF((EI$1+193)&gt;EG$1,NA(),INDEX('Data Entry'!$L$5:$L$10004,(EI$1+193)-4))</f>
        <v/>
      </c>
      <c r="EH197">
        <f>IF(ISNA(EF197),NA(),Capability!$K$9)</f>
        <v/>
      </c>
      <c r="EI197">
        <f>IF(ISNA(EF197),NA(),Capability!$J$9)</f>
        <v/>
      </c>
      <c r="EJ197">
        <f>IF(ISNA(EF197),NA(),Capability!$L$9)</f>
        <v/>
      </c>
      <c r="EK197">
        <f>IF(OR(ISNA(EG197),ISNA(EG196)),NA(),ABS(EG197-EG196))</f>
        <v/>
      </c>
      <c r="EL197">
        <f>IF(ISNA(EF197),NA(),Capability!$N$9)</f>
        <v/>
      </c>
      <c r="EM197">
        <f>IF(ISNA(EF197),NA(),IF(OR(Capability!$Q$9="",Settings!$F$7&lt;&gt;"Y"),NA(),Capability!$Q$9))</f>
        <v/>
      </c>
      <c r="EN197">
        <f>IF(ISNA(EF197),NA(),IF(OR(Capability!$P$9="",Settings!$F$7&lt;&gt;"Y"),NA(),Capability!$P$9))</f>
        <v/>
      </c>
      <c r="ET197">
        <f>IF((EW$1+193)&gt;EU$1,NA(),(EW$1+193)-4)</f>
        <v/>
      </c>
      <c r="EU197">
        <f>IF((EW$1+193)&gt;EU$1,NA(),INDEX('Data Entry'!$M$5:$M$10004,(EW$1+193)-4))</f>
        <v/>
      </c>
      <c r="EV197">
        <f>IF(ISNA(ET197),NA(),Capability!$K$10)</f>
        <v/>
      </c>
      <c r="EW197">
        <f>IF(ISNA(ET197),NA(),Capability!$J$10)</f>
        <v/>
      </c>
      <c r="EX197">
        <f>IF(ISNA(ET197),NA(),Capability!$L$10)</f>
        <v/>
      </c>
      <c r="EY197">
        <f>IF(OR(ISNA(EU197),ISNA(EU196)),NA(),ABS(EU197-EU196))</f>
        <v/>
      </c>
      <c r="EZ197">
        <f>IF(ISNA(ET197),NA(),Capability!$N$10)</f>
        <v/>
      </c>
      <c r="FA197">
        <f>IF(ISNA(ET197),NA(),IF(OR(Capability!$Q$10="",Settings!$F$7&lt;&gt;"Y"),NA(),Capability!$Q$10))</f>
        <v/>
      </c>
      <c r="FB197">
        <f>IF(ISNA(ET197),NA(),IF(OR(Capability!$P$10="",Settings!$F$7&lt;&gt;"Y"),NA(),Capability!$P$10))</f>
        <v/>
      </c>
      <c r="FH197">
        <f>IF((FK$1+193)&gt;FI$1,NA(),(FK$1+193)-4)</f>
        <v/>
      </c>
      <c r="FI197">
        <f>IF((FK$1+193)&gt;FI$1,NA(),INDEX('Data Entry'!$N$5:$N$10004,(FK$1+193)-4))</f>
        <v/>
      </c>
      <c r="FJ197">
        <f>IF(ISNA(FH197),NA(),Capability!$K$11)</f>
        <v/>
      </c>
      <c r="FK197">
        <f>IF(ISNA(FH197),NA(),Capability!$J$11)</f>
        <v/>
      </c>
      <c r="FL197">
        <f>IF(ISNA(FH197),NA(),Capability!$L$11)</f>
        <v/>
      </c>
      <c r="FM197">
        <f>IF(OR(ISNA(FI197),ISNA(FI196)),NA(),ABS(FI197-FI196))</f>
        <v/>
      </c>
      <c r="FN197">
        <f>IF(ISNA(FH197),NA(),Capability!$N$11)</f>
        <v/>
      </c>
      <c r="FO197">
        <f>IF(ISNA(FH197),NA(),IF(OR(Capability!$Q$11="",Settings!$F$7&lt;&gt;"Y"),NA(),Capability!$Q$11))</f>
        <v/>
      </c>
      <c r="FP197">
        <f>IF(ISNA(FH197),NA(),IF(OR(Capability!$P$11="",Settings!$F$7&lt;&gt;"Y"),NA(),Capability!$P$11))</f>
        <v/>
      </c>
      <c r="FV197">
        <f>IF((FY$1+193)&gt;FW$1,NA(),(FY$1+193)-4)</f>
        <v/>
      </c>
      <c r="FW197">
        <f>IF((FY$1+193)&gt;FW$1,NA(),INDEX('Data Entry'!$O$5:$O$10004,(FY$1+193)-4))</f>
        <v/>
      </c>
      <c r="FX197">
        <f>IF(ISNA(FV197),NA(),Capability!$K$12)</f>
        <v/>
      </c>
      <c r="FY197">
        <f>IF(ISNA(FV197),NA(),Capability!$J$12)</f>
        <v/>
      </c>
      <c r="FZ197">
        <f>IF(ISNA(FV197),NA(),Capability!$L$12)</f>
        <v/>
      </c>
      <c r="GA197">
        <f>IF(OR(ISNA(FW197),ISNA(FW196)),NA(),ABS(FW197-FW196))</f>
        <v/>
      </c>
      <c r="GB197">
        <f>IF(ISNA(FV197),NA(),Capability!$N$12)</f>
        <v/>
      </c>
      <c r="GC197">
        <f>IF(ISNA(FV197),NA(),IF(OR(Capability!$Q$12="",Settings!$F$7&lt;&gt;"Y"),NA(),Capability!$Q$12))</f>
        <v/>
      </c>
      <c r="GD197">
        <f>IF(ISNA(FV197),NA(),IF(OR(Capability!$P$12="",Settings!$F$7&lt;&gt;"Y"),NA(),Capability!$P$12))</f>
        <v/>
      </c>
      <c r="GJ197">
        <f>IF((GM$1+193)&gt;GK$1,NA(),(GM$1+193)-4)</f>
        <v/>
      </c>
      <c r="GK197">
        <f>IF((GM$1+193)&gt;GK$1,NA(),INDEX('Data Entry'!$P$5:$P$10004,(GM$1+193)-4))</f>
        <v/>
      </c>
      <c r="GL197">
        <f>IF(ISNA(GJ197),NA(),Capability!$K$13)</f>
        <v/>
      </c>
      <c r="GM197">
        <f>IF(ISNA(GJ197),NA(),Capability!$J$13)</f>
        <v/>
      </c>
      <c r="GN197">
        <f>IF(ISNA(GJ197),NA(),Capability!$L$13)</f>
        <v/>
      </c>
      <c r="GO197">
        <f>IF(OR(ISNA(GK197),ISNA(GK196)),NA(),ABS(GK197-GK196))</f>
        <v/>
      </c>
      <c r="GP197">
        <f>IF(ISNA(GJ197),NA(),Capability!$N$13)</f>
        <v/>
      </c>
      <c r="GQ197">
        <f>IF(ISNA(GJ197),NA(),IF(OR(Capability!$Q$13="",Settings!$F$7&lt;&gt;"Y"),NA(),Capability!$Q$13))</f>
        <v/>
      </c>
      <c r="GR197">
        <f>IF(ISNA(GJ197),NA(),IF(OR(Capability!$P$13="",Settings!$F$7&lt;&gt;"Y"),NA(),Capability!$P$13))</f>
        <v/>
      </c>
      <c r="GX197">
        <f>IF((HA$1+193)&gt;GY$1,NA(),(HA$1+193)-4)</f>
        <v/>
      </c>
      <c r="GY197">
        <f>IF((HA$1+193)&gt;GY$1,NA(),INDEX('Data Entry'!$Q$5:$Q$10004,(HA$1+193)-4))</f>
        <v/>
      </c>
      <c r="GZ197">
        <f>IF(ISNA(GX197),NA(),Capability!$K$14)</f>
        <v/>
      </c>
      <c r="HA197">
        <f>IF(ISNA(GX197),NA(),Capability!$J$14)</f>
        <v/>
      </c>
      <c r="HB197">
        <f>IF(ISNA(GX197),NA(),Capability!$L$14)</f>
        <v/>
      </c>
      <c r="HC197">
        <f>IF(OR(ISNA(GY197),ISNA(GY196)),NA(),ABS(GY197-GY196))</f>
        <v/>
      </c>
      <c r="HD197">
        <f>IF(ISNA(GX197),NA(),Capability!$N$14)</f>
        <v/>
      </c>
      <c r="HE197">
        <f>IF(ISNA(GX197),NA(),IF(OR(Capability!$Q$14="",Settings!$F$7&lt;&gt;"Y"),NA(),Capability!$Q$14))</f>
        <v/>
      </c>
      <c r="HF197">
        <f>IF(ISNA(GX197),NA(),IF(OR(Capability!$P$14="",Settings!$F$7&lt;&gt;"Y"),NA(),Capability!$P$14))</f>
        <v/>
      </c>
    </row>
    <row r="198">
      <c r="CB198">
        <f>IF((CE$1+194)&gt;CC$1,NA(),(CE$1+194)-4)</f>
        <v/>
      </c>
      <c r="CC198">
        <f>IF((CE$1+194)&gt;CC$1,NA(),INDEX('Data Entry'!$H$5:$H$10004,(CE$1+194)-4))</f>
        <v/>
      </c>
      <c r="CD198">
        <f>IF(ISNA(CB198),NA(),Capability!$K$5)</f>
        <v/>
      </c>
      <c r="CE198">
        <f>IF(ISNA(CB198),NA(),Capability!$J$5)</f>
        <v/>
      </c>
      <c r="CF198">
        <f>IF(ISNA(CB198),NA(),Capability!$L$5)</f>
        <v/>
      </c>
      <c r="CG198">
        <f>IF(OR(ISNA(CC198),ISNA(CC197)),NA(),ABS(CC198-CC197))</f>
        <v/>
      </c>
      <c r="CH198">
        <f>IF(ISNA(CB198),NA(),Capability!$N$5)</f>
        <v/>
      </c>
      <c r="CI198">
        <f>IF(ISNA(CB198),NA(),IF(OR(Capability!$Q$5="",Settings!$F$7&lt;&gt;"Y"),NA(),Capability!$Q$5))</f>
        <v/>
      </c>
      <c r="CJ198">
        <f>IF(ISNA(CB198),NA(),IF(OR(Capability!$P$5="",Settings!$F$7&lt;&gt;"Y"),NA(),Capability!$P$5))</f>
        <v/>
      </c>
      <c r="CP198">
        <f>IF((CS$1+194)&gt;CQ$1,NA(),(CS$1+194)-4)</f>
        <v/>
      </c>
      <c r="CQ198">
        <f>IF((CS$1+194)&gt;CQ$1,NA(),INDEX('Data Entry'!$I$5:$I$10004,(CS$1+194)-4))</f>
        <v/>
      </c>
      <c r="CR198">
        <f>IF(ISNA(CP198),NA(),Capability!$K$6)</f>
        <v/>
      </c>
      <c r="CS198">
        <f>IF(ISNA(CP198),NA(),Capability!$J$6)</f>
        <v/>
      </c>
      <c r="CT198">
        <f>IF(ISNA(CP198),NA(),Capability!$L$6)</f>
        <v/>
      </c>
      <c r="CU198">
        <f>IF(OR(ISNA(CQ198),ISNA(CQ197)),NA(),ABS(CQ198-CQ197))</f>
        <v/>
      </c>
      <c r="CV198">
        <f>IF(ISNA(CP198),NA(),Capability!$N$6)</f>
        <v/>
      </c>
      <c r="CW198">
        <f>IF(ISNA(CP198),NA(),IF(OR(Capability!$Q$6="",Settings!$F$7&lt;&gt;"Y"),NA(),Capability!$Q$6))</f>
        <v/>
      </c>
      <c r="CX198">
        <f>IF(ISNA(CP198),NA(),IF(OR(Capability!$P$6="",Settings!$F$7&lt;&gt;"Y"),NA(),Capability!$P$6))</f>
        <v/>
      </c>
      <c r="DD198">
        <f>IF((DG$1+194)&gt;DE$1,NA(),(DG$1+194)-4)</f>
        <v/>
      </c>
      <c r="DE198">
        <f>IF((DG$1+194)&gt;DE$1,NA(),INDEX('Data Entry'!$J$5:$J$10004,(DG$1+194)-4))</f>
        <v/>
      </c>
      <c r="DF198">
        <f>IF(ISNA(DD198),NA(),Capability!$K$7)</f>
        <v/>
      </c>
      <c r="DG198">
        <f>IF(ISNA(DD198),NA(),Capability!$J$7)</f>
        <v/>
      </c>
      <c r="DH198">
        <f>IF(ISNA(DD198),NA(),Capability!$L$7)</f>
        <v/>
      </c>
      <c r="DI198">
        <f>IF(OR(ISNA(DE198),ISNA(DE197)),NA(),ABS(DE198-DE197))</f>
        <v/>
      </c>
      <c r="DJ198">
        <f>IF(ISNA(DD198),NA(),Capability!$N$7)</f>
        <v/>
      </c>
      <c r="DK198">
        <f>IF(ISNA(DD198),NA(),IF(OR(Capability!$Q$7="",Settings!$F$7&lt;&gt;"Y"),NA(),Capability!$Q$7))</f>
        <v/>
      </c>
      <c r="DL198">
        <f>IF(ISNA(DD198),NA(),IF(OR(Capability!$P$7="",Settings!$F$7&lt;&gt;"Y"),NA(),Capability!$P$7))</f>
        <v/>
      </c>
      <c r="DR198">
        <f>IF((DU$1+194)&gt;DS$1,NA(),(DU$1+194)-4)</f>
        <v/>
      </c>
      <c r="DS198">
        <f>IF((DU$1+194)&gt;DS$1,NA(),INDEX('Data Entry'!$K$5:$K$10004,(DU$1+194)-4))</f>
        <v/>
      </c>
      <c r="DT198">
        <f>IF(ISNA(DR198),NA(),Capability!$K$8)</f>
        <v/>
      </c>
      <c r="DU198">
        <f>IF(ISNA(DR198),NA(),Capability!$J$8)</f>
        <v/>
      </c>
      <c r="DV198">
        <f>IF(ISNA(DR198),NA(),Capability!$L$8)</f>
        <v/>
      </c>
      <c r="DW198">
        <f>IF(OR(ISNA(DS198),ISNA(DS197)),NA(),ABS(DS198-DS197))</f>
        <v/>
      </c>
      <c r="DX198">
        <f>IF(ISNA(DR198),NA(),Capability!$N$8)</f>
        <v/>
      </c>
      <c r="DY198">
        <f>IF(ISNA(DR198),NA(),IF(OR(Capability!$Q$8="",Settings!$F$7&lt;&gt;"Y"),NA(),Capability!$Q$8))</f>
        <v/>
      </c>
      <c r="DZ198">
        <f>IF(ISNA(DR198),NA(),IF(OR(Capability!$P$8="",Settings!$F$7&lt;&gt;"Y"),NA(),Capability!$P$8))</f>
        <v/>
      </c>
      <c r="EF198">
        <f>IF((EI$1+194)&gt;EG$1,NA(),(EI$1+194)-4)</f>
        <v/>
      </c>
      <c r="EG198">
        <f>IF((EI$1+194)&gt;EG$1,NA(),INDEX('Data Entry'!$L$5:$L$10004,(EI$1+194)-4))</f>
        <v/>
      </c>
      <c r="EH198">
        <f>IF(ISNA(EF198),NA(),Capability!$K$9)</f>
        <v/>
      </c>
      <c r="EI198">
        <f>IF(ISNA(EF198),NA(),Capability!$J$9)</f>
        <v/>
      </c>
      <c r="EJ198">
        <f>IF(ISNA(EF198),NA(),Capability!$L$9)</f>
        <v/>
      </c>
      <c r="EK198">
        <f>IF(OR(ISNA(EG198),ISNA(EG197)),NA(),ABS(EG198-EG197))</f>
        <v/>
      </c>
      <c r="EL198">
        <f>IF(ISNA(EF198),NA(),Capability!$N$9)</f>
        <v/>
      </c>
      <c r="EM198">
        <f>IF(ISNA(EF198),NA(),IF(OR(Capability!$Q$9="",Settings!$F$7&lt;&gt;"Y"),NA(),Capability!$Q$9))</f>
        <v/>
      </c>
      <c r="EN198">
        <f>IF(ISNA(EF198),NA(),IF(OR(Capability!$P$9="",Settings!$F$7&lt;&gt;"Y"),NA(),Capability!$P$9))</f>
        <v/>
      </c>
      <c r="ET198">
        <f>IF((EW$1+194)&gt;EU$1,NA(),(EW$1+194)-4)</f>
        <v/>
      </c>
      <c r="EU198">
        <f>IF((EW$1+194)&gt;EU$1,NA(),INDEX('Data Entry'!$M$5:$M$10004,(EW$1+194)-4))</f>
        <v/>
      </c>
      <c r="EV198">
        <f>IF(ISNA(ET198),NA(),Capability!$K$10)</f>
        <v/>
      </c>
      <c r="EW198">
        <f>IF(ISNA(ET198),NA(),Capability!$J$10)</f>
        <v/>
      </c>
      <c r="EX198">
        <f>IF(ISNA(ET198),NA(),Capability!$L$10)</f>
        <v/>
      </c>
      <c r="EY198">
        <f>IF(OR(ISNA(EU198),ISNA(EU197)),NA(),ABS(EU198-EU197))</f>
        <v/>
      </c>
      <c r="EZ198">
        <f>IF(ISNA(ET198),NA(),Capability!$N$10)</f>
        <v/>
      </c>
      <c r="FA198">
        <f>IF(ISNA(ET198),NA(),IF(OR(Capability!$Q$10="",Settings!$F$7&lt;&gt;"Y"),NA(),Capability!$Q$10))</f>
        <v/>
      </c>
      <c r="FB198">
        <f>IF(ISNA(ET198),NA(),IF(OR(Capability!$P$10="",Settings!$F$7&lt;&gt;"Y"),NA(),Capability!$P$10))</f>
        <v/>
      </c>
      <c r="FH198">
        <f>IF((FK$1+194)&gt;FI$1,NA(),(FK$1+194)-4)</f>
        <v/>
      </c>
      <c r="FI198">
        <f>IF((FK$1+194)&gt;FI$1,NA(),INDEX('Data Entry'!$N$5:$N$10004,(FK$1+194)-4))</f>
        <v/>
      </c>
      <c r="FJ198">
        <f>IF(ISNA(FH198),NA(),Capability!$K$11)</f>
        <v/>
      </c>
      <c r="FK198">
        <f>IF(ISNA(FH198),NA(),Capability!$J$11)</f>
        <v/>
      </c>
      <c r="FL198">
        <f>IF(ISNA(FH198),NA(),Capability!$L$11)</f>
        <v/>
      </c>
      <c r="FM198">
        <f>IF(OR(ISNA(FI198),ISNA(FI197)),NA(),ABS(FI198-FI197))</f>
        <v/>
      </c>
      <c r="FN198">
        <f>IF(ISNA(FH198),NA(),Capability!$N$11)</f>
        <v/>
      </c>
      <c r="FO198">
        <f>IF(ISNA(FH198),NA(),IF(OR(Capability!$Q$11="",Settings!$F$7&lt;&gt;"Y"),NA(),Capability!$Q$11))</f>
        <v/>
      </c>
      <c r="FP198">
        <f>IF(ISNA(FH198),NA(),IF(OR(Capability!$P$11="",Settings!$F$7&lt;&gt;"Y"),NA(),Capability!$P$11))</f>
        <v/>
      </c>
      <c r="FV198">
        <f>IF((FY$1+194)&gt;FW$1,NA(),(FY$1+194)-4)</f>
        <v/>
      </c>
      <c r="FW198">
        <f>IF((FY$1+194)&gt;FW$1,NA(),INDEX('Data Entry'!$O$5:$O$10004,(FY$1+194)-4))</f>
        <v/>
      </c>
      <c r="FX198">
        <f>IF(ISNA(FV198),NA(),Capability!$K$12)</f>
        <v/>
      </c>
      <c r="FY198">
        <f>IF(ISNA(FV198),NA(),Capability!$J$12)</f>
        <v/>
      </c>
      <c r="FZ198">
        <f>IF(ISNA(FV198),NA(),Capability!$L$12)</f>
        <v/>
      </c>
      <c r="GA198">
        <f>IF(OR(ISNA(FW198),ISNA(FW197)),NA(),ABS(FW198-FW197))</f>
        <v/>
      </c>
      <c r="GB198">
        <f>IF(ISNA(FV198),NA(),Capability!$N$12)</f>
        <v/>
      </c>
      <c r="GC198">
        <f>IF(ISNA(FV198),NA(),IF(OR(Capability!$Q$12="",Settings!$F$7&lt;&gt;"Y"),NA(),Capability!$Q$12))</f>
        <v/>
      </c>
      <c r="GD198">
        <f>IF(ISNA(FV198),NA(),IF(OR(Capability!$P$12="",Settings!$F$7&lt;&gt;"Y"),NA(),Capability!$P$12))</f>
        <v/>
      </c>
      <c r="GJ198">
        <f>IF((GM$1+194)&gt;GK$1,NA(),(GM$1+194)-4)</f>
        <v/>
      </c>
      <c r="GK198">
        <f>IF((GM$1+194)&gt;GK$1,NA(),INDEX('Data Entry'!$P$5:$P$10004,(GM$1+194)-4))</f>
        <v/>
      </c>
      <c r="GL198">
        <f>IF(ISNA(GJ198),NA(),Capability!$K$13)</f>
        <v/>
      </c>
      <c r="GM198">
        <f>IF(ISNA(GJ198),NA(),Capability!$J$13)</f>
        <v/>
      </c>
      <c r="GN198">
        <f>IF(ISNA(GJ198),NA(),Capability!$L$13)</f>
        <v/>
      </c>
      <c r="GO198">
        <f>IF(OR(ISNA(GK198),ISNA(GK197)),NA(),ABS(GK198-GK197))</f>
        <v/>
      </c>
      <c r="GP198">
        <f>IF(ISNA(GJ198),NA(),Capability!$N$13)</f>
        <v/>
      </c>
      <c r="GQ198">
        <f>IF(ISNA(GJ198),NA(),IF(OR(Capability!$Q$13="",Settings!$F$7&lt;&gt;"Y"),NA(),Capability!$Q$13))</f>
        <v/>
      </c>
      <c r="GR198">
        <f>IF(ISNA(GJ198),NA(),IF(OR(Capability!$P$13="",Settings!$F$7&lt;&gt;"Y"),NA(),Capability!$P$13))</f>
        <v/>
      </c>
      <c r="GX198">
        <f>IF((HA$1+194)&gt;GY$1,NA(),(HA$1+194)-4)</f>
        <v/>
      </c>
      <c r="GY198">
        <f>IF((HA$1+194)&gt;GY$1,NA(),INDEX('Data Entry'!$Q$5:$Q$10004,(HA$1+194)-4))</f>
        <v/>
      </c>
      <c r="GZ198">
        <f>IF(ISNA(GX198),NA(),Capability!$K$14)</f>
        <v/>
      </c>
      <c r="HA198">
        <f>IF(ISNA(GX198),NA(),Capability!$J$14)</f>
        <v/>
      </c>
      <c r="HB198">
        <f>IF(ISNA(GX198),NA(),Capability!$L$14)</f>
        <v/>
      </c>
      <c r="HC198">
        <f>IF(OR(ISNA(GY198),ISNA(GY197)),NA(),ABS(GY198-GY197))</f>
        <v/>
      </c>
      <c r="HD198">
        <f>IF(ISNA(GX198),NA(),Capability!$N$14)</f>
        <v/>
      </c>
      <c r="HE198">
        <f>IF(ISNA(GX198),NA(),IF(OR(Capability!$Q$14="",Settings!$F$7&lt;&gt;"Y"),NA(),Capability!$Q$14))</f>
        <v/>
      </c>
      <c r="HF198">
        <f>IF(ISNA(GX198),NA(),IF(OR(Capability!$P$14="",Settings!$F$7&lt;&gt;"Y"),NA(),Capability!$P$14))</f>
        <v/>
      </c>
    </row>
    <row r="199">
      <c r="CB199">
        <f>IF((CE$1+195)&gt;CC$1,NA(),(CE$1+195)-4)</f>
        <v/>
      </c>
      <c r="CC199">
        <f>IF((CE$1+195)&gt;CC$1,NA(),INDEX('Data Entry'!$H$5:$H$10004,(CE$1+195)-4))</f>
        <v/>
      </c>
      <c r="CD199">
        <f>IF(ISNA(CB199),NA(),Capability!$K$5)</f>
        <v/>
      </c>
      <c r="CE199">
        <f>IF(ISNA(CB199),NA(),Capability!$J$5)</f>
        <v/>
      </c>
      <c r="CF199">
        <f>IF(ISNA(CB199),NA(),Capability!$L$5)</f>
        <v/>
      </c>
      <c r="CG199">
        <f>IF(OR(ISNA(CC199),ISNA(CC198)),NA(),ABS(CC199-CC198))</f>
        <v/>
      </c>
      <c r="CH199">
        <f>IF(ISNA(CB199),NA(),Capability!$N$5)</f>
        <v/>
      </c>
      <c r="CI199">
        <f>IF(ISNA(CB199),NA(),IF(OR(Capability!$Q$5="",Settings!$F$7&lt;&gt;"Y"),NA(),Capability!$Q$5))</f>
        <v/>
      </c>
      <c r="CJ199">
        <f>IF(ISNA(CB199),NA(),IF(OR(Capability!$P$5="",Settings!$F$7&lt;&gt;"Y"),NA(),Capability!$P$5))</f>
        <v/>
      </c>
      <c r="CP199">
        <f>IF((CS$1+195)&gt;CQ$1,NA(),(CS$1+195)-4)</f>
        <v/>
      </c>
      <c r="CQ199">
        <f>IF((CS$1+195)&gt;CQ$1,NA(),INDEX('Data Entry'!$I$5:$I$10004,(CS$1+195)-4))</f>
        <v/>
      </c>
      <c r="CR199">
        <f>IF(ISNA(CP199),NA(),Capability!$K$6)</f>
        <v/>
      </c>
      <c r="CS199">
        <f>IF(ISNA(CP199),NA(),Capability!$J$6)</f>
        <v/>
      </c>
      <c r="CT199">
        <f>IF(ISNA(CP199),NA(),Capability!$L$6)</f>
        <v/>
      </c>
      <c r="CU199">
        <f>IF(OR(ISNA(CQ199),ISNA(CQ198)),NA(),ABS(CQ199-CQ198))</f>
        <v/>
      </c>
      <c r="CV199">
        <f>IF(ISNA(CP199),NA(),Capability!$N$6)</f>
        <v/>
      </c>
      <c r="CW199">
        <f>IF(ISNA(CP199),NA(),IF(OR(Capability!$Q$6="",Settings!$F$7&lt;&gt;"Y"),NA(),Capability!$Q$6))</f>
        <v/>
      </c>
      <c r="CX199">
        <f>IF(ISNA(CP199),NA(),IF(OR(Capability!$P$6="",Settings!$F$7&lt;&gt;"Y"),NA(),Capability!$P$6))</f>
        <v/>
      </c>
      <c r="DD199">
        <f>IF((DG$1+195)&gt;DE$1,NA(),(DG$1+195)-4)</f>
        <v/>
      </c>
      <c r="DE199">
        <f>IF((DG$1+195)&gt;DE$1,NA(),INDEX('Data Entry'!$J$5:$J$10004,(DG$1+195)-4))</f>
        <v/>
      </c>
      <c r="DF199">
        <f>IF(ISNA(DD199),NA(),Capability!$K$7)</f>
        <v/>
      </c>
      <c r="DG199">
        <f>IF(ISNA(DD199),NA(),Capability!$J$7)</f>
        <v/>
      </c>
      <c r="DH199">
        <f>IF(ISNA(DD199),NA(),Capability!$L$7)</f>
        <v/>
      </c>
      <c r="DI199">
        <f>IF(OR(ISNA(DE199),ISNA(DE198)),NA(),ABS(DE199-DE198))</f>
        <v/>
      </c>
      <c r="DJ199">
        <f>IF(ISNA(DD199),NA(),Capability!$N$7)</f>
        <v/>
      </c>
      <c r="DK199">
        <f>IF(ISNA(DD199),NA(),IF(OR(Capability!$Q$7="",Settings!$F$7&lt;&gt;"Y"),NA(),Capability!$Q$7))</f>
        <v/>
      </c>
      <c r="DL199">
        <f>IF(ISNA(DD199),NA(),IF(OR(Capability!$P$7="",Settings!$F$7&lt;&gt;"Y"),NA(),Capability!$P$7))</f>
        <v/>
      </c>
      <c r="DR199">
        <f>IF((DU$1+195)&gt;DS$1,NA(),(DU$1+195)-4)</f>
        <v/>
      </c>
      <c r="DS199">
        <f>IF((DU$1+195)&gt;DS$1,NA(),INDEX('Data Entry'!$K$5:$K$10004,(DU$1+195)-4))</f>
        <v/>
      </c>
      <c r="DT199">
        <f>IF(ISNA(DR199),NA(),Capability!$K$8)</f>
        <v/>
      </c>
      <c r="DU199">
        <f>IF(ISNA(DR199),NA(),Capability!$J$8)</f>
        <v/>
      </c>
      <c r="DV199">
        <f>IF(ISNA(DR199),NA(),Capability!$L$8)</f>
        <v/>
      </c>
      <c r="DW199">
        <f>IF(OR(ISNA(DS199),ISNA(DS198)),NA(),ABS(DS199-DS198))</f>
        <v/>
      </c>
      <c r="DX199">
        <f>IF(ISNA(DR199),NA(),Capability!$N$8)</f>
        <v/>
      </c>
      <c r="DY199">
        <f>IF(ISNA(DR199),NA(),IF(OR(Capability!$Q$8="",Settings!$F$7&lt;&gt;"Y"),NA(),Capability!$Q$8))</f>
        <v/>
      </c>
      <c r="DZ199">
        <f>IF(ISNA(DR199),NA(),IF(OR(Capability!$P$8="",Settings!$F$7&lt;&gt;"Y"),NA(),Capability!$P$8))</f>
        <v/>
      </c>
      <c r="EF199">
        <f>IF((EI$1+195)&gt;EG$1,NA(),(EI$1+195)-4)</f>
        <v/>
      </c>
      <c r="EG199">
        <f>IF((EI$1+195)&gt;EG$1,NA(),INDEX('Data Entry'!$L$5:$L$10004,(EI$1+195)-4))</f>
        <v/>
      </c>
      <c r="EH199">
        <f>IF(ISNA(EF199),NA(),Capability!$K$9)</f>
        <v/>
      </c>
      <c r="EI199">
        <f>IF(ISNA(EF199),NA(),Capability!$J$9)</f>
        <v/>
      </c>
      <c r="EJ199">
        <f>IF(ISNA(EF199),NA(),Capability!$L$9)</f>
        <v/>
      </c>
      <c r="EK199">
        <f>IF(OR(ISNA(EG199),ISNA(EG198)),NA(),ABS(EG199-EG198))</f>
        <v/>
      </c>
      <c r="EL199">
        <f>IF(ISNA(EF199),NA(),Capability!$N$9)</f>
        <v/>
      </c>
      <c r="EM199">
        <f>IF(ISNA(EF199),NA(),IF(OR(Capability!$Q$9="",Settings!$F$7&lt;&gt;"Y"),NA(),Capability!$Q$9))</f>
        <v/>
      </c>
      <c r="EN199">
        <f>IF(ISNA(EF199),NA(),IF(OR(Capability!$P$9="",Settings!$F$7&lt;&gt;"Y"),NA(),Capability!$P$9))</f>
        <v/>
      </c>
      <c r="ET199">
        <f>IF((EW$1+195)&gt;EU$1,NA(),(EW$1+195)-4)</f>
        <v/>
      </c>
      <c r="EU199">
        <f>IF((EW$1+195)&gt;EU$1,NA(),INDEX('Data Entry'!$M$5:$M$10004,(EW$1+195)-4))</f>
        <v/>
      </c>
      <c r="EV199">
        <f>IF(ISNA(ET199),NA(),Capability!$K$10)</f>
        <v/>
      </c>
      <c r="EW199">
        <f>IF(ISNA(ET199),NA(),Capability!$J$10)</f>
        <v/>
      </c>
      <c r="EX199">
        <f>IF(ISNA(ET199),NA(),Capability!$L$10)</f>
        <v/>
      </c>
      <c r="EY199">
        <f>IF(OR(ISNA(EU199),ISNA(EU198)),NA(),ABS(EU199-EU198))</f>
        <v/>
      </c>
      <c r="EZ199">
        <f>IF(ISNA(ET199),NA(),Capability!$N$10)</f>
        <v/>
      </c>
      <c r="FA199">
        <f>IF(ISNA(ET199),NA(),IF(OR(Capability!$Q$10="",Settings!$F$7&lt;&gt;"Y"),NA(),Capability!$Q$10))</f>
        <v/>
      </c>
      <c r="FB199">
        <f>IF(ISNA(ET199),NA(),IF(OR(Capability!$P$10="",Settings!$F$7&lt;&gt;"Y"),NA(),Capability!$P$10))</f>
        <v/>
      </c>
      <c r="FH199">
        <f>IF((FK$1+195)&gt;FI$1,NA(),(FK$1+195)-4)</f>
        <v/>
      </c>
      <c r="FI199">
        <f>IF((FK$1+195)&gt;FI$1,NA(),INDEX('Data Entry'!$N$5:$N$10004,(FK$1+195)-4))</f>
        <v/>
      </c>
      <c r="FJ199">
        <f>IF(ISNA(FH199),NA(),Capability!$K$11)</f>
        <v/>
      </c>
      <c r="FK199">
        <f>IF(ISNA(FH199),NA(),Capability!$J$11)</f>
        <v/>
      </c>
      <c r="FL199">
        <f>IF(ISNA(FH199),NA(),Capability!$L$11)</f>
        <v/>
      </c>
      <c r="FM199">
        <f>IF(OR(ISNA(FI199),ISNA(FI198)),NA(),ABS(FI199-FI198))</f>
        <v/>
      </c>
      <c r="FN199">
        <f>IF(ISNA(FH199),NA(),Capability!$N$11)</f>
        <v/>
      </c>
      <c r="FO199">
        <f>IF(ISNA(FH199),NA(),IF(OR(Capability!$Q$11="",Settings!$F$7&lt;&gt;"Y"),NA(),Capability!$Q$11))</f>
        <v/>
      </c>
      <c r="FP199">
        <f>IF(ISNA(FH199),NA(),IF(OR(Capability!$P$11="",Settings!$F$7&lt;&gt;"Y"),NA(),Capability!$P$11))</f>
        <v/>
      </c>
      <c r="FV199">
        <f>IF((FY$1+195)&gt;FW$1,NA(),(FY$1+195)-4)</f>
        <v/>
      </c>
      <c r="FW199">
        <f>IF((FY$1+195)&gt;FW$1,NA(),INDEX('Data Entry'!$O$5:$O$10004,(FY$1+195)-4))</f>
        <v/>
      </c>
      <c r="FX199">
        <f>IF(ISNA(FV199),NA(),Capability!$K$12)</f>
        <v/>
      </c>
      <c r="FY199">
        <f>IF(ISNA(FV199),NA(),Capability!$J$12)</f>
        <v/>
      </c>
      <c r="FZ199">
        <f>IF(ISNA(FV199),NA(),Capability!$L$12)</f>
        <v/>
      </c>
      <c r="GA199">
        <f>IF(OR(ISNA(FW199),ISNA(FW198)),NA(),ABS(FW199-FW198))</f>
        <v/>
      </c>
      <c r="GB199">
        <f>IF(ISNA(FV199),NA(),Capability!$N$12)</f>
        <v/>
      </c>
      <c r="GC199">
        <f>IF(ISNA(FV199),NA(),IF(OR(Capability!$Q$12="",Settings!$F$7&lt;&gt;"Y"),NA(),Capability!$Q$12))</f>
        <v/>
      </c>
      <c r="GD199">
        <f>IF(ISNA(FV199),NA(),IF(OR(Capability!$P$12="",Settings!$F$7&lt;&gt;"Y"),NA(),Capability!$P$12))</f>
        <v/>
      </c>
      <c r="GJ199">
        <f>IF((GM$1+195)&gt;GK$1,NA(),(GM$1+195)-4)</f>
        <v/>
      </c>
      <c r="GK199">
        <f>IF((GM$1+195)&gt;GK$1,NA(),INDEX('Data Entry'!$P$5:$P$10004,(GM$1+195)-4))</f>
        <v/>
      </c>
      <c r="GL199">
        <f>IF(ISNA(GJ199),NA(),Capability!$K$13)</f>
        <v/>
      </c>
      <c r="GM199">
        <f>IF(ISNA(GJ199),NA(),Capability!$J$13)</f>
        <v/>
      </c>
      <c r="GN199">
        <f>IF(ISNA(GJ199),NA(),Capability!$L$13)</f>
        <v/>
      </c>
      <c r="GO199">
        <f>IF(OR(ISNA(GK199),ISNA(GK198)),NA(),ABS(GK199-GK198))</f>
        <v/>
      </c>
      <c r="GP199">
        <f>IF(ISNA(GJ199),NA(),Capability!$N$13)</f>
        <v/>
      </c>
      <c r="GQ199">
        <f>IF(ISNA(GJ199),NA(),IF(OR(Capability!$Q$13="",Settings!$F$7&lt;&gt;"Y"),NA(),Capability!$Q$13))</f>
        <v/>
      </c>
      <c r="GR199">
        <f>IF(ISNA(GJ199),NA(),IF(OR(Capability!$P$13="",Settings!$F$7&lt;&gt;"Y"),NA(),Capability!$P$13))</f>
        <v/>
      </c>
      <c r="GX199">
        <f>IF((HA$1+195)&gt;GY$1,NA(),(HA$1+195)-4)</f>
        <v/>
      </c>
      <c r="GY199">
        <f>IF((HA$1+195)&gt;GY$1,NA(),INDEX('Data Entry'!$Q$5:$Q$10004,(HA$1+195)-4))</f>
        <v/>
      </c>
      <c r="GZ199">
        <f>IF(ISNA(GX199),NA(),Capability!$K$14)</f>
        <v/>
      </c>
      <c r="HA199">
        <f>IF(ISNA(GX199),NA(),Capability!$J$14)</f>
        <v/>
      </c>
      <c r="HB199">
        <f>IF(ISNA(GX199),NA(),Capability!$L$14)</f>
        <v/>
      </c>
      <c r="HC199">
        <f>IF(OR(ISNA(GY199),ISNA(GY198)),NA(),ABS(GY199-GY198))</f>
        <v/>
      </c>
      <c r="HD199">
        <f>IF(ISNA(GX199),NA(),Capability!$N$14)</f>
        <v/>
      </c>
      <c r="HE199">
        <f>IF(ISNA(GX199),NA(),IF(OR(Capability!$Q$14="",Settings!$F$7&lt;&gt;"Y"),NA(),Capability!$Q$14))</f>
        <v/>
      </c>
      <c r="HF199">
        <f>IF(ISNA(GX199),NA(),IF(OR(Capability!$P$14="",Settings!$F$7&lt;&gt;"Y"),NA(),Capability!$P$14))</f>
        <v/>
      </c>
    </row>
    <row r="200">
      <c r="CB200">
        <f>IF((CE$1+196)&gt;CC$1,NA(),(CE$1+196)-4)</f>
        <v/>
      </c>
      <c r="CC200">
        <f>IF((CE$1+196)&gt;CC$1,NA(),INDEX('Data Entry'!$H$5:$H$10004,(CE$1+196)-4))</f>
        <v/>
      </c>
      <c r="CD200">
        <f>IF(ISNA(CB200),NA(),Capability!$K$5)</f>
        <v/>
      </c>
      <c r="CE200">
        <f>IF(ISNA(CB200),NA(),Capability!$J$5)</f>
        <v/>
      </c>
      <c r="CF200">
        <f>IF(ISNA(CB200),NA(),Capability!$L$5)</f>
        <v/>
      </c>
      <c r="CG200">
        <f>IF(OR(ISNA(CC200),ISNA(CC199)),NA(),ABS(CC200-CC199))</f>
        <v/>
      </c>
      <c r="CH200">
        <f>IF(ISNA(CB200),NA(),Capability!$N$5)</f>
        <v/>
      </c>
      <c r="CI200">
        <f>IF(ISNA(CB200),NA(),IF(OR(Capability!$Q$5="",Settings!$F$7&lt;&gt;"Y"),NA(),Capability!$Q$5))</f>
        <v/>
      </c>
      <c r="CJ200">
        <f>IF(ISNA(CB200),NA(),IF(OR(Capability!$P$5="",Settings!$F$7&lt;&gt;"Y"),NA(),Capability!$P$5))</f>
        <v/>
      </c>
      <c r="CP200">
        <f>IF((CS$1+196)&gt;CQ$1,NA(),(CS$1+196)-4)</f>
        <v/>
      </c>
      <c r="CQ200">
        <f>IF((CS$1+196)&gt;CQ$1,NA(),INDEX('Data Entry'!$I$5:$I$10004,(CS$1+196)-4))</f>
        <v/>
      </c>
      <c r="CR200">
        <f>IF(ISNA(CP200),NA(),Capability!$K$6)</f>
        <v/>
      </c>
      <c r="CS200">
        <f>IF(ISNA(CP200),NA(),Capability!$J$6)</f>
        <v/>
      </c>
      <c r="CT200">
        <f>IF(ISNA(CP200),NA(),Capability!$L$6)</f>
        <v/>
      </c>
      <c r="CU200">
        <f>IF(OR(ISNA(CQ200),ISNA(CQ199)),NA(),ABS(CQ200-CQ199))</f>
        <v/>
      </c>
      <c r="CV200">
        <f>IF(ISNA(CP200),NA(),Capability!$N$6)</f>
        <v/>
      </c>
      <c r="CW200">
        <f>IF(ISNA(CP200),NA(),IF(OR(Capability!$Q$6="",Settings!$F$7&lt;&gt;"Y"),NA(),Capability!$Q$6))</f>
        <v/>
      </c>
      <c r="CX200">
        <f>IF(ISNA(CP200),NA(),IF(OR(Capability!$P$6="",Settings!$F$7&lt;&gt;"Y"),NA(),Capability!$P$6))</f>
        <v/>
      </c>
      <c r="DD200">
        <f>IF((DG$1+196)&gt;DE$1,NA(),(DG$1+196)-4)</f>
        <v/>
      </c>
      <c r="DE200">
        <f>IF((DG$1+196)&gt;DE$1,NA(),INDEX('Data Entry'!$J$5:$J$10004,(DG$1+196)-4))</f>
        <v/>
      </c>
      <c r="DF200">
        <f>IF(ISNA(DD200),NA(),Capability!$K$7)</f>
        <v/>
      </c>
      <c r="DG200">
        <f>IF(ISNA(DD200),NA(),Capability!$J$7)</f>
        <v/>
      </c>
      <c r="DH200">
        <f>IF(ISNA(DD200),NA(),Capability!$L$7)</f>
        <v/>
      </c>
      <c r="DI200">
        <f>IF(OR(ISNA(DE200),ISNA(DE199)),NA(),ABS(DE200-DE199))</f>
        <v/>
      </c>
      <c r="DJ200">
        <f>IF(ISNA(DD200),NA(),Capability!$N$7)</f>
        <v/>
      </c>
      <c r="DK200">
        <f>IF(ISNA(DD200),NA(),IF(OR(Capability!$Q$7="",Settings!$F$7&lt;&gt;"Y"),NA(),Capability!$Q$7))</f>
        <v/>
      </c>
      <c r="DL200">
        <f>IF(ISNA(DD200),NA(),IF(OR(Capability!$P$7="",Settings!$F$7&lt;&gt;"Y"),NA(),Capability!$P$7))</f>
        <v/>
      </c>
      <c r="DR200">
        <f>IF((DU$1+196)&gt;DS$1,NA(),(DU$1+196)-4)</f>
        <v/>
      </c>
      <c r="DS200">
        <f>IF((DU$1+196)&gt;DS$1,NA(),INDEX('Data Entry'!$K$5:$K$10004,(DU$1+196)-4))</f>
        <v/>
      </c>
      <c r="DT200">
        <f>IF(ISNA(DR200),NA(),Capability!$K$8)</f>
        <v/>
      </c>
      <c r="DU200">
        <f>IF(ISNA(DR200),NA(),Capability!$J$8)</f>
        <v/>
      </c>
      <c r="DV200">
        <f>IF(ISNA(DR200),NA(),Capability!$L$8)</f>
        <v/>
      </c>
      <c r="DW200">
        <f>IF(OR(ISNA(DS200),ISNA(DS199)),NA(),ABS(DS200-DS199))</f>
        <v/>
      </c>
      <c r="DX200">
        <f>IF(ISNA(DR200),NA(),Capability!$N$8)</f>
        <v/>
      </c>
      <c r="DY200">
        <f>IF(ISNA(DR200),NA(),IF(OR(Capability!$Q$8="",Settings!$F$7&lt;&gt;"Y"),NA(),Capability!$Q$8))</f>
        <v/>
      </c>
      <c r="DZ200">
        <f>IF(ISNA(DR200),NA(),IF(OR(Capability!$P$8="",Settings!$F$7&lt;&gt;"Y"),NA(),Capability!$P$8))</f>
        <v/>
      </c>
      <c r="EF200">
        <f>IF((EI$1+196)&gt;EG$1,NA(),(EI$1+196)-4)</f>
        <v/>
      </c>
      <c r="EG200">
        <f>IF((EI$1+196)&gt;EG$1,NA(),INDEX('Data Entry'!$L$5:$L$10004,(EI$1+196)-4))</f>
        <v/>
      </c>
      <c r="EH200">
        <f>IF(ISNA(EF200),NA(),Capability!$K$9)</f>
        <v/>
      </c>
      <c r="EI200">
        <f>IF(ISNA(EF200),NA(),Capability!$J$9)</f>
        <v/>
      </c>
      <c r="EJ200">
        <f>IF(ISNA(EF200),NA(),Capability!$L$9)</f>
        <v/>
      </c>
      <c r="EK200">
        <f>IF(OR(ISNA(EG200),ISNA(EG199)),NA(),ABS(EG200-EG199))</f>
        <v/>
      </c>
      <c r="EL200">
        <f>IF(ISNA(EF200),NA(),Capability!$N$9)</f>
        <v/>
      </c>
      <c r="EM200">
        <f>IF(ISNA(EF200),NA(),IF(OR(Capability!$Q$9="",Settings!$F$7&lt;&gt;"Y"),NA(),Capability!$Q$9))</f>
        <v/>
      </c>
      <c r="EN200">
        <f>IF(ISNA(EF200),NA(),IF(OR(Capability!$P$9="",Settings!$F$7&lt;&gt;"Y"),NA(),Capability!$P$9))</f>
        <v/>
      </c>
      <c r="ET200">
        <f>IF((EW$1+196)&gt;EU$1,NA(),(EW$1+196)-4)</f>
        <v/>
      </c>
      <c r="EU200">
        <f>IF((EW$1+196)&gt;EU$1,NA(),INDEX('Data Entry'!$M$5:$M$10004,(EW$1+196)-4))</f>
        <v/>
      </c>
      <c r="EV200">
        <f>IF(ISNA(ET200),NA(),Capability!$K$10)</f>
        <v/>
      </c>
      <c r="EW200">
        <f>IF(ISNA(ET200),NA(),Capability!$J$10)</f>
        <v/>
      </c>
      <c r="EX200">
        <f>IF(ISNA(ET200),NA(),Capability!$L$10)</f>
        <v/>
      </c>
      <c r="EY200">
        <f>IF(OR(ISNA(EU200),ISNA(EU199)),NA(),ABS(EU200-EU199))</f>
        <v/>
      </c>
      <c r="EZ200">
        <f>IF(ISNA(ET200),NA(),Capability!$N$10)</f>
        <v/>
      </c>
      <c r="FA200">
        <f>IF(ISNA(ET200),NA(),IF(OR(Capability!$Q$10="",Settings!$F$7&lt;&gt;"Y"),NA(),Capability!$Q$10))</f>
        <v/>
      </c>
      <c r="FB200">
        <f>IF(ISNA(ET200),NA(),IF(OR(Capability!$P$10="",Settings!$F$7&lt;&gt;"Y"),NA(),Capability!$P$10))</f>
        <v/>
      </c>
      <c r="FH200">
        <f>IF((FK$1+196)&gt;FI$1,NA(),(FK$1+196)-4)</f>
        <v/>
      </c>
      <c r="FI200">
        <f>IF((FK$1+196)&gt;FI$1,NA(),INDEX('Data Entry'!$N$5:$N$10004,(FK$1+196)-4))</f>
        <v/>
      </c>
      <c r="FJ200">
        <f>IF(ISNA(FH200),NA(),Capability!$K$11)</f>
        <v/>
      </c>
      <c r="FK200">
        <f>IF(ISNA(FH200),NA(),Capability!$J$11)</f>
        <v/>
      </c>
      <c r="FL200">
        <f>IF(ISNA(FH200),NA(),Capability!$L$11)</f>
        <v/>
      </c>
      <c r="FM200">
        <f>IF(OR(ISNA(FI200),ISNA(FI199)),NA(),ABS(FI200-FI199))</f>
        <v/>
      </c>
      <c r="FN200">
        <f>IF(ISNA(FH200),NA(),Capability!$N$11)</f>
        <v/>
      </c>
      <c r="FO200">
        <f>IF(ISNA(FH200),NA(),IF(OR(Capability!$Q$11="",Settings!$F$7&lt;&gt;"Y"),NA(),Capability!$Q$11))</f>
        <v/>
      </c>
      <c r="FP200">
        <f>IF(ISNA(FH200),NA(),IF(OR(Capability!$P$11="",Settings!$F$7&lt;&gt;"Y"),NA(),Capability!$P$11))</f>
        <v/>
      </c>
      <c r="FV200">
        <f>IF((FY$1+196)&gt;FW$1,NA(),(FY$1+196)-4)</f>
        <v/>
      </c>
      <c r="FW200">
        <f>IF((FY$1+196)&gt;FW$1,NA(),INDEX('Data Entry'!$O$5:$O$10004,(FY$1+196)-4))</f>
        <v/>
      </c>
      <c r="FX200">
        <f>IF(ISNA(FV200),NA(),Capability!$K$12)</f>
        <v/>
      </c>
      <c r="FY200">
        <f>IF(ISNA(FV200),NA(),Capability!$J$12)</f>
        <v/>
      </c>
      <c r="FZ200">
        <f>IF(ISNA(FV200),NA(),Capability!$L$12)</f>
        <v/>
      </c>
      <c r="GA200">
        <f>IF(OR(ISNA(FW200),ISNA(FW199)),NA(),ABS(FW200-FW199))</f>
        <v/>
      </c>
      <c r="GB200">
        <f>IF(ISNA(FV200),NA(),Capability!$N$12)</f>
        <v/>
      </c>
      <c r="GC200">
        <f>IF(ISNA(FV200),NA(),IF(OR(Capability!$Q$12="",Settings!$F$7&lt;&gt;"Y"),NA(),Capability!$Q$12))</f>
        <v/>
      </c>
      <c r="GD200">
        <f>IF(ISNA(FV200),NA(),IF(OR(Capability!$P$12="",Settings!$F$7&lt;&gt;"Y"),NA(),Capability!$P$12))</f>
        <v/>
      </c>
      <c r="GJ200">
        <f>IF((GM$1+196)&gt;GK$1,NA(),(GM$1+196)-4)</f>
        <v/>
      </c>
      <c r="GK200">
        <f>IF((GM$1+196)&gt;GK$1,NA(),INDEX('Data Entry'!$P$5:$P$10004,(GM$1+196)-4))</f>
        <v/>
      </c>
      <c r="GL200">
        <f>IF(ISNA(GJ200),NA(),Capability!$K$13)</f>
        <v/>
      </c>
      <c r="GM200">
        <f>IF(ISNA(GJ200),NA(),Capability!$J$13)</f>
        <v/>
      </c>
      <c r="GN200">
        <f>IF(ISNA(GJ200),NA(),Capability!$L$13)</f>
        <v/>
      </c>
      <c r="GO200">
        <f>IF(OR(ISNA(GK200),ISNA(GK199)),NA(),ABS(GK200-GK199))</f>
        <v/>
      </c>
      <c r="GP200">
        <f>IF(ISNA(GJ200),NA(),Capability!$N$13)</f>
        <v/>
      </c>
      <c r="GQ200">
        <f>IF(ISNA(GJ200),NA(),IF(OR(Capability!$Q$13="",Settings!$F$7&lt;&gt;"Y"),NA(),Capability!$Q$13))</f>
        <v/>
      </c>
      <c r="GR200">
        <f>IF(ISNA(GJ200),NA(),IF(OR(Capability!$P$13="",Settings!$F$7&lt;&gt;"Y"),NA(),Capability!$P$13))</f>
        <v/>
      </c>
      <c r="GX200">
        <f>IF((HA$1+196)&gt;GY$1,NA(),(HA$1+196)-4)</f>
        <v/>
      </c>
      <c r="GY200">
        <f>IF((HA$1+196)&gt;GY$1,NA(),INDEX('Data Entry'!$Q$5:$Q$10004,(HA$1+196)-4))</f>
        <v/>
      </c>
      <c r="GZ200">
        <f>IF(ISNA(GX200),NA(),Capability!$K$14)</f>
        <v/>
      </c>
      <c r="HA200">
        <f>IF(ISNA(GX200),NA(),Capability!$J$14)</f>
        <v/>
      </c>
      <c r="HB200">
        <f>IF(ISNA(GX200),NA(),Capability!$L$14)</f>
        <v/>
      </c>
      <c r="HC200">
        <f>IF(OR(ISNA(GY200),ISNA(GY199)),NA(),ABS(GY200-GY199))</f>
        <v/>
      </c>
      <c r="HD200">
        <f>IF(ISNA(GX200),NA(),Capability!$N$14)</f>
        <v/>
      </c>
      <c r="HE200">
        <f>IF(ISNA(GX200),NA(),IF(OR(Capability!$Q$14="",Settings!$F$7&lt;&gt;"Y"),NA(),Capability!$Q$14))</f>
        <v/>
      </c>
      <c r="HF200">
        <f>IF(ISNA(GX200),NA(),IF(OR(Capability!$P$14="",Settings!$F$7&lt;&gt;"Y"),NA(),Capability!$P$14))</f>
        <v/>
      </c>
    </row>
    <row r="201">
      <c r="CB201">
        <f>IF((CE$1+197)&gt;CC$1,NA(),(CE$1+197)-4)</f>
        <v/>
      </c>
      <c r="CC201">
        <f>IF((CE$1+197)&gt;CC$1,NA(),INDEX('Data Entry'!$H$5:$H$10004,(CE$1+197)-4))</f>
        <v/>
      </c>
      <c r="CD201">
        <f>IF(ISNA(CB201),NA(),Capability!$K$5)</f>
        <v/>
      </c>
      <c r="CE201">
        <f>IF(ISNA(CB201),NA(),Capability!$J$5)</f>
        <v/>
      </c>
      <c r="CF201">
        <f>IF(ISNA(CB201),NA(),Capability!$L$5)</f>
        <v/>
      </c>
      <c r="CG201">
        <f>IF(OR(ISNA(CC201),ISNA(CC200)),NA(),ABS(CC201-CC200))</f>
        <v/>
      </c>
      <c r="CH201">
        <f>IF(ISNA(CB201),NA(),Capability!$N$5)</f>
        <v/>
      </c>
      <c r="CI201">
        <f>IF(ISNA(CB201),NA(),IF(OR(Capability!$Q$5="",Settings!$F$7&lt;&gt;"Y"),NA(),Capability!$Q$5))</f>
        <v/>
      </c>
      <c r="CJ201">
        <f>IF(ISNA(CB201),NA(),IF(OR(Capability!$P$5="",Settings!$F$7&lt;&gt;"Y"),NA(),Capability!$P$5))</f>
        <v/>
      </c>
      <c r="CP201">
        <f>IF((CS$1+197)&gt;CQ$1,NA(),(CS$1+197)-4)</f>
        <v/>
      </c>
      <c r="CQ201">
        <f>IF((CS$1+197)&gt;CQ$1,NA(),INDEX('Data Entry'!$I$5:$I$10004,(CS$1+197)-4))</f>
        <v/>
      </c>
      <c r="CR201">
        <f>IF(ISNA(CP201),NA(),Capability!$K$6)</f>
        <v/>
      </c>
      <c r="CS201">
        <f>IF(ISNA(CP201),NA(),Capability!$J$6)</f>
        <v/>
      </c>
      <c r="CT201">
        <f>IF(ISNA(CP201),NA(),Capability!$L$6)</f>
        <v/>
      </c>
      <c r="CU201">
        <f>IF(OR(ISNA(CQ201),ISNA(CQ200)),NA(),ABS(CQ201-CQ200))</f>
        <v/>
      </c>
      <c r="CV201">
        <f>IF(ISNA(CP201),NA(),Capability!$N$6)</f>
        <v/>
      </c>
      <c r="CW201">
        <f>IF(ISNA(CP201),NA(),IF(OR(Capability!$Q$6="",Settings!$F$7&lt;&gt;"Y"),NA(),Capability!$Q$6))</f>
        <v/>
      </c>
      <c r="CX201">
        <f>IF(ISNA(CP201),NA(),IF(OR(Capability!$P$6="",Settings!$F$7&lt;&gt;"Y"),NA(),Capability!$P$6))</f>
        <v/>
      </c>
      <c r="DD201">
        <f>IF((DG$1+197)&gt;DE$1,NA(),(DG$1+197)-4)</f>
        <v/>
      </c>
      <c r="DE201">
        <f>IF((DG$1+197)&gt;DE$1,NA(),INDEX('Data Entry'!$J$5:$J$10004,(DG$1+197)-4))</f>
        <v/>
      </c>
      <c r="DF201">
        <f>IF(ISNA(DD201),NA(),Capability!$K$7)</f>
        <v/>
      </c>
      <c r="DG201">
        <f>IF(ISNA(DD201),NA(),Capability!$J$7)</f>
        <v/>
      </c>
      <c r="DH201">
        <f>IF(ISNA(DD201),NA(),Capability!$L$7)</f>
        <v/>
      </c>
      <c r="DI201">
        <f>IF(OR(ISNA(DE201),ISNA(DE200)),NA(),ABS(DE201-DE200))</f>
        <v/>
      </c>
      <c r="DJ201">
        <f>IF(ISNA(DD201),NA(),Capability!$N$7)</f>
        <v/>
      </c>
      <c r="DK201">
        <f>IF(ISNA(DD201),NA(),IF(OR(Capability!$Q$7="",Settings!$F$7&lt;&gt;"Y"),NA(),Capability!$Q$7))</f>
        <v/>
      </c>
      <c r="DL201">
        <f>IF(ISNA(DD201),NA(),IF(OR(Capability!$P$7="",Settings!$F$7&lt;&gt;"Y"),NA(),Capability!$P$7))</f>
        <v/>
      </c>
      <c r="DR201">
        <f>IF((DU$1+197)&gt;DS$1,NA(),(DU$1+197)-4)</f>
        <v/>
      </c>
      <c r="DS201">
        <f>IF((DU$1+197)&gt;DS$1,NA(),INDEX('Data Entry'!$K$5:$K$10004,(DU$1+197)-4))</f>
        <v/>
      </c>
      <c r="DT201">
        <f>IF(ISNA(DR201),NA(),Capability!$K$8)</f>
        <v/>
      </c>
      <c r="DU201">
        <f>IF(ISNA(DR201),NA(),Capability!$J$8)</f>
        <v/>
      </c>
      <c r="DV201">
        <f>IF(ISNA(DR201),NA(),Capability!$L$8)</f>
        <v/>
      </c>
      <c r="DW201">
        <f>IF(OR(ISNA(DS201),ISNA(DS200)),NA(),ABS(DS201-DS200))</f>
        <v/>
      </c>
      <c r="DX201">
        <f>IF(ISNA(DR201),NA(),Capability!$N$8)</f>
        <v/>
      </c>
      <c r="DY201">
        <f>IF(ISNA(DR201),NA(),IF(OR(Capability!$Q$8="",Settings!$F$7&lt;&gt;"Y"),NA(),Capability!$Q$8))</f>
        <v/>
      </c>
      <c r="DZ201">
        <f>IF(ISNA(DR201),NA(),IF(OR(Capability!$P$8="",Settings!$F$7&lt;&gt;"Y"),NA(),Capability!$P$8))</f>
        <v/>
      </c>
      <c r="EF201">
        <f>IF((EI$1+197)&gt;EG$1,NA(),(EI$1+197)-4)</f>
        <v/>
      </c>
      <c r="EG201">
        <f>IF((EI$1+197)&gt;EG$1,NA(),INDEX('Data Entry'!$L$5:$L$10004,(EI$1+197)-4))</f>
        <v/>
      </c>
      <c r="EH201">
        <f>IF(ISNA(EF201),NA(),Capability!$K$9)</f>
        <v/>
      </c>
      <c r="EI201">
        <f>IF(ISNA(EF201),NA(),Capability!$J$9)</f>
        <v/>
      </c>
      <c r="EJ201">
        <f>IF(ISNA(EF201),NA(),Capability!$L$9)</f>
        <v/>
      </c>
      <c r="EK201">
        <f>IF(OR(ISNA(EG201),ISNA(EG200)),NA(),ABS(EG201-EG200))</f>
        <v/>
      </c>
      <c r="EL201">
        <f>IF(ISNA(EF201),NA(),Capability!$N$9)</f>
        <v/>
      </c>
      <c r="EM201">
        <f>IF(ISNA(EF201),NA(),IF(OR(Capability!$Q$9="",Settings!$F$7&lt;&gt;"Y"),NA(),Capability!$Q$9))</f>
        <v/>
      </c>
      <c r="EN201">
        <f>IF(ISNA(EF201),NA(),IF(OR(Capability!$P$9="",Settings!$F$7&lt;&gt;"Y"),NA(),Capability!$P$9))</f>
        <v/>
      </c>
      <c r="ET201">
        <f>IF((EW$1+197)&gt;EU$1,NA(),(EW$1+197)-4)</f>
        <v/>
      </c>
      <c r="EU201">
        <f>IF((EW$1+197)&gt;EU$1,NA(),INDEX('Data Entry'!$M$5:$M$10004,(EW$1+197)-4))</f>
        <v/>
      </c>
      <c r="EV201">
        <f>IF(ISNA(ET201),NA(),Capability!$K$10)</f>
        <v/>
      </c>
      <c r="EW201">
        <f>IF(ISNA(ET201),NA(),Capability!$J$10)</f>
        <v/>
      </c>
      <c r="EX201">
        <f>IF(ISNA(ET201),NA(),Capability!$L$10)</f>
        <v/>
      </c>
      <c r="EY201">
        <f>IF(OR(ISNA(EU201),ISNA(EU200)),NA(),ABS(EU201-EU200))</f>
        <v/>
      </c>
      <c r="EZ201">
        <f>IF(ISNA(ET201),NA(),Capability!$N$10)</f>
        <v/>
      </c>
      <c r="FA201">
        <f>IF(ISNA(ET201),NA(),IF(OR(Capability!$Q$10="",Settings!$F$7&lt;&gt;"Y"),NA(),Capability!$Q$10))</f>
        <v/>
      </c>
      <c r="FB201">
        <f>IF(ISNA(ET201),NA(),IF(OR(Capability!$P$10="",Settings!$F$7&lt;&gt;"Y"),NA(),Capability!$P$10))</f>
        <v/>
      </c>
      <c r="FH201">
        <f>IF((FK$1+197)&gt;FI$1,NA(),(FK$1+197)-4)</f>
        <v/>
      </c>
      <c r="FI201">
        <f>IF((FK$1+197)&gt;FI$1,NA(),INDEX('Data Entry'!$N$5:$N$10004,(FK$1+197)-4))</f>
        <v/>
      </c>
      <c r="FJ201">
        <f>IF(ISNA(FH201),NA(),Capability!$K$11)</f>
        <v/>
      </c>
      <c r="FK201">
        <f>IF(ISNA(FH201),NA(),Capability!$J$11)</f>
        <v/>
      </c>
      <c r="FL201">
        <f>IF(ISNA(FH201),NA(),Capability!$L$11)</f>
        <v/>
      </c>
      <c r="FM201">
        <f>IF(OR(ISNA(FI201),ISNA(FI200)),NA(),ABS(FI201-FI200))</f>
        <v/>
      </c>
      <c r="FN201">
        <f>IF(ISNA(FH201),NA(),Capability!$N$11)</f>
        <v/>
      </c>
      <c r="FO201">
        <f>IF(ISNA(FH201),NA(),IF(OR(Capability!$Q$11="",Settings!$F$7&lt;&gt;"Y"),NA(),Capability!$Q$11))</f>
        <v/>
      </c>
      <c r="FP201">
        <f>IF(ISNA(FH201),NA(),IF(OR(Capability!$P$11="",Settings!$F$7&lt;&gt;"Y"),NA(),Capability!$P$11))</f>
        <v/>
      </c>
      <c r="FV201">
        <f>IF((FY$1+197)&gt;FW$1,NA(),(FY$1+197)-4)</f>
        <v/>
      </c>
      <c r="FW201">
        <f>IF((FY$1+197)&gt;FW$1,NA(),INDEX('Data Entry'!$O$5:$O$10004,(FY$1+197)-4))</f>
        <v/>
      </c>
      <c r="FX201">
        <f>IF(ISNA(FV201),NA(),Capability!$K$12)</f>
        <v/>
      </c>
      <c r="FY201">
        <f>IF(ISNA(FV201),NA(),Capability!$J$12)</f>
        <v/>
      </c>
      <c r="FZ201">
        <f>IF(ISNA(FV201),NA(),Capability!$L$12)</f>
        <v/>
      </c>
      <c r="GA201">
        <f>IF(OR(ISNA(FW201),ISNA(FW200)),NA(),ABS(FW201-FW200))</f>
        <v/>
      </c>
      <c r="GB201">
        <f>IF(ISNA(FV201),NA(),Capability!$N$12)</f>
        <v/>
      </c>
      <c r="GC201">
        <f>IF(ISNA(FV201),NA(),IF(OR(Capability!$Q$12="",Settings!$F$7&lt;&gt;"Y"),NA(),Capability!$Q$12))</f>
        <v/>
      </c>
      <c r="GD201">
        <f>IF(ISNA(FV201),NA(),IF(OR(Capability!$P$12="",Settings!$F$7&lt;&gt;"Y"),NA(),Capability!$P$12))</f>
        <v/>
      </c>
      <c r="GJ201">
        <f>IF((GM$1+197)&gt;GK$1,NA(),(GM$1+197)-4)</f>
        <v/>
      </c>
      <c r="GK201">
        <f>IF((GM$1+197)&gt;GK$1,NA(),INDEX('Data Entry'!$P$5:$P$10004,(GM$1+197)-4))</f>
        <v/>
      </c>
      <c r="GL201">
        <f>IF(ISNA(GJ201),NA(),Capability!$K$13)</f>
        <v/>
      </c>
      <c r="GM201">
        <f>IF(ISNA(GJ201),NA(),Capability!$J$13)</f>
        <v/>
      </c>
      <c r="GN201">
        <f>IF(ISNA(GJ201),NA(),Capability!$L$13)</f>
        <v/>
      </c>
      <c r="GO201">
        <f>IF(OR(ISNA(GK201),ISNA(GK200)),NA(),ABS(GK201-GK200))</f>
        <v/>
      </c>
      <c r="GP201">
        <f>IF(ISNA(GJ201),NA(),Capability!$N$13)</f>
        <v/>
      </c>
      <c r="GQ201">
        <f>IF(ISNA(GJ201),NA(),IF(OR(Capability!$Q$13="",Settings!$F$7&lt;&gt;"Y"),NA(),Capability!$Q$13))</f>
        <v/>
      </c>
      <c r="GR201">
        <f>IF(ISNA(GJ201),NA(),IF(OR(Capability!$P$13="",Settings!$F$7&lt;&gt;"Y"),NA(),Capability!$P$13))</f>
        <v/>
      </c>
      <c r="GX201">
        <f>IF((HA$1+197)&gt;GY$1,NA(),(HA$1+197)-4)</f>
        <v/>
      </c>
      <c r="GY201">
        <f>IF((HA$1+197)&gt;GY$1,NA(),INDEX('Data Entry'!$Q$5:$Q$10004,(HA$1+197)-4))</f>
        <v/>
      </c>
      <c r="GZ201">
        <f>IF(ISNA(GX201),NA(),Capability!$K$14)</f>
        <v/>
      </c>
      <c r="HA201">
        <f>IF(ISNA(GX201),NA(),Capability!$J$14)</f>
        <v/>
      </c>
      <c r="HB201">
        <f>IF(ISNA(GX201),NA(),Capability!$L$14)</f>
        <v/>
      </c>
      <c r="HC201">
        <f>IF(OR(ISNA(GY201),ISNA(GY200)),NA(),ABS(GY201-GY200))</f>
        <v/>
      </c>
      <c r="HD201">
        <f>IF(ISNA(GX201),NA(),Capability!$N$14)</f>
        <v/>
      </c>
      <c r="HE201">
        <f>IF(ISNA(GX201),NA(),IF(OR(Capability!$Q$14="",Settings!$F$7&lt;&gt;"Y"),NA(),Capability!$Q$14))</f>
        <v/>
      </c>
      <c r="HF201">
        <f>IF(ISNA(GX201),NA(),IF(OR(Capability!$P$14="",Settings!$F$7&lt;&gt;"Y"),NA(),Capability!$P$14))</f>
        <v/>
      </c>
    </row>
    <row r="202">
      <c r="CB202">
        <f>IF((CE$1+198)&gt;CC$1,NA(),(CE$1+198)-4)</f>
        <v/>
      </c>
      <c r="CC202">
        <f>IF((CE$1+198)&gt;CC$1,NA(),INDEX('Data Entry'!$H$5:$H$10004,(CE$1+198)-4))</f>
        <v/>
      </c>
      <c r="CD202">
        <f>IF(ISNA(CB202),NA(),Capability!$K$5)</f>
        <v/>
      </c>
      <c r="CE202">
        <f>IF(ISNA(CB202),NA(),Capability!$J$5)</f>
        <v/>
      </c>
      <c r="CF202">
        <f>IF(ISNA(CB202),NA(),Capability!$L$5)</f>
        <v/>
      </c>
      <c r="CG202">
        <f>IF(OR(ISNA(CC202),ISNA(CC201)),NA(),ABS(CC202-CC201))</f>
        <v/>
      </c>
      <c r="CH202">
        <f>IF(ISNA(CB202),NA(),Capability!$N$5)</f>
        <v/>
      </c>
      <c r="CI202">
        <f>IF(ISNA(CB202),NA(),IF(OR(Capability!$Q$5="",Settings!$F$7&lt;&gt;"Y"),NA(),Capability!$Q$5))</f>
        <v/>
      </c>
      <c r="CJ202">
        <f>IF(ISNA(CB202),NA(),IF(OR(Capability!$P$5="",Settings!$F$7&lt;&gt;"Y"),NA(),Capability!$P$5))</f>
        <v/>
      </c>
      <c r="CP202">
        <f>IF((CS$1+198)&gt;CQ$1,NA(),(CS$1+198)-4)</f>
        <v/>
      </c>
      <c r="CQ202">
        <f>IF((CS$1+198)&gt;CQ$1,NA(),INDEX('Data Entry'!$I$5:$I$10004,(CS$1+198)-4))</f>
        <v/>
      </c>
      <c r="CR202">
        <f>IF(ISNA(CP202),NA(),Capability!$K$6)</f>
        <v/>
      </c>
      <c r="CS202">
        <f>IF(ISNA(CP202),NA(),Capability!$J$6)</f>
        <v/>
      </c>
      <c r="CT202">
        <f>IF(ISNA(CP202),NA(),Capability!$L$6)</f>
        <v/>
      </c>
      <c r="CU202">
        <f>IF(OR(ISNA(CQ202),ISNA(CQ201)),NA(),ABS(CQ202-CQ201))</f>
        <v/>
      </c>
      <c r="CV202">
        <f>IF(ISNA(CP202),NA(),Capability!$N$6)</f>
        <v/>
      </c>
      <c r="CW202">
        <f>IF(ISNA(CP202),NA(),IF(OR(Capability!$Q$6="",Settings!$F$7&lt;&gt;"Y"),NA(),Capability!$Q$6))</f>
        <v/>
      </c>
      <c r="CX202">
        <f>IF(ISNA(CP202),NA(),IF(OR(Capability!$P$6="",Settings!$F$7&lt;&gt;"Y"),NA(),Capability!$P$6))</f>
        <v/>
      </c>
      <c r="DD202">
        <f>IF((DG$1+198)&gt;DE$1,NA(),(DG$1+198)-4)</f>
        <v/>
      </c>
      <c r="DE202">
        <f>IF((DG$1+198)&gt;DE$1,NA(),INDEX('Data Entry'!$J$5:$J$10004,(DG$1+198)-4))</f>
        <v/>
      </c>
      <c r="DF202">
        <f>IF(ISNA(DD202),NA(),Capability!$K$7)</f>
        <v/>
      </c>
      <c r="DG202">
        <f>IF(ISNA(DD202),NA(),Capability!$J$7)</f>
        <v/>
      </c>
      <c r="DH202">
        <f>IF(ISNA(DD202),NA(),Capability!$L$7)</f>
        <v/>
      </c>
      <c r="DI202">
        <f>IF(OR(ISNA(DE202),ISNA(DE201)),NA(),ABS(DE202-DE201))</f>
        <v/>
      </c>
      <c r="DJ202">
        <f>IF(ISNA(DD202),NA(),Capability!$N$7)</f>
        <v/>
      </c>
      <c r="DK202">
        <f>IF(ISNA(DD202),NA(),IF(OR(Capability!$Q$7="",Settings!$F$7&lt;&gt;"Y"),NA(),Capability!$Q$7))</f>
        <v/>
      </c>
      <c r="DL202">
        <f>IF(ISNA(DD202),NA(),IF(OR(Capability!$P$7="",Settings!$F$7&lt;&gt;"Y"),NA(),Capability!$P$7))</f>
        <v/>
      </c>
      <c r="DR202">
        <f>IF((DU$1+198)&gt;DS$1,NA(),(DU$1+198)-4)</f>
        <v/>
      </c>
      <c r="DS202">
        <f>IF((DU$1+198)&gt;DS$1,NA(),INDEX('Data Entry'!$K$5:$K$10004,(DU$1+198)-4))</f>
        <v/>
      </c>
      <c r="DT202">
        <f>IF(ISNA(DR202),NA(),Capability!$K$8)</f>
        <v/>
      </c>
      <c r="DU202">
        <f>IF(ISNA(DR202),NA(),Capability!$J$8)</f>
        <v/>
      </c>
      <c r="DV202">
        <f>IF(ISNA(DR202),NA(),Capability!$L$8)</f>
        <v/>
      </c>
      <c r="DW202">
        <f>IF(OR(ISNA(DS202),ISNA(DS201)),NA(),ABS(DS202-DS201))</f>
        <v/>
      </c>
      <c r="DX202">
        <f>IF(ISNA(DR202),NA(),Capability!$N$8)</f>
        <v/>
      </c>
      <c r="DY202">
        <f>IF(ISNA(DR202),NA(),IF(OR(Capability!$Q$8="",Settings!$F$7&lt;&gt;"Y"),NA(),Capability!$Q$8))</f>
        <v/>
      </c>
      <c r="DZ202">
        <f>IF(ISNA(DR202),NA(),IF(OR(Capability!$P$8="",Settings!$F$7&lt;&gt;"Y"),NA(),Capability!$P$8))</f>
        <v/>
      </c>
      <c r="EF202">
        <f>IF((EI$1+198)&gt;EG$1,NA(),(EI$1+198)-4)</f>
        <v/>
      </c>
      <c r="EG202">
        <f>IF((EI$1+198)&gt;EG$1,NA(),INDEX('Data Entry'!$L$5:$L$10004,(EI$1+198)-4))</f>
        <v/>
      </c>
      <c r="EH202">
        <f>IF(ISNA(EF202),NA(),Capability!$K$9)</f>
        <v/>
      </c>
      <c r="EI202">
        <f>IF(ISNA(EF202),NA(),Capability!$J$9)</f>
        <v/>
      </c>
      <c r="EJ202">
        <f>IF(ISNA(EF202),NA(),Capability!$L$9)</f>
        <v/>
      </c>
      <c r="EK202">
        <f>IF(OR(ISNA(EG202),ISNA(EG201)),NA(),ABS(EG202-EG201))</f>
        <v/>
      </c>
      <c r="EL202">
        <f>IF(ISNA(EF202),NA(),Capability!$N$9)</f>
        <v/>
      </c>
      <c r="EM202">
        <f>IF(ISNA(EF202),NA(),IF(OR(Capability!$Q$9="",Settings!$F$7&lt;&gt;"Y"),NA(),Capability!$Q$9))</f>
        <v/>
      </c>
      <c r="EN202">
        <f>IF(ISNA(EF202),NA(),IF(OR(Capability!$P$9="",Settings!$F$7&lt;&gt;"Y"),NA(),Capability!$P$9))</f>
        <v/>
      </c>
      <c r="ET202">
        <f>IF((EW$1+198)&gt;EU$1,NA(),(EW$1+198)-4)</f>
        <v/>
      </c>
      <c r="EU202">
        <f>IF((EW$1+198)&gt;EU$1,NA(),INDEX('Data Entry'!$M$5:$M$10004,(EW$1+198)-4))</f>
        <v/>
      </c>
      <c r="EV202">
        <f>IF(ISNA(ET202),NA(),Capability!$K$10)</f>
        <v/>
      </c>
      <c r="EW202">
        <f>IF(ISNA(ET202),NA(),Capability!$J$10)</f>
        <v/>
      </c>
      <c r="EX202">
        <f>IF(ISNA(ET202),NA(),Capability!$L$10)</f>
        <v/>
      </c>
      <c r="EY202">
        <f>IF(OR(ISNA(EU202),ISNA(EU201)),NA(),ABS(EU202-EU201))</f>
        <v/>
      </c>
      <c r="EZ202">
        <f>IF(ISNA(ET202),NA(),Capability!$N$10)</f>
        <v/>
      </c>
      <c r="FA202">
        <f>IF(ISNA(ET202),NA(),IF(OR(Capability!$Q$10="",Settings!$F$7&lt;&gt;"Y"),NA(),Capability!$Q$10))</f>
        <v/>
      </c>
      <c r="FB202">
        <f>IF(ISNA(ET202),NA(),IF(OR(Capability!$P$10="",Settings!$F$7&lt;&gt;"Y"),NA(),Capability!$P$10))</f>
        <v/>
      </c>
      <c r="FH202">
        <f>IF((FK$1+198)&gt;FI$1,NA(),(FK$1+198)-4)</f>
        <v/>
      </c>
      <c r="FI202">
        <f>IF((FK$1+198)&gt;FI$1,NA(),INDEX('Data Entry'!$N$5:$N$10004,(FK$1+198)-4))</f>
        <v/>
      </c>
      <c r="FJ202">
        <f>IF(ISNA(FH202),NA(),Capability!$K$11)</f>
        <v/>
      </c>
      <c r="FK202">
        <f>IF(ISNA(FH202),NA(),Capability!$J$11)</f>
        <v/>
      </c>
      <c r="FL202">
        <f>IF(ISNA(FH202),NA(),Capability!$L$11)</f>
        <v/>
      </c>
      <c r="FM202">
        <f>IF(OR(ISNA(FI202),ISNA(FI201)),NA(),ABS(FI202-FI201))</f>
        <v/>
      </c>
      <c r="FN202">
        <f>IF(ISNA(FH202),NA(),Capability!$N$11)</f>
        <v/>
      </c>
      <c r="FO202">
        <f>IF(ISNA(FH202),NA(),IF(OR(Capability!$Q$11="",Settings!$F$7&lt;&gt;"Y"),NA(),Capability!$Q$11))</f>
        <v/>
      </c>
      <c r="FP202">
        <f>IF(ISNA(FH202),NA(),IF(OR(Capability!$P$11="",Settings!$F$7&lt;&gt;"Y"),NA(),Capability!$P$11))</f>
        <v/>
      </c>
      <c r="FV202">
        <f>IF((FY$1+198)&gt;FW$1,NA(),(FY$1+198)-4)</f>
        <v/>
      </c>
      <c r="FW202">
        <f>IF((FY$1+198)&gt;FW$1,NA(),INDEX('Data Entry'!$O$5:$O$10004,(FY$1+198)-4))</f>
        <v/>
      </c>
      <c r="FX202">
        <f>IF(ISNA(FV202),NA(),Capability!$K$12)</f>
        <v/>
      </c>
      <c r="FY202">
        <f>IF(ISNA(FV202),NA(),Capability!$J$12)</f>
        <v/>
      </c>
      <c r="FZ202">
        <f>IF(ISNA(FV202),NA(),Capability!$L$12)</f>
        <v/>
      </c>
      <c r="GA202">
        <f>IF(OR(ISNA(FW202),ISNA(FW201)),NA(),ABS(FW202-FW201))</f>
        <v/>
      </c>
      <c r="GB202">
        <f>IF(ISNA(FV202),NA(),Capability!$N$12)</f>
        <v/>
      </c>
      <c r="GC202">
        <f>IF(ISNA(FV202),NA(),IF(OR(Capability!$Q$12="",Settings!$F$7&lt;&gt;"Y"),NA(),Capability!$Q$12))</f>
        <v/>
      </c>
      <c r="GD202">
        <f>IF(ISNA(FV202),NA(),IF(OR(Capability!$P$12="",Settings!$F$7&lt;&gt;"Y"),NA(),Capability!$P$12))</f>
        <v/>
      </c>
      <c r="GJ202">
        <f>IF((GM$1+198)&gt;GK$1,NA(),(GM$1+198)-4)</f>
        <v/>
      </c>
      <c r="GK202">
        <f>IF((GM$1+198)&gt;GK$1,NA(),INDEX('Data Entry'!$P$5:$P$10004,(GM$1+198)-4))</f>
        <v/>
      </c>
      <c r="GL202">
        <f>IF(ISNA(GJ202),NA(),Capability!$K$13)</f>
        <v/>
      </c>
      <c r="GM202">
        <f>IF(ISNA(GJ202),NA(),Capability!$J$13)</f>
        <v/>
      </c>
      <c r="GN202">
        <f>IF(ISNA(GJ202),NA(),Capability!$L$13)</f>
        <v/>
      </c>
      <c r="GO202">
        <f>IF(OR(ISNA(GK202),ISNA(GK201)),NA(),ABS(GK202-GK201))</f>
        <v/>
      </c>
      <c r="GP202">
        <f>IF(ISNA(GJ202),NA(),Capability!$N$13)</f>
        <v/>
      </c>
      <c r="GQ202">
        <f>IF(ISNA(GJ202),NA(),IF(OR(Capability!$Q$13="",Settings!$F$7&lt;&gt;"Y"),NA(),Capability!$Q$13))</f>
        <v/>
      </c>
      <c r="GR202">
        <f>IF(ISNA(GJ202),NA(),IF(OR(Capability!$P$13="",Settings!$F$7&lt;&gt;"Y"),NA(),Capability!$P$13))</f>
        <v/>
      </c>
      <c r="GX202">
        <f>IF((HA$1+198)&gt;GY$1,NA(),(HA$1+198)-4)</f>
        <v/>
      </c>
      <c r="GY202">
        <f>IF((HA$1+198)&gt;GY$1,NA(),INDEX('Data Entry'!$Q$5:$Q$10004,(HA$1+198)-4))</f>
        <v/>
      </c>
      <c r="GZ202">
        <f>IF(ISNA(GX202),NA(),Capability!$K$14)</f>
        <v/>
      </c>
      <c r="HA202">
        <f>IF(ISNA(GX202),NA(),Capability!$J$14)</f>
        <v/>
      </c>
      <c r="HB202">
        <f>IF(ISNA(GX202),NA(),Capability!$L$14)</f>
        <v/>
      </c>
      <c r="HC202">
        <f>IF(OR(ISNA(GY202),ISNA(GY201)),NA(),ABS(GY202-GY201))</f>
        <v/>
      </c>
      <c r="HD202">
        <f>IF(ISNA(GX202),NA(),Capability!$N$14)</f>
        <v/>
      </c>
      <c r="HE202">
        <f>IF(ISNA(GX202),NA(),IF(OR(Capability!$Q$14="",Settings!$F$7&lt;&gt;"Y"),NA(),Capability!$Q$14))</f>
        <v/>
      </c>
      <c r="HF202">
        <f>IF(ISNA(GX202),NA(),IF(OR(Capability!$P$14="",Settings!$F$7&lt;&gt;"Y"),NA(),Capability!$P$14))</f>
        <v/>
      </c>
    </row>
    <row r="203">
      <c r="CB203">
        <f>IF((CE$1+199)&gt;CC$1,NA(),(CE$1+199)-4)</f>
        <v/>
      </c>
      <c r="CC203">
        <f>IF((CE$1+199)&gt;CC$1,NA(),INDEX('Data Entry'!$H$5:$H$10004,(CE$1+199)-4))</f>
        <v/>
      </c>
      <c r="CD203">
        <f>IF(ISNA(CB203),NA(),Capability!$K$5)</f>
        <v/>
      </c>
      <c r="CE203">
        <f>IF(ISNA(CB203),NA(),Capability!$J$5)</f>
        <v/>
      </c>
      <c r="CF203">
        <f>IF(ISNA(CB203),NA(),Capability!$L$5)</f>
        <v/>
      </c>
      <c r="CG203">
        <f>IF(OR(ISNA(CC203),ISNA(CC202)),NA(),ABS(CC203-CC202))</f>
        <v/>
      </c>
      <c r="CH203">
        <f>IF(ISNA(CB203),NA(),Capability!$N$5)</f>
        <v/>
      </c>
      <c r="CI203">
        <f>IF(ISNA(CB203),NA(),IF(OR(Capability!$Q$5="",Settings!$F$7&lt;&gt;"Y"),NA(),Capability!$Q$5))</f>
        <v/>
      </c>
      <c r="CJ203">
        <f>IF(ISNA(CB203),NA(),IF(OR(Capability!$P$5="",Settings!$F$7&lt;&gt;"Y"),NA(),Capability!$P$5))</f>
        <v/>
      </c>
      <c r="CP203">
        <f>IF((CS$1+199)&gt;CQ$1,NA(),(CS$1+199)-4)</f>
        <v/>
      </c>
      <c r="CQ203">
        <f>IF((CS$1+199)&gt;CQ$1,NA(),INDEX('Data Entry'!$I$5:$I$10004,(CS$1+199)-4))</f>
        <v/>
      </c>
      <c r="CR203">
        <f>IF(ISNA(CP203),NA(),Capability!$K$6)</f>
        <v/>
      </c>
      <c r="CS203">
        <f>IF(ISNA(CP203),NA(),Capability!$J$6)</f>
        <v/>
      </c>
      <c r="CT203">
        <f>IF(ISNA(CP203),NA(),Capability!$L$6)</f>
        <v/>
      </c>
      <c r="CU203">
        <f>IF(OR(ISNA(CQ203),ISNA(CQ202)),NA(),ABS(CQ203-CQ202))</f>
        <v/>
      </c>
      <c r="CV203">
        <f>IF(ISNA(CP203),NA(),Capability!$N$6)</f>
        <v/>
      </c>
      <c r="CW203">
        <f>IF(ISNA(CP203),NA(),IF(OR(Capability!$Q$6="",Settings!$F$7&lt;&gt;"Y"),NA(),Capability!$Q$6))</f>
        <v/>
      </c>
      <c r="CX203">
        <f>IF(ISNA(CP203),NA(),IF(OR(Capability!$P$6="",Settings!$F$7&lt;&gt;"Y"),NA(),Capability!$P$6))</f>
        <v/>
      </c>
      <c r="DD203">
        <f>IF((DG$1+199)&gt;DE$1,NA(),(DG$1+199)-4)</f>
        <v/>
      </c>
      <c r="DE203">
        <f>IF((DG$1+199)&gt;DE$1,NA(),INDEX('Data Entry'!$J$5:$J$10004,(DG$1+199)-4))</f>
        <v/>
      </c>
      <c r="DF203">
        <f>IF(ISNA(DD203),NA(),Capability!$K$7)</f>
        <v/>
      </c>
      <c r="DG203">
        <f>IF(ISNA(DD203),NA(),Capability!$J$7)</f>
        <v/>
      </c>
      <c r="DH203">
        <f>IF(ISNA(DD203),NA(),Capability!$L$7)</f>
        <v/>
      </c>
      <c r="DI203">
        <f>IF(OR(ISNA(DE203),ISNA(DE202)),NA(),ABS(DE203-DE202))</f>
        <v/>
      </c>
      <c r="DJ203">
        <f>IF(ISNA(DD203),NA(),Capability!$N$7)</f>
        <v/>
      </c>
      <c r="DK203">
        <f>IF(ISNA(DD203),NA(),IF(OR(Capability!$Q$7="",Settings!$F$7&lt;&gt;"Y"),NA(),Capability!$Q$7))</f>
        <v/>
      </c>
      <c r="DL203">
        <f>IF(ISNA(DD203),NA(),IF(OR(Capability!$P$7="",Settings!$F$7&lt;&gt;"Y"),NA(),Capability!$P$7))</f>
        <v/>
      </c>
      <c r="DR203">
        <f>IF((DU$1+199)&gt;DS$1,NA(),(DU$1+199)-4)</f>
        <v/>
      </c>
      <c r="DS203">
        <f>IF((DU$1+199)&gt;DS$1,NA(),INDEX('Data Entry'!$K$5:$K$10004,(DU$1+199)-4))</f>
        <v/>
      </c>
      <c r="DT203">
        <f>IF(ISNA(DR203),NA(),Capability!$K$8)</f>
        <v/>
      </c>
      <c r="DU203">
        <f>IF(ISNA(DR203),NA(),Capability!$J$8)</f>
        <v/>
      </c>
      <c r="DV203">
        <f>IF(ISNA(DR203),NA(),Capability!$L$8)</f>
        <v/>
      </c>
      <c r="DW203">
        <f>IF(OR(ISNA(DS203),ISNA(DS202)),NA(),ABS(DS203-DS202))</f>
        <v/>
      </c>
      <c r="DX203">
        <f>IF(ISNA(DR203),NA(),Capability!$N$8)</f>
        <v/>
      </c>
      <c r="DY203">
        <f>IF(ISNA(DR203),NA(),IF(OR(Capability!$Q$8="",Settings!$F$7&lt;&gt;"Y"),NA(),Capability!$Q$8))</f>
        <v/>
      </c>
      <c r="DZ203">
        <f>IF(ISNA(DR203),NA(),IF(OR(Capability!$P$8="",Settings!$F$7&lt;&gt;"Y"),NA(),Capability!$P$8))</f>
        <v/>
      </c>
      <c r="EF203">
        <f>IF((EI$1+199)&gt;EG$1,NA(),(EI$1+199)-4)</f>
        <v/>
      </c>
      <c r="EG203">
        <f>IF((EI$1+199)&gt;EG$1,NA(),INDEX('Data Entry'!$L$5:$L$10004,(EI$1+199)-4))</f>
        <v/>
      </c>
      <c r="EH203">
        <f>IF(ISNA(EF203),NA(),Capability!$K$9)</f>
        <v/>
      </c>
      <c r="EI203">
        <f>IF(ISNA(EF203),NA(),Capability!$J$9)</f>
        <v/>
      </c>
      <c r="EJ203">
        <f>IF(ISNA(EF203),NA(),Capability!$L$9)</f>
        <v/>
      </c>
      <c r="EK203">
        <f>IF(OR(ISNA(EG203),ISNA(EG202)),NA(),ABS(EG203-EG202))</f>
        <v/>
      </c>
      <c r="EL203">
        <f>IF(ISNA(EF203),NA(),Capability!$N$9)</f>
        <v/>
      </c>
      <c r="EM203">
        <f>IF(ISNA(EF203),NA(),IF(OR(Capability!$Q$9="",Settings!$F$7&lt;&gt;"Y"),NA(),Capability!$Q$9))</f>
        <v/>
      </c>
      <c r="EN203">
        <f>IF(ISNA(EF203),NA(),IF(OR(Capability!$P$9="",Settings!$F$7&lt;&gt;"Y"),NA(),Capability!$P$9))</f>
        <v/>
      </c>
      <c r="ET203">
        <f>IF((EW$1+199)&gt;EU$1,NA(),(EW$1+199)-4)</f>
        <v/>
      </c>
      <c r="EU203">
        <f>IF((EW$1+199)&gt;EU$1,NA(),INDEX('Data Entry'!$M$5:$M$10004,(EW$1+199)-4))</f>
        <v/>
      </c>
      <c r="EV203">
        <f>IF(ISNA(ET203),NA(),Capability!$K$10)</f>
        <v/>
      </c>
      <c r="EW203">
        <f>IF(ISNA(ET203),NA(),Capability!$J$10)</f>
        <v/>
      </c>
      <c r="EX203">
        <f>IF(ISNA(ET203),NA(),Capability!$L$10)</f>
        <v/>
      </c>
      <c r="EY203">
        <f>IF(OR(ISNA(EU203),ISNA(EU202)),NA(),ABS(EU203-EU202))</f>
        <v/>
      </c>
      <c r="EZ203">
        <f>IF(ISNA(ET203),NA(),Capability!$N$10)</f>
        <v/>
      </c>
      <c r="FA203">
        <f>IF(ISNA(ET203),NA(),IF(OR(Capability!$Q$10="",Settings!$F$7&lt;&gt;"Y"),NA(),Capability!$Q$10))</f>
        <v/>
      </c>
      <c r="FB203">
        <f>IF(ISNA(ET203),NA(),IF(OR(Capability!$P$10="",Settings!$F$7&lt;&gt;"Y"),NA(),Capability!$P$10))</f>
        <v/>
      </c>
      <c r="FH203">
        <f>IF((FK$1+199)&gt;FI$1,NA(),(FK$1+199)-4)</f>
        <v/>
      </c>
      <c r="FI203">
        <f>IF((FK$1+199)&gt;FI$1,NA(),INDEX('Data Entry'!$N$5:$N$10004,(FK$1+199)-4))</f>
        <v/>
      </c>
      <c r="FJ203">
        <f>IF(ISNA(FH203),NA(),Capability!$K$11)</f>
        <v/>
      </c>
      <c r="FK203">
        <f>IF(ISNA(FH203),NA(),Capability!$J$11)</f>
        <v/>
      </c>
      <c r="FL203">
        <f>IF(ISNA(FH203),NA(),Capability!$L$11)</f>
        <v/>
      </c>
      <c r="FM203">
        <f>IF(OR(ISNA(FI203),ISNA(FI202)),NA(),ABS(FI203-FI202))</f>
        <v/>
      </c>
      <c r="FN203">
        <f>IF(ISNA(FH203),NA(),Capability!$N$11)</f>
        <v/>
      </c>
      <c r="FO203">
        <f>IF(ISNA(FH203),NA(),IF(OR(Capability!$Q$11="",Settings!$F$7&lt;&gt;"Y"),NA(),Capability!$Q$11))</f>
        <v/>
      </c>
      <c r="FP203">
        <f>IF(ISNA(FH203),NA(),IF(OR(Capability!$P$11="",Settings!$F$7&lt;&gt;"Y"),NA(),Capability!$P$11))</f>
        <v/>
      </c>
      <c r="FV203">
        <f>IF((FY$1+199)&gt;FW$1,NA(),(FY$1+199)-4)</f>
        <v/>
      </c>
      <c r="FW203">
        <f>IF((FY$1+199)&gt;FW$1,NA(),INDEX('Data Entry'!$O$5:$O$10004,(FY$1+199)-4))</f>
        <v/>
      </c>
      <c r="FX203">
        <f>IF(ISNA(FV203),NA(),Capability!$K$12)</f>
        <v/>
      </c>
      <c r="FY203">
        <f>IF(ISNA(FV203),NA(),Capability!$J$12)</f>
        <v/>
      </c>
      <c r="FZ203">
        <f>IF(ISNA(FV203),NA(),Capability!$L$12)</f>
        <v/>
      </c>
      <c r="GA203">
        <f>IF(OR(ISNA(FW203),ISNA(FW202)),NA(),ABS(FW203-FW202))</f>
        <v/>
      </c>
      <c r="GB203">
        <f>IF(ISNA(FV203),NA(),Capability!$N$12)</f>
        <v/>
      </c>
      <c r="GC203">
        <f>IF(ISNA(FV203),NA(),IF(OR(Capability!$Q$12="",Settings!$F$7&lt;&gt;"Y"),NA(),Capability!$Q$12))</f>
        <v/>
      </c>
      <c r="GD203">
        <f>IF(ISNA(FV203),NA(),IF(OR(Capability!$P$12="",Settings!$F$7&lt;&gt;"Y"),NA(),Capability!$P$12))</f>
        <v/>
      </c>
      <c r="GJ203">
        <f>IF((GM$1+199)&gt;GK$1,NA(),(GM$1+199)-4)</f>
        <v/>
      </c>
      <c r="GK203">
        <f>IF((GM$1+199)&gt;GK$1,NA(),INDEX('Data Entry'!$P$5:$P$10004,(GM$1+199)-4))</f>
        <v/>
      </c>
      <c r="GL203">
        <f>IF(ISNA(GJ203),NA(),Capability!$K$13)</f>
        <v/>
      </c>
      <c r="GM203">
        <f>IF(ISNA(GJ203),NA(),Capability!$J$13)</f>
        <v/>
      </c>
      <c r="GN203">
        <f>IF(ISNA(GJ203),NA(),Capability!$L$13)</f>
        <v/>
      </c>
      <c r="GO203">
        <f>IF(OR(ISNA(GK203),ISNA(GK202)),NA(),ABS(GK203-GK202))</f>
        <v/>
      </c>
      <c r="GP203">
        <f>IF(ISNA(GJ203),NA(),Capability!$N$13)</f>
        <v/>
      </c>
      <c r="GQ203">
        <f>IF(ISNA(GJ203),NA(),IF(OR(Capability!$Q$13="",Settings!$F$7&lt;&gt;"Y"),NA(),Capability!$Q$13))</f>
        <v/>
      </c>
      <c r="GR203">
        <f>IF(ISNA(GJ203),NA(),IF(OR(Capability!$P$13="",Settings!$F$7&lt;&gt;"Y"),NA(),Capability!$P$13))</f>
        <v/>
      </c>
      <c r="GX203">
        <f>IF((HA$1+199)&gt;GY$1,NA(),(HA$1+199)-4)</f>
        <v/>
      </c>
      <c r="GY203">
        <f>IF((HA$1+199)&gt;GY$1,NA(),INDEX('Data Entry'!$Q$5:$Q$10004,(HA$1+199)-4))</f>
        <v/>
      </c>
      <c r="GZ203">
        <f>IF(ISNA(GX203),NA(),Capability!$K$14)</f>
        <v/>
      </c>
      <c r="HA203">
        <f>IF(ISNA(GX203),NA(),Capability!$J$14)</f>
        <v/>
      </c>
      <c r="HB203">
        <f>IF(ISNA(GX203),NA(),Capability!$L$14)</f>
        <v/>
      </c>
      <c r="HC203">
        <f>IF(OR(ISNA(GY203),ISNA(GY202)),NA(),ABS(GY203-GY202))</f>
        <v/>
      </c>
      <c r="HD203">
        <f>IF(ISNA(GX203),NA(),Capability!$N$14)</f>
        <v/>
      </c>
      <c r="HE203">
        <f>IF(ISNA(GX203),NA(),IF(OR(Capability!$Q$14="",Settings!$F$7&lt;&gt;"Y"),NA(),Capability!$Q$14))</f>
        <v/>
      </c>
      <c r="HF203">
        <f>IF(ISNA(GX203),NA(),IF(OR(Capability!$P$14="",Settings!$F$7&lt;&gt;"Y"),NA(),Capability!$P$14))</f>
        <v/>
      </c>
    </row>
    <row r="204">
      <c r="A204" s="34">
        <f>"FEATURE 6: "&amp;IF(Settings!B22="","(unnamed)",Settings!B22)</f>
        <v/>
      </c>
      <c r="B204" s="9" t="n"/>
    </row>
    <row r="205">
      <c r="A205" s="35" t="inlineStr">
        <is>
          <t>Feature</t>
        </is>
      </c>
      <c r="B205" s="36">
        <f>Capability!A10</f>
        <v/>
      </c>
    </row>
    <row r="206">
      <c r="A206" s="35" t="inlineStr">
        <is>
          <t>Unit</t>
        </is>
      </c>
      <c r="B206" s="36">
        <f>Settings!F22</f>
        <v/>
      </c>
    </row>
    <row r="207">
      <c r="A207" s="35" t="inlineStr">
        <is>
          <t>Samples (n)</t>
        </is>
      </c>
      <c r="B207" s="22">
        <f>Capability!B10</f>
        <v/>
      </c>
    </row>
    <row r="208">
      <c r="A208" s="37" t="inlineStr">
        <is>
          <t>DATA RANGE</t>
        </is>
      </c>
      <c r="B208" s="28" t="n"/>
    </row>
    <row r="209">
      <c r="A209" s="35" t="inlineStr">
        <is>
          <t>Min</t>
        </is>
      </c>
      <c r="B209" s="23">
        <f>Capability!E10</f>
        <v/>
      </c>
    </row>
    <row r="210">
      <c r="A210" s="35" t="inlineStr">
        <is>
          <t>Max</t>
        </is>
      </c>
      <c r="B210" s="23">
        <f>Capability!F10</f>
        <v/>
      </c>
    </row>
    <row r="211">
      <c r="A211" s="35" t="inlineStr">
        <is>
          <t>Range</t>
        </is>
      </c>
      <c r="B211" s="23">
        <f>Capability!G10</f>
        <v/>
      </c>
    </row>
    <row r="212">
      <c r="A212" s="35" t="inlineStr">
        <is>
          <t>Mean</t>
        </is>
      </c>
      <c r="B212" s="23">
        <f>Capability!C10</f>
        <v/>
      </c>
    </row>
    <row r="213">
      <c r="A213" s="35" t="inlineStr">
        <is>
          <t>Median</t>
        </is>
      </c>
      <c r="B213" s="23">
        <f>Capability!D10</f>
        <v/>
      </c>
    </row>
    <row r="214">
      <c r="A214" s="35" t="inlineStr">
        <is>
          <t>Std Dev (overall)</t>
        </is>
      </c>
      <c r="B214" s="23">
        <f>Capability!I10</f>
        <v/>
      </c>
    </row>
    <row r="215">
      <c r="A215" s="35" t="inlineStr">
        <is>
          <t>Sigma (within)</t>
        </is>
      </c>
      <c r="B215" s="23">
        <f>Capability!H10</f>
        <v/>
      </c>
    </row>
    <row r="216">
      <c r="A216" s="37" t="inlineStr">
        <is>
          <t>CONTROL</t>
        </is>
      </c>
      <c r="B216" s="28" t="n"/>
    </row>
    <row r="217">
      <c r="A217" s="35" t="inlineStr">
        <is>
          <t>UCL</t>
        </is>
      </c>
      <c r="B217" s="23">
        <f>Capability!J10</f>
        <v/>
      </c>
    </row>
    <row r="218">
      <c r="A218" s="35" t="inlineStr">
        <is>
          <t>CL</t>
        </is>
      </c>
      <c r="B218" s="23">
        <f>Capability!K10</f>
        <v/>
      </c>
    </row>
    <row r="219">
      <c r="A219" s="35" t="inlineStr">
        <is>
          <t>LCL</t>
        </is>
      </c>
      <c r="B219" s="23">
        <f>Capability!L10</f>
        <v/>
      </c>
    </row>
    <row r="220">
      <c r="A220" s="35" t="inlineStr">
        <is>
          <t>mR-bar</t>
        </is>
      </c>
      <c r="B220" s="23">
        <f>Capability!M10</f>
        <v/>
      </c>
    </row>
    <row r="221">
      <c r="A221" s="35" t="inlineStr">
        <is>
          <t>mR UCL</t>
        </is>
      </c>
      <c r="B221" s="23">
        <f>Capability!N10</f>
        <v/>
      </c>
    </row>
    <row r="222">
      <c r="A222" s="37" t="inlineStr">
        <is>
          <t>SPECIFICATION</t>
        </is>
      </c>
      <c r="B222" s="28" t="n"/>
    </row>
    <row r="223">
      <c r="A223" s="35" t="inlineStr">
        <is>
          <t>USL</t>
        </is>
      </c>
      <c r="B223" s="23">
        <f>Capability!Q10</f>
        <v/>
      </c>
    </row>
    <row r="224">
      <c r="A224" s="35" t="inlineStr">
        <is>
          <t>Nominal</t>
        </is>
      </c>
      <c r="B224" s="23">
        <f>Capability!O10</f>
        <v/>
      </c>
    </row>
    <row r="225">
      <c r="A225" s="35" t="inlineStr">
        <is>
          <t>LSL</t>
        </is>
      </c>
      <c r="B225" s="23">
        <f>Capability!P10</f>
        <v/>
      </c>
    </row>
    <row r="226">
      <c r="A226" s="37" t="inlineStr">
        <is>
          <t>CAPABILITY</t>
        </is>
      </c>
      <c r="B226" s="28" t="n"/>
    </row>
    <row r="227">
      <c r="A227" s="35" t="inlineStr">
        <is>
          <t>Cp</t>
        </is>
      </c>
      <c r="B227" s="38">
        <f>Capability!S10</f>
        <v/>
      </c>
    </row>
    <row r="228">
      <c r="A228" s="35" t="inlineStr">
        <is>
          <t>Cpk</t>
        </is>
      </c>
      <c r="B228" s="38">
        <f>Capability!T10</f>
        <v/>
      </c>
    </row>
    <row r="229">
      <c r="A229" s="35" t="inlineStr">
        <is>
          <t>Pp</t>
        </is>
      </c>
      <c r="B229" s="38">
        <f>Capability!U10</f>
        <v/>
      </c>
    </row>
    <row r="230">
      <c r="A230" s="35" t="inlineStr">
        <is>
          <t>Ppk</t>
        </is>
      </c>
      <c r="B230" s="38">
        <f>Capability!V10</f>
        <v/>
      </c>
    </row>
    <row r="231">
      <c r="A231" s="35" t="inlineStr">
        <is>
          <t>In control?</t>
        </is>
      </c>
      <c r="B231" s="36">
        <f>Capability!W10</f>
        <v/>
      </c>
    </row>
    <row r="232">
      <c r="A232" s="35" t="inlineStr">
        <is>
          <t>In spec?</t>
        </is>
      </c>
      <c r="B232" s="36">
        <f>Capability!X10</f>
        <v/>
      </c>
    </row>
    <row r="233">
      <c r="A233" s="35" t="inlineStr">
        <is>
          <t>Verdict</t>
        </is>
      </c>
      <c r="B233" s="36">
        <f>Capability!Y10</f>
        <v/>
      </c>
    </row>
    <row r="244">
      <c r="A244" s="34">
        <f>"FEATURE 7: "&amp;IF(Settings!B23="","(unnamed)",Settings!B23)</f>
        <v/>
      </c>
      <c r="B244" s="9" t="n"/>
    </row>
    <row r="245">
      <c r="A245" s="35" t="inlineStr">
        <is>
          <t>Feature</t>
        </is>
      </c>
      <c r="B245" s="36">
        <f>Capability!A11</f>
        <v/>
      </c>
    </row>
    <row r="246">
      <c r="A246" s="35" t="inlineStr">
        <is>
          <t>Unit</t>
        </is>
      </c>
      <c r="B246" s="36">
        <f>Settings!F23</f>
        <v/>
      </c>
    </row>
    <row r="247">
      <c r="A247" s="35" t="inlineStr">
        <is>
          <t>Samples (n)</t>
        </is>
      </c>
      <c r="B247" s="22">
        <f>Capability!B11</f>
        <v/>
      </c>
    </row>
    <row r="248">
      <c r="A248" s="37" t="inlineStr">
        <is>
          <t>DATA RANGE</t>
        </is>
      </c>
      <c r="B248" s="28" t="n"/>
    </row>
    <row r="249">
      <c r="A249" s="35" t="inlineStr">
        <is>
          <t>Min</t>
        </is>
      </c>
      <c r="B249" s="23">
        <f>Capability!E11</f>
        <v/>
      </c>
    </row>
    <row r="250">
      <c r="A250" s="35" t="inlineStr">
        <is>
          <t>Max</t>
        </is>
      </c>
      <c r="B250" s="23">
        <f>Capability!F11</f>
        <v/>
      </c>
    </row>
    <row r="251">
      <c r="A251" s="35" t="inlineStr">
        <is>
          <t>Range</t>
        </is>
      </c>
      <c r="B251" s="23">
        <f>Capability!G11</f>
        <v/>
      </c>
    </row>
    <row r="252">
      <c r="A252" s="35" t="inlineStr">
        <is>
          <t>Mean</t>
        </is>
      </c>
      <c r="B252" s="23">
        <f>Capability!C11</f>
        <v/>
      </c>
    </row>
    <row r="253">
      <c r="A253" s="35" t="inlineStr">
        <is>
          <t>Median</t>
        </is>
      </c>
      <c r="B253" s="23">
        <f>Capability!D11</f>
        <v/>
      </c>
    </row>
    <row r="254">
      <c r="A254" s="35" t="inlineStr">
        <is>
          <t>Std Dev (overall)</t>
        </is>
      </c>
      <c r="B254" s="23">
        <f>Capability!I11</f>
        <v/>
      </c>
    </row>
    <row r="255">
      <c r="A255" s="35" t="inlineStr">
        <is>
          <t>Sigma (within)</t>
        </is>
      </c>
      <c r="B255" s="23">
        <f>Capability!H11</f>
        <v/>
      </c>
    </row>
    <row r="256">
      <c r="A256" s="37" t="inlineStr">
        <is>
          <t>CONTROL</t>
        </is>
      </c>
      <c r="B256" s="28" t="n"/>
    </row>
    <row r="257">
      <c r="A257" s="35" t="inlineStr">
        <is>
          <t>UCL</t>
        </is>
      </c>
      <c r="B257" s="23">
        <f>Capability!J11</f>
        <v/>
      </c>
    </row>
    <row r="258">
      <c r="A258" s="35" t="inlineStr">
        <is>
          <t>CL</t>
        </is>
      </c>
      <c r="B258" s="23">
        <f>Capability!K11</f>
        <v/>
      </c>
    </row>
    <row r="259">
      <c r="A259" s="35" t="inlineStr">
        <is>
          <t>LCL</t>
        </is>
      </c>
      <c r="B259" s="23">
        <f>Capability!L11</f>
        <v/>
      </c>
    </row>
    <row r="260">
      <c r="A260" s="35" t="inlineStr">
        <is>
          <t>mR-bar</t>
        </is>
      </c>
      <c r="B260" s="23">
        <f>Capability!M11</f>
        <v/>
      </c>
    </row>
    <row r="261">
      <c r="A261" s="35" t="inlineStr">
        <is>
          <t>mR UCL</t>
        </is>
      </c>
      <c r="B261" s="23">
        <f>Capability!N11</f>
        <v/>
      </c>
    </row>
    <row r="262">
      <c r="A262" s="37" t="inlineStr">
        <is>
          <t>SPECIFICATION</t>
        </is>
      </c>
      <c r="B262" s="28" t="n"/>
    </row>
    <row r="263">
      <c r="A263" s="35" t="inlineStr">
        <is>
          <t>USL</t>
        </is>
      </c>
      <c r="B263" s="23">
        <f>Capability!Q11</f>
        <v/>
      </c>
    </row>
    <row r="264">
      <c r="A264" s="35" t="inlineStr">
        <is>
          <t>Nominal</t>
        </is>
      </c>
      <c r="B264" s="23">
        <f>Capability!O11</f>
        <v/>
      </c>
    </row>
    <row r="265">
      <c r="A265" s="35" t="inlineStr">
        <is>
          <t>LSL</t>
        </is>
      </c>
      <c r="B265" s="23">
        <f>Capability!P11</f>
        <v/>
      </c>
    </row>
    <row r="266">
      <c r="A266" s="37" t="inlineStr">
        <is>
          <t>CAPABILITY</t>
        </is>
      </c>
      <c r="B266" s="28" t="n"/>
    </row>
    <row r="267">
      <c r="A267" s="35" t="inlineStr">
        <is>
          <t>Cp</t>
        </is>
      </c>
      <c r="B267" s="38">
        <f>Capability!S11</f>
        <v/>
      </c>
    </row>
    <row r="268">
      <c r="A268" s="35" t="inlineStr">
        <is>
          <t>Cpk</t>
        </is>
      </c>
      <c r="B268" s="38">
        <f>Capability!T11</f>
        <v/>
      </c>
    </row>
    <row r="269">
      <c r="A269" s="35" t="inlineStr">
        <is>
          <t>Pp</t>
        </is>
      </c>
      <c r="B269" s="38">
        <f>Capability!U11</f>
        <v/>
      </c>
    </row>
    <row r="270">
      <c r="A270" s="35" t="inlineStr">
        <is>
          <t>Ppk</t>
        </is>
      </c>
      <c r="B270" s="38">
        <f>Capability!V11</f>
        <v/>
      </c>
    </row>
    <row r="271">
      <c r="A271" s="35" t="inlineStr">
        <is>
          <t>In control?</t>
        </is>
      </c>
      <c r="B271" s="36">
        <f>Capability!W11</f>
        <v/>
      </c>
    </row>
    <row r="272">
      <c r="A272" s="35" t="inlineStr">
        <is>
          <t>In spec?</t>
        </is>
      </c>
      <c r="B272" s="36">
        <f>Capability!X11</f>
        <v/>
      </c>
    </row>
    <row r="273">
      <c r="A273" s="35" t="inlineStr">
        <is>
          <t>Verdict</t>
        </is>
      </c>
      <c r="B273" s="36">
        <f>Capability!Y11</f>
        <v/>
      </c>
    </row>
    <row r="284">
      <c r="A284" s="34">
        <f>"FEATURE 8: "&amp;IF(Settings!B24="","(unnamed)",Settings!B24)</f>
        <v/>
      </c>
      <c r="B284" s="9" t="n"/>
    </row>
    <row r="285">
      <c r="A285" s="35" t="inlineStr">
        <is>
          <t>Feature</t>
        </is>
      </c>
      <c r="B285" s="36">
        <f>Capability!A12</f>
        <v/>
      </c>
    </row>
    <row r="286">
      <c r="A286" s="35" t="inlineStr">
        <is>
          <t>Unit</t>
        </is>
      </c>
      <c r="B286" s="36">
        <f>Settings!F24</f>
        <v/>
      </c>
    </row>
    <row r="287">
      <c r="A287" s="35" t="inlineStr">
        <is>
          <t>Samples (n)</t>
        </is>
      </c>
      <c r="B287" s="22">
        <f>Capability!B12</f>
        <v/>
      </c>
    </row>
    <row r="288">
      <c r="A288" s="37" t="inlineStr">
        <is>
          <t>DATA RANGE</t>
        </is>
      </c>
      <c r="B288" s="28" t="n"/>
    </row>
    <row r="289">
      <c r="A289" s="35" t="inlineStr">
        <is>
          <t>Min</t>
        </is>
      </c>
      <c r="B289" s="23">
        <f>Capability!E12</f>
        <v/>
      </c>
    </row>
    <row r="290">
      <c r="A290" s="35" t="inlineStr">
        <is>
          <t>Max</t>
        </is>
      </c>
      <c r="B290" s="23">
        <f>Capability!F12</f>
        <v/>
      </c>
    </row>
    <row r="291">
      <c r="A291" s="35" t="inlineStr">
        <is>
          <t>Range</t>
        </is>
      </c>
      <c r="B291" s="23">
        <f>Capability!G12</f>
        <v/>
      </c>
    </row>
    <row r="292">
      <c r="A292" s="35" t="inlineStr">
        <is>
          <t>Mean</t>
        </is>
      </c>
      <c r="B292" s="23">
        <f>Capability!C12</f>
        <v/>
      </c>
    </row>
    <row r="293">
      <c r="A293" s="35" t="inlineStr">
        <is>
          <t>Median</t>
        </is>
      </c>
      <c r="B293" s="23">
        <f>Capability!D12</f>
        <v/>
      </c>
    </row>
    <row r="294">
      <c r="A294" s="35" t="inlineStr">
        <is>
          <t>Std Dev (overall)</t>
        </is>
      </c>
      <c r="B294" s="23">
        <f>Capability!I12</f>
        <v/>
      </c>
    </row>
    <row r="295">
      <c r="A295" s="35" t="inlineStr">
        <is>
          <t>Sigma (within)</t>
        </is>
      </c>
      <c r="B295" s="23">
        <f>Capability!H12</f>
        <v/>
      </c>
    </row>
    <row r="296">
      <c r="A296" s="37" t="inlineStr">
        <is>
          <t>CONTROL</t>
        </is>
      </c>
      <c r="B296" s="28" t="n"/>
    </row>
    <row r="297">
      <c r="A297" s="35" t="inlineStr">
        <is>
          <t>UCL</t>
        </is>
      </c>
      <c r="B297" s="23">
        <f>Capability!J12</f>
        <v/>
      </c>
    </row>
    <row r="298">
      <c r="A298" s="35" t="inlineStr">
        <is>
          <t>CL</t>
        </is>
      </c>
      <c r="B298" s="23">
        <f>Capability!K12</f>
        <v/>
      </c>
    </row>
    <row r="299">
      <c r="A299" s="35" t="inlineStr">
        <is>
          <t>LCL</t>
        </is>
      </c>
      <c r="B299" s="23">
        <f>Capability!L12</f>
        <v/>
      </c>
    </row>
    <row r="300">
      <c r="A300" s="35" t="inlineStr">
        <is>
          <t>mR-bar</t>
        </is>
      </c>
      <c r="B300" s="23">
        <f>Capability!M12</f>
        <v/>
      </c>
    </row>
    <row r="301">
      <c r="A301" s="35" t="inlineStr">
        <is>
          <t>mR UCL</t>
        </is>
      </c>
      <c r="B301" s="23">
        <f>Capability!N12</f>
        <v/>
      </c>
    </row>
    <row r="302">
      <c r="A302" s="37" t="inlineStr">
        <is>
          <t>SPECIFICATION</t>
        </is>
      </c>
      <c r="B302" s="28" t="n"/>
    </row>
    <row r="303">
      <c r="A303" s="35" t="inlineStr">
        <is>
          <t>USL</t>
        </is>
      </c>
      <c r="B303" s="23">
        <f>Capability!Q12</f>
        <v/>
      </c>
    </row>
    <row r="304">
      <c r="A304" s="35" t="inlineStr">
        <is>
          <t>Nominal</t>
        </is>
      </c>
      <c r="B304" s="23">
        <f>Capability!O12</f>
        <v/>
      </c>
    </row>
    <row r="305">
      <c r="A305" s="35" t="inlineStr">
        <is>
          <t>LSL</t>
        </is>
      </c>
      <c r="B305" s="23">
        <f>Capability!P12</f>
        <v/>
      </c>
    </row>
    <row r="306">
      <c r="A306" s="37" t="inlineStr">
        <is>
          <t>CAPABILITY</t>
        </is>
      </c>
      <c r="B306" s="28" t="n"/>
    </row>
    <row r="307">
      <c r="A307" s="35" t="inlineStr">
        <is>
          <t>Cp</t>
        </is>
      </c>
      <c r="B307" s="38">
        <f>Capability!S12</f>
        <v/>
      </c>
    </row>
    <row r="308">
      <c r="A308" s="35" t="inlineStr">
        <is>
          <t>Cpk</t>
        </is>
      </c>
      <c r="B308" s="38">
        <f>Capability!T12</f>
        <v/>
      </c>
    </row>
    <row r="309">
      <c r="A309" s="35" t="inlineStr">
        <is>
          <t>Pp</t>
        </is>
      </c>
      <c r="B309" s="38">
        <f>Capability!U12</f>
        <v/>
      </c>
    </row>
    <row r="310">
      <c r="A310" s="35" t="inlineStr">
        <is>
          <t>Ppk</t>
        </is>
      </c>
      <c r="B310" s="38">
        <f>Capability!V12</f>
        <v/>
      </c>
    </row>
    <row r="311">
      <c r="A311" s="35" t="inlineStr">
        <is>
          <t>In control?</t>
        </is>
      </c>
      <c r="B311" s="36">
        <f>Capability!W12</f>
        <v/>
      </c>
    </row>
    <row r="312">
      <c r="A312" s="35" t="inlineStr">
        <is>
          <t>In spec?</t>
        </is>
      </c>
      <c r="B312" s="36">
        <f>Capability!X12</f>
        <v/>
      </c>
    </row>
    <row r="313">
      <c r="A313" s="35" t="inlineStr">
        <is>
          <t>Verdict</t>
        </is>
      </c>
      <c r="B313" s="36">
        <f>Capability!Y12</f>
        <v/>
      </c>
    </row>
    <row r="324">
      <c r="A324" s="34">
        <f>"FEATURE 9: "&amp;IF(Settings!B25="","(unnamed)",Settings!B25)</f>
        <v/>
      </c>
      <c r="B324" s="9" t="n"/>
    </row>
    <row r="325">
      <c r="A325" s="35" t="inlineStr">
        <is>
          <t>Feature</t>
        </is>
      </c>
      <c r="B325" s="36">
        <f>Capability!A13</f>
        <v/>
      </c>
    </row>
    <row r="326">
      <c r="A326" s="35" t="inlineStr">
        <is>
          <t>Unit</t>
        </is>
      </c>
      <c r="B326" s="36">
        <f>Settings!F25</f>
        <v/>
      </c>
    </row>
    <row r="327">
      <c r="A327" s="35" t="inlineStr">
        <is>
          <t>Samples (n)</t>
        </is>
      </c>
      <c r="B327" s="22">
        <f>Capability!B13</f>
        <v/>
      </c>
    </row>
    <row r="328">
      <c r="A328" s="37" t="inlineStr">
        <is>
          <t>DATA RANGE</t>
        </is>
      </c>
      <c r="B328" s="28" t="n"/>
    </row>
    <row r="329">
      <c r="A329" s="35" t="inlineStr">
        <is>
          <t>Min</t>
        </is>
      </c>
      <c r="B329" s="23">
        <f>Capability!E13</f>
        <v/>
      </c>
    </row>
    <row r="330">
      <c r="A330" s="35" t="inlineStr">
        <is>
          <t>Max</t>
        </is>
      </c>
      <c r="B330" s="23">
        <f>Capability!F13</f>
        <v/>
      </c>
    </row>
    <row r="331">
      <c r="A331" s="35" t="inlineStr">
        <is>
          <t>Range</t>
        </is>
      </c>
      <c r="B331" s="23">
        <f>Capability!G13</f>
        <v/>
      </c>
    </row>
    <row r="332">
      <c r="A332" s="35" t="inlineStr">
        <is>
          <t>Mean</t>
        </is>
      </c>
      <c r="B332" s="23">
        <f>Capability!C13</f>
        <v/>
      </c>
    </row>
    <row r="333">
      <c r="A333" s="35" t="inlineStr">
        <is>
          <t>Median</t>
        </is>
      </c>
      <c r="B333" s="23">
        <f>Capability!D13</f>
        <v/>
      </c>
    </row>
    <row r="334">
      <c r="A334" s="35" t="inlineStr">
        <is>
          <t>Std Dev (overall)</t>
        </is>
      </c>
      <c r="B334" s="23">
        <f>Capability!I13</f>
        <v/>
      </c>
    </row>
    <row r="335">
      <c r="A335" s="35" t="inlineStr">
        <is>
          <t>Sigma (within)</t>
        </is>
      </c>
      <c r="B335" s="23">
        <f>Capability!H13</f>
        <v/>
      </c>
    </row>
    <row r="336">
      <c r="A336" s="37" t="inlineStr">
        <is>
          <t>CONTROL</t>
        </is>
      </c>
      <c r="B336" s="28" t="n"/>
    </row>
    <row r="337">
      <c r="A337" s="35" t="inlineStr">
        <is>
          <t>UCL</t>
        </is>
      </c>
      <c r="B337" s="23">
        <f>Capability!J13</f>
        <v/>
      </c>
    </row>
    <row r="338">
      <c r="A338" s="35" t="inlineStr">
        <is>
          <t>CL</t>
        </is>
      </c>
      <c r="B338" s="23">
        <f>Capability!K13</f>
        <v/>
      </c>
    </row>
    <row r="339">
      <c r="A339" s="35" t="inlineStr">
        <is>
          <t>LCL</t>
        </is>
      </c>
      <c r="B339" s="23">
        <f>Capability!L13</f>
        <v/>
      </c>
    </row>
    <row r="340">
      <c r="A340" s="35" t="inlineStr">
        <is>
          <t>mR-bar</t>
        </is>
      </c>
      <c r="B340" s="23">
        <f>Capability!M13</f>
        <v/>
      </c>
    </row>
    <row r="341">
      <c r="A341" s="35" t="inlineStr">
        <is>
          <t>mR UCL</t>
        </is>
      </c>
      <c r="B341" s="23">
        <f>Capability!N13</f>
        <v/>
      </c>
    </row>
    <row r="342">
      <c r="A342" s="37" t="inlineStr">
        <is>
          <t>SPECIFICATION</t>
        </is>
      </c>
      <c r="B342" s="28" t="n"/>
    </row>
    <row r="343">
      <c r="A343" s="35" t="inlineStr">
        <is>
          <t>USL</t>
        </is>
      </c>
      <c r="B343" s="23">
        <f>Capability!Q13</f>
        <v/>
      </c>
    </row>
    <row r="344">
      <c r="A344" s="35" t="inlineStr">
        <is>
          <t>Nominal</t>
        </is>
      </c>
      <c r="B344" s="23">
        <f>Capability!O13</f>
        <v/>
      </c>
    </row>
    <row r="345">
      <c r="A345" s="35" t="inlineStr">
        <is>
          <t>LSL</t>
        </is>
      </c>
      <c r="B345" s="23">
        <f>Capability!P13</f>
        <v/>
      </c>
    </row>
    <row r="346">
      <c r="A346" s="37" t="inlineStr">
        <is>
          <t>CAPABILITY</t>
        </is>
      </c>
      <c r="B346" s="28" t="n"/>
    </row>
    <row r="347">
      <c r="A347" s="35" t="inlineStr">
        <is>
          <t>Cp</t>
        </is>
      </c>
      <c r="B347" s="38">
        <f>Capability!S13</f>
        <v/>
      </c>
    </row>
    <row r="348">
      <c r="A348" s="35" t="inlineStr">
        <is>
          <t>Cpk</t>
        </is>
      </c>
      <c r="B348" s="38">
        <f>Capability!T13</f>
        <v/>
      </c>
    </row>
    <row r="349">
      <c r="A349" s="35" t="inlineStr">
        <is>
          <t>Pp</t>
        </is>
      </c>
      <c r="B349" s="38">
        <f>Capability!U13</f>
        <v/>
      </c>
    </row>
    <row r="350">
      <c r="A350" s="35" t="inlineStr">
        <is>
          <t>Ppk</t>
        </is>
      </c>
      <c r="B350" s="38">
        <f>Capability!V13</f>
        <v/>
      </c>
    </row>
    <row r="351">
      <c r="A351" s="35" t="inlineStr">
        <is>
          <t>In control?</t>
        </is>
      </c>
      <c r="B351" s="36">
        <f>Capability!W13</f>
        <v/>
      </c>
    </row>
    <row r="352">
      <c r="A352" s="35" t="inlineStr">
        <is>
          <t>In spec?</t>
        </is>
      </c>
      <c r="B352" s="36">
        <f>Capability!X13</f>
        <v/>
      </c>
    </row>
    <row r="353">
      <c r="A353" s="35" t="inlineStr">
        <is>
          <t>Verdict</t>
        </is>
      </c>
      <c r="B353" s="36">
        <f>Capability!Y13</f>
        <v/>
      </c>
    </row>
    <row r="364">
      <c r="A364" s="34">
        <f>"FEATURE 10: "&amp;IF(Settings!B26="","(unnamed)",Settings!B26)</f>
        <v/>
      </c>
      <c r="B364" s="9" t="n"/>
    </row>
    <row r="365">
      <c r="A365" s="35" t="inlineStr">
        <is>
          <t>Feature</t>
        </is>
      </c>
      <c r="B365" s="36">
        <f>Capability!A14</f>
        <v/>
      </c>
    </row>
    <row r="366">
      <c r="A366" s="35" t="inlineStr">
        <is>
          <t>Unit</t>
        </is>
      </c>
      <c r="B366" s="36">
        <f>Settings!F26</f>
        <v/>
      </c>
    </row>
    <row r="367">
      <c r="A367" s="35" t="inlineStr">
        <is>
          <t>Samples (n)</t>
        </is>
      </c>
      <c r="B367" s="22">
        <f>Capability!B14</f>
        <v/>
      </c>
    </row>
    <row r="368">
      <c r="A368" s="37" t="inlineStr">
        <is>
          <t>DATA RANGE</t>
        </is>
      </c>
      <c r="B368" s="28" t="n"/>
    </row>
    <row r="369">
      <c r="A369" s="35" t="inlineStr">
        <is>
          <t>Min</t>
        </is>
      </c>
      <c r="B369" s="23">
        <f>Capability!E14</f>
        <v/>
      </c>
    </row>
    <row r="370">
      <c r="A370" s="35" t="inlineStr">
        <is>
          <t>Max</t>
        </is>
      </c>
      <c r="B370" s="23">
        <f>Capability!F14</f>
        <v/>
      </c>
    </row>
    <row r="371">
      <c r="A371" s="35" t="inlineStr">
        <is>
          <t>Range</t>
        </is>
      </c>
      <c r="B371" s="23">
        <f>Capability!G14</f>
        <v/>
      </c>
    </row>
    <row r="372">
      <c r="A372" s="35" t="inlineStr">
        <is>
          <t>Mean</t>
        </is>
      </c>
      <c r="B372" s="23">
        <f>Capability!C14</f>
        <v/>
      </c>
    </row>
    <row r="373">
      <c r="A373" s="35" t="inlineStr">
        <is>
          <t>Median</t>
        </is>
      </c>
      <c r="B373" s="23">
        <f>Capability!D14</f>
        <v/>
      </c>
    </row>
    <row r="374">
      <c r="A374" s="35" t="inlineStr">
        <is>
          <t>Std Dev (overall)</t>
        </is>
      </c>
      <c r="B374" s="23">
        <f>Capability!I14</f>
        <v/>
      </c>
    </row>
    <row r="375">
      <c r="A375" s="35" t="inlineStr">
        <is>
          <t>Sigma (within)</t>
        </is>
      </c>
      <c r="B375" s="23">
        <f>Capability!H14</f>
        <v/>
      </c>
    </row>
    <row r="376">
      <c r="A376" s="37" t="inlineStr">
        <is>
          <t>CONTROL</t>
        </is>
      </c>
      <c r="B376" s="28" t="n"/>
    </row>
    <row r="377">
      <c r="A377" s="35" t="inlineStr">
        <is>
          <t>UCL</t>
        </is>
      </c>
      <c r="B377" s="23">
        <f>Capability!J14</f>
        <v/>
      </c>
    </row>
    <row r="378">
      <c r="A378" s="35" t="inlineStr">
        <is>
          <t>CL</t>
        </is>
      </c>
      <c r="B378" s="23">
        <f>Capability!K14</f>
        <v/>
      </c>
    </row>
    <row r="379">
      <c r="A379" s="35" t="inlineStr">
        <is>
          <t>LCL</t>
        </is>
      </c>
      <c r="B379" s="23">
        <f>Capability!L14</f>
        <v/>
      </c>
    </row>
    <row r="380">
      <c r="A380" s="35" t="inlineStr">
        <is>
          <t>mR-bar</t>
        </is>
      </c>
      <c r="B380" s="23">
        <f>Capability!M14</f>
        <v/>
      </c>
    </row>
    <row r="381">
      <c r="A381" s="35" t="inlineStr">
        <is>
          <t>mR UCL</t>
        </is>
      </c>
      <c r="B381" s="23">
        <f>Capability!N14</f>
        <v/>
      </c>
    </row>
    <row r="382">
      <c r="A382" s="37" t="inlineStr">
        <is>
          <t>SPECIFICATION</t>
        </is>
      </c>
      <c r="B382" s="28" t="n"/>
    </row>
    <row r="383">
      <c r="A383" s="35" t="inlineStr">
        <is>
          <t>USL</t>
        </is>
      </c>
      <c r="B383" s="23">
        <f>Capability!Q14</f>
        <v/>
      </c>
    </row>
    <row r="384">
      <c r="A384" s="35" t="inlineStr">
        <is>
          <t>Nominal</t>
        </is>
      </c>
      <c r="B384" s="23">
        <f>Capability!O14</f>
        <v/>
      </c>
    </row>
    <row r="385">
      <c r="A385" s="35" t="inlineStr">
        <is>
          <t>LSL</t>
        </is>
      </c>
      <c r="B385" s="23">
        <f>Capability!P14</f>
        <v/>
      </c>
    </row>
    <row r="386">
      <c r="A386" s="37" t="inlineStr">
        <is>
          <t>CAPABILITY</t>
        </is>
      </c>
      <c r="B386" s="28" t="n"/>
    </row>
    <row r="387">
      <c r="A387" s="35" t="inlineStr">
        <is>
          <t>Cp</t>
        </is>
      </c>
      <c r="B387" s="38">
        <f>Capability!S14</f>
        <v/>
      </c>
    </row>
    <row r="388">
      <c r="A388" s="35" t="inlineStr">
        <is>
          <t>Cpk</t>
        </is>
      </c>
      <c r="B388" s="38">
        <f>Capability!T14</f>
        <v/>
      </c>
    </row>
    <row r="389">
      <c r="A389" s="35" t="inlineStr">
        <is>
          <t>Pp</t>
        </is>
      </c>
      <c r="B389" s="38">
        <f>Capability!U14</f>
        <v/>
      </c>
    </row>
    <row r="390">
      <c r="A390" s="35" t="inlineStr">
        <is>
          <t>Ppk</t>
        </is>
      </c>
      <c r="B390" s="38">
        <f>Capability!V14</f>
        <v/>
      </c>
    </row>
    <row r="391">
      <c r="A391" s="35" t="inlineStr">
        <is>
          <t>In control?</t>
        </is>
      </c>
      <c r="B391" s="36">
        <f>Capability!W14</f>
        <v/>
      </c>
    </row>
    <row r="392">
      <c r="A392" s="35" t="inlineStr">
        <is>
          <t>In spec?</t>
        </is>
      </c>
      <c r="B392" s="36">
        <f>Capability!X14</f>
        <v/>
      </c>
    </row>
    <row r="393">
      <c r="A393" s="35" t="inlineStr">
        <is>
          <t>Verdict</t>
        </is>
      </c>
      <c r="B393" s="36">
        <f>Capability!Y14</f>
        <v/>
      </c>
    </row>
  </sheetData>
  <mergeCells count="51">
    <mergeCell ref="A48:B48"/>
    <mergeCell ref="A328:B328"/>
    <mergeCell ref="A266:B266"/>
    <mergeCell ref="A186:B186"/>
    <mergeCell ref="A284:B284"/>
    <mergeCell ref="A222:B222"/>
    <mergeCell ref="A368:B368"/>
    <mergeCell ref="A142:B142"/>
    <mergeCell ref="A226:B226"/>
    <mergeCell ref="A182:B182"/>
    <mergeCell ref="A216:B216"/>
    <mergeCell ref="A296:B296"/>
    <mergeCell ref="A88:B88"/>
    <mergeCell ref="A146:B146"/>
    <mergeCell ref="A124:B124"/>
    <mergeCell ref="A168:B168"/>
    <mergeCell ref="A346:B346"/>
    <mergeCell ref="A1:T1"/>
    <mergeCell ref="A256:B256"/>
    <mergeCell ref="A16:B16"/>
    <mergeCell ref="A128:B128"/>
    <mergeCell ref="A164:B164"/>
    <mergeCell ref="A208:B208"/>
    <mergeCell ref="A84:B84"/>
    <mergeCell ref="A364:B364"/>
    <mergeCell ref="A66:B66"/>
    <mergeCell ref="A56:B56"/>
    <mergeCell ref="A136:B136"/>
    <mergeCell ref="A376:B376"/>
    <mergeCell ref="A26:B26"/>
    <mergeCell ref="A248:B248"/>
    <mergeCell ref="A306:B306"/>
    <mergeCell ref="A302:B302"/>
    <mergeCell ref="A204:B204"/>
    <mergeCell ref="A106:B106"/>
    <mergeCell ref="A8:B8"/>
    <mergeCell ref="A386:B386"/>
    <mergeCell ref="A22:B22"/>
    <mergeCell ref="A324:B324"/>
    <mergeCell ref="A244:B244"/>
    <mergeCell ref="A4:B4"/>
    <mergeCell ref="A62:B62"/>
    <mergeCell ref="A262:B262"/>
    <mergeCell ref="A96:B96"/>
    <mergeCell ref="A342:B342"/>
    <mergeCell ref="A336:B336"/>
    <mergeCell ref="A288:B288"/>
    <mergeCell ref="A44:B44"/>
    <mergeCell ref="A102:B102"/>
    <mergeCell ref="A382:B382"/>
    <mergeCell ref="A176:B17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E203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" customWidth="1" min="3" max="3"/>
    <col hidden="1" outlineLevel="1" width="13" customWidth="1" min="80" max="136"/>
  </cols>
  <sheetData>
    <row r="1" ht="24" customHeight="1">
      <c r="A1" s="1" t="inlineStr">
        <is>
          <t>SPC MONITOR v13 - LIVE PROCESS CONTROL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CB1" s="13" t="inlineStr">
        <is>
          <t>LastRow</t>
        </is>
      </c>
      <c r="CC1" s="33">
        <f>INDEX('Data Entry'!$H$10022:$BE$10022,1,$B$20)</f>
        <v/>
      </c>
      <c r="CD1" s="13" t="inlineStr">
        <is>
          <t>Start</t>
        </is>
      </c>
      <c r="CE1" s="33">
        <f>MAX(5,CC1-Settings!$F$5+1)</f>
        <v/>
      </c>
      <c r="CF1" s="13" t="inlineStr">
        <is>
          <t>Lo</t>
        </is>
      </c>
      <c r="CG1" s="33">
        <f>IF(OR(INDEX(Capability!$E$5:$E$54,$B$20)="",INDEX(Capability!$F$5:$F$54,$B$20)="",((IF(INDEX(Capability!$Q$5:$Q$54,$B$20)="",INDEX(Capability!$F$5:$F$54,$B$20),MAX(INDEX(Capability!$F$5:$F$54,$B$20),INDEX(Capability!$Q$5:$Q$54,$B$20))))-(IF(INDEX(Capability!$P$5:$P$54,$B$20)="",INDEX(Capability!$E$5:$E$54,$B$20),MIN(INDEX(Capability!$E$5:$E$54,$B$20),INDEX(Capability!$P$5:$P$54,$B$20)))))&lt;=0),"",(IF(INDEX(Capability!$P$5:$P$54,$B$20)="",INDEX(Capability!$E$5:$E$54,$B$20),MIN(INDEX(Capability!$E$5:$E$54,$B$20),INDEX(Capability!$P$5:$P$54,$B$20))))-((IF(INDEX(Capability!$Q$5:$Q$54,$B$20)="",INDEX(Capability!$F$5:$F$54,$B$20),MAX(INDEX(Capability!$F$5:$F$54,$B$20),INDEX(Capability!$Q$5:$Q$54,$B$20))))-(IF(INDEX(Capability!$P$5:$P$54,$B$20)="",INDEX(Capability!$E$5:$E$54,$B$20),MIN(INDEX(Capability!$E$5:$E$54,$B$20),INDEX(Capability!$P$5:$P$54,$B$20)))))*0.05)</f>
        <v/>
      </c>
      <c r="CH1" s="13" t="inlineStr">
        <is>
          <t>Width</t>
        </is>
      </c>
      <c r="CI1" s="33">
        <f>IF(OR(CG1="",CM1="",CM1&lt;=CG1),"",(CM1-CG1)/Settings!$F$6)</f>
        <v/>
      </c>
      <c r="CJ1" s="13" t="inlineStr">
        <is>
          <t>MaxCnt</t>
        </is>
      </c>
      <c r="CK1" s="33">
        <f>MAX(CL4:CL18)</f>
        <v/>
      </c>
      <c r="CL1" s="13" t="inlineStr">
        <is>
          <t>Hi</t>
        </is>
      </c>
      <c r="CM1" s="33">
        <f>IF(OR(INDEX(Capability!$E$5:$E$54,$B$20)="",INDEX(Capability!$F$5:$F$54,$B$20)="",((IF(INDEX(Capability!$Q$5:$Q$54,$B$20)="",INDEX(Capability!$F$5:$F$54,$B$20),MAX(INDEX(Capability!$F$5:$F$54,$B$20),INDEX(Capability!$Q$5:$Q$54,$B$20))))-(IF(INDEX(Capability!$P$5:$P$54,$B$20)="",INDEX(Capability!$E$5:$E$54,$B$20),MIN(INDEX(Capability!$E$5:$E$54,$B$20),INDEX(Capability!$P$5:$P$54,$B$20)))))&lt;=0),"",(IF(INDEX(Capability!$Q$5:$Q$54,$B$20)="",INDEX(Capability!$F$5:$F$54,$B$20),MAX(INDEX(Capability!$F$5:$F$54,$B$20),INDEX(Capability!$Q$5:$Q$54,$B$20))))+((IF(INDEX(Capability!$Q$5:$Q$54,$B$20)="",INDEX(Capability!$F$5:$F$54,$B$20),MAX(INDEX(Capability!$F$5:$F$54,$B$20),INDEX(Capability!$Q$5:$Q$54,$B$20))))-(IF(INDEX(Capability!$P$5:$P$54,$B$20)="",INDEX(Capability!$E$5:$E$54,$B$20),MIN(INDEX(Capability!$E$5:$E$54,$B$20),INDEX(Capability!$P$5:$P$54,$B$20)))))*0.05)</f>
        <v/>
      </c>
      <c r="CP1" s="13" t="inlineStr">
        <is>
          <t>LastRow</t>
        </is>
      </c>
      <c r="CQ1" s="33">
        <f>INDEX('Data Entry'!$H$10022:$BE$10022,1,$B$21)</f>
        <v/>
      </c>
      <c r="CR1" s="13" t="inlineStr">
        <is>
          <t>Start</t>
        </is>
      </c>
      <c r="CS1" s="33">
        <f>MAX(5,CQ1-Settings!$F$5+1)</f>
        <v/>
      </c>
      <c r="CT1" s="13" t="inlineStr">
        <is>
          <t>Lo</t>
        </is>
      </c>
      <c r="CU1" s="33">
        <f>IF(OR(INDEX(Capability!$E$5:$E$54,$B$21)="",INDEX(Capability!$F$5:$F$54,$B$21)="",((IF(INDEX(Capability!$Q$5:$Q$54,$B$21)="",INDEX(Capability!$F$5:$F$54,$B$21),MAX(INDEX(Capability!$F$5:$F$54,$B$21),INDEX(Capability!$Q$5:$Q$54,$B$21))))-(IF(INDEX(Capability!$P$5:$P$54,$B$21)="",INDEX(Capability!$E$5:$E$54,$B$21),MIN(INDEX(Capability!$E$5:$E$54,$B$21),INDEX(Capability!$P$5:$P$54,$B$21)))))&lt;=0),"",(IF(INDEX(Capability!$P$5:$P$54,$B$21)="",INDEX(Capability!$E$5:$E$54,$B$21),MIN(INDEX(Capability!$E$5:$E$54,$B$21),INDEX(Capability!$P$5:$P$54,$B$21))))-((IF(INDEX(Capability!$Q$5:$Q$54,$B$21)="",INDEX(Capability!$F$5:$F$54,$B$21),MAX(INDEX(Capability!$F$5:$F$54,$B$21),INDEX(Capability!$Q$5:$Q$54,$B$21))))-(IF(INDEX(Capability!$P$5:$P$54,$B$21)="",INDEX(Capability!$E$5:$E$54,$B$21),MIN(INDEX(Capability!$E$5:$E$54,$B$21),INDEX(Capability!$P$5:$P$54,$B$21)))))*0.05)</f>
        <v/>
      </c>
      <c r="CV1" s="13" t="inlineStr">
        <is>
          <t>Width</t>
        </is>
      </c>
      <c r="CW1" s="33">
        <f>IF(OR(CU1="",DA1="",DA1&lt;=CU1),"",(DA1-CU1)/Settings!$F$6)</f>
        <v/>
      </c>
      <c r="CX1" s="13" t="inlineStr">
        <is>
          <t>MaxCnt</t>
        </is>
      </c>
      <c r="CY1" s="33">
        <f>MAX(CZ4:CZ18)</f>
        <v/>
      </c>
      <c r="CZ1" s="13" t="inlineStr">
        <is>
          <t>Hi</t>
        </is>
      </c>
      <c r="DA1" s="33">
        <f>IF(OR(INDEX(Capability!$E$5:$E$54,$B$21)="",INDEX(Capability!$F$5:$F$54,$B$21)="",((IF(INDEX(Capability!$Q$5:$Q$54,$B$21)="",INDEX(Capability!$F$5:$F$54,$B$21),MAX(INDEX(Capability!$F$5:$F$54,$B$21),INDEX(Capability!$Q$5:$Q$54,$B$21))))-(IF(INDEX(Capability!$P$5:$P$54,$B$21)="",INDEX(Capability!$E$5:$E$54,$B$21),MIN(INDEX(Capability!$E$5:$E$54,$B$21),INDEX(Capability!$P$5:$P$54,$B$21)))))&lt;=0),"",(IF(INDEX(Capability!$Q$5:$Q$54,$B$21)="",INDEX(Capability!$F$5:$F$54,$B$21),MAX(INDEX(Capability!$F$5:$F$54,$B$21),INDEX(Capability!$Q$5:$Q$54,$B$21))))+((IF(INDEX(Capability!$Q$5:$Q$54,$B$21)="",INDEX(Capability!$F$5:$F$54,$B$21),MAX(INDEX(Capability!$F$5:$F$54,$B$21),INDEX(Capability!$Q$5:$Q$54,$B$21))))-(IF(INDEX(Capability!$P$5:$P$54,$B$21)="",INDEX(Capability!$E$5:$E$54,$B$21),MIN(INDEX(Capability!$E$5:$E$54,$B$21),INDEX(Capability!$P$5:$P$54,$B$21)))))*0.05)</f>
        <v/>
      </c>
      <c r="DD1" s="13" t="inlineStr">
        <is>
          <t>LastRow</t>
        </is>
      </c>
      <c r="DE1" s="33">
        <f>INDEX('Data Entry'!$H$10022:$BE$10022,1,$B$22)</f>
        <v/>
      </c>
      <c r="DF1" s="13" t="inlineStr">
        <is>
          <t>Start</t>
        </is>
      </c>
      <c r="DG1" s="33">
        <f>MAX(5,DE1-Settings!$F$5+1)</f>
        <v/>
      </c>
      <c r="DH1" s="13" t="inlineStr">
        <is>
          <t>Lo</t>
        </is>
      </c>
      <c r="DI1" s="33">
        <f>IF(OR(INDEX(Capability!$E$5:$E$54,$B$22)="",INDEX(Capability!$F$5:$F$54,$B$22)="",((IF(INDEX(Capability!$Q$5:$Q$54,$B$22)="",INDEX(Capability!$F$5:$F$54,$B$22),MAX(INDEX(Capability!$F$5:$F$54,$B$22),INDEX(Capability!$Q$5:$Q$54,$B$22))))-(IF(INDEX(Capability!$P$5:$P$54,$B$22)="",INDEX(Capability!$E$5:$E$54,$B$22),MIN(INDEX(Capability!$E$5:$E$54,$B$22),INDEX(Capability!$P$5:$P$54,$B$22)))))&lt;=0),"",(IF(INDEX(Capability!$P$5:$P$54,$B$22)="",INDEX(Capability!$E$5:$E$54,$B$22),MIN(INDEX(Capability!$E$5:$E$54,$B$22),INDEX(Capability!$P$5:$P$54,$B$22))))-((IF(INDEX(Capability!$Q$5:$Q$54,$B$22)="",INDEX(Capability!$F$5:$F$54,$B$22),MAX(INDEX(Capability!$F$5:$F$54,$B$22),INDEX(Capability!$Q$5:$Q$54,$B$22))))-(IF(INDEX(Capability!$P$5:$P$54,$B$22)="",INDEX(Capability!$E$5:$E$54,$B$22),MIN(INDEX(Capability!$E$5:$E$54,$B$22),INDEX(Capability!$P$5:$P$54,$B$22)))))*0.05)</f>
        <v/>
      </c>
      <c r="DJ1" s="13" t="inlineStr">
        <is>
          <t>Width</t>
        </is>
      </c>
      <c r="DK1" s="33">
        <f>IF(OR(DI1="",DO1="",DO1&lt;=DI1),"",(DO1-DI1)/Settings!$F$6)</f>
        <v/>
      </c>
      <c r="DL1" s="13" t="inlineStr">
        <is>
          <t>MaxCnt</t>
        </is>
      </c>
      <c r="DM1" s="33">
        <f>MAX(DN4:DN18)</f>
        <v/>
      </c>
      <c r="DN1" s="13" t="inlineStr">
        <is>
          <t>Hi</t>
        </is>
      </c>
      <c r="DO1" s="33">
        <f>IF(OR(INDEX(Capability!$E$5:$E$54,$B$22)="",INDEX(Capability!$F$5:$F$54,$B$22)="",((IF(INDEX(Capability!$Q$5:$Q$54,$B$22)="",INDEX(Capability!$F$5:$F$54,$B$22),MAX(INDEX(Capability!$F$5:$F$54,$B$22),INDEX(Capability!$Q$5:$Q$54,$B$22))))-(IF(INDEX(Capability!$P$5:$P$54,$B$22)="",INDEX(Capability!$E$5:$E$54,$B$22),MIN(INDEX(Capability!$E$5:$E$54,$B$22),INDEX(Capability!$P$5:$P$54,$B$22)))))&lt;=0),"",(IF(INDEX(Capability!$Q$5:$Q$54,$B$22)="",INDEX(Capability!$F$5:$F$54,$B$22),MAX(INDEX(Capability!$F$5:$F$54,$B$22),INDEX(Capability!$Q$5:$Q$54,$B$22))))+((IF(INDEX(Capability!$Q$5:$Q$54,$B$22)="",INDEX(Capability!$F$5:$F$54,$B$22),MAX(INDEX(Capability!$F$5:$F$54,$B$22),INDEX(Capability!$Q$5:$Q$54,$B$22))))-(IF(INDEX(Capability!$P$5:$P$54,$B$22)="",INDEX(Capability!$E$5:$E$54,$B$22),MIN(INDEX(Capability!$E$5:$E$54,$B$22),INDEX(Capability!$P$5:$P$54,$B$22)))))*0.05)</f>
        <v/>
      </c>
      <c r="DR1" s="13" t="inlineStr">
        <is>
          <t>LastRow</t>
        </is>
      </c>
      <c r="DS1" s="33">
        <f>INDEX('Data Entry'!$H$10022:$BE$10022,1,$B$23)</f>
        <v/>
      </c>
      <c r="DT1" s="13" t="inlineStr">
        <is>
          <t>Start</t>
        </is>
      </c>
      <c r="DU1" s="33">
        <f>MAX(5,DS1-Settings!$F$5+1)</f>
        <v/>
      </c>
      <c r="DV1" s="13" t="inlineStr">
        <is>
          <t>Lo</t>
        </is>
      </c>
      <c r="DW1" s="33">
        <f>IF(OR(INDEX(Capability!$E$5:$E$54,$B$23)="",INDEX(Capability!$F$5:$F$54,$B$23)="",((IF(INDEX(Capability!$Q$5:$Q$54,$B$23)="",INDEX(Capability!$F$5:$F$54,$B$23),MAX(INDEX(Capability!$F$5:$F$54,$B$23),INDEX(Capability!$Q$5:$Q$54,$B$23))))-(IF(INDEX(Capability!$P$5:$P$54,$B$23)="",INDEX(Capability!$E$5:$E$54,$B$23),MIN(INDEX(Capability!$E$5:$E$54,$B$23),INDEX(Capability!$P$5:$P$54,$B$23)))))&lt;=0),"",(IF(INDEX(Capability!$P$5:$P$54,$B$23)="",INDEX(Capability!$E$5:$E$54,$B$23),MIN(INDEX(Capability!$E$5:$E$54,$B$23),INDEX(Capability!$P$5:$P$54,$B$23))))-((IF(INDEX(Capability!$Q$5:$Q$54,$B$23)="",INDEX(Capability!$F$5:$F$54,$B$23),MAX(INDEX(Capability!$F$5:$F$54,$B$23),INDEX(Capability!$Q$5:$Q$54,$B$23))))-(IF(INDEX(Capability!$P$5:$P$54,$B$23)="",INDEX(Capability!$E$5:$E$54,$B$23),MIN(INDEX(Capability!$E$5:$E$54,$B$23),INDEX(Capability!$P$5:$P$54,$B$23)))))*0.05)</f>
        <v/>
      </c>
      <c r="DX1" s="13" t="inlineStr">
        <is>
          <t>Width</t>
        </is>
      </c>
      <c r="DY1" s="33">
        <f>IF(OR(DW1="",EC1="",EC1&lt;=DW1),"",(EC1-DW1)/Settings!$F$6)</f>
        <v/>
      </c>
      <c r="DZ1" s="13" t="inlineStr">
        <is>
          <t>MaxCnt</t>
        </is>
      </c>
      <c r="EA1" s="33">
        <f>MAX(EB4:EB18)</f>
        <v/>
      </c>
      <c r="EB1" s="13" t="inlineStr">
        <is>
          <t>Hi</t>
        </is>
      </c>
      <c r="EC1" s="33">
        <f>IF(OR(INDEX(Capability!$E$5:$E$54,$B$23)="",INDEX(Capability!$F$5:$F$54,$B$23)="",((IF(INDEX(Capability!$Q$5:$Q$54,$B$23)="",INDEX(Capability!$F$5:$F$54,$B$23),MAX(INDEX(Capability!$F$5:$F$54,$B$23),INDEX(Capability!$Q$5:$Q$54,$B$23))))-(IF(INDEX(Capability!$P$5:$P$54,$B$23)="",INDEX(Capability!$E$5:$E$54,$B$23),MIN(INDEX(Capability!$E$5:$E$54,$B$23),INDEX(Capability!$P$5:$P$54,$B$23)))))&lt;=0),"",(IF(INDEX(Capability!$Q$5:$Q$54,$B$23)="",INDEX(Capability!$F$5:$F$54,$B$23),MAX(INDEX(Capability!$F$5:$F$54,$B$23),INDEX(Capability!$Q$5:$Q$54,$B$23))))+((IF(INDEX(Capability!$Q$5:$Q$54,$B$23)="",INDEX(Capability!$F$5:$F$54,$B$23),MAX(INDEX(Capability!$F$5:$F$54,$B$23),INDEX(Capability!$Q$5:$Q$54,$B$23))))-(IF(INDEX(Capability!$P$5:$P$54,$B$23)="",INDEX(Capability!$E$5:$E$54,$B$23),MIN(INDEX(Capability!$E$5:$E$54,$B$23),INDEX(Capability!$P$5:$P$54,$B$23)))))*0.05)</f>
        <v/>
      </c>
    </row>
    <row r="2">
      <c r="A2" s="3" t="inlineStr">
        <is>
          <t>Folder watch + auto-refresh (requires SPC_V13_Monitor.bas). Statistics panel left, charts right.</t>
        </is>
      </c>
    </row>
    <row r="3">
      <c r="CB3" s="13" t="inlineStr">
        <is>
          <t>idx</t>
        </is>
      </c>
      <c r="CC3" s="13" t="inlineStr">
        <is>
          <t>X</t>
        </is>
      </c>
      <c r="CD3" s="13" t="inlineStr">
        <is>
          <t>CL</t>
        </is>
      </c>
      <c r="CE3" s="13" t="inlineStr">
        <is>
          <t>UCL</t>
        </is>
      </c>
      <c r="CF3" s="13" t="inlineStr">
        <is>
          <t>LCL</t>
        </is>
      </c>
      <c r="CG3" s="13" t="inlineStr">
        <is>
          <t>mR</t>
        </is>
      </c>
      <c r="CH3" s="13" t="inlineStr">
        <is>
          <t>mR_UCL</t>
        </is>
      </c>
      <c r="CI3" s="13" t="inlineStr">
        <is>
          <t>USL</t>
        </is>
      </c>
      <c r="CJ3" s="13" t="inlineStr">
        <is>
          <t>LSL</t>
        </is>
      </c>
      <c r="CK3" s="13" t="inlineStr">
        <is>
          <t>Bin</t>
        </is>
      </c>
      <c r="CL3" s="13" t="inlineStr">
        <is>
          <t>Count</t>
        </is>
      </c>
      <c r="CM3" s="13" t="inlineStr">
        <is>
          <t>LSLmark</t>
        </is>
      </c>
      <c r="CN3" s="13" t="inlineStr">
        <is>
          <t>USLmark</t>
        </is>
      </c>
      <c r="CO3" s="13" t="inlineStr"/>
      <c r="CP3" s="13" t="inlineStr">
        <is>
          <t>idx</t>
        </is>
      </c>
      <c r="CQ3" s="13" t="inlineStr">
        <is>
          <t>X</t>
        </is>
      </c>
      <c r="CR3" s="13" t="inlineStr">
        <is>
          <t>CL</t>
        </is>
      </c>
      <c r="CS3" s="13" t="inlineStr">
        <is>
          <t>UCL</t>
        </is>
      </c>
      <c r="CT3" s="13" t="inlineStr">
        <is>
          <t>LCL</t>
        </is>
      </c>
      <c r="CU3" s="13" t="inlineStr">
        <is>
          <t>mR</t>
        </is>
      </c>
      <c r="CV3" s="13" t="inlineStr">
        <is>
          <t>mR_UCL</t>
        </is>
      </c>
      <c r="CW3" s="13" t="inlineStr">
        <is>
          <t>USL</t>
        </is>
      </c>
      <c r="CX3" s="13" t="inlineStr">
        <is>
          <t>LSL</t>
        </is>
      </c>
      <c r="CY3" s="13" t="inlineStr">
        <is>
          <t>Bin</t>
        </is>
      </c>
      <c r="CZ3" s="13" t="inlineStr">
        <is>
          <t>Count</t>
        </is>
      </c>
      <c r="DA3" s="13" t="inlineStr">
        <is>
          <t>LSLmark</t>
        </is>
      </c>
      <c r="DB3" s="13" t="inlineStr">
        <is>
          <t>USLmark</t>
        </is>
      </c>
      <c r="DC3" s="13" t="inlineStr"/>
      <c r="DD3" s="13" t="inlineStr">
        <is>
          <t>idx</t>
        </is>
      </c>
      <c r="DE3" s="13" t="inlineStr">
        <is>
          <t>X</t>
        </is>
      </c>
      <c r="DF3" s="13" t="inlineStr">
        <is>
          <t>CL</t>
        </is>
      </c>
      <c r="DG3" s="13" t="inlineStr">
        <is>
          <t>UCL</t>
        </is>
      </c>
      <c r="DH3" s="13" t="inlineStr">
        <is>
          <t>LCL</t>
        </is>
      </c>
      <c r="DI3" s="13" t="inlineStr">
        <is>
          <t>mR</t>
        </is>
      </c>
      <c r="DJ3" s="13" t="inlineStr">
        <is>
          <t>mR_UCL</t>
        </is>
      </c>
      <c r="DK3" s="13" t="inlineStr">
        <is>
          <t>USL</t>
        </is>
      </c>
      <c r="DL3" s="13" t="inlineStr">
        <is>
          <t>LSL</t>
        </is>
      </c>
      <c r="DM3" s="13" t="inlineStr">
        <is>
          <t>Bin</t>
        </is>
      </c>
      <c r="DN3" s="13" t="inlineStr">
        <is>
          <t>Count</t>
        </is>
      </c>
      <c r="DO3" s="13" t="inlineStr">
        <is>
          <t>LSLmark</t>
        </is>
      </c>
      <c r="DP3" s="13" t="inlineStr">
        <is>
          <t>USLmark</t>
        </is>
      </c>
      <c r="DQ3" s="13" t="inlineStr"/>
      <c r="DR3" s="13" t="inlineStr">
        <is>
          <t>idx</t>
        </is>
      </c>
      <c r="DS3" s="13" t="inlineStr">
        <is>
          <t>X</t>
        </is>
      </c>
      <c r="DT3" s="13" t="inlineStr">
        <is>
          <t>CL</t>
        </is>
      </c>
      <c r="DU3" s="13" t="inlineStr">
        <is>
          <t>UCL</t>
        </is>
      </c>
      <c r="DV3" s="13" t="inlineStr">
        <is>
          <t>LCL</t>
        </is>
      </c>
      <c r="DW3" s="13" t="inlineStr">
        <is>
          <t>mR</t>
        </is>
      </c>
      <c r="DX3" s="13" t="inlineStr">
        <is>
          <t>mR_UCL</t>
        </is>
      </c>
      <c r="DY3" s="13" t="inlineStr">
        <is>
          <t>USL</t>
        </is>
      </c>
      <c r="DZ3" s="13" t="inlineStr">
        <is>
          <t>LSL</t>
        </is>
      </c>
      <c r="EA3" s="13" t="inlineStr">
        <is>
          <t>Bin</t>
        </is>
      </c>
      <c r="EB3" s="13" t="inlineStr">
        <is>
          <t>Count</t>
        </is>
      </c>
      <c r="EC3" s="13" t="inlineStr">
        <is>
          <t>LSLmark</t>
        </is>
      </c>
      <c r="ED3" s="13" t="inlineStr">
        <is>
          <t>USLmark</t>
        </is>
      </c>
      <c r="EE3" s="13" t="inlineStr"/>
    </row>
    <row r="4">
      <c r="A4" s="4" t="inlineStr">
        <is>
          <t>MONITOR CONFIGURATION</t>
        </is>
      </c>
      <c r="B4" s="9" t="n"/>
      <c r="CB4">
        <f>IF((CE$1+0)&gt;CC$1,NA(),(CE$1+0)-4)</f>
        <v/>
      </c>
      <c r="CC4">
        <f>IF((CE$1+0)&gt;CC$1,NA(),INDEX('Data Entry'!$H$5:$BE$10004,(CE$1+0)-4,$B$20))</f>
        <v/>
      </c>
      <c r="CD4">
        <f>IF(ISNA(CB4),NA(),INDEX(Capability!$K$5:$K$54,$B$20))</f>
        <v/>
      </c>
      <c r="CE4">
        <f>IF(ISNA(CB4),NA(),INDEX(Capability!$J$5:$J$54,$B$20))</f>
        <v/>
      </c>
      <c r="CF4">
        <f>IF(ISNA(CB4),NA(),INDEX(Capability!$L$5:$L$54,$B$20))</f>
        <v/>
      </c>
      <c r="CG4">
        <f>NA()</f>
        <v/>
      </c>
      <c r="CH4">
        <f>IF(ISNA(CB4),NA(),INDEX(Capability!$N$5:$N$54,$B$20))</f>
        <v/>
      </c>
      <c r="CI4">
        <f>IF(ISNA(CB4),NA(),IF(OR(INDEX(Capability!$Q$5:$Q$54,$B$20)="",Settings!$F$7&lt;&gt;"Y"),NA(),INDEX(Capability!$Q$5:$Q$54,$B$20)))</f>
        <v/>
      </c>
      <c r="CJ4">
        <f>IF(ISNA(CB4),NA(),IF(OR(INDEX(Capability!$P$5:$P$54,$B$20)="",Settings!$F$7&lt;&gt;"Y"),NA(),INDEX(Capability!$P$5:$P$54,$B$20)))</f>
        <v/>
      </c>
      <c r="CK4">
        <f>IF(CI$1="","",ROUND(CG$1+CI$1*0.5,4))</f>
        <v/>
      </c>
      <c r="CL4">
        <f>IF(CI$1="","",COUNTIFS(INDEX('Data Entry'!$H$5:$BE$10004,0,$B$20),"&gt;="&amp;(CG$1+CI$1*0),INDEX('Data Entry'!$H$5:$BE$10004,0,$B$20),"&lt;"&amp;(CG$1+CI$1*1)))</f>
        <v/>
      </c>
      <c r="CM4">
        <f>IF(OR(INDEX(Capability!$P$5:$P$54,$B$20)="",CI$1=""),NA(),IF(AND(INDEX(Capability!$P$5:$P$54,$B$20)&gt;=(CG$1+CI$1*0),INDEX(Capability!$P$5:$P$54,$B$20)&lt;(CG$1+CI$1*1)),CK$1*1.15,NA()))</f>
        <v/>
      </c>
      <c r="CN4">
        <f>IF(OR(INDEX(Capability!$Q$5:$Q$54,$B$20)="",CI$1=""),NA(),IF(AND(INDEX(Capability!$Q$5:$Q$54,$B$20)&gt;=(CG$1+CI$1*0),INDEX(Capability!$Q$5:$Q$54,$B$20)&lt;(CG$1+CI$1*1)),CK$1*1.15,NA()))</f>
        <v/>
      </c>
      <c r="CP4">
        <f>IF((CS$1+0)&gt;CQ$1,NA(),(CS$1+0)-4)</f>
        <v/>
      </c>
      <c r="CQ4">
        <f>IF((CS$1+0)&gt;CQ$1,NA(),INDEX('Data Entry'!$H$5:$BE$10004,(CS$1+0)-4,$B$21))</f>
        <v/>
      </c>
      <c r="CR4">
        <f>IF(ISNA(CP4),NA(),INDEX(Capability!$K$5:$K$54,$B$21))</f>
        <v/>
      </c>
      <c r="CS4">
        <f>IF(ISNA(CP4),NA(),INDEX(Capability!$J$5:$J$54,$B$21))</f>
        <v/>
      </c>
      <c r="CT4">
        <f>IF(ISNA(CP4),NA(),INDEX(Capability!$L$5:$L$54,$B$21))</f>
        <v/>
      </c>
      <c r="CU4">
        <f>NA()</f>
        <v/>
      </c>
      <c r="CV4">
        <f>IF(ISNA(CP4),NA(),INDEX(Capability!$N$5:$N$54,$B$21))</f>
        <v/>
      </c>
      <c r="CW4">
        <f>IF(ISNA(CP4),NA(),IF(OR(INDEX(Capability!$Q$5:$Q$54,$B$21)="",Settings!$F$7&lt;&gt;"Y"),NA(),INDEX(Capability!$Q$5:$Q$54,$B$21)))</f>
        <v/>
      </c>
      <c r="CX4">
        <f>IF(ISNA(CP4),NA(),IF(OR(INDEX(Capability!$P$5:$P$54,$B$21)="",Settings!$F$7&lt;&gt;"Y"),NA(),INDEX(Capability!$P$5:$P$54,$B$21)))</f>
        <v/>
      </c>
      <c r="CY4">
        <f>IF(CW$1="","",ROUND(CU$1+CW$1*0.5,4))</f>
        <v/>
      </c>
      <c r="CZ4">
        <f>IF(CW$1="","",COUNTIFS(INDEX('Data Entry'!$H$5:$BE$10004,0,$B$21),"&gt;="&amp;(CU$1+CW$1*0),INDEX('Data Entry'!$H$5:$BE$10004,0,$B$21),"&lt;"&amp;(CU$1+CW$1*1)))</f>
        <v/>
      </c>
      <c r="DA4">
        <f>IF(OR(INDEX(Capability!$P$5:$P$54,$B$21)="",CW$1=""),NA(),IF(AND(INDEX(Capability!$P$5:$P$54,$B$21)&gt;=(CU$1+CW$1*0),INDEX(Capability!$P$5:$P$54,$B$21)&lt;(CU$1+CW$1*1)),CY$1*1.15,NA()))</f>
        <v/>
      </c>
      <c r="DB4">
        <f>IF(OR(INDEX(Capability!$Q$5:$Q$54,$B$21)="",CW$1=""),NA(),IF(AND(INDEX(Capability!$Q$5:$Q$54,$B$21)&gt;=(CU$1+CW$1*0),INDEX(Capability!$Q$5:$Q$54,$B$21)&lt;(CU$1+CW$1*1)),CY$1*1.15,NA()))</f>
        <v/>
      </c>
      <c r="DD4">
        <f>IF((DG$1+0)&gt;DE$1,NA(),(DG$1+0)-4)</f>
        <v/>
      </c>
      <c r="DE4">
        <f>IF((DG$1+0)&gt;DE$1,NA(),INDEX('Data Entry'!$H$5:$BE$10004,(DG$1+0)-4,$B$22))</f>
        <v/>
      </c>
      <c r="DF4">
        <f>IF(ISNA(DD4),NA(),INDEX(Capability!$K$5:$K$54,$B$22))</f>
        <v/>
      </c>
      <c r="DG4">
        <f>IF(ISNA(DD4),NA(),INDEX(Capability!$J$5:$J$54,$B$22))</f>
        <v/>
      </c>
      <c r="DH4">
        <f>IF(ISNA(DD4),NA(),INDEX(Capability!$L$5:$L$54,$B$22))</f>
        <v/>
      </c>
      <c r="DI4">
        <f>NA()</f>
        <v/>
      </c>
      <c r="DJ4">
        <f>IF(ISNA(DD4),NA(),INDEX(Capability!$N$5:$N$54,$B$22))</f>
        <v/>
      </c>
      <c r="DK4">
        <f>IF(ISNA(DD4),NA(),IF(OR(INDEX(Capability!$Q$5:$Q$54,$B$22)="",Settings!$F$7&lt;&gt;"Y"),NA(),INDEX(Capability!$Q$5:$Q$54,$B$22)))</f>
        <v/>
      </c>
      <c r="DL4">
        <f>IF(ISNA(DD4),NA(),IF(OR(INDEX(Capability!$P$5:$P$54,$B$22)="",Settings!$F$7&lt;&gt;"Y"),NA(),INDEX(Capability!$P$5:$P$54,$B$22)))</f>
        <v/>
      </c>
      <c r="DM4">
        <f>IF(DK$1="","",ROUND(DI$1+DK$1*0.5,4))</f>
        <v/>
      </c>
      <c r="DN4">
        <f>IF(DK$1="","",COUNTIFS(INDEX('Data Entry'!$H$5:$BE$10004,0,$B$22),"&gt;="&amp;(DI$1+DK$1*0),INDEX('Data Entry'!$H$5:$BE$10004,0,$B$22),"&lt;"&amp;(DI$1+DK$1*1)))</f>
        <v/>
      </c>
      <c r="DO4">
        <f>IF(OR(INDEX(Capability!$P$5:$P$54,$B$22)="",DK$1=""),NA(),IF(AND(INDEX(Capability!$P$5:$P$54,$B$22)&gt;=(DI$1+DK$1*0),INDEX(Capability!$P$5:$P$54,$B$22)&lt;(DI$1+DK$1*1)),DM$1*1.15,NA()))</f>
        <v/>
      </c>
      <c r="DP4">
        <f>IF(OR(INDEX(Capability!$Q$5:$Q$54,$B$22)="",DK$1=""),NA(),IF(AND(INDEX(Capability!$Q$5:$Q$54,$B$22)&gt;=(DI$1+DK$1*0),INDEX(Capability!$Q$5:$Q$54,$B$22)&lt;(DI$1+DK$1*1)),DM$1*1.15,NA()))</f>
        <v/>
      </c>
      <c r="DR4">
        <f>IF((DU$1+0)&gt;DS$1,NA(),(DU$1+0)-4)</f>
        <v/>
      </c>
      <c r="DS4">
        <f>IF((DU$1+0)&gt;DS$1,NA(),INDEX('Data Entry'!$H$5:$BE$10004,(DU$1+0)-4,$B$23))</f>
        <v/>
      </c>
      <c r="DT4">
        <f>IF(ISNA(DR4),NA(),INDEX(Capability!$K$5:$K$54,$B$23))</f>
        <v/>
      </c>
      <c r="DU4">
        <f>IF(ISNA(DR4),NA(),INDEX(Capability!$J$5:$J$54,$B$23))</f>
        <v/>
      </c>
      <c r="DV4">
        <f>IF(ISNA(DR4),NA(),INDEX(Capability!$L$5:$L$54,$B$23))</f>
        <v/>
      </c>
      <c r="DW4">
        <f>NA()</f>
        <v/>
      </c>
      <c r="DX4">
        <f>IF(ISNA(DR4),NA(),INDEX(Capability!$N$5:$N$54,$B$23))</f>
        <v/>
      </c>
      <c r="DY4">
        <f>IF(ISNA(DR4),NA(),IF(OR(INDEX(Capability!$Q$5:$Q$54,$B$23)="",Settings!$F$7&lt;&gt;"Y"),NA(),INDEX(Capability!$Q$5:$Q$54,$B$23)))</f>
        <v/>
      </c>
      <c r="DZ4">
        <f>IF(ISNA(DR4),NA(),IF(OR(INDEX(Capability!$P$5:$P$54,$B$23)="",Settings!$F$7&lt;&gt;"Y"),NA(),INDEX(Capability!$P$5:$P$54,$B$23)))</f>
        <v/>
      </c>
      <c r="EA4">
        <f>IF(DY$1="","",ROUND(DW$1+DY$1*0.5,4))</f>
        <v/>
      </c>
      <c r="EB4">
        <f>IF(DY$1="","",COUNTIFS(INDEX('Data Entry'!$H$5:$BE$10004,0,$B$23),"&gt;="&amp;(DW$1+DY$1*0),INDEX('Data Entry'!$H$5:$BE$10004,0,$B$23),"&lt;"&amp;(DW$1+DY$1*1)))</f>
        <v/>
      </c>
      <c r="EC4">
        <f>IF(OR(INDEX(Capability!$P$5:$P$54,$B$23)="",DY$1=""),NA(),IF(AND(INDEX(Capability!$P$5:$P$54,$B$23)&gt;=(DW$1+DY$1*0),INDEX(Capability!$P$5:$P$54,$B$23)&lt;(DW$1+DY$1*1)),EA$1*1.15,NA()))</f>
        <v/>
      </c>
      <c r="ED4">
        <f>IF(OR(INDEX(Capability!$Q$5:$Q$54,$B$23)="",DY$1=""),NA(),IF(AND(INDEX(Capability!$Q$5:$Q$54,$B$23)&gt;=(DW$1+DY$1*0),INDEX(Capability!$Q$5:$Q$54,$B$23)&lt;(DW$1+DY$1*1)),EA$1*1.15,NA()))</f>
        <v/>
      </c>
    </row>
    <row r="5">
      <c r="A5" s="10" t="inlineStr">
        <is>
          <t>Watch Folder</t>
        </is>
      </c>
      <c r="B5" s="39">
        <f>Settings!F8</f>
        <v/>
      </c>
      <c r="CB5">
        <f>IF((CE$1+1)&gt;CC$1,NA(),(CE$1+1)-4)</f>
        <v/>
      </c>
      <c r="CC5">
        <f>IF((CE$1+1)&gt;CC$1,NA(),INDEX('Data Entry'!$H$5:$BE$10004,(CE$1+1)-4,$B$20))</f>
        <v/>
      </c>
      <c r="CD5">
        <f>IF(ISNA(CB5),NA(),INDEX(Capability!$K$5:$K$54,$B$20))</f>
        <v/>
      </c>
      <c r="CE5">
        <f>IF(ISNA(CB5),NA(),INDEX(Capability!$J$5:$J$54,$B$20))</f>
        <v/>
      </c>
      <c r="CF5">
        <f>IF(ISNA(CB5),NA(),INDEX(Capability!$L$5:$L$54,$B$20))</f>
        <v/>
      </c>
      <c r="CG5">
        <f>IF(OR(ISNA(CC5),ISNA(CC4)),NA(),ABS(CC5-CC4))</f>
        <v/>
      </c>
      <c r="CH5">
        <f>IF(ISNA(CB5),NA(),INDEX(Capability!$N$5:$N$54,$B$20))</f>
        <v/>
      </c>
      <c r="CI5">
        <f>IF(ISNA(CB5),NA(),IF(OR(INDEX(Capability!$Q$5:$Q$54,$B$20)="",Settings!$F$7&lt;&gt;"Y"),NA(),INDEX(Capability!$Q$5:$Q$54,$B$20)))</f>
        <v/>
      </c>
      <c r="CJ5">
        <f>IF(ISNA(CB5),NA(),IF(OR(INDEX(Capability!$P$5:$P$54,$B$20)="",Settings!$F$7&lt;&gt;"Y"),NA(),INDEX(Capability!$P$5:$P$54,$B$20)))</f>
        <v/>
      </c>
      <c r="CK5">
        <f>IF(CI$1="","",ROUND(CG$1+CI$1*1.5,4))</f>
        <v/>
      </c>
      <c r="CL5">
        <f>IF(CI$1="","",COUNTIFS(INDEX('Data Entry'!$H$5:$BE$10004,0,$B$20),"&gt;="&amp;(CG$1+CI$1*1),INDEX('Data Entry'!$H$5:$BE$10004,0,$B$20),"&lt;"&amp;(CG$1+CI$1*2)))</f>
        <v/>
      </c>
      <c r="CM5">
        <f>IF(OR(INDEX(Capability!$P$5:$P$54,$B$20)="",CI$1=""),NA(),IF(AND(INDEX(Capability!$P$5:$P$54,$B$20)&gt;=(CG$1+CI$1*1),INDEX(Capability!$P$5:$P$54,$B$20)&lt;(CG$1+CI$1*2)),CK$1*1.15,NA()))</f>
        <v/>
      </c>
      <c r="CN5">
        <f>IF(OR(INDEX(Capability!$Q$5:$Q$54,$B$20)="",CI$1=""),NA(),IF(AND(INDEX(Capability!$Q$5:$Q$54,$B$20)&gt;=(CG$1+CI$1*1),INDEX(Capability!$Q$5:$Q$54,$B$20)&lt;(CG$1+CI$1*2)),CK$1*1.15,NA()))</f>
        <v/>
      </c>
      <c r="CP5">
        <f>IF((CS$1+1)&gt;CQ$1,NA(),(CS$1+1)-4)</f>
        <v/>
      </c>
      <c r="CQ5">
        <f>IF((CS$1+1)&gt;CQ$1,NA(),INDEX('Data Entry'!$H$5:$BE$10004,(CS$1+1)-4,$B$21))</f>
        <v/>
      </c>
      <c r="CR5">
        <f>IF(ISNA(CP5),NA(),INDEX(Capability!$K$5:$K$54,$B$21))</f>
        <v/>
      </c>
      <c r="CS5">
        <f>IF(ISNA(CP5),NA(),INDEX(Capability!$J$5:$J$54,$B$21))</f>
        <v/>
      </c>
      <c r="CT5">
        <f>IF(ISNA(CP5),NA(),INDEX(Capability!$L$5:$L$54,$B$21))</f>
        <v/>
      </c>
      <c r="CU5">
        <f>IF(OR(ISNA(CQ5),ISNA(CQ4)),NA(),ABS(CQ5-CQ4))</f>
        <v/>
      </c>
      <c r="CV5">
        <f>IF(ISNA(CP5),NA(),INDEX(Capability!$N$5:$N$54,$B$21))</f>
        <v/>
      </c>
      <c r="CW5">
        <f>IF(ISNA(CP5),NA(),IF(OR(INDEX(Capability!$Q$5:$Q$54,$B$21)="",Settings!$F$7&lt;&gt;"Y"),NA(),INDEX(Capability!$Q$5:$Q$54,$B$21)))</f>
        <v/>
      </c>
      <c r="CX5">
        <f>IF(ISNA(CP5),NA(),IF(OR(INDEX(Capability!$P$5:$P$54,$B$21)="",Settings!$F$7&lt;&gt;"Y"),NA(),INDEX(Capability!$P$5:$P$54,$B$21)))</f>
        <v/>
      </c>
      <c r="CY5">
        <f>IF(CW$1="","",ROUND(CU$1+CW$1*1.5,4))</f>
        <v/>
      </c>
      <c r="CZ5">
        <f>IF(CW$1="","",COUNTIFS(INDEX('Data Entry'!$H$5:$BE$10004,0,$B$21),"&gt;="&amp;(CU$1+CW$1*1),INDEX('Data Entry'!$H$5:$BE$10004,0,$B$21),"&lt;"&amp;(CU$1+CW$1*2)))</f>
        <v/>
      </c>
      <c r="DA5">
        <f>IF(OR(INDEX(Capability!$P$5:$P$54,$B$21)="",CW$1=""),NA(),IF(AND(INDEX(Capability!$P$5:$P$54,$B$21)&gt;=(CU$1+CW$1*1),INDEX(Capability!$P$5:$P$54,$B$21)&lt;(CU$1+CW$1*2)),CY$1*1.15,NA()))</f>
        <v/>
      </c>
      <c r="DB5">
        <f>IF(OR(INDEX(Capability!$Q$5:$Q$54,$B$21)="",CW$1=""),NA(),IF(AND(INDEX(Capability!$Q$5:$Q$54,$B$21)&gt;=(CU$1+CW$1*1),INDEX(Capability!$Q$5:$Q$54,$B$21)&lt;(CU$1+CW$1*2)),CY$1*1.15,NA()))</f>
        <v/>
      </c>
      <c r="DD5">
        <f>IF((DG$1+1)&gt;DE$1,NA(),(DG$1+1)-4)</f>
        <v/>
      </c>
      <c r="DE5">
        <f>IF((DG$1+1)&gt;DE$1,NA(),INDEX('Data Entry'!$H$5:$BE$10004,(DG$1+1)-4,$B$22))</f>
        <v/>
      </c>
      <c r="DF5">
        <f>IF(ISNA(DD5),NA(),INDEX(Capability!$K$5:$K$54,$B$22))</f>
        <v/>
      </c>
      <c r="DG5">
        <f>IF(ISNA(DD5),NA(),INDEX(Capability!$J$5:$J$54,$B$22))</f>
        <v/>
      </c>
      <c r="DH5">
        <f>IF(ISNA(DD5),NA(),INDEX(Capability!$L$5:$L$54,$B$22))</f>
        <v/>
      </c>
      <c r="DI5">
        <f>IF(OR(ISNA(DE5),ISNA(DE4)),NA(),ABS(DE5-DE4))</f>
        <v/>
      </c>
      <c r="DJ5">
        <f>IF(ISNA(DD5),NA(),INDEX(Capability!$N$5:$N$54,$B$22))</f>
        <v/>
      </c>
      <c r="DK5">
        <f>IF(ISNA(DD5),NA(),IF(OR(INDEX(Capability!$Q$5:$Q$54,$B$22)="",Settings!$F$7&lt;&gt;"Y"),NA(),INDEX(Capability!$Q$5:$Q$54,$B$22)))</f>
        <v/>
      </c>
      <c r="DL5">
        <f>IF(ISNA(DD5),NA(),IF(OR(INDEX(Capability!$P$5:$P$54,$B$22)="",Settings!$F$7&lt;&gt;"Y"),NA(),INDEX(Capability!$P$5:$P$54,$B$22)))</f>
        <v/>
      </c>
      <c r="DM5">
        <f>IF(DK$1="","",ROUND(DI$1+DK$1*1.5,4))</f>
        <v/>
      </c>
      <c r="DN5">
        <f>IF(DK$1="","",COUNTIFS(INDEX('Data Entry'!$H$5:$BE$10004,0,$B$22),"&gt;="&amp;(DI$1+DK$1*1),INDEX('Data Entry'!$H$5:$BE$10004,0,$B$22),"&lt;"&amp;(DI$1+DK$1*2)))</f>
        <v/>
      </c>
      <c r="DO5">
        <f>IF(OR(INDEX(Capability!$P$5:$P$54,$B$22)="",DK$1=""),NA(),IF(AND(INDEX(Capability!$P$5:$P$54,$B$22)&gt;=(DI$1+DK$1*1),INDEX(Capability!$P$5:$P$54,$B$22)&lt;(DI$1+DK$1*2)),DM$1*1.15,NA()))</f>
        <v/>
      </c>
      <c r="DP5">
        <f>IF(OR(INDEX(Capability!$Q$5:$Q$54,$B$22)="",DK$1=""),NA(),IF(AND(INDEX(Capability!$Q$5:$Q$54,$B$22)&gt;=(DI$1+DK$1*1),INDEX(Capability!$Q$5:$Q$54,$B$22)&lt;(DI$1+DK$1*2)),DM$1*1.15,NA()))</f>
        <v/>
      </c>
      <c r="DR5">
        <f>IF((DU$1+1)&gt;DS$1,NA(),(DU$1+1)-4)</f>
        <v/>
      </c>
      <c r="DS5">
        <f>IF((DU$1+1)&gt;DS$1,NA(),INDEX('Data Entry'!$H$5:$BE$10004,(DU$1+1)-4,$B$23))</f>
        <v/>
      </c>
      <c r="DT5">
        <f>IF(ISNA(DR5),NA(),INDEX(Capability!$K$5:$K$54,$B$23))</f>
        <v/>
      </c>
      <c r="DU5">
        <f>IF(ISNA(DR5),NA(),INDEX(Capability!$J$5:$J$54,$B$23))</f>
        <v/>
      </c>
      <c r="DV5">
        <f>IF(ISNA(DR5),NA(),INDEX(Capability!$L$5:$L$54,$B$23))</f>
        <v/>
      </c>
      <c r="DW5">
        <f>IF(OR(ISNA(DS5),ISNA(DS4)),NA(),ABS(DS5-DS4))</f>
        <v/>
      </c>
      <c r="DX5">
        <f>IF(ISNA(DR5),NA(),INDEX(Capability!$N$5:$N$54,$B$23))</f>
        <v/>
      </c>
      <c r="DY5">
        <f>IF(ISNA(DR5),NA(),IF(OR(INDEX(Capability!$Q$5:$Q$54,$B$23)="",Settings!$F$7&lt;&gt;"Y"),NA(),INDEX(Capability!$Q$5:$Q$54,$B$23)))</f>
        <v/>
      </c>
      <c r="DZ5">
        <f>IF(ISNA(DR5),NA(),IF(OR(INDEX(Capability!$P$5:$P$54,$B$23)="",Settings!$F$7&lt;&gt;"Y"),NA(),INDEX(Capability!$P$5:$P$54,$B$23)))</f>
        <v/>
      </c>
      <c r="EA5">
        <f>IF(DY$1="","",ROUND(DW$1+DY$1*1.5,4))</f>
        <v/>
      </c>
      <c r="EB5">
        <f>IF(DY$1="","",COUNTIFS(INDEX('Data Entry'!$H$5:$BE$10004,0,$B$23),"&gt;="&amp;(DW$1+DY$1*1),INDEX('Data Entry'!$H$5:$BE$10004,0,$B$23),"&lt;"&amp;(DW$1+DY$1*2)))</f>
        <v/>
      </c>
      <c r="EC5">
        <f>IF(OR(INDEX(Capability!$P$5:$P$54,$B$23)="",DY$1=""),NA(),IF(AND(INDEX(Capability!$P$5:$P$54,$B$23)&gt;=(DW$1+DY$1*1),INDEX(Capability!$P$5:$P$54,$B$23)&lt;(DW$1+DY$1*2)),EA$1*1.15,NA()))</f>
        <v/>
      </c>
      <c r="ED5">
        <f>IF(OR(INDEX(Capability!$Q$5:$Q$54,$B$23)="",DY$1=""),NA(),IF(AND(INDEX(Capability!$Q$5:$Q$54,$B$23)&gt;=(DW$1+DY$1*1),INDEX(Capability!$Q$5:$Q$54,$B$23)&lt;(DW$1+DY$1*2)),EA$1*1.15,NA()))</f>
        <v/>
      </c>
    </row>
    <row r="6">
      <c r="A6" s="10" t="inlineStr">
        <is>
          <t>File Pattern</t>
        </is>
      </c>
      <c r="B6" s="39">
        <f>Settings!F9</f>
        <v/>
      </c>
      <c r="CB6">
        <f>IF((CE$1+2)&gt;CC$1,NA(),(CE$1+2)-4)</f>
        <v/>
      </c>
      <c r="CC6">
        <f>IF((CE$1+2)&gt;CC$1,NA(),INDEX('Data Entry'!$H$5:$BE$10004,(CE$1+2)-4,$B$20))</f>
        <v/>
      </c>
      <c r="CD6">
        <f>IF(ISNA(CB6),NA(),INDEX(Capability!$K$5:$K$54,$B$20))</f>
        <v/>
      </c>
      <c r="CE6">
        <f>IF(ISNA(CB6),NA(),INDEX(Capability!$J$5:$J$54,$B$20))</f>
        <v/>
      </c>
      <c r="CF6">
        <f>IF(ISNA(CB6),NA(),INDEX(Capability!$L$5:$L$54,$B$20))</f>
        <v/>
      </c>
      <c r="CG6">
        <f>IF(OR(ISNA(CC6),ISNA(CC5)),NA(),ABS(CC6-CC5))</f>
        <v/>
      </c>
      <c r="CH6">
        <f>IF(ISNA(CB6),NA(),INDEX(Capability!$N$5:$N$54,$B$20))</f>
        <v/>
      </c>
      <c r="CI6">
        <f>IF(ISNA(CB6),NA(),IF(OR(INDEX(Capability!$Q$5:$Q$54,$B$20)="",Settings!$F$7&lt;&gt;"Y"),NA(),INDEX(Capability!$Q$5:$Q$54,$B$20)))</f>
        <v/>
      </c>
      <c r="CJ6">
        <f>IF(ISNA(CB6),NA(),IF(OR(INDEX(Capability!$P$5:$P$54,$B$20)="",Settings!$F$7&lt;&gt;"Y"),NA(),INDEX(Capability!$P$5:$P$54,$B$20)))</f>
        <v/>
      </c>
      <c r="CK6">
        <f>IF(CI$1="","",ROUND(CG$1+CI$1*2.5,4))</f>
        <v/>
      </c>
      <c r="CL6">
        <f>IF(CI$1="","",COUNTIFS(INDEX('Data Entry'!$H$5:$BE$10004,0,$B$20),"&gt;="&amp;(CG$1+CI$1*2),INDEX('Data Entry'!$H$5:$BE$10004,0,$B$20),"&lt;"&amp;(CG$1+CI$1*3)))</f>
        <v/>
      </c>
      <c r="CM6">
        <f>IF(OR(INDEX(Capability!$P$5:$P$54,$B$20)="",CI$1=""),NA(),IF(AND(INDEX(Capability!$P$5:$P$54,$B$20)&gt;=(CG$1+CI$1*2),INDEX(Capability!$P$5:$P$54,$B$20)&lt;(CG$1+CI$1*3)),CK$1*1.15,NA()))</f>
        <v/>
      </c>
      <c r="CN6">
        <f>IF(OR(INDEX(Capability!$Q$5:$Q$54,$B$20)="",CI$1=""),NA(),IF(AND(INDEX(Capability!$Q$5:$Q$54,$B$20)&gt;=(CG$1+CI$1*2),INDEX(Capability!$Q$5:$Q$54,$B$20)&lt;(CG$1+CI$1*3)),CK$1*1.15,NA()))</f>
        <v/>
      </c>
      <c r="CP6">
        <f>IF((CS$1+2)&gt;CQ$1,NA(),(CS$1+2)-4)</f>
        <v/>
      </c>
      <c r="CQ6">
        <f>IF((CS$1+2)&gt;CQ$1,NA(),INDEX('Data Entry'!$H$5:$BE$10004,(CS$1+2)-4,$B$21))</f>
        <v/>
      </c>
      <c r="CR6">
        <f>IF(ISNA(CP6),NA(),INDEX(Capability!$K$5:$K$54,$B$21))</f>
        <v/>
      </c>
      <c r="CS6">
        <f>IF(ISNA(CP6),NA(),INDEX(Capability!$J$5:$J$54,$B$21))</f>
        <v/>
      </c>
      <c r="CT6">
        <f>IF(ISNA(CP6),NA(),INDEX(Capability!$L$5:$L$54,$B$21))</f>
        <v/>
      </c>
      <c r="CU6">
        <f>IF(OR(ISNA(CQ6),ISNA(CQ5)),NA(),ABS(CQ6-CQ5))</f>
        <v/>
      </c>
      <c r="CV6">
        <f>IF(ISNA(CP6),NA(),INDEX(Capability!$N$5:$N$54,$B$21))</f>
        <v/>
      </c>
      <c r="CW6">
        <f>IF(ISNA(CP6),NA(),IF(OR(INDEX(Capability!$Q$5:$Q$54,$B$21)="",Settings!$F$7&lt;&gt;"Y"),NA(),INDEX(Capability!$Q$5:$Q$54,$B$21)))</f>
        <v/>
      </c>
      <c r="CX6">
        <f>IF(ISNA(CP6),NA(),IF(OR(INDEX(Capability!$P$5:$P$54,$B$21)="",Settings!$F$7&lt;&gt;"Y"),NA(),INDEX(Capability!$P$5:$P$54,$B$21)))</f>
        <v/>
      </c>
      <c r="CY6">
        <f>IF(CW$1="","",ROUND(CU$1+CW$1*2.5,4))</f>
        <v/>
      </c>
      <c r="CZ6">
        <f>IF(CW$1="","",COUNTIFS(INDEX('Data Entry'!$H$5:$BE$10004,0,$B$21),"&gt;="&amp;(CU$1+CW$1*2),INDEX('Data Entry'!$H$5:$BE$10004,0,$B$21),"&lt;"&amp;(CU$1+CW$1*3)))</f>
        <v/>
      </c>
      <c r="DA6">
        <f>IF(OR(INDEX(Capability!$P$5:$P$54,$B$21)="",CW$1=""),NA(),IF(AND(INDEX(Capability!$P$5:$P$54,$B$21)&gt;=(CU$1+CW$1*2),INDEX(Capability!$P$5:$P$54,$B$21)&lt;(CU$1+CW$1*3)),CY$1*1.15,NA()))</f>
        <v/>
      </c>
      <c r="DB6">
        <f>IF(OR(INDEX(Capability!$Q$5:$Q$54,$B$21)="",CW$1=""),NA(),IF(AND(INDEX(Capability!$Q$5:$Q$54,$B$21)&gt;=(CU$1+CW$1*2),INDEX(Capability!$Q$5:$Q$54,$B$21)&lt;(CU$1+CW$1*3)),CY$1*1.15,NA()))</f>
        <v/>
      </c>
      <c r="DD6">
        <f>IF((DG$1+2)&gt;DE$1,NA(),(DG$1+2)-4)</f>
        <v/>
      </c>
      <c r="DE6">
        <f>IF((DG$1+2)&gt;DE$1,NA(),INDEX('Data Entry'!$H$5:$BE$10004,(DG$1+2)-4,$B$22))</f>
        <v/>
      </c>
      <c r="DF6">
        <f>IF(ISNA(DD6),NA(),INDEX(Capability!$K$5:$K$54,$B$22))</f>
        <v/>
      </c>
      <c r="DG6">
        <f>IF(ISNA(DD6),NA(),INDEX(Capability!$J$5:$J$54,$B$22))</f>
        <v/>
      </c>
      <c r="DH6">
        <f>IF(ISNA(DD6),NA(),INDEX(Capability!$L$5:$L$54,$B$22))</f>
        <v/>
      </c>
      <c r="DI6">
        <f>IF(OR(ISNA(DE6),ISNA(DE5)),NA(),ABS(DE6-DE5))</f>
        <v/>
      </c>
      <c r="DJ6">
        <f>IF(ISNA(DD6),NA(),INDEX(Capability!$N$5:$N$54,$B$22))</f>
        <v/>
      </c>
      <c r="DK6">
        <f>IF(ISNA(DD6),NA(),IF(OR(INDEX(Capability!$Q$5:$Q$54,$B$22)="",Settings!$F$7&lt;&gt;"Y"),NA(),INDEX(Capability!$Q$5:$Q$54,$B$22)))</f>
        <v/>
      </c>
      <c r="DL6">
        <f>IF(ISNA(DD6),NA(),IF(OR(INDEX(Capability!$P$5:$P$54,$B$22)="",Settings!$F$7&lt;&gt;"Y"),NA(),INDEX(Capability!$P$5:$P$54,$B$22)))</f>
        <v/>
      </c>
      <c r="DM6">
        <f>IF(DK$1="","",ROUND(DI$1+DK$1*2.5,4))</f>
        <v/>
      </c>
      <c r="DN6">
        <f>IF(DK$1="","",COUNTIFS(INDEX('Data Entry'!$H$5:$BE$10004,0,$B$22),"&gt;="&amp;(DI$1+DK$1*2),INDEX('Data Entry'!$H$5:$BE$10004,0,$B$22),"&lt;"&amp;(DI$1+DK$1*3)))</f>
        <v/>
      </c>
      <c r="DO6">
        <f>IF(OR(INDEX(Capability!$P$5:$P$54,$B$22)="",DK$1=""),NA(),IF(AND(INDEX(Capability!$P$5:$P$54,$B$22)&gt;=(DI$1+DK$1*2),INDEX(Capability!$P$5:$P$54,$B$22)&lt;(DI$1+DK$1*3)),DM$1*1.15,NA()))</f>
        <v/>
      </c>
      <c r="DP6">
        <f>IF(OR(INDEX(Capability!$Q$5:$Q$54,$B$22)="",DK$1=""),NA(),IF(AND(INDEX(Capability!$Q$5:$Q$54,$B$22)&gt;=(DI$1+DK$1*2),INDEX(Capability!$Q$5:$Q$54,$B$22)&lt;(DI$1+DK$1*3)),DM$1*1.15,NA()))</f>
        <v/>
      </c>
      <c r="DR6">
        <f>IF((DU$1+2)&gt;DS$1,NA(),(DU$1+2)-4)</f>
        <v/>
      </c>
      <c r="DS6">
        <f>IF((DU$1+2)&gt;DS$1,NA(),INDEX('Data Entry'!$H$5:$BE$10004,(DU$1+2)-4,$B$23))</f>
        <v/>
      </c>
      <c r="DT6">
        <f>IF(ISNA(DR6),NA(),INDEX(Capability!$K$5:$K$54,$B$23))</f>
        <v/>
      </c>
      <c r="DU6">
        <f>IF(ISNA(DR6),NA(),INDEX(Capability!$J$5:$J$54,$B$23))</f>
        <v/>
      </c>
      <c r="DV6">
        <f>IF(ISNA(DR6),NA(),INDEX(Capability!$L$5:$L$54,$B$23))</f>
        <v/>
      </c>
      <c r="DW6">
        <f>IF(OR(ISNA(DS6),ISNA(DS5)),NA(),ABS(DS6-DS5))</f>
        <v/>
      </c>
      <c r="DX6">
        <f>IF(ISNA(DR6),NA(),INDEX(Capability!$N$5:$N$54,$B$23))</f>
        <v/>
      </c>
      <c r="DY6">
        <f>IF(ISNA(DR6),NA(),IF(OR(INDEX(Capability!$Q$5:$Q$54,$B$23)="",Settings!$F$7&lt;&gt;"Y"),NA(),INDEX(Capability!$Q$5:$Q$54,$B$23)))</f>
        <v/>
      </c>
      <c r="DZ6">
        <f>IF(ISNA(DR6),NA(),IF(OR(INDEX(Capability!$P$5:$P$54,$B$23)="",Settings!$F$7&lt;&gt;"Y"),NA(),INDEX(Capability!$P$5:$P$54,$B$23)))</f>
        <v/>
      </c>
      <c r="EA6">
        <f>IF(DY$1="","",ROUND(DW$1+DY$1*2.5,4))</f>
        <v/>
      </c>
      <c r="EB6">
        <f>IF(DY$1="","",COUNTIFS(INDEX('Data Entry'!$H$5:$BE$10004,0,$B$23),"&gt;="&amp;(DW$1+DY$1*2),INDEX('Data Entry'!$H$5:$BE$10004,0,$B$23),"&lt;"&amp;(DW$1+DY$1*3)))</f>
        <v/>
      </c>
      <c r="EC6">
        <f>IF(OR(INDEX(Capability!$P$5:$P$54,$B$23)="",DY$1=""),NA(),IF(AND(INDEX(Capability!$P$5:$P$54,$B$23)&gt;=(DW$1+DY$1*2),INDEX(Capability!$P$5:$P$54,$B$23)&lt;(DW$1+DY$1*3)),EA$1*1.15,NA()))</f>
        <v/>
      </c>
      <c r="ED6">
        <f>IF(OR(INDEX(Capability!$Q$5:$Q$54,$B$23)="",DY$1=""),NA(),IF(AND(INDEX(Capability!$Q$5:$Q$54,$B$23)&gt;=(DW$1+DY$1*2),INDEX(Capability!$Q$5:$Q$54,$B$23)&lt;(DW$1+DY$1*3)),EA$1*1.15,NA()))</f>
        <v/>
      </c>
    </row>
    <row r="7">
      <c r="A7" s="10" t="inlineStr">
        <is>
          <t>Refresh Interval (s)</t>
        </is>
      </c>
      <c r="B7" s="39">
        <f>Settings!F10</f>
        <v/>
      </c>
      <c r="CB7">
        <f>IF((CE$1+3)&gt;CC$1,NA(),(CE$1+3)-4)</f>
        <v/>
      </c>
      <c r="CC7">
        <f>IF((CE$1+3)&gt;CC$1,NA(),INDEX('Data Entry'!$H$5:$BE$10004,(CE$1+3)-4,$B$20))</f>
        <v/>
      </c>
      <c r="CD7">
        <f>IF(ISNA(CB7),NA(),INDEX(Capability!$K$5:$K$54,$B$20))</f>
        <v/>
      </c>
      <c r="CE7">
        <f>IF(ISNA(CB7),NA(),INDEX(Capability!$J$5:$J$54,$B$20))</f>
        <v/>
      </c>
      <c r="CF7">
        <f>IF(ISNA(CB7),NA(),INDEX(Capability!$L$5:$L$54,$B$20))</f>
        <v/>
      </c>
      <c r="CG7">
        <f>IF(OR(ISNA(CC7),ISNA(CC6)),NA(),ABS(CC7-CC6))</f>
        <v/>
      </c>
      <c r="CH7">
        <f>IF(ISNA(CB7),NA(),INDEX(Capability!$N$5:$N$54,$B$20))</f>
        <v/>
      </c>
      <c r="CI7">
        <f>IF(ISNA(CB7),NA(),IF(OR(INDEX(Capability!$Q$5:$Q$54,$B$20)="",Settings!$F$7&lt;&gt;"Y"),NA(),INDEX(Capability!$Q$5:$Q$54,$B$20)))</f>
        <v/>
      </c>
      <c r="CJ7">
        <f>IF(ISNA(CB7),NA(),IF(OR(INDEX(Capability!$P$5:$P$54,$B$20)="",Settings!$F$7&lt;&gt;"Y"),NA(),INDEX(Capability!$P$5:$P$54,$B$20)))</f>
        <v/>
      </c>
      <c r="CK7">
        <f>IF(CI$1="","",ROUND(CG$1+CI$1*3.5,4))</f>
        <v/>
      </c>
      <c r="CL7">
        <f>IF(CI$1="","",COUNTIFS(INDEX('Data Entry'!$H$5:$BE$10004,0,$B$20),"&gt;="&amp;(CG$1+CI$1*3),INDEX('Data Entry'!$H$5:$BE$10004,0,$B$20),"&lt;"&amp;(CG$1+CI$1*4)))</f>
        <v/>
      </c>
      <c r="CM7">
        <f>IF(OR(INDEX(Capability!$P$5:$P$54,$B$20)="",CI$1=""),NA(),IF(AND(INDEX(Capability!$P$5:$P$54,$B$20)&gt;=(CG$1+CI$1*3),INDEX(Capability!$P$5:$P$54,$B$20)&lt;(CG$1+CI$1*4)),CK$1*1.15,NA()))</f>
        <v/>
      </c>
      <c r="CN7">
        <f>IF(OR(INDEX(Capability!$Q$5:$Q$54,$B$20)="",CI$1=""),NA(),IF(AND(INDEX(Capability!$Q$5:$Q$54,$B$20)&gt;=(CG$1+CI$1*3),INDEX(Capability!$Q$5:$Q$54,$B$20)&lt;(CG$1+CI$1*4)),CK$1*1.15,NA()))</f>
        <v/>
      </c>
      <c r="CP7">
        <f>IF((CS$1+3)&gt;CQ$1,NA(),(CS$1+3)-4)</f>
        <v/>
      </c>
      <c r="CQ7">
        <f>IF((CS$1+3)&gt;CQ$1,NA(),INDEX('Data Entry'!$H$5:$BE$10004,(CS$1+3)-4,$B$21))</f>
        <v/>
      </c>
      <c r="CR7">
        <f>IF(ISNA(CP7),NA(),INDEX(Capability!$K$5:$K$54,$B$21))</f>
        <v/>
      </c>
      <c r="CS7">
        <f>IF(ISNA(CP7),NA(),INDEX(Capability!$J$5:$J$54,$B$21))</f>
        <v/>
      </c>
      <c r="CT7">
        <f>IF(ISNA(CP7),NA(),INDEX(Capability!$L$5:$L$54,$B$21))</f>
        <v/>
      </c>
      <c r="CU7">
        <f>IF(OR(ISNA(CQ7),ISNA(CQ6)),NA(),ABS(CQ7-CQ6))</f>
        <v/>
      </c>
      <c r="CV7">
        <f>IF(ISNA(CP7),NA(),INDEX(Capability!$N$5:$N$54,$B$21))</f>
        <v/>
      </c>
      <c r="CW7">
        <f>IF(ISNA(CP7),NA(),IF(OR(INDEX(Capability!$Q$5:$Q$54,$B$21)="",Settings!$F$7&lt;&gt;"Y"),NA(),INDEX(Capability!$Q$5:$Q$54,$B$21)))</f>
        <v/>
      </c>
      <c r="CX7">
        <f>IF(ISNA(CP7),NA(),IF(OR(INDEX(Capability!$P$5:$P$54,$B$21)="",Settings!$F$7&lt;&gt;"Y"),NA(),INDEX(Capability!$P$5:$P$54,$B$21)))</f>
        <v/>
      </c>
      <c r="CY7">
        <f>IF(CW$1="","",ROUND(CU$1+CW$1*3.5,4))</f>
        <v/>
      </c>
      <c r="CZ7">
        <f>IF(CW$1="","",COUNTIFS(INDEX('Data Entry'!$H$5:$BE$10004,0,$B$21),"&gt;="&amp;(CU$1+CW$1*3),INDEX('Data Entry'!$H$5:$BE$10004,0,$B$21),"&lt;"&amp;(CU$1+CW$1*4)))</f>
        <v/>
      </c>
      <c r="DA7">
        <f>IF(OR(INDEX(Capability!$P$5:$P$54,$B$21)="",CW$1=""),NA(),IF(AND(INDEX(Capability!$P$5:$P$54,$B$21)&gt;=(CU$1+CW$1*3),INDEX(Capability!$P$5:$P$54,$B$21)&lt;(CU$1+CW$1*4)),CY$1*1.15,NA()))</f>
        <v/>
      </c>
      <c r="DB7">
        <f>IF(OR(INDEX(Capability!$Q$5:$Q$54,$B$21)="",CW$1=""),NA(),IF(AND(INDEX(Capability!$Q$5:$Q$54,$B$21)&gt;=(CU$1+CW$1*3),INDEX(Capability!$Q$5:$Q$54,$B$21)&lt;(CU$1+CW$1*4)),CY$1*1.15,NA()))</f>
        <v/>
      </c>
      <c r="DD7">
        <f>IF((DG$1+3)&gt;DE$1,NA(),(DG$1+3)-4)</f>
        <v/>
      </c>
      <c r="DE7">
        <f>IF((DG$1+3)&gt;DE$1,NA(),INDEX('Data Entry'!$H$5:$BE$10004,(DG$1+3)-4,$B$22))</f>
        <v/>
      </c>
      <c r="DF7">
        <f>IF(ISNA(DD7),NA(),INDEX(Capability!$K$5:$K$54,$B$22))</f>
        <v/>
      </c>
      <c r="DG7">
        <f>IF(ISNA(DD7),NA(),INDEX(Capability!$J$5:$J$54,$B$22))</f>
        <v/>
      </c>
      <c r="DH7">
        <f>IF(ISNA(DD7),NA(),INDEX(Capability!$L$5:$L$54,$B$22))</f>
        <v/>
      </c>
      <c r="DI7">
        <f>IF(OR(ISNA(DE7),ISNA(DE6)),NA(),ABS(DE7-DE6))</f>
        <v/>
      </c>
      <c r="DJ7">
        <f>IF(ISNA(DD7),NA(),INDEX(Capability!$N$5:$N$54,$B$22))</f>
        <v/>
      </c>
      <c r="DK7">
        <f>IF(ISNA(DD7),NA(),IF(OR(INDEX(Capability!$Q$5:$Q$54,$B$22)="",Settings!$F$7&lt;&gt;"Y"),NA(),INDEX(Capability!$Q$5:$Q$54,$B$22)))</f>
        <v/>
      </c>
      <c r="DL7">
        <f>IF(ISNA(DD7),NA(),IF(OR(INDEX(Capability!$P$5:$P$54,$B$22)="",Settings!$F$7&lt;&gt;"Y"),NA(),INDEX(Capability!$P$5:$P$54,$B$22)))</f>
        <v/>
      </c>
      <c r="DM7">
        <f>IF(DK$1="","",ROUND(DI$1+DK$1*3.5,4))</f>
        <v/>
      </c>
      <c r="DN7">
        <f>IF(DK$1="","",COUNTIFS(INDEX('Data Entry'!$H$5:$BE$10004,0,$B$22),"&gt;="&amp;(DI$1+DK$1*3),INDEX('Data Entry'!$H$5:$BE$10004,0,$B$22),"&lt;"&amp;(DI$1+DK$1*4)))</f>
        <v/>
      </c>
      <c r="DO7">
        <f>IF(OR(INDEX(Capability!$P$5:$P$54,$B$22)="",DK$1=""),NA(),IF(AND(INDEX(Capability!$P$5:$P$54,$B$22)&gt;=(DI$1+DK$1*3),INDEX(Capability!$P$5:$P$54,$B$22)&lt;(DI$1+DK$1*4)),DM$1*1.15,NA()))</f>
        <v/>
      </c>
      <c r="DP7">
        <f>IF(OR(INDEX(Capability!$Q$5:$Q$54,$B$22)="",DK$1=""),NA(),IF(AND(INDEX(Capability!$Q$5:$Q$54,$B$22)&gt;=(DI$1+DK$1*3),INDEX(Capability!$Q$5:$Q$54,$B$22)&lt;(DI$1+DK$1*4)),DM$1*1.15,NA()))</f>
        <v/>
      </c>
      <c r="DR7">
        <f>IF((DU$1+3)&gt;DS$1,NA(),(DU$1+3)-4)</f>
        <v/>
      </c>
      <c r="DS7">
        <f>IF((DU$1+3)&gt;DS$1,NA(),INDEX('Data Entry'!$H$5:$BE$10004,(DU$1+3)-4,$B$23))</f>
        <v/>
      </c>
      <c r="DT7">
        <f>IF(ISNA(DR7),NA(),INDEX(Capability!$K$5:$K$54,$B$23))</f>
        <v/>
      </c>
      <c r="DU7">
        <f>IF(ISNA(DR7),NA(),INDEX(Capability!$J$5:$J$54,$B$23))</f>
        <v/>
      </c>
      <c r="DV7">
        <f>IF(ISNA(DR7),NA(),INDEX(Capability!$L$5:$L$54,$B$23))</f>
        <v/>
      </c>
      <c r="DW7">
        <f>IF(OR(ISNA(DS7),ISNA(DS6)),NA(),ABS(DS7-DS6))</f>
        <v/>
      </c>
      <c r="DX7">
        <f>IF(ISNA(DR7),NA(),INDEX(Capability!$N$5:$N$54,$B$23))</f>
        <v/>
      </c>
      <c r="DY7">
        <f>IF(ISNA(DR7),NA(),IF(OR(INDEX(Capability!$Q$5:$Q$54,$B$23)="",Settings!$F$7&lt;&gt;"Y"),NA(),INDEX(Capability!$Q$5:$Q$54,$B$23)))</f>
        <v/>
      </c>
      <c r="DZ7">
        <f>IF(ISNA(DR7),NA(),IF(OR(INDEX(Capability!$P$5:$P$54,$B$23)="",Settings!$F$7&lt;&gt;"Y"),NA(),INDEX(Capability!$P$5:$P$54,$B$23)))</f>
        <v/>
      </c>
      <c r="EA7">
        <f>IF(DY$1="","",ROUND(DW$1+DY$1*3.5,4))</f>
        <v/>
      </c>
      <c r="EB7">
        <f>IF(DY$1="","",COUNTIFS(INDEX('Data Entry'!$H$5:$BE$10004,0,$B$23),"&gt;="&amp;(DW$1+DY$1*3),INDEX('Data Entry'!$H$5:$BE$10004,0,$B$23),"&lt;"&amp;(DW$1+DY$1*4)))</f>
        <v/>
      </c>
      <c r="EC7">
        <f>IF(OR(INDEX(Capability!$P$5:$P$54,$B$23)="",DY$1=""),NA(),IF(AND(INDEX(Capability!$P$5:$P$54,$B$23)&gt;=(DW$1+DY$1*3),INDEX(Capability!$P$5:$P$54,$B$23)&lt;(DW$1+DY$1*4)),EA$1*1.15,NA()))</f>
        <v/>
      </c>
      <c r="ED7">
        <f>IF(OR(INDEX(Capability!$Q$5:$Q$54,$B$23)="",DY$1=""),NA(),IF(AND(INDEX(Capability!$Q$5:$Q$54,$B$23)&gt;=(DW$1+DY$1*3),INDEX(Capability!$Q$5:$Q$54,$B$23)&lt;(DW$1+DY$1*4)),EA$1*1.15,NA()))</f>
        <v/>
      </c>
    </row>
    <row r="8">
      <c r="A8" s="10" t="inlineStr">
        <is>
          <t>Archive After Import</t>
        </is>
      </c>
      <c r="B8" s="39">
        <f>Settings!F11</f>
        <v/>
      </c>
      <c r="CB8">
        <f>IF((CE$1+4)&gt;CC$1,NA(),(CE$1+4)-4)</f>
        <v/>
      </c>
      <c r="CC8">
        <f>IF((CE$1+4)&gt;CC$1,NA(),INDEX('Data Entry'!$H$5:$BE$10004,(CE$1+4)-4,$B$20))</f>
        <v/>
      </c>
      <c r="CD8">
        <f>IF(ISNA(CB8),NA(),INDEX(Capability!$K$5:$K$54,$B$20))</f>
        <v/>
      </c>
      <c r="CE8">
        <f>IF(ISNA(CB8),NA(),INDEX(Capability!$J$5:$J$54,$B$20))</f>
        <v/>
      </c>
      <c r="CF8">
        <f>IF(ISNA(CB8),NA(),INDEX(Capability!$L$5:$L$54,$B$20))</f>
        <v/>
      </c>
      <c r="CG8">
        <f>IF(OR(ISNA(CC8),ISNA(CC7)),NA(),ABS(CC8-CC7))</f>
        <v/>
      </c>
      <c r="CH8">
        <f>IF(ISNA(CB8),NA(),INDEX(Capability!$N$5:$N$54,$B$20))</f>
        <v/>
      </c>
      <c r="CI8">
        <f>IF(ISNA(CB8),NA(),IF(OR(INDEX(Capability!$Q$5:$Q$54,$B$20)="",Settings!$F$7&lt;&gt;"Y"),NA(),INDEX(Capability!$Q$5:$Q$54,$B$20)))</f>
        <v/>
      </c>
      <c r="CJ8">
        <f>IF(ISNA(CB8),NA(),IF(OR(INDEX(Capability!$P$5:$P$54,$B$20)="",Settings!$F$7&lt;&gt;"Y"),NA(),INDEX(Capability!$P$5:$P$54,$B$20)))</f>
        <v/>
      </c>
      <c r="CK8">
        <f>IF(CI$1="","",ROUND(CG$1+CI$1*4.5,4))</f>
        <v/>
      </c>
      <c r="CL8">
        <f>IF(CI$1="","",COUNTIFS(INDEX('Data Entry'!$H$5:$BE$10004,0,$B$20),"&gt;="&amp;(CG$1+CI$1*4),INDEX('Data Entry'!$H$5:$BE$10004,0,$B$20),"&lt;"&amp;(CG$1+CI$1*5)))</f>
        <v/>
      </c>
      <c r="CM8">
        <f>IF(OR(INDEX(Capability!$P$5:$P$54,$B$20)="",CI$1=""),NA(),IF(AND(INDEX(Capability!$P$5:$P$54,$B$20)&gt;=(CG$1+CI$1*4),INDEX(Capability!$P$5:$P$54,$B$20)&lt;(CG$1+CI$1*5)),CK$1*1.15,NA()))</f>
        <v/>
      </c>
      <c r="CN8">
        <f>IF(OR(INDEX(Capability!$Q$5:$Q$54,$B$20)="",CI$1=""),NA(),IF(AND(INDEX(Capability!$Q$5:$Q$54,$B$20)&gt;=(CG$1+CI$1*4),INDEX(Capability!$Q$5:$Q$54,$B$20)&lt;(CG$1+CI$1*5)),CK$1*1.15,NA()))</f>
        <v/>
      </c>
      <c r="CP8">
        <f>IF((CS$1+4)&gt;CQ$1,NA(),(CS$1+4)-4)</f>
        <v/>
      </c>
      <c r="CQ8">
        <f>IF((CS$1+4)&gt;CQ$1,NA(),INDEX('Data Entry'!$H$5:$BE$10004,(CS$1+4)-4,$B$21))</f>
        <v/>
      </c>
      <c r="CR8">
        <f>IF(ISNA(CP8),NA(),INDEX(Capability!$K$5:$K$54,$B$21))</f>
        <v/>
      </c>
      <c r="CS8">
        <f>IF(ISNA(CP8),NA(),INDEX(Capability!$J$5:$J$54,$B$21))</f>
        <v/>
      </c>
      <c r="CT8">
        <f>IF(ISNA(CP8),NA(),INDEX(Capability!$L$5:$L$54,$B$21))</f>
        <v/>
      </c>
      <c r="CU8">
        <f>IF(OR(ISNA(CQ8),ISNA(CQ7)),NA(),ABS(CQ8-CQ7))</f>
        <v/>
      </c>
      <c r="CV8">
        <f>IF(ISNA(CP8),NA(),INDEX(Capability!$N$5:$N$54,$B$21))</f>
        <v/>
      </c>
      <c r="CW8">
        <f>IF(ISNA(CP8),NA(),IF(OR(INDEX(Capability!$Q$5:$Q$54,$B$21)="",Settings!$F$7&lt;&gt;"Y"),NA(),INDEX(Capability!$Q$5:$Q$54,$B$21)))</f>
        <v/>
      </c>
      <c r="CX8">
        <f>IF(ISNA(CP8),NA(),IF(OR(INDEX(Capability!$P$5:$P$54,$B$21)="",Settings!$F$7&lt;&gt;"Y"),NA(),INDEX(Capability!$P$5:$P$54,$B$21)))</f>
        <v/>
      </c>
      <c r="CY8">
        <f>IF(CW$1="","",ROUND(CU$1+CW$1*4.5,4))</f>
        <v/>
      </c>
      <c r="CZ8">
        <f>IF(CW$1="","",COUNTIFS(INDEX('Data Entry'!$H$5:$BE$10004,0,$B$21),"&gt;="&amp;(CU$1+CW$1*4),INDEX('Data Entry'!$H$5:$BE$10004,0,$B$21),"&lt;"&amp;(CU$1+CW$1*5)))</f>
        <v/>
      </c>
      <c r="DA8">
        <f>IF(OR(INDEX(Capability!$P$5:$P$54,$B$21)="",CW$1=""),NA(),IF(AND(INDEX(Capability!$P$5:$P$54,$B$21)&gt;=(CU$1+CW$1*4),INDEX(Capability!$P$5:$P$54,$B$21)&lt;(CU$1+CW$1*5)),CY$1*1.15,NA()))</f>
        <v/>
      </c>
      <c r="DB8">
        <f>IF(OR(INDEX(Capability!$Q$5:$Q$54,$B$21)="",CW$1=""),NA(),IF(AND(INDEX(Capability!$Q$5:$Q$54,$B$21)&gt;=(CU$1+CW$1*4),INDEX(Capability!$Q$5:$Q$54,$B$21)&lt;(CU$1+CW$1*5)),CY$1*1.15,NA()))</f>
        <v/>
      </c>
      <c r="DD8">
        <f>IF((DG$1+4)&gt;DE$1,NA(),(DG$1+4)-4)</f>
        <v/>
      </c>
      <c r="DE8">
        <f>IF((DG$1+4)&gt;DE$1,NA(),INDEX('Data Entry'!$H$5:$BE$10004,(DG$1+4)-4,$B$22))</f>
        <v/>
      </c>
      <c r="DF8">
        <f>IF(ISNA(DD8),NA(),INDEX(Capability!$K$5:$K$54,$B$22))</f>
        <v/>
      </c>
      <c r="DG8">
        <f>IF(ISNA(DD8),NA(),INDEX(Capability!$J$5:$J$54,$B$22))</f>
        <v/>
      </c>
      <c r="DH8">
        <f>IF(ISNA(DD8),NA(),INDEX(Capability!$L$5:$L$54,$B$22))</f>
        <v/>
      </c>
      <c r="DI8">
        <f>IF(OR(ISNA(DE8),ISNA(DE7)),NA(),ABS(DE8-DE7))</f>
        <v/>
      </c>
      <c r="DJ8">
        <f>IF(ISNA(DD8),NA(),INDEX(Capability!$N$5:$N$54,$B$22))</f>
        <v/>
      </c>
      <c r="DK8">
        <f>IF(ISNA(DD8),NA(),IF(OR(INDEX(Capability!$Q$5:$Q$54,$B$22)="",Settings!$F$7&lt;&gt;"Y"),NA(),INDEX(Capability!$Q$5:$Q$54,$B$22)))</f>
        <v/>
      </c>
      <c r="DL8">
        <f>IF(ISNA(DD8),NA(),IF(OR(INDEX(Capability!$P$5:$P$54,$B$22)="",Settings!$F$7&lt;&gt;"Y"),NA(),INDEX(Capability!$P$5:$P$54,$B$22)))</f>
        <v/>
      </c>
      <c r="DM8">
        <f>IF(DK$1="","",ROUND(DI$1+DK$1*4.5,4))</f>
        <v/>
      </c>
      <c r="DN8">
        <f>IF(DK$1="","",COUNTIFS(INDEX('Data Entry'!$H$5:$BE$10004,0,$B$22),"&gt;="&amp;(DI$1+DK$1*4),INDEX('Data Entry'!$H$5:$BE$10004,0,$B$22),"&lt;"&amp;(DI$1+DK$1*5)))</f>
        <v/>
      </c>
      <c r="DO8">
        <f>IF(OR(INDEX(Capability!$P$5:$P$54,$B$22)="",DK$1=""),NA(),IF(AND(INDEX(Capability!$P$5:$P$54,$B$22)&gt;=(DI$1+DK$1*4),INDEX(Capability!$P$5:$P$54,$B$22)&lt;(DI$1+DK$1*5)),DM$1*1.15,NA()))</f>
        <v/>
      </c>
      <c r="DP8">
        <f>IF(OR(INDEX(Capability!$Q$5:$Q$54,$B$22)="",DK$1=""),NA(),IF(AND(INDEX(Capability!$Q$5:$Q$54,$B$22)&gt;=(DI$1+DK$1*4),INDEX(Capability!$Q$5:$Q$54,$B$22)&lt;(DI$1+DK$1*5)),DM$1*1.15,NA()))</f>
        <v/>
      </c>
      <c r="DR8">
        <f>IF((DU$1+4)&gt;DS$1,NA(),(DU$1+4)-4)</f>
        <v/>
      </c>
      <c r="DS8">
        <f>IF((DU$1+4)&gt;DS$1,NA(),INDEX('Data Entry'!$H$5:$BE$10004,(DU$1+4)-4,$B$23))</f>
        <v/>
      </c>
      <c r="DT8">
        <f>IF(ISNA(DR8),NA(),INDEX(Capability!$K$5:$K$54,$B$23))</f>
        <v/>
      </c>
      <c r="DU8">
        <f>IF(ISNA(DR8),NA(),INDEX(Capability!$J$5:$J$54,$B$23))</f>
        <v/>
      </c>
      <c r="DV8">
        <f>IF(ISNA(DR8),NA(),INDEX(Capability!$L$5:$L$54,$B$23))</f>
        <v/>
      </c>
      <c r="DW8">
        <f>IF(OR(ISNA(DS8),ISNA(DS7)),NA(),ABS(DS8-DS7))</f>
        <v/>
      </c>
      <c r="DX8">
        <f>IF(ISNA(DR8),NA(),INDEX(Capability!$N$5:$N$54,$B$23))</f>
        <v/>
      </c>
      <c r="DY8">
        <f>IF(ISNA(DR8),NA(),IF(OR(INDEX(Capability!$Q$5:$Q$54,$B$23)="",Settings!$F$7&lt;&gt;"Y"),NA(),INDEX(Capability!$Q$5:$Q$54,$B$23)))</f>
        <v/>
      </c>
      <c r="DZ8">
        <f>IF(ISNA(DR8),NA(),IF(OR(INDEX(Capability!$P$5:$P$54,$B$23)="",Settings!$F$7&lt;&gt;"Y"),NA(),INDEX(Capability!$P$5:$P$54,$B$23)))</f>
        <v/>
      </c>
      <c r="EA8">
        <f>IF(DY$1="","",ROUND(DW$1+DY$1*4.5,4))</f>
        <v/>
      </c>
      <c r="EB8">
        <f>IF(DY$1="","",COUNTIFS(INDEX('Data Entry'!$H$5:$BE$10004,0,$B$23),"&gt;="&amp;(DW$1+DY$1*4),INDEX('Data Entry'!$H$5:$BE$10004,0,$B$23),"&lt;"&amp;(DW$1+DY$1*5)))</f>
        <v/>
      </c>
      <c r="EC8">
        <f>IF(OR(INDEX(Capability!$P$5:$P$54,$B$23)="",DY$1=""),NA(),IF(AND(INDEX(Capability!$P$5:$P$54,$B$23)&gt;=(DW$1+DY$1*4),INDEX(Capability!$P$5:$P$54,$B$23)&lt;(DW$1+DY$1*5)),EA$1*1.15,NA()))</f>
        <v/>
      </c>
      <c r="ED8">
        <f>IF(OR(INDEX(Capability!$Q$5:$Q$54,$B$23)="",DY$1=""),NA(),IF(AND(INDEX(Capability!$Q$5:$Q$54,$B$23)&gt;=(DW$1+DY$1*4),INDEX(Capability!$Q$5:$Q$54,$B$23)&lt;(DW$1+DY$1*5)),EA$1*1.15,NA()))</f>
        <v/>
      </c>
    </row>
    <row r="9">
      <c r="A9" s="10" t="inlineStr">
        <is>
          <t>Status</t>
        </is>
      </c>
      <c r="B9" s="36" t="inlineStr">
        <is>
          <t>IDLE</t>
        </is>
      </c>
      <c r="CB9">
        <f>IF((CE$1+5)&gt;CC$1,NA(),(CE$1+5)-4)</f>
        <v/>
      </c>
      <c r="CC9">
        <f>IF((CE$1+5)&gt;CC$1,NA(),INDEX('Data Entry'!$H$5:$BE$10004,(CE$1+5)-4,$B$20))</f>
        <v/>
      </c>
      <c r="CD9">
        <f>IF(ISNA(CB9),NA(),INDEX(Capability!$K$5:$K$54,$B$20))</f>
        <v/>
      </c>
      <c r="CE9">
        <f>IF(ISNA(CB9),NA(),INDEX(Capability!$J$5:$J$54,$B$20))</f>
        <v/>
      </c>
      <c r="CF9">
        <f>IF(ISNA(CB9),NA(),INDEX(Capability!$L$5:$L$54,$B$20))</f>
        <v/>
      </c>
      <c r="CG9">
        <f>IF(OR(ISNA(CC9),ISNA(CC8)),NA(),ABS(CC9-CC8))</f>
        <v/>
      </c>
      <c r="CH9">
        <f>IF(ISNA(CB9),NA(),INDEX(Capability!$N$5:$N$54,$B$20))</f>
        <v/>
      </c>
      <c r="CI9">
        <f>IF(ISNA(CB9),NA(),IF(OR(INDEX(Capability!$Q$5:$Q$54,$B$20)="",Settings!$F$7&lt;&gt;"Y"),NA(),INDEX(Capability!$Q$5:$Q$54,$B$20)))</f>
        <v/>
      </c>
      <c r="CJ9">
        <f>IF(ISNA(CB9),NA(),IF(OR(INDEX(Capability!$P$5:$P$54,$B$20)="",Settings!$F$7&lt;&gt;"Y"),NA(),INDEX(Capability!$P$5:$P$54,$B$20)))</f>
        <v/>
      </c>
      <c r="CK9">
        <f>IF(CI$1="","",ROUND(CG$1+CI$1*5.5,4))</f>
        <v/>
      </c>
      <c r="CL9">
        <f>IF(CI$1="","",COUNTIFS(INDEX('Data Entry'!$H$5:$BE$10004,0,$B$20),"&gt;="&amp;(CG$1+CI$1*5),INDEX('Data Entry'!$H$5:$BE$10004,0,$B$20),"&lt;"&amp;(CG$1+CI$1*6)))</f>
        <v/>
      </c>
      <c r="CM9">
        <f>IF(OR(INDEX(Capability!$P$5:$P$54,$B$20)="",CI$1=""),NA(),IF(AND(INDEX(Capability!$P$5:$P$54,$B$20)&gt;=(CG$1+CI$1*5),INDEX(Capability!$P$5:$P$54,$B$20)&lt;(CG$1+CI$1*6)),CK$1*1.15,NA()))</f>
        <v/>
      </c>
      <c r="CN9">
        <f>IF(OR(INDEX(Capability!$Q$5:$Q$54,$B$20)="",CI$1=""),NA(),IF(AND(INDEX(Capability!$Q$5:$Q$54,$B$20)&gt;=(CG$1+CI$1*5),INDEX(Capability!$Q$5:$Q$54,$B$20)&lt;(CG$1+CI$1*6)),CK$1*1.15,NA()))</f>
        <v/>
      </c>
      <c r="CP9">
        <f>IF((CS$1+5)&gt;CQ$1,NA(),(CS$1+5)-4)</f>
        <v/>
      </c>
      <c r="CQ9">
        <f>IF((CS$1+5)&gt;CQ$1,NA(),INDEX('Data Entry'!$H$5:$BE$10004,(CS$1+5)-4,$B$21))</f>
        <v/>
      </c>
      <c r="CR9">
        <f>IF(ISNA(CP9),NA(),INDEX(Capability!$K$5:$K$54,$B$21))</f>
        <v/>
      </c>
      <c r="CS9">
        <f>IF(ISNA(CP9),NA(),INDEX(Capability!$J$5:$J$54,$B$21))</f>
        <v/>
      </c>
      <c r="CT9">
        <f>IF(ISNA(CP9),NA(),INDEX(Capability!$L$5:$L$54,$B$21))</f>
        <v/>
      </c>
      <c r="CU9">
        <f>IF(OR(ISNA(CQ9),ISNA(CQ8)),NA(),ABS(CQ9-CQ8))</f>
        <v/>
      </c>
      <c r="CV9">
        <f>IF(ISNA(CP9),NA(),INDEX(Capability!$N$5:$N$54,$B$21))</f>
        <v/>
      </c>
      <c r="CW9">
        <f>IF(ISNA(CP9),NA(),IF(OR(INDEX(Capability!$Q$5:$Q$54,$B$21)="",Settings!$F$7&lt;&gt;"Y"),NA(),INDEX(Capability!$Q$5:$Q$54,$B$21)))</f>
        <v/>
      </c>
      <c r="CX9">
        <f>IF(ISNA(CP9),NA(),IF(OR(INDEX(Capability!$P$5:$P$54,$B$21)="",Settings!$F$7&lt;&gt;"Y"),NA(),INDEX(Capability!$P$5:$P$54,$B$21)))</f>
        <v/>
      </c>
      <c r="CY9">
        <f>IF(CW$1="","",ROUND(CU$1+CW$1*5.5,4))</f>
        <v/>
      </c>
      <c r="CZ9">
        <f>IF(CW$1="","",COUNTIFS(INDEX('Data Entry'!$H$5:$BE$10004,0,$B$21),"&gt;="&amp;(CU$1+CW$1*5),INDEX('Data Entry'!$H$5:$BE$10004,0,$B$21),"&lt;"&amp;(CU$1+CW$1*6)))</f>
        <v/>
      </c>
      <c r="DA9">
        <f>IF(OR(INDEX(Capability!$P$5:$P$54,$B$21)="",CW$1=""),NA(),IF(AND(INDEX(Capability!$P$5:$P$54,$B$21)&gt;=(CU$1+CW$1*5),INDEX(Capability!$P$5:$P$54,$B$21)&lt;(CU$1+CW$1*6)),CY$1*1.15,NA()))</f>
        <v/>
      </c>
      <c r="DB9">
        <f>IF(OR(INDEX(Capability!$Q$5:$Q$54,$B$21)="",CW$1=""),NA(),IF(AND(INDEX(Capability!$Q$5:$Q$54,$B$21)&gt;=(CU$1+CW$1*5),INDEX(Capability!$Q$5:$Q$54,$B$21)&lt;(CU$1+CW$1*6)),CY$1*1.15,NA()))</f>
        <v/>
      </c>
      <c r="DD9">
        <f>IF((DG$1+5)&gt;DE$1,NA(),(DG$1+5)-4)</f>
        <v/>
      </c>
      <c r="DE9">
        <f>IF((DG$1+5)&gt;DE$1,NA(),INDEX('Data Entry'!$H$5:$BE$10004,(DG$1+5)-4,$B$22))</f>
        <v/>
      </c>
      <c r="DF9">
        <f>IF(ISNA(DD9),NA(),INDEX(Capability!$K$5:$K$54,$B$22))</f>
        <v/>
      </c>
      <c r="DG9">
        <f>IF(ISNA(DD9),NA(),INDEX(Capability!$J$5:$J$54,$B$22))</f>
        <v/>
      </c>
      <c r="DH9">
        <f>IF(ISNA(DD9),NA(),INDEX(Capability!$L$5:$L$54,$B$22))</f>
        <v/>
      </c>
      <c r="DI9">
        <f>IF(OR(ISNA(DE9),ISNA(DE8)),NA(),ABS(DE9-DE8))</f>
        <v/>
      </c>
      <c r="DJ9">
        <f>IF(ISNA(DD9),NA(),INDEX(Capability!$N$5:$N$54,$B$22))</f>
        <v/>
      </c>
      <c r="DK9">
        <f>IF(ISNA(DD9),NA(),IF(OR(INDEX(Capability!$Q$5:$Q$54,$B$22)="",Settings!$F$7&lt;&gt;"Y"),NA(),INDEX(Capability!$Q$5:$Q$54,$B$22)))</f>
        <v/>
      </c>
      <c r="DL9">
        <f>IF(ISNA(DD9),NA(),IF(OR(INDEX(Capability!$P$5:$P$54,$B$22)="",Settings!$F$7&lt;&gt;"Y"),NA(),INDEX(Capability!$P$5:$P$54,$B$22)))</f>
        <v/>
      </c>
      <c r="DM9">
        <f>IF(DK$1="","",ROUND(DI$1+DK$1*5.5,4))</f>
        <v/>
      </c>
      <c r="DN9">
        <f>IF(DK$1="","",COUNTIFS(INDEX('Data Entry'!$H$5:$BE$10004,0,$B$22),"&gt;="&amp;(DI$1+DK$1*5),INDEX('Data Entry'!$H$5:$BE$10004,0,$B$22),"&lt;"&amp;(DI$1+DK$1*6)))</f>
        <v/>
      </c>
      <c r="DO9">
        <f>IF(OR(INDEX(Capability!$P$5:$P$54,$B$22)="",DK$1=""),NA(),IF(AND(INDEX(Capability!$P$5:$P$54,$B$22)&gt;=(DI$1+DK$1*5),INDEX(Capability!$P$5:$P$54,$B$22)&lt;(DI$1+DK$1*6)),DM$1*1.15,NA()))</f>
        <v/>
      </c>
      <c r="DP9">
        <f>IF(OR(INDEX(Capability!$Q$5:$Q$54,$B$22)="",DK$1=""),NA(),IF(AND(INDEX(Capability!$Q$5:$Q$54,$B$22)&gt;=(DI$1+DK$1*5),INDEX(Capability!$Q$5:$Q$54,$B$22)&lt;(DI$1+DK$1*6)),DM$1*1.15,NA()))</f>
        <v/>
      </c>
      <c r="DR9">
        <f>IF((DU$1+5)&gt;DS$1,NA(),(DU$1+5)-4)</f>
        <v/>
      </c>
      <c r="DS9">
        <f>IF((DU$1+5)&gt;DS$1,NA(),INDEX('Data Entry'!$H$5:$BE$10004,(DU$1+5)-4,$B$23))</f>
        <v/>
      </c>
      <c r="DT9">
        <f>IF(ISNA(DR9),NA(),INDEX(Capability!$K$5:$K$54,$B$23))</f>
        <v/>
      </c>
      <c r="DU9">
        <f>IF(ISNA(DR9),NA(),INDEX(Capability!$J$5:$J$54,$B$23))</f>
        <v/>
      </c>
      <c r="DV9">
        <f>IF(ISNA(DR9),NA(),INDEX(Capability!$L$5:$L$54,$B$23))</f>
        <v/>
      </c>
      <c r="DW9">
        <f>IF(OR(ISNA(DS9),ISNA(DS8)),NA(),ABS(DS9-DS8))</f>
        <v/>
      </c>
      <c r="DX9">
        <f>IF(ISNA(DR9),NA(),INDEX(Capability!$N$5:$N$54,$B$23))</f>
        <v/>
      </c>
      <c r="DY9">
        <f>IF(ISNA(DR9),NA(),IF(OR(INDEX(Capability!$Q$5:$Q$54,$B$23)="",Settings!$F$7&lt;&gt;"Y"),NA(),INDEX(Capability!$Q$5:$Q$54,$B$23)))</f>
        <v/>
      </c>
      <c r="DZ9">
        <f>IF(ISNA(DR9),NA(),IF(OR(INDEX(Capability!$P$5:$P$54,$B$23)="",Settings!$F$7&lt;&gt;"Y"),NA(),INDEX(Capability!$P$5:$P$54,$B$23)))</f>
        <v/>
      </c>
      <c r="EA9">
        <f>IF(DY$1="","",ROUND(DW$1+DY$1*5.5,4))</f>
        <v/>
      </c>
      <c r="EB9">
        <f>IF(DY$1="","",COUNTIFS(INDEX('Data Entry'!$H$5:$BE$10004,0,$B$23),"&gt;="&amp;(DW$1+DY$1*5),INDEX('Data Entry'!$H$5:$BE$10004,0,$B$23),"&lt;"&amp;(DW$1+DY$1*6)))</f>
        <v/>
      </c>
      <c r="EC9">
        <f>IF(OR(INDEX(Capability!$P$5:$P$54,$B$23)="",DY$1=""),NA(),IF(AND(INDEX(Capability!$P$5:$P$54,$B$23)&gt;=(DW$1+DY$1*5),INDEX(Capability!$P$5:$P$54,$B$23)&lt;(DW$1+DY$1*6)),EA$1*1.15,NA()))</f>
        <v/>
      </c>
      <c r="ED9">
        <f>IF(OR(INDEX(Capability!$Q$5:$Q$54,$B$23)="",DY$1=""),NA(),IF(AND(INDEX(Capability!$Q$5:$Q$54,$B$23)&gt;=(DW$1+DY$1*5),INDEX(Capability!$Q$5:$Q$54,$B$23)&lt;(DW$1+DY$1*6)),EA$1*1.15,NA()))</f>
        <v/>
      </c>
    </row>
    <row r="10">
      <c r="A10" s="10" t="inlineStr">
        <is>
          <t>Last Scan</t>
        </is>
      </c>
      <c r="B10" s="36" t="inlineStr"/>
      <c r="CB10">
        <f>IF((CE$1+6)&gt;CC$1,NA(),(CE$1+6)-4)</f>
        <v/>
      </c>
      <c r="CC10">
        <f>IF((CE$1+6)&gt;CC$1,NA(),INDEX('Data Entry'!$H$5:$BE$10004,(CE$1+6)-4,$B$20))</f>
        <v/>
      </c>
      <c r="CD10">
        <f>IF(ISNA(CB10),NA(),INDEX(Capability!$K$5:$K$54,$B$20))</f>
        <v/>
      </c>
      <c r="CE10">
        <f>IF(ISNA(CB10),NA(),INDEX(Capability!$J$5:$J$54,$B$20))</f>
        <v/>
      </c>
      <c r="CF10">
        <f>IF(ISNA(CB10),NA(),INDEX(Capability!$L$5:$L$54,$B$20))</f>
        <v/>
      </c>
      <c r="CG10">
        <f>IF(OR(ISNA(CC10),ISNA(CC9)),NA(),ABS(CC10-CC9))</f>
        <v/>
      </c>
      <c r="CH10">
        <f>IF(ISNA(CB10),NA(),INDEX(Capability!$N$5:$N$54,$B$20))</f>
        <v/>
      </c>
      <c r="CI10">
        <f>IF(ISNA(CB10),NA(),IF(OR(INDEX(Capability!$Q$5:$Q$54,$B$20)="",Settings!$F$7&lt;&gt;"Y"),NA(),INDEX(Capability!$Q$5:$Q$54,$B$20)))</f>
        <v/>
      </c>
      <c r="CJ10">
        <f>IF(ISNA(CB10),NA(),IF(OR(INDEX(Capability!$P$5:$P$54,$B$20)="",Settings!$F$7&lt;&gt;"Y"),NA(),INDEX(Capability!$P$5:$P$54,$B$20)))</f>
        <v/>
      </c>
      <c r="CK10">
        <f>IF(CI$1="","",ROUND(CG$1+CI$1*6.5,4))</f>
        <v/>
      </c>
      <c r="CL10">
        <f>IF(CI$1="","",COUNTIFS(INDEX('Data Entry'!$H$5:$BE$10004,0,$B$20),"&gt;="&amp;(CG$1+CI$1*6),INDEX('Data Entry'!$H$5:$BE$10004,0,$B$20),"&lt;"&amp;(CG$1+CI$1*7)))</f>
        <v/>
      </c>
      <c r="CM10">
        <f>IF(OR(INDEX(Capability!$P$5:$P$54,$B$20)="",CI$1=""),NA(),IF(AND(INDEX(Capability!$P$5:$P$54,$B$20)&gt;=(CG$1+CI$1*6),INDEX(Capability!$P$5:$P$54,$B$20)&lt;(CG$1+CI$1*7)),CK$1*1.15,NA()))</f>
        <v/>
      </c>
      <c r="CN10">
        <f>IF(OR(INDEX(Capability!$Q$5:$Q$54,$B$20)="",CI$1=""),NA(),IF(AND(INDEX(Capability!$Q$5:$Q$54,$B$20)&gt;=(CG$1+CI$1*6),INDEX(Capability!$Q$5:$Q$54,$B$20)&lt;(CG$1+CI$1*7)),CK$1*1.15,NA()))</f>
        <v/>
      </c>
      <c r="CP10">
        <f>IF((CS$1+6)&gt;CQ$1,NA(),(CS$1+6)-4)</f>
        <v/>
      </c>
      <c r="CQ10">
        <f>IF((CS$1+6)&gt;CQ$1,NA(),INDEX('Data Entry'!$H$5:$BE$10004,(CS$1+6)-4,$B$21))</f>
        <v/>
      </c>
      <c r="CR10">
        <f>IF(ISNA(CP10),NA(),INDEX(Capability!$K$5:$K$54,$B$21))</f>
        <v/>
      </c>
      <c r="CS10">
        <f>IF(ISNA(CP10),NA(),INDEX(Capability!$J$5:$J$54,$B$21))</f>
        <v/>
      </c>
      <c r="CT10">
        <f>IF(ISNA(CP10),NA(),INDEX(Capability!$L$5:$L$54,$B$21))</f>
        <v/>
      </c>
      <c r="CU10">
        <f>IF(OR(ISNA(CQ10),ISNA(CQ9)),NA(),ABS(CQ10-CQ9))</f>
        <v/>
      </c>
      <c r="CV10">
        <f>IF(ISNA(CP10),NA(),INDEX(Capability!$N$5:$N$54,$B$21))</f>
        <v/>
      </c>
      <c r="CW10">
        <f>IF(ISNA(CP10),NA(),IF(OR(INDEX(Capability!$Q$5:$Q$54,$B$21)="",Settings!$F$7&lt;&gt;"Y"),NA(),INDEX(Capability!$Q$5:$Q$54,$B$21)))</f>
        <v/>
      </c>
      <c r="CX10">
        <f>IF(ISNA(CP10),NA(),IF(OR(INDEX(Capability!$P$5:$P$54,$B$21)="",Settings!$F$7&lt;&gt;"Y"),NA(),INDEX(Capability!$P$5:$P$54,$B$21)))</f>
        <v/>
      </c>
      <c r="CY10">
        <f>IF(CW$1="","",ROUND(CU$1+CW$1*6.5,4))</f>
        <v/>
      </c>
      <c r="CZ10">
        <f>IF(CW$1="","",COUNTIFS(INDEX('Data Entry'!$H$5:$BE$10004,0,$B$21),"&gt;="&amp;(CU$1+CW$1*6),INDEX('Data Entry'!$H$5:$BE$10004,0,$B$21),"&lt;"&amp;(CU$1+CW$1*7)))</f>
        <v/>
      </c>
      <c r="DA10">
        <f>IF(OR(INDEX(Capability!$P$5:$P$54,$B$21)="",CW$1=""),NA(),IF(AND(INDEX(Capability!$P$5:$P$54,$B$21)&gt;=(CU$1+CW$1*6),INDEX(Capability!$P$5:$P$54,$B$21)&lt;(CU$1+CW$1*7)),CY$1*1.15,NA()))</f>
        <v/>
      </c>
      <c r="DB10">
        <f>IF(OR(INDEX(Capability!$Q$5:$Q$54,$B$21)="",CW$1=""),NA(),IF(AND(INDEX(Capability!$Q$5:$Q$54,$B$21)&gt;=(CU$1+CW$1*6),INDEX(Capability!$Q$5:$Q$54,$B$21)&lt;(CU$1+CW$1*7)),CY$1*1.15,NA()))</f>
        <v/>
      </c>
      <c r="DD10">
        <f>IF((DG$1+6)&gt;DE$1,NA(),(DG$1+6)-4)</f>
        <v/>
      </c>
      <c r="DE10">
        <f>IF((DG$1+6)&gt;DE$1,NA(),INDEX('Data Entry'!$H$5:$BE$10004,(DG$1+6)-4,$B$22))</f>
        <v/>
      </c>
      <c r="DF10">
        <f>IF(ISNA(DD10),NA(),INDEX(Capability!$K$5:$K$54,$B$22))</f>
        <v/>
      </c>
      <c r="DG10">
        <f>IF(ISNA(DD10),NA(),INDEX(Capability!$J$5:$J$54,$B$22))</f>
        <v/>
      </c>
      <c r="DH10">
        <f>IF(ISNA(DD10),NA(),INDEX(Capability!$L$5:$L$54,$B$22))</f>
        <v/>
      </c>
      <c r="DI10">
        <f>IF(OR(ISNA(DE10),ISNA(DE9)),NA(),ABS(DE10-DE9))</f>
        <v/>
      </c>
      <c r="DJ10">
        <f>IF(ISNA(DD10),NA(),INDEX(Capability!$N$5:$N$54,$B$22))</f>
        <v/>
      </c>
      <c r="DK10">
        <f>IF(ISNA(DD10),NA(),IF(OR(INDEX(Capability!$Q$5:$Q$54,$B$22)="",Settings!$F$7&lt;&gt;"Y"),NA(),INDEX(Capability!$Q$5:$Q$54,$B$22)))</f>
        <v/>
      </c>
      <c r="DL10">
        <f>IF(ISNA(DD10),NA(),IF(OR(INDEX(Capability!$P$5:$P$54,$B$22)="",Settings!$F$7&lt;&gt;"Y"),NA(),INDEX(Capability!$P$5:$P$54,$B$22)))</f>
        <v/>
      </c>
      <c r="DM10">
        <f>IF(DK$1="","",ROUND(DI$1+DK$1*6.5,4))</f>
        <v/>
      </c>
      <c r="DN10">
        <f>IF(DK$1="","",COUNTIFS(INDEX('Data Entry'!$H$5:$BE$10004,0,$B$22),"&gt;="&amp;(DI$1+DK$1*6),INDEX('Data Entry'!$H$5:$BE$10004,0,$B$22),"&lt;"&amp;(DI$1+DK$1*7)))</f>
        <v/>
      </c>
      <c r="DO10">
        <f>IF(OR(INDEX(Capability!$P$5:$P$54,$B$22)="",DK$1=""),NA(),IF(AND(INDEX(Capability!$P$5:$P$54,$B$22)&gt;=(DI$1+DK$1*6),INDEX(Capability!$P$5:$P$54,$B$22)&lt;(DI$1+DK$1*7)),DM$1*1.15,NA()))</f>
        <v/>
      </c>
      <c r="DP10">
        <f>IF(OR(INDEX(Capability!$Q$5:$Q$54,$B$22)="",DK$1=""),NA(),IF(AND(INDEX(Capability!$Q$5:$Q$54,$B$22)&gt;=(DI$1+DK$1*6),INDEX(Capability!$Q$5:$Q$54,$B$22)&lt;(DI$1+DK$1*7)),DM$1*1.15,NA()))</f>
        <v/>
      </c>
      <c r="DR10">
        <f>IF((DU$1+6)&gt;DS$1,NA(),(DU$1+6)-4)</f>
        <v/>
      </c>
      <c r="DS10">
        <f>IF((DU$1+6)&gt;DS$1,NA(),INDEX('Data Entry'!$H$5:$BE$10004,(DU$1+6)-4,$B$23))</f>
        <v/>
      </c>
      <c r="DT10">
        <f>IF(ISNA(DR10),NA(),INDEX(Capability!$K$5:$K$54,$B$23))</f>
        <v/>
      </c>
      <c r="DU10">
        <f>IF(ISNA(DR10),NA(),INDEX(Capability!$J$5:$J$54,$B$23))</f>
        <v/>
      </c>
      <c r="DV10">
        <f>IF(ISNA(DR10),NA(),INDEX(Capability!$L$5:$L$54,$B$23))</f>
        <v/>
      </c>
      <c r="DW10">
        <f>IF(OR(ISNA(DS10),ISNA(DS9)),NA(),ABS(DS10-DS9))</f>
        <v/>
      </c>
      <c r="DX10">
        <f>IF(ISNA(DR10),NA(),INDEX(Capability!$N$5:$N$54,$B$23))</f>
        <v/>
      </c>
      <c r="DY10">
        <f>IF(ISNA(DR10),NA(),IF(OR(INDEX(Capability!$Q$5:$Q$54,$B$23)="",Settings!$F$7&lt;&gt;"Y"),NA(),INDEX(Capability!$Q$5:$Q$54,$B$23)))</f>
        <v/>
      </c>
      <c r="DZ10">
        <f>IF(ISNA(DR10),NA(),IF(OR(INDEX(Capability!$P$5:$P$54,$B$23)="",Settings!$F$7&lt;&gt;"Y"),NA(),INDEX(Capability!$P$5:$P$54,$B$23)))</f>
        <v/>
      </c>
      <c r="EA10">
        <f>IF(DY$1="","",ROUND(DW$1+DY$1*6.5,4))</f>
        <v/>
      </c>
      <c r="EB10">
        <f>IF(DY$1="","",COUNTIFS(INDEX('Data Entry'!$H$5:$BE$10004,0,$B$23),"&gt;="&amp;(DW$1+DY$1*6),INDEX('Data Entry'!$H$5:$BE$10004,0,$B$23),"&lt;"&amp;(DW$1+DY$1*7)))</f>
        <v/>
      </c>
      <c r="EC10">
        <f>IF(OR(INDEX(Capability!$P$5:$P$54,$B$23)="",DY$1=""),NA(),IF(AND(INDEX(Capability!$P$5:$P$54,$B$23)&gt;=(DW$1+DY$1*6),INDEX(Capability!$P$5:$P$54,$B$23)&lt;(DW$1+DY$1*7)),EA$1*1.15,NA()))</f>
        <v/>
      </c>
      <c r="ED10">
        <f>IF(OR(INDEX(Capability!$Q$5:$Q$54,$B$23)="",DY$1=""),NA(),IF(AND(INDEX(Capability!$Q$5:$Q$54,$B$23)&gt;=(DW$1+DY$1*6),INDEX(Capability!$Q$5:$Q$54,$B$23)&lt;(DW$1+DY$1*7)),EA$1*1.15,NA()))</f>
        <v/>
      </c>
    </row>
    <row r="11">
      <c r="A11" s="10" t="inlineStr">
        <is>
          <t>Files Imported</t>
        </is>
      </c>
      <c r="B11" s="36" t="n">
        <v>0</v>
      </c>
      <c r="CB11">
        <f>IF((CE$1+7)&gt;CC$1,NA(),(CE$1+7)-4)</f>
        <v/>
      </c>
      <c r="CC11">
        <f>IF((CE$1+7)&gt;CC$1,NA(),INDEX('Data Entry'!$H$5:$BE$10004,(CE$1+7)-4,$B$20))</f>
        <v/>
      </c>
      <c r="CD11">
        <f>IF(ISNA(CB11),NA(),INDEX(Capability!$K$5:$K$54,$B$20))</f>
        <v/>
      </c>
      <c r="CE11">
        <f>IF(ISNA(CB11),NA(),INDEX(Capability!$J$5:$J$54,$B$20))</f>
        <v/>
      </c>
      <c r="CF11">
        <f>IF(ISNA(CB11),NA(),INDEX(Capability!$L$5:$L$54,$B$20))</f>
        <v/>
      </c>
      <c r="CG11">
        <f>IF(OR(ISNA(CC11),ISNA(CC10)),NA(),ABS(CC11-CC10))</f>
        <v/>
      </c>
      <c r="CH11">
        <f>IF(ISNA(CB11),NA(),INDEX(Capability!$N$5:$N$54,$B$20))</f>
        <v/>
      </c>
      <c r="CI11">
        <f>IF(ISNA(CB11),NA(),IF(OR(INDEX(Capability!$Q$5:$Q$54,$B$20)="",Settings!$F$7&lt;&gt;"Y"),NA(),INDEX(Capability!$Q$5:$Q$54,$B$20)))</f>
        <v/>
      </c>
      <c r="CJ11">
        <f>IF(ISNA(CB11),NA(),IF(OR(INDEX(Capability!$P$5:$P$54,$B$20)="",Settings!$F$7&lt;&gt;"Y"),NA(),INDEX(Capability!$P$5:$P$54,$B$20)))</f>
        <v/>
      </c>
      <c r="CK11">
        <f>IF(CI$1="","",ROUND(CG$1+CI$1*7.5,4))</f>
        <v/>
      </c>
      <c r="CL11">
        <f>IF(CI$1="","",COUNTIFS(INDEX('Data Entry'!$H$5:$BE$10004,0,$B$20),"&gt;="&amp;(CG$1+CI$1*7),INDEX('Data Entry'!$H$5:$BE$10004,0,$B$20),"&lt;"&amp;(CG$1+CI$1*8)))</f>
        <v/>
      </c>
      <c r="CM11">
        <f>IF(OR(INDEX(Capability!$P$5:$P$54,$B$20)="",CI$1=""),NA(),IF(AND(INDEX(Capability!$P$5:$P$54,$B$20)&gt;=(CG$1+CI$1*7),INDEX(Capability!$P$5:$P$54,$B$20)&lt;(CG$1+CI$1*8)),CK$1*1.15,NA()))</f>
        <v/>
      </c>
      <c r="CN11">
        <f>IF(OR(INDEX(Capability!$Q$5:$Q$54,$B$20)="",CI$1=""),NA(),IF(AND(INDEX(Capability!$Q$5:$Q$54,$B$20)&gt;=(CG$1+CI$1*7),INDEX(Capability!$Q$5:$Q$54,$B$20)&lt;(CG$1+CI$1*8)),CK$1*1.15,NA()))</f>
        <v/>
      </c>
      <c r="CP11">
        <f>IF((CS$1+7)&gt;CQ$1,NA(),(CS$1+7)-4)</f>
        <v/>
      </c>
      <c r="CQ11">
        <f>IF((CS$1+7)&gt;CQ$1,NA(),INDEX('Data Entry'!$H$5:$BE$10004,(CS$1+7)-4,$B$21))</f>
        <v/>
      </c>
      <c r="CR11">
        <f>IF(ISNA(CP11),NA(),INDEX(Capability!$K$5:$K$54,$B$21))</f>
        <v/>
      </c>
      <c r="CS11">
        <f>IF(ISNA(CP11),NA(),INDEX(Capability!$J$5:$J$54,$B$21))</f>
        <v/>
      </c>
      <c r="CT11">
        <f>IF(ISNA(CP11),NA(),INDEX(Capability!$L$5:$L$54,$B$21))</f>
        <v/>
      </c>
      <c r="CU11">
        <f>IF(OR(ISNA(CQ11),ISNA(CQ10)),NA(),ABS(CQ11-CQ10))</f>
        <v/>
      </c>
      <c r="CV11">
        <f>IF(ISNA(CP11),NA(),INDEX(Capability!$N$5:$N$54,$B$21))</f>
        <v/>
      </c>
      <c r="CW11">
        <f>IF(ISNA(CP11),NA(),IF(OR(INDEX(Capability!$Q$5:$Q$54,$B$21)="",Settings!$F$7&lt;&gt;"Y"),NA(),INDEX(Capability!$Q$5:$Q$54,$B$21)))</f>
        <v/>
      </c>
      <c r="CX11">
        <f>IF(ISNA(CP11),NA(),IF(OR(INDEX(Capability!$P$5:$P$54,$B$21)="",Settings!$F$7&lt;&gt;"Y"),NA(),INDEX(Capability!$P$5:$P$54,$B$21)))</f>
        <v/>
      </c>
      <c r="CY11">
        <f>IF(CW$1="","",ROUND(CU$1+CW$1*7.5,4))</f>
        <v/>
      </c>
      <c r="CZ11">
        <f>IF(CW$1="","",COUNTIFS(INDEX('Data Entry'!$H$5:$BE$10004,0,$B$21),"&gt;="&amp;(CU$1+CW$1*7),INDEX('Data Entry'!$H$5:$BE$10004,0,$B$21),"&lt;"&amp;(CU$1+CW$1*8)))</f>
        <v/>
      </c>
      <c r="DA11">
        <f>IF(OR(INDEX(Capability!$P$5:$P$54,$B$21)="",CW$1=""),NA(),IF(AND(INDEX(Capability!$P$5:$P$54,$B$21)&gt;=(CU$1+CW$1*7),INDEX(Capability!$P$5:$P$54,$B$21)&lt;(CU$1+CW$1*8)),CY$1*1.15,NA()))</f>
        <v/>
      </c>
      <c r="DB11">
        <f>IF(OR(INDEX(Capability!$Q$5:$Q$54,$B$21)="",CW$1=""),NA(),IF(AND(INDEX(Capability!$Q$5:$Q$54,$B$21)&gt;=(CU$1+CW$1*7),INDEX(Capability!$Q$5:$Q$54,$B$21)&lt;(CU$1+CW$1*8)),CY$1*1.15,NA()))</f>
        <v/>
      </c>
      <c r="DD11">
        <f>IF((DG$1+7)&gt;DE$1,NA(),(DG$1+7)-4)</f>
        <v/>
      </c>
      <c r="DE11">
        <f>IF((DG$1+7)&gt;DE$1,NA(),INDEX('Data Entry'!$H$5:$BE$10004,(DG$1+7)-4,$B$22))</f>
        <v/>
      </c>
      <c r="DF11">
        <f>IF(ISNA(DD11),NA(),INDEX(Capability!$K$5:$K$54,$B$22))</f>
        <v/>
      </c>
      <c r="DG11">
        <f>IF(ISNA(DD11),NA(),INDEX(Capability!$J$5:$J$54,$B$22))</f>
        <v/>
      </c>
      <c r="DH11">
        <f>IF(ISNA(DD11),NA(),INDEX(Capability!$L$5:$L$54,$B$22))</f>
        <v/>
      </c>
      <c r="DI11">
        <f>IF(OR(ISNA(DE11),ISNA(DE10)),NA(),ABS(DE11-DE10))</f>
        <v/>
      </c>
      <c r="DJ11">
        <f>IF(ISNA(DD11),NA(),INDEX(Capability!$N$5:$N$54,$B$22))</f>
        <v/>
      </c>
      <c r="DK11">
        <f>IF(ISNA(DD11),NA(),IF(OR(INDEX(Capability!$Q$5:$Q$54,$B$22)="",Settings!$F$7&lt;&gt;"Y"),NA(),INDEX(Capability!$Q$5:$Q$54,$B$22)))</f>
        <v/>
      </c>
      <c r="DL11">
        <f>IF(ISNA(DD11),NA(),IF(OR(INDEX(Capability!$P$5:$P$54,$B$22)="",Settings!$F$7&lt;&gt;"Y"),NA(),INDEX(Capability!$P$5:$P$54,$B$22)))</f>
        <v/>
      </c>
      <c r="DM11">
        <f>IF(DK$1="","",ROUND(DI$1+DK$1*7.5,4))</f>
        <v/>
      </c>
      <c r="DN11">
        <f>IF(DK$1="","",COUNTIFS(INDEX('Data Entry'!$H$5:$BE$10004,0,$B$22),"&gt;="&amp;(DI$1+DK$1*7),INDEX('Data Entry'!$H$5:$BE$10004,0,$B$22),"&lt;"&amp;(DI$1+DK$1*8)))</f>
        <v/>
      </c>
      <c r="DO11">
        <f>IF(OR(INDEX(Capability!$P$5:$P$54,$B$22)="",DK$1=""),NA(),IF(AND(INDEX(Capability!$P$5:$P$54,$B$22)&gt;=(DI$1+DK$1*7),INDEX(Capability!$P$5:$P$54,$B$22)&lt;(DI$1+DK$1*8)),DM$1*1.15,NA()))</f>
        <v/>
      </c>
      <c r="DP11">
        <f>IF(OR(INDEX(Capability!$Q$5:$Q$54,$B$22)="",DK$1=""),NA(),IF(AND(INDEX(Capability!$Q$5:$Q$54,$B$22)&gt;=(DI$1+DK$1*7),INDEX(Capability!$Q$5:$Q$54,$B$22)&lt;(DI$1+DK$1*8)),DM$1*1.15,NA()))</f>
        <v/>
      </c>
      <c r="DR11">
        <f>IF((DU$1+7)&gt;DS$1,NA(),(DU$1+7)-4)</f>
        <v/>
      </c>
      <c r="DS11">
        <f>IF((DU$1+7)&gt;DS$1,NA(),INDEX('Data Entry'!$H$5:$BE$10004,(DU$1+7)-4,$B$23))</f>
        <v/>
      </c>
      <c r="DT11">
        <f>IF(ISNA(DR11),NA(),INDEX(Capability!$K$5:$K$54,$B$23))</f>
        <v/>
      </c>
      <c r="DU11">
        <f>IF(ISNA(DR11),NA(),INDEX(Capability!$J$5:$J$54,$B$23))</f>
        <v/>
      </c>
      <c r="DV11">
        <f>IF(ISNA(DR11),NA(),INDEX(Capability!$L$5:$L$54,$B$23))</f>
        <v/>
      </c>
      <c r="DW11">
        <f>IF(OR(ISNA(DS11),ISNA(DS10)),NA(),ABS(DS11-DS10))</f>
        <v/>
      </c>
      <c r="DX11">
        <f>IF(ISNA(DR11),NA(),INDEX(Capability!$N$5:$N$54,$B$23))</f>
        <v/>
      </c>
      <c r="DY11">
        <f>IF(ISNA(DR11),NA(),IF(OR(INDEX(Capability!$Q$5:$Q$54,$B$23)="",Settings!$F$7&lt;&gt;"Y"),NA(),INDEX(Capability!$Q$5:$Q$54,$B$23)))</f>
        <v/>
      </c>
      <c r="DZ11">
        <f>IF(ISNA(DR11),NA(),IF(OR(INDEX(Capability!$P$5:$P$54,$B$23)="",Settings!$F$7&lt;&gt;"Y"),NA(),INDEX(Capability!$P$5:$P$54,$B$23)))</f>
        <v/>
      </c>
      <c r="EA11">
        <f>IF(DY$1="","",ROUND(DW$1+DY$1*7.5,4))</f>
        <v/>
      </c>
      <c r="EB11">
        <f>IF(DY$1="","",COUNTIFS(INDEX('Data Entry'!$H$5:$BE$10004,0,$B$23),"&gt;="&amp;(DW$1+DY$1*7),INDEX('Data Entry'!$H$5:$BE$10004,0,$B$23),"&lt;"&amp;(DW$1+DY$1*8)))</f>
        <v/>
      </c>
      <c r="EC11">
        <f>IF(OR(INDEX(Capability!$P$5:$P$54,$B$23)="",DY$1=""),NA(),IF(AND(INDEX(Capability!$P$5:$P$54,$B$23)&gt;=(DW$1+DY$1*7),INDEX(Capability!$P$5:$P$54,$B$23)&lt;(DW$1+DY$1*8)),EA$1*1.15,NA()))</f>
        <v/>
      </c>
      <c r="ED11">
        <f>IF(OR(INDEX(Capability!$Q$5:$Q$54,$B$23)="",DY$1=""),NA(),IF(AND(INDEX(Capability!$Q$5:$Q$54,$B$23)&gt;=(DW$1+DY$1*7),INDEX(Capability!$Q$5:$Q$54,$B$23)&lt;(DW$1+DY$1*8)),EA$1*1.15,NA()))</f>
        <v/>
      </c>
    </row>
    <row r="12">
      <c r="A12" s="10" t="inlineStr">
        <is>
          <t>Rows Imported</t>
        </is>
      </c>
      <c r="B12" s="36" t="n">
        <v>0</v>
      </c>
      <c r="CB12">
        <f>IF((CE$1+8)&gt;CC$1,NA(),(CE$1+8)-4)</f>
        <v/>
      </c>
      <c r="CC12">
        <f>IF((CE$1+8)&gt;CC$1,NA(),INDEX('Data Entry'!$H$5:$BE$10004,(CE$1+8)-4,$B$20))</f>
        <v/>
      </c>
      <c r="CD12">
        <f>IF(ISNA(CB12),NA(),INDEX(Capability!$K$5:$K$54,$B$20))</f>
        <v/>
      </c>
      <c r="CE12">
        <f>IF(ISNA(CB12),NA(),INDEX(Capability!$J$5:$J$54,$B$20))</f>
        <v/>
      </c>
      <c r="CF12">
        <f>IF(ISNA(CB12),NA(),INDEX(Capability!$L$5:$L$54,$B$20))</f>
        <v/>
      </c>
      <c r="CG12">
        <f>IF(OR(ISNA(CC12),ISNA(CC11)),NA(),ABS(CC12-CC11))</f>
        <v/>
      </c>
      <c r="CH12">
        <f>IF(ISNA(CB12),NA(),INDEX(Capability!$N$5:$N$54,$B$20))</f>
        <v/>
      </c>
      <c r="CI12">
        <f>IF(ISNA(CB12),NA(),IF(OR(INDEX(Capability!$Q$5:$Q$54,$B$20)="",Settings!$F$7&lt;&gt;"Y"),NA(),INDEX(Capability!$Q$5:$Q$54,$B$20)))</f>
        <v/>
      </c>
      <c r="CJ12">
        <f>IF(ISNA(CB12),NA(),IF(OR(INDEX(Capability!$P$5:$P$54,$B$20)="",Settings!$F$7&lt;&gt;"Y"),NA(),INDEX(Capability!$P$5:$P$54,$B$20)))</f>
        <v/>
      </c>
      <c r="CK12">
        <f>IF(CI$1="","",ROUND(CG$1+CI$1*8.5,4))</f>
        <v/>
      </c>
      <c r="CL12">
        <f>IF(CI$1="","",COUNTIFS(INDEX('Data Entry'!$H$5:$BE$10004,0,$B$20),"&gt;="&amp;(CG$1+CI$1*8),INDEX('Data Entry'!$H$5:$BE$10004,0,$B$20),"&lt;"&amp;(CG$1+CI$1*9)))</f>
        <v/>
      </c>
      <c r="CM12">
        <f>IF(OR(INDEX(Capability!$P$5:$P$54,$B$20)="",CI$1=""),NA(),IF(AND(INDEX(Capability!$P$5:$P$54,$B$20)&gt;=(CG$1+CI$1*8),INDEX(Capability!$P$5:$P$54,$B$20)&lt;(CG$1+CI$1*9)),CK$1*1.15,NA()))</f>
        <v/>
      </c>
      <c r="CN12">
        <f>IF(OR(INDEX(Capability!$Q$5:$Q$54,$B$20)="",CI$1=""),NA(),IF(AND(INDEX(Capability!$Q$5:$Q$54,$B$20)&gt;=(CG$1+CI$1*8),INDEX(Capability!$Q$5:$Q$54,$B$20)&lt;(CG$1+CI$1*9)),CK$1*1.15,NA()))</f>
        <v/>
      </c>
      <c r="CP12">
        <f>IF((CS$1+8)&gt;CQ$1,NA(),(CS$1+8)-4)</f>
        <v/>
      </c>
      <c r="CQ12">
        <f>IF((CS$1+8)&gt;CQ$1,NA(),INDEX('Data Entry'!$H$5:$BE$10004,(CS$1+8)-4,$B$21))</f>
        <v/>
      </c>
      <c r="CR12">
        <f>IF(ISNA(CP12),NA(),INDEX(Capability!$K$5:$K$54,$B$21))</f>
        <v/>
      </c>
      <c r="CS12">
        <f>IF(ISNA(CP12),NA(),INDEX(Capability!$J$5:$J$54,$B$21))</f>
        <v/>
      </c>
      <c r="CT12">
        <f>IF(ISNA(CP12),NA(),INDEX(Capability!$L$5:$L$54,$B$21))</f>
        <v/>
      </c>
      <c r="CU12">
        <f>IF(OR(ISNA(CQ12),ISNA(CQ11)),NA(),ABS(CQ12-CQ11))</f>
        <v/>
      </c>
      <c r="CV12">
        <f>IF(ISNA(CP12),NA(),INDEX(Capability!$N$5:$N$54,$B$21))</f>
        <v/>
      </c>
      <c r="CW12">
        <f>IF(ISNA(CP12),NA(),IF(OR(INDEX(Capability!$Q$5:$Q$54,$B$21)="",Settings!$F$7&lt;&gt;"Y"),NA(),INDEX(Capability!$Q$5:$Q$54,$B$21)))</f>
        <v/>
      </c>
      <c r="CX12">
        <f>IF(ISNA(CP12),NA(),IF(OR(INDEX(Capability!$P$5:$P$54,$B$21)="",Settings!$F$7&lt;&gt;"Y"),NA(),INDEX(Capability!$P$5:$P$54,$B$21)))</f>
        <v/>
      </c>
      <c r="CY12">
        <f>IF(CW$1="","",ROUND(CU$1+CW$1*8.5,4))</f>
        <v/>
      </c>
      <c r="CZ12">
        <f>IF(CW$1="","",COUNTIFS(INDEX('Data Entry'!$H$5:$BE$10004,0,$B$21),"&gt;="&amp;(CU$1+CW$1*8),INDEX('Data Entry'!$H$5:$BE$10004,0,$B$21),"&lt;"&amp;(CU$1+CW$1*9)))</f>
        <v/>
      </c>
      <c r="DA12">
        <f>IF(OR(INDEX(Capability!$P$5:$P$54,$B$21)="",CW$1=""),NA(),IF(AND(INDEX(Capability!$P$5:$P$54,$B$21)&gt;=(CU$1+CW$1*8),INDEX(Capability!$P$5:$P$54,$B$21)&lt;(CU$1+CW$1*9)),CY$1*1.15,NA()))</f>
        <v/>
      </c>
      <c r="DB12">
        <f>IF(OR(INDEX(Capability!$Q$5:$Q$54,$B$21)="",CW$1=""),NA(),IF(AND(INDEX(Capability!$Q$5:$Q$54,$B$21)&gt;=(CU$1+CW$1*8),INDEX(Capability!$Q$5:$Q$54,$B$21)&lt;(CU$1+CW$1*9)),CY$1*1.15,NA()))</f>
        <v/>
      </c>
      <c r="DD12">
        <f>IF((DG$1+8)&gt;DE$1,NA(),(DG$1+8)-4)</f>
        <v/>
      </c>
      <c r="DE12">
        <f>IF((DG$1+8)&gt;DE$1,NA(),INDEX('Data Entry'!$H$5:$BE$10004,(DG$1+8)-4,$B$22))</f>
        <v/>
      </c>
      <c r="DF12">
        <f>IF(ISNA(DD12),NA(),INDEX(Capability!$K$5:$K$54,$B$22))</f>
        <v/>
      </c>
      <c r="DG12">
        <f>IF(ISNA(DD12),NA(),INDEX(Capability!$J$5:$J$54,$B$22))</f>
        <v/>
      </c>
      <c r="DH12">
        <f>IF(ISNA(DD12),NA(),INDEX(Capability!$L$5:$L$54,$B$22))</f>
        <v/>
      </c>
      <c r="DI12">
        <f>IF(OR(ISNA(DE12),ISNA(DE11)),NA(),ABS(DE12-DE11))</f>
        <v/>
      </c>
      <c r="DJ12">
        <f>IF(ISNA(DD12),NA(),INDEX(Capability!$N$5:$N$54,$B$22))</f>
        <v/>
      </c>
      <c r="DK12">
        <f>IF(ISNA(DD12),NA(),IF(OR(INDEX(Capability!$Q$5:$Q$54,$B$22)="",Settings!$F$7&lt;&gt;"Y"),NA(),INDEX(Capability!$Q$5:$Q$54,$B$22)))</f>
        <v/>
      </c>
      <c r="DL12">
        <f>IF(ISNA(DD12),NA(),IF(OR(INDEX(Capability!$P$5:$P$54,$B$22)="",Settings!$F$7&lt;&gt;"Y"),NA(),INDEX(Capability!$P$5:$P$54,$B$22)))</f>
        <v/>
      </c>
      <c r="DM12">
        <f>IF(DK$1="","",ROUND(DI$1+DK$1*8.5,4))</f>
        <v/>
      </c>
      <c r="DN12">
        <f>IF(DK$1="","",COUNTIFS(INDEX('Data Entry'!$H$5:$BE$10004,0,$B$22),"&gt;="&amp;(DI$1+DK$1*8),INDEX('Data Entry'!$H$5:$BE$10004,0,$B$22),"&lt;"&amp;(DI$1+DK$1*9)))</f>
        <v/>
      </c>
      <c r="DO12">
        <f>IF(OR(INDEX(Capability!$P$5:$P$54,$B$22)="",DK$1=""),NA(),IF(AND(INDEX(Capability!$P$5:$P$54,$B$22)&gt;=(DI$1+DK$1*8),INDEX(Capability!$P$5:$P$54,$B$22)&lt;(DI$1+DK$1*9)),DM$1*1.15,NA()))</f>
        <v/>
      </c>
      <c r="DP12">
        <f>IF(OR(INDEX(Capability!$Q$5:$Q$54,$B$22)="",DK$1=""),NA(),IF(AND(INDEX(Capability!$Q$5:$Q$54,$B$22)&gt;=(DI$1+DK$1*8),INDEX(Capability!$Q$5:$Q$54,$B$22)&lt;(DI$1+DK$1*9)),DM$1*1.15,NA()))</f>
        <v/>
      </c>
      <c r="DR12">
        <f>IF((DU$1+8)&gt;DS$1,NA(),(DU$1+8)-4)</f>
        <v/>
      </c>
      <c r="DS12">
        <f>IF((DU$1+8)&gt;DS$1,NA(),INDEX('Data Entry'!$H$5:$BE$10004,(DU$1+8)-4,$B$23))</f>
        <v/>
      </c>
      <c r="DT12">
        <f>IF(ISNA(DR12),NA(),INDEX(Capability!$K$5:$K$54,$B$23))</f>
        <v/>
      </c>
      <c r="DU12">
        <f>IF(ISNA(DR12),NA(),INDEX(Capability!$J$5:$J$54,$B$23))</f>
        <v/>
      </c>
      <c r="DV12">
        <f>IF(ISNA(DR12),NA(),INDEX(Capability!$L$5:$L$54,$B$23))</f>
        <v/>
      </c>
      <c r="DW12">
        <f>IF(OR(ISNA(DS12),ISNA(DS11)),NA(),ABS(DS12-DS11))</f>
        <v/>
      </c>
      <c r="DX12">
        <f>IF(ISNA(DR12),NA(),INDEX(Capability!$N$5:$N$54,$B$23))</f>
        <v/>
      </c>
      <c r="DY12">
        <f>IF(ISNA(DR12),NA(),IF(OR(INDEX(Capability!$Q$5:$Q$54,$B$23)="",Settings!$F$7&lt;&gt;"Y"),NA(),INDEX(Capability!$Q$5:$Q$54,$B$23)))</f>
        <v/>
      </c>
      <c r="DZ12">
        <f>IF(ISNA(DR12),NA(),IF(OR(INDEX(Capability!$P$5:$P$54,$B$23)="",Settings!$F$7&lt;&gt;"Y"),NA(),INDEX(Capability!$P$5:$P$54,$B$23)))</f>
        <v/>
      </c>
      <c r="EA12">
        <f>IF(DY$1="","",ROUND(DW$1+DY$1*8.5,4))</f>
        <v/>
      </c>
      <c r="EB12">
        <f>IF(DY$1="","",COUNTIFS(INDEX('Data Entry'!$H$5:$BE$10004,0,$B$23),"&gt;="&amp;(DW$1+DY$1*8),INDEX('Data Entry'!$H$5:$BE$10004,0,$B$23),"&lt;"&amp;(DW$1+DY$1*9)))</f>
        <v/>
      </c>
      <c r="EC12">
        <f>IF(OR(INDEX(Capability!$P$5:$P$54,$B$23)="",DY$1=""),NA(),IF(AND(INDEX(Capability!$P$5:$P$54,$B$23)&gt;=(DW$1+DY$1*8),INDEX(Capability!$P$5:$P$54,$B$23)&lt;(DW$1+DY$1*9)),EA$1*1.15,NA()))</f>
        <v/>
      </c>
      <c r="ED12">
        <f>IF(OR(INDEX(Capability!$Q$5:$Q$54,$B$23)="",DY$1=""),NA(),IF(AND(INDEX(Capability!$Q$5:$Q$54,$B$23)&gt;=(DW$1+DY$1*8),INDEX(Capability!$Q$5:$Q$54,$B$23)&lt;(DW$1+DY$1*9)),EA$1*1.15,NA()))</f>
        <v/>
      </c>
    </row>
    <row r="13">
      <c r="A13" s="10" t="inlineStr">
        <is>
          <t>Last File</t>
        </is>
      </c>
      <c r="B13" s="36" t="inlineStr"/>
      <c r="CB13">
        <f>IF((CE$1+9)&gt;CC$1,NA(),(CE$1+9)-4)</f>
        <v/>
      </c>
      <c r="CC13">
        <f>IF((CE$1+9)&gt;CC$1,NA(),INDEX('Data Entry'!$H$5:$BE$10004,(CE$1+9)-4,$B$20))</f>
        <v/>
      </c>
      <c r="CD13">
        <f>IF(ISNA(CB13),NA(),INDEX(Capability!$K$5:$K$54,$B$20))</f>
        <v/>
      </c>
      <c r="CE13">
        <f>IF(ISNA(CB13),NA(),INDEX(Capability!$J$5:$J$54,$B$20))</f>
        <v/>
      </c>
      <c r="CF13">
        <f>IF(ISNA(CB13),NA(),INDEX(Capability!$L$5:$L$54,$B$20))</f>
        <v/>
      </c>
      <c r="CG13">
        <f>IF(OR(ISNA(CC13),ISNA(CC12)),NA(),ABS(CC13-CC12))</f>
        <v/>
      </c>
      <c r="CH13">
        <f>IF(ISNA(CB13),NA(),INDEX(Capability!$N$5:$N$54,$B$20))</f>
        <v/>
      </c>
      <c r="CI13">
        <f>IF(ISNA(CB13),NA(),IF(OR(INDEX(Capability!$Q$5:$Q$54,$B$20)="",Settings!$F$7&lt;&gt;"Y"),NA(),INDEX(Capability!$Q$5:$Q$54,$B$20)))</f>
        <v/>
      </c>
      <c r="CJ13">
        <f>IF(ISNA(CB13),NA(),IF(OR(INDEX(Capability!$P$5:$P$54,$B$20)="",Settings!$F$7&lt;&gt;"Y"),NA(),INDEX(Capability!$P$5:$P$54,$B$20)))</f>
        <v/>
      </c>
      <c r="CK13">
        <f>IF(CI$1="","",ROUND(CG$1+CI$1*9.5,4))</f>
        <v/>
      </c>
      <c r="CL13">
        <f>IF(CI$1="","",COUNTIFS(INDEX('Data Entry'!$H$5:$BE$10004,0,$B$20),"&gt;="&amp;(CG$1+CI$1*9),INDEX('Data Entry'!$H$5:$BE$10004,0,$B$20),"&lt;"&amp;(CG$1+CI$1*10)))</f>
        <v/>
      </c>
      <c r="CM13">
        <f>IF(OR(INDEX(Capability!$P$5:$P$54,$B$20)="",CI$1=""),NA(),IF(AND(INDEX(Capability!$P$5:$P$54,$B$20)&gt;=(CG$1+CI$1*9),INDEX(Capability!$P$5:$P$54,$B$20)&lt;(CG$1+CI$1*10)),CK$1*1.15,NA()))</f>
        <v/>
      </c>
      <c r="CN13">
        <f>IF(OR(INDEX(Capability!$Q$5:$Q$54,$B$20)="",CI$1=""),NA(),IF(AND(INDEX(Capability!$Q$5:$Q$54,$B$20)&gt;=(CG$1+CI$1*9),INDEX(Capability!$Q$5:$Q$54,$B$20)&lt;(CG$1+CI$1*10)),CK$1*1.15,NA()))</f>
        <v/>
      </c>
      <c r="CP13">
        <f>IF((CS$1+9)&gt;CQ$1,NA(),(CS$1+9)-4)</f>
        <v/>
      </c>
      <c r="CQ13">
        <f>IF((CS$1+9)&gt;CQ$1,NA(),INDEX('Data Entry'!$H$5:$BE$10004,(CS$1+9)-4,$B$21))</f>
        <v/>
      </c>
      <c r="CR13">
        <f>IF(ISNA(CP13),NA(),INDEX(Capability!$K$5:$K$54,$B$21))</f>
        <v/>
      </c>
      <c r="CS13">
        <f>IF(ISNA(CP13),NA(),INDEX(Capability!$J$5:$J$54,$B$21))</f>
        <v/>
      </c>
      <c r="CT13">
        <f>IF(ISNA(CP13),NA(),INDEX(Capability!$L$5:$L$54,$B$21))</f>
        <v/>
      </c>
      <c r="CU13">
        <f>IF(OR(ISNA(CQ13),ISNA(CQ12)),NA(),ABS(CQ13-CQ12))</f>
        <v/>
      </c>
      <c r="CV13">
        <f>IF(ISNA(CP13),NA(),INDEX(Capability!$N$5:$N$54,$B$21))</f>
        <v/>
      </c>
      <c r="CW13">
        <f>IF(ISNA(CP13),NA(),IF(OR(INDEX(Capability!$Q$5:$Q$54,$B$21)="",Settings!$F$7&lt;&gt;"Y"),NA(),INDEX(Capability!$Q$5:$Q$54,$B$21)))</f>
        <v/>
      </c>
      <c r="CX13">
        <f>IF(ISNA(CP13),NA(),IF(OR(INDEX(Capability!$P$5:$P$54,$B$21)="",Settings!$F$7&lt;&gt;"Y"),NA(),INDEX(Capability!$P$5:$P$54,$B$21)))</f>
        <v/>
      </c>
      <c r="CY13">
        <f>IF(CW$1="","",ROUND(CU$1+CW$1*9.5,4))</f>
        <v/>
      </c>
      <c r="CZ13">
        <f>IF(CW$1="","",COUNTIFS(INDEX('Data Entry'!$H$5:$BE$10004,0,$B$21),"&gt;="&amp;(CU$1+CW$1*9),INDEX('Data Entry'!$H$5:$BE$10004,0,$B$21),"&lt;"&amp;(CU$1+CW$1*10)))</f>
        <v/>
      </c>
      <c r="DA13">
        <f>IF(OR(INDEX(Capability!$P$5:$P$54,$B$21)="",CW$1=""),NA(),IF(AND(INDEX(Capability!$P$5:$P$54,$B$21)&gt;=(CU$1+CW$1*9),INDEX(Capability!$P$5:$P$54,$B$21)&lt;(CU$1+CW$1*10)),CY$1*1.15,NA()))</f>
        <v/>
      </c>
      <c r="DB13">
        <f>IF(OR(INDEX(Capability!$Q$5:$Q$54,$B$21)="",CW$1=""),NA(),IF(AND(INDEX(Capability!$Q$5:$Q$54,$B$21)&gt;=(CU$1+CW$1*9),INDEX(Capability!$Q$5:$Q$54,$B$21)&lt;(CU$1+CW$1*10)),CY$1*1.15,NA()))</f>
        <v/>
      </c>
      <c r="DD13">
        <f>IF((DG$1+9)&gt;DE$1,NA(),(DG$1+9)-4)</f>
        <v/>
      </c>
      <c r="DE13">
        <f>IF((DG$1+9)&gt;DE$1,NA(),INDEX('Data Entry'!$H$5:$BE$10004,(DG$1+9)-4,$B$22))</f>
        <v/>
      </c>
      <c r="DF13">
        <f>IF(ISNA(DD13),NA(),INDEX(Capability!$K$5:$K$54,$B$22))</f>
        <v/>
      </c>
      <c r="DG13">
        <f>IF(ISNA(DD13),NA(),INDEX(Capability!$J$5:$J$54,$B$22))</f>
        <v/>
      </c>
      <c r="DH13">
        <f>IF(ISNA(DD13),NA(),INDEX(Capability!$L$5:$L$54,$B$22))</f>
        <v/>
      </c>
      <c r="DI13">
        <f>IF(OR(ISNA(DE13),ISNA(DE12)),NA(),ABS(DE13-DE12))</f>
        <v/>
      </c>
      <c r="DJ13">
        <f>IF(ISNA(DD13),NA(),INDEX(Capability!$N$5:$N$54,$B$22))</f>
        <v/>
      </c>
      <c r="DK13">
        <f>IF(ISNA(DD13),NA(),IF(OR(INDEX(Capability!$Q$5:$Q$54,$B$22)="",Settings!$F$7&lt;&gt;"Y"),NA(),INDEX(Capability!$Q$5:$Q$54,$B$22)))</f>
        <v/>
      </c>
      <c r="DL13">
        <f>IF(ISNA(DD13),NA(),IF(OR(INDEX(Capability!$P$5:$P$54,$B$22)="",Settings!$F$7&lt;&gt;"Y"),NA(),INDEX(Capability!$P$5:$P$54,$B$22)))</f>
        <v/>
      </c>
      <c r="DM13">
        <f>IF(DK$1="","",ROUND(DI$1+DK$1*9.5,4))</f>
        <v/>
      </c>
      <c r="DN13">
        <f>IF(DK$1="","",COUNTIFS(INDEX('Data Entry'!$H$5:$BE$10004,0,$B$22),"&gt;="&amp;(DI$1+DK$1*9),INDEX('Data Entry'!$H$5:$BE$10004,0,$B$22),"&lt;"&amp;(DI$1+DK$1*10)))</f>
        <v/>
      </c>
      <c r="DO13">
        <f>IF(OR(INDEX(Capability!$P$5:$P$54,$B$22)="",DK$1=""),NA(),IF(AND(INDEX(Capability!$P$5:$P$54,$B$22)&gt;=(DI$1+DK$1*9),INDEX(Capability!$P$5:$P$54,$B$22)&lt;(DI$1+DK$1*10)),DM$1*1.15,NA()))</f>
        <v/>
      </c>
      <c r="DP13">
        <f>IF(OR(INDEX(Capability!$Q$5:$Q$54,$B$22)="",DK$1=""),NA(),IF(AND(INDEX(Capability!$Q$5:$Q$54,$B$22)&gt;=(DI$1+DK$1*9),INDEX(Capability!$Q$5:$Q$54,$B$22)&lt;(DI$1+DK$1*10)),DM$1*1.15,NA()))</f>
        <v/>
      </c>
      <c r="DR13">
        <f>IF((DU$1+9)&gt;DS$1,NA(),(DU$1+9)-4)</f>
        <v/>
      </c>
      <c r="DS13">
        <f>IF((DU$1+9)&gt;DS$1,NA(),INDEX('Data Entry'!$H$5:$BE$10004,(DU$1+9)-4,$B$23))</f>
        <v/>
      </c>
      <c r="DT13">
        <f>IF(ISNA(DR13),NA(),INDEX(Capability!$K$5:$K$54,$B$23))</f>
        <v/>
      </c>
      <c r="DU13">
        <f>IF(ISNA(DR13),NA(),INDEX(Capability!$J$5:$J$54,$B$23))</f>
        <v/>
      </c>
      <c r="DV13">
        <f>IF(ISNA(DR13),NA(),INDEX(Capability!$L$5:$L$54,$B$23))</f>
        <v/>
      </c>
      <c r="DW13">
        <f>IF(OR(ISNA(DS13),ISNA(DS12)),NA(),ABS(DS13-DS12))</f>
        <v/>
      </c>
      <c r="DX13">
        <f>IF(ISNA(DR13),NA(),INDEX(Capability!$N$5:$N$54,$B$23))</f>
        <v/>
      </c>
      <c r="DY13">
        <f>IF(ISNA(DR13),NA(),IF(OR(INDEX(Capability!$Q$5:$Q$54,$B$23)="",Settings!$F$7&lt;&gt;"Y"),NA(),INDEX(Capability!$Q$5:$Q$54,$B$23)))</f>
        <v/>
      </c>
      <c r="DZ13">
        <f>IF(ISNA(DR13),NA(),IF(OR(INDEX(Capability!$P$5:$P$54,$B$23)="",Settings!$F$7&lt;&gt;"Y"),NA(),INDEX(Capability!$P$5:$P$54,$B$23)))</f>
        <v/>
      </c>
      <c r="EA13">
        <f>IF(DY$1="","",ROUND(DW$1+DY$1*9.5,4))</f>
        <v/>
      </c>
      <c r="EB13">
        <f>IF(DY$1="","",COUNTIFS(INDEX('Data Entry'!$H$5:$BE$10004,0,$B$23),"&gt;="&amp;(DW$1+DY$1*9),INDEX('Data Entry'!$H$5:$BE$10004,0,$B$23),"&lt;"&amp;(DW$1+DY$1*10)))</f>
        <v/>
      </c>
      <c r="EC13">
        <f>IF(OR(INDEX(Capability!$P$5:$P$54,$B$23)="",DY$1=""),NA(),IF(AND(INDEX(Capability!$P$5:$P$54,$B$23)&gt;=(DW$1+DY$1*9),INDEX(Capability!$P$5:$P$54,$B$23)&lt;(DW$1+DY$1*10)),EA$1*1.15,NA()))</f>
        <v/>
      </c>
      <c r="ED13">
        <f>IF(OR(INDEX(Capability!$Q$5:$Q$54,$B$23)="",DY$1=""),NA(),IF(AND(INDEX(Capability!$Q$5:$Q$54,$B$23)&gt;=(DW$1+DY$1*9),INDEX(Capability!$Q$5:$Q$54,$B$23)&lt;(DW$1+DY$1*10)),EA$1*1.15,NA()))</f>
        <v/>
      </c>
    </row>
    <row r="14">
      <c r="A14" s="10" t="inlineStr">
        <is>
          <t>Last Message</t>
        </is>
      </c>
      <c r="B14" s="36" t="inlineStr"/>
      <c r="CB14">
        <f>IF((CE$1+10)&gt;CC$1,NA(),(CE$1+10)-4)</f>
        <v/>
      </c>
      <c r="CC14">
        <f>IF((CE$1+10)&gt;CC$1,NA(),INDEX('Data Entry'!$H$5:$BE$10004,(CE$1+10)-4,$B$20))</f>
        <v/>
      </c>
      <c r="CD14">
        <f>IF(ISNA(CB14),NA(),INDEX(Capability!$K$5:$K$54,$B$20))</f>
        <v/>
      </c>
      <c r="CE14">
        <f>IF(ISNA(CB14),NA(),INDEX(Capability!$J$5:$J$54,$B$20))</f>
        <v/>
      </c>
      <c r="CF14">
        <f>IF(ISNA(CB14),NA(),INDEX(Capability!$L$5:$L$54,$B$20))</f>
        <v/>
      </c>
      <c r="CG14">
        <f>IF(OR(ISNA(CC14),ISNA(CC13)),NA(),ABS(CC14-CC13))</f>
        <v/>
      </c>
      <c r="CH14">
        <f>IF(ISNA(CB14),NA(),INDEX(Capability!$N$5:$N$54,$B$20))</f>
        <v/>
      </c>
      <c r="CI14">
        <f>IF(ISNA(CB14),NA(),IF(OR(INDEX(Capability!$Q$5:$Q$54,$B$20)="",Settings!$F$7&lt;&gt;"Y"),NA(),INDEX(Capability!$Q$5:$Q$54,$B$20)))</f>
        <v/>
      </c>
      <c r="CJ14">
        <f>IF(ISNA(CB14),NA(),IF(OR(INDEX(Capability!$P$5:$P$54,$B$20)="",Settings!$F$7&lt;&gt;"Y"),NA(),INDEX(Capability!$P$5:$P$54,$B$20)))</f>
        <v/>
      </c>
      <c r="CK14">
        <f>IF(CI$1="","",ROUND(CG$1+CI$1*10.5,4))</f>
        <v/>
      </c>
      <c r="CL14">
        <f>IF(CI$1="","",COUNTIFS(INDEX('Data Entry'!$H$5:$BE$10004,0,$B$20),"&gt;="&amp;(CG$1+CI$1*10),INDEX('Data Entry'!$H$5:$BE$10004,0,$B$20),"&lt;"&amp;(CG$1+CI$1*11)))</f>
        <v/>
      </c>
      <c r="CM14">
        <f>IF(OR(INDEX(Capability!$P$5:$P$54,$B$20)="",CI$1=""),NA(),IF(AND(INDEX(Capability!$P$5:$P$54,$B$20)&gt;=(CG$1+CI$1*10),INDEX(Capability!$P$5:$P$54,$B$20)&lt;(CG$1+CI$1*11)),CK$1*1.15,NA()))</f>
        <v/>
      </c>
      <c r="CN14">
        <f>IF(OR(INDEX(Capability!$Q$5:$Q$54,$B$20)="",CI$1=""),NA(),IF(AND(INDEX(Capability!$Q$5:$Q$54,$B$20)&gt;=(CG$1+CI$1*10),INDEX(Capability!$Q$5:$Q$54,$B$20)&lt;(CG$1+CI$1*11)),CK$1*1.15,NA()))</f>
        <v/>
      </c>
      <c r="CP14">
        <f>IF((CS$1+10)&gt;CQ$1,NA(),(CS$1+10)-4)</f>
        <v/>
      </c>
      <c r="CQ14">
        <f>IF((CS$1+10)&gt;CQ$1,NA(),INDEX('Data Entry'!$H$5:$BE$10004,(CS$1+10)-4,$B$21))</f>
        <v/>
      </c>
      <c r="CR14">
        <f>IF(ISNA(CP14),NA(),INDEX(Capability!$K$5:$K$54,$B$21))</f>
        <v/>
      </c>
      <c r="CS14">
        <f>IF(ISNA(CP14),NA(),INDEX(Capability!$J$5:$J$54,$B$21))</f>
        <v/>
      </c>
      <c r="CT14">
        <f>IF(ISNA(CP14),NA(),INDEX(Capability!$L$5:$L$54,$B$21))</f>
        <v/>
      </c>
      <c r="CU14">
        <f>IF(OR(ISNA(CQ14),ISNA(CQ13)),NA(),ABS(CQ14-CQ13))</f>
        <v/>
      </c>
      <c r="CV14">
        <f>IF(ISNA(CP14),NA(),INDEX(Capability!$N$5:$N$54,$B$21))</f>
        <v/>
      </c>
      <c r="CW14">
        <f>IF(ISNA(CP14),NA(),IF(OR(INDEX(Capability!$Q$5:$Q$54,$B$21)="",Settings!$F$7&lt;&gt;"Y"),NA(),INDEX(Capability!$Q$5:$Q$54,$B$21)))</f>
        <v/>
      </c>
      <c r="CX14">
        <f>IF(ISNA(CP14),NA(),IF(OR(INDEX(Capability!$P$5:$P$54,$B$21)="",Settings!$F$7&lt;&gt;"Y"),NA(),INDEX(Capability!$P$5:$P$54,$B$21)))</f>
        <v/>
      </c>
      <c r="CY14">
        <f>IF(CW$1="","",ROUND(CU$1+CW$1*10.5,4))</f>
        <v/>
      </c>
      <c r="CZ14">
        <f>IF(CW$1="","",COUNTIFS(INDEX('Data Entry'!$H$5:$BE$10004,0,$B$21),"&gt;="&amp;(CU$1+CW$1*10),INDEX('Data Entry'!$H$5:$BE$10004,0,$B$21),"&lt;"&amp;(CU$1+CW$1*11)))</f>
        <v/>
      </c>
      <c r="DA14">
        <f>IF(OR(INDEX(Capability!$P$5:$P$54,$B$21)="",CW$1=""),NA(),IF(AND(INDEX(Capability!$P$5:$P$54,$B$21)&gt;=(CU$1+CW$1*10),INDEX(Capability!$P$5:$P$54,$B$21)&lt;(CU$1+CW$1*11)),CY$1*1.15,NA()))</f>
        <v/>
      </c>
      <c r="DB14">
        <f>IF(OR(INDEX(Capability!$Q$5:$Q$54,$B$21)="",CW$1=""),NA(),IF(AND(INDEX(Capability!$Q$5:$Q$54,$B$21)&gt;=(CU$1+CW$1*10),INDEX(Capability!$Q$5:$Q$54,$B$21)&lt;(CU$1+CW$1*11)),CY$1*1.15,NA()))</f>
        <v/>
      </c>
      <c r="DD14">
        <f>IF((DG$1+10)&gt;DE$1,NA(),(DG$1+10)-4)</f>
        <v/>
      </c>
      <c r="DE14">
        <f>IF((DG$1+10)&gt;DE$1,NA(),INDEX('Data Entry'!$H$5:$BE$10004,(DG$1+10)-4,$B$22))</f>
        <v/>
      </c>
      <c r="DF14">
        <f>IF(ISNA(DD14),NA(),INDEX(Capability!$K$5:$K$54,$B$22))</f>
        <v/>
      </c>
      <c r="DG14">
        <f>IF(ISNA(DD14),NA(),INDEX(Capability!$J$5:$J$54,$B$22))</f>
        <v/>
      </c>
      <c r="DH14">
        <f>IF(ISNA(DD14),NA(),INDEX(Capability!$L$5:$L$54,$B$22))</f>
        <v/>
      </c>
      <c r="DI14">
        <f>IF(OR(ISNA(DE14),ISNA(DE13)),NA(),ABS(DE14-DE13))</f>
        <v/>
      </c>
      <c r="DJ14">
        <f>IF(ISNA(DD14),NA(),INDEX(Capability!$N$5:$N$54,$B$22))</f>
        <v/>
      </c>
      <c r="DK14">
        <f>IF(ISNA(DD14),NA(),IF(OR(INDEX(Capability!$Q$5:$Q$54,$B$22)="",Settings!$F$7&lt;&gt;"Y"),NA(),INDEX(Capability!$Q$5:$Q$54,$B$22)))</f>
        <v/>
      </c>
      <c r="DL14">
        <f>IF(ISNA(DD14),NA(),IF(OR(INDEX(Capability!$P$5:$P$54,$B$22)="",Settings!$F$7&lt;&gt;"Y"),NA(),INDEX(Capability!$P$5:$P$54,$B$22)))</f>
        <v/>
      </c>
      <c r="DM14">
        <f>IF(DK$1="","",ROUND(DI$1+DK$1*10.5,4))</f>
        <v/>
      </c>
      <c r="DN14">
        <f>IF(DK$1="","",COUNTIFS(INDEX('Data Entry'!$H$5:$BE$10004,0,$B$22),"&gt;="&amp;(DI$1+DK$1*10),INDEX('Data Entry'!$H$5:$BE$10004,0,$B$22),"&lt;"&amp;(DI$1+DK$1*11)))</f>
        <v/>
      </c>
      <c r="DO14">
        <f>IF(OR(INDEX(Capability!$P$5:$P$54,$B$22)="",DK$1=""),NA(),IF(AND(INDEX(Capability!$P$5:$P$54,$B$22)&gt;=(DI$1+DK$1*10),INDEX(Capability!$P$5:$P$54,$B$22)&lt;(DI$1+DK$1*11)),DM$1*1.15,NA()))</f>
        <v/>
      </c>
      <c r="DP14">
        <f>IF(OR(INDEX(Capability!$Q$5:$Q$54,$B$22)="",DK$1=""),NA(),IF(AND(INDEX(Capability!$Q$5:$Q$54,$B$22)&gt;=(DI$1+DK$1*10),INDEX(Capability!$Q$5:$Q$54,$B$22)&lt;(DI$1+DK$1*11)),DM$1*1.15,NA()))</f>
        <v/>
      </c>
      <c r="DR14">
        <f>IF((DU$1+10)&gt;DS$1,NA(),(DU$1+10)-4)</f>
        <v/>
      </c>
      <c r="DS14">
        <f>IF((DU$1+10)&gt;DS$1,NA(),INDEX('Data Entry'!$H$5:$BE$10004,(DU$1+10)-4,$B$23))</f>
        <v/>
      </c>
      <c r="DT14">
        <f>IF(ISNA(DR14),NA(),INDEX(Capability!$K$5:$K$54,$B$23))</f>
        <v/>
      </c>
      <c r="DU14">
        <f>IF(ISNA(DR14),NA(),INDEX(Capability!$J$5:$J$54,$B$23))</f>
        <v/>
      </c>
      <c r="DV14">
        <f>IF(ISNA(DR14),NA(),INDEX(Capability!$L$5:$L$54,$B$23))</f>
        <v/>
      </c>
      <c r="DW14">
        <f>IF(OR(ISNA(DS14),ISNA(DS13)),NA(),ABS(DS14-DS13))</f>
        <v/>
      </c>
      <c r="DX14">
        <f>IF(ISNA(DR14),NA(),INDEX(Capability!$N$5:$N$54,$B$23))</f>
        <v/>
      </c>
      <c r="DY14">
        <f>IF(ISNA(DR14),NA(),IF(OR(INDEX(Capability!$Q$5:$Q$54,$B$23)="",Settings!$F$7&lt;&gt;"Y"),NA(),INDEX(Capability!$Q$5:$Q$54,$B$23)))</f>
        <v/>
      </c>
      <c r="DZ14">
        <f>IF(ISNA(DR14),NA(),IF(OR(INDEX(Capability!$P$5:$P$54,$B$23)="",Settings!$F$7&lt;&gt;"Y"),NA(),INDEX(Capability!$P$5:$P$54,$B$23)))</f>
        <v/>
      </c>
      <c r="EA14">
        <f>IF(DY$1="","",ROUND(DW$1+DY$1*10.5,4))</f>
        <v/>
      </c>
      <c r="EB14">
        <f>IF(DY$1="","",COUNTIFS(INDEX('Data Entry'!$H$5:$BE$10004,0,$B$23),"&gt;="&amp;(DW$1+DY$1*10),INDEX('Data Entry'!$H$5:$BE$10004,0,$B$23),"&lt;"&amp;(DW$1+DY$1*11)))</f>
        <v/>
      </c>
      <c r="EC14">
        <f>IF(OR(INDEX(Capability!$P$5:$P$54,$B$23)="",DY$1=""),NA(),IF(AND(INDEX(Capability!$P$5:$P$54,$B$23)&gt;=(DW$1+DY$1*10),INDEX(Capability!$P$5:$P$54,$B$23)&lt;(DW$1+DY$1*11)),EA$1*1.15,NA()))</f>
        <v/>
      </c>
      <c r="ED14">
        <f>IF(OR(INDEX(Capability!$Q$5:$Q$54,$B$23)="",DY$1=""),NA(),IF(AND(INDEX(Capability!$Q$5:$Q$54,$B$23)&gt;=(DW$1+DY$1*10),INDEX(Capability!$Q$5:$Q$54,$B$23)&lt;(DW$1+DY$1*11)),EA$1*1.15,NA()))</f>
        <v/>
      </c>
    </row>
    <row r="15">
      <c r="CB15">
        <f>IF((CE$1+11)&gt;CC$1,NA(),(CE$1+11)-4)</f>
        <v/>
      </c>
      <c r="CC15">
        <f>IF((CE$1+11)&gt;CC$1,NA(),INDEX('Data Entry'!$H$5:$BE$10004,(CE$1+11)-4,$B$20))</f>
        <v/>
      </c>
      <c r="CD15">
        <f>IF(ISNA(CB15),NA(),INDEX(Capability!$K$5:$K$54,$B$20))</f>
        <v/>
      </c>
      <c r="CE15">
        <f>IF(ISNA(CB15),NA(),INDEX(Capability!$J$5:$J$54,$B$20))</f>
        <v/>
      </c>
      <c r="CF15">
        <f>IF(ISNA(CB15),NA(),INDEX(Capability!$L$5:$L$54,$B$20))</f>
        <v/>
      </c>
      <c r="CG15">
        <f>IF(OR(ISNA(CC15),ISNA(CC14)),NA(),ABS(CC15-CC14))</f>
        <v/>
      </c>
      <c r="CH15">
        <f>IF(ISNA(CB15),NA(),INDEX(Capability!$N$5:$N$54,$B$20))</f>
        <v/>
      </c>
      <c r="CI15">
        <f>IF(ISNA(CB15),NA(),IF(OR(INDEX(Capability!$Q$5:$Q$54,$B$20)="",Settings!$F$7&lt;&gt;"Y"),NA(),INDEX(Capability!$Q$5:$Q$54,$B$20)))</f>
        <v/>
      </c>
      <c r="CJ15">
        <f>IF(ISNA(CB15),NA(),IF(OR(INDEX(Capability!$P$5:$P$54,$B$20)="",Settings!$F$7&lt;&gt;"Y"),NA(),INDEX(Capability!$P$5:$P$54,$B$20)))</f>
        <v/>
      </c>
      <c r="CK15">
        <f>IF(CI$1="","",ROUND(CG$1+CI$1*11.5,4))</f>
        <v/>
      </c>
      <c r="CL15">
        <f>IF(CI$1="","",COUNTIFS(INDEX('Data Entry'!$H$5:$BE$10004,0,$B$20),"&gt;="&amp;(CG$1+CI$1*11),INDEX('Data Entry'!$H$5:$BE$10004,0,$B$20),"&lt;"&amp;(CG$1+CI$1*12)))</f>
        <v/>
      </c>
      <c r="CM15">
        <f>IF(OR(INDEX(Capability!$P$5:$P$54,$B$20)="",CI$1=""),NA(),IF(AND(INDEX(Capability!$P$5:$P$54,$B$20)&gt;=(CG$1+CI$1*11),INDEX(Capability!$P$5:$P$54,$B$20)&lt;(CG$1+CI$1*12)),CK$1*1.15,NA()))</f>
        <v/>
      </c>
      <c r="CN15">
        <f>IF(OR(INDEX(Capability!$Q$5:$Q$54,$B$20)="",CI$1=""),NA(),IF(AND(INDEX(Capability!$Q$5:$Q$54,$B$20)&gt;=(CG$1+CI$1*11),INDEX(Capability!$Q$5:$Q$54,$B$20)&lt;(CG$1+CI$1*12)),CK$1*1.15,NA()))</f>
        <v/>
      </c>
      <c r="CP15">
        <f>IF((CS$1+11)&gt;CQ$1,NA(),(CS$1+11)-4)</f>
        <v/>
      </c>
      <c r="CQ15">
        <f>IF((CS$1+11)&gt;CQ$1,NA(),INDEX('Data Entry'!$H$5:$BE$10004,(CS$1+11)-4,$B$21))</f>
        <v/>
      </c>
      <c r="CR15">
        <f>IF(ISNA(CP15),NA(),INDEX(Capability!$K$5:$K$54,$B$21))</f>
        <v/>
      </c>
      <c r="CS15">
        <f>IF(ISNA(CP15),NA(),INDEX(Capability!$J$5:$J$54,$B$21))</f>
        <v/>
      </c>
      <c r="CT15">
        <f>IF(ISNA(CP15),NA(),INDEX(Capability!$L$5:$L$54,$B$21))</f>
        <v/>
      </c>
      <c r="CU15">
        <f>IF(OR(ISNA(CQ15),ISNA(CQ14)),NA(),ABS(CQ15-CQ14))</f>
        <v/>
      </c>
      <c r="CV15">
        <f>IF(ISNA(CP15),NA(),INDEX(Capability!$N$5:$N$54,$B$21))</f>
        <v/>
      </c>
      <c r="CW15">
        <f>IF(ISNA(CP15),NA(),IF(OR(INDEX(Capability!$Q$5:$Q$54,$B$21)="",Settings!$F$7&lt;&gt;"Y"),NA(),INDEX(Capability!$Q$5:$Q$54,$B$21)))</f>
        <v/>
      </c>
      <c r="CX15">
        <f>IF(ISNA(CP15),NA(),IF(OR(INDEX(Capability!$P$5:$P$54,$B$21)="",Settings!$F$7&lt;&gt;"Y"),NA(),INDEX(Capability!$P$5:$P$54,$B$21)))</f>
        <v/>
      </c>
      <c r="CY15">
        <f>IF(CW$1="","",ROUND(CU$1+CW$1*11.5,4))</f>
        <v/>
      </c>
      <c r="CZ15">
        <f>IF(CW$1="","",COUNTIFS(INDEX('Data Entry'!$H$5:$BE$10004,0,$B$21),"&gt;="&amp;(CU$1+CW$1*11),INDEX('Data Entry'!$H$5:$BE$10004,0,$B$21),"&lt;"&amp;(CU$1+CW$1*12)))</f>
        <v/>
      </c>
      <c r="DA15">
        <f>IF(OR(INDEX(Capability!$P$5:$P$54,$B$21)="",CW$1=""),NA(),IF(AND(INDEX(Capability!$P$5:$P$54,$B$21)&gt;=(CU$1+CW$1*11),INDEX(Capability!$P$5:$P$54,$B$21)&lt;(CU$1+CW$1*12)),CY$1*1.15,NA()))</f>
        <v/>
      </c>
      <c r="DB15">
        <f>IF(OR(INDEX(Capability!$Q$5:$Q$54,$B$21)="",CW$1=""),NA(),IF(AND(INDEX(Capability!$Q$5:$Q$54,$B$21)&gt;=(CU$1+CW$1*11),INDEX(Capability!$Q$5:$Q$54,$B$21)&lt;(CU$1+CW$1*12)),CY$1*1.15,NA()))</f>
        <v/>
      </c>
      <c r="DD15">
        <f>IF((DG$1+11)&gt;DE$1,NA(),(DG$1+11)-4)</f>
        <v/>
      </c>
      <c r="DE15">
        <f>IF((DG$1+11)&gt;DE$1,NA(),INDEX('Data Entry'!$H$5:$BE$10004,(DG$1+11)-4,$B$22))</f>
        <v/>
      </c>
      <c r="DF15">
        <f>IF(ISNA(DD15),NA(),INDEX(Capability!$K$5:$K$54,$B$22))</f>
        <v/>
      </c>
      <c r="DG15">
        <f>IF(ISNA(DD15),NA(),INDEX(Capability!$J$5:$J$54,$B$22))</f>
        <v/>
      </c>
      <c r="DH15">
        <f>IF(ISNA(DD15),NA(),INDEX(Capability!$L$5:$L$54,$B$22))</f>
        <v/>
      </c>
      <c r="DI15">
        <f>IF(OR(ISNA(DE15),ISNA(DE14)),NA(),ABS(DE15-DE14))</f>
        <v/>
      </c>
      <c r="DJ15">
        <f>IF(ISNA(DD15),NA(),INDEX(Capability!$N$5:$N$54,$B$22))</f>
        <v/>
      </c>
      <c r="DK15">
        <f>IF(ISNA(DD15),NA(),IF(OR(INDEX(Capability!$Q$5:$Q$54,$B$22)="",Settings!$F$7&lt;&gt;"Y"),NA(),INDEX(Capability!$Q$5:$Q$54,$B$22)))</f>
        <v/>
      </c>
      <c r="DL15">
        <f>IF(ISNA(DD15),NA(),IF(OR(INDEX(Capability!$P$5:$P$54,$B$22)="",Settings!$F$7&lt;&gt;"Y"),NA(),INDEX(Capability!$P$5:$P$54,$B$22)))</f>
        <v/>
      </c>
      <c r="DM15">
        <f>IF(DK$1="","",ROUND(DI$1+DK$1*11.5,4))</f>
        <v/>
      </c>
      <c r="DN15">
        <f>IF(DK$1="","",COUNTIFS(INDEX('Data Entry'!$H$5:$BE$10004,0,$B$22),"&gt;="&amp;(DI$1+DK$1*11),INDEX('Data Entry'!$H$5:$BE$10004,0,$B$22),"&lt;"&amp;(DI$1+DK$1*12)))</f>
        <v/>
      </c>
      <c r="DO15">
        <f>IF(OR(INDEX(Capability!$P$5:$P$54,$B$22)="",DK$1=""),NA(),IF(AND(INDEX(Capability!$P$5:$P$54,$B$22)&gt;=(DI$1+DK$1*11),INDEX(Capability!$P$5:$P$54,$B$22)&lt;(DI$1+DK$1*12)),DM$1*1.15,NA()))</f>
        <v/>
      </c>
      <c r="DP15">
        <f>IF(OR(INDEX(Capability!$Q$5:$Q$54,$B$22)="",DK$1=""),NA(),IF(AND(INDEX(Capability!$Q$5:$Q$54,$B$22)&gt;=(DI$1+DK$1*11),INDEX(Capability!$Q$5:$Q$54,$B$22)&lt;(DI$1+DK$1*12)),DM$1*1.15,NA()))</f>
        <v/>
      </c>
      <c r="DR15">
        <f>IF((DU$1+11)&gt;DS$1,NA(),(DU$1+11)-4)</f>
        <v/>
      </c>
      <c r="DS15">
        <f>IF((DU$1+11)&gt;DS$1,NA(),INDEX('Data Entry'!$H$5:$BE$10004,(DU$1+11)-4,$B$23))</f>
        <v/>
      </c>
      <c r="DT15">
        <f>IF(ISNA(DR15),NA(),INDEX(Capability!$K$5:$K$54,$B$23))</f>
        <v/>
      </c>
      <c r="DU15">
        <f>IF(ISNA(DR15),NA(),INDEX(Capability!$J$5:$J$54,$B$23))</f>
        <v/>
      </c>
      <c r="DV15">
        <f>IF(ISNA(DR15),NA(),INDEX(Capability!$L$5:$L$54,$B$23))</f>
        <v/>
      </c>
      <c r="DW15">
        <f>IF(OR(ISNA(DS15),ISNA(DS14)),NA(),ABS(DS15-DS14))</f>
        <v/>
      </c>
      <c r="DX15">
        <f>IF(ISNA(DR15),NA(),INDEX(Capability!$N$5:$N$54,$B$23))</f>
        <v/>
      </c>
      <c r="DY15">
        <f>IF(ISNA(DR15),NA(),IF(OR(INDEX(Capability!$Q$5:$Q$54,$B$23)="",Settings!$F$7&lt;&gt;"Y"),NA(),INDEX(Capability!$Q$5:$Q$54,$B$23)))</f>
        <v/>
      </c>
      <c r="DZ15">
        <f>IF(ISNA(DR15),NA(),IF(OR(INDEX(Capability!$P$5:$P$54,$B$23)="",Settings!$F$7&lt;&gt;"Y"),NA(),INDEX(Capability!$P$5:$P$54,$B$23)))</f>
        <v/>
      </c>
      <c r="EA15">
        <f>IF(DY$1="","",ROUND(DW$1+DY$1*11.5,4))</f>
        <v/>
      </c>
      <c r="EB15">
        <f>IF(DY$1="","",COUNTIFS(INDEX('Data Entry'!$H$5:$BE$10004,0,$B$23),"&gt;="&amp;(DW$1+DY$1*11),INDEX('Data Entry'!$H$5:$BE$10004,0,$B$23),"&lt;"&amp;(DW$1+DY$1*12)))</f>
        <v/>
      </c>
      <c r="EC15">
        <f>IF(OR(INDEX(Capability!$P$5:$P$54,$B$23)="",DY$1=""),NA(),IF(AND(INDEX(Capability!$P$5:$P$54,$B$23)&gt;=(DW$1+DY$1*11),INDEX(Capability!$P$5:$P$54,$B$23)&lt;(DW$1+DY$1*12)),EA$1*1.15,NA()))</f>
        <v/>
      </c>
      <c r="ED15">
        <f>IF(OR(INDEX(Capability!$Q$5:$Q$54,$B$23)="",DY$1=""),NA(),IF(AND(INDEX(Capability!$Q$5:$Q$54,$B$23)&gt;=(DW$1+DY$1*11),INDEX(Capability!$Q$5:$Q$54,$B$23)&lt;(DW$1+DY$1*12)),EA$1*1.15,NA()))</f>
        <v/>
      </c>
    </row>
    <row r="16">
      <c r="CB16">
        <f>IF((CE$1+12)&gt;CC$1,NA(),(CE$1+12)-4)</f>
        <v/>
      </c>
      <c r="CC16">
        <f>IF((CE$1+12)&gt;CC$1,NA(),INDEX('Data Entry'!$H$5:$BE$10004,(CE$1+12)-4,$B$20))</f>
        <v/>
      </c>
      <c r="CD16">
        <f>IF(ISNA(CB16),NA(),INDEX(Capability!$K$5:$K$54,$B$20))</f>
        <v/>
      </c>
      <c r="CE16">
        <f>IF(ISNA(CB16),NA(),INDEX(Capability!$J$5:$J$54,$B$20))</f>
        <v/>
      </c>
      <c r="CF16">
        <f>IF(ISNA(CB16),NA(),INDEX(Capability!$L$5:$L$54,$B$20))</f>
        <v/>
      </c>
      <c r="CG16">
        <f>IF(OR(ISNA(CC16),ISNA(CC15)),NA(),ABS(CC16-CC15))</f>
        <v/>
      </c>
      <c r="CH16">
        <f>IF(ISNA(CB16),NA(),INDEX(Capability!$N$5:$N$54,$B$20))</f>
        <v/>
      </c>
      <c r="CI16">
        <f>IF(ISNA(CB16),NA(),IF(OR(INDEX(Capability!$Q$5:$Q$54,$B$20)="",Settings!$F$7&lt;&gt;"Y"),NA(),INDEX(Capability!$Q$5:$Q$54,$B$20)))</f>
        <v/>
      </c>
      <c r="CJ16">
        <f>IF(ISNA(CB16),NA(),IF(OR(INDEX(Capability!$P$5:$P$54,$B$20)="",Settings!$F$7&lt;&gt;"Y"),NA(),INDEX(Capability!$P$5:$P$54,$B$20)))</f>
        <v/>
      </c>
      <c r="CK16">
        <f>IF(CI$1="","",ROUND(CG$1+CI$1*12.5,4))</f>
        <v/>
      </c>
      <c r="CL16">
        <f>IF(CI$1="","",COUNTIFS(INDEX('Data Entry'!$H$5:$BE$10004,0,$B$20),"&gt;="&amp;(CG$1+CI$1*12),INDEX('Data Entry'!$H$5:$BE$10004,0,$B$20),"&lt;"&amp;(CG$1+CI$1*13)))</f>
        <v/>
      </c>
      <c r="CM16">
        <f>IF(OR(INDEX(Capability!$P$5:$P$54,$B$20)="",CI$1=""),NA(),IF(AND(INDEX(Capability!$P$5:$P$54,$B$20)&gt;=(CG$1+CI$1*12),INDEX(Capability!$P$5:$P$54,$B$20)&lt;(CG$1+CI$1*13)),CK$1*1.15,NA()))</f>
        <v/>
      </c>
      <c r="CN16">
        <f>IF(OR(INDEX(Capability!$Q$5:$Q$54,$B$20)="",CI$1=""),NA(),IF(AND(INDEX(Capability!$Q$5:$Q$54,$B$20)&gt;=(CG$1+CI$1*12),INDEX(Capability!$Q$5:$Q$54,$B$20)&lt;(CG$1+CI$1*13)),CK$1*1.15,NA()))</f>
        <v/>
      </c>
      <c r="CP16">
        <f>IF((CS$1+12)&gt;CQ$1,NA(),(CS$1+12)-4)</f>
        <v/>
      </c>
      <c r="CQ16">
        <f>IF((CS$1+12)&gt;CQ$1,NA(),INDEX('Data Entry'!$H$5:$BE$10004,(CS$1+12)-4,$B$21))</f>
        <v/>
      </c>
      <c r="CR16">
        <f>IF(ISNA(CP16),NA(),INDEX(Capability!$K$5:$K$54,$B$21))</f>
        <v/>
      </c>
      <c r="CS16">
        <f>IF(ISNA(CP16),NA(),INDEX(Capability!$J$5:$J$54,$B$21))</f>
        <v/>
      </c>
      <c r="CT16">
        <f>IF(ISNA(CP16),NA(),INDEX(Capability!$L$5:$L$54,$B$21))</f>
        <v/>
      </c>
      <c r="CU16">
        <f>IF(OR(ISNA(CQ16),ISNA(CQ15)),NA(),ABS(CQ16-CQ15))</f>
        <v/>
      </c>
      <c r="CV16">
        <f>IF(ISNA(CP16),NA(),INDEX(Capability!$N$5:$N$54,$B$21))</f>
        <v/>
      </c>
      <c r="CW16">
        <f>IF(ISNA(CP16),NA(),IF(OR(INDEX(Capability!$Q$5:$Q$54,$B$21)="",Settings!$F$7&lt;&gt;"Y"),NA(),INDEX(Capability!$Q$5:$Q$54,$B$21)))</f>
        <v/>
      </c>
      <c r="CX16">
        <f>IF(ISNA(CP16),NA(),IF(OR(INDEX(Capability!$P$5:$P$54,$B$21)="",Settings!$F$7&lt;&gt;"Y"),NA(),INDEX(Capability!$P$5:$P$54,$B$21)))</f>
        <v/>
      </c>
      <c r="CY16">
        <f>IF(CW$1="","",ROUND(CU$1+CW$1*12.5,4))</f>
        <v/>
      </c>
      <c r="CZ16">
        <f>IF(CW$1="","",COUNTIFS(INDEX('Data Entry'!$H$5:$BE$10004,0,$B$21),"&gt;="&amp;(CU$1+CW$1*12),INDEX('Data Entry'!$H$5:$BE$10004,0,$B$21),"&lt;"&amp;(CU$1+CW$1*13)))</f>
        <v/>
      </c>
      <c r="DA16">
        <f>IF(OR(INDEX(Capability!$P$5:$P$54,$B$21)="",CW$1=""),NA(),IF(AND(INDEX(Capability!$P$5:$P$54,$B$21)&gt;=(CU$1+CW$1*12),INDEX(Capability!$P$5:$P$54,$B$21)&lt;(CU$1+CW$1*13)),CY$1*1.15,NA()))</f>
        <v/>
      </c>
      <c r="DB16">
        <f>IF(OR(INDEX(Capability!$Q$5:$Q$54,$B$21)="",CW$1=""),NA(),IF(AND(INDEX(Capability!$Q$5:$Q$54,$B$21)&gt;=(CU$1+CW$1*12),INDEX(Capability!$Q$5:$Q$54,$B$21)&lt;(CU$1+CW$1*13)),CY$1*1.15,NA()))</f>
        <v/>
      </c>
      <c r="DD16">
        <f>IF((DG$1+12)&gt;DE$1,NA(),(DG$1+12)-4)</f>
        <v/>
      </c>
      <c r="DE16">
        <f>IF((DG$1+12)&gt;DE$1,NA(),INDEX('Data Entry'!$H$5:$BE$10004,(DG$1+12)-4,$B$22))</f>
        <v/>
      </c>
      <c r="DF16">
        <f>IF(ISNA(DD16),NA(),INDEX(Capability!$K$5:$K$54,$B$22))</f>
        <v/>
      </c>
      <c r="DG16">
        <f>IF(ISNA(DD16),NA(),INDEX(Capability!$J$5:$J$54,$B$22))</f>
        <v/>
      </c>
      <c r="DH16">
        <f>IF(ISNA(DD16),NA(),INDEX(Capability!$L$5:$L$54,$B$22))</f>
        <v/>
      </c>
      <c r="DI16">
        <f>IF(OR(ISNA(DE16),ISNA(DE15)),NA(),ABS(DE16-DE15))</f>
        <v/>
      </c>
      <c r="DJ16">
        <f>IF(ISNA(DD16),NA(),INDEX(Capability!$N$5:$N$54,$B$22))</f>
        <v/>
      </c>
      <c r="DK16">
        <f>IF(ISNA(DD16),NA(),IF(OR(INDEX(Capability!$Q$5:$Q$54,$B$22)="",Settings!$F$7&lt;&gt;"Y"),NA(),INDEX(Capability!$Q$5:$Q$54,$B$22)))</f>
        <v/>
      </c>
      <c r="DL16">
        <f>IF(ISNA(DD16),NA(),IF(OR(INDEX(Capability!$P$5:$P$54,$B$22)="",Settings!$F$7&lt;&gt;"Y"),NA(),INDEX(Capability!$P$5:$P$54,$B$22)))</f>
        <v/>
      </c>
      <c r="DM16">
        <f>IF(DK$1="","",ROUND(DI$1+DK$1*12.5,4))</f>
        <v/>
      </c>
      <c r="DN16">
        <f>IF(DK$1="","",COUNTIFS(INDEX('Data Entry'!$H$5:$BE$10004,0,$B$22),"&gt;="&amp;(DI$1+DK$1*12),INDEX('Data Entry'!$H$5:$BE$10004,0,$B$22),"&lt;"&amp;(DI$1+DK$1*13)))</f>
        <v/>
      </c>
      <c r="DO16">
        <f>IF(OR(INDEX(Capability!$P$5:$P$54,$B$22)="",DK$1=""),NA(),IF(AND(INDEX(Capability!$P$5:$P$54,$B$22)&gt;=(DI$1+DK$1*12),INDEX(Capability!$P$5:$P$54,$B$22)&lt;(DI$1+DK$1*13)),DM$1*1.15,NA()))</f>
        <v/>
      </c>
      <c r="DP16">
        <f>IF(OR(INDEX(Capability!$Q$5:$Q$54,$B$22)="",DK$1=""),NA(),IF(AND(INDEX(Capability!$Q$5:$Q$54,$B$22)&gt;=(DI$1+DK$1*12),INDEX(Capability!$Q$5:$Q$54,$B$22)&lt;(DI$1+DK$1*13)),DM$1*1.15,NA()))</f>
        <v/>
      </c>
      <c r="DR16">
        <f>IF((DU$1+12)&gt;DS$1,NA(),(DU$1+12)-4)</f>
        <v/>
      </c>
      <c r="DS16">
        <f>IF((DU$1+12)&gt;DS$1,NA(),INDEX('Data Entry'!$H$5:$BE$10004,(DU$1+12)-4,$B$23))</f>
        <v/>
      </c>
      <c r="DT16">
        <f>IF(ISNA(DR16),NA(),INDEX(Capability!$K$5:$K$54,$B$23))</f>
        <v/>
      </c>
      <c r="DU16">
        <f>IF(ISNA(DR16),NA(),INDEX(Capability!$J$5:$J$54,$B$23))</f>
        <v/>
      </c>
      <c r="DV16">
        <f>IF(ISNA(DR16),NA(),INDEX(Capability!$L$5:$L$54,$B$23))</f>
        <v/>
      </c>
      <c r="DW16">
        <f>IF(OR(ISNA(DS16),ISNA(DS15)),NA(),ABS(DS16-DS15))</f>
        <v/>
      </c>
      <c r="DX16">
        <f>IF(ISNA(DR16),NA(),INDEX(Capability!$N$5:$N$54,$B$23))</f>
        <v/>
      </c>
      <c r="DY16">
        <f>IF(ISNA(DR16),NA(),IF(OR(INDEX(Capability!$Q$5:$Q$54,$B$23)="",Settings!$F$7&lt;&gt;"Y"),NA(),INDEX(Capability!$Q$5:$Q$54,$B$23)))</f>
        <v/>
      </c>
      <c r="DZ16">
        <f>IF(ISNA(DR16),NA(),IF(OR(INDEX(Capability!$P$5:$P$54,$B$23)="",Settings!$F$7&lt;&gt;"Y"),NA(),INDEX(Capability!$P$5:$P$54,$B$23)))</f>
        <v/>
      </c>
      <c r="EA16">
        <f>IF(DY$1="","",ROUND(DW$1+DY$1*12.5,4))</f>
        <v/>
      </c>
      <c r="EB16">
        <f>IF(DY$1="","",COUNTIFS(INDEX('Data Entry'!$H$5:$BE$10004,0,$B$23),"&gt;="&amp;(DW$1+DY$1*12),INDEX('Data Entry'!$H$5:$BE$10004,0,$B$23),"&lt;"&amp;(DW$1+DY$1*13)))</f>
        <v/>
      </c>
      <c r="EC16">
        <f>IF(OR(INDEX(Capability!$P$5:$P$54,$B$23)="",DY$1=""),NA(),IF(AND(INDEX(Capability!$P$5:$P$54,$B$23)&gt;=(DW$1+DY$1*12),INDEX(Capability!$P$5:$P$54,$B$23)&lt;(DW$1+DY$1*13)),EA$1*1.15,NA()))</f>
        <v/>
      </c>
      <c r="ED16">
        <f>IF(OR(INDEX(Capability!$Q$5:$Q$54,$B$23)="",DY$1=""),NA(),IF(AND(INDEX(Capability!$Q$5:$Q$54,$B$23)&gt;=(DW$1+DY$1*12),INDEX(Capability!$Q$5:$Q$54,$B$23)&lt;(DW$1+DY$1*13)),EA$1*1.15,NA()))</f>
        <v/>
      </c>
    </row>
    <row r="17">
      <c r="A17" s="13" t="inlineStr">
        <is>
          <t>Edit paths on Settings (F8:F11). Run SPC_StartMonitor to begin.</t>
        </is>
      </c>
      <c r="CB17">
        <f>IF((CE$1+13)&gt;CC$1,NA(),(CE$1+13)-4)</f>
        <v/>
      </c>
      <c r="CC17">
        <f>IF((CE$1+13)&gt;CC$1,NA(),INDEX('Data Entry'!$H$5:$BE$10004,(CE$1+13)-4,$B$20))</f>
        <v/>
      </c>
      <c r="CD17">
        <f>IF(ISNA(CB17),NA(),INDEX(Capability!$K$5:$K$54,$B$20))</f>
        <v/>
      </c>
      <c r="CE17">
        <f>IF(ISNA(CB17),NA(),INDEX(Capability!$J$5:$J$54,$B$20))</f>
        <v/>
      </c>
      <c r="CF17">
        <f>IF(ISNA(CB17),NA(),INDEX(Capability!$L$5:$L$54,$B$20))</f>
        <v/>
      </c>
      <c r="CG17">
        <f>IF(OR(ISNA(CC17),ISNA(CC16)),NA(),ABS(CC17-CC16))</f>
        <v/>
      </c>
      <c r="CH17">
        <f>IF(ISNA(CB17),NA(),INDEX(Capability!$N$5:$N$54,$B$20))</f>
        <v/>
      </c>
      <c r="CI17">
        <f>IF(ISNA(CB17),NA(),IF(OR(INDEX(Capability!$Q$5:$Q$54,$B$20)="",Settings!$F$7&lt;&gt;"Y"),NA(),INDEX(Capability!$Q$5:$Q$54,$B$20)))</f>
        <v/>
      </c>
      <c r="CJ17">
        <f>IF(ISNA(CB17),NA(),IF(OR(INDEX(Capability!$P$5:$P$54,$B$20)="",Settings!$F$7&lt;&gt;"Y"),NA(),INDEX(Capability!$P$5:$P$54,$B$20)))</f>
        <v/>
      </c>
      <c r="CK17">
        <f>IF(CI$1="","",ROUND(CG$1+CI$1*13.5,4))</f>
        <v/>
      </c>
      <c r="CL17">
        <f>IF(CI$1="","",COUNTIFS(INDEX('Data Entry'!$H$5:$BE$10004,0,$B$20),"&gt;="&amp;(CG$1+CI$1*13),INDEX('Data Entry'!$H$5:$BE$10004,0,$B$20),"&lt;"&amp;(CG$1+CI$1*14)))</f>
        <v/>
      </c>
      <c r="CM17">
        <f>IF(OR(INDEX(Capability!$P$5:$P$54,$B$20)="",CI$1=""),NA(),IF(AND(INDEX(Capability!$P$5:$P$54,$B$20)&gt;=(CG$1+CI$1*13),INDEX(Capability!$P$5:$P$54,$B$20)&lt;(CG$1+CI$1*14)),CK$1*1.15,NA()))</f>
        <v/>
      </c>
      <c r="CN17">
        <f>IF(OR(INDEX(Capability!$Q$5:$Q$54,$B$20)="",CI$1=""),NA(),IF(AND(INDEX(Capability!$Q$5:$Q$54,$B$20)&gt;=(CG$1+CI$1*13),INDEX(Capability!$Q$5:$Q$54,$B$20)&lt;(CG$1+CI$1*14)),CK$1*1.15,NA()))</f>
        <v/>
      </c>
      <c r="CP17">
        <f>IF((CS$1+13)&gt;CQ$1,NA(),(CS$1+13)-4)</f>
        <v/>
      </c>
      <c r="CQ17">
        <f>IF((CS$1+13)&gt;CQ$1,NA(),INDEX('Data Entry'!$H$5:$BE$10004,(CS$1+13)-4,$B$21))</f>
        <v/>
      </c>
      <c r="CR17">
        <f>IF(ISNA(CP17),NA(),INDEX(Capability!$K$5:$K$54,$B$21))</f>
        <v/>
      </c>
      <c r="CS17">
        <f>IF(ISNA(CP17),NA(),INDEX(Capability!$J$5:$J$54,$B$21))</f>
        <v/>
      </c>
      <c r="CT17">
        <f>IF(ISNA(CP17),NA(),INDEX(Capability!$L$5:$L$54,$B$21))</f>
        <v/>
      </c>
      <c r="CU17">
        <f>IF(OR(ISNA(CQ17),ISNA(CQ16)),NA(),ABS(CQ17-CQ16))</f>
        <v/>
      </c>
      <c r="CV17">
        <f>IF(ISNA(CP17),NA(),INDEX(Capability!$N$5:$N$54,$B$21))</f>
        <v/>
      </c>
      <c r="CW17">
        <f>IF(ISNA(CP17),NA(),IF(OR(INDEX(Capability!$Q$5:$Q$54,$B$21)="",Settings!$F$7&lt;&gt;"Y"),NA(),INDEX(Capability!$Q$5:$Q$54,$B$21)))</f>
        <v/>
      </c>
      <c r="CX17">
        <f>IF(ISNA(CP17),NA(),IF(OR(INDEX(Capability!$P$5:$P$54,$B$21)="",Settings!$F$7&lt;&gt;"Y"),NA(),INDEX(Capability!$P$5:$P$54,$B$21)))</f>
        <v/>
      </c>
      <c r="CY17">
        <f>IF(CW$1="","",ROUND(CU$1+CW$1*13.5,4))</f>
        <v/>
      </c>
      <c r="CZ17">
        <f>IF(CW$1="","",COUNTIFS(INDEX('Data Entry'!$H$5:$BE$10004,0,$B$21),"&gt;="&amp;(CU$1+CW$1*13),INDEX('Data Entry'!$H$5:$BE$10004,0,$B$21),"&lt;"&amp;(CU$1+CW$1*14)))</f>
        <v/>
      </c>
      <c r="DA17">
        <f>IF(OR(INDEX(Capability!$P$5:$P$54,$B$21)="",CW$1=""),NA(),IF(AND(INDEX(Capability!$P$5:$P$54,$B$21)&gt;=(CU$1+CW$1*13),INDEX(Capability!$P$5:$P$54,$B$21)&lt;(CU$1+CW$1*14)),CY$1*1.15,NA()))</f>
        <v/>
      </c>
      <c r="DB17">
        <f>IF(OR(INDEX(Capability!$Q$5:$Q$54,$B$21)="",CW$1=""),NA(),IF(AND(INDEX(Capability!$Q$5:$Q$54,$B$21)&gt;=(CU$1+CW$1*13),INDEX(Capability!$Q$5:$Q$54,$B$21)&lt;(CU$1+CW$1*14)),CY$1*1.15,NA()))</f>
        <v/>
      </c>
      <c r="DD17">
        <f>IF((DG$1+13)&gt;DE$1,NA(),(DG$1+13)-4)</f>
        <v/>
      </c>
      <c r="DE17">
        <f>IF((DG$1+13)&gt;DE$1,NA(),INDEX('Data Entry'!$H$5:$BE$10004,(DG$1+13)-4,$B$22))</f>
        <v/>
      </c>
      <c r="DF17">
        <f>IF(ISNA(DD17),NA(),INDEX(Capability!$K$5:$K$54,$B$22))</f>
        <v/>
      </c>
      <c r="DG17">
        <f>IF(ISNA(DD17),NA(),INDEX(Capability!$J$5:$J$54,$B$22))</f>
        <v/>
      </c>
      <c r="DH17">
        <f>IF(ISNA(DD17),NA(),INDEX(Capability!$L$5:$L$54,$B$22))</f>
        <v/>
      </c>
      <c r="DI17">
        <f>IF(OR(ISNA(DE17),ISNA(DE16)),NA(),ABS(DE17-DE16))</f>
        <v/>
      </c>
      <c r="DJ17">
        <f>IF(ISNA(DD17),NA(),INDEX(Capability!$N$5:$N$54,$B$22))</f>
        <v/>
      </c>
      <c r="DK17">
        <f>IF(ISNA(DD17),NA(),IF(OR(INDEX(Capability!$Q$5:$Q$54,$B$22)="",Settings!$F$7&lt;&gt;"Y"),NA(),INDEX(Capability!$Q$5:$Q$54,$B$22)))</f>
        <v/>
      </c>
      <c r="DL17">
        <f>IF(ISNA(DD17),NA(),IF(OR(INDEX(Capability!$P$5:$P$54,$B$22)="",Settings!$F$7&lt;&gt;"Y"),NA(),INDEX(Capability!$P$5:$P$54,$B$22)))</f>
        <v/>
      </c>
      <c r="DM17">
        <f>IF(DK$1="","",ROUND(DI$1+DK$1*13.5,4))</f>
        <v/>
      </c>
      <c r="DN17">
        <f>IF(DK$1="","",COUNTIFS(INDEX('Data Entry'!$H$5:$BE$10004,0,$B$22),"&gt;="&amp;(DI$1+DK$1*13),INDEX('Data Entry'!$H$5:$BE$10004,0,$B$22),"&lt;"&amp;(DI$1+DK$1*14)))</f>
        <v/>
      </c>
      <c r="DO17">
        <f>IF(OR(INDEX(Capability!$P$5:$P$54,$B$22)="",DK$1=""),NA(),IF(AND(INDEX(Capability!$P$5:$P$54,$B$22)&gt;=(DI$1+DK$1*13),INDEX(Capability!$P$5:$P$54,$B$22)&lt;(DI$1+DK$1*14)),DM$1*1.15,NA()))</f>
        <v/>
      </c>
      <c r="DP17">
        <f>IF(OR(INDEX(Capability!$Q$5:$Q$54,$B$22)="",DK$1=""),NA(),IF(AND(INDEX(Capability!$Q$5:$Q$54,$B$22)&gt;=(DI$1+DK$1*13),INDEX(Capability!$Q$5:$Q$54,$B$22)&lt;(DI$1+DK$1*14)),DM$1*1.15,NA()))</f>
        <v/>
      </c>
      <c r="DR17">
        <f>IF((DU$1+13)&gt;DS$1,NA(),(DU$1+13)-4)</f>
        <v/>
      </c>
      <c r="DS17">
        <f>IF((DU$1+13)&gt;DS$1,NA(),INDEX('Data Entry'!$H$5:$BE$10004,(DU$1+13)-4,$B$23))</f>
        <v/>
      </c>
      <c r="DT17">
        <f>IF(ISNA(DR17),NA(),INDEX(Capability!$K$5:$K$54,$B$23))</f>
        <v/>
      </c>
      <c r="DU17">
        <f>IF(ISNA(DR17),NA(),INDEX(Capability!$J$5:$J$54,$B$23))</f>
        <v/>
      </c>
      <c r="DV17">
        <f>IF(ISNA(DR17),NA(),INDEX(Capability!$L$5:$L$54,$B$23))</f>
        <v/>
      </c>
      <c r="DW17">
        <f>IF(OR(ISNA(DS17),ISNA(DS16)),NA(),ABS(DS17-DS16))</f>
        <v/>
      </c>
      <c r="DX17">
        <f>IF(ISNA(DR17),NA(),INDEX(Capability!$N$5:$N$54,$B$23))</f>
        <v/>
      </c>
      <c r="DY17">
        <f>IF(ISNA(DR17),NA(),IF(OR(INDEX(Capability!$Q$5:$Q$54,$B$23)="",Settings!$F$7&lt;&gt;"Y"),NA(),INDEX(Capability!$Q$5:$Q$54,$B$23)))</f>
        <v/>
      </c>
      <c r="DZ17">
        <f>IF(ISNA(DR17),NA(),IF(OR(INDEX(Capability!$P$5:$P$54,$B$23)="",Settings!$F$7&lt;&gt;"Y"),NA(),INDEX(Capability!$P$5:$P$54,$B$23)))</f>
        <v/>
      </c>
      <c r="EA17">
        <f>IF(DY$1="","",ROUND(DW$1+DY$1*13.5,4))</f>
        <v/>
      </c>
      <c r="EB17">
        <f>IF(DY$1="","",COUNTIFS(INDEX('Data Entry'!$H$5:$BE$10004,0,$B$23),"&gt;="&amp;(DW$1+DY$1*13),INDEX('Data Entry'!$H$5:$BE$10004,0,$B$23),"&lt;"&amp;(DW$1+DY$1*14)))</f>
        <v/>
      </c>
      <c r="EC17">
        <f>IF(OR(INDEX(Capability!$P$5:$P$54,$B$23)="",DY$1=""),NA(),IF(AND(INDEX(Capability!$P$5:$P$54,$B$23)&gt;=(DW$1+DY$1*13),INDEX(Capability!$P$5:$P$54,$B$23)&lt;(DW$1+DY$1*14)),EA$1*1.15,NA()))</f>
        <v/>
      </c>
      <c r="ED17">
        <f>IF(OR(INDEX(Capability!$Q$5:$Q$54,$B$23)="",DY$1=""),NA(),IF(AND(INDEX(Capability!$Q$5:$Q$54,$B$23)&gt;=(DW$1+DY$1*13),INDEX(Capability!$Q$5:$Q$54,$B$23)&lt;(DW$1+DY$1*14)),EA$1*1.15,NA()))</f>
        <v/>
      </c>
    </row>
    <row r="18">
      <c r="CB18">
        <f>IF((CE$1+14)&gt;CC$1,NA(),(CE$1+14)-4)</f>
        <v/>
      </c>
      <c r="CC18">
        <f>IF((CE$1+14)&gt;CC$1,NA(),INDEX('Data Entry'!$H$5:$BE$10004,(CE$1+14)-4,$B$20))</f>
        <v/>
      </c>
      <c r="CD18">
        <f>IF(ISNA(CB18),NA(),INDEX(Capability!$K$5:$K$54,$B$20))</f>
        <v/>
      </c>
      <c r="CE18">
        <f>IF(ISNA(CB18),NA(),INDEX(Capability!$J$5:$J$54,$B$20))</f>
        <v/>
      </c>
      <c r="CF18">
        <f>IF(ISNA(CB18),NA(),INDEX(Capability!$L$5:$L$54,$B$20))</f>
        <v/>
      </c>
      <c r="CG18">
        <f>IF(OR(ISNA(CC18),ISNA(CC17)),NA(),ABS(CC18-CC17))</f>
        <v/>
      </c>
      <c r="CH18">
        <f>IF(ISNA(CB18),NA(),INDEX(Capability!$N$5:$N$54,$B$20))</f>
        <v/>
      </c>
      <c r="CI18">
        <f>IF(ISNA(CB18),NA(),IF(OR(INDEX(Capability!$Q$5:$Q$54,$B$20)="",Settings!$F$7&lt;&gt;"Y"),NA(),INDEX(Capability!$Q$5:$Q$54,$B$20)))</f>
        <v/>
      </c>
      <c r="CJ18">
        <f>IF(ISNA(CB18),NA(),IF(OR(INDEX(Capability!$P$5:$P$54,$B$20)="",Settings!$F$7&lt;&gt;"Y"),NA(),INDEX(Capability!$P$5:$P$54,$B$20)))</f>
        <v/>
      </c>
      <c r="CK18">
        <f>IF(CI$1="","",ROUND(CG$1+CI$1*14.5,4))</f>
        <v/>
      </c>
      <c r="CL18">
        <f>IF(CI$1="","",COUNTIFS(INDEX('Data Entry'!$H$5:$BE$10004,0,$B$20),"&gt;="&amp;(CG$1+CI$1*14),INDEX('Data Entry'!$H$5:$BE$10004,0,$B$20),"&lt;="&amp;(CG$1+CI$1*15)))</f>
        <v/>
      </c>
      <c r="CM18">
        <f>IF(OR(INDEX(Capability!$P$5:$P$54,$B$20)="",CI$1=""),NA(),IF(AND(INDEX(Capability!$P$5:$P$54,$B$20)&gt;=(CG$1+CI$1*14),INDEX(Capability!$P$5:$P$54,$B$20)&lt;(CG$1+CI$1*15)),CK$1*1.15,NA()))</f>
        <v/>
      </c>
      <c r="CN18">
        <f>IF(OR(INDEX(Capability!$Q$5:$Q$54,$B$20)="",CI$1=""),NA(),IF(AND(INDEX(Capability!$Q$5:$Q$54,$B$20)&gt;=(CG$1+CI$1*14),INDEX(Capability!$Q$5:$Q$54,$B$20)&lt;(CG$1+CI$1*15)),CK$1*1.15,NA()))</f>
        <v/>
      </c>
      <c r="CP18">
        <f>IF((CS$1+14)&gt;CQ$1,NA(),(CS$1+14)-4)</f>
        <v/>
      </c>
      <c r="CQ18">
        <f>IF((CS$1+14)&gt;CQ$1,NA(),INDEX('Data Entry'!$H$5:$BE$10004,(CS$1+14)-4,$B$21))</f>
        <v/>
      </c>
      <c r="CR18">
        <f>IF(ISNA(CP18),NA(),INDEX(Capability!$K$5:$K$54,$B$21))</f>
        <v/>
      </c>
      <c r="CS18">
        <f>IF(ISNA(CP18),NA(),INDEX(Capability!$J$5:$J$54,$B$21))</f>
        <v/>
      </c>
      <c r="CT18">
        <f>IF(ISNA(CP18),NA(),INDEX(Capability!$L$5:$L$54,$B$21))</f>
        <v/>
      </c>
      <c r="CU18">
        <f>IF(OR(ISNA(CQ18),ISNA(CQ17)),NA(),ABS(CQ18-CQ17))</f>
        <v/>
      </c>
      <c r="CV18">
        <f>IF(ISNA(CP18),NA(),INDEX(Capability!$N$5:$N$54,$B$21))</f>
        <v/>
      </c>
      <c r="CW18">
        <f>IF(ISNA(CP18),NA(),IF(OR(INDEX(Capability!$Q$5:$Q$54,$B$21)="",Settings!$F$7&lt;&gt;"Y"),NA(),INDEX(Capability!$Q$5:$Q$54,$B$21)))</f>
        <v/>
      </c>
      <c r="CX18">
        <f>IF(ISNA(CP18),NA(),IF(OR(INDEX(Capability!$P$5:$P$54,$B$21)="",Settings!$F$7&lt;&gt;"Y"),NA(),INDEX(Capability!$P$5:$P$54,$B$21)))</f>
        <v/>
      </c>
      <c r="CY18">
        <f>IF(CW$1="","",ROUND(CU$1+CW$1*14.5,4))</f>
        <v/>
      </c>
      <c r="CZ18">
        <f>IF(CW$1="","",COUNTIFS(INDEX('Data Entry'!$H$5:$BE$10004,0,$B$21),"&gt;="&amp;(CU$1+CW$1*14),INDEX('Data Entry'!$H$5:$BE$10004,0,$B$21),"&lt;="&amp;(CU$1+CW$1*15)))</f>
        <v/>
      </c>
      <c r="DA18">
        <f>IF(OR(INDEX(Capability!$P$5:$P$54,$B$21)="",CW$1=""),NA(),IF(AND(INDEX(Capability!$P$5:$P$54,$B$21)&gt;=(CU$1+CW$1*14),INDEX(Capability!$P$5:$P$54,$B$21)&lt;(CU$1+CW$1*15)),CY$1*1.15,NA()))</f>
        <v/>
      </c>
      <c r="DB18">
        <f>IF(OR(INDEX(Capability!$Q$5:$Q$54,$B$21)="",CW$1=""),NA(),IF(AND(INDEX(Capability!$Q$5:$Q$54,$B$21)&gt;=(CU$1+CW$1*14),INDEX(Capability!$Q$5:$Q$54,$B$21)&lt;(CU$1+CW$1*15)),CY$1*1.15,NA()))</f>
        <v/>
      </c>
      <c r="DD18">
        <f>IF((DG$1+14)&gt;DE$1,NA(),(DG$1+14)-4)</f>
        <v/>
      </c>
      <c r="DE18">
        <f>IF((DG$1+14)&gt;DE$1,NA(),INDEX('Data Entry'!$H$5:$BE$10004,(DG$1+14)-4,$B$22))</f>
        <v/>
      </c>
      <c r="DF18">
        <f>IF(ISNA(DD18),NA(),INDEX(Capability!$K$5:$K$54,$B$22))</f>
        <v/>
      </c>
      <c r="DG18">
        <f>IF(ISNA(DD18),NA(),INDEX(Capability!$J$5:$J$54,$B$22))</f>
        <v/>
      </c>
      <c r="DH18">
        <f>IF(ISNA(DD18),NA(),INDEX(Capability!$L$5:$L$54,$B$22))</f>
        <v/>
      </c>
      <c r="DI18">
        <f>IF(OR(ISNA(DE18),ISNA(DE17)),NA(),ABS(DE18-DE17))</f>
        <v/>
      </c>
      <c r="DJ18">
        <f>IF(ISNA(DD18),NA(),INDEX(Capability!$N$5:$N$54,$B$22))</f>
        <v/>
      </c>
      <c r="DK18">
        <f>IF(ISNA(DD18),NA(),IF(OR(INDEX(Capability!$Q$5:$Q$54,$B$22)="",Settings!$F$7&lt;&gt;"Y"),NA(),INDEX(Capability!$Q$5:$Q$54,$B$22)))</f>
        <v/>
      </c>
      <c r="DL18">
        <f>IF(ISNA(DD18),NA(),IF(OR(INDEX(Capability!$P$5:$P$54,$B$22)="",Settings!$F$7&lt;&gt;"Y"),NA(),INDEX(Capability!$P$5:$P$54,$B$22)))</f>
        <v/>
      </c>
      <c r="DM18">
        <f>IF(DK$1="","",ROUND(DI$1+DK$1*14.5,4))</f>
        <v/>
      </c>
      <c r="DN18">
        <f>IF(DK$1="","",COUNTIFS(INDEX('Data Entry'!$H$5:$BE$10004,0,$B$22),"&gt;="&amp;(DI$1+DK$1*14),INDEX('Data Entry'!$H$5:$BE$10004,0,$B$22),"&lt;="&amp;(DI$1+DK$1*15)))</f>
        <v/>
      </c>
      <c r="DO18">
        <f>IF(OR(INDEX(Capability!$P$5:$P$54,$B$22)="",DK$1=""),NA(),IF(AND(INDEX(Capability!$P$5:$P$54,$B$22)&gt;=(DI$1+DK$1*14),INDEX(Capability!$P$5:$P$54,$B$22)&lt;(DI$1+DK$1*15)),DM$1*1.15,NA()))</f>
        <v/>
      </c>
      <c r="DP18">
        <f>IF(OR(INDEX(Capability!$Q$5:$Q$54,$B$22)="",DK$1=""),NA(),IF(AND(INDEX(Capability!$Q$5:$Q$54,$B$22)&gt;=(DI$1+DK$1*14),INDEX(Capability!$Q$5:$Q$54,$B$22)&lt;(DI$1+DK$1*15)),DM$1*1.15,NA()))</f>
        <v/>
      </c>
      <c r="DR18">
        <f>IF((DU$1+14)&gt;DS$1,NA(),(DU$1+14)-4)</f>
        <v/>
      </c>
      <c r="DS18">
        <f>IF((DU$1+14)&gt;DS$1,NA(),INDEX('Data Entry'!$H$5:$BE$10004,(DU$1+14)-4,$B$23))</f>
        <v/>
      </c>
      <c r="DT18">
        <f>IF(ISNA(DR18),NA(),INDEX(Capability!$K$5:$K$54,$B$23))</f>
        <v/>
      </c>
      <c r="DU18">
        <f>IF(ISNA(DR18),NA(),INDEX(Capability!$J$5:$J$54,$B$23))</f>
        <v/>
      </c>
      <c r="DV18">
        <f>IF(ISNA(DR18),NA(),INDEX(Capability!$L$5:$L$54,$B$23))</f>
        <v/>
      </c>
      <c r="DW18">
        <f>IF(OR(ISNA(DS18),ISNA(DS17)),NA(),ABS(DS18-DS17))</f>
        <v/>
      </c>
      <c r="DX18">
        <f>IF(ISNA(DR18),NA(),INDEX(Capability!$N$5:$N$54,$B$23))</f>
        <v/>
      </c>
      <c r="DY18">
        <f>IF(ISNA(DR18),NA(),IF(OR(INDEX(Capability!$Q$5:$Q$54,$B$23)="",Settings!$F$7&lt;&gt;"Y"),NA(),INDEX(Capability!$Q$5:$Q$54,$B$23)))</f>
        <v/>
      </c>
      <c r="DZ18">
        <f>IF(ISNA(DR18),NA(),IF(OR(INDEX(Capability!$P$5:$P$54,$B$23)="",Settings!$F$7&lt;&gt;"Y"),NA(),INDEX(Capability!$P$5:$P$54,$B$23)))</f>
        <v/>
      </c>
      <c r="EA18">
        <f>IF(DY$1="","",ROUND(DW$1+DY$1*14.5,4))</f>
        <v/>
      </c>
      <c r="EB18">
        <f>IF(DY$1="","",COUNTIFS(INDEX('Data Entry'!$H$5:$BE$10004,0,$B$23),"&gt;="&amp;(DW$1+DY$1*14),INDEX('Data Entry'!$H$5:$BE$10004,0,$B$23),"&lt;="&amp;(DW$1+DY$1*15)))</f>
        <v/>
      </c>
      <c r="EC18">
        <f>IF(OR(INDEX(Capability!$P$5:$P$54,$B$23)="",DY$1=""),NA(),IF(AND(INDEX(Capability!$P$5:$P$54,$B$23)&gt;=(DW$1+DY$1*14),INDEX(Capability!$P$5:$P$54,$B$23)&lt;(DW$1+DY$1*15)),EA$1*1.15,NA()))</f>
        <v/>
      </c>
      <c r="ED18">
        <f>IF(OR(INDEX(Capability!$Q$5:$Q$54,$B$23)="",DY$1=""),NA(),IF(AND(INDEX(Capability!$Q$5:$Q$54,$B$23)&gt;=(DW$1+DY$1*14),INDEX(Capability!$Q$5:$Q$54,$B$23)&lt;(DW$1+DY$1*15)),EA$1*1.15,NA()))</f>
        <v/>
      </c>
    </row>
    <row r="19">
      <c r="A19" s="4" t="inlineStr">
        <is>
          <t>CHART SLOTS</t>
        </is>
      </c>
      <c r="B19" s="9" t="n"/>
      <c r="CB19">
        <f>IF((CE$1+15)&gt;CC$1,NA(),(CE$1+15)-4)</f>
        <v/>
      </c>
      <c r="CC19">
        <f>IF((CE$1+15)&gt;CC$1,NA(),INDEX('Data Entry'!$H$5:$BE$10004,(CE$1+15)-4,$B$20))</f>
        <v/>
      </c>
      <c r="CD19">
        <f>IF(ISNA(CB19),NA(),INDEX(Capability!$K$5:$K$54,$B$20))</f>
        <v/>
      </c>
      <c r="CE19">
        <f>IF(ISNA(CB19),NA(),INDEX(Capability!$J$5:$J$54,$B$20))</f>
        <v/>
      </c>
      <c r="CF19">
        <f>IF(ISNA(CB19),NA(),INDEX(Capability!$L$5:$L$54,$B$20))</f>
        <v/>
      </c>
      <c r="CG19">
        <f>IF(OR(ISNA(CC19),ISNA(CC18)),NA(),ABS(CC19-CC18))</f>
        <v/>
      </c>
      <c r="CH19">
        <f>IF(ISNA(CB19),NA(),INDEX(Capability!$N$5:$N$54,$B$20))</f>
        <v/>
      </c>
      <c r="CI19">
        <f>IF(ISNA(CB19),NA(),IF(OR(INDEX(Capability!$Q$5:$Q$54,$B$20)="",Settings!$F$7&lt;&gt;"Y"),NA(),INDEX(Capability!$Q$5:$Q$54,$B$20)))</f>
        <v/>
      </c>
      <c r="CJ19">
        <f>IF(ISNA(CB19),NA(),IF(OR(INDEX(Capability!$P$5:$P$54,$B$20)="",Settings!$F$7&lt;&gt;"Y"),NA(),INDEX(Capability!$P$5:$P$54,$B$20)))</f>
        <v/>
      </c>
      <c r="CP19">
        <f>IF((CS$1+15)&gt;CQ$1,NA(),(CS$1+15)-4)</f>
        <v/>
      </c>
      <c r="CQ19">
        <f>IF((CS$1+15)&gt;CQ$1,NA(),INDEX('Data Entry'!$H$5:$BE$10004,(CS$1+15)-4,$B$21))</f>
        <v/>
      </c>
      <c r="CR19">
        <f>IF(ISNA(CP19),NA(),INDEX(Capability!$K$5:$K$54,$B$21))</f>
        <v/>
      </c>
      <c r="CS19">
        <f>IF(ISNA(CP19),NA(),INDEX(Capability!$J$5:$J$54,$B$21))</f>
        <v/>
      </c>
      <c r="CT19">
        <f>IF(ISNA(CP19),NA(),INDEX(Capability!$L$5:$L$54,$B$21))</f>
        <v/>
      </c>
      <c r="CU19">
        <f>IF(OR(ISNA(CQ19),ISNA(CQ18)),NA(),ABS(CQ19-CQ18))</f>
        <v/>
      </c>
      <c r="CV19">
        <f>IF(ISNA(CP19),NA(),INDEX(Capability!$N$5:$N$54,$B$21))</f>
        <v/>
      </c>
      <c r="CW19">
        <f>IF(ISNA(CP19),NA(),IF(OR(INDEX(Capability!$Q$5:$Q$54,$B$21)="",Settings!$F$7&lt;&gt;"Y"),NA(),INDEX(Capability!$Q$5:$Q$54,$B$21)))</f>
        <v/>
      </c>
      <c r="CX19">
        <f>IF(ISNA(CP19),NA(),IF(OR(INDEX(Capability!$P$5:$P$54,$B$21)="",Settings!$F$7&lt;&gt;"Y"),NA(),INDEX(Capability!$P$5:$P$54,$B$21)))</f>
        <v/>
      </c>
      <c r="DD19">
        <f>IF((DG$1+15)&gt;DE$1,NA(),(DG$1+15)-4)</f>
        <v/>
      </c>
      <c r="DE19">
        <f>IF((DG$1+15)&gt;DE$1,NA(),INDEX('Data Entry'!$H$5:$BE$10004,(DG$1+15)-4,$B$22))</f>
        <v/>
      </c>
      <c r="DF19">
        <f>IF(ISNA(DD19),NA(),INDEX(Capability!$K$5:$K$54,$B$22))</f>
        <v/>
      </c>
      <c r="DG19">
        <f>IF(ISNA(DD19),NA(),INDEX(Capability!$J$5:$J$54,$B$22))</f>
        <v/>
      </c>
      <c r="DH19">
        <f>IF(ISNA(DD19),NA(),INDEX(Capability!$L$5:$L$54,$B$22))</f>
        <v/>
      </c>
      <c r="DI19">
        <f>IF(OR(ISNA(DE19),ISNA(DE18)),NA(),ABS(DE19-DE18))</f>
        <v/>
      </c>
      <c r="DJ19">
        <f>IF(ISNA(DD19),NA(),INDEX(Capability!$N$5:$N$54,$B$22))</f>
        <v/>
      </c>
      <c r="DK19">
        <f>IF(ISNA(DD19),NA(),IF(OR(INDEX(Capability!$Q$5:$Q$54,$B$22)="",Settings!$F$7&lt;&gt;"Y"),NA(),INDEX(Capability!$Q$5:$Q$54,$B$22)))</f>
        <v/>
      </c>
      <c r="DL19">
        <f>IF(ISNA(DD19),NA(),IF(OR(INDEX(Capability!$P$5:$P$54,$B$22)="",Settings!$F$7&lt;&gt;"Y"),NA(),INDEX(Capability!$P$5:$P$54,$B$22)))</f>
        <v/>
      </c>
      <c r="DR19">
        <f>IF((DU$1+15)&gt;DS$1,NA(),(DU$1+15)-4)</f>
        <v/>
      </c>
      <c r="DS19">
        <f>IF((DU$1+15)&gt;DS$1,NA(),INDEX('Data Entry'!$H$5:$BE$10004,(DU$1+15)-4,$B$23))</f>
        <v/>
      </c>
      <c r="DT19">
        <f>IF(ISNA(DR19),NA(),INDEX(Capability!$K$5:$K$54,$B$23))</f>
        <v/>
      </c>
      <c r="DU19">
        <f>IF(ISNA(DR19),NA(),INDEX(Capability!$J$5:$J$54,$B$23))</f>
        <v/>
      </c>
      <c r="DV19">
        <f>IF(ISNA(DR19),NA(),INDEX(Capability!$L$5:$L$54,$B$23))</f>
        <v/>
      </c>
      <c r="DW19">
        <f>IF(OR(ISNA(DS19),ISNA(DS18)),NA(),ABS(DS19-DS18))</f>
        <v/>
      </c>
      <c r="DX19">
        <f>IF(ISNA(DR19),NA(),INDEX(Capability!$N$5:$N$54,$B$23))</f>
        <v/>
      </c>
      <c r="DY19">
        <f>IF(ISNA(DR19),NA(),IF(OR(INDEX(Capability!$Q$5:$Q$54,$B$23)="",Settings!$F$7&lt;&gt;"Y"),NA(),INDEX(Capability!$Q$5:$Q$54,$B$23)))</f>
        <v/>
      </c>
      <c r="DZ19">
        <f>IF(ISNA(DR19),NA(),IF(OR(INDEX(Capability!$P$5:$P$54,$B$23)="",Settings!$F$7&lt;&gt;"Y"),NA(),INDEX(Capability!$P$5:$P$54,$B$23)))</f>
        <v/>
      </c>
    </row>
    <row r="20">
      <c r="A20" s="10" t="inlineStr">
        <is>
          <t>Slot 1 - Feature #</t>
        </is>
      </c>
      <c r="B20" s="11" t="n">
        <v>1</v>
      </c>
      <c r="CB20">
        <f>IF((CE$1+16)&gt;CC$1,NA(),(CE$1+16)-4)</f>
        <v/>
      </c>
      <c r="CC20">
        <f>IF((CE$1+16)&gt;CC$1,NA(),INDEX('Data Entry'!$H$5:$BE$10004,(CE$1+16)-4,$B$20))</f>
        <v/>
      </c>
      <c r="CD20">
        <f>IF(ISNA(CB20),NA(),INDEX(Capability!$K$5:$K$54,$B$20))</f>
        <v/>
      </c>
      <c r="CE20">
        <f>IF(ISNA(CB20),NA(),INDEX(Capability!$J$5:$J$54,$B$20))</f>
        <v/>
      </c>
      <c r="CF20">
        <f>IF(ISNA(CB20),NA(),INDEX(Capability!$L$5:$L$54,$B$20))</f>
        <v/>
      </c>
      <c r="CG20">
        <f>IF(OR(ISNA(CC20),ISNA(CC19)),NA(),ABS(CC20-CC19))</f>
        <v/>
      </c>
      <c r="CH20">
        <f>IF(ISNA(CB20),NA(),INDEX(Capability!$N$5:$N$54,$B$20))</f>
        <v/>
      </c>
      <c r="CI20">
        <f>IF(ISNA(CB20),NA(),IF(OR(INDEX(Capability!$Q$5:$Q$54,$B$20)="",Settings!$F$7&lt;&gt;"Y"),NA(),INDEX(Capability!$Q$5:$Q$54,$B$20)))</f>
        <v/>
      </c>
      <c r="CJ20">
        <f>IF(ISNA(CB20),NA(),IF(OR(INDEX(Capability!$P$5:$P$54,$B$20)="",Settings!$F$7&lt;&gt;"Y"),NA(),INDEX(Capability!$P$5:$P$54,$B$20)))</f>
        <v/>
      </c>
      <c r="CP20">
        <f>IF((CS$1+16)&gt;CQ$1,NA(),(CS$1+16)-4)</f>
        <v/>
      </c>
      <c r="CQ20">
        <f>IF((CS$1+16)&gt;CQ$1,NA(),INDEX('Data Entry'!$H$5:$BE$10004,(CS$1+16)-4,$B$21))</f>
        <v/>
      </c>
      <c r="CR20">
        <f>IF(ISNA(CP20),NA(),INDEX(Capability!$K$5:$K$54,$B$21))</f>
        <v/>
      </c>
      <c r="CS20">
        <f>IF(ISNA(CP20),NA(),INDEX(Capability!$J$5:$J$54,$B$21))</f>
        <v/>
      </c>
      <c r="CT20">
        <f>IF(ISNA(CP20),NA(),INDEX(Capability!$L$5:$L$54,$B$21))</f>
        <v/>
      </c>
      <c r="CU20">
        <f>IF(OR(ISNA(CQ20),ISNA(CQ19)),NA(),ABS(CQ20-CQ19))</f>
        <v/>
      </c>
      <c r="CV20">
        <f>IF(ISNA(CP20),NA(),INDEX(Capability!$N$5:$N$54,$B$21))</f>
        <v/>
      </c>
      <c r="CW20">
        <f>IF(ISNA(CP20),NA(),IF(OR(INDEX(Capability!$Q$5:$Q$54,$B$21)="",Settings!$F$7&lt;&gt;"Y"),NA(),INDEX(Capability!$Q$5:$Q$54,$B$21)))</f>
        <v/>
      </c>
      <c r="CX20">
        <f>IF(ISNA(CP20),NA(),IF(OR(INDEX(Capability!$P$5:$P$54,$B$21)="",Settings!$F$7&lt;&gt;"Y"),NA(),INDEX(Capability!$P$5:$P$54,$B$21)))</f>
        <v/>
      </c>
      <c r="DD20">
        <f>IF((DG$1+16)&gt;DE$1,NA(),(DG$1+16)-4)</f>
        <v/>
      </c>
      <c r="DE20">
        <f>IF((DG$1+16)&gt;DE$1,NA(),INDEX('Data Entry'!$H$5:$BE$10004,(DG$1+16)-4,$B$22))</f>
        <v/>
      </c>
      <c r="DF20">
        <f>IF(ISNA(DD20),NA(),INDEX(Capability!$K$5:$K$54,$B$22))</f>
        <v/>
      </c>
      <c r="DG20">
        <f>IF(ISNA(DD20),NA(),INDEX(Capability!$J$5:$J$54,$B$22))</f>
        <v/>
      </c>
      <c r="DH20">
        <f>IF(ISNA(DD20),NA(),INDEX(Capability!$L$5:$L$54,$B$22))</f>
        <v/>
      </c>
      <c r="DI20">
        <f>IF(OR(ISNA(DE20),ISNA(DE19)),NA(),ABS(DE20-DE19))</f>
        <v/>
      </c>
      <c r="DJ20">
        <f>IF(ISNA(DD20),NA(),INDEX(Capability!$N$5:$N$54,$B$22))</f>
        <v/>
      </c>
      <c r="DK20">
        <f>IF(ISNA(DD20),NA(),IF(OR(INDEX(Capability!$Q$5:$Q$54,$B$22)="",Settings!$F$7&lt;&gt;"Y"),NA(),INDEX(Capability!$Q$5:$Q$54,$B$22)))</f>
        <v/>
      </c>
      <c r="DL20">
        <f>IF(ISNA(DD20),NA(),IF(OR(INDEX(Capability!$P$5:$P$54,$B$22)="",Settings!$F$7&lt;&gt;"Y"),NA(),INDEX(Capability!$P$5:$P$54,$B$22)))</f>
        <v/>
      </c>
      <c r="DR20">
        <f>IF((DU$1+16)&gt;DS$1,NA(),(DU$1+16)-4)</f>
        <v/>
      </c>
      <c r="DS20">
        <f>IF((DU$1+16)&gt;DS$1,NA(),INDEX('Data Entry'!$H$5:$BE$10004,(DU$1+16)-4,$B$23))</f>
        <v/>
      </c>
      <c r="DT20">
        <f>IF(ISNA(DR20),NA(),INDEX(Capability!$K$5:$K$54,$B$23))</f>
        <v/>
      </c>
      <c r="DU20">
        <f>IF(ISNA(DR20),NA(),INDEX(Capability!$J$5:$J$54,$B$23))</f>
        <v/>
      </c>
      <c r="DV20">
        <f>IF(ISNA(DR20),NA(),INDEX(Capability!$L$5:$L$54,$B$23))</f>
        <v/>
      </c>
      <c r="DW20">
        <f>IF(OR(ISNA(DS20),ISNA(DS19)),NA(),ABS(DS20-DS19))</f>
        <v/>
      </c>
      <c r="DX20">
        <f>IF(ISNA(DR20),NA(),INDEX(Capability!$N$5:$N$54,$B$23))</f>
        <v/>
      </c>
      <c r="DY20">
        <f>IF(ISNA(DR20),NA(),IF(OR(INDEX(Capability!$Q$5:$Q$54,$B$23)="",Settings!$F$7&lt;&gt;"Y"),NA(),INDEX(Capability!$Q$5:$Q$54,$B$23)))</f>
        <v/>
      </c>
      <c r="DZ20">
        <f>IF(ISNA(DR20),NA(),IF(OR(INDEX(Capability!$P$5:$P$54,$B$23)="",Settings!$F$7&lt;&gt;"Y"),NA(),INDEX(Capability!$P$5:$P$54,$B$23)))</f>
        <v/>
      </c>
    </row>
    <row r="21">
      <c r="A21" s="10" t="inlineStr">
        <is>
          <t>Slot 2 - Feature #</t>
        </is>
      </c>
      <c r="B21" s="11" t="n">
        <v>2</v>
      </c>
      <c r="CB21">
        <f>IF((CE$1+17)&gt;CC$1,NA(),(CE$1+17)-4)</f>
        <v/>
      </c>
      <c r="CC21">
        <f>IF((CE$1+17)&gt;CC$1,NA(),INDEX('Data Entry'!$H$5:$BE$10004,(CE$1+17)-4,$B$20))</f>
        <v/>
      </c>
      <c r="CD21">
        <f>IF(ISNA(CB21),NA(),INDEX(Capability!$K$5:$K$54,$B$20))</f>
        <v/>
      </c>
      <c r="CE21">
        <f>IF(ISNA(CB21),NA(),INDEX(Capability!$J$5:$J$54,$B$20))</f>
        <v/>
      </c>
      <c r="CF21">
        <f>IF(ISNA(CB21),NA(),INDEX(Capability!$L$5:$L$54,$B$20))</f>
        <v/>
      </c>
      <c r="CG21">
        <f>IF(OR(ISNA(CC21),ISNA(CC20)),NA(),ABS(CC21-CC20))</f>
        <v/>
      </c>
      <c r="CH21">
        <f>IF(ISNA(CB21),NA(),INDEX(Capability!$N$5:$N$54,$B$20))</f>
        <v/>
      </c>
      <c r="CI21">
        <f>IF(ISNA(CB21),NA(),IF(OR(INDEX(Capability!$Q$5:$Q$54,$B$20)="",Settings!$F$7&lt;&gt;"Y"),NA(),INDEX(Capability!$Q$5:$Q$54,$B$20)))</f>
        <v/>
      </c>
      <c r="CJ21">
        <f>IF(ISNA(CB21),NA(),IF(OR(INDEX(Capability!$P$5:$P$54,$B$20)="",Settings!$F$7&lt;&gt;"Y"),NA(),INDEX(Capability!$P$5:$P$54,$B$20)))</f>
        <v/>
      </c>
      <c r="CP21">
        <f>IF((CS$1+17)&gt;CQ$1,NA(),(CS$1+17)-4)</f>
        <v/>
      </c>
      <c r="CQ21">
        <f>IF((CS$1+17)&gt;CQ$1,NA(),INDEX('Data Entry'!$H$5:$BE$10004,(CS$1+17)-4,$B$21))</f>
        <v/>
      </c>
      <c r="CR21">
        <f>IF(ISNA(CP21),NA(),INDEX(Capability!$K$5:$K$54,$B$21))</f>
        <v/>
      </c>
      <c r="CS21">
        <f>IF(ISNA(CP21),NA(),INDEX(Capability!$J$5:$J$54,$B$21))</f>
        <v/>
      </c>
      <c r="CT21">
        <f>IF(ISNA(CP21),NA(),INDEX(Capability!$L$5:$L$54,$B$21))</f>
        <v/>
      </c>
      <c r="CU21">
        <f>IF(OR(ISNA(CQ21),ISNA(CQ20)),NA(),ABS(CQ21-CQ20))</f>
        <v/>
      </c>
      <c r="CV21">
        <f>IF(ISNA(CP21),NA(),INDEX(Capability!$N$5:$N$54,$B$21))</f>
        <v/>
      </c>
      <c r="CW21">
        <f>IF(ISNA(CP21),NA(),IF(OR(INDEX(Capability!$Q$5:$Q$54,$B$21)="",Settings!$F$7&lt;&gt;"Y"),NA(),INDEX(Capability!$Q$5:$Q$54,$B$21)))</f>
        <v/>
      </c>
      <c r="CX21">
        <f>IF(ISNA(CP21),NA(),IF(OR(INDEX(Capability!$P$5:$P$54,$B$21)="",Settings!$F$7&lt;&gt;"Y"),NA(),INDEX(Capability!$P$5:$P$54,$B$21)))</f>
        <v/>
      </c>
      <c r="DD21">
        <f>IF((DG$1+17)&gt;DE$1,NA(),(DG$1+17)-4)</f>
        <v/>
      </c>
      <c r="DE21">
        <f>IF((DG$1+17)&gt;DE$1,NA(),INDEX('Data Entry'!$H$5:$BE$10004,(DG$1+17)-4,$B$22))</f>
        <v/>
      </c>
      <c r="DF21">
        <f>IF(ISNA(DD21),NA(),INDEX(Capability!$K$5:$K$54,$B$22))</f>
        <v/>
      </c>
      <c r="DG21">
        <f>IF(ISNA(DD21),NA(),INDEX(Capability!$J$5:$J$54,$B$22))</f>
        <v/>
      </c>
      <c r="DH21">
        <f>IF(ISNA(DD21),NA(),INDEX(Capability!$L$5:$L$54,$B$22))</f>
        <v/>
      </c>
      <c r="DI21">
        <f>IF(OR(ISNA(DE21),ISNA(DE20)),NA(),ABS(DE21-DE20))</f>
        <v/>
      </c>
      <c r="DJ21">
        <f>IF(ISNA(DD21),NA(),INDEX(Capability!$N$5:$N$54,$B$22))</f>
        <v/>
      </c>
      <c r="DK21">
        <f>IF(ISNA(DD21),NA(),IF(OR(INDEX(Capability!$Q$5:$Q$54,$B$22)="",Settings!$F$7&lt;&gt;"Y"),NA(),INDEX(Capability!$Q$5:$Q$54,$B$22)))</f>
        <v/>
      </c>
      <c r="DL21">
        <f>IF(ISNA(DD21),NA(),IF(OR(INDEX(Capability!$P$5:$P$54,$B$22)="",Settings!$F$7&lt;&gt;"Y"),NA(),INDEX(Capability!$P$5:$P$54,$B$22)))</f>
        <v/>
      </c>
      <c r="DR21">
        <f>IF((DU$1+17)&gt;DS$1,NA(),(DU$1+17)-4)</f>
        <v/>
      </c>
      <c r="DS21">
        <f>IF((DU$1+17)&gt;DS$1,NA(),INDEX('Data Entry'!$H$5:$BE$10004,(DU$1+17)-4,$B$23))</f>
        <v/>
      </c>
      <c r="DT21">
        <f>IF(ISNA(DR21),NA(),INDEX(Capability!$K$5:$K$54,$B$23))</f>
        <v/>
      </c>
      <c r="DU21">
        <f>IF(ISNA(DR21),NA(),INDEX(Capability!$J$5:$J$54,$B$23))</f>
        <v/>
      </c>
      <c r="DV21">
        <f>IF(ISNA(DR21),NA(),INDEX(Capability!$L$5:$L$54,$B$23))</f>
        <v/>
      </c>
      <c r="DW21">
        <f>IF(OR(ISNA(DS21),ISNA(DS20)),NA(),ABS(DS21-DS20))</f>
        <v/>
      </c>
      <c r="DX21">
        <f>IF(ISNA(DR21),NA(),INDEX(Capability!$N$5:$N$54,$B$23))</f>
        <v/>
      </c>
      <c r="DY21">
        <f>IF(ISNA(DR21),NA(),IF(OR(INDEX(Capability!$Q$5:$Q$54,$B$23)="",Settings!$F$7&lt;&gt;"Y"),NA(),INDEX(Capability!$Q$5:$Q$54,$B$23)))</f>
        <v/>
      </c>
      <c r="DZ21">
        <f>IF(ISNA(DR21),NA(),IF(OR(INDEX(Capability!$P$5:$P$54,$B$23)="",Settings!$F$7&lt;&gt;"Y"),NA(),INDEX(Capability!$P$5:$P$54,$B$23)))</f>
        <v/>
      </c>
    </row>
    <row r="22">
      <c r="A22" s="10" t="inlineStr">
        <is>
          <t>Slot 3 - Feature #</t>
        </is>
      </c>
      <c r="B22" s="11" t="n">
        <v>3</v>
      </c>
      <c r="CB22">
        <f>IF((CE$1+18)&gt;CC$1,NA(),(CE$1+18)-4)</f>
        <v/>
      </c>
      <c r="CC22">
        <f>IF((CE$1+18)&gt;CC$1,NA(),INDEX('Data Entry'!$H$5:$BE$10004,(CE$1+18)-4,$B$20))</f>
        <v/>
      </c>
      <c r="CD22">
        <f>IF(ISNA(CB22),NA(),INDEX(Capability!$K$5:$K$54,$B$20))</f>
        <v/>
      </c>
      <c r="CE22">
        <f>IF(ISNA(CB22),NA(),INDEX(Capability!$J$5:$J$54,$B$20))</f>
        <v/>
      </c>
      <c r="CF22">
        <f>IF(ISNA(CB22),NA(),INDEX(Capability!$L$5:$L$54,$B$20))</f>
        <v/>
      </c>
      <c r="CG22">
        <f>IF(OR(ISNA(CC22),ISNA(CC21)),NA(),ABS(CC22-CC21))</f>
        <v/>
      </c>
      <c r="CH22">
        <f>IF(ISNA(CB22),NA(),INDEX(Capability!$N$5:$N$54,$B$20))</f>
        <v/>
      </c>
      <c r="CI22">
        <f>IF(ISNA(CB22),NA(),IF(OR(INDEX(Capability!$Q$5:$Q$54,$B$20)="",Settings!$F$7&lt;&gt;"Y"),NA(),INDEX(Capability!$Q$5:$Q$54,$B$20)))</f>
        <v/>
      </c>
      <c r="CJ22">
        <f>IF(ISNA(CB22),NA(),IF(OR(INDEX(Capability!$P$5:$P$54,$B$20)="",Settings!$F$7&lt;&gt;"Y"),NA(),INDEX(Capability!$P$5:$P$54,$B$20)))</f>
        <v/>
      </c>
      <c r="CP22">
        <f>IF((CS$1+18)&gt;CQ$1,NA(),(CS$1+18)-4)</f>
        <v/>
      </c>
      <c r="CQ22">
        <f>IF((CS$1+18)&gt;CQ$1,NA(),INDEX('Data Entry'!$H$5:$BE$10004,(CS$1+18)-4,$B$21))</f>
        <v/>
      </c>
      <c r="CR22">
        <f>IF(ISNA(CP22),NA(),INDEX(Capability!$K$5:$K$54,$B$21))</f>
        <v/>
      </c>
      <c r="CS22">
        <f>IF(ISNA(CP22),NA(),INDEX(Capability!$J$5:$J$54,$B$21))</f>
        <v/>
      </c>
      <c r="CT22">
        <f>IF(ISNA(CP22),NA(),INDEX(Capability!$L$5:$L$54,$B$21))</f>
        <v/>
      </c>
      <c r="CU22">
        <f>IF(OR(ISNA(CQ22),ISNA(CQ21)),NA(),ABS(CQ22-CQ21))</f>
        <v/>
      </c>
      <c r="CV22">
        <f>IF(ISNA(CP22),NA(),INDEX(Capability!$N$5:$N$54,$B$21))</f>
        <v/>
      </c>
      <c r="CW22">
        <f>IF(ISNA(CP22),NA(),IF(OR(INDEX(Capability!$Q$5:$Q$54,$B$21)="",Settings!$F$7&lt;&gt;"Y"),NA(),INDEX(Capability!$Q$5:$Q$54,$B$21)))</f>
        <v/>
      </c>
      <c r="CX22">
        <f>IF(ISNA(CP22),NA(),IF(OR(INDEX(Capability!$P$5:$P$54,$B$21)="",Settings!$F$7&lt;&gt;"Y"),NA(),INDEX(Capability!$P$5:$P$54,$B$21)))</f>
        <v/>
      </c>
      <c r="DD22">
        <f>IF((DG$1+18)&gt;DE$1,NA(),(DG$1+18)-4)</f>
        <v/>
      </c>
      <c r="DE22">
        <f>IF((DG$1+18)&gt;DE$1,NA(),INDEX('Data Entry'!$H$5:$BE$10004,(DG$1+18)-4,$B$22))</f>
        <v/>
      </c>
      <c r="DF22">
        <f>IF(ISNA(DD22),NA(),INDEX(Capability!$K$5:$K$54,$B$22))</f>
        <v/>
      </c>
      <c r="DG22">
        <f>IF(ISNA(DD22),NA(),INDEX(Capability!$J$5:$J$54,$B$22))</f>
        <v/>
      </c>
      <c r="DH22">
        <f>IF(ISNA(DD22),NA(),INDEX(Capability!$L$5:$L$54,$B$22))</f>
        <v/>
      </c>
      <c r="DI22">
        <f>IF(OR(ISNA(DE22),ISNA(DE21)),NA(),ABS(DE22-DE21))</f>
        <v/>
      </c>
      <c r="DJ22">
        <f>IF(ISNA(DD22),NA(),INDEX(Capability!$N$5:$N$54,$B$22))</f>
        <v/>
      </c>
      <c r="DK22">
        <f>IF(ISNA(DD22),NA(),IF(OR(INDEX(Capability!$Q$5:$Q$54,$B$22)="",Settings!$F$7&lt;&gt;"Y"),NA(),INDEX(Capability!$Q$5:$Q$54,$B$22)))</f>
        <v/>
      </c>
      <c r="DL22">
        <f>IF(ISNA(DD22),NA(),IF(OR(INDEX(Capability!$P$5:$P$54,$B$22)="",Settings!$F$7&lt;&gt;"Y"),NA(),INDEX(Capability!$P$5:$P$54,$B$22)))</f>
        <v/>
      </c>
      <c r="DR22">
        <f>IF((DU$1+18)&gt;DS$1,NA(),(DU$1+18)-4)</f>
        <v/>
      </c>
      <c r="DS22">
        <f>IF((DU$1+18)&gt;DS$1,NA(),INDEX('Data Entry'!$H$5:$BE$10004,(DU$1+18)-4,$B$23))</f>
        <v/>
      </c>
      <c r="DT22">
        <f>IF(ISNA(DR22),NA(),INDEX(Capability!$K$5:$K$54,$B$23))</f>
        <v/>
      </c>
      <c r="DU22">
        <f>IF(ISNA(DR22),NA(),INDEX(Capability!$J$5:$J$54,$B$23))</f>
        <v/>
      </c>
      <c r="DV22">
        <f>IF(ISNA(DR22),NA(),INDEX(Capability!$L$5:$L$54,$B$23))</f>
        <v/>
      </c>
      <c r="DW22">
        <f>IF(OR(ISNA(DS22),ISNA(DS21)),NA(),ABS(DS22-DS21))</f>
        <v/>
      </c>
      <c r="DX22">
        <f>IF(ISNA(DR22),NA(),INDEX(Capability!$N$5:$N$54,$B$23))</f>
        <v/>
      </c>
      <c r="DY22">
        <f>IF(ISNA(DR22),NA(),IF(OR(INDEX(Capability!$Q$5:$Q$54,$B$23)="",Settings!$F$7&lt;&gt;"Y"),NA(),INDEX(Capability!$Q$5:$Q$54,$B$23)))</f>
        <v/>
      </c>
      <c r="DZ22">
        <f>IF(ISNA(DR22),NA(),IF(OR(INDEX(Capability!$P$5:$P$54,$B$23)="",Settings!$F$7&lt;&gt;"Y"),NA(),INDEX(Capability!$P$5:$P$54,$B$23)))</f>
        <v/>
      </c>
    </row>
    <row r="23">
      <c r="A23" s="10" t="inlineStr">
        <is>
          <t>Slot 4 - Feature #</t>
        </is>
      </c>
      <c r="B23" s="11" t="n">
        <v>4</v>
      </c>
      <c r="CB23">
        <f>IF((CE$1+19)&gt;CC$1,NA(),(CE$1+19)-4)</f>
        <v/>
      </c>
      <c r="CC23">
        <f>IF((CE$1+19)&gt;CC$1,NA(),INDEX('Data Entry'!$H$5:$BE$10004,(CE$1+19)-4,$B$20))</f>
        <v/>
      </c>
      <c r="CD23">
        <f>IF(ISNA(CB23),NA(),INDEX(Capability!$K$5:$K$54,$B$20))</f>
        <v/>
      </c>
      <c r="CE23">
        <f>IF(ISNA(CB23),NA(),INDEX(Capability!$J$5:$J$54,$B$20))</f>
        <v/>
      </c>
      <c r="CF23">
        <f>IF(ISNA(CB23),NA(),INDEX(Capability!$L$5:$L$54,$B$20))</f>
        <v/>
      </c>
      <c r="CG23">
        <f>IF(OR(ISNA(CC23),ISNA(CC22)),NA(),ABS(CC23-CC22))</f>
        <v/>
      </c>
      <c r="CH23">
        <f>IF(ISNA(CB23),NA(),INDEX(Capability!$N$5:$N$54,$B$20))</f>
        <v/>
      </c>
      <c r="CI23">
        <f>IF(ISNA(CB23),NA(),IF(OR(INDEX(Capability!$Q$5:$Q$54,$B$20)="",Settings!$F$7&lt;&gt;"Y"),NA(),INDEX(Capability!$Q$5:$Q$54,$B$20)))</f>
        <v/>
      </c>
      <c r="CJ23">
        <f>IF(ISNA(CB23),NA(),IF(OR(INDEX(Capability!$P$5:$P$54,$B$20)="",Settings!$F$7&lt;&gt;"Y"),NA(),INDEX(Capability!$P$5:$P$54,$B$20)))</f>
        <v/>
      </c>
      <c r="CP23">
        <f>IF((CS$1+19)&gt;CQ$1,NA(),(CS$1+19)-4)</f>
        <v/>
      </c>
      <c r="CQ23">
        <f>IF((CS$1+19)&gt;CQ$1,NA(),INDEX('Data Entry'!$H$5:$BE$10004,(CS$1+19)-4,$B$21))</f>
        <v/>
      </c>
      <c r="CR23">
        <f>IF(ISNA(CP23),NA(),INDEX(Capability!$K$5:$K$54,$B$21))</f>
        <v/>
      </c>
      <c r="CS23">
        <f>IF(ISNA(CP23),NA(),INDEX(Capability!$J$5:$J$54,$B$21))</f>
        <v/>
      </c>
      <c r="CT23">
        <f>IF(ISNA(CP23),NA(),INDEX(Capability!$L$5:$L$54,$B$21))</f>
        <v/>
      </c>
      <c r="CU23">
        <f>IF(OR(ISNA(CQ23),ISNA(CQ22)),NA(),ABS(CQ23-CQ22))</f>
        <v/>
      </c>
      <c r="CV23">
        <f>IF(ISNA(CP23),NA(),INDEX(Capability!$N$5:$N$54,$B$21))</f>
        <v/>
      </c>
      <c r="CW23">
        <f>IF(ISNA(CP23),NA(),IF(OR(INDEX(Capability!$Q$5:$Q$54,$B$21)="",Settings!$F$7&lt;&gt;"Y"),NA(),INDEX(Capability!$Q$5:$Q$54,$B$21)))</f>
        <v/>
      </c>
      <c r="CX23">
        <f>IF(ISNA(CP23),NA(),IF(OR(INDEX(Capability!$P$5:$P$54,$B$21)="",Settings!$F$7&lt;&gt;"Y"),NA(),INDEX(Capability!$P$5:$P$54,$B$21)))</f>
        <v/>
      </c>
      <c r="DD23">
        <f>IF((DG$1+19)&gt;DE$1,NA(),(DG$1+19)-4)</f>
        <v/>
      </c>
      <c r="DE23">
        <f>IF((DG$1+19)&gt;DE$1,NA(),INDEX('Data Entry'!$H$5:$BE$10004,(DG$1+19)-4,$B$22))</f>
        <v/>
      </c>
      <c r="DF23">
        <f>IF(ISNA(DD23),NA(),INDEX(Capability!$K$5:$K$54,$B$22))</f>
        <v/>
      </c>
      <c r="DG23">
        <f>IF(ISNA(DD23),NA(),INDEX(Capability!$J$5:$J$54,$B$22))</f>
        <v/>
      </c>
      <c r="DH23">
        <f>IF(ISNA(DD23),NA(),INDEX(Capability!$L$5:$L$54,$B$22))</f>
        <v/>
      </c>
      <c r="DI23">
        <f>IF(OR(ISNA(DE23),ISNA(DE22)),NA(),ABS(DE23-DE22))</f>
        <v/>
      </c>
      <c r="DJ23">
        <f>IF(ISNA(DD23),NA(),INDEX(Capability!$N$5:$N$54,$B$22))</f>
        <v/>
      </c>
      <c r="DK23">
        <f>IF(ISNA(DD23),NA(),IF(OR(INDEX(Capability!$Q$5:$Q$54,$B$22)="",Settings!$F$7&lt;&gt;"Y"),NA(),INDEX(Capability!$Q$5:$Q$54,$B$22)))</f>
        <v/>
      </c>
      <c r="DL23">
        <f>IF(ISNA(DD23),NA(),IF(OR(INDEX(Capability!$P$5:$P$54,$B$22)="",Settings!$F$7&lt;&gt;"Y"),NA(),INDEX(Capability!$P$5:$P$54,$B$22)))</f>
        <v/>
      </c>
      <c r="DR23">
        <f>IF((DU$1+19)&gt;DS$1,NA(),(DU$1+19)-4)</f>
        <v/>
      </c>
      <c r="DS23">
        <f>IF((DU$1+19)&gt;DS$1,NA(),INDEX('Data Entry'!$H$5:$BE$10004,(DU$1+19)-4,$B$23))</f>
        <v/>
      </c>
      <c r="DT23">
        <f>IF(ISNA(DR23),NA(),INDEX(Capability!$K$5:$K$54,$B$23))</f>
        <v/>
      </c>
      <c r="DU23">
        <f>IF(ISNA(DR23),NA(),INDEX(Capability!$J$5:$J$54,$B$23))</f>
        <v/>
      </c>
      <c r="DV23">
        <f>IF(ISNA(DR23),NA(),INDEX(Capability!$L$5:$L$54,$B$23))</f>
        <v/>
      </c>
      <c r="DW23">
        <f>IF(OR(ISNA(DS23),ISNA(DS22)),NA(),ABS(DS23-DS22))</f>
        <v/>
      </c>
      <c r="DX23">
        <f>IF(ISNA(DR23),NA(),INDEX(Capability!$N$5:$N$54,$B$23))</f>
        <v/>
      </c>
      <c r="DY23">
        <f>IF(ISNA(DR23),NA(),IF(OR(INDEX(Capability!$Q$5:$Q$54,$B$23)="",Settings!$F$7&lt;&gt;"Y"),NA(),INDEX(Capability!$Q$5:$Q$54,$B$23)))</f>
        <v/>
      </c>
      <c r="DZ23">
        <f>IF(ISNA(DR23),NA(),IF(OR(INDEX(Capability!$P$5:$P$54,$B$23)="",Settings!$F$7&lt;&gt;"Y"),NA(),INDEX(Capability!$P$5:$P$54,$B$23)))</f>
        <v/>
      </c>
    </row>
    <row r="24">
      <c r="CB24">
        <f>IF((CE$1+20)&gt;CC$1,NA(),(CE$1+20)-4)</f>
        <v/>
      </c>
      <c r="CC24">
        <f>IF((CE$1+20)&gt;CC$1,NA(),INDEX('Data Entry'!$H$5:$BE$10004,(CE$1+20)-4,$B$20))</f>
        <v/>
      </c>
      <c r="CD24">
        <f>IF(ISNA(CB24),NA(),INDEX(Capability!$K$5:$K$54,$B$20))</f>
        <v/>
      </c>
      <c r="CE24">
        <f>IF(ISNA(CB24),NA(),INDEX(Capability!$J$5:$J$54,$B$20))</f>
        <v/>
      </c>
      <c r="CF24">
        <f>IF(ISNA(CB24),NA(),INDEX(Capability!$L$5:$L$54,$B$20))</f>
        <v/>
      </c>
      <c r="CG24">
        <f>IF(OR(ISNA(CC24),ISNA(CC23)),NA(),ABS(CC24-CC23))</f>
        <v/>
      </c>
      <c r="CH24">
        <f>IF(ISNA(CB24),NA(),INDEX(Capability!$N$5:$N$54,$B$20))</f>
        <v/>
      </c>
      <c r="CI24">
        <f>IF(ISNA(CB24),NA(),IF(OR(INDEX(Capability!$Q$5:$Q$54,$B$20)="",Settings!$F$7&lt;&gt;"Y"),NA(),INDEX(Capability!$Q$5:$Q$54,$B$20)))</f>
        <v/>
      </c>
      <c r="CJ24">
        <f>IF(ISNA(CB24),NA(),IF(OR(INDEX(Capability!$P$5:$P$54,$B$20)="",Settings!$F$7&lt;&gt;"Y"),NA(),INDEX(Capability!$P$5:$P$54,$B$20)))</f>
        <v/>
      </c>
      <c r="CP24">
        <f>IF((CS$1+20)&gt;CQ$1,NA(),(CS$1+20)-4)</f>
        <v/>
      </c>
      <c r="CQ24">
        <f>IF((CS$1+20)&gt;CQ$1,NA(),INDEX('Data Entry'!$H$5:$BE$10004,(CS$1+20)-4,$B$21))</f>
        <v/>
      </c>
      <c r="CR24">
        <f>IF(ISNA(CP24),NA(),INDEX(Capability!$K$5:$K$54,$B$21))</f>
        <v/>
      </c>
      <c r="CS24">
        <f>IF(ISNA(CP24),NA(),INDEX(Capability!$J$5:$J$54,$B$21))</f>
        <v/>
      </c>
      <c r="CT24">
        <f>IF(ISNA(CP24),NA(),INDEX(Capability!$L$5:$L$54,$B$21))</f>
        <v/>
      </c>
      <c r="CU24">
        <f>IF(OR(ISNA(CQ24),ISNA(CQ23)),NA(),ABS(CQ24-CQ23))</f>
        <v/>
      </c>
      <c r="CV24">
        <f>IF(ISNA(CP24),NA(),INDEX(Capability!$N$5:$N$54,$B$21))</f>
        <v/>
      </c>
      <c r="CW24">
        <f>IF(ISNA(CP24),NA(),IF(OR(INDEX(Capability!$Q$5:$Q$54,$B$21)="",Settings!$F$7&lt;&gt;"Y"),NA(),INDEX(Capability!$Q$5:$Q$54,$B$21)))</f>
        <v/>
      </c>
      <c r="CX24">
        <f>IF(ISNA(CP24),NA(),IF(OR(INDEX(Capability!$P$5:$P$54,$B$21)="",Settings!$F$7&lt;&gt;"Y"),NA(),INDEX(Capability!$P$5:$P$54,$B$21)))</f>
        <v/>
      </c>
      <c r="DD24">
        <f>IF((DG$1+20)&gt;DE$1,NA(),(DG$1+20)-4)</f>
        <v/>
      </c>
      <c r="DE24">
        <f>IF((DG$1+20)&gt;DE$1,NA(),INDEX('Data Entry'!$H$5:$BE$10004,(DG$1+20)-4,$B$22))</f>
        <v/>
      </c>
      <c r="DF24">
        <f>IF(ISNA(DD24),NA(),INDEX(Capability!$K$5:$K$54,$B$22))</f>
        <v/>
      </c>
      <c r="DG24">
        <f>IF(ISNA(DD24),NA(),INDEX(Capability!$J$5:$J$54,$B$22))</f>
        <v/>
      </c>
      <c r="DH24">
        <f>IF(ISNA(DD24),NA(),INDEX(Capability!$L$5:$L$54,$B$22))</f>
        <v/>
      </c>
      <c r="DI24">
        <f>IF(OR(ISNA(DE24),ISNA(DE23)),NA(),ABS(DE24-DE23))</f>
        <v/>
      </c>
      <c r="DJ24">
        <f>IF(ISNA(DD24),NA(),INDEX(Capability!$N$5:$N$54,$B$22))</f>
        <v/>
      </c>
      <c r="DK24">
        <f>IF(ISNA(DD24),NA(),IF(OR(INDEX(Capability!$Q$5:$Q$54,$B$22)="",Settings!$F$7&lt;&gt;"Y"),NA(),INDEX(Capability!$Q$5:$Q$54,$B$22)))</f>
        <v/>
      </c>
      <c r="DL24">
        <f>IF(ISNA(DD24),NA(),IF(OR(INDEX(Capability!$P$5:$P$54,$B$22)="",Settings!$F$7&lt;&gt;"Y"),NA(),INDEX(Capability!$P$5:$P$54,$B$22)))</f>
        <v/>
      </c>
      <c r="DR24">
        <f>IF((DU$1+20)&gt;DS$1,NA(),(DU$1+20)-4)</f>
        <v/>
      </c>
      <c r="DS24">
        <f>IF((DU$1+20)&gt;DS$1,NA(),INDEX('Data Entry'!$H$5:$BE$10004,(DU$1+20)-4,$B$23))</f>
        <v/>
      </c>
      <c r="DT24">
        <f>IF(ISNA(DR24),NA(),INDEX(Capability!$K$5:$K$54,$B$23))</f>
        <v/>
      </c>
      <c r="DU24">
        <f>IF(ISNA(DR24),NA(),INDEX(Capability!$J$5:$J$54,$B$23))</f>
        <v/>
      </c>
      <c r="DV24">
        <f>IF(ISNA(DR24),NA(),INDEX(Capability!$L$5:$L$54,$B$23))</f>
        <v/>
      </c>
      <c r="DW24">
        <f>IF(OR(ISNA(DS24),ISNA(DS23)),NA(),ABS(DS24-DS23))</f>
        <v/>
      </c>
      <c r="DX24">
        <f>IF(ISNA(DR24),NA(),INDEX(Capability!$N$5:$N$54,$B$23))</f>
        <v/>
      </c>
      <c r="DY24">
        <f>IF(ISNA(DR24),NA(),IF(OR(INDEX(Capability!$Q$5:$Q$54,$B$23)="",Settings!$F$7&lt;&gt;"Y"),NA(),INDEX(Capability!$Q$5:$Q$54,$B$23)))</f>
        <v/>
      </c>
      <c r="DZ24">
        <f>IF(ISNA(DR24),NA(),IF(OR(INDEX(Capability!$P$5:$P$54,$B$23)="",Settings!$F$7&lt;&gt;"Y"),NA(),INDEX(Capability!$P$5:$P$54,$B$23)))</f>
        <v/>
      </c>
    </row>
    <row r="25">
      <c r="CB25">
        <f>IF((CE$1+21)&gt;CC$1,NA(),(CE$1+21)-4)</f>
        <v/>
      </c>
      <c r="CC25">
        <f>IF((CE$1+21)&gt;CC$1,NA(),INDEX('Data Entry'!$H$5:$BE$10004,(CE$1+21)-4,$B$20))</f>
        <v/>
      </c>
      <c r="CD25">
        <f>IF(ISNA(CB25),NA(),INDEX(Capability!$K$5:$K$54,$B$20))</f>
        <v/>
      </c>
      <c r="CE25">
        <f>IF(ISNA(CB25),NA(),INDEX(Capability!$J$5:$J$54,$B$20))</f>
        <v/>
      </c>
      <c r="CF25">
        <f>IF(ISNA(CB25),NA(),INDEX(Capability!$L$5:$L$54,$B$20))</f>
        <v/>
      </c>
      <c r="CG25">
        <f>IF(OR(ISNA(CC25),ISNA(CC24)),NA(),ABS(CC25-CC24))</f>
        <v/>
      </c>
      <c r="CH25">
        <f>IF(ISNA(CB25),NA(),INDEX(Capability!$N$5:$N$54,$B$20))</f>
        <v/>
      </c>
      <c r="CI25">
        <f>IF(ISNA(CB25),NA(),IF(OR(INDEX(Capability!$Q$5:$Q$54,$B$20)="",Settings!$F$7&lt;&gt;"Y"),NA(),INDEX(Capability!$Q$5:$Q$54,$B$20)))</f>
        <v/>
      </c>
      <c r="CJ25">
        <f>IF(ISNA(CB25),NA(),IF(OR(INDEX(Capability!$P$5:$P$54,$B$20)="",Settings!$F$7&lt;&gt;"Y"),NA(),INDEX(Capability!$P$5:$P$54,$B$20)))</f>
        <v/>
      </c>
      <c r="CP25">
        <f>IF((CS$1+21)&gt;CQ$1,NA(),(CS$1+21)-4)</f>
        <v/>
      </c>
      <c r="CQ25">
        <f>IF((CS$1+21)&gt;CQ$1,NA(),INDEX('Data Entry'!$H$5:$BE$10004,(CS$1+21)-4,$B$21))</f>
        <v/>
      </c>
      <c r="CR25">
        <f>IF(ISNA(CP25),NA(),INDEX(Capability!$K$5:$K$54,$B$21))</f>
        <v/>
      </c>
      <c r="CS25">
        <f>IF(ISNA(CP25),NA(),INDEX(Capability!$J$5:$J$54,$B$21))</f>
        <v/>
      </c>
      <c r="CT25">
        <f>IF(ISNA(CP25),NA(),INDEX(Capability!$L$5:$L$54,$B$21))</f>
        <v/>
      </c>
      <c r="CU25">
        <f>IF(OR(ISNA(CQ25),ISNA(CQ24)),NA(),ABS(CQ25-CQ24))</f>
        <v/>
      </c>
      <c r="CV25">
        <f>IF(ISNA(CP25),NA(),INDEX(Capability!$N$5:$N$54,$B$21))</f>
        <v/>
      </c>
      <c r="CW25">
        <f>IF(ISNA(CP25),NA(),IF(OR(INDEX(Capability!$Q$5:$Q$54,$B$21)="",Settings!$F$7&lt;&gt;"Y"),NA(),INDEX(Capability!$Q$5:$Q$54,$B$21)))</f>
        <v/>
      </c>
      <c r="CX25">
        <f>IF(ISNA(CP25),NA(),IF(OR(INDEX(Capability!$P$5:$P$54,$B$21)="",Settings!$F$7&lt;&gt;"Y"),NA(),INDEX(Capability!$P$5:$P$54,$B$21)))</f>
        <v/>
      </c>
      <c r="DD25">
        <f>IF((DG$1+21)&gt;DE$1,NA(),(DG$1+21)-4)</f>
        <v/>
      </c>
      <c r="DE25">
        <f>IF((DG$1+21)&gt;DE$1,NA(),INDEX('Data Entry'!$H$5:$BE$10004,(DG$1+21)-4,$B$22))</f>
        <v/>
      </c>
      <c r="DF25">
        <f>IF(ISNA(DD25),NA(),INDEX(Capability!$K$5:$K$54,$B$22))</f>
        <v/>
      </c>
      <c r="DG25">
        <f>IF(ISNA(DD25),NA(),INDEX(Capability!$J$5:$J$54,$B$22))</f>
        <v/>
      </c>
      <c r="DH25">
        <f>IF(ISNA(DD25),NA(),INDEX(Capability!$L$5:$L$54,$B$22))</f>
        <v/>
      </c>
      <c r="DI25">
        <f>IF(OR(ISNA(DE25),ISNA(DE24)),NA(),ABS(DE25-DE24))</f>
        <v/>
      </c>
      <c r="DJ25">
        <f>IF(ISNA(DD25),NA(),INDEX(Capability!$N$5:$N$54,$B$22))</f>
        <v/>
      </c>
      <c r="DK25">
        <f>IF(ISNA(DD25),NA(),IF(OR(INDEX(Capability!$Q$5:$Q$54,$B$22)="",Settings!$F$7&lt;&gt;"Y"),NA(),INDEX(Capability!$Q$5:$Q$54,$B$22)))</f>
        <v/>
      </c>
      <c r="DL25">
        <f>IF(ISNA(DD25),NA(),IF(OR(INDEX(Capability!$P$5:$P$54,$B$22)="",Settings!$F$7&lt;&gt;"Y"),NA(),INDEX(Capability!$P$5:$P$54,$B$22)))</f>
        <v/>
      </c>
      <c r="DR25">
        <f>IF((DU$1+21)&gt;DS$1,NA(),(DU$1+21)-4)</f>
        <v/>
      </c>
      <c r="DS25">
        <f>IF((DU$1+21)&gt;DS$1,NA(),INDEX('Data Entry'!$H$5:$BE$10004,(DU$1+21)-4,$B$23))</f>
        <v/>
      </c>
      <c r="DT25">
        <f>IF(ISNA(DR25),NA(),INDEX(Capability!$K$5:$K$54,$B$23))</f>
        <v/>
      </c>
      <c r="DU25">
        <f>IF(ISNA(DR25),NA(),INDEX(Capability!$J$5:$J$54,$B$23))</f>
        <v/>
      </c>
      <c r="DV25">
        <f>IF(ISNA(DR25),NA(),INDEX(Capability!$L$5:$L$54,$B$23))</f>
        <v/>
      </c>
      <c r="DW25">
        <f>IF(OR(ISNA(DS25),ISNA(DS24)),NA(),ABS(DS25-DS24))</f>
        <v/>
      </c>
      <c r="DX25">
        <f>IF(ISNA(DR25),NA(),INDEX(Capability!$N$5:$N$54,$B$23))</f>
        <v/>
      </c>
      <c r="DY25">
        <f>IF(ISNA(DR25),NA(),IF(OR(INDEX(Capability!$Q$5:$Q$54,$B$23)="",Settings!$F$7&lt;&gt;"Y"),NA(),INDEX(Capability!$Q$5:$Q$54,$B$23)))</f>
        <v/>
      </c>
      <c r="DZ25">
        <f>IF(ISNA(DR25),NA(),IF(OR(INDEX(Capability!$P$5:$P$54,$B$23)="",Settings!$F$7&lt;&gt;"Y"),NA(),INDEX(Capability!$P$5:$P$54,$B$23)))</f>
        <v/>
      </c>
    </row>
    <row r="26">
      <c r="A26" s="14" t="inlineStr">
        <is>
          <t>PROCESS STATUS - ALL ACTIVE FEATURES</t>
        </is>
      </c>
      <c r="CB26">
        <f>IF((CE$1+22)&gt;CC$1,NA(),(CE$1+22)-4)</f>
        <v/>
      </c>
      <c r="CC26">
        <f>IF((CE$1+22)&gt;CC$1,NA(),INDEX('Data Entry'!$H$5:$BE$10004,(CE$1+22)-4,$B$20))</f>
        <v/>
      </c>
      <c r="CD26">
        <f>IF(ISNA(CB26),NA(),INDEX(Capability!$K$5:$K$54,$B$20))</f>
        <v/>
      </c>
      <c r="CE26">
        <f>IF(ISNA(CB26),NA(),INDEX(Capability!$J$5:$J$54,$B$20))</f>
        <v/>
      </c>
      <c r="CF26">
        <f>IF(ISNA(CB26),NA(),INDEX(Capability!$L$5:$L$54,$B$20))</f>
        <v/>
      </c>
      <c r="CG26">
        <f>IF(OR(ISNA(CC26),ISNA(CC25)),NA(),ABS(CC26-CC25))</f>
        <v/>
      </c>
      <c r="CH26">
        <f>IF(ISNA(CB26),NA(),INDEX(Capability!$N$5:$N$54,$B$20))</f>
        <v/>
      </c>
      <c r="CI26">
        <f>IF(ISNA(CB26),NA(),IF(OR(INDEX(Capability!$Q$5:$Q$54,$B$20)="",Settings!$F$7&lt;&gt;"Y"),NA(),INDEX(Capability!$Q$5:$Q$54,$B$20)))</f>
        <v/>
      </c>
      <c r="CJ26">
        <f>IF(ISNA(CB26),NA(),IF(OR(INDEX(Capability!$P$5:$P$54,$B$20)="",Settings!$F$7&lt;&gt;"Y"),NA(),INDEX(Capability!$P$5:$P$54,$B$20)))</f>
        <v/>
      </c>
      <c r="CP26">
        <f>IF((CS$1+22)&gt;CQ$1,NA(),(CS$1+22)-4)</f>
        <v/>
      </c>
      <c r="CQ26">
        <f>IF((CS$1+22)&gt;CQ$1,NA(),INDEX('Data Entry'!$H$5:$BE$10004,(CS$1+22)-4,$B$21))</f>
        <v/>
      </c>
      <c r="CR26">
        <f>IF(ISNA(CP26),NA(),INDEX(Capability!$K$5:$K$54,$B$21))</f>
        <v/>
      </c>
      <c r="CS26">
        <f>IF(ISNA(CP26),NA(),INDEX(Capability!$J$5:$J$54,$B$21))</f>
        <v/>
      </c>
      <c r="CT26">
        <f>IF(ISNA(CP26),NA(),INDEX(Capability!$L$5:$L$54,$B$21))</f>
        <v/>
      </c>
      <c r="CU26">
        <f>IF(OR(ISNA(CQ26),ISNA(CQ25)),NA(),ABS(CQ26-CQ25))</f>
        <v/>
      </c>
      <c r="CV26">
        <f>IF(ISNA(CP26),NA(),INDEX(Capability!$N$5:$N$54,$B$21))</f>
        <v/>
      </c>
      <c r="CW26">
        <f>IF(ISNA(CP26),NA(),IF(OR(INDEX(Capability!$Q$5:$Q$54,$B$21)="",Settings!$F$7&lt;&gt;"Y"),NA(),INDEX(Capability!$Q$5:$Q$54,$B$21)))</f>
        <v/>
      </c>
      <c r="CX26">
        <f>IF(ISNA(CP26),NA(),IF(OR(INDEX(Capability!$P$5:$P$54,$B$21)="",Settings!$F$7&lt;&gt;"Y"),NA(),INDEX(Capability!$P$5:$P$54,$B$21)))</f>
        <v/>
      </c>
      <c r="DD26">
        <f>IF((DG$1+22)&gt;DE$1,NA(),(DG$1+22)-4)</f>
        <v/>
      </c>
      <c r="DE26">
        <f>IF((DG$1+22)&gt;DE$1,NA(),INDEX('Data Entry'!$H$5:$BE$10004,(DG$1+22)-4,$B$22))</f>
        <v/>
      </c>
      <c r="DF26">
        <f>IF(ISNA(DD26),NA(),INDEX(Capability!$K$5:$K$54,$B$22))</f>
        <v/>
      </c>
      <c r="DG26">
        <f>IF(ISNA(DD26),NA(),INDEX(Capability!$J$5:$J$54,$B$22))</f>
        <v/>
      </c>
      <c r="DH26">
        <f>IF(ISNA(DD26),NA(),INDEX(Capability!$L$5:$L$54,$B$22))</f>
        <v/>
      </c>
      <c r="DI26">
        <f>IF(OR(ISNA(DE26),ISNA(DE25)),NA(),ABS(DE26-DE25))</f>
        <v/>
      </c>
      <c r="DJ26">
        <f>IF(ISNA(DD26),NA(),INDEX(Capability!$N$5:$N$54,$B$22))</f>
        <v/>
      </c>
      <c r="DK26">
        <f>IF(ISNA(DD26),NA(),IF(OR(INDEX(Capability!$Q$5:$Q$54,$B$22)="",Settings!$F$7&lt;&gt;"Y"),NA(),INDEX(Capability!$Q$5:$Q$54,$B$22)))</f>
        <v/>
      </c>
      <c r="DL26">
        <f>IF(ISNA(DD26),NA(),IF(OR(INDEX(Capability!$P$5:$P$54,$B$22)="",Settings!$F$7&lt;&gt;"Y"),NA(),INDEX(Capability!$P$5:$P$54,$B$22)))</f>
        <v/>
      </c>
      <c r="DR26">
        <f>IF((DU$1+22)&gt;DS$1,NA(),(DU$1+22)-4)</f>
        <v/>
      </c>
      <c r="DS26">
        <f>IF((DU$1+22)&gt;DS$1,NA(),INDEX('Data Entry'!$H$5:$BE$10004,(DU$1+22)-4,$B$23))</f>
        <v/>
      </c>
      <c r="DT26">
        <f>IF(ISNA(DR26),NA(),INDEX(Capability!$K$5:$K$54,$B$23))</f>
        <v/>
      </c>
      <c r="DU26">
        <f>IF(ISNA(DR26),NA(),INDEX(Capability!$J$5:$J$54,$B$23))</f>
        <v/>
      </c>
      <c r="DV26">
        <f>IF(ISNA(DR26),NA(),INDEX(Capability!$L$5:$L$54,$B$23))</f>
        <v/>
      </c>
      <c r="DW26">
        <f>IF(OR(ISNA(DS26),ISNA(DS25)),NA(),ABS(DS26-DS25))</f>
        <v/>
      </c>
      <c r="DX26">
        <f>IF(ISNA(DR26),NA(),INDEX(Capability!$N$5:$N$54,$B$23))</f>
        <v/>
      </c>
      <c r="DY26">
        <f>IF(ISNA(DR26),NA(),IF(OR(INDEX(Capability!$Q$5:$Q$54,$B$23)="",Settings!$F$7&lt;&gt;"Y"),NA(),INDEX(Capability!$Q$5:$Q$54,$B$23)))</f>
        <v/>
      </c>
      <c r="DZ26">
        <f>IF(ISNA(DR26),NA(),IF(OR(INDEX(Capability!$P$5:$P$54,$B$23)="",Settings!$F$7&lt;&gt;"Y"),NA(),INDEX(Capability!$P$5:$P$54,$B$23)))</f>
        <v/>
      </c>
    </row>
    <row r="27">
      <c r="A27" s="18" t="inlineStr">
        <is>
          <t>Feature</t>
        </is>
      </c>
      <c r="B27" s="18" t="inlineStr">
        <is>
          <t>n</t>
        </is>
      </c>
      <c r="C27" s="18" t="inlineStr">
        <is>
          <t>Last value</t>
        </is>
      </c>
      <c r="D27" s="18" t="inlineStr">
        <is>
          <t>Mean</t>
        </is>
      </c>
      <c r="E27" s="18" t="inlineStr">
        <is>
          <t>Range</t>
        </is>
      </c>
      <c r="F27" s="18" t="inlineStr">
        <is>
          <t>Cpk</t>
        </is>
      </c>
      <c r="G27" s="18" t="inlineStr">
        <is>
          <t>In control?</t>
        </is>
      </c>
      <c r="H27" s="18" t="inlineStr">
        <is>
          <t>In spec?</t>
        </is>
      </c>
      <c r="I27" s="18" t="inlineStr">
        <is>
          <t>Verdict</t>
        </is>
      </c>
      <c r="CB27">
        <f>IF((CE$1+23)&gt;CC$1,NA(),(CE$1+23)-4)</f>
        <v/>
      </c>
      <c r="CC27">
        <f>IF((CE$1+23)&gt;CC$1,NA(),INDEX('Data Entry'!$H$5:$BE$10004,(CE$1+23)-4,$B$20))</f>
        <v/>
      </c>
      <c r="CD27">
        <f>IF(ISNA(CB27),NA(),INDEX(Capability!$K$5:$K$54,$B$20))</f>
        <v/>
      </c>
      <c r="CE27">
        <f>IF(ISNA(CB27),NA(),INDEX(Capability!$J$5:$J$54,$B$20))</f>
        <v/>
      </c>
      <c r="CF27">
        <f>IF(ISNA(CB27),NA(),INDEX(Capability!$L$5:$L$54,$B$20))</f>
        <v/>
      </c>
      <c r="CG27">
        <f>IF(OR(ISNA(CC27),ISNA(CC26)),NA(),ABS(CC27-CC26))</f>
        <v/>
      </c>
      <c r="CH27">
        <f>IF(ISNA(CB27),NA(),INDEX(Capability!$N$5:$N$54,$B$20))</f>
        <v/>
      </c>
      <c r="CI27">
        <f>IF(ISNA(CB27),NA(),IF(OR(INDEX(Capability!$Q$5:$Q$54,$B$20)="",Settings!$F$7&lt;&gt;"Y"),NA(),INDEX(Capability!$Q$5:$Q$54,$B$20)))</f>
        <v/>
      </c>
      <c r="CJ27">
        <f>IF(ISNA(CB27),NA(),IF(OR(INDEX(Capability!$P$5:$P$54,$B$20)="",Settings!$F$7&lt;&gt;"Y"),NA(),INDEX(Capability!$P$5:$P$54,$B$20)))</f>
        <v/>
      </c>
      <c r="CP27">
        <f>IF((CS$1+23)&gt;CQ$1,NA(),(CS$1+23)-4)</f>
        <v/>
      </c>
      <c r="CQ27">
        <f>IF((CS$1+23)&gt;CQ$1,NA(),INDEX('Data Entry'!$H$5:$BE$10004,(CS$1+23)-4,$B$21))</f>
        <v/>
      </c>
      <c r="CR27">
        <f>IF(ISNA(CP27),NA(),INDEX(Capability!$K$5:$K$54,$B$21))</f>
        <v/>
      </c>
      <c r="CS27">
        <f>IF(ISNA(CP27),NA(),INDEX(Capability!$J$5:$J$54,$B$21))</f>
        <v/>
      </c>
      <c r="CT27">
        <f>IF(ISNA(CP27),NA(),INDEX(Capability!$L$5:$L$54,$B$21))</f>
        <v/>
      </c>
      <c r="CU27">
        <f>IF(OR(ISNA(CQ27),ISNA(CQ26)),NA(),ABS(CQ27-CQ26))</f>
        <v/>
      </c>
      <c r="CV27">
        <f>IF(ISNA(CP27),NA(),INDEX(Capability!$N$5:$N$54,$B$21))</f>
        <v/>
      </c>
      <c r="CW27">
        <f>IF(ISNA(CP27),NA(),IF(OR(INDEX(Capability!$Q$5:$Q$54,$B$21)="",Settings!$F$7&lt;&gt;"Y"),NA(),INDEX(Capability!$Q$5:$Q$54,$B$21)))</f>
        <v/>
      </c>
      <c r="CX27">
        <f>IF(ISNA(CP27),NA(),IF(OR(INDEX(Capability!$P$5:$P$54,$B$21)="",Settings!$F$7&lt;&gt;"Y"),NA(),INDEX(Capability!$P$5:$P$54,$B$21)))</f>
        <v/>
      </c>
      <c r="DD27">
        <f>IF((DG$1+23)&gt;DE$1,NA(),(DG$1+23)-4)</f>
        <v/>
      </c>
      <c r="DE27">
        <f>IF((DG$1+23)&gt;DE$1,NA(),INDEX('Data Entry'!$H$5:$BE$10004,(DG$1+23)-4,$B$22))</f>
        <v/>
      </c>
      <c r="DF27">
        <f>IF(ISNA(DD27),NA(),INDEX(Capability!$K$5:$K$54,$B$22))</f>
        <v/>
      </c>
      <c r="DG27">
        <f>IF(ISNA(DD27),NA(),INDEX(Capability!$J$5:$J$54,$B$22))</f>
        <v/>
      </c>
      <c r="DH27">
        <f>IF(ISNA(DD27),NA(),INDEX(Capability!$L$5:$L$54,$B$22))</f>
        <v/>
      </c>
      <c r="DI27">
        <f>IF(OR(ISNA(DE27),ISNA(DE26)),NA(),ABS(DE27-DE26))</f>
        <v/>
      </c>
      <c r="DJ27">
        <f>IF(ISNA(DD27),NA(),INDEX(Capability!$N$5:$N$54,$B$22))</f>
        <v/>
      </c>
      <c r="DK27">
        <f>IF(ISNA(DD27),NA(),IF(OR(INDEX(Capability!$Q$5:$Q$54,$B$22)="",Settings!$F$7&lt;&gt;"Y"),NA(),INDEX(Capability!$Q$5:$Q$54,$B$22)))</f>
        <v/>
      </c>
      <c r="DL27">
        <f>IF(ISNA(DD27),NA(),IF(OR(INDEX(Capability!$P$5:$P$54,$B$22)="",Settings!$F$7&lt;&gt;"Y"),NA(),INDEX(Capability!$P$5:$P$54,$B$22)))</f>
        <v/>
      </c>
      <c r="DR27">
        <f>IF((DU$1+23)&gt;DS$1,NA(),(DU$1+23)-4)</f>
        <v/>
      </c>
      <c r="DS27">
        <f>IF((DU$1+23)&gt;DS$1,NA(),INDEX('Data Entry'!$H$5:$BE$10004,(DU$1+23)-4,$B$23))</f>
        <v/>
      </c>
      <c r="DT27">
        <f>IF(ISNA(DR27),NA(),INDEX(Capability!$K$5:$K$54,$B$23))</f>
        <v/>
      </c>
      <c r="DU27">
        <f>IF(ISNA(DR27),NA(),INDEX(Capability!$J$5:$J$54,$B$23))</f>
        <v/>
      </c>
      <c r="DV27">
        <f>IF(ISNA(DR27),NA(),INDEX(Capability!$L$5:$L$54,$B$23))</f>
        <v/>
      </c>
      <c r="DW27">
        <f>IF(OR(ISNA(DS27),ISNA(DS26)),NA(),ABS(DS27-DS26))</f>
        <v/>
      </c>
      <c r="DX27">
        <f>IF(ISNA(DR27),NA(),INDEX(Capability!$N$5:$N$54,$B$23))</f>
        <v/>
      </c>
      <c r="DY27">
        <f>IF(ISNA(DR27),NA(),IF(OR(INDEX(Capability!$Q$5:$Q$54,$B$23)="",Settings!$F$7&lt;&gt;"Y"),NA(),INDEX(Capability!$Q$5:$Q$54,$B$23)))</f>
        <v/>
      </c>
      <c r="DZ27">
        <f>IF(ISNA(DR27),NA(),IF(OR(INDEX(Capability!$P$5:$P$54,$B$23)="",Settings!$F$7&lt;&gt;"Y"),NA(),INDEX(Capability!$P$5:$P$54,$B$23)))</f>
        <v/>
      </c>
    </row>
    <row r="28">
      <c r="A28" s="36">
        <f>Capability!A5</f>
        <v/>
      </c>
      <c r="B28" s="22">
        <f>Capability!B5</f>
        <v/>
      </c>
      <c r="C28" s="23">
        <f>IF('Data Entry'!H10022&lt;5,"",INDEX('Data Entry'!$H$5:$H$10004,'Data Entry'!H10022-4))</f>
        <v/>
      </c>
      <c r="D28" s="23">
        <f>Capability!C5</f>
        <v/>
      </c>
      <c r="E28" s="23">
        <f>Capability!G5</f>
        <v/>
      </c>
      <c r="F28" s="38">
        <f>Capability!T5</f>
        <v/>
      </c>
      <c r="G28" s="36">
        <f>Capability!W5</f>
        <v/>
      </c>
      <c r="H28" s="36">
        <f>Capability!X5</f>
        <v/>
      </c>
      <c r="I28" s="36">
        <f>Capability!Y5</f>
        <v/>
      </c>
      <c r="CB28">
        <f>IF((CE$1+24)&gt;CC$1,NA(),(CE$1+24)-4)</f>
        <v/>
      </c>
      <c r="CC28">
        <f>IF((CE$1+24)&gt;CC$1,NA(),INDEX('Data Entry'!$H$5:$BE$10004,(CE$1+24)-4,$B$20))</f>
        <v/>
      </c>
      <c r="CD28">
        <f>IF(ISNA(CB28),NA(),INDEX(Capability!$K$5:$K$54,$B$20))</f>
        <v/>
      </c>
      <c r="CE28">
        <f>IF(ISNA(CB28),NA(),INDEX(Capability!$J$5:$J$54,$B$20))</f>
        <v/>
      </c>
      <c r="CF28">
        <f>IF(ISNA(CB28),NA(),INDEX(Capability!$L$5:$L$54,$B$20))</f>
        <v/>
      </c>
      <c r="CG28">
        <f>IF(OR(ISNA(CC28),ISNA(CC27)),NA(),ABS(CC28-CC27))</f>
        <v/>
      </c>
      <c r="CH28">
        <f>IF(ISNA(CB28),NA(),INDEX(Capability!$N$5:$N$54,$B$20))</f>
        <v/>
      </c>
      <c r="CI28">
        <f>IF(ISNA(CB28),NA(),IF(OR(INDEX(Capability!$Q$5:$Q$54,$B$20)="",Settings!$F$7&lt;&gt;"Y"),NA(),INDEX(Capability!$Q$5:$Q$54,$B$20)))</f>
        <v/>
      </c>
      <c r="CJ28">
        <f>IF(ISNA(CB28),NA(),IF(OR(INDEX(Capability!$P$5:$P$54,$B$20)="",Settings!$F$7&lt;&gt;"Y"),NA(),INDEX(Capability!$P$5:$P$54,$B$20)))</f>
        <v/>
      </c>
      <c r="CP28">
        <f>IF((CS$1+24)&gt;CQ$1,NA(),(CS$1+24)-4)</f>
        <v/>
      </c>
      <c r="CQ28">
        <f>IF((CS$1+24)&gt;CQ$1,NA(),INDEX('Data Entry'!$H$5:$BE$10004,(CS$1+24)-4,$B$21))</f>
        <v/>
      </c>
      <c r="CR28">
        <f>IF(ISNA(CP28),NA(),INDEX(Capability!$K$5:$K$54,$B$21))</f>
        <v/>
      </c>
      <c r="CS28">
        <f>IF(ISNA(CP28),NA(),INDEX(Capability!$J$5:$J$54,$B$21))</f>
        <v/>
      </c>
      <c r="CT28">
        <f>IF(ISNA(CP28),NA(),INDEX(Capability!$L$5:$L$54,$B$21))</f>
        <v/>
      </c>
      <c r="CU28">
        <f>IF(OR(ISNA(CQ28),ISNA(CQ27)),NA(),ABS(CQ28-CQ27))</f>
        <v/>
      </c>
      <c r="CV28">
        <f>IF(ISNA(CP28),NA(),INDEX(Capability!$N$5:$N$54,$B$21))</f>
        <v/>
      </c>
      <c r="CW28">
        <f>IF(ISNA(CP28),NA(),IF(OR(INDEX(Capability!$Q$5:$Q$54,$B$21)="",Settings!$F$7&lt;&gt;"Y"),NA(),INDEX(Capability!$Q$5:$Q$54,$B$21)))</f>
        <v/>
      </c>
      <c r="CX28">
        <f>IF(ISNA(CP28),NA(),IF(OR(INDEX(Capability!$P$5:$P$54,$B$21)="",Settings!$F$7&lt;&gt;"Y"),NA(),INDEX(Capability!$P$5:$P$54,$B$21)))</f>
        <v/>
      </c>
      <c r="DD28">
        <f>IF((DG$1+24)&gt;DE$1,NA(),(DG$1+24)-4)</f>
        <v/>
      </c>
      <c r="DE28">
        <f>IF((DG$1+24)&gt;DE$1,NA(),INDEX('Data Entry'!$H$5:$BE$10004,(DG$1+24)-4,$B$22))</f>
        <v/>
      </c>
      <c r="DF28">
        <f>IF(ISNA(DD28),NA(),INDEX(Capability!$K$5:$K$54,$B$22))</f>
        <v/>
      </c>
      <c r="DG28">
        <f>IF(ISNA(DD28),NA(),INDEX(Capability!$J$5:$J$54,$B$22))</f>
        <v/>
      </c>
      <c r="DH28">
        <f>IF(ISNA(DD28),NA(),INDEX(Capability!$L$5:$L$54,$B$22))</f>
        <v/>
      </c>
      <c r="DI28">
        <f>IF(OR(ISNA(DE28),ISNA(DE27)),NA(),ABS(DE28-DE27))</f>
        <v/>
      </c>
      <c r="DJ28">
        <f>IF(ISNA(DD28),NA(),INDEX(Capability!$N$5:$N$54,$B$22))</f>
        <v/>
      </c>
      <c r="DK28">
        <f>IF(ISNA(DD28),NA(),IF(OR(INDEX(Capability!$Q$5:$Q$54,$B$22)="",Settings!$F$7&lt;&gt;"Y"),NA(),INDEX(Capability!$Q$5:$Q$54,$B$22)))</f>
        <v/>
      </c>
      <c r="DL28">
        <f>IF(ISNA(DD28),NA(),IF(OR(INDEX(Capability!$P$5:$P$54,$B$22)="",Settings!$F$7&lt;&gt;"Y"),NA(),INDEX(Capability!$P$5:$P$54,$B$22)))</f>
        <v/>
      </c>
      <c r="DR28">
        <f>IF((DU$1+24)&gt;DS$1,NA(),(DU$1+24)-4)</f>
        <v/>
      </c>
      <c r="DS28">
        <f>IF((DU$1+24)&gt;DS$1,NA(),INDEX('Data Entry'!$H$5:$BE$10004,(DU$1+24)-4,$B$23))</f>
        <v/>
      </c>
      <c r="DT28">
        <f>IF(ISNA(DR28),NA(),INDEX(Capability!$K$5:$K$54,$B$23))</f>
        <v/>
      </c>
      <c r="DU28">
        <f>IF(ISNA(DR28),NA(),INDEX(Capability!$J$5:$J$54,$B$23))</f>
        <v/>
      </c>
      <c r="DV28">
        <f>IF(ISNA(DR28),NA(),INDEX(Capability!$L$5:$L$54,$B$23))</f>
        <v/>
      </c>
      <c r="DW28">
        <f>IF(OR(ISNA(DS28),ISNA(DS27)),NA(),ABS(DS28-DS27))</f>
        <v/>
      </c>
      <c r="DX28">
        <f>IF(ISNA(DR28),NA(),INDEX(Capability!$N$5:$N$54,$B$23))</f>
        <v/>
      </c>
      <c r="DY28">
        <f>IF(ISNA(DR28),NA(),IF(OR(INDEX(Capability!$Q$5:$Q$54,$B$23)="",Settings!$F$7&lt;&gt;"Y"),NA(),INDEX(Capability!$Q$5:$Q$54,$B$23)))</f>
        <v/>
      </c>
      <c r="DZ28">
        <f>IF(ISNA(DR28),NA(),IF(OR(INDEX(Capability!$P$5:$P$54,$B$23)="",Settings!$F$7&lt;&gt;"Y"),NA(),INDEX(Capability!$P$5:$P$54,$B$23)))</f>
        <v/>
      </c>
    </row>
    <row r="29">
      <c r="A29" s="36">
        <f>Capability!A6</f>
        <v/>
      </c>
      <c r="B29" s="22">
        <f>Capability!B6</f>
        <v/>
      </c>
      <c r="C29" s="23">
        <f>IF('Data Entry'!I10022&lt;5,"",INDEX('Data Entry'!$I$5:$I$10004,'Data Entry'!I10022-4))</f>
        <v/>
      </c>
      <c r="D29" s="23">
        <f>Capability!C6</f>
        <v/>
      </c>
      <c r="E29" s="23">
        <f>Capability!G6</f>
        <v/>
      </c>
      <c r="F29" s="38">
        <f>Capability!T6</f>
        <v/>
      </c>
      <c r="G29" s="36">
        <f>Capability!W6</f>
        <v/>
      </c>
      <c r="H29" s="36">
        <f>Capability!X6</f>
        <v/>
      </c>
      <c r="I29" s="36">
        <f>Capability!Y6</f>
        <v/>
      </c>
      <c r="CB29">
        <f>IF((CE$1+25)&gt;CC$1,NA(),(CE$1+25)-4)</f>
        <v/>
      </c>
      <c r="CC29">
        <f>IF((CE$1+25)&gt;CC$1,NA(),INDEX('Data Entry'!$H$5:$BE$10004,(CE$1+25)-4,$B$20))</f>
        <v/>
      </c>
      <c r="CD29">
        <f>IF(ISNA(CB29),NA(),INDEX(Capability!$K$5:$K$54,$B$20))</f>
        <v/>
      </c>
      <c r="CE29">
        <f>IF(ISNA(CB29),NA(),INDEX(Capability!$J$5:$J$54,$B$20))</f>
        <v/>
      </c>
      <c r="CF29">
        <f>IF(ISNA(CB29),NA(),INDEX(Capability!$L$5:$L$54,$B$20))</f>
        <v/>
      </c>
      <c r="CG29">
        <f>IF(OR(ISNA(CC29),ISNA(CC28)),NA(),ABS(CC29-CC28))</f>
        <v/>
      </c>
      <c r="CH29">
        <f>IF(ISNA(CB29),NA(),INDEX(Capability!$N$5:$N$54,$B$20))</f>
        <v/>
      </c>
      <c r="CI29">
        <f>IF(ISNA(CB29),NA(),IF(OR(INDEX(Capability!$Q$5:$Q$54,$B$20)="",Settings!$F$7&lt;&gt;"Y"),NA(),INDEX(Capability!$Q$5:$Q$54,$B$20)))</f>
        <v/>
      </c>
      <c r="CJ29">
        <f>IF(ISNA(CB29),NA(),IF(OR(INDEX(Capability!$P$5:$P$54,$B$20)="",Settings!$F$7&lt;&gt;"Y"),NA(),INDEX(Capability!$P$5:$P$54,$B$20)))</f>
        <v/>
      </c>
      <c r="CP29">
        <f>IF((CS$1+25)&gt;CQ$1,NA(),(CS$1+25)-4)</f>
        <v/>
      </c>
      <c r="CQ29">
        <f>IF((CS$1+25)&gt;CQ$1,NA(),INDEX('Data Entry'!$H$5:$BE$10004,(CS$1+25)-4,$B$21))</f>
        <v/>
      </c>
      <c r="CR29">
        <f>IF(ISNA(CP29),NA(),INDEX(Capability!$K$5:$K$54,$B$21))</f>
        <v/>
      </c>
      <c r="CS29">
        <f>IF(ISNA(CP29),NA(),INDEX(Capability!$J$5:$J$54,$B$21))</f>
        <v/>
      </c>
      <c r="CT29">
        <f>IF(ISNA(CP29),NA(),INDEX(Capability!$L$5:$L$54,$B$21))</f>
        <v/>
      </c>
      <c r="CU29">
        <f>IF(OR(ISNA(CQ29),ISNA(CQ28)),NA(),ABS(CQ29-CQ28))</f>
        <v/>
      </c>
      <c r="CV29">
        <f>IF(ISNA(CP29),NA(),INDEX(Capability!$N$5:$N$54,$B$21))</f>
        <v/>
      </c>
      <c r="CW29">
        <f>IF(ISNA(CP29),NA(),IF(OR(INDEX(Capability!$Q$5:$Q$54,$B$21)="",Settings!$F$7&lt;&gt;"Y"),NA(),INDEX(Capability!$Q$5:$Q$54,$B$21)))</f>
        <v/>
      </c>
      <c r="CX29">
        <f>IF(ISNA(CP29),NA(),IF(OR(INDEX(Capability!$P$5:$P$54,$B$21)="",Settings!$F$7&lt;&gt;"Y"),NA(),INDEX(Capability!$P$5:$P$54,$B$21)))</f>
        <v/>
      </c>
      <c r="DD29">
        <f>IF((DG$1+25)&gt;DE$1,NA(),(DG$1+25)-4)</f>
        <v/>
      </c>
      <c r="DE29">
        <f>IF((DG$1+25)&gt;DE$1,NA(),INDEX('Data Entry'!$H$5:$BE$10004,(DG$1+25)-4,$B$22))</f>
        <v/>
      </c>
      <c r="DF29">
        <f>IF(ISNA(DD29),NA(),INDEX(Capability!$K$5:$K$54,$B$22))</f>
        <v/>
      </c>
      <c r="DG29">
        <f>IF(ISNA(DD29),NA(),INDEX(Capability!$J$5:$J$54,$B$22))</f>
        <v/>
      </c>
      <c r="DH29">
        <f>IF(ISNA(DD29),NA(),INDEX(Capability!$L$5:$L$54,$B$22))</f>
        <v/>
      </c>
      <c r="DI29">
        <f>IF(OR(ISNA(DE29),ISNA(DE28)),NA(),ABS(DE29-DE28))</f>
        <v/>
      </c>
      <c r="DJ29">
        <f>IF(ISNA(DD29),NA(),INDEX(Capability!$N$5:$N$54,$B$22))</f>
        <v/>
      </c>
      <c r="DK29">
        <f>IF(ISNA(DD29),NA(),IF(OR(INDEX(Capability!$Q$5:$Q$54,$B$22)="",Settings!$F$7&lt;&gt;"Y"),NA(),INDEX(Capability!$Q$5:$Q$54,$B$22)))</f>
        <v/>
      </c>
      <c r="DL29">
        <f>IF(ISNA(DD29),NA(),IF(OR(INDEX(Capability!$P$5:$P$54,$B$22)="",Settings!$F$7&lt;&gt;"Y"),NA(),INDEX(Capability!$P$5:$P$54,$B$22)))</f>
        <v/>
      </c>
      <c r="DR29">
        <f>IF((DU$1+25)&gt;DS$1,NA(),(DU$1+25)-4)</f>
        <v/>
      </c>
      <c r="DS29">
        <f>IF((DU$1+25)&gt;DS$1,NA(),INDEX('Data Entry'!$H$5:$BE$10004,(DU$1+25)-4,$B$23))</f>
        <v/>
      </c>
      <c r="DT29">
        <f>IF(ISNA(DR29),NA(),INDEX(Capability!$K$5:$K$54,$B$23))</f>
        <v/>
      </c>
      <c r="DU29">
        <f>IF(ISNA(DR29),NA(),INDEX(Capability!$J$5:$J$54,$B$23))</f>
        <v/>
      </c>
      <c r="DV29">
        <f>IF(ISNA(DR29),NA(),INDEX(Capability!$L$5:$L$54,$B$23))</f>
        <v/>
      </c>
      <c r="DW29">
        <f>IF(OR(ISNA(DS29),ISNA(DS28)),NA(),ABS(DS29-DS28))</f>
        <v/>
      </c>
      <c r="DX29">
        <f>IF(ISNA(DR29),NA(),INDEX(Capability!$N$5:$N$54,$B$23))</f>
        <v/>
      </c>
      <c r="DY29">
        <f>IF(ISNA(DR29),NA(),IF(OR(INDEX(Capability!$Q$5:$Q$54,$B$23)="",Settings!$F$7&lt;&gt;"Y"),NA(),INDEX(Capability!$Q$5:$Q$54,$B$23)))</f>
        <v/>
      </c>
      <c r="DZ29">
        <f>IF(ISNA(DR29),NA(),IF(OR(INDEX(Capability!$P$5:$P$54,$B$23)="",Settings!$F$7&lt;&gt;"Y"),NA(),INDEX(Capability!$P$5:$P$54,$B$23)))</f>
        <v/>
      </c>
    </row>
    <row r="30">
      <c r="A30" s="36">
        <f>Capability!A7</f>
        <v/>
      </c>
      <c r="B30" s="22">
        <f>Capability!B7</f>
        <v/>
      </c>
      <c r="C30" s="23">
        <f>IF('Data Entry'!J10022&lt;5,"",INDEX('Data Entry'!$J$5:$J$10004,'Data Entry'!J10022-4))</f>
        <v/>
      </c>
      <c r="D30" s="23">
        <f>Capability!C7</f>
        <v/>
      </c>
      <c r="E30" s="23">
        <f>Capability!G7</f>
        <v/>
      </c>
      <c r="F30" s="38">
        <f>Capability!T7</f>
        <v/>
      </c>
      <c r="G30" s="36">
        <f>Capability!W7</f>
        <v/>
      </c>
      <c r="H30" s="36">
        <f>Capability!X7</f>
        <v/>
      </c>
      <c r="I30" s="36">
        <f>Capability!Y7</f>
        <v/>
      </c>
      <c r="CB30">
        <f>IF((CE$1+26)&gt;CC$1,NA(),(CE$1+26)-4)</f>
        <v/>
      </c>
      <c r="CC30">
        <f>IF((CE$1+26)&gt;CC$1,NA(),INDEX('Data Entry'!$H$5:$BE$10004,(CE$1+26)-4,$B$20))</f>
        <v/>
      </c>
      <c r="CD30">
        <f>IF(ISNA(CB30),NA(),INDEX(Capability!$K$5:$K$54,$B$20))</f>
        <v/>
      </c>
      <c r="CE30">
        <f>IF(ISNA(CB30),NA(),INDEX(Capability!$J$5:$J$54,$B$20))</f>
        <v/>
      </c>
      <c r="CF30">
        <f>IF(ISNA(CB30),NA(),INDEX(Capability!$L$5:$L$54,$B$20))</f>
        <v/>
      </c>
      <c r="CG30">
        <f>IF(OR(ISNA(CC30),ISNA(CC29)),NA(),ABS(CC30-CC29))</f>
        <v/>
      </c>
      <c r="CH30">
        <f>IF(ISNA(CB30),NA(),INDEX(Capability!$N$5:$N$54,$B$20))</f>
        <v/>
      </c>
      <c r="CI30">
        <f>IF(ISNA(CB30),NA(),IF(OR(INDEX(Capability!$Q$5:$Q$54,$B$20)="",Settings!$F$7&lt;&gt;"Y"),NA(),INDEX(Capability!$Q$5:$Q$54,$B$20)))</f>
        <v/>
      </c>
      <c r="CJ30">
        <f>IF(ISNA(CB30),NA(),IF(OR(INDEX(Capability!$P$5:$P$54,$B$20)="",Settings!$F$7&lt;&gt;"Y"),NA(),INDEX(Capability!$P$5:$P$54,$B$20)))</f>
        <v/>
      </c>
      <c r="CP30">
        <f>IF((CS$1+26)&gt;CQ$1,NA(),(CS$1+26)-4)</f>
        <v/>
      </c>
      <c r="CQ30">
        <f>IF((CS$1+26)&gt;CQ$1,NA(),INDEX('Data Entry'!$H$5:$BE$10004,(CS$1+26)-4,$B$21))</f>
        <v/>
      </c>
      <c r="CR30">
        <f>IF(ISNA(CP30),NA(),INDEX(Capability!$K$5:$K$54,$B$21))</f>
        <v/>
      </c>
      <c r="CS30">
        <f>IF(ISNA(CP30),NA(),INDEX(Capability!$J$5:$J$54,$B$21))</f>
        <v/>
      </c>
      <c r="CT30">
        <f>IF(ISNA(CP30),NA(),INDEX(Capability!$L$5:$L$54,$B$21))</f>
        <v/>
      </c>
      <c r="CU30">
        <f>IF(OR(ISNA(CQ30),ISNA(CQ29)),NA(),ABS(CQ30-CQ29))</f>
        <v/>
      </c>
      <c r="CV30">
        <f>IF(ISNA(CP30),NA(),INDEX(Capability!$N$5:$N$54,$B$21))</f>
        <v/>
      </c>
      <c r="CW30">
        <f>IF(ISNA(CP30),NA(),IF(OR(INDEX(Capability!$Q$5:$Q$54,$B$21)="",Settings!$F$7&lt;&gt;"Y"),NA(),INDEX(Capability!$Q$5:$Q$54,$B$21)))</f>
        <v/>
      </c>
      <c r="CX30">
        <f>IF(ISNA(CP30),NA(),IF(OR(INDEX(Capability!$P$5:$P$54,$B$21)="",Settings!$F$7&lt;&gt;"Y"),NA(),INDEX(Capability!$P$5:$P$54,$B$21)))</f>
        <v/>
      </c>
      <c r="DD30">
        <f>IF((DG$1+26)&gt;DE$1,NA(),(DG$1+26)-4)</f>
        <v/>
      </c>
      <c r="DE30">
        <f>IF((DG$1+26)&gt;DE$1,NA(),INDEX('Data Entry'!$H$5:$BE$10004,(DG$1+26)-4,$B$22))</f>
        <v/>
      </c>
      <c r="DF30">
        <f>IF(ISNA(DD30),NA(),INDEX(Capability!$K$5:$K$54,$B$22))</f>
        <v/>
      </c>
      <c r="DG30">
        <f>IF(ISNA(DD30),NA(),INDEX(Capability!$J$5:$J$54,$B$22))</f>
        <v/>
      </c>
      <c r="DH30">
        <f>IF(ISNA(DD30),NA(),INDEX(Capability!$L$5:$L$54,$B$22))</f>
        <v/>
      </c>
      <c r="DI30">
        <f>IF(OR(ISNA(DE30),ISNA(DE29)),NA(),ABS(DE30-DE29))</f>
        <v/>
      </c>
      <c r="DJ30">
        <f>IF(ISNA(DD30),NA(),INDEX(Capability!$N$5:$N$54,$B$22))</f>
        <v/>
      </c>
      <c r="DK30">
        <f>IF(ISNA(DD30),NA(),IF(OR(INDEX(Capability!$Q$5:$Q$54,$B$22)="",Settings!$F$7&lt;&gt;"Y"),NA(),INDEX(Capability!$Q$5:$Q$54,$B$22)))</f>
        <v/>
      </c>
      <c r="DL30">
        <f>IF(ISNA(DD30),NA(),IF(OR(INDEX(Capability!$P$5:$P$54,$B$22)="",Settings!$F$7&lt;&gt;"Y"),NA(),INDEX(Capability!$P$5:$P$54,$B$22)))</f>
        <v/>
      </c>
      <c r="DR30">
        <f>IF((DU$1+26)&gt;DS$1,NA(),(DU$1+26)-4)</f>
        <v/>
      </c>
      <c r="DS30">
        <f>IF((DU$1+26)&gt;DS$1,NA(),INDEX('Data Entry'!$H$5:$BE$10004,(DU$1+26)-4,$B$23))</f>
        <v/>
      </c>
      <c r="DT30">
        <f>IF(ISNA(DR30),NA(),INDEX(Capability!$K$5:$K$54,$B$23))</f>
        <v/>
      </c>
      <c r="DU30">
        <f>IF(ISNA(DR30),NA(),INDEX(Capability!$J$5:$J$54,$B$23))</f>
        <v/>
      </c>
      <c r="DV30">
        <f>IF(ISNA(DR30),NA(),INDEX(Capability!$L$5:$L$54,$B$23))</f>
        <v/>
      </c>
      <c r="DW30">
        <f>IF(OR(ISNA(DS30),ISNA(DS29)),NA(),ABS(DS30-DS29))</f>
        <v/>
      </c>
      <c r="DX30">
        <f>IF(ISNA(DR30),NA(),INDEX(Capability!$N$5:$N$54,$B$23))</f>
        <v/>
      </c>
      <c r="DY30">
        <f>IF(ISNA(DR30),NA(),IF(OR(INDEX(Capability!$Q$5:$Q$54,$B$23)="",Settings!$F$7&lt;&gt;"Y"),NA(),INDEX(Capability!$Q$5:$Q$54,$B$23)))</f>
        <v/>
      </c>
      <c r="DZ30">
        <f>IF(ISNA(DR30),NA(),IF(OR(INDEX(Capability!$P$5:$P$54,$B$23)="",Settings!$F$7&lt;&gt;"Y"),NA(),INDEX(Capability!$P$5:$P$54,$B$23)))</f>
        <v/>
      </c>
    </row>
    <row r="31">
      <c r="A31" s="36">
        <f>Capability!A8</f>
        <v/>
      </c>
      <c r="B31" s="22">
        <f>Capability!B8</f>
        <v/>
      </c>
      <c r="C31" s="23">
        <f>IF('Data Entry'!K10022&lt;5,"",INDEX('Data Entry'!$K$5:$K$10004,'Data Entry'!K10022-4))</f>
        <v/>
      </c>
      <c r="D31" s="23">
        <f>Capability!C8</f>
        <v/>
      </c>
      <c r="E31" s="23">
        <f>Capability!G8</f>
        <v/>
      </c>
      <c r="F31" s="38">
        <f>Capability!T8</f>
        <v/>
      </c>
      <c r="G31" s="36">
        <f>Capability!W8</f>
        <v/>
      </c>
      <c r="H31" s="36">
        <f>Capability!X8</f>
        <v/>
      </c>
      <c r="I31" s="36">
        <f>Capability!Y8</f>
        <v/>
      </c>
      <c r="CB31">
        <f>IF((CE$1+27)&gt;CC$1,NA(),(CE$1+27)-4)</f>
        <v/>
      </c>
      <c r="CC31">
        <f>IF((CE$1+27)&gt;CC$1,NA(),INDEX('Data Entry'!$H$5:$BE$10004,(CE$1+27)-4,$B$20))</f>
        <v/>
      </c>
      <c r="CD31">
        <f>IF(ISNA(CB31),NA(),INDEX(Capability!$K$5:$K$54,$B$20))</f>
        <v/>
      </c>
      <c r="CE31">
        <f>IF(ISNA(CB31),NA(),INDEX(Capability!$J$5:$J$54,$B$20))</f>
        <v/>
      </c>
      <c r="CF31">
        <f>IF(ISNA(CB31),NA(),INDEX(Capability!$L$5:$L$54,$B$20))</f>
        <v/>
      </c>
      <c r="CG31">
        <f>IF(OR(ISNA(CC31),ISNA(CC30)),NA(),ABS(CC31-CC30))</f>
        <v/>
      </c>
      <c r="CH31">
        <f>IF(ISNA(CB31),NA(),INDEX(Capability!$N$5:$N$54,$B$20))</f>
        <v/>
      </c>
      <c r="CI31">
        <f>IF(ISNA(CB31),NA(),IF(OR(INDEX(Capability!$Q$5:$Q$54,$B$20)="",Settings!$F$7&lt;&gt;"Y"),NA(),INDEX(Capability!$Q$5:$Q$54,$B$20)))</f>
        <v/>
      </c>
      <c r="CJ31">
        <f>IF(ISNA(CB31),NA(),IF(OR(INDEX(Capability!$P$5:$P$54,$B$20)="",Settings!$F$7&lt;&gt;"Y"),NA(),INDEX(Capability!$P$5:$P$54,$B$20)))</f>
        <v/>
      </c>
      <c r="CP31">
        <f>IF((CS$1+27)&gt;CQ$1,NA(),(CS$1+27)-4)</f>
        <v/>
      </c>
      <c r="CQ31">
        <f>IF((CS$1+27)&gt;CQ$1,NA(),INDEX('Data Entry'!$H$5:$BE$10004,(CS$1+27)-4,$B$21))</f>
        <v/>
      </c>
      <c r="CR31">
        <f>IF(ISNA(CP31),NA(),INDEX(Capability!$K$5:$K$54,$B$21))</f>
        <v/>
      </c>
      <c r="CS31">
        <f>IF(ISNA(CP31),NA(),INDEX(Capability!$J$5:$J$54,$B$21))</f>
        <v/>
      </c>
      <c r="CT31">
        <f>IF(ISNA(CP31),NA(),INDEX(Capability!$L$5:$L$54,$B$21))</f>
        <v/>
      </c>
      <c r="CU31">
        <f>IF(OR(ISNA(CQ31),ISNA(CQ30)),NA(),ABS(CQ31-CQ30))</f>
        <v/>
      </c>
      <c r="CV31">
        <f>IF(ISNA(CP31),NA(),INDEX(Capability!$N$5:$N$54,$B$21))</f>
        <v/>
      </c>
      <c r="CW31">
        <f>IF(ISNA(CP31),NA(),IF(OR(INDEX(Capability!$Q$5:$Q$54,$B$21)="",Settings!$F$7&lt;&gt;"Y"),NA(),INDEX(Capability!$Q$5:$Q$54,$B$21)))</f>
        <v/>
      </c>
      <c r="CX31">
        <f>IF(ISNA(CP31),NA(),IF(OR(INDEX(Capability!$P$5:$P$54,$B$21)="",Settings!$F$7&lt;&gt;"Y"),NA(),INDEX(Capability!$P$5:$P$54,$B$21)))</f>
        <v/>
      </c>
      <c r="DD31">
        <f>IF((DG$1+27)&gt;DE$1,NA(),(DG$1+27)-4)</f>
        <v/>
      </c>
      <c r="DE31">
        <f>IF((DG$1+27)&gt;DE$1,NA(),INDEX('Data Entry'!$H$5:$BE$10004,(DG$1+27)-4,$B$22))</f>
        <v/>
      </c>
      <c r="DF31">
        <f>IF(ISNA(DD31),NA(),INDEX(Capability!$K$5:$K$54,$B$22))</f>
        <v/>
      </c>
      <c r="DG31">
        <f>IF(ISNA(DD31),NA(),INDEX(Capability!$J$5:$J$54,$B$22))</f>
        <v/>
      </c>
      <c r="DH31">
        <f>IF(ISNA(DD31),NA(),INDEX(Capability!$L$5:$L$54,$B$22))</f>
        <v/>
      </c>
      <c r="DI31">
        <f>IF(OR(ISNA(DE31),ISNA(DE30)),NA(),ABS(DE31-DE30))</f>
        <v/>
      </c>
      <c r="DJ31">
        <f>IF(ISNA(DD31),NA(),INDEX(Capability!$N$5:$N$54,$B$22))</f>
        <v/>
      </c>
      <c r="DK31">
        <f>IF(ISNA(DD31),NA(),IF(OR(INDEX(Capability!$Q$5:$Q$54,$B$22)="",Settings!$F$7&lt;&gt;"Y"),NA(),INDEX(Capability!$Q$5:$Q$54,$B$22)))</f>
        <v/>
      </c>
      <c r="DL31">
        <f>IF(ISNA(DD31),NA(),IF(OR(INDEX(Capability!$P$5:$P$54,$B$22)="",Settings!$F$7&lt;&gt;"Y"),NA(),INDEX(Capability!$P$5:$P$54,$B$22)))</f>
        <v/>
      </c>
      <c r="DR31">
        <f>IF((DU$1+27)&gt;DS$1,NA(),(DU$1+27)-4)</f>
        <v/>
      </c>
      <c r="DS31">
        <f>IF((DU$1+27)&gt;DS$1,NA(),INDEX('Data Entry'!$H$5:$BE$10004,(DU$1+27)-4,$B$23))</f>
        <v/>
      </c>
      <c r="DT31">
        <f>IF(ISNA(DR31),NA(),INDEX(Capability!$K$5:$K$54,$B$23))</f>
        <v/>
      </c>
      <c r="DU31">
        <f>IF(ISNA(DR31),NA(),INDEX(Capability!$J$5:$J$54,$B$23))</f>
        <v/>
      </c>
      <c r="DV31">
        <f>IF(ISNA(DR31),NA(),INDEX(Capability!$L$5:$L$54,$B$23))</f>
        <v/>
      </c>
      <c r="DW31">
        <f>IF(OR(ISNA(DS31),ISNA(DS30)),NA(),ABS(DS31-DS30))</f>
        <v/>
      </c>
      <c r="DX31">
        <f>IF(ISNA(DR31),NA(),INDEX(Capability!$N$5:$N$54,$B$23))</f>
        <v/>
      </c>
      <c r="DY31">
        <f>IF(ISNA(DR31),NA(),IF(OR(INDEX(Capability!$Q$5:$Q$54,$B$23)="",Settings!$F$7&lt;&gt;"Y"),NA(),INDEX(Capability!$Q$5:$Q$54,$B$23)))</f>
        <v/>
      </c>
      <c r="DZ31">
        <f>IF(ISNA(DR31),NA(),IF(OR(INDEX(Capability!$P$5:$P$54,$B$23)="",Settings!$F$7&lt;&gt;"Y"),NA(),INDEX(Capability!$P$5:$P$54,$B$23)))</f>
        <v/>
      </c>
    </row>
    <row r="32">
      <c r="A32" s="36">
        <f>Capability!A9</f>
        <v/>
      </c>
      <c r="B32" s="22">
        <f>Capability!B9</f>
        <v/>
      </c>
      <c r="C32" s="23">
        <f>IF('Data Entry'!L10022&lt;5,"",INDEX('Data Entry'!$L$5:$L$10004,'Data Entry'!L10022-4))</f>
        <v/>
      </c>
      <c r="D32" s="23">
        <f>Capability!C9</f>
        <v/>
      </c>
      <c r="E32" s="23">
        <f>Capability!G9</f>
        <v/>
      </c>
      <c r="F32" s="38">
        <f>Capability!T9</f>
        <v/>
      </c>
      <c r="G32" s="36">
        <f>Capability!W9</f>
        <v/>
      </c>
      <c r="H32" s="36">
        <f>Capability!X9</f>
        <v/>
      </c>
      <c r="I32" s="36">
        <f>Capability!Y9</f>
        <v/>
      </c>
      <c r="CB32">
        <f>IF((CE$1+28)&gt;CC$1,NA(),(CE$1+28)-4)</f>
        <v/>
      </c>
      <c r="CC32">
        <f>IF((CE$1+28)&gt;CC$1,NA(),INDEX('Data Entry'!$H$5:$BE$10004,(CE$1+28)-4,$B$20))</f>
        <v/>
      </c>
      <c r="CD32">
        <f>IF(ISNA(CB32),NA(),INDEX(Capability!$K$5:$K$54,$B$20))</f>
        <v/>
      </c>
      <c r="CE32">
        <f>IF(ISNA(CB32),NA(),INDEX(Capability!$J$5:$J$54,$B$20))</f>
        <v/>
      </c>
      <c r="CF32">
        <f>IF(ISNA(CB32),NA(),INDEX(Capability!$L$5:$L$54,$B$20))</f>
        <v/>
      </c>
      <c r="CG32">
        <f>IF(OR(ISNA(CC32),ISNA(CC31)),NA(),ABS(CC32-CC31))</f>
        <v/>
      </c>
      <c r="CH32">
        <f>IF(ISNA(CB32),NA(),INDEX(Capability!$N$5:$N$54,$B$20))</f>
        <v/>
      </c>
      <c r="CI32">
        <f>IF(ISNA(CB32),NA(),IF(OR(INDEX(Capability!$Q$5:$Q$54,$B$20)="",Settings!$F$7&lt;&gt;"Y"),NA(),INDEX(Capability!$Q$5:$Q$54,$B$20)))</f>
        <v/>
      </c>
      <c r="CJ32">
        <f>IF(ISNA(CB32),NA(),IF(OR(INDEX(Capability!$P$5:$P$54,$B$20)="",Settings!$F$7&lt;&gt;"Y"),NA(),INDEX(Capability!$P$5:$P$54,$B$20)))</f>
        <v/>
      </c>
      <c r="CP32">
        <f>IF((CS$1+28)&gt;CQ$1,NA(),(CS$1+28)-4)</f>
        <v/>
      </c>
      <c r="CQ32">
        <f>IF((CS$1+28)&gt;CQ$1,NA(),INDEX('Data Entry'!$H$5:$BE$10004,(CS$1+28)-4,$B$21))</f>
        <v/>
      </c>
      <c r="CR32">
        <f>IF(ISNA(CP32),NA(),INDEX(Capability!$K$5:$K$54,$B$21))</f>
        <v/>
      </c>
      <c r="CS32">
        <f>IF(ISNA(CP32),NA(),INDEX(Capability!$J$5:$J$54,$B$21))</f>
        <v/>
      </c>
      <c r="CT32">
        <f>IF(ISNA(CP32),NA(),INDEX(Capability!$L$5:$L$54,$B$21))</f>
        <v/>
      </c>
      <c r="CU32">
        <f>IF(OR(ISNA(CQ32),ISNA(CQ31)),NA(),ABS(CQ32-CQ31))</f>
        <v/>
      </c>
      <c r="CV32">
        <f>IF(ISNA(CP32),NA(),INDEX(Capability!$N$5:$N$54,$B$21))</f>
        <v/>
      </c>
      <c r="CW32">
        <f>IF(ISNA(CP32),NA(),IF(OR(INDEX(Capability!$Q$5:$Q$54,$B$21)="",Settings!$F$7&lt;&gt;"Y"),NA(),INDEX(Capability!$Q$5:$Q$54,$B$21)))</f>
        <v/>
      </c>
      <c r="CX32">
        <f>IF(ISNA(CP32),NA(),IF(OR(INDEX(Capability!$P$5:$P$54,$B$21)="",Settings!$F$7&lt;&gt;"Y"),NA(),INDEX(Capability!$P$5:$P$54,$B$21)))</f>
        <v/>
      </c>
      <c r="DD32">
        <f>IF((DG$1+28)&gt;DE$1,NA(),(DG$1+28)-4)</f>
        <v/>
      </c>
      <c r="DE32">
        <f>IF((DG$1+28)&gt;DE$1,NA(),INDEX('Data Entry'!$H$5:$BE$10004,(DG$1+28)-4,$B$22))</f>
        <v/>
      </c>
      <c r="DF32">
        <f>IF(ISNA(DD32),NA(),INDEX(Capability!$K$5:$K$54,$B$22))</f>
        <v/>
      </c>
      <c r="DG32">
        <f>IF(ISNA(DD32),NA(),INDEX(Capability!$J$5:$J$54,$B$22))</f>
        <v/>
      </c>
      <c r="DH32">
        <f>IF(ISNA(DD32),NA(),INDEX(Capability!$L$5:$L$54,$B$22))</f>
        <v/>
      </c>
      <c r="DI32">
        <f>IF(OR(ISNA(DE32),ISNA(DE31)),NA(),ABS(DE32-DE31))</f>
        <v/>
      </c>
      <c r="DJ32">
        <f>IF(ISNA(DD32),NA(),INDEX(Capability!$N$5:$N$54,$B$22))</f>
        <v/>
      </c>
      <c r="DK32">
        <f>IF(ISNA(DD32),NA(),IF(OR(INDEX(Capability!$Q$5:$Q$54,$B$22)="",Settings!$F$7&lt;&gt;"Y"),NA(),INDEX(Capability!$Q$5:$Q$54,$B$22)))</f>
        <v/>
      </c>
      <c r="DL32">
        <f>IF(ISNA(DD32),NA(),IF(OR(INDEX(Capability!$P$5:$P$54,$B$22)="",Settings!$F$7&lt;&gt;"Y"),NA(),INDEX(Capability!$P$5:$P$54,$B$22)))</f>
        <v/>
      </c>
      <c r="DR32">
        <f>IF((DU$1+28)&gt;DS$1,NA(),(DU$1+28)-4)</f>
        <v/>
      </c>
      <c r="DS32">
        <f>IF((DU$1+28)&gt;DS$1,NA(),INDEX('Data Entry'!$H$5:$BE$10004,(DU$1+28)-4,$B$23))</f>
        <v/>
      </c>
      <c r="DT32">
        <f>IF(ISNA(DR32),NA(),INDEX(Capability!$K$5:$K$54,$B$23))</f>
        <v/>
      </c>
      <c r="DU32">
        <f>IF(ISNA(DR32),NA(),INDEX(Capability!$J$5:$J$54,$B$23))</f>
        <v/>
      </c>
      <c r="DV32">
        <f>IF(ISNA(DR32),NA(),INDEX(Capability!$L$5:$L$54,$B$23))</f>
        <v/>
      </c>
      <c r="DW32">
        <f>IF(OR(ISNA(DS32),ISNA(DS31)),NA(),ABS(DS32-DS31))</f>
        <v/>
      </c>
      <c r="DX32">
        <f>IF(ISNA(DR32),NA(),INDEX(Capability!$N$5:$N$54,$B$23))</f>
        <v/>
      </c>
      <c r="DY32">
        <f>IF(ISNA(DR32),NA(),IF(OR(INDEX(Capability!$Q$5:$Q$54,$B$23)="",Settings!$F$7&lt;&gt;"Y"),NA(),INDEX(Capability!$Q$5:$Q$54,$B$23)))</f>
        <v/>
      </c>
      <c r="DZ32">
        <f>IF(ISNA(DR32),NA(),IF(OR(INDEX(Capability!$P$5:$P$54,$B$23)="",Settings!$F$7&lt;&gt;"Y"),NA(),INDEX(Capability!$P$5:$P$54,$B$23)))</f>
        <v/>
      </c>
    </row>
    <row r="33">
      <c r="A33" s="36">
        <f>Capability!A10</f>
        <v/>
      </c>
      <c r="B33" s="22">
        <f>Capability!B10</f>
        <v/>
      </c>
      <c r="C33" s="23">
        <f>IF('Data Entry'!M10022&lt;5,"",INDEX('Data Entry'!$M$5:$M$10004,'Data Entry'!M10022-4))</f>
        <v/>
      </c>
      <c r="D33" s="23">
        <f>Capability!C10</f>
        <v/>
      </c>
      <c r="E33" s="23">
        <f>Capability!G10</f>
        <v/>
      </c>
      <c r="F33" s="38">
        <f>Capability!T10</f>
        <v/>
      </c>
      <c r="G33" s="36">
        <f>Capability!W10</f>
        <v/>
      </c>
      <c r="H33" s="36">
        <f>Capability!X10</f>
        <v/>
      </c>
      <c r="I33" s="36">
        <f>Capability!Y10</f>
        <v/>
      </c>
      <c r="CB33">
        <f>IF((CE$1+29)&gt;CC$1,NA(),(CE$1+29)-4)</f>
        <v/>
      </c>
      <c r="CC33">
        <f>IF((CE$1+29)&gt;CC$1,NA(),INDEX('Data Entry'!$H$5:$BE$10004,(CE$1+29)-4,$B$20))</f>
        <v/>
      </c>
      <c r="CD33">
        <f>IF(ISNA(CB33),NA(),INDEX(Capability!$K$5:$K$54,$B$20))</f>
        <v/>
      </c>
      <c r="CE33">
        <f>IF(ISNA(CB33),NA(),INDEX(Capability!$J$5:$J$54,$B$20))</f>
        <v/>
      </c>
      <c r="CF33">
        <f>IF(ISNA(CB33),NA(),INDEX(Capability!$L$5:$L$54,$B$20))</f>
        <v/>
      </c>
      <c r="CG33">
        <f>IF(OR(ISNA(CC33),ISNA(CC32)),NA(),ABS(CC33-CC32))</f>
        <v/>
      </c>
      <c r="CH33">
        <f>IF(ISNA(CB33),NA(),INDEX(Capability!$N$5:$N$54,$B$20))</f>
        <v/>
      </c>
      <c r="CI33">
        <f>IF(ISNA(CB33),NA(),IF(OR(INDEX(Capability!$Q$5:$Q$54,$B$20)="",Settings!$F$7&lt;&gt;"Y"),NA(),INDEX(Capability!$Q$5:$Q$54,$B$20)))</f>
        <v/>
      </c>
      <c r="CJ33">
        <f>IF(ISNA(CB33),NA(),IF(OR(INDEX(Capability!$P$5:$P$54,$B$20)="",Settings!$F$7&lt;&gt;"Y"),NA(),INDEX(Capability!$P$5:$P$54,$B$20)))</f>
        <v/>
      </c>
      <c r="CP33">
        <f>IF((CS$1+29)&gt;CQ$1,NA(),(CS$1+29)-4)</f>
        <v/>
      </c>
      <c r="CQ33">
        <f>IF((CS$1+29)&gt;CQ$1,NA(),INDEX('Data Entry'!$H$5:$BE$10004,(CS$1+29)-4,$B$21))</f>
        <v/>
      </c>
      <c r="CR33">
        <f>IF(ISNA(CP33),NA(),INDEX(Capability!$K$5:$K$54,$B$21))</f>
        <v/>
      </c>
      <c r="CS33">
        <f>IF(ISNA(CP33),NA(),INDEX(Capability!$J$5:$J$54,$B$21))</f>
        <v/>
      </c>
      <c r="CT33">
        <f>IF(ISNA(CP33),NA(),INDEX(Capability!$L$5:$L$54,$B$21))</f>
        <v/>
      </c>
      <c r="CU33">
        <f>IF(OR(ISNA(CQ33),ISNA(CQ32)),NA(),ABS(CQ33-CQ32))</f>
        <v/>
      </c>
      <c r="CV33">
        <f>IF(ISNA(CP33),NA(),INDEX(Capability!$N$5:$N$54,$B$21))</f>
        <v/>
      </c>
      <c r="CW33">
        <f>IF(ISNA(CP33),NA(),IF(OR(INDEX(Capability!$Q$5:$Q$54,$B$21)="",Settings!$F$7&lt;&gt;"Y"),NA(),INDEX(Capability!$Q$5:$Q$54,$B$21)))</f>
        <v/>
      </c>
      <c r="CX33">
        <f>IF(ISNA(CP33),NA(),IF(OR(INDEX(Capability!$P$5:$P$54,$B$21)="",Settings!$F$7&lt;&gt;"Y"),NA(),INDEX(Capability!$P$5:$P$54,$B$21)))</f>
        <v/>
      </c>
      <c r="DD33">
        <f>IF((DG$1+29)&gt;DE$1,NA(),(DG$1+29)-4)</f>
        <v/>
      </c>
      <c r="DE33">
        <f>IF((DG$1+29)&gt;DE$1,NA(),INDEX('Data Entry'!$H$5:$BE$10004,(DG$1+29)-4,$B$22))</f>
        <v/>
      </c>
      <c r="DF33">
        <f>IF(ISNA(DD33),NA(),INDEX(Capability!$K$5:$K$54,$B$22))</f>
        <v/>
      </c>
      <c r="DG33">
        <f>IF(ISNA(DD33),NA(),INDEX(Capability!$J$5:$J$54,$B$22))</f>
        <v/>
      </c>
      <c r="DH33">
        <f>IF(ISNA(DD33),NA(),INDEX(Capability!$L$5:$L$54,$B$22))</f>
        <v/>
      </c>
      <c r="DI33">
        <f>IF(OR(ISNA(DE33),ISNA(DE32)),NA(),ABS(DE33-DE32))</f>
        <v/>
      </c>
      <c r="DJ33">
        <f>IF(ISNA(DD33),NA(),INDEX(Capability!$N$5:$N$54,$B$22))</f>
        <v/>
      </c>
      <c r="DK33">
        <f>IF(ISNA(DD33),NA(),IF(OR(INDEX(Capability!$Q$5:$Q$54,$B$22)="",Settings!$F$7&lt;&gt;"Y"),NA(),INDEX(Capability!$Q$5:$Q$54,$B$22)))</f>
        <v/>
      </c>
      <c r="DL33">
        <f>IF(ISNA(DD33),NA(),IF(OR(INDEX(Capability!$P$5:$P$54,$B$22)="",Settings!$F$7&lt;&gt;"Y"),NA(),INDEX(Capability!$P$5:$P$54,$B$22)))</f>
        <v/>
      </c>
      <c r="DR33">
        <f>IF((DU$1+29)&gt;DS$1,NA(),(DU$1+29)-4)</f>
        <v/>
      </c>
      <c r="DS33">
        <f>IF((DU$1+29)&gt;DS$1,NA(),INDEX('Data Entry'!$H$5:$BE$10004,(DU$1+29)-4,$B$23))</f>
        <v/>
      </c>
      <c r="DT33">
        <f>IF(ISNA(DR33),NA(),INDEX(Capability!$K$5:$K$54,$B$23))</f>
        <v/>
      </c>
      <c r="DU33">
        <f>IF(ISNA(DR33),NA(),INDEX(Capability!$J$5:$J$54,$B$23))</f>
        <v/>
      </c>
      <c r="DV33">
        <f>IF(ISNA(DR33),NA(),INDEX(Capability!$L$5:$L$54,$B$23))</f>
        <v/>
      </c>
      <c r="DW33">
        <f>IF(OR(ISNA(DS33),ISNA(DS32)),NA(),ABS(DS33-DS32))</f>
        <v/>
      </c>
      <c r="DX33">
        <f>IF(ISNA(DR33),NA(),INDEX(Capability!$N$5:$N$54,$B$23))</f>
        <v/>
      </c>
      <c r="DY33">
        <f>IF(ISNA(DR33),NA(),IF(OR(INDEX(Capability!$Q$5:$Q$54,$B$23)="",Settings!$F$7&lt;&gt;"Y"),NA(),INDEX(Capability!$Q$5:$Q$54,$B$23)))</f>
        <v/>
      </c>
      <c r="DZ33">
        <f>IF(ISNA(DR33),NA(),IF(OR(INDEX(Capability!$P$5:$P$54,$B$23)="",Settings!$F$7&lt;&gt;"Y"),NA(),INDEX(Capability!$P$5:$P$54,$B$23)))</f>
        <v/>
      </c>
    </row>
    <row r="34">
      <c r="A34" s="36">
        <f>Capability!A11</f>
        <v/>
      </c>
      <c r="B34" s="22">
        <f>Capability!B11</f>
        <v/>
      </c>
      <c r="C34" s="23">
        <f>IF('Data Entry'!N10022&lt;5,"",INDEX('Data Entry'!$N$5:$N$10004,'Data Entry'!N10022-4))</f>
        <v/>
      </c>
      <c r="D34" s="23">
        <f>Capability!C11</f>
        <v/>
      </c>
      <c r="E34" s="23">
        <f>Capability!G11</f>
        <v/>
      </c>
      <c r="F34" s="38">
        <f>Capability!T11</f>
        <v/>
      </c>
      <c r="G34" s="36">
        <f>Capability!W11</f>
        <v/>
      </c>
      <c r="H34" s="36">
        <f>Capability!X11</f>
        <v/>
      </c>
      <c r="I34" s="36">
        <f>Capability!Y11</f>
        <v/>
      </c>
      <c r="CB34">
        <f>IF((CE$1+30)&gt;CC$1,NA(),(CE$1+30)-4)</f>
        <v/>
      </c>
      <c r="CC34">
        <f>IF((CE$1+30)&gt;CC$1,NA(),INDEX('Data Entry'!$H$5:$BE$10004,(CE$1+30)-4,$B$20))</f>
        <v/>
      </c>
      <c r="CD34">
        <f>IF(ISNA(CB34),NA(),INDEX(Capability!$K$5:$K$54,$B$20))</f>
        <v/>
      </c>
      <c r="CE34">
        <f>IF(ISNA(CB34),NA(),INDEX(Capability!$J$5:$J$54,$B$20))</f>
        <v/>
      </c>
      <c r="CF34">
        <f>IF(ISNA(CB34),NA(),INDEX(Capability!$L$5:$L$54,$B$20))</f>
        <v/>
      </c>
      <c r="CG34">
        <f>IF(OR(ISNA(CC34),ISNA(CC33)),NA(),ABS(CC34-CC33))</f>
        <v/>
      </c>
      <c r="CH34">
        <f>IF(ISNA(CB34),NA(),INDEX(Capability!$N$5:$N$54,$B$20))</f>
        <v/>
      </c>
      <c r="CI34">
        <f>IF(ISNA(CB34),NA(),IF(OR(INDEX(Capability!$Q$5:$Q$54,$B$20)="",Settings!$F$7&lt;&gt;"Y"),NA(),INDEX(Capability!$Q$5:$Q$54,$B$20)))</f>
        <v/>
      </c>
      <c r="CJ34">
        <f>IF(ISNA(CB34),NA(),IF(OR(INDEX(Capability!$P$5:$P$54,$B$20)="",Settings!$F$7&lt;&gt;"Y"),NA(),INDEX(Capability!$P$5:$P$54,$B$20)))</f>
        <v/>
      </c>
      <c r="CP34">
        <f>IF((CS$1+30)&gt;CQ$1,NA(),(CS$1+30)-4)</f>
        <v/>
      </c>
      <c r="CQ34">
        <f>IF((CS$1+30)&gt;CQ$1,NA(),INDEX('Data Entry'!$H$5:$BE$10004,(CS$1+30)-4,$B$21))</f>
        <v/>
      </c>
      <c r="CR34">
        <f>IF(ISNA(CP34),NA(),INDEX(Capability!$K$5:$K$54,$B$21))</f>
        <v/>
      </c>
      <c r="CS34">
        <f>IF(ISNA(CP34),NA(),INDEX(Capability!$J$5:$J$54,$B$21))</f>
        <v/>
      </c>
      <c r="CT34">
        <f>IF(ISNA(CP34),NA(),INDEX(Capability!$L$5:$L$54,$B$21))</f>
        <v/>
      </c>
      <c r="CU34">
        <f>IF(OR(ISNA(CQ34),ISNA(CQ33)),NA(),ABS(CQ34-CQ33))</f>
        <v/>
      </c>
      <c r="CV34">
        <f>IF(ISNA(CP34),NA(),INDEX(Capability!$N$5:$N$54,$B$21))</f>
        <v/>
      </c>
      <c r="CW34">
        <f>IF(ISNA(CP34),NA(),IF(OR(INDEX(Capability!$Q$5:$Q$54,$B$21)="",Settings!$F$7&lt;&gt;"Y"),NA(),INDEX(Capability!$Q$5:$Q$54,$B$21)))</f>
        <v/>
      </c>
      <c r="CX34">
        <f>IF(ISNA(CP34),NA(),IF(OR(INDEX(Capability!$P$5:$P$54,$B$21)="",Settings!$F$7&lt;&gt;"Y"),NA(),INDEX(Capability!$P$5:$P$54,$B$21)))</f>
        <v/>
      </c>
      <c r="DD34">
        <f>IF((DG$1+30)&gt;DE$1,NA(),(DG$1+30)-4)</f>
        <v/>
      </c>
      <c r="DE34">
        <f>IF((DG$1+30)&gt;DE$1,NA(),INDEX('Data Entry'!$H$5:$BE$10004,(DG$1+30)-4,$B$22))</f>
        <v/>
      </c>
      <c r="DF34">
        <f>IF(ISNA(DD34),NA(),INDEX(Capability!$K$5:$K$54,$B$22))</f>
        <v/>
      </c>
      <c r="DG34">
        <f>IF(ISNA(DD34),NA(),INDEX(Capability!$J$5:$J$54,$B$22))</f>
        <v/>
      </c>
      <c r="DH34">
        <f>IF(ISNA(DD34),NA(),INDEX(Capability!$L$5:$L$54,$B$22))</f>
        <v/>
      </c>
      <c r="DI34">
        <f>IF(OR(ISNA(DE34),ISNA(DE33)),NA(),ABS(DE34-DE33))</f>
        <v/>
      </c>
      <c r="DJ34">
        <f>IF(ISNA(DD34),NA(),INDEX(Capability!$N$5:$N$54,$B$22))</f>
        <v/>
      </c>
      <c r="DK34">
        <f>IF(ISNA(DD34),NA(),IF(OR(INDEX(Capability!$Q$5:$Q$54,$B$22)="",Settings!$F$7&lt;&gt;"Y"),NA(),INDEX(Capability!$Q$5:$Q$54,$B$22)))</f>
        <v/>
      </c>
      <c r="DL34">
        <f>IF(ISNA(DD34),NA(),IF(OR(INDEX(Capability!$P$5:$P$54,$B$22)="",Settings!$F$7&lt;&gt;"Y"),NA(),INDEX(Capability!$P$5:$P$54,$B$22)))</f>
        <v/>
      </c>
      <c r="DR34">
        <f>IF((DU$1+30)&gt;DS$1,NA(),(DU$1+30)-4)</f>
        <v/>
      </c>
      <c r="DS34">
        <f>IF((DU$1+30)&gt;DS$1,NA(),INDEX('Data Entry'!$H$5:$BE$10004,(DU$1+30)-4,$B$23))</f>
        <v/>
      </c>
      <c r="DT34">
        <f>IF(ISNA(DR34),NA(),INDEX(Capability!$K$5:$K$54,$B$23))</f>
        <v/>
      </c>
      <c r="DU34">
        <f>IF(ISNA(DR34),NA(),INDEX(Capability!$J$5:$J$54,$B$23))</f>
        <v/>
      </c>
      <c r="DV34">
        <f>IF(ISNA(DR34),NA(),INDEX(Capability!$L$5:$L$54,$B$23))</f>
        <v/>
      </c>
      <c r="DW34">
        <f>IF(OR(ISNA(DS34),ISNA(DS33)),NA(),ABS(DS34-DS33))</f>
        <v/>
      </c>
      <c r="DX34">
        <f>IF(ISNA(DR34),NA(),INDEX(Capability!$N$5:$N$54,$B$23))</f>
        <v/>
      </c>
      <c r="DY34">
        <f>IF(ISNA(DR34),NA(),IF(OR(INDEX(Capability!$Q$5:$Q$54,$B$23)="",Settings!$F$7&lt;&gt;"Y"),NA(),INDEX(Capability!$Q$5:$Q$54,$B$23)))</f>
        <v/>
      </c>
      <c r="DZ34">
        <f>IF(ISNA(DR34),NA(),IF(OR(INDEX(Capability!$P$5:$P$54,$B$23)="",Settings!$F$7&lt;&gt;"Y"),NA(),INDEX(Capability!$P$5:$P$54,$B$23)))</f>
        <v/>
      </c>
    </row>
    <row r="35">
      <c r="A35" s="36">
        <f>Capability!A12</f>
        <v/>
      </c>
      <c r="B35" s="22">
        <f>Capability!B12</f>
        <v/>
      </c>
      <c r="C35" s="23">
        <f>IF('Data Entry'!O10022&lt;5,"",INDEX('Data Entry'!$O$5:$O$10004,'Data Entry'!O10022-4))</f>
        <v/>
      </c>
      <c r="D35" s="23">
        <f>Capability!C12</f>
        <v/>
      </c>
      <c r="E35" s="23">
        <f>Capability!G12</f>
        <v/>
      </c>
      <c r="F35" s="38">
        <f>Capability!T12</f>
        <v/>
      </c>
      <c r="G35" s="36">
        <f>Capability!W12</f>
        <v/>
      </c>
      <c r="H35" s="36">
        <f>Capability!X12</f>
        <v/>
      </c>
      <c r="I35" s="36">
        <f>Capability!Y12</f>
        <v/>
      </c>
      <c r="CB35">
        <f>IF((CE$1+31)&gt;CC$1,NA(),(CE$1+31)-4)</f>
        <v/>
      </c>
      <c r="CC35">
        <f>IF((CE$1+31)&gt;CC$1,NA(),INDEX('Data Entry'!$H$5:$BE$10004,(CE$1+31)-4,$B$20))</f>
        <v/>
      </c>
      <c r="CD35">
        <f>IF(ISNA(CB35),NA(),INDEX(Capability!$K$5:$K$54,$B$20))</f>
        <v/>
      </c>
      <c r="CE35">
        <f>IF(ISNA(CB35),NA(),INDEX(Capability!$J$5:$J$54,$B$20))</f>
        <v/>
      </c>
      <c r="CF35">
        <f>IF(ISNA(CB35),NA(),INDEX(Capability!$L$5:$L$54,$B$20))</f>
        <v/>
      </c>
      <c r="CG35">
        <f>IF(OR(ISNA(CC35),ISNA(CC34)),NA(),ABS(CC35-CC34))</f>
        <v/>
      </c>
      <c r="CH35">
        <f>IF(ISNA(CB35),NA(),INDEX(Capability!$N$5:$N$54,$B$20))</f>
        <v/>
      </c>
      <c r="CI35">
        <f>IF(ISNA(CB35),NA(),IF(OR(INDEX(Capability!$Q$5:$Q$54,$B$20)="",Settings!$F$7&lt;&gt;"Y"),NA(),INDEX(Capability!$Q$5:$Q$54,$B$20)))</f>
        <v/>
      </c>
      <c r="CJ35">
        <f>IF(ISNA(CB35),NA(),IF(OR(INDEX(Capability!$P$5:$P$54,$B$20)="",Settings!$F$7&lt;&gt;"Y"),NA(),INDEX(Capability!$P$5:$P$54,$B$20)))</f>
        <v/>
      </c>
      <c r="CP35">
        <f>IF((CS$1+31)&gt;CQ$1,NA(),(CS$1+31)-4)</f>
        <v/>
      </c>
      <c r="CQ35">
        <f>IF((CS$1+31)&gt;CQ$1,NA(),INDEX('Data Entry'!$H$5:$BE$10004,(CS$1+31)-4,$B$21))</f>
        <v/>
      </c>
      <c r="CR35">
        <f>IF(ISNA(CP35),NA(),INDEX(Capability!$K$5:$K$54,$B$21))</f>
        <v/>
      </c>
      <c r="CS35">
        <f>IF(ISNA(CP35),NA(),INDEX(Capability!$J$5:$J$54,$B$21))</f>
        <v/>
      </c>
      <c r="CT35">
        <f>IF(ISNA(CP35),NA(),INDEX(Capability!$L$5:$L$54,$B$21))</f>
        <v/>
      </c>
      <c r="CU35">
        <f>IF(OR(ISNA(CQ35),ISNA(CQ34)),NA(),ABS(CQ35-CQ34))</f>
        <v/>
      </c>
      <c r="CV35">
        <f>IF(ISNA(CP35),NA(),INDEX(Capability!$N$5:$N$54,$B$21))</f>
        <v/>
      </c>
      <c r="CW35">
        <f>IF(ISNA(CP35),NA(),IF(OR(INDEX(Capability!$Q$5:$Q$54,$B$21)="",Settings!$F$7&lt;&gt;"Y"),NA(),INDEX(Capability!$Q$5:$Q$54,$B$21)))</f>
        <v/>
      </c>
      <c r="CX35">
        <f>IF(ISNA(CP35),NA(),IF(OR(INDEX(Capability!$P$5:$P$54,$B$21)="",Settings!$F$7&lt;&gt;"Y"),NA(),INDEX(Capability!$P$5:$P$54,$B$21)))</f>
        <v/>
      </c>
      <c r="DD35">
        <f>IF((DG$1+31)&gt;DE$1,NA(),(DG$1+31)-4)</f>
        <v/>
      </c>
      <c r="DE35">
        <f>IF((DG$1+31)&gt;DE$1,NA(),INDEX('Data Entry'!$H$5:$BE$10004,(DG$1+31)-4,$B$22))</f>
        <v/>
      </c>
      <c r="DF35">
        <f>IF(ISNA(DD35),NA(),INDEX(Capability!$K$5:$K$54,$B$22))</f>
        <v/>
      </c>
      <c r="DG35">
        <f>IF(ISNA(DD35),NA(),INDEX(Capability!$J$5:$J$54,$B$22))</f>
        <v/>
      </c>
      <c r="DH35">
        <f>IF(ISNA(DD35),NA(),INDEX(Capability!$L$5:$L$54,$B$22))</f>
        <v/>
      </c>
      <c r="DI35">
        <f>IF(OR(ISNA(DE35),ISNA(DE34)),NA(),ABS(DE35-DE34))</f>
        <v/>
      </c>
      <c r="DJ35">
        <f>IF(ISNA(DD35),NA(),INDEX(Capability!$N$5:$N$54,$B$22))</f>
        <v/>
      </c>
      <c r="DK35">
        <f>IF(ISNA(DD35),NA(),IF(OR(INDEX(Capability!$Q$5:$Q$54,$B$22)="",Settings!$F$7&lt;&gt;"Y"),NA(),INDEX(Capability!$Q$5:$Q$54,$B$22)))</f>
        <v/>
      </c>
      <c r="DL35">
        <f>IF(ISNA(DD35),NA(),IF(OR(INDEX(Capability!$P$5:$P$54,$B$22)="",Settings!$F$7&lt;&gt;"Y"),NA(),INDEX(Capability!$P$5:$P$54,$B$22)))</f>
        <v/>
      </c>
      <c r="DR35">
        <f>IF((DU$1+31)&gt;DS$1,NA(),(DU$1+31)-4)</f>
        <v/>
      </c>
      <c r="DS35">
        <f>IF((DU$1+31)&gt;DS$1,NA(),INDEX('Data Entry'!$H$5:$BE$10004,(DU$1+31)-4,$B$23))</f>
        <v/>
      </c>
      <c r="DT35">
        <f>IF(ISNA(DR35),NA(),INDEX(Capability!$K$5:$K$54,$B$23))</f>
        <v/>
      </c>
      <c r="DU35">
        <f>IF(ISNA(DR35),NA(),INDEX(Capability!$J$5:$J$54,$B$23))</f>
        <v/>
      </c>
      <c r="DV35">
        <f>IF(ISNA(DR35),NA(),INDEX(Capability!$L$5:$L$54,$B$23))</f>
        <v/>
      </c>
      <c r="DW35">
        <f>IF(OR(ISNA(DS35),ISNA(DS34)),NA(),ABS(DS35-DS34))</f>
        <v/>
      </c>
      <c r="DX35">
        <f>IF(ISNA(DR35),NA(),INDEX(Capability!$N$5:$N$54,$B$23))</f>
        <v/>
      </c>
      <c r="DY35">
        <f>IF(ISNA(DR35),NA(),IF(OR(INDEX(Capability!$Q$5:$Q$54,$B$23)="",Settings!$F$7&lt;&gt;"Y"),NA(),INDEX(Capability!$Q$5:$Q$54,$B$23)))</f>
        <v/>
      </c>
      <c r="DZ35">
        <f>IF(ISNA(DR35),NA(),IF(OR(INDEX(Capability!$P$5:$P$54,$B$23)="",Settings!$F$7&lt;&gt;"Y"),NA(),INDEX(Capability!$P$5:$P$54,$B$23)))</f>
        <v/>
      </c>
    </row>
    <row r="36">
      <c r="A36" s="36">
        <f>Capability!A13</f>
        <v/>
      </c>
      <c r="B36" s="22">
        <f>Capability!B13</f>
        <v/>
      </c>
      <c r="C36" s="23">
        <f>IF('Data Entry'!P10022&lt;5,"",INDEX('Data Entry'!$P$5:$P$10004,'Data Entry'!P10022-4))</f>
        <v/>
      </c>
      <c r="D36" s="23">
        <f>Capability!C13</f>
        <v/>
      </c>
      <c r="E36" s="23">
        <f>Capability!G13</f>
        <v/>
      </c>
      <c r="F36" s="38">
        <f>Capability!T13</f>
        <v/>
      </c>
      <c r="G36" s="36">
        <f>Capability!W13</f>
        <v/>
      </c>
      <c r="H36" s="36">
        <f>Capability!X13</f>
        <v/>
      </c>
      <c r="I36" s="36">
        <f>Capability!Y13</f>
        <v/>
      </c>
      <c r="CB36">
        <f>IF((CE$1+32)&gt;CC$1,NA(),(CE$1+32)-4)</f>
        <v/>
      </c>
      <c r="CC36">
        <f>IF((CE$1+32)&gt;CC$1,NA(),INDEX('Data Entry'!$H$5:$BE$10004,(CE$1+32)-4,$B$20))</f>
        <v/>
      </c>
      <c r="CD36">
        <f>IF(ISNA(CB36),NA(),INDEX(Capability!$K$5:$K$54,$B$20))</f>
        <v/>
      </c>
      <c r="CE36">
        <f>IF(ISNA(CB36),NA(),INDEX(Capability!$J$5:$J$54,$B$20))</f>
        <v/>
      </c>
      <c r="CF36">
        <f>IF(ISNA(CB36),NA(),INDEX(Capability!$L$5:$L$54,$B$20))</f>
        <v/>
      </c>
      <c r="CG36">
        <f>IF(OR(ISNA(CC36),ISNA(CC35)),NA(),ABS(CC36-CC35))</f>
        <v/>
      </c>
      <c r="CH36">
        <f>IF(ISNA(CB36),NA(),INDEX(Capability!$N$5:$N$54,$B$20))</f>
        <v/>
      </c>
      <c r="CI36">
        <f>IF(ISNA(CB36),NA(),IF(OR(INDEX(Capability!$Q$5:$Q$54,$B$20)="",Settings!$F$7&lt;&gt;"Y"),NA(),INDEX(Capability!$Q$5:$Q$54,$B$20)))</f>
        <v/>
      </c>
      <c r="CJ36">
        <f>IF(ISNA(CB36),NA(),IF(OR(INDEX(Capability!$P$5:$P$54,$B$20)="",Settings!$F$7&lt;&gt;"Y"),NA(),INDEX(Capability!$P$5:$P$54,$B$20)))</f>
        <v/>
      </c>
      <c r="CP36">
        <f>IF((CS$1+32)&gt;CQ$1,NA(),(CS$1+32)-4)</f>
        <v/>
      </c>
      <c r="CQ36">
        <f>IF((CS$1+32)&gt;CQ$1,NA(),INDEX('Data Entry'!$H$5:$BE$10004,(CS$1+32)-4,$B$21))</f>
        <v/>
      </c>
      <c r="CR36">
        <f>IF(ISNA(CP36),NA(),INDEX(Capability!$K$5:$K$54,$B$21))</f>
        <v/>
      </c>
      <c r="CS36">
        <f>IF(ISNA(CP36),NA(),INDEX(Capability!$J$5:$J$54,$B$21))</f>
        <v/>
      </c>
      <c r="CT36">
        <f>IF(ISNA(CP36),NA(),INDEX(Capability!$L$5:$L$54,$B$21))</f>
        <v/>
      </c>
      <c r="CU36">
        <f>IF(OR(ISNA(CQ36),ISNA(CQ35)),NA(),ABS(CQ36-CQ35))</f>
        <v/>
      </c>
      <c r="CV36">
        <f>IF(ISNA(CP36),NA(),INDEX(Capability!$N$5:$N$54,$B$21))</f>
        <v/>
      </c>
      <c r="CW36">
        <f>IF(ISNA(CP36),NA(),IF(OR(INDEX(Capability!$Q$5:$Q$54,$B$21)="",Settings!$F$7&lt;&gt;"Y"),NA(),INDEX(Capability!$Q$5:$Q$54,$B$21)))</f>
        <v/>
      </c>
      <c r="CX36">
        <f>IF(ISNA(CP36),NA(),IF(OR(INDEX(Capability!$P$5:$P$54,$B$21)="",Settings!$F$7&lt;&gt;"Y"),NA(),INDEX(Capability!$P$5:$P$54,$B$21)))</f>
        <v/>
      </c>
      <c r="DD36">
        <f>IF((DG$1+32)&gt;DE$1,NA(),(DG$1+32)-4)</f>
        <v/>
      </c>
      <c r="DE36">
        <f>IF((DG$1+32)&gt;DE$1,NA(),INDEX('Data Entry'!$H$5:$BE$10004,(DG$1+32)-4,$B$22))</f>
        <v/>
      </c>
      <c r="DF36">
        <f>IF(ISNA(DD36),NA(),INDEX(Capability!$K$5:$K$54,$B$22))</f>
        <v/>
      </c>
      <c r="DG36">
        <f>IF(ISNA(DD36),NA(),INDEX(Capability!$J$5:$J$54,$B$22))</f>
        <v/>
      </c>
      <c r="DH36">
        <f>IF(ISNA(DD36),NA(),INDEX(Capability!$L$5:$L$54,$B$22))</f>
        <v/>
      </c>
      <c r="DI36">
        <f>IF(OR(ISNA(DE36),ISNA(DE35)),NA(),ABS(DE36-DE35))</f>
        <v/>
      </c>
      <c r="DJ36">
        <f>IF(ISNA(DD36),NA(),INDEX(Capability!$N$5:$N$54,$B$22))</f>
        <v/>
      </c>
      <c r="DK36">
        <f>IF(ISNA(DD36),NA(),IF(OR(INDEX(Capability!$Q$5:$Q$54,$B$22)="",Settings!$F$7&lt;&gt;"Y"),NA(),INDEX(Capability!$Q$5:$Q$54,$B$22)))</f>
        <v/>
      </c>
      <c r="DL36">
        <f>IF(ISNA(DD36),NA(),IF(OR(INDEX(Capability!$P$5:$P$54,$B$22)="",Settings!$F$7&lt;&gt;"Y"),NA(),INDEX(Capability!$P$5:$P$54,$B$22)))</f>
        <v/>
      </c>
      <c r="DR36">
        <f>IF((DU$1+32)&gt;DS$1,NA(),(DU$1+32)-4)</f>
        <v/>
      </c>
      <c r="DS36">
        <f>IF((DU$1+32)&gt;DS$1,NA(),INDEX('Data Entry'!$H$5:$BE$10004,(DU$1+32)-4,$B$23))</f>
        <v/>
      </c>
      <c r="DT36">
        <f>IF(ISNA(DR36),NA(),INDEX(Capability!$K$5:$K$54,$B$23))</f>
        <v/>
      </c>
      <c r="DU36">
        <f>IF(ISNA(DR36),NA(),INDEX(Capability!$J$5:$J$54,$B$23))</f>
        <v/>
      </c>
      <c r="DV36">
        <f>IF(ISNA(DR36),NA(),INDEX(Capability!$L$5:$L$54,$B$23))</f>
        <v/>
      </c>
      <c r="DW36">
        <f>IF(OR(ISNA(DS36),ISNA(DS35)),NA(),ABS(DS36-DS35))</f>
        <v/>
      </c>
      <c r="DX36">
        <f>IF(ISNA(DR36),NA(),INDEX(Capability!$N$5:$N$54,$B$23))</f>
        <v/>
      </c>
      <c r="DY36">
        <f>IF(ISNA(DR36),NA(),IF(OR(INDEX(Capability!$Q$5:$Q$54,$B$23)="",Settings!$F$7&lt;&gt;"Y"),NA(),INDEX(Capability!$Q$5:$Q$54,$B$23)))</f>
        <v/>
      </c>
      <c r="DZ36">
        <f>IF(ISNA(DR36),NA(),IF(OR(INDEX(Capability!$P$5:$P$54,$B$23)="",Settings!$F$7&lt;&gt;"Y"),NA(),INDEX(Capability!$P$5:$P$54,$B$23)))</f>
        <v/>
      </c>
    </row>
    <row r="37">
      <c r="A37" s="36">
        <f>Capability!A14</f>
        <v/>
      </c>
      <c r="B37" s="22">
        <f>Capability!B14</f>
        <v/>
      </c>
      <c r="C37" s="23">
        <f>IF('Data Entry'!Q10022&lt;5,"",INDEX('Data Entry'!$Q$5:$Q$10004,'Data Entry'!Q10022-4))</f>
        <v/>
      </c>
      <c r="D37" s="23">
        <f>Capability!C14</f>
        <v/>
      </c>
      <c r="E37" s="23">
        <f>Capability!G14</f>
        <v/>
      </c>
      <c r="F37" s="38">
        <f>Capability!T14</f>
        <v/>
      </c>
      <c r="G37" s="36">
        <f>Capability!W14</f>
        <v/>
      </c>
      <c r="H37" s="36">
        <f>Capability!X14</f>
        <v/>
      </c>
      <c r="I37" s="36">
        <f>Capability!Y14</f>
        <v/>
      </c>
      <c r="CB37">
        <f>IF((CE$1+33)&gt;CC$1,NA(),(CE$1+33)-4)</f>
        <v/>
      </c>
      <c r="CC37">
        <f>IF((CE$1+33)&gt;CC$1,NA(),INDEX('Data Entry'!$H$5:$BE$10004,(CE$1+33)-4,$B$20))</f>
        <v/>
      </c>
      <c r="CD37">
        <f>IF(ISNA(CB37),NA(),INDEX(Capability!$K$5:$K$54,$B$20))</f>
        <v/>
      </c>
      <c r="CE37">
        <f>IF(ISNA(CB37),NA(),INDEX(Capability!$J$5:$J$54,$B$20))</f>
        <v/>
      </c>
      <c r="CF37">
        <f>IF(ISNA(CB37),NA(),INDEX(Capability!$L$5:$L$54,$B$20))</f>
        <v/>
      </c>
      <c r="CG37">
        <f>IF(OR(ISNA(CC37),ISNA(CC36)),NA(),ABS(CC37-CC36))</f>
        <v/>
      </c>
      <c r="CH37">
        <f>IF(ISNA(CB37),NA(),INDEX(Capability!$N$5:$N$54,$B$20))</f>
        <v/>
      </c>
      <c r="CI37">
        <f>IF(ISNA(CB37),NA(),IF(OR(INDEX(Capability!$Q$5:$Q$54,$B$20)="",Settings!$F$7&lt;&gt;"Y"),NA(),INDEX(Capability!$Q$5:$Q$54,$B$20)))</f>
        <v/>
      </c>
      <c r="CJ37">
        <f>IF(ISNA(CB37),NA(),IF(OR(INDEX(Capability!$P$5:$P$54,$B$20)="",Settings!$F$7&lt;&gt;"Y"),NA(),INDEX(Capability!$P$5:$P$54,$B$20)))</f>
        <v/>
      </c>
      <c r="CP37">
        <f>IF((CS$1+33)&gt;CQ$1,NA(),(CS$1+33)-4)</f>
        <v/>
      </c>
      <c r="CQ37">
        <f>IF((CS$1+33)&gt;CQ$1,NA(),INDEX('Data Entry'!$H$5:$BE$10004,(CS$1+33)-4,$B$21))</f>
        <v/>
      </c>
      <c r="CR37">
        <f>IF(ISNA(CP37),NA(),INDEX(Capability!$K$5:$K$54,$B$21))</f>
        <v/>
      </c>
      <c r="CS37">
        <f>IF(ISNA(CP37),NA(),INDEX(Capability!$J$5:$J$54,$B$21))</f>
        <v/>
      </c>
      <c r="CT37">
        <f>IF(ISNA(CP37),NA(),INDEX(Capability!$L$5:$L$54,$B$21))</f>
        <v/>
      </c>
      <c r="CU37">
        <f>IF(OR(ISNA(CQ37),ISNA(CQ36)),NA(),ABS(CQ37-CQ36))</f>
        <v/>
      </c>
      <c r="CV37">
        <f>IF(ISNA(CP37),NA(),INDEX(Capability!$N$5:$N$54,$B$21))</f>
        <v/>
      </c>
      <c r="CW37">
        <f>IF(ISNA(CP37),NA(),IF(OR(INDEX(Capability!$Q$5:$Q$54,$B$21)="",Settings!$F$7&lt;&gt;"Y"),NA(),INDEX(Capability!$Q$5:$Q$54,$B$21)))</f>
        <v/>
      </c>
      <c r="CX37">
        <f>IF(ISNA(CP37),NA(),IF(OR(INDEX(Capability!$P$5:$P$54,$B$21)="",Settings!$F$7&lt;&gt;"Y"),NA(),INDEX(Capability!$P$5:$P$54,$B$21)))</f>
        <v/>
      </c>
      <c r="DD37">
        <f>IF((DG$1+33)&gt;DE$1,NA(),(DG$1+33)-4)</f>
        <v/>
      </c>
      <c r="DE37">
        <f>IF((DG$1+33)&gt;DE$1,NA(),INDEX('Data Entry'!$H$5:$BE$10004,(DG$1+33)-4,$B$22))</f>
        <v/>
      </c>
      <c r="DF37">
        <f>IF(ISNA(DD37),NA(),INDEX(Capability!$K$5:$K$54,$B$22))</f>
        <v/>
      </c>
      <c r="DG37">
        <f>IF(ISNA(DD37),NA(),INDEX(Capability!$J$5:$J$54,$B$22))</f>
        <v/>
      </c>
      <c r="DH37">
        <f>IF(ISNA(DD37),NA(),INDEX(Capability!$L$5:$L$54,$B$22))</f>
        <v/>
      </c>
      <c r="DI37">
        <f>IF(OR(ISNA(DE37),ISNA(DE36)),NA(),ABS(DE37-DE36))</f>
        <v/>
      </c>
      <c r="DJ37">
        <f>IF(ISNA(DD37),NA(),INDEX(Capability!$N$5:$N$54,$B$22))</f>
        <v/>
      </c>
      <c r="DK37">
        <f>IF(ISNA(DD37),NA(),IF(OR(INDEX(Capability!$Q$5:$Q$54,$B$22)="",Settings!$F$7&lt;&gt;"Y"),NA(),INDEX(Capability!$Q$5:$Q$54,$B$22)))</f>
        <v/>
      </c>
      <c r="DL37">
        <f>IF(ISNA(DD37),NA(),IF(OR(INDEX(Capability!$P$5:$P$54,$B$22)="",Settings!$F$7&lt;&gt;"Y"),NA(),INDEX(Capability!$P$5:$P$54,$B$22)))</f>
        <v/>
      </c>
      <c r="DR37">
        <f>IF((DU$1+33)&gt;DS$1,NA(),(DU$1+33)-4)</f>
        <v/>
      </c>
      <c r="DS37">
        <f>IF((DU$1+33)&gt;DS$1,NA(),INDEX('Data Entry'!$H$5:$BE$10004,(DU$1+33)-4,$B$23))</f>
        <v/>
      </c>
      <c r="DT37">
        <f>IF(ISNA(DR37),NA(),INDEX(Capability!$K$5:$K$54,$B$23))</f>
        <v/>
      </c>
      <c r="DU37">
        <f>IF(ISNA(DR37),NA(),INDEX(Capability!$J$5:$J$54,$B$23))</f>
        <v/>
      </c>
      <c r="DV37">
        <f>IF(ISNA(DR37),NA(),INDEX(Capability!$L$5:$L$54,$B$23))</f>
        <v/>
      </c>
      <c r="DW37">
        <f>IF(OR(ISNA(DS37),ISNA(DS36)),NA(),ABS(DS37-DS36))</f>
        <v/>
      </c>
      <c r="DX37">
        <f>IF(ISNA(DR37),NA(),INDEX(Capability!$N$5:$N$54,$B$23))</f>
        <v/>
      </c>
      <c r="DY37">
        <f>IF(ISNA(DR37),NA(),IF(OR(INDEX(Capability!$Q$5:$Q$54,$B$23)="",Settings!$F$7&lt;&gt;"Y"),NA(),INDEX(Capability!$Q$5:$Q$54,$B$23)))</f>
        <v/>
      </c>
      <c r="DZ37">
        <f>IF(ISNA(DR37),NA(),IF(OR(INDEX(Capability!$P$5:$P$54,$B$23)="",Settings!$F$7&lt;&gt;"Y"),NA(),INDEX(Capability!$P$5:$P$54,$B$23)))</f>
        <v/>
      </c>
    </row>
    <row r="38">
      <c r="CB38">
        <f>IF((CE$1+34)&gt;CC$1,NA(),(CE$1+34)-4)</f>
        <v/>
      </c>
      <c r="CC38">
        <f>IF((CE$1+34)&gt;CC$1,NA(),INDEX('Data Entry'!$H$5:$BE$10004,(CE$1+34)-4,$B$20))</f>
        <v/>
      </c>
      <c r="CD38">
        <f>IF(ISNA(CB38),NA(),INDEX(Capability!$K$5:$K$54,$B$20))</f>
        <v/>
      </c>
      <c r="CE38">
        <f>IF(ISNA(CB38),NA(),INDEX(Capability!$J$5:$J$54,$B$20))</f>
        <v/>
      </c>
      <c r="CF38">
        <f>IF(ISNA(CB38),NA(),INDEX(Capability!$L$5:$L$54,$B$20))</f>
        <v/>
      </c>
      <c r="CG38">
        <f>IF(OR(ISNA(CC38),ISNA(CC37)),NA(),ABS(CC38-CC37))</f>
        <v/>
      </c>
      <c r="CH38">
        <f>IF(ISNA(CB38),NA(),INDEX(Capability!$N$5:$N$54,$B$20))</f>
        <v/>
      </c>
      <c r="CI38">
        <f>IF(ISNA(CB38),NA(),IF(OR(INDEX(Capability!$Q$5:$Q$54,$B$20)="",Settings!$F$7&lt;&gt;"Y"),NA(),INDEX(Capability!$Q$5:$Q$54,$B$20)))</f>
        <v/>
      </c>
      <c r="CJ38">
        <f>IF(ISNA(CB38),NA(),IF(OR(INDEX(Capability!$P$5:$P$54,$B$20)="",Settings!$F$7&lt;&gt;"Y"),NA(),INDEX(Capability!$P$5:$P$54,$B$20)))</f>
        <v/>
      </c>
      <c r="CP38">
        <f>IF((CS$1+34)&gt;CQ$1,NA(),(CS$1+34)-4)</f>
        <v/>
      </c>
      <c r="CQ38">
        <f>IF((CS$1+34)&gt;CQ$1,NA(),INDEX('Data Entry'!$H$5:$BE$10004,(CS$1+34)-4,$B$21))</f>
        <v/>
      </c>
      <c r="CR38">
        <f>IF(ISNA(CP38),NA(),INDEX(Capability!$K$5:$K$54,$B$21))</f>
        <v/>
      </c>
      <c r="CS38">
        <f>IF(ISNA(CP38),NA(),INDEX(Capability!$J$5:$J$54,$B$21))</f>
        <v/>
      </c>
      <c r="CT38">
        <f>IF(ISNA(CP38),NA(),INDEX(Capability!$L$5:$L$54,$B$21))</f>
        <v/>
      </c>
      <c r="CU38">
        <f>IF(OR(ISNA(CQ38),ISNA(CQ37)),NA(),ABS(CQ38-CQ37))</f>
        <v/>
      </c>
      <c r="CV38">
        <f>IF(ISNA(CP38),NA(),INDEX(Capability!$N$5:$N$54,$B$21))</f>
        <v/>
      </c>
      <c r="CW38">
        <f>IF(ISNA(CP38),NA(),IF(OR(INDEX(Capability!$Q$5:$Q$54,$B$21)="",Settings!$F$7&lt;&gt;"Y"),NA(),INDEX(Capability!$Q$5:$Q$54,$B$21)))</f>
        <v/>
      </c>
      <c r="CX38">
        <f>IF(ISNA(CP38),NA(),IF(OR(INDEX(Capability!$P$5:$P$54,$B$21)="",Settings!$F$7&lt;&gt;"Y"),NA(),INDEX(Capability!$P$5:$P$54,$B$21)))</f>
        <v/>
      </c>
      <c r="DD38">
        <f>IF((DG$1+34)&gt;DE$1,NA(),(DG$1+34)-4)</f>
        <v/>
      </c>
      <c r="DE38">
        <f>IF((DG$1+34)&gt;DE$1,NA(),INDEX('Data Entry'!$H$5:$BE$10004,(DG$1+34)-4,$B$22))</f>
        <v/>
      </c>
      <c r="DF38">
        <f>IF(ISNA(DD38),NA(),INDEX(Capability!$K$5:$K$54,$B$22))</f>
        <v/>
      </c>
      <c r="DG38">
        <f>IF(ISNA(DD38),NA(),INDEX(Capability!$J$5:$J$54,$B$22))</f>
        <v/>
      </c>
      <c r="DH38">
        <f>IF(ISNA(DD38),NA(),INDEX(Capability!$L$5:$L$54,$B$22))</f>
        <v/>
      </c>
      <c r="DI38">
        <f>IF(OR(ISNA(DE38),ISNA(DE37)),NA(),ABS(DE38-DE37))</f>
        <v/>
      </c>
      <c r="DJ38">
        <f>IF(ISNA(DD38),NA(),INDEX(Capability!$N$5:$N$54,$B$22))</f>
        <v/>
      </c>
      <c r="DK38">
        <f>IF(ISNA(DD38),NA(),IF(OR(INDEX(Capability!$Q$5:$Q$54,$B$22)="",Settings!$F$7&lt;&gt;"Y"),NA(),INDEX(Capability!$Q$5:$Q$54,$B$22)))</f>
        <v/>
      </c>
      <c r="DL38">
        <f>IF(ISNA(DD38),NA(),IF(OR(INDEX(Capability!$P$5:$P$54,$B$22)="",Settings!$F$7&lt;&gt;"Y"),NA(),INDEX(Capability!$P$5:$P$54,$B$22)))</f>
        <v/>
      </c>
      <c r="DR38">
        <f>IF((DU$1+34)&gt;DS$1,NA(),(DU$1+34)-4)</f>
        <v/>
      </c>
      <c r="DS38">
        <f>IF((DU$1+34)&gt;DS$1,NA(),INDEX('Data Entry'!$H$5:$BE$10004,(DU$1+34)-4,$B$23))</f>
        <v/>
      </c>
      <c r="DT38">
        <f>IF(ISNA(DR38),NA(),INDEX(Capability!$K$5:$K$54,$B$23))</f>
        <v/>
      </c>
      <c r="DU38">
        <f>IF(ISNA(DR38),NA(),INDEX(Capability!$J$5:$J$54,$B$23))</f>
        <v/>
      </c>
      <c r="DV38">
        <f>IF(ISNA(DR38),NA(),INDEX(Capability!$L$5:$L$54,$B$23))</f>
        <v/>
      </c>
      <c r="DW38">
        <f>IF(OR(ISNA(DS38),ISNA(DS37)),NA(),ABS(DS38-DS37))</f>
        <v/>
      </c>
      <c r="DX38">
        <f>IF(ISNA(DR38),NA(),INDEX(Capability!$N$5:$N$54,$B$23))</f>
        <v/>
      </c>
      <c r="DY38">
        <f>IF(ISNA(DR38),NA(),IF(OR(INDEX(Capability!$Q$5:$Q$54,$B$23)="",Settings!$F$7&lt;&gt;"Y"),NA(),INDEX(Capability!$Q$5:$Q$54,$B$23)))</f>
        <v/>
      </c>
      <c r="DZ38">
        <f>IF(ISNA(DR38),NA(),IF(OR(INDEX(Capability!$P$5:$P$54,$B$23)="",Settings!$F$7&lt;&gt;"Y"),NA(),INDEX(Capability!$P$5:$P$54,$B$23)))</f>
        <v/>
      </c>
    </row>
    <row r="39">
      <c r="CB39">
        <f>IF((CE$1+35)&gt;CC$1,NA(),(CE$1+35)-4)</f>
        <v/>
      </c>
      <c r="CC39">
        <f>IF((CE$1+35)&gt;CC$1,NA(),INDEX('Data Entry'!$H$5:$BE$10004,(CE$1+35)-4,$B$20))</f>
        <v/>
      </c>
      <c r="CD39">
        <f>IF(ISNA(CB39),NA(),INDEX(Capability!$K$5:$K$54,$B$20))</f>
        <v/>
      </c>
      <c r="CE39">
        <f>IF(ISNA(CB39),NA(),INDEX(Capability!$J$5:$J$54,$B$20))</f>
        <v/>
      </c>
      <c r="CF39">
        <f>IF(ISNA(CB39),NA(),INDEX(Capability!$L$5:$L$54,$B$20))</f>
        <v/>
      </c>
      <c r="CG39">
        <f>IF(OR(ISNA(CC39),ISNA(CC38)),NA(),ABS(CC39-CC38))</f>
        <v/>
      </c>
      <c r="CH39">
        <f>IF(ISNA(CB39),NA(),INDEX(Capability!$N$5:$N$54,$B$20))</f>
        <v/>
      </c>
      <c r="CI39">
        <f>IF(ISNA(CB39),NA(),IF(OR(INDEX(Capability!$Q$5:$Q$54,$B$20)="",Settings!$F$7&lt;&gt;"Y"),NA(),INDEX(Capability!$Q$5:$Q$54,$B$20)))</f>
        <v/>
      </c>
      <c r="CJ39">
        <f>IF(ISNA(CB39),NA(),IF(OR(INDEX(Capability!$P$5:$P$54,$B$20)="",Settings!$F$7&lt;&gt;"Y"),NA(),INDEX(Capability!$P$5:$P$54,$B$20)))</f>
        <v/>
      </c>
      <c r="CP39">
        <f>IF((CS$1+35)&gt;CQ$1,NA(),(CS$1+35)-4)</f>
        <v/>
      </c>
      <c r="CQ39">
        <f>IF((CS$1+35)&gt;CQ$1,NA(),INDEX('Data Entry'!$H$5:$BE$10004,(CS$1+35)-4,$B$21))</f>
        <v/>
      </c>
      <c r="CR39">
        <f>IF(ISNA(CP39),NA(),INDEX(Capability!$K$5:$K$54,$B$21))</f>
        <v/>
      </c>
      <c r="CS39">
        <f>IF(ISNA(CP39),NA(),INDEX(Capability!$J$5:$J$54,$B$21))</f>
        <v/>
      </c>
      <c r="CT39">
        <f>IF(ISNA(CP39),NA(),INDEX(Capability!$L$5:$L$54,$B$21))</f>
        <v/>
      </c>
      <c r="CU39">
        <f>IF(OR(ISNA(CQ39),ISNA(CQ38)),NA(),ABS(CQ39-CQ38))</f>
        <v/>
      </c>
      <c r="CV39">
        <f>IF(ISNA(CP39),NA(),INDEX(Capability!$N$5:$N$54,$B$21))</f>
        <v/>
      </c>
      <c r="CW39">
        <f>IF(ISNA(CP39),NA(),IF(OR(INDEX(Capability!$Q$5:$Q$54,$B$21)="",Settings!$F$7&lt;&gt;"Y"),NA(),INDEX(Capability!$Q$5:$Q$54,$B$21)))</f>
        <v/>
      </c>
      <c r="CX39">
        <f>IF(ISNA(CP39),NA(),IF(OR(INDEX(Capability!$P$5:$P$54,$B$21)="",Settings!$F$7&lt;&gt;"Y"),NA(),INDEX(Capability!$P$5:$P$54,$B$21)))</f>
        <v/>
      </c>
      <c r="DD39">
        <f>IF((DG$1+35)&gt;DE$1,NA(),(DG$1+35)-4)</f>
        <v/>
      </c>
      <c r="DE39">
        <f>IF((DG$1+35)&gt;DE$1,NA(),INDEX('Data Entry'!$H$5:$BE$10004,(DG$1+35)-4,$B$22))</f>
        <v/>
      </c>
      <c r="DF39">
        <f>IF(ISNA(DD39),NA(),INDEX(Capability!$K$5:$K$54,$B$22))</f>
        <v/>
      </c>
      <c r="DG39">
        <f>IF(ISNA(DD39),NA(),INDEX(Capability!$J$5:$J$54,$B$22))</f>
        <v/>
      </c>
      <c r="DH39">
        <f>IF(ISNA(DD39),NA(),INDEX(Capability!$L$5:$L$54,$B$22))</f>
        <v/>
      </c>
      <c r="DI39">
        <f>IF(OR(ISNA(DE39),ISNA(DE38)),NA(),ABS(DE39-DE38))</f>
        <v/>
      </c>
      <c r="DJ39">
        <f>IF(ISNA(DD39),NA(),INDEX(Capability!$N$5:$N$54,$B$22))</f>
        <v/>
      </c>
      <c r="DK39">
        <f>IF(ISNA(DD39),NA(),IF(OR(INDEX(Capability!$Q$5:$Q$54,$B$22)="",Settings!$F$7&lt;&gt;"Y"),NA(),INDEX(Capability!$Q$5:$Q$54,$B$22)))</f>
        <v/>
      </c>
      <c r="DL39">
        <f>IF(ISNA(DD39),NA(),IF(OR(INDEX(Capability!$P$5:$P$54,$B$22)="",Settings!$F$7&lt;&gt;"Y"),NA(),INDEX(Capability!$P$5:$P$54,$B$22)))</f>
        <v/>
      </c>
      <c r="DR39">
        <f>IF((DU$1+35)&gt;DS$1,NA(),(DU$1+35)-4)</f>
        <v/>
      </c>
      <c r="DS39">
        <f>IF((DU$1+35)&gt;DS$1,NA(),INDEX('Data Entry'!$H$5:$BE$10004,(DU$1+35)-4,$B$23))</f>
        <v/>
      </c>
      <c r="DT39">
        <f>IF(ISNA(DR39),NA(),INDEX(Capability!$K$5:$K$54,$B$23))</f>
        <v/>
      </c>
      <c r="DU39">
        <f>IF(ISNA(DR39),NA(),INDEX(Capability!$J$5:$J$54,$B$23))</f>
        <v/>
      </c>
      <c r="DV39">
        <f>IF(ISNA(DR39),NA(),INDEX(Capability!$L$5:$L$54,$B$23))</f>
        <v/>
      </c>
      <c r="DW39">
        <f>IF(OR(ISNA(DS39),ISNA(DS38)),NA(),ABS(DS39-DS38))</f>
        <v/>
      </c>
      <c r="DX39">
        <f>IF(ISNA(DR39),NA(),INDEX(Capability!$N$5:$N$54,$B$23))</f>
        <v/>
      </c>
      <c r="DY39">
        <f>IF(ISNA(DR39),NA(),IF(OR(INDEX(Capability!$Q$5:$Q$54,$B$23)="",Settings!$F$7&lt;&gt;"Y"),NA(),INDEX(Capability!$Q$5:$Q$54,$B$23)))</f>
        <v/>
      </c>
      <c r="DZ39">
        <f>IF(ISNA(DR39),NA(),IF(OR(INDEX(Capability!$P$5:$P$54,$B$23)="",Settings!$F$7&lt;&gt;"Y"),NA(),INDEX(Capability!$P$5:$P$54,$B$23)))</f>
        <v/>
      </c>
    </row>
    <row r="40">
      <c r="CB40">
        <f>IF((CE$1+36)&gt;CC$1,NA(),(CE$1+36)-4)</f>
        <v/>
      </c>
      <c r="CC40">
        <f>IF((CE$1+36)&gt;CC$1,NA(),INDEX('Data Entry'!$H$5:$BE$10004,(CE$1+36)-4,$B$20))</f>
        <v/>
      </c>
      <c r="CD40">
        <f>IF(ISNA(CB40),NA(),INDEX(Capability!$K$5:$K$54,$B$20))</f>
        <v/>
      </c>
      <c r="CE40">
        <f>IF(ISNA(CB40),NA(),INDEX(Capability!$J$5:$J$54,$B$20))</f>
        <v/>
      </c>
      <c r="CF40">
        <f>IF(ISNA(CB40),NA(),INDEX(Capability!$L$5:$L$54,$B$20))</f>
        <v/>
      </c>
      <c r="CG40">
        <f>IF(OR(ISNA(CC40),ISNA(CC39)),NA(),ABS(CC40-CC39))</f>
        <v/>
      </c>
      <c r="CH40">
        <f>IF(ISNA(CB40),NA(),INDEX(Capability!$N$5:$N$54,$B$20))</f>
        <v/>
      </c>
      <c r="CI40">
        <f>IF(ISNA(CB40),NA(),IF(OR(INDEX(Capability!$Q$5:$Q$54,$B$20)="",Settings!$F$7&lt;&gt;"Y"),NA(),INDEX(Capability!$Q$5:$Q$54,$B$20)))</f>
        <v/>
      </c>
      <c r="CJ40">
        <f>IF(ISNA(CB40),NA(),IF(OR(INDEX(Capability!$P$5:$P$54,$B$20)="",Settings!$F$7&lt;&gt;"Y"),NA(),INDEX(Capability!$P$5:$P$54,$B$20)))</f>
        <v/>
      </c>
      <c r="CP40">
        <f>IF((CS$1+36)&gt;CQ$1,NA(),(CS$1+36)-4)</f>
        <v/>
      </c>
      <c r="CQ40">
        <f>IF((CS$1+36)&gt;CQ$1,NA(),INDEX('Data Entry'!$H$5:$BE$10004,(CS$1+36)-4,$B$21))</f>
        <v/>
      </c>
      <c r="CR40">
        <f>IF(ISNA(CP40),NA(),INDEX(Capability!$K$5:$K$54,$B$21))</f>
        <v/>
      </c>
      <c r="CS40">
        <f>IF(ISNA(CP40),NA(),INDEX(Capability!$J$5:$J$54,$B$21))</f>
        <v/>
      </c>
      <c r="CT40">
        <f>IF(ISNA(CP40),NA(),INDEX(Capability!$L$5:$L$54,$B$21))</f>
        <v/>
      </c>
      <c r="CU40">
        <f>IF(OR(ISNA(CQ40),ISNA(CQ39)),NA(),ABS(CQ40-CQ39))</f>
        <v/>
      </c>
      <c r="CV40">
        <f>IF(ISNA(CP40),NA(),INDEX(Capability!$N$5:$N$54,$B$21))</f>
        <v/>
      </c>
      <c r="CW40">
        <f>IF(ISNA(CP40),NA(),IF(OR(INDEX(Capability!$Q$5:$Q$54,$B$21)="",Settings!$F$7&lt;&gt;"Y"),NA(),INDEX(Capability!$Q$5:$Q$54,$B$21)))</f>
        <v/>
      </c>
      <c r="CX40">
        <f>IF(ISNA(CP40),NA(),IF(OR(INDEX(Capability!$P$5:$P$54,$B$21)="",Settings!$F$7&lt;&gt;"Y"),NA(),INDEX(Capability!$P$5:$P$54,$B$21)))</f>
        <v/>
      </c>
      <c r="DD40">
        <f>IF((DG$1+36)&gt;DE$1,NA(),(DG$1+36)-4)</f>
        <v/>
      </c>
      <c r="DE40">
        <f>IF((DG$1+36)&gt;DE$1,NA(),INDEX('Data Entry'!$H$5:$BE$10004,(DG$1+36)-4,$B$22))</f>
        <v/>
      </c>
      <c r="DF40">
        <f>IF(ISNA(DD40),NA(),INDEX(Capability!$K$5:$K$54,$B$22))</f>
        <v/>
      </c>
      <c r="DG40">
        <f>IF(ISNA(DD40),NA(),INDEX(Capability!$J$5:$J$54,$B$22))</f>
        <v/>
      </c>
      <c r="DH40">
        <f>IF(ISNA(DD40),NA(),INDEX(Capability!$L$5:$L$54,$B$22))</f>
        <v/>
      </c>
      <c r="DI40">
        <f>IF(OR(ISNA(DE40),ISNA(DE39)),NA(),ABS(DE40-DE39))</f>
        <v/>
      </c>
      <c r="DJ40">
        <f>IF(ISNA(DD40),NA(),INDEX(Capability!$N$5:$N$54,$B$22))</f>
        <v/>
      </c>
      <c r="DK40">
        <f>IF(ISNA(DD40),NA(),IF(OR(INDEX(Capability!$Q$5:$Q$54,$B$22)="",Settings!$F$7&lt;&gt;"Y"),NA(),INDEX(Capability!$Q$5:$Q$54,$B$22)))</f>
        <v/>
      </c>
      <c r="DL40">
        <f>IF(ISNA(DD40),NA(),IF(OR(INDEX(Capability!$P$5:$P$54,$B$22)="",Settings!$F$7&lt;&gt;"Y"),NA(),INDEX(Capability!$P$5:$P$54,$B$22)))</f>
        <v/>
      </c>
      <c r="DR40">
        <f>IF((DU$1+36)&gt;DS$1,NA(),(DU$1+36)-4)</f>
        <v/>
      </c>
      <c r="DS40">
        <f>IF((DU$1+36)&gt;DS$1,NA(),INDEX('Data Entry'!$H$5:$BE$10004,(DU$1+36)-4,$B$23))</f>
        <v/>
      </c>
      <c r="DT40">
        <f>IF(ISNA(DR40),NA(),INDEX(Capability!$K$5:$K$54,$B$23))</f>
        <v/>
      </c>
      <c r="DU40">
        <f>IF(ISNA(DR40),NA(),INDEX(Capability!$J$5:$J$54,$B$23))</f>
        <v/>
      </c>
      <c r="DV40">
        <f>IF(ISNA(DR40),NA(),INDEX(Capability!$L$5:$L$54,$B$23))</f>
        <v/>
      </c>
      <c r="DW40">
        <f>IF(OR(ISNA(DS40),ISNA(DS39)),NA(),ABS(DS40-DS39))</f>
        <v/>
      </c>
      <c r="DX40">
        <f>IF(ISNA(DR40),NA(),INDEX(Capability!$N$5:$N$54,$B$23))</f>
        <v/>
      </c>
      <c r="DY40">
        <f>IF(ISNA(DR40),NA(),IF(OR(INDEX(Capability!$Q$5:$Q$54,$B$23)="",Settings!$F$7&lt;&gt;"Y"),NA(),INDEX(Capability!$Q$5:$Q$54,$B$23)))</f>
        <v/>
      </c>
      <c r="DZ40">
        <f>IF(ISNA(DR40),NA(),IF(OR(INDEX(Capability!$P$5:$P$54,$B$23)="",Settings!$F$7&lt;&gt;"Y"),NA(),INDEX(Capability!$P$5:$P$54,$B$23)))</f>
        <v/>
      </c>
    </row>
    <row r="41">
      <c r="CB41">
        <f>IF((CE$1+37)&gt;CC$1,NA(),(CE$1+37)-4)</f>
        <v/>
      </c>
      <c r="CC41">
        <f>IF((CE$1+37)&gt;CC$1,NA(),INDEX('Data Entry'!$H$5:$BE$10004,(CE$1+37)-4,$B$20))</f>
        <v/>
      </c>
      <c r="CD41">
        <f>IF(ISNA(CB41),NA(),INDEX(Capability!$K$5:$K$54,$B$20))</f>
        <v/>
      </c>
      <c r="CE41">
        <f>IF(ISNA(CB41),NA(),INDEX(Capability!$J$5:$J$54,$B$20))</f>
        <v/>
      </c>
      <c r="CF41">
        <f>IF(ISNA(CB41),NA(),INDEX(Capability!$L$5:$L$54,$B$20))</f>
        <v/>
      </c>
      <c r="CG41">
        <f>IF(OR(ISNA(CC41),ISNA(CC40)),NA(),ABS(CC41-CC40))</f>
        <v/>
      </c>
      <c r="CH41">
        <f>IF(ISNA(CB41),NA(),INDEX(Capability!$N$5:$N$54,$B$20))</f>
        <v/>
      </c>
      <c r="CI41">
        <f>IF(ISNA(CB41),NA(),IF(OR(INDEX(Capability!$Q$5:$Q$54,$B$20)="",Settings!$F$7&lt;&gt;"Y"),NA(),INDEX(Capability!$Q$5:$Q$54,$B$20)))</f>
        <v/>
      </c>
      <c r="CJ41">
        <f>IF(ISNA(CB41),NA(),IF(OR(INDEX(Capability!$P$5:$P$54,$B$20)="",Settings!$F$7&lt;&gt;"Y"),NA(),INDEX(Capability!$P$5:$P$54,$B$20)))</f>
        <v/>
      </c>
      <c r="CP41">
        <f>IF((CS$1+37)&gt;CQ$1,NA(),(CS$1+37)-4)</f>
        <v/>
      </c>
      <c r="CQ41">
        <f>IF((CS$1+37)&gt;CQ$1,NA(),INDEX('Data Entry'!$H$5:$BE$10004,(CS$1+37)-4,$B$21))</f>
        <v/>
      </c>
      <c r="CR41">
        <f>IF(ISNA(CP41),NA(),INDEX(Capability!$K$5:$K$54,$B$21))</f>
        <v/>
      </c>
      <c r="CS41">
        <f>IF(ISNA(CP41),NA(),INDEX(Capability!$J$5:$J$54,$B$21))</f>
        <v/>
      </c>
      <c r="CT41">
        <f>IF(ISNA(CP41),NA(),INDEX(Capability!$L$5:$L$54,$B$21))</f>
        <v/>
      </c>
      <c r="CU41">
        <f>IF(OR(ISNA(CQ41),ISNA(CQ40)),NA(),ABS(CQ41-CQ40))</f>
        <v/>
      </c>
      <c r="CV41">
        <f>IF(ISNA(CP41),NA(),INDEX(Capability!$N$5:$N$54,$B$21))</f>
        <v/>
      </c>
      <c r="CW41">
        <f>IF(ISNA(CP41),NA(),IF(OR(INDEX(Capability!$Q$5:$Q$54,$B$21)="",Settings!$F$7&lt;&gt;"Y"),NA(),INDEX(Capability!$Q$5:$Q$54,$B$21)))</f>
        <v/>
      </c>
      <c r="CX41">
        <f>IF(ISNA(CP41),NA(),IF(OR(INDEX(Capability!$P$5:$P$54,$B$21)="",Settings!$F$7&lt;&gt;"Y"),NA(),INDEX(Capability!$P$5:$P$54,$B$21)))</f>
        <v/>
      </c>
      <c r="DD41">
        <f>IF((DG$1+37)&gt;DE$1,NA(),(DG$1+37)-4)</f>
        <v/>
      </c>
      <c r="DE41">
        <f>IF((DG$1+37)&gt;DE$1,NA(),INDEX('Data Entry'!$H$5:$BE$10004,(DG$1+37)-4,$B$22))</f>
        <v/>
      </c>
      <c r="DF41">
        <f>IF(ISNA(DD41),NA(),INDEX(Capability!$K$5:$K$54,$B$22))</f>
        <v/>
      </c>
      <c r="DG41">
        <f>IF(ISNA(DD41),NA(),INDEX(Capability!$J$5:$J$54,$B$22))</f>
        <v/>
      </c>
      <c r="DH41">
        <f>IF(ISNA(DD41),NA(),INDEX(Capability!$L$5:$L$54,$B$22))</f>
        <v/>
      </c>
      <c r="DI41">
        <f>IF(OR(ISNA(DE41),ISNA(DE40)),NA(),ABS(DE41-DE40))</f>
        <v/>
      </c>
      <c r="DJ41">
        <f>IF(ISNA(DD41),NA(),INDEX(Capability!$N$5:$N$54,$B$22))</f>
        <v/>
      </c>
      <c r="DK41">
        <f>IF(ISNA(DD41),NA(),IF(OR(INDEX(Capability!$Q$5:$Q$54,$B$22)="",Settings!$F$7&lt;&gt;"Y"),NA(),INDEX(Capability!$Q$5:$Q$54,$B$22)))</f>
        <v/>
      </c>
      <c r="DL41">
        <f>IF(ISNA(DD41),NA(),IF(OR(INDEX(Capability!$P$5:$P$54,$B$22)="",Settings!$F$7&lt;&gt;"Y"),NA(),INDEX(Capability!$P$5:$P$54,$B$22)))</f>
        <v/>
      </c>
      <c r="DR41">
        <f>IF((DU$1+37)&gt;DS$1,NA(),(DU$1+37)-4)</f>
        <v/>
      </c>
      <c r="DS41">
        <f>IF((DU$1+37)&gt;DS$1,NA(),INDEX('Data Entry'!$H$5:$BE$10004,(DU$1+37)-4,$B$23))</f>
        <v/>
      </c>
      <c r="DT41">
        <f>IF(ISNA(DR41),NA(),INDEX(Capability!$K$5:$K$54,$B$23))</f>
        <v/>
      </c>
      <c r="DU41">
        <f>IF(ISNA(DR41),NA(),INDEX(Capability!$J$5:$J$54,$B$23))</f>
        <v/>
      </c>
      <c r="DV41">
        <f>IF(ISNA(DR41),NA(),INDEX(Capability!$L$5:$L$54,$B$23))</f>
        <v/>
      </c>
      <c r="DW41">
        <f>IF(OR(ISNA(DS41),ISNA(DS40)),NA(),ABS(DS41-DS40))</f>
        <v/>
      </c>
      <c r="DX41">
        <f>IF(ISNA(DR41),NA(),INDEX(Capability!$N$5:$N$54,$B$23))</f>
        <v/>
      </c>
      <c r="DY41">
        <f>IF(ISNA(DR41),NA(),IF(OR(INDEX(Capability!$Q$5:$Q$54,$B$23)="",Settings!$F$7&lt;&gt;"Y"),NA(),INDEX(Capability!$Q$5:$Q$54,$B$23)))</f>
        <v/>
      </c>
      <c r="DZ41">
        <f>IF(ISNA(DR41),NA(),IF(OR(INDEX(Capability!$P$5:$P$54,$B$23)="",Settings!$F$7&lt;&gt;"Y"),NA(),INDEX(Capability!$P$5:$P$54,$B$23)))</f>
        <v/>
      </c>
    </row>
    <row r="42">
      <c r="A42" s="34">
        <f>"SLOT 1: "&amp;IF(INDEX(Settings!$B$17:$B$66,$B$20)="","(unnamed)",INDEX(Settings!$B$17:$B$66,$B$20))</f>
        <v/>
      </c>
      <c r="B42" s="9" t="n"/>
      <c r="CB42">
        <f>IF((CE$1+38)&gt;CC$1,NA(),(CE$1+38)-4)</f>
        <v/>
      </c>
      <c r="CC42">
        <f>IF((CE$1+38)&gt;CC$1,NA(),INDEX('Data Entry'!$H$5:$BE$10004,(CE$1+38)-4,$B$20))</f>
        <v/>
      </c>
      <c r="CD42">
        <f>IF(ISNA(CB42),NA(),INDEX(Capability!$K$5:$K$54,$B$20))</f>
        <v/>
      </c>
      <c r="CE42">
        <f>IF(ISNA(CB42),NA(),INDEX(Capability!$J$5:$J$54,$B$20))</f>
        <v/>
      </c>
      <c r="CF42">
        <f>IF(ISNA(CB42),NA(),INDEX(Capability!$L$5:$L$54,$B$20))</f>
        <v/>
      </c>
      <c r="CG42">
        <f>IF(OR(ISNA(CC42),ISNA(CC41)),NA(),ABS(CC42-CC41))</f>
        <v/>
      </c>
      <c r="CH42">
        <f>IF(ISNA(CB42),NA(),INDEX(Capability!$N$5:$N$54,$B$20))</f>
        <v/>
      </c>
      <c r="CI42">
        <f>IF(ISNA(CB42),NA(),IF(OR(INDEX(Capability!$Q$5:$Q$54,$B$20)="",Settings!$F$7&lt;&gt;"Y"),NA(),INDEX(Capability!$Q$5:$Q$54,$B$20)))</f>
        <v/>
      </c>
      <c r="CJ42">
        <f>IF(ISNA(CB42),NA(),IF(OR(INDEX(Capability!$P$5:$P$54,$B$20)="",Settings!$F$7&lt;&gt;"Y"),NA(),INDEX(Capability!$P$5:$P$54,$B$20)))</f>
        <v/>
      </c>
      <c r="CP42">
        <f>IF((CS$1+38)&gt;CQ$1,NA(),(CS$1+38)-4)</f>
        <v/>
      </c>
      <c r="CQ42">
        <f>IF((CS$1+38)&gt;CQ$1,NA(),INDEX('Data Entry'!$H$5:$BE$10004,(CS$1+38)-4,$B$21))</f>
        <v/>
      </c>
      <c r="CR42">
        <f>IF(ISNA(CP42),NA(),INDEX(Capability!$K$5:$K$54,$B$21))</f>
        <v/>
      </c>
      <c r="CS42">
        <f>IF(ISNA(CP42),NA(),INDEX(Capability!$J$5:$J$54,$B$21))</f>
        <v/>
      </c>
      <c r="CT42">
        <f>IF(ISNA(CP42),NA(),INDEX(Capability!$L$5:$L$54,$B$21))</f>
        <v/>
      </c>
      <c r="CU42">
        <f>IF(OR(ISNA(CQ42),ISNA(CQ41)),NA(),ABS(CQ42-CQ41))</f>
        <v/>
      </c>
      <c r="CV42">
        <f>IF(ISNA(CP42),NA(),INDEX(Capability!$N$5:$N$54,$B$21))</f>
        <v/>
      </c>
      <c r="CW42">
        <f>IF(ISNA(CP42),NA(),IF(OR(INDEX(Capability!$Q$5:$Q$54,$B$21)="",Settings!$F$7&lt;&gt;"Y"),NA(),INDEX(Capability!$Q$5:$Q$54,$B$21)))</f>
        <v/>
      </c>
      <c r="CX42">
        <f>IF(ISNA(CP42),NA(),IF(OR(INDEX(Capability!$P$5:$P$54,$B$21)="",Settings!$F$7&lt;&gt;"Y"),NA(),INDEX(Capability!$P$5:$P$54,$B$21)))</f>
        <v/>
      </c>
      <c r="DD42">
        <f>IF((DG$1+38)&gt;DE$1,NA(),(DG$1+38)-4)</f>
        <v/>
      </c>
      <c r="DE42">
        <f>IF((DG$1+38)&gt;DE$1,NA(),INDEX('Data Entry'!$H$5:$BE$10004,(DG$1+38)-4,$B$22))</f>
        <v/>
      </c>
      <c r="DF42">
        <f>IF(ISNA(DD42),NA(),INDEX(Capability!$K$5:$K$54,$B$22))</f>
        <v/>
      </c>
      <c r="DG42">
        <f>IF(ISNA(DD42),NA(),INDEX(Capability!$J$5:$J$54,$B$22))</f>
        <v/>
      </c>
      <c r="DH42">
        <f>IF(ISNA(DD42),NA(),INDEX(Capability!$L$5:$L$54,$B$22))</f>
        <v/>
      </c>
      <c r="DI42">
        <f>IF(OR(ISNA(DE42),ISNA(DE41)),NA(),ABS(DE42-DE41))</f>
        <v/>
      </c>
      <c r="DJ42">
        <f>IF(ISNA(DD42),NA(),INDEX(Capability!$N$5:$N$54,$B$22))</f>
        <v/>
      </c>
      <c r="DK42">
        <f>IF(ISNA(DD42),NA(),IF(OR(INDEX(Capability!$Q$5:$Q$54,$B$22)="",Settings!$F$7&lt;&gt;"Y"),NA(),INDEX(Capability!$Q$5:$Q$54,$B$22)))</f>
        <v/>
      </c>
      <c r="DL42">
        <f>IF(ISNA(DD42),NA(),IF(OR(INDEX(Capability!$P$5:$P$54,$B$22)="",Settings!$F$7&lt;&gt;"Y"),NA(),INDEX(Capability!$P$5:$P$54,$B$22)))</f>
        <v/>
      </c>
      <c r="DR42">
        <f>IF((DU$1+38)&gt;DS$1,NA(),(DU$1+38)-4)</f>
        <v/>
      </c>
      <c r="DS42">
        <f>IF((DU$1+38)&gt;DS$1,NA(),INDEX('Data Entry'!$H$5:$BE$10004,(DU$1+38)-4,$B$23))</f>
        <v/>
      </c>
      <c r="DT42">
        <f>IF(ISNA(DR42),NA(),INDEX(Capability!$K$5:$K$54,$B$23))</f>
        <v/>
      </c>
      <c r="DU42">
        <f>IF(ISNA(DR42),NA(),INDEX(Capability!$J$5:$J$54,$B$23))</f>
        <v/>
      </c>
      <c r="DV42">
        <f>IF(ISNA(DR42),NA(),INDEX(Capability!$L$5:$L$54,$B$23))</f>
        <v/>
      </c>
      <c r="DW42">
        <f>IF(OR(ISNA(DS42),ISNA(DS41)),NA(),ABS(DS42-DS41))</f>
        <v/>
      </c>
      <c r="DX42">
        <f>IF(ISNA(DR42),NA(),INDEX(Capability!$N$5:$N$54,$B$23))</f>
        <v/>
      </c>
      <c r="DY42">
        <f>IF(ISNA(DR42),NA(),IF(OR(INDEX(Capability!$Q$5:$Q$54,$B$23)="",Settings!$F$7&lt;&gt;"Y"),NA(),INDEX(Capability!$Q$5:$Q$54,$B$23)))</f>
        <v/>
      </c>
      <c r="DZ42">
        <f>IF(ISNA(DR42),NA(),IF(OR(INDEX(Capability!$P$5:$P$54,$B$23)="",Settings!$F$7&lt;&gt;"Y"),NA(),INDEX(Capability!$P$5:$P$54,$B$23)))</f>
        <v/>
      </c>
    </row>
    <row r="43">
      <c r="A43" s="35" t="inlineStr">
        <is>
          <t>Feature</t>
        </is>
      </c>
      <c r="B43" s="36">
        <f>INDEX(Capability!$A$5:$A$54,$B$20)</f>
        <v/>
      </c>
      <c r="CB43">
        <f>IF((CE$1+39)&gt;CC$1,NA(),(CE$1+39)-4)</f>
        <v/>
      </c>
      <c r="CC43">
        <f>IF((CE$1+39)&gt;CC$1,NA(),INDEX('Data Entry'!$H$5:$BE$10004,(CE$1+39)-4,$B$20))</f>
        <v/>
      </c>
      <c r="CD43">
        <f>IF(ISNA(CB43),NA(),INDEX(Capability!$K$5:$K$54,$B$20))</f>
        <v/>
      </c>
      <c r="CE43">
        <f>IF(ISNA(CB43),NA(),INDEX(Capability!$J$5:$J$54,$B$20))</f>
        <v/>
      </c>
      <c r="CF43">
        <f>IF(ISNA(CB43),NA(),INDEX(Capability!$L$5:$L$54,$B$20))</f>
        <v/>
      </c>
      <c r="CG43">
        <f>IF(OR(ISNA(CC43),ISNA(CC42)),NA(),ABS(CC43-CC42))</f>
        <v/>
      </c>
      <c r="CH43">
        <f>IF(ISNA(CB43),NA(),INDEX(Capability!$N$5:$N$54,$B$20))</f>
        <v/>
      </c>
      <c r="CI43">
        <f>IF(ISNA(CB43),NA(),IF(OR(INDEX(Capability!$Q$5:$Q$54,$B$20)="",Settings!$F$7&lt;&gt;"Y"),NA(),INDEX(Capability!$Q$5:$Q$54,$B$20)))</f>
        <v/>
      </c>
      <c r="CJ43">
        <f>IF(ISNA(CB43),NA(),IF(OR(INDEX(Capability!$P$5:$P$54,$B$20)="",Settings!$F$7&lt;&gt;"Y"),NA(),INDEX(Capability!$P$5:$P$54,$B$20)))</f>
        <v/>
      </c>
      <c r="CP43">
        <f>IF((CS$1+39)&gt;CQ$1,NA(),(CS$1+39)-4)</f>
        <v/>
      </c>
      <c r="CQ43">
        <f>IF((CS$1+39)&gt;CQ$1,NA(),INDEX('Data Entry'!$H$5:$BE$10004,(CS$1+39)-4,$B$21))</f>
        <v/>
      </c>
      <c r="CR43">
        <f>IF(ISNA(CP43),NA(),INDEX(Capability!$K$5:$K$54,$B$21))</f>
        <v/>
      </c>
      <c r="CS43">
        <f>IF(ISNA(CP43),NA(),INDEX(Capability!$J$5:$J$54,$B$21))</f>
        <v/>
      </c>
      <c r="CT43">
        <f>IF(ISNA(CP43),NA(),INDEX(Capability!$L$5:$L$54,$B$21))</f>
        <v/>
      </c>
      <c r="CU43">
        <f>IF(OR(ISNA(CQ43),ISNA(CQ42)),NA(),ABS(CQ43-CQ42))</f>
        <v/>
      </c>
      <c r="CV43">
        <f>IF(ISNA(CP43),NA(),INDEX(Capability!$N$5:$N$54,$B$21))</f>
        <v/>
      </c>
      <c r="CW43">
        <f>IF(ISNA(CP43),NA(),IF(OR(INDEX(Capability!$Q$5:$Q$54,$B$21)="",Settings!$F$7&lt;&gt;"Y"),NA(),INDEX(Capability!$Q$5:$Q$54,$B$21)))</f>
        <v/>
      </c>
      <c r="CX43">
        <f>IF(ISNA(CP43),NA(),IF(OR(INDEX(Capability!$P$5:$P$54,$B$21)="",Settings!$F$7&lt;&gt;"Y"),NA(),INDEX(Capability!$P$5:$P$54,$B$21)))</f>
        <v/>
      </c>
      <c r="DD43">
        <f>IF((DG$1+39)&gt;DE$1,NA(),(DG$1+39)-4)</f>
        <v/>
      </c>
      <c r="DE43">
        <f>IF((DG$1+39)&gt;DE$1,NA(),INDEX('Data Entry'!$H$5:$BE$10004,(DG$1+39)-4,$B$22))</f>
        <v/>
      </c>
      <c r="DF43">
        <f>IF(ISNA(DD43),NA(),INDEX(Capability!$K$5:$K$54,$B$22))</f>
        <v/>
      </c>
      <c r="DG43">
        <f>IF(ISNA(DD43),NA(),INDEX(Capability!$J$5:$J$54,$B$22))</f>
        <v/>
      </c>
      <c r="DH43">
        <f>IF(ISNA(DD43),NA(),INDEX(Capability!$L$5:$L$54,$B$22))</f>
        <v/>
      </c>
      <c r="DI43">
        <f>IF(OR(ISNA(DE43),ISNA(DE42)),NA(),ABS(DE43-DE42))</f>
        <v/>
      </c>
      <c r="DJ43">
        <f>IF(ISNA(DD43),NA(),INDEX(Capability!$N$5:$N$54,$B$22))</f>
        <v/>
      </c>
      <c r="DK43">
        <f>IF(ISNA(DD43),NA(),IF(OR(INDEX(Capability!$Q$5:$Q$54,$B$22)="",Settings!$F$7&lt;&gt;"Y"),NA(),INDEX(Capability!$Q$5:$Q$54,$B$22)))</f>
        <v/>
      </c>
      <c r="DL43">
        <f>IF(ISNA(DD43),NA(),IF(OR(INDEX(Capability!$P$5:$P$54,$B$22)="",Settings!$F$7&lt;&gt;"Y"),NA(),INDEX(Capability!$P$5:$P$54,$B$22)))</f>
        <v/>
      </c>
      <c r="DR43">
        <f>IF((DU$1+39)&gt;DS$1,NA(),(DU$1+39)-4)</f>
        <v/>
      </c>
      <c r="DS43">
        <f>IF((DU$1+39)&gt;DS$1,NA(),INDEX('Data Entry'!$H$5:$BE$10004,(DU$1+39)-4,$B$23))</f>
        <v/>
      </c>
      <c r="DT43">
        <f>IF(ISNA(DR43),NA(),INDEX(Capability!$K$5:$K$54,$B$23))</f>
        <v/>
      </c>
      <c r="DU43">
        <f>IF(ISNA(DR43),NA(),INDEX(Capability!$J$5:$J$54,$B$23))</f>
        <v/>
      </c>
      <c r="DV43">
        <f>IF(ISNA(DR43),NA(),INDEX(Capability!$L$5:$L$54,$B$23))</f>
        <v/>
      </c>
      <c r="DW43">
        <f>IF(OR(ISNA(DS43),ISNA(DS42)),NA(),ABS(DS43-DS42))</f>
        <v/>
      </c>
      <c r="DX43">
        <f>IF(ISNA(DR43),NA(),INDEX(Capability!$N$5:$N$54,$B$23))</f>
        <v/>
      </c>
      <c r="DY43">
        <f>IF(ISNA(DR43),NA(),IF(OR(INDEX(Capability!$Q$5:$Q$54,$B$23)="",Settings!$F$7&lt;&gt;"Y"),NA(),INDEX(Capability!$Q$5:$Q$54,$B$23)))</f>
        <v/>
      </c>
      <c r="DZ43">
        <f>IF(ISNA(DR43),NA(),IF(OR(INDEX(Capability!$P$5:$P$54,$B$23)="",Settings!$F$7&lt;&gt;"Y"),NA(),INDEX(Capability!$P$5:$P$54,$B$23)))</f>
        <v/>
      </c>
    </row>
    <row r="44">
      <c r="A44" s="35" t="inlineStr">
        <is>
          <t>Unit</t>
        </is>
      </c>
      <c r="B44" s="36">
        <f>INDEX(Settings!$F$17:$F$66,$B$20)</f>
        <v/>
      </c>
      <c r="CB44">
        <f>IF((CE$1+40)&gt;CC$1,NA(),(CE$1+40)-4)</f>
        <v/>
      </c>
      <c r="CC44">
        <f>IF((CE$1+40)&gt;CC$1,NA(),INDEX('Data Entry'!$H$5:$BE$10004,(CE$1+40)-4,$B$20))</f>
        <v/>
      </c>
      <c r="CD44">
        <f>IF(ISNA(CB44),NA(),INDEX(Capability!$K$5:$K$54,$B$20))</f>
        <v/>
      </c>
      <c r="CE44">
        <f>IF(ISNA(CB44),NA(),INDEX(Capability!$J$5:$J$54,$B$20))</f>
        <v/>
      </c>
      <c r="CF44">
        <f>IF(ISNA(CB44),NA(),INDEX(Capability!$L$5:$L$54,$B$20))</f>
        <v/>
      </c>
      <c r="CG44">
        <f>IF(OR(ISNA(CC44),ISNA(CC43)),NA(),ABS(CC44-CC43))</f>
        <v/>
      </c>
      <c r="CH44">
        <f>IF(ISNA(CB44),NA(),INDEX(Capability!$N$5:$N$54,$B$20))</f>
        <v/>
      </c>
      <c r="CI44">
        <f>IF(ISNA(CB44),NA(),IF(OR(INDEX(Capability!$Q$5:$Q$54,$B$20)="",Settings!$F$7&lt;&gt;"Y"),NA(),INDEX(Capability!$Q$5:$Q$54,$B$20)))</f>
        <v/>
      </c>
      <c r="CJ44">
        <f>IF(ISNA(CB44),NA(),IF(OR(INDEX(Capability!$P$5:$P$54,$B$20)="",Settings!$F$7&lt;&gt;"Y"),NA(),INDEX(Capability!$P$5:$P$54,$B$20)))</f>
        <v/>
      </c>
      <c r="CP44">
        <f>IF((CS$1+40)&gt;CQ$1,NA(),(CS$1+40)-4)</f>
        <v/>
      </c>
      <c r="CQ44">
        <f>IF((CS$1+40)&gt;CQ$1,NA(),INDEX('Data Entry'!$H$5:$BE$10004,(CS$1+40)-4,$B$21))</f>
        <v/>
      </c>
      <c r="CR44">
        <f>IF(ISNA(CP44),NA(),INDEX(Capability!$K$5:$K$54,$B$21))</f>
        <v/>
      </c>
      <c r="CS44">
        <f>IF(ISNA(CP44),NA(),INDEX(Capability!$J$5:$J$54,$B$21))</f>
        <v/>
      </c>
      <c r="CT44">
        <f>IF(ISNA(CP44),NA(),INDEX(Capability!$L$5:$L$54,$B$21))</f>
        <v/>
      </c>
      <c r="CU44">
        <f>IF(OR(ISNA(CQ44),ISNA(CQ43)),NA(),ABS(CQ44-CQ43))</f>
        <v/>
      </c>
      <c r="CV44">
        <f>IF(ISNA(CP44),NA(),INDEX(Capability!$N$5:$N$54,$B$21))</f>
        <v/>
      </c>
      <c r="CW44">
        <f>IF(ISNA(CP44),NA(),IF(OR(INDEX(Capability!$Q$5:$Q$54,$B$21)="",Settings!$F$7&lt;&gt;"Y"),NA(),INDEX(Capability!$Q$5:$Q$54,$B$21)))</f>
        <v/>
      </c>
      <c r="CX44">
        <f>IF(ISNA(CP44),NA(),IF(OR(INDEX(Capability!$P$5:$P$54,$B$21)="",Settings!$F$7&lt;&gt;"Y"),NA(),INDEX(Capability!$P$5:$P$54,$B$21)))</f>
        <v/>
      </c>
      <c r="DD44">
        <f>IF((DG$1+40)&gt;DE$1,NA(),(DG$1+40)-4)</f>
        <v/>
      </c>
      <c r="DE44">
        <f>IF((DG$1+40)&gt;DE$1,NA(),INDEX('Data Entry'!$H$5:$BE$10004,(DG$1+40)-4,$B$22))</f>
        <v/>
      </c>
      <c r="DF44">
        <f>IF(ISNA(DD44),NA(),INDEX(Capability!$K$5:$K$54,$B$22))</f>
        <v/>
      </c>
      <c r="DG44">
        <f>IF(ISNA(DD44),NA(),INDEX(Capability!$J$5:$J$54,$B$22))</f>
        <v/>
      </c>
      <c r="DH44">
        <f>IF(ISNA(DD44),NA(),INDEX(Capability!$L$5:$L$54,$B$22))</f>
        <v/>
      </c>
      <c r="DI44">
        <f>IF(OR(ISNA(DE44),ISNA(DE43)),NA(),ABS(DE44-DE43))</f>
        <v/>
      </c>
      <c r="DJ44">
        <f>IF(ISNA(DD44),NA(),INDEX(Capability!$N$5:$N$54,$B$22))</f>
        <v/>
      </c>
      <c r="DK44">
        <f>IF(ISNA(DD44),NA(),IF(OR(INDEX(Capability!$Q$5:$Q$54,$B$22)="",Settings!$F$7&lt;&gt;"Y"),NA(),INDEX(Capability!$Q$5:$Q$54,$B$22)))</f>
        <v/>
      </c>
      <c r="DL44">
        <f>IF(ISNA(DD44),NA(),IF(OR(INDEX(Capability!$P$5:$P$54,$B$22)="",Settings!$F$7&lt;&gt;"Y"),NA(),INDEX(Capability!$P$5:$P$54,$B$22)))</f>
        <v/>
      </c>
      <c r="DR44">
        <f>IF((DU$1+40)&gt;DS$1,NA(),(DU$1+40)-4)</f>
        <v/>
      </c>
      <c r="DS44">
        <f>IF((DU$1+40)&gt;DS$1,NA(),INDEX('Data Entry'!$H$5:$BE$10004,(DU$1+40)-4,$B$23))</f>
        <v/>
      </c>
      <c r="DT44">
        <f>IF(ISNA(DR44),NA(),INDEX(Capability!$K$5:$K$54,$B$23))</f>
        <v/>
      </c>
      <c r="DU44">
        <f>IF(ISNA(DR44),NA(),INDEX(Capability!$J$5:$J$54,$B$23))</f>
        <v/>
      </c>
      <c r="DV44">
        <f>IF(ISNA(DR44),NA(),INDEX(Capability!$L$5:$L$54,$B$23))</f>
        <v/>
      </c>
      <c r="DW44">
        <f>IF(OR(ISNA(DS44),ISNA(DS43)),NA(),ABS(DS44-DS43))</f>
        <v/>
      </c>
      <c r="DX44">
        <f>IF(ISNA(DR44),NA(),INDEX(Capability!$N$5:$N$54,$B$23))</f>
        <v/>
      </c>
      <c r="DY44">
        <f>IF(ISNA(DR44),NA(),IF(OR(INDEX(Capability!$Q$5:$Q$54,$B$23)="",Settings!$F$7&lt;&gt;"Y"),NA(),INDEX(Capability!$Q$5:$Q$54,$B$23)))</f>
        <v/>
      </c>
      <c r="DZ44">
        <f>IF(ISNA(DR44),NA(),IF(OR(INDEX(Capability!$P$5:$P$54,$B$23)="",Settings!$F$7&lt;&gt;"Y"),NA(),INDEX(Capability!$P$5:$P$54,$B$23)))</f>
        <v/>
      </c>
    </row>
    <row r="45">
      <c r="A45" s="35" t="inlineStr">
        <is>
          <t>Samples (n)</t>
        </is>
      </c>
      <c r="B45" s="22">
        <f>INDEX(Capability!$B$5:$B$54,$B$20)</f>
        <v/>
      </c>
      <c r="CB45">
        <f>IF((CE$1+41)&gt;CC$1,NA(),(CE$1+41)-4)</f>
        <v/>
      </c>
      <c r="CC45">
        <f>IF((CE$1+41)&gt;CC$1,NA(),INDEX('Data Entry'!$H$5:$BE$10004,(CE$1+41)-4,$B$20))</f>
        <v/>
      </c>
      <c r="CD45">
        <f>IF(ISNA(CB45),NA(),INDEX(Capability!$K$5:$K$54,$B$20))</f>
        <v/>
      </c>
      <c r="CE45">
        <f>IF(ISNA(CB45),NA(),INDEX(Capability!$J$5:$J$54,$B$20))</f>
        <v/>
      </c>
      <c r="CF45">
        <f>IF(ISNA(CB45),NA(),INDEX(Capability!$L$5:$L$54,$B$20))</f>
        <v/>
      </c>
      <c r="CG45">
        <f>IF(OR(ISNA(CC45),ISNA(CC44)),NA(),ABS(CC45-CC44))</f>
        <v/>
      </c>
      <c r="CH45">
        <f>IF(ISNA(CB45),NA(),INDEX(Capability!$N$5:$N$54,$B$20))</f>
        <v/>
      </c>
      <c r="CI45">
        <f>IF(ISNA(CB45),NA(),IF(OR(INDEX(Capability!$Q$5:$Q$54,$B$20)="",Settings!$F$7&lt;&gt;"Y"),NA(),INDEX(Capability!$Q$5:$Q$54,$B$20)))</f>
        <v/>
      </c>
      <c r="CJ45">
        <f>IF(ISNA(CB45),NA(),IF(OR(INDEX(Capability!$P$5:$P$54,$B$20)="",Settings!$F$7&lt;&gt;"Y"),NA(),INDEX(Capability!$P$5:$P$54,$B$20)))</f>
        <v/>
      </c>
      <c r="CP45">
        <f>IF((CS$1+41)&gt;CQ$1,NA(),(CS$1+41)-4)</f>
        <v/>
      </c>
      <c r="CQ45">
        <f>IF((CS$1+41)&gt;CQ$1,NA(),INDEX('Data Entry'!$H$5:$BE$10004,(CS$1+41)-4,$B$21))</f>
        <v/>
      </c>
      <c r="CR45">
        <f>IF(ISNA(CP45),NA(),INDEX(Capability!$K$5:$K$54,$B$21))</f>
        <v/>
      </c>
      <c r="CS45">
        <f>IF(ISNA(CP45),NA(),INDEX(Capability!$J$5:$J$54,$B$21))</f>
        <v/>
      </c>
      <c r="CT45">
        <f>IF(ISNA(CP45),NA(),INDEX(Capability!$L$5:$L$54,$B$21))</f>
        <v/>
      </c>
      <c r="CU45">
        <f>IF(OR(ISNA(CQ45),ISNA(CQ44)),NA(),ABS(CQ45-CQ44))</f>
        <v/>
      </c>
      <c r="CV45">
        <f>IF(ISNA(CP45),NA(),INDEX(Capability!$N$5:$N$54,$B$21))</f>
        <v/>
      </c>
      <c r="CW45">
        <f>IF(ISNA(CP45),NA(),IF(OR(INDEX(Capability!$Q$5:$Q$54,$B$21)="",Settings!$F$7&lt;&gt;"Y"),NA(),INDEX(Capability!$Q$5:$Q$54,$B$21)))</f>
        <v/>
      </c>
      <c r="CX45">
        <f>IF(ISNA(CP45),NA(),IF(OR(INDEX(Capability!$P$5:$P$54,$B$21)="",Settings!$F$7&lt;&gt;"Y"),NA(),INDEX(Capability!$P$5:$P$54,$B$21)))</f>
        <v/>
      </c>
      <c r="DD45">
        <f>IF((DG$1+41)&gt;DE$1,NA(),(DG$1+41)-4)</f>
        <v/>
      </c>
      <c r="DE45">
        <f>IF((DG$1+41)&gt;DE$1,NA(),INDEX('Data Entry'!$H$5:$BE$10004,(DG$1+41)-4,$B$22))</f>
        <v/>
      </c>
      <c r="DF45">
        <f>IF(ISNA(DD45),NA(),INDEX(Capability!$K$5:$K$54,$B$22))</f>
        <v/>
      </c>
      <c r="DG45">
        <f>IF(ISNA(DD45),NA(),INDEX(Capability!$J$5:$J$54,$B$22))</f>
        <v/>
      </c>
      <c r="DH45">
        <f>IF(ISNA(DD45),NA(),INDEX(Capability!$L$5:$L$54,$B$22))</f>
        <v/>
      </c>
      <c r="DI45">
        <f>IF(OR(ISNA(DE45),ISNA(DE44)),NA(),ABS(DE45-DE44))</f>
        <v/>
      </c>
      <c r="DJ45">
        <f>IF(ISNA(DD45),NA(),INDEX(Capability!$N$5:$N$54,$B$22))</f>
        <v/>
      </c>
      <c r="DK45">
        <f>IF(ISNA(DD45),NA(),IF(OR(INDEX(Capability!$Q$5:$Q$54,$B$22)="",Settings!$F$7&lt;&gt;"Y"),NA(),INDEX(Capability!$Q$5:$Q$54,$B$22)))</f>
        <v/>
      </c>
      <c r="DL45">
        <f>IF(ISNA(DD45),NA(),IF(OR(INDEX(Capability!$P$5:$P$54,$B$22)="",Settings!$F$7&lt;&gt;"Y"),NA(),INDEX(Capability!$P$5:$P$54,$B$22)))</f>
        <v/>
      </c>
      <c r="DR45">
        <f>IF((DU$1+41)&gt;DS$1,NA(),(DU$1+41)-4)</f>
        <v/>
      </c>
      <c r="DS45">
        <f>IF((DU$1+41)&gt;DS$1,NA(),INDEX('Data Entry'!$H$5:$BE$10004,(DU$1+41)-4,$B$23))</f>
        <v/>
      </c>
      <c r="DT45">
        <f>IF(ISNA(DR45),NA(),INDEX(Capability!$K$5:$K$54,$B$23))</f>
        <v/>
      </c>
      <c r="DU45">
        <f>IF(ISNA(DR45),NA(),INDEX(Capability!$J$5:$J$54,$B$23))</f>
        <v/>
      </c>
      <c r="DV45">
        <f>IF(ISNA(DR45),NA(),INDEX(Capability!$L$5:$L$54,$B$23))</f>
        <v/>
      </c>
      <c r="DW45">
        <f>IF(OR(ISNA(DS45),ISNA(DS44)),NA(),ABS(DS45-DS44))</f>
        <v/>
      </c>
      <c r="DX45">
        <f>IF(ISNA(DR45),NA(),INDEX(Capability!$N$5:$N$54,$B$23))</f>
        <v/>
      </c>
      <c r="DY45">
        <f>IF(ISNA(DR45),NA(),IF(OR(INDEX(Capability!$Q$5:$Q$54,$B$23)="",Settings!$F$7&lt;&gt;"Y"),NA(),INDEX(Capability!$Q$5:$Q$54,$B$23)))</f>
        <v/>
      </c>
      <c r="DZ45">
        <f>IF(ISNA(DR45),NA(),IF(OR(INDEX(Capability!$P$5:$P$54,$B$23)="",Settings!$F$7&lt;&gt;"Y"),NA(),INDEX(Capability!$P$5:$P$54,$B$23)))</f>
        <v/>
      </c>
    </row>
    <row r="46">
      <c r="A46" s="37" t="inlineStr">
        <is>
          <t>DATA RANGE</t>
        </is>
      </c>
      <c r="B46" s="28" t="n"/>
      <c r="CB46">
        <f>IF((CE$1+42)&gt;CC$1,NA(),(CE$1+42)-4)</f>
        <v/>
      </c>
      <c r="CC46">
        <f>IF((CE$1+42)&gt;CC$1,NA(),INDEX('Data Entry'!$H$5:$BE$10004,(CE$1+42)-4,$B$20))</f>
        <v/>
      </c>
      <c r="CD46">
        <f>IF(ISNA(CB46),NA(),INDEX(Capability!$K$5:$K$54,$B$20))</f>
        <v/>
      </c>
      <c r="CE46">
        <f>IF(ISNA(CB46),NA(),INDEX(Capability!$J$5:$J$54,$B$20))</f>
        <v/>
      </c>
      <c r="CF46">
        <f>IF(ISNA(CB46),NA(),INDEX(Capability!$L$5:$L$54,$B$20))</f>
        <v/>
      </c>
      <c r="CG46">
        <f>IF(OR(ISNA(CC46),ISNA(CC45)),NA(),ABS(CC46-CC45))</f>
        <v/>
      </c>
      <c r="CH46">
        <f>IF(ISNA(CB46),NA(),INDEX(Capability!$N$5:$N$54,$B$20))</f>
        <v/>
      </c>
      <c r="CI46">
        <f>IF(ISNA(CB46),NA(),IF(OR(INDEX(Capability!$Q$5:$Q$54,$B$20)="",Settings!$F$7&lt;&gt;"Y"),NA(),INDEX(Capability!$Q$5:$Q$54,$B$20)))</f>
        <v/>
      </c>
      <c r="CJ46">
        <f>IF(ISNA(CB46),NA(),IF(OR(INDEX(Capability!$P$5:$P$54,$B$20)="",Settings!$F$7&lt;&gt;"Y"),NA(),INDEX(Capability!$P$5:$P$54,$B$20)))</f>
        <v/>
      </c>
      <c r="CP46">
        <f>IF((CS$1+42)&gt;CQ$1,NA(),(CS$1+42)-4)</f>
        <v/>
      </c>
      <c r="CQ46">
        <f>IF((CS$1+42)&gt;CQ$1,NA(),INDEX('Data Entry'!$H$5:$BE$10004,(CS$1+42)-4,$B$21))</f>
        <v/>
      </c>
      <c r="CR46">
        <f>IF(ISNA(CP46),NA(),INDEX(Capability!$K$5:$K$54,$B$21))</f>
        <v/>
      </c>
      <c r="CS46">
        <f>IF(ISNA(CP46),NA(),INDEX(Capability!$J$5:$J$54,$B$21))</f>
        <v/>
      </c>
      <c r="CT46">
        <f>IF(ISNA(CP46),NA(),INDEX(Capability!$L$5:$L$54,$B$21))</f>
        <v/>
      </c>
      <c r="CU46">
        <f>IF(OR(ISNA(CQ46),ISNA(CQ45)),NA(),ABS(CQ46-CQ45))</f>
        <v/>
      </c>
      <c r="CV46">
        <f>IF(ISNA(CP46),NA(),INDEX(Capability!$N$5:$N$54,$B$21))</f>
        <v/>
      </c>
      <c r="CW46">
        <f>IF(ISNA(CP46),NA(),IF(OR(INDEX(Capability!$Q$5:$Q$54,$B$21)="",Settings!$F$7&lt;&gt;"Y"),NA(),INDEX(Capability!$Q$5:$Q$54,$B$21)))</f>
        <v/>
      </c>
      <c r="CX46">
        <f>IF(ISNA(CP46),NA(),IF(OR(INDEX(Capability!$P$5:$P$54,$B$21)="",Settings!$F$7&lt;&gt;"Y"),NA(),INDEX(Capability!$P$5:$P$54,$B$21)))</f>
        <v/>
      </c>
      <c r="DD46">
        <f>IF((DG$1+42)&gt;DE$1,NA(),(DG$1+42)-4)</f>
        <v/>
      </c>
      <c r="DE46">
        <f>IF((DG$1+42)&gt;DE$1,NA(),INDEX('Data Entry'!$H$5:$BE$10004,(DG$1+42)-4,$B$22))</f>
        <v/>
      </c>
      <c r="DF46">
        <f>IF(ISNA(DD46),NA(),INDEX(Capability!$K$5:$K$54,$B$22))</f>
        <v/>
      </c>
      <c r="DG46">
        <f>IF(ISNA(DD46),NA(),INDEX(Capability!$J$5:$J$54,$B$22))</f>
        <v/>
      </c>
      <c r="DH46">
        <f>IF(ISNA(DD46),NA(),INDEX(Capability!$L$5:$L$54,$B$22))</f>
        <v/>
      </c>
      <c r="DI46">
        <f>IF(OR(ISNA(DE46),ISNA(DE45)),NA(),ABS(DE46-DE45))</f>
        <v/>
      </c>
      <c r="DJ46">
        <f>IF(ISNA(DD46),NA(),INDEX(Capability!$N$5:$N$54,$B$22))</f>
        <v/>
      </c>
      <c r="DK46">
        <f>IF(ISNA(DD46),NA(),IF(OR(INDEX(Capability!$Q$5:$Q$54,$B$22)="",Settings!$F$7&lt;&gt;"Y"),NA(),INDEX(Capability!$Q$5:$Q$54,$B$22)))</f>
        <v/>
      </c>
      <c r="DL46">
        <f>IF(ISNA(DD46),NA(),IF(OR(INDEX(Capability!$P$5:$P$54,$B$22)="",Settings!$F$7&lt;&gt;"Y"),NA(),INDEX(Capability!$P$5:$P$54,$B$22)))</f>
        <v/>
      </c>
      <c r="DR46">
        <f>IF((DU$1+42)&gt;DS$1,NA(),(DU$1+42)-4)</f>
        <v/>
      </c>
      <c r="DS46">
        <f>IF((DU$1+42)&gt;DS$1,NA(),INDEX('Data Entry'!$H$5:$BE$10004,(DU$1+42)-4,$B$23))</f>
        <v/>
      </c>
      <c r="DT46">
        <f>IF(ISNA(DR46),NA(),INDEX(Capability!$K$5:$K$54,$B$23))</f>
        <v/>
      </c>
      <c r="DU46">
        <f>IF(ISNA(DR46),NA(),INDEX(Capability!$J$5:$J$54,$B$23))</f>
        <v/>
      </c>
      <c r="DV46">
        <f>IF(ISNA(DR46),NA(),INDEX(Capability!$L$5:$L$54,$B$23))</f>
        <v/>
      </c>
      <c r="DW46">
        <f>IF(OR(ISNA(DS46),ISNA(DS45)),NA(),ABS(DS46-DS45))</f>
        <v/>
      </c>
      <c r="DX46">
        <f>IF(ISNA(DR46),NA(),INDEX(Capability!$N$5:$N$54,$B$23))</f>
        <v/>
      </c>
      <c r="DY46">
        <f>IF(ISNA(DR46),NA(),IF(OR(INDEX(Capability!$Q$5:$Q$54,$B$23)="",Settings!$F$7&lt;&gt;"Y"),NA(),INDEX(Capability!$Q$5:$Q$54,$B$23)))</f>
        <v/>
      </c>
      <c r="DZ46">
        <f>IF(ISNA(DR46),NA(),IF(OR(INDEX(Capability!$P$5:$P$54,$B$23)="",Settings!$F$7&lt;&gt;"Y"),NA(),INDEX(Capability!$P$5:$P$54,$B$23)))</f>
        <v/>
      </c>
    </row>
    <row r="47">
      <c r="A47" s="35" t="inlineStr">
        <is>
          <t>Min</t>
        </is>
      </c>
      <c r="B47" s="23">
        <f>INDEX(Capability!$E$5:$E$54,$B$20)</f>
        <v/>
      </c>
      <c r="CB47">
        <f>IF((CE$1+43)&gt;CC$1,NA(),(CE$1+43)-4)</f>
        <v/>
      </c>
      <c r="CC47">
        <f>IF((CE$1+43)&gt;CC$1,NA(),INDEX('Data Entry'!$H$5:$BE$10004,(CE$1+43)-4,$B$20))</f>
        <v/>
      </c>
      <c r="CD47">
        <f>IF(ISNA(CB47),NA(),INDEX(Capability!$K$5:$K$54,$B$20))</f>
        <v/>
      </c>
      <c r="CE47">
        <f>IF(ISNA(CB47),NA(),INDEX(Capability!$J$5:$J$54,$B$20))</f>
        <v/>
      </c>
      <c r="CF47">
        <f>IF(ISNA(CB47),NA(),INDEX(Capability!$L$5:$L$54,$B$20))</f>
        <v/>
      </c>
      <c r="CG47">
        <f>IF(OR(ISNA(CC47),ISNA(CC46)),NA(),ABS(CC47-CC46))</f>
        <v/>
      </c>
      <c r="CH47">
        <f>IF(ISNA(CB47),NA(),INDEX(Capability!$N$5:$N$54,$B$20))</f>
        <v/>
      </c>
      <c r="CI47">
        <f>IF(ISNA(CB47),NA(),IF(OR(INDEX(Capability!$Q$5:$Q$54,$B$20)="",Settings!$F$7&lt;&gt;"Y"),NA(),INDEX(Capability!$Q$5:$Q$54,$B$20)))</f>
        <v/>
      </c>
      <c r="CJ47">
        <f>IF(ISNA(CB47),NA(),IF(OR(INDEX(Capability!$P$5:$P$54,$B$20)="",Settings!$F$7&lt;&gt;"Y"),NA(),INDEX(Capability!$P$5:$P$54,$B$20)))</f>
        <v/>
      </c>
      <c r="CP47">
        <f>IF((CS$1+43)&gt;CQ$1,NA(),(CS$1+43)-4)</f>
        <v/>
      </c>
      <c r="CQ47">
        <f>IF((CS$1+43)&gt;CQ$1,NA(),INDEX('Data Entry'!$H$5:$BE$10004,(CS$1+43)-4,$B$21))</f>
        <v/>
      </c>
      <c r="CR47">
        <f>IF(ISNA(CP47),NA(),INDEX(Capability!$K$5:$K$54,$B$21))</f>
        <v/>
      </c>
      <c r="CS47">
        <f>IF(ISNA(CP47),NA(),INDEX(Capability!$J$5:$J$54,$B$21))</f>
        <v/>
      </c>
      <c r="CT47">
        <f>IF(ISNA(CP47),NA(),INDEX(Capability!$L$5:$L$54,$B$21))</f>
        <v/>
      </c>
      <c r="CU47">
        <f>IF(OR(ISNA(CQ47),ISNA(CQ46)),NA(),ABS(CQ47-CQ46))</f>
        <v/>
      </c>
      <c r="CV47">
        <f>IF(ISNA(CP47),NA(),INDEX(Capability!$N$5:$N$54,$B$21))</f>
        <v/>
      </c>
      <c r="CW47">
        <f>IF(ISNA(CP47),NA(),IF(OR(INDEX(Capability!$Q$5:$Q$54,$B$21)="",Settings!$F$7&lt;&gt;"Y"),NA(),INDEX(Capability!$Q$5:$Q$54,$B$21)))</f>
        <v/>
      </c>
      <c r="CX47">
        <f>IF(ISNA(CP47),NA(),IF(OR(INDEX(Capability!$P$5:$P$54,$B$21)="",Settings!$F$7&lt;&gt;"Y"),NA(),INDEX(Capability!$P$5:$P$54,$B$21)))</f>
        <v/>
      </c>
      <c r="DD47">
        <f>IF((DG$1+43)&gt;DE$1,NA(),(DG$1+43)-4)</f>
        <v/>
      </c>
      <c r="DE47">
        <f>IF((DG$1+43)&gt;DE$1,NA(),INDEX('Data Entry'!$H$5:$BE$10004,(DG$1+43)-4,$B$22))</f>
        <v/>
      </c>
      <c r="DF47">
        <f>IF(ISNA(DD47),NA(),INDEX(Capability!$K$5:$K$54,$B$22))</f>
        <v/>
      </c>
      <c r="DG47">
        <f>IF(ISNA(DD47),NA(),INDEX(Capability!$J$5:$J$54,$B$22))</f>
        <v/>
      </c>
      <c r="DH47">
        <f>IF(ISNA(DD47),NA(),INDEX(Capability!$L$5:$L$54,$B$22))</f>
        <v/>
      </c>
      <c r="DI47">
        <f>IF(OR(ISNA(DE47),ISNA(DE46)),NA(),ABS(DE47-DE46))</f>
        <v/>
      </c>
      <c r="DJ47">
        <f>IF(ISNA(DD47),NA(),INDEX(Capability!$N$5:$N$54,$B$22))</f>
        <v/>
      </c>
      <c r="DK47">
        <f>IF(ISNA(DD47),NA(),IF(OR(INDEX(Capability!$Q$5:$Q$54,$B$22)="",Settings!$F$7&lt;&gt;"Y"),NA(),INDEX(Capability!$Q$5:$Q$54,$B$22)))</f>
        <v/>
      </c>
      <c r="DL47">
        <f>IF(ISNA(DD47),NA(),IF(OR(INDEX(Capability!$P$5:$P$54,$B$22)="",Settings!$F$7&lt;&gt;"Y"),NA(),INDEX(Capability!$P$5:$P$54,$B$22)))</f>
        <v/>
      </c>
      <c r="DR47">
        <f>IF((DU$1+43)&gt;DS$1,NA(),(DU$1+43)-4)</f>
        <v/>
      </c>
      <c r="DS47">
        <f>IF((DU$1+43)&gt;DS$1,NA(),INDEX('Data Entry'!$H$5:$BE$10004,(DU$1+43)-4,$B$23))</f>
        <v/>
      </c>
      <c r="DT47">
        <f>IF(ISNA(DR47),NA(),INDEX(Capability!$K$5:$K$54,$B$23))</f>
        <v/>
      </c>
      <c r="DU47">
        <f>IF(ISNA(DR47),NA(),INDEX(Capability!$J$5:$J$54,$B$23))</f>
        <v/>
      </c>
      <c r="DV47">
        <f>IF(ISNA(DR47),NA(),INDEX(Capability!$L$5:$L$54,$B$23))</f>
        <v/>
      </c>
      <c r="DW47">
        <f>IF(OR(ISNA(DS47),ISNA(DS46)),NA(),ABS(DS47-DS46))</f>
        <v/>
      </c>
      <c r="DX47">
        <f>IF(ISNA(DR47),NA(),INDEX(Capability!$N$5:$N$54,$B$23))</f>
        <v/>
      </c>
      <c r="DY47">
        <f>IF(ISNA(DR47),NA(),IF(OR(INDEX(Capability!$Q$5:$Q$54,$B$23)="",Settings!$F$7&lt;&gt;"Y"),NA(),INDEX(Capability!$Q$5:$Q$54,$B$23)))</f>
        <v/>
      </c>
      <c r="DZ47">
        <f>IF(ISNA(DR47),NA(),IF(OR(INDEX(Capability!$P$5:$P$54,$B$23)="",Settings!$F$7&lt;&gt;"Y"),NA(),INDEX(Capability!$P$5:$P$54,$B$23)))</f>
        <v/>
      </c>
    </row>
    <row r="48">
      <c r="A48" s="35" t="inlineStr">
        <is>
          <t>Max</t>
        </is>
      </c>
      <c r="B48" s="23">
        <f>INDEX(Capability!$F$5:$F$54,$B$20)</f>
        <v/>
      </c>
      <c r="CB48">
        <f>IF((CE$1+44)&gt;CC$1,NA(),(CE$1+44)-4)</f>
        <v/>
      </c>
      <c r="CC48">
        <f>IF((CE$1+44)&gt;CC$1,NA(),INDEX('Data Entry'!$H$5:$BE$10004,(CE$1+44)-4,$B$20))</f>
        <v/>
      </c>
      <c r="CD48">
        <f>IF(ISNA(CB48),NA(),INDEX(Capability!$K$5:$K$54,$B$20))</f>
        <v/>
      </c>
      <c r="CE48">
        <f>IF(ISNA(CB48),NA(),INDEX(Capability!$J$5:$J$54,$B$20))</f>
        <v/>
      </c>
      <c r="CF48">
        <f>IF(ISNA(CB48),NA(),INDEX(Capability!$L$5:$L$54,$B$20))</f>
        <v/>
      </c>
      <c r="CG48">
        <f>IF(OR(ISNA(CC48),ISNA(CC47)),NA(),ABS(CC48-CC47))</f>
        <v/>
      </c>
      <c r="CH48">
        <f>IF(ISNA(CB48),NA(),INDEX(Capability!$N$5:$N$54,$B$20))</f>
        <v/>
      </c>
      <c r="CI48">
        <f>IF(ISNA(CB48),NA(),IF(OR(INDEX(Capability!$Q$5:$Q$54,$B$20)="",Settings!$F$7&lt;&gt;"Y"),NA(),INDEX(Capability!$Q$5:$Q$54,$B$20)))</f>
        <v/>
      </c>
      <c r="CJ48">
        <f>IF(ISNA(CB48),NA(),IF(OR(INDEX(Capability!$P$5:$P$54,$B$20)="",Settings!$F$7&lt;&gt;"Y"),NA(),INDEX(Capability!$P$5:$P$54,$B$20)))</f>
        <v/>
      </c>
      <c r="CP48">
        <f>IF((CS$1+44)&gt;CQ$1,NA(),(CS$1+44)-4)</f>
        <v/>
      </c>
      <c r="CQ48">
        <f>IF((CS$1+44)&gt;CQ$1,NA(),INDEX('Data Entry'!$H$5:$BE$10004,(CS$1+44)-4,$B$21))</f>
        <v/>
      </c>
      <c r="CR48">
        <f>IF(ISNA(CP48),NA(),INDEX(Capability!$K$5:$K$54,$B$21))</f>
        <v/>
      </c>
      <c r="CS48">
        <f>IF(ISNA(CP48),NA(),INDEX(Capability!$J$5:$J$54,$B$21))</f>
        <v/>
      </c>
      <c r="CT48">
        <f>IF(ISNA(CP48),NA(),INDEX(Capability!$L$5:$L$54,$B$21))</f>
        <v/>
      </c>
      <c r="CU48">
        <f>IF(OR(ISNA(CQ48),ISNA(CQ47)),NA(),ABS(CQ48-CQ47))</f>
        <v/>
      </c>
      <c r="CV48">
        <f>IF(ISNA(CP48),NA(),INDEX(Capability!$N$5:$N$54,$B$21))</f>
        <v/>
      </c>
      <c r="CW48">
        <f>IF(ISNA(CP48),NA(),IF(OR(INDEX(Capability!$Q$5:$Q$54,$B$21)="",Settings!$F$7&lt;&gt;"Y"),NA(),INDEX(Capability!$Q$5:$Q$54,$B$21)))</f>
        <v/>
      </c>
      <c r="CX48">
        <f>IF(ISNA(CP48),NA(),IF(OR(INDEX(Capability!$P$5:$P$54,$B$21)="",Settings!$F$7&lt;&gt;"Y"),NA(),INDEX(Capability!$P$5:$P$54,$B$21)))</f>
        <v/>
      </c>
      <c r="DD48">
        <f>IF((DG$1+44)&gt;DE$1,NA(),(DG$1+44)-4)</f>
        <v/>
      </c>
      <c r="DE48">
        <f>IF((DG$1+44)&gt;DE$1,NA(),INDEX('Data Entry'!$H$5:$BE$10004,(DG$1+44)-4,$B$22))</f>
        <v/>
      </c>
      <c r="DF48">
        <f>IF(ISNA(DD48),NA(),INDEX(Capability!$K$5:$K$54,$B$22))</f>
        <v/>
      </c>
      <c r="DG48">
        <f>IF(ISNA(DD48),NA(),INDEX(Capability!$J$5:$J$54,$B$22))</f>
        <v/>
      </c>
      <c r="DH48">
        <f>IF(ISNA(DD48),NA(),INDEX(Capability!$L$5:$L$54,$B$22))</f>
        <v/>
      </c>
      <c r="DI48">
        <f>IF(OR(ISNA(DE48),ISNA(DE47)),NA(),ABS(DE48-DE47))</f>
        <v/>
      </c>
      <c r="DJ48">
        <f>IF(ISNA(DD48),NA(),INDEX(Capability!$N$5:$N$54,$B$22))</f>
        <v/>
      </c>
      <c r="DK48">
        <f>IF(ISNA(DD48),NA(),IF(OR(INDEX(Capability!$Q$5:$Q$54,$B$22)="",Settings!$F$7&lt;&gt;"Y"),NA(),INDEX(Capability!$Q$5:$Q$54,$B$22)))</f>
        <v/>
      </c>
      <c r="DL48">
        <f>IF(ISNA(DD48),NA(),IF(OR(INDEX(Capability!$P$5:$P$54,$B$22)="",Settings!$F$7&lt;&gt;"Y"),NA(),INDEX(Capability!$P$5:$P$54,$B$22)))</f>
        <v/>
      </c>
      <c r="DR48">
        <f>IF((DU$1+44)&gt;DS$1,NA(),(DU$1+44)-4)</f>
        <v/>
      </c>
      <c r="DS48">
        <f>IF((DU$1+44)&gt;DS$1,NA(),INDEX('Data Entry'!$H$5:$BE$10004,(DU$1+44)-4,$B$23))</f>
        <v/>
      </c>
      <c r="DT48">
        <f>IF(ISNA(DR48),NA(),INDEX(Capability!$K$5:$K$54,$B$23))</f>
        <v/>
      </c>
      <c r="DU48">
        <f>IF(ISNA(DR48),NA(),INDEX(Capability!$J$5:$J$54,$B$23))</f>
        <v/>
      </c>
      <c r="DV48">
        <f>IF(ISNA(DR48),NA(),INDEX(Capability!$L$5:$L$54,$B$23))</f>
        <v/>
      </c>
      <c r="DW48">
        <f>IF(OR(ISNA(DS48),ISNA(DS47)),NA(),ABS(DS48-DS47))</f>
        <v/>
      </c>
      <c r="DX48">
        <f>IF(ISNA(DR48),NA(),INDEX(Capability!$N$5:$N$54,$B$23))</f>
        <v/>
      </c>
      <c r="DY48">
        <f>IF(ISNA(DR48),NA(),IF(OR(INDEX(Capability!$Q$5:$Q$54,$B$23)="",Settings!$F$7&lt;&gt;"Y"),NA(),INDEX(Capability!$Q$5:$Q$54,$B$23)))</f>
        <v/>
      </c>
      <c r="DZ48">
        <f>IF(ISNA(DR48),NA(),IF(OR(INDEX(Capability!$P$5:$P$54,$B$23)="",Settings!$F$7&lt;&gt;"Y"),NA(),INDEX(Capability!$P$5:$P$54,$B$23)))</f>
        <v/>
      </c>
    </row>
    <row r="49">
      <c r="A49" s="35" t="inlineStr">
        <is>
          <t>Range</t>
        </is>
      </c>
      <c r="B49" s="23">
        <f>INDEX(Capability!$G$5:$G$54,$B$20)</f>
        <v/>
      </c>
      <c r="CB49">
        <f>IF((CE$1+45)&gt;CC$1,NA(),(CE$1+45)-4)</f>
        <v/>
      </c>
      <c r="CC49">
        <f>IF((CE$1+45)&gt;CC$1,NA(),INDEX('Data Entry'!$H$5:$BE$10004,(CE$1+45)-4,$B$20))</f>
        <v/>
      </c>
      <c r="CD49">
        <f>IF(ISNA(CB49),NA(),INDEX(Capability!$K$5:$K$54,$B$20))</f>
        <v/>
      </c>
      <c r="CE49">
        <f>IF(ISNA(CB49),NA(),INDEX(Capability!$J$5:$J$54,$B$20))</f>
        <v/>
      </c>
      <c r="CF49">
        <f>IF(ISNA(CB49),NA(),INDEX(Capability!$L$5:$L$54,$B$20))</f>
        <v/>
      </c>
      <c r="CG49">
        <f>IF(OR(ISNA(CC49),ISNA(CC48)),NA(),ABS(CC49-CC48))</f>
        <v/>
      </c>
      <c r="CH49">
        <f>IF(ISNA(CB49),NA(),INDEX(Capability!$N$5:$N$54,$B$20))</f>
        <v/>
      </c>
      <c r="CI49">
        <f>IF(ISNA(CB49),NA(),IF(OR(INDEX(Capability!$Q$5:$Q$54,$B$20)="",Settings!$F$7&lt;&gt;"Y"),NA(),INDEX(Capability!$Q$5:$Q$54,$B$20)))</f>
        <v/>
      </c>
      <c r="CJ49">
        <f>IF(ISNA(CB49),NA(),IF(OR(INDEX(Capability!$P$5:$P$54,$B$20)="",Settings!$F$7&lt;&gt;"Y"),NA(),INDEX(Capability!$P$5:$P$54,$B$20)))</f>
        <v/>
      </c>
      <c r="CP49">
        <f>IF((CS$1+45)&gt;CQ$1,NA(),(CS$1+45)-4)</f>
        <v/>
      </c>
      <c r="CQ49">
        <f>IF((CS$1+45)&gt;CQ$1,NA(),INDEX('Data Entry'!$H$5:$BE$10004,(CS$1+45)-4,$B$21))</f>
        <v/>
      </c>
      <c r="CR49">
        <f>IF(ISNA(CP49),NA(),INDEX(Capability!$K$5:$K$54,$B$21))</f>
        <v/>
      </c>
      <c r="CS49">
        <f>IF(ISNA(CP49),NA(),INDEX(Capability!$J$5:$J$54,$B$21))</f>
        <v/>
      </c>
      <c r="CT49">
        <f>IF(ISNA(CP49),NA(),INDEX(Capability!$L$5:$L$54,$B$21))</f>
        <v/>
      </c>
      <c r="CU49">
        <f>IF(OR(ISNA(CQ49),ISNA(CQ48)),NA(),ABS(CQ49-CQ48))</f>
        <v/>
      </c>
      <c r="CV49">
        <f>IF(ISNA(CP49),NA(),INDEX(Capability!$N$5:$N$54,$B$21))</f>
        <v/>
      </c>
      <c r="CW49">
        <f>IF(ISNA(CP49),NA(),IF(OR(INDEX(Capability!$Q$5:$Q$54,$B$21)="",Settings!$F$7&lt;&gt;"Y"),NA(),INDEX(Capability!$Q$5:$Q$54,$B$21)))</f>
        <v/>
      </c>
      <c r="CX49">
        <f>IF(ISNA(CP49),NA(),IF(OR(INDEX(Capability!$P$5:$P$54,$B$21)="",Settings!$F$7&lt;&gt;"Y"),NA(),INDEX(Capability!$P$5:$P$54,$B$21)))</f>
        <v/>
      </c>
      <c r="DD49">
        <f>IF((DG$1+45)&gt;DE$1,NA(),(DG$1+45)-4)</f>
        <v/>
      </c>
      <c r="DE49">
        <f>IF((DG$1+45)&gt;DE$1,NA(),INDEX('Data Entry'!$H$5:$BE$10004,(DG$1+45)-4,$B$22))</f>
        <v/>
      </c>
      <c r="DF49">
        <f>IF(ISNA(DD49),NA(),INDEX(Capability!$K$5:$K$54,$B$22))</f>
        <v/>
      </c>
      <c r="DG49">
        <f>IF(ISNA(DD49),NA(),INDEX(Capability!$J$5:$J$54,$B$22))</f>
        <v/>
      </c>
      <c r="DH49">
        <f>IF(ISNA(DD49),NA(),INDEX(Capability!$L$5:$L$54,$B$22))</f>
        <v/>
      </c>
      <c r="DI49">
        <f>IF(OR(ISNA(DE49),ISNA(DE48)),NA(),ABS(DE49-DE48))</f>
        <v/>
      </c>
      <c r="DJ49">
        <f>IF(ISNA(DD49),NA(),INDEX(Capability!$N$5:$N$54,$B$22))</f>
        <v/>
      </c>
      <c r="DK49">
        <f>IF(ISNA(DD49),NA(),IF(OR(INDEX(Capability!$Q$5:$Q$54,$B$22)="",Settings!$F$7&lt;&gt;"Y"),NA(),INDEX(Capability!$Q$5:$Q$54,$B$22)))</f>
        <v/>
      </c>
      <c r="DL49">
        <f>IF(ISNA(DD49),NA(),IF(OR(INDEX(Capability!$P$5:$P$54,$B$22)="",Settings!$F$7&lt;&gt;"Y"),NA(),INDEX(Capability!$P$5:$P$54,$B$22)))</f>
        <v/>
      </c>
      <c r="DR49">
        <f>IF((DU$1+45)&gt;DS$1,NA(),(DU$1+45)-4)</f>
        <v/>
      </c>
      <c r="DS49">
        <f>IF((DU$1+45)&gt;DS$1,NA(),INDEX('Data Entry'!$H$5:$BE$10004,(DU$1+45)-4,$B$23))</f>
        <v/>
      </c>
      <c r="DT49">
        <f>IF(ISNA(DR49),NA(),INDEX(Capability!$K$5:$K$54,$B$23))</f>
        <v/>
      </c>
      <c r="DU49">
        <f>IF(ISNA(DR49),NA(),INDEX(Capability!$J$5:$J$54,$B$23))</f>
        <v/>
      </c>
      <c r="DV49">
        <f>IF(ISNA(DR49),NA(),INDEX(Capability!$L$5:$L$54,$B$23))</f>
        <v/>
      </c>
      <c r="DW49">
        <f>IF(OR(ISNA(DS49),ISNA(DS48)),NA(),ABS(DS49-DS48))</f>
        <v/>
      </c>
      <c r="DX49">
        <f>IF(ISNA(DR49),NA(),INDEX(Capability!$N$5:$N$54,$B$23))</f>
        <v/>
      </c>
      <c r="DY49">
        <f>IF(ISNA(DR49),NA(),IF(OR(INDEX(Capability!$Q$5:$Q$54,$B$23)="",Settings!$F$7&lt;&gt;"Y"),NA(),INDEX(Capability!$Q$5:$Q$54,$B$23)))</f>
        <v/>
      </c>
      <c r="DZ49">
        <f>IF(ISNA(DR49),NA(),IF(OR(INDEX(Capability!$P$5:$P$54,$B$23)="",Settings!$F$7&lt;&gt;"Y"),NA(),INDEX(Capability!$P$5:$P$54,$B$23)))</f>
        <v/>
      </c>
    </row>
    <row r="50">
      <c r="A50" s="35" t="inlineStr">
        <is>
          <t>Mean</t>
        </is>
      </c>
      <c r="B50" s="23">
        <f>INDEX(Capability!$C$5:$C$54,$B$20)</f>
        <v/>
      </c>
      <c r="CB50">
        <f>IF((CE$1+46)&gt;CC$1,NA(),(CE$1+46)-4)</f>
        <v/>
      </c>
      <c r="CC50">
        <f>IF((CE$1+46)&gt;CC$1,NA(),INDEX('Data Entry'!$H$5:$BE$10004,(CE$1+46)-4,$B$20))</f>
        <v/>
      </c>
      <c r="CD50">
        <f>IF(ISNA(CB50),NA(),INDEX(Capability!$K$5:$K$54,$B$20))</f>
        <v/>
      </c>
      <c r="CE50">
        <f>IF(ISNA(CB50),NA(),INDEX(Capability!$J$5:$J$54,$B$20))</f>
        <v/>
      </c>
      <c r="CF50">
        <f>IF(ISNA(CB50),NA(),INDEX(Capability!$L$5:$L$54,$B$20))</f>
        <v/>
      </c>
      <c r="CG50">
        <f>IF(OR(ISNA(CC50),ISNA(CC49)),NA(),ABS(CC50-CC49))</f>
        <v/>
      </c>
      <c r="CH50">
        <f>IF(ISNA(CB50),NA(),INDEX(Capability!$N$5:$N$54,$B$20))</f>
        <v/>
      </c>
      <c r="CI50">
        <f>IF(ISNA(CB50),NA(),IF(OR(INDEX(Capability!$Q$5:$Q$54,$B$20)="",Settings!$F$7&lt;&gt;"Y"),NA(),INDEX(Capability!$Q$5:$Q$54,$B$20)))</f>
        <v/>
      </c>
      <c r="CJ50">
        <f>IF(ISNA(CB50),NA(),IF(OR(INDEX(Capability!$P$5:$P$54,$B$20)="",Settings!$F$7&lt;&gt;"Y"),NA(),INDEX(Capability!$P$5:$P$54,$B$20)))</f>
        <v/>
      </c>
      <c r="CP50">
        <f>IF((CS$1+46)&gt;CQ$1,NA(),(CS$1+46)-4)</f>
        <v/>
      </c>
      <c r="CQ50">
        <f>IF((CS$1+46)&gt;CQ$1,NA(),INDEX('Data Entry'!$H$5:$BE$10004,(CS$1+46)-4,$B$21))</f>
        <v/>
      </c>
      <c r="CR50">
        <f>IF(ISNA(CP50),NA(),INDEX(Capability!$K$5:$K$54,$B$21))</f>
        <v/>
      </c>
      <c r="CS50">
        <f>IF(ISNA(CP50),NA(),INDEX(Capability!$J$5:$J$54,$B$21))</f>
        <v/>
      </c>
      <c r="CT50">
        <f>IF(ISNA(CP50),NA(),INDEX(Capability!$L$5:$L$54,$B$21))</f>
        <v/>
      </c>
      <c r="CU50">
        <f>IF(OR(ISNA(CQ50),ISNA(CQ49)),NA(),ABS(CQ50-CQ49))</f>
        <v/>
      </c>
      <c r="CV50">
        <f>IF(ISNA(CP50),NA(),INDEX(Capability!$N$5:$N$54,$B$21))</f>
        <v/>
      </c>
      <c r="CW50">
        <f>IF(ISNA(CP50),NA(),IF(OR(INDEX(Capability!$Q$5:$Q$54,$B$21)="",Settings!$F$7&lt;&gt;"Y"),NA(),INDEX(Capability!$Q$5:$Q$54,$B$21)))</f>
        <v/>
      </c>
      <c r="CX50">
        <f>IF(ISNA(CP50),NA(),IF(OR(INDEX(Capability!$P$5:$P$54,$B$21)="",Settings!$F$7&lt;&gt;"Y"),NA(),INDEX(Capability!$P$5:$P$54,$B$21)))</f>
        <v/>
      </c>
      <c r="DD50">
        <f>IF((DG$1+46)&gt;DE$1,NA(),(DG$1+46)-4)</f>
        <v/>
      </c>
      <c r="DE50">
        <f>IF((DG$1+46)&gt;DE$1,NA(),INDEX('Data Entry'!$H$5:$BE$10004,(DG$1+46)-4,$B$22))</f>
        <v/>
      </c>
      <c r="DF50">
        <f>IF(ISNA(DD50),NA(),INDEX(Capability!$K$5:$K$54,$B$22))</f>
        <v/>
      </c>
      <c r="DG50">
        <f>IF(ISNA(DD50),NA(),INDEX(Capability!$J$5:$J$54,$B$22))</f>
        <v/>
      </c>
      <c r="DH50">
        <f>IF(ISNA(DD50),NA(),INDEX(Capability!$L$5:$L$54,$B$22))</f>
        <v/>
      </c>
      <c r="DI50">
        <f>IF(OR(ISNA(DE50),ISNA(DE49)),NA(),ABS(DE50-DE49))</f>
        <v/>
      </c>
      <c r="DJ50">
        <f>IF(ISNA(DD50),NA(),INDEX(Capability!$N$5:$N$54,$B$22))</f>
        <v/>
      </c>
      <c r="DK50">
        <f>IF(ISNA(DD50),NA(),IF(OR(INDEX(Capability!$Q$5:$Q$54,$B$22)="",Settings!$F$7&lt;&gt;"Y"),NA(),INDEX(Capability!$Q$5:$Q$54,$B$22)))</f>
        <v/>
      </c>
      <c r="DL50">
        <f>IF(ISNA(DD50),NA(),IF(OR(INDEX(Capability!$P$5:$P$54,$B$22)="",Settings!$F$7&lt;&gt;"Y"),NA(),INDEX(Capability!$P$5:$P$54,$B$22)))</f>
        <v/>
      </c>
      <c r="DR50">
        <f>IF((DU$1+46)&gt;DS$1,NA(),(DU$1+46)-4)</f>
        <v/>
      </c>
      <c r="DS50">
        <f>IF((DU$1+46)&gt;DS$1,NA(),INDEX('Data Entry'!$H$5:$BE$10004,(DU$1+46)-4,$B$23))</f>
        <v/>
      </c>
      <c r="DT50">
        <f>IF(ISNA(DR50),NA(),INDEX(Capability!$K$5:$K$54,$B$23))</f>
        <v/>
      </c>
      <c r="DU50">
        <f>IF(ISNA(DR50),NA(),INDEX(Capability!$J$5:$J$54,$B$23))</f>
        <v/>
      </c>
      <c r="DV50">
        <f>IF(ISNA(DR50),NA(),INDEX(Capability!$L$5:$L$54,$B$23))</f>
        <v/>
      </c>
      <c r="DW50">
        <f>IF(OR(ISNA(DS50),ISNA(DS49)),NA(),ABS(DS50-DS49))</f>
        <v/>
      </c>
      <c r="DX50">
        <f>IF(ISNA(DR50),NA(),INDEX(Capability!$N$5:$N$54,$B$23))</f>
        <v/>
      </c>
      <c r="DY50">
        <f>IF(ISNA(DR50),NA(),IF(OR(INDEX(Capability!$Q$5:$Q$54,$B$23)="",Settings!$F$7&lt;&gt;"Y"),NA(),INDEX(Capability!$Q$5:$Q$54,$B$23)))</f>
        <v/>
      </c>
      <c r="DZ50">
        <f>IF(ISNA(DR50),NA(),IF(OR(INDEX(Capability!$P$5:$P$54,$B$23)="",Settings!$F$7&lt;&gt;"Y"),NA(),INDEX(Capability!$P$5:$P$54,$B$23)))</f>
        <v/>
      </c>
    </row>
    <row r="51">
      <c r="A51" s="35" t="inlineStr">
        <is>
          <t>Median</t>
        </is>
      </c>
      <c r="B51" s="23">
        <f>INDEX(Capability!$D$5:$D$54,$B$20)</f>
        <v/>
      </c>
      <c r="CB51">
        <f>IF((CE$1+47)&gt;CC$1,NA(),(CE$1+47)-4)</f>
        <v/>
      </c>
      <c r="CC51">
        <f>IF((CE$1+47)&gt;CC$1,NA(),INDEX('Data Entry'!$H$5:$BE$10004,(CE$1+47)-4,$B$20))</f>
        <v/>
      </c>
      <c r="CD51">
        <f>IF(ISNA(CB51),NA(),INDEX(Capability!$K$5:$K$54,$B$20))</f>
        <v/>
      </c>
      <c r="CE51">
        <f>IF(ISNA(CB51),NA(),INDEX(Capability!$J$5:$J$54,$B$20))</f>
        <v/>
      </c>
      <c r="CF51">
        <f>IF(ISNA(CB51),NA(),INDEX(Capability!$L$5:$L$54,$B$20))</f>
        <v/>
      </c>
      <c r="CG51">
        <f>IF(OR(ISNA(CC51),ISNA(CC50)),NA(),ABS(CC51-CC50))</f>
        <v/>
      </c>
      <c r="CH51">
        <f>IF(ISNA(CB51),NA(),INDEX(Capability!$N$5:$N$54,$B$20))</f>
        <v/>
      </c>
      <c r="CI51">
        <f>IF(ISNA(CB51),NA(),IF(OR(INDEX(Capability!$Q$5:$Q$54,$B$20)="",Settings!$F$7&lt;&gt;"Y"),NA(),INDEX(Capability!$Q$5:$Q$54,$B$20)))</f>
        <v/>
      </c>
      <c r="CJ51">
        <f>IF(ISNA(CB51),NA(),IF(OR(INDEX(Capability!$P$5:$P$54,$B$20)="",Settings!$F$7&lt;&gt;"Y"),NA(),INDEX(Capability!$P$5:$P$54,$B$20)))</f>
        <v/>
      </c>
      <c r="CP51">
        <f>IF((CS$1+47)&gt;CQ$1,NA(),(CS$1+47)-4)</f>
        <v/>
      </c>
      <c r="CQ51">
        <f>IF((CS$1+47)&gt;CQ$1,NA(),INDEX('Data Entry'!$H$5:$BE$10004,(CS$1+47)-4,$B$21))</f>
        <v/>
      </c>
      <c r="CR51">
        <f>IF(ISNA(CP51),NA(),INDEX(Capability!$K$5:$K$54,$B$21))</f>
        <v/>
      </c>
      <c r="CS51">
        <f>IF(ISNA(CP51),NA(),INDEX(Capability!$J$5:$J$54,$B$21))</f>
        <v/>
      </c>
      <c r="CT51">
        <f>IF(ISNA(CP51),NA(),INDEX(Capability!$L$5:$L$54,$B$21))</f>
        <v/>
      </c>
      <c r="CU51">
        <f>IF(OR(ISNA(CQ51),ISNA(CQ50)),NA(),ABS(CQ51-CQ50))</f>
        <v/>
      </c>
      <c r="CV51">
        <f>IF(ISNA(CP51),NA(),INDEX(Capability!$N$5:$N$54,$B$21))</f>
        <v/>
      </c>
      <c r="CW51">
        <f>IF(ISNA(CP51),NA(),IF(OR(INDEX(Capability!$Q$5:$Q$54,$B$21)="",Settings!$F$7&lt;&gt;"Y"),NA(),INDEX(Capability!$Q$5:$Q$54,$B$21)))</f>
        <v/>
      </c>
      <c r="CX51">
        <f>IF(ISNA(CP51),NA(),IF(OR(INDEX(Capability!$P$5:$P$54,$B$21)="",Settings!$F$7&lt;&gt;"Y"),NA(),INDEX(Capability!$P$5:$P$54,$B$21)))</f>
        <v/>
      </c>
      <c r="DD51">
        <f>IF((DG$1+47)&gt;DE$1,NA(),(DG$1+47)-4)</f>
        <v/>
      </c>
      <c r="DE51">
        <f>IF((DG$1+47)&gt;DE$1,NA(),INDEX('Data Entry'!$H$5:$BE$10004,(DG$1+47)-4,$B$22))</f>
        <v/>
      </c>
      <c r="DF51">
        <f>IF(ISNA(DD51),NA(),INDEX(Capability!$K$5:$K$54,$B$22))</f>
        <v/>
      </c>
      <c r="DG51">
        <f>IF(ISNA(DD51),NA(),INDEX(Capability!$J$5:$J$54,$B$22))</f>
        <v/>
      </c>
      <c r="DH51">
        <f>IF(ISNA(DD51),NA(),INDEX(Capability!$L$5:$L$54,$B$22))</f>
        <v/>
      </c>
      <c r="DI51">
        <f>IF(OR(ISNA(DE51),ISNA(DE50)),NA(),ABS(DE51-DE50))</f>
        <v/>
      </c>
      <c r="DJ51">
        <f>IF(ISNA(DD51),NA(),INDEX(Capability!$N$5:$N$54,$B$22))</f>
        <v/>
      </c>
      <c r="DK51">
        <f>IF(ISNA(DD51),NA(),IF(OR(INDEX(Capability!$Q$5:$Q$54,$B$22)="",Settings!$F$7&lt;&gt;"Y"),NA(),INDEX(Capability!$Q$5:$Q$54,$B$22)))</f>
        <v/>
      </c>
      <c r="DL51">
        <f>IF(ISNA(DD51),NA(),IF(OR(INDEX(Capability!$P$5:$P$54,$B$22)="",Settings!$F$7&lt;&gt;"Y"),NA(),INDEX(Capability!$P$5:$P$54,$B$22)))</f>
        <v/>
      </c>
      <c r="DR51">
        <f>IF((DU$1+47)&gt;DS$1,NA(),(DU$1+47)-4)</f>
        <v/>
      </c>
      <c r="DS51">
        <f>IF((DU$1+47)&gt;DS$1,NA(),INDEX('Data Entry'!$H$5:$BE$10004,(DU$1+47)-4,$B$23))</f>
        <v/>
      </c>
      <c r="DT51">
        <f>IF(ISNA(DR51),NA(),INDEX(Capability!$K$5:$K$54,$B$23))</f>
        <v/>
      </c>
      <c r="DU51">
        <f>IF(ISNA(DR51),NA(),INDEX(Capability!$J$5:$J$54,$B$23))</f>
        <v/>
      </c>
      <c r="DV51">
        <f>IF(ISNA(DR51),NA(),INDEX(Capability!$L$5:$L$54,$B$23))</f>
        <v/>
      </c>
      <c r="DW51">
        <f>IF(OR(ISNA(DS51),ISNA(DS50)),NA(),ABS(DS51-DS50))</f>
        <v/>
      </c>
      <c r="DX51">
        <f>IF(ISNA(DR51),NA(),INDEX(Capability!$N$5:$N$54,$B$23))</f>
        <v/>
      </c>
      <c r="DY51">
        <f>IF(ISNA(DR51),NA(),IF(OR(INDEX(Capability!$Q$5:$Q$54,$B$23)="",Settings!$F$7&lt;&gt;"Y"),NA(),INDEX(Capability!$Q$5:$Q$54,$B$23)))</f>
        <v/>
      </c>
      <c r="DZ51">
        <f>IF(ISNA(DR51),NA(),IF(OR(INDEX(Capability!$P$5:$P$54,$B$23)="",Settings!$F$7&lt;&gt;"Y"),NA(),INDEX(Capability!$P$5:$P$54,$B$23)))</f>
        <v/>
      </c>
    </row>
    <row r="52">
      <c r="A52" s="35" t="inlineStr">
        <is>
          <t>Std Dev (overall)</t>
        </is>
      </c>
      <c r="B52" s="23">
        <f>INDEX(Capability!$I$5:$I$54,$B$20)</f>
        <v/>
      </c>
      <c r="CB52">
        <f>IF((CE$1+48)&gt;CC$1,NA(),(CE$1+48)-4)</f>
        <v/>
      </c>
      <c r="CC52">
        <f>IF((CE$1+48)&gt;CC$1,NA(),INDEX('Data Entry'!$H$5:$BE$10004,(CE$1+48)-4,$B$20))</f>
        <v/>
      </c>
      <c r="CD52">
        <f>IF(ISNA(CB52),NA(),INDEX(Capability!$K$5:$K$54,$B$20))</f>
        <v/>
      </c>
      <c r="CE52">
        <f>IF(ISNA(CB52),NA(),INDEX(Capability!$J$5:$J$54,$B$20))</f>
        <v/>
      </c>
      <c r="CF52">
        <f>IF(ISNA(CB52),NA(),INDEX(Capability!$L$5:$L$54,$B$20))</f>
        <v/>
      </c>
      <c r="CG52">
        <f>IF(OR(ISNA(CC52),ISNA(CC51)),NA(),ABS(CC52-CC51))</f>
        <v/>
      </c>
      <c r="CH52">
        <f>IF(ISNA(CB52),NA(),INDEX(Capability!$N$5:$N$54,$B$20))</f>
        <v/>
      </c>
      <c r="CI52">
        <f>IF(ISNA(CB52),NA(),IF(OR(INDEX(Capability!$Q$5:$Q$54,$B$20)="",Settings!$F$7&lt;&gt;"Y"),NA(),INDEX(Capability!$Q$5:$Q$54,$B$20)))</f>
        <v/>
      </c>
      <c r="CJ52">
        <f>IF(ISNA(CB52),NA(),IF(OR(INDEX(Capability!$P$5:$P$54,$B$20)="",Settings!$F$7&lt;&gt;"Y"),NA(),INDEX(Capability!$P$5:$P$54,$B$20)))</f>
        <v/>
      </c>
      <c r="CP52">
        <f>IF((CS$1+48)&gt;CQ$1,NA(),(CS$1+48)-4)</f>
        <v/>
      </c>
      <c r="CQ52">
        <f>IF((CS$1+48)&gt;CQ$1,NA(),INDEX('Data Entry'!$H$5:$BE$10004,(CS$1+48)-4,$B$21))</f>
        <v/>
      </c>
      <c r="CR52">
        <f>IF(ISNA(CP52),NA(),INDEX(Capability!$K$5:$K$54,$B$21))</f>
        <v/>
      </c>
      <c r="CS52">
        <f>IF(ISNA(CP52),NA(),INDEX(Capability!$J$5:$J$54,$B$21))</f>
        <v/>
      </c>
      <c r="CT52">
        <f>IF(ISNA(CP52),NA(),INDEX(Capability!$L$5:$L$54,$B$21))</f>
        <v/>
      </c>
      <c r="CU52">
        <f>IF(OR(ISNA(CQ52),ISNA(CQ51)),NA(),ABS(CQ52-CQ51))</f>
        <v/>
      </c>
      <c r="CV52">
        <f>IF(ISNA(CP52),NA(),INDEX(Capability!$N$5:$N$54,$B$21))</f>
        <v/>
      </c>
      <c r="CW52">
        <f>IF(ISNA(CP52),NA(),IF(OR(INDEX(Capability!$Q$5:$Q$54,$B$21)="",Settings!$F$7&lt;&gt;"Y"),NA(),INDEX(Capability!$Q$5:$Q$54,$B$21)))</f>
        <v/>
      </c>
      <c r="CX52">
        <f>IF(ISNA(CP52),NA(),IF(OR(INDEX(Capability!$P$5:$P$54,$B$21)="",Settings!$F$7&lt;&gt;"Y"),NA(),INDEX(Capability!$P$5:$P$54,$B$21)))</f>
        <v/>
      </c>
      <c r="DD52">
        <f>IF((DG$1+48)&gt;DE$1,NA(),(DG$1+48)-4)</f>
        <v/>
      </c>
      <c r="DE52">
        <f>IF((DG$1+48)&gt;DE$1,NA(),INDEX('Data Entry'!$H$5:$BE$10004,(DG$1+48)-4,$B$22))</f>
        <v/>
      </c>
      <c r="DF52">
        <f>IF(ISNA(DD52),NA(),INDEX(Capability!$K$5:$K$54,$B$22))</f>
        <v/>
      </c>
      <c r="DG52">
        <f>IF(ISNA(DD52),NA(),INDEX(Capability!$J$5:$J$54,$B$22))</f>
        <v/>
      </c>
      <c r="DH52">
        <f>IF(ISNA(DD52),NA(),INDEX(Capability!$L$5:$L$54,$B$22))</f>
        <v/>
      </c>
      <c r="DI52">
        <f>IF(OR(ISNA(DE52),ISNA(DE51)),NA(),ABS(DE52-DE51))</f>
        <v/>
      </c>
      <c r="DJ52">
        <f>IF(ISNA(DD52),NA(),INDEX(Capability!$N$5:$N$54,$B$22))</f>
        <v/>
      </c>
      <c r="DK52">
        <f>IF(ISNA(DD52),NA(),IF(OR(INDEX(Capability!$Q$5:$Q$54,$B$22)="",Settings!$F$7&lt;&gt;"Y"),NA(),INDEX(Capability!$Q$5:$Q$54,$B$22)))</f>
        <v/>
      </c>
      <c r="DL52">
        <f>IF(ISNA(DD52),NA(),IF(OR(INDEX(Capability!$P$5:$P$54,$B$22)="",Settings!$F$7&lt;&gt;"Y"),NA(),INDEX(Capability!$P$5:$P$54,$B$22)))</f>
        <v/>
      </c>
      <c r="DR52">
        <f>IF((DU$1+48)&gt;DS$1,NA(),(DU$1+48)-4)</f>
        <v/>
      </c>
      <c r="DS52">
        <f>IF((DU$1+48)&gt;DS$1,NA(),INDEX('Data Entry'!$H$5:$BE$10004,(DU$1+48)-4,$B$23))</f>
        <v/>
      </c>
      <c r="DT52">
        <f>IF(ISNA(DR52),NA(),INDEX(Capability!$K$5:$K$54,$B$23))</f>
        <v/>
      </c>
      <c r="DU52">
        <f>IF(ISNA(DR52),NA(),INDEX(Capability!$J$5:$J$54,$B$23))</f>
        <v/>
      </c>
      <c r="DV52">
        <f>IF(ISNA(DR52),NA(),INDEX(Capability!$L$5:$L$54,$B$23))</f>
        <v/>
      </c>
      <c r="DW52">
        <f>IF(OR(ISNA(DS52),ISNA(DS51)),NA(),ABS(DS52-DS51))</f>
        <v/>
      </c>
      <c r="DX52">
        <f>IF(ISNA(DR52),NA(),INDEX(Capability!$N$5:$N$54,$B$23))</f>
        <v/>
      </c>
      <c r="DY52">
        <f>IF(ISNA(DR52),NA(),IF(OR(INDEX(Capability!$Q$5:$Q$54,$B$23)="",Settings!$F$7&lt;&gt;"Y"),NA(),INDEX(Capability!$Q$5:$Q$54,$B$23)))</f>
        <v/>
      </c>
      <c r="DZ52">
        <f>IF(ISNA(DR52),NA(),IF(OR(INDEX(Capability!$P$5:$P$54,$B$23)="",Settings!$F$7&lt;&gt;"Y"),NA(),INDEX(Capability!$P$5:$P$54,$B$23)))</f>
        <v/>
      </c>
    </row>
    <row r="53">
      <c r="A53" s="35" t="inlineStr">
        <is>
          <t>Sigma (within)</t>
        </is>
      </c>
      <c r="B53" s="23">
        <f>INDEX(Capability!$H$5:$H$54,$B$20)</f>
        <v/>
      </c>
      <c r="CB53">
        <f>IF((CE$1+49)&gt;CC$1,NA(),(CE$1+49)-4)</f>
        <v/>
      </c>
      <c r="CC53">
        <f>IF((CE$1+49)&gt;CC$1,NA(),INDEX('Data Entry'!$H$5:$BE$10004,(CE$1+49)-4,$B$20))</f>
        <v/>
      </c>
      <c r="CD53">
        <f>IF(ISNA(CB53),NA(),INDEX(Capability!$K$5:$K$54,$B$20))</f>
        <v/>
      </c>
      <c r="CE53">
        <f>IF(ISNA(CB53),NA(),INDEX(Capability!$J$5:$J$54,$B$20))</f>
        <v/>
      </c>
      <c r="CF53">
        <f>IF(ISNA(CB53),NA(),INDEX(Capability!$L$5:$L$54,$B$20))</f>
        <v/>
      </c>
      <c r="CG53">
        <f>IF(OR(ISNA(CC53),ISNA(CC52)),NA(),ABS(CC53-CC52))</f>
        <v/>
      </c>
      <c r="CH53">
        <f>IF(ISNA(CB53),NA(),INDEX(Capability!$N$5:$N$54,$B$20))</f>
        <v/>
      </c>
      <c r="CI53">
        <f>IF(ISNA(CB53),NA(),IF(OR(INDEX(Capability!$Q$5:$Q$54,$B$20)="",Settings!$F$7&lt;&gt;"Y"),NA(),INDEX(Capability!$Q$5:$Q$54,$B$20)))</f>
        <v/>
      </c>
      <c r="CJ53">
        <f>IF(ISNA(CB53),NA(),IF(OR(INDEX(Capability!$P$5:$P$54,$B$20)="",Settings!$F$7&lt;&gt;"Y"),NA(),INDEX(Capability!$P$5:$P$54,$B$20)))</f>
        <v/>
      </c>
      <c r="CP53">
        <f>IF((CS$1+49)&gt;CQ$1,NA(),(CS$1+49)-4)</f>
        <v/>
      </c>
      <c r="CQ53">
        <f>IF((CS$1+49)&gt;CQ$1,NA(),INDEX('Data Entry'!$H$5:$BE$10004,(CS$1+49)-4,$B$21))</f>
        <v/>
      </c>
      <c r="CR53">
        <f>IF(ISNA(CP53),NA(),INDEX(Capability!$K$5:$K$54,$B$21))</f>
        <v/>
      </c>
      <c r="CS53">
        <f>IF(ISNA(CP53),NA(),INDEX(Capability!$J$5:$J$54,$B$21))</f>
        <v/>
      </c>
      <c r="CT53">
        <f>IF(ISNA(CP53),NA(),INDEX(Capability!$L$5:$L$54,$B$21))</f>
        <v/>
      </c>
      <c r="CU53">
        <f>IF(OR(ISNA(CQ53),ISNA(CQ52)),NA(),ABS(CQ53-CQ52))</f>
        <v/>
      </c>
      <c r="CV53">
        <f>IF(ISNA(CP53),NA(),INDEX(Capability!$N$5:$N$54,$B$21))</f>
        <v/>
      </c>
      <c r="CW53">
        <f>IF(ISNA(CP53),NA(),IF(OR(INDEX(Capability!$Q$5:$Q$54,$B$21)="",Settings!$F$7&lt;&gt;"Y"),NA(),INDEX(Capability!$Q$5:$Q$54,$B$21)))</f>
        <v/>
      </c>
      <c r="CX53">
        <f>IF(ISNA(CP53),NA(),IF(OR(INDEX(Capability!$P$5:$P$54,$B$21)="",Settings!$F$7&lt;&gt;"Y"),NA(),INDEX(Capability!$P$5:$P$54,$B$21)))</f>
        <v/>
      </c>
      <c r="DD53">
        <f>IF((DG$1+49)&gt;DE$1,NA(),(DG$1+49)-4)</f>
        <v/>
      </c>
      <c r="DE53">
        <f>IF((DG$1+49)&gt;DE$1,NA(),INDEX('Data Entry'!$H$5:$BE$10004,(DG$1+49)-4,$B$22))</f>
        <v/>
      </c>
      <c r="DF53">
        <f>IF(ISNA(DD53),NA(),INDEX(Capability!$K$5:$K$54,$B$22))</f>
        <v/>
      </c>
      <c r="DG53">
        <f>IF(ISNA(DD53),NA(),INDEX(Capability!$J$5:$J$54,$B$22))</f>
        <v/>
      </c>
      <c r="DH53">
        <f>IF(ISNA(DD53),NA(),INDEX(Capability!$L$5:$L$54,$B$22))</f>
        <v/>
      </c>
      <c r="DI53">
        <f>IF(OR(ISNA(DE53),ISNA(DE52)),NA(),ABS(DE53-DE52))</f>
        <v/>
      </c>
      <c r="DJ53">
        <f>IF(ISNA(DD53),NA(),INDEX(Capability!$N$5:$N$54,$B$22))</f>
        <v/>
      </c>
      <c r="DK53">
        <f>IF(ISNA(DD53),NA(),IF(OR(INDEX(Capability!$Q$5:$Q$54,$B$22)="",Settings!$F$7&lt;&gt;"Y"),NA(),INDEX(Capability!$Q$5:$Q$54,$B$22)))</f>
        <v/>
      </c>
      <c r="DL53">
        <f>IF(ISNA(DD53),NA(),IF(OR(INDEX(Capability!$P$5:$P$54,$B$22)="",Settings!$F$7&lt;&gt;"Y"),NA(),INDEX(Capability!$P$5:$P$54,$B$22)))</f>
        <v/>
      </c>
      <c r="DR53">
        <f>IF((DU$1+49)&gt;DS$1,NA(),(DU$1+49)-4)</f>
        <v/>
      </c>
      <c r="DS53">
        <f>IF((DU$1+49)&gt;DS$1,NA(),INDEX('Data Entry'!$H$5:$BE$10004,(DU$1+49)-4,$B$23))</f>
        <v/>
      </c>
      <c r="DT53">
        <f>IF(ISNA(DR53),NA(),INDEX(Capability!$K$5:$K$54,$B$23))</f>
        <v/>
      </c>
      <c r="DU53">
        <f>IF(ISNA(DR53),NA(),INDEX(Capability!$J$5:$J$54,$B$23))</f>
        <v/>
      </c>
      <c r="DV53">
        <f>IF(ISNA(DR53),NA(),INDEX(Capability!$L$5:$L$54,$B$23))</f>
        <v/>
      </c>
      <c r="DW53">
        <f>IF(OR(ISNA(DS53),ISNA(DS52)),NA(),ABS(DS53-DS52))</f>
        <v/>
      </c>
      <c r="DX53">
        <f>IF(ISNA(DR53),NA(),INDEX(Capability!$N$5:$N$54,$B$23))</f>
        <v/>
      </c>
      <c r="DY53">
        <f>IF(ISNA(DR53),NA(),IF(OR(INDEX(Capability!$Q$5:$Q$54,$B$23)="",Settings!$F$7&lt;&gt;"Y"),NA(),INDEX(Capability!$Q$5:$Q$54,$B$23)))</f>
        <v/>
      </c>
      <c r="DZ53">
        <f>IF(ISNA(DR53),NA(),IF(OR(INDEX(Capability!$P$5:$P$54,$B$23)="",Settings!$F$7&lt;&gt;"Y"),NA(),INDEX(Capability!$P$5:$P$54,$B$23)))</f>
        <v/>
      </c>
    </row>
    <row r="54">
      <c r="A54" s="37" t="inlineStr">
        <is>
          <t>CONTROL</t>
        </is>
      </c>
      <c r="B54" s="28" t="n"/>
      <c r="CB54">
        <f>IF((CE$1+50)&gt;CC$1,NA(),(CE$1+50)-4)</f>
        <v/>
      </c>
      <c r="CC54">
        <f>IF((CE$1+50)&gt;CC$1,NA(),INDEX('Data Entry'!$H$5:$BE$10004,(CE$1+50)-4,$B$20))</f>
        <v/>
      </c>
      <c r="CD54">
        <f>IF(ISNA(CB54),NA(),INDEX(Capability!$K$5:$K$54,$B$20))</f>
        <v/>
      </c>
      <c r="CE54">
        <f>IF(ISNA(CB54),NA(),INDEX(Capability!$J$5:$J$54,$B$20))</f>
        <v/>
      </c>
      <c r="CF54">
        <f>IF(ISNA(CB54),NA(),INDEX(Capability!$L$5:$L$54,$B$20))</f>
        <v/>
      </c>
      <c r="CG54">
        <f>IF(OR(ISNA(CC54),ISNA(CC53)),NA(),ABS(CC54-CC53))</f>
        <v/>
      </c>
      <c r="CH54">
        <f>IF(ISNA(CB54),NA(),INDEX(Capability!$N$5:$N$54,$B$20))</f>
        <v/>
      </c>
      <c r="CI54">
        <f>IF(ISNA(CB54),NA(),IF(OR(INDEX(Capability!$Q$5:$Q$54,$B$20)="",Settings!$F$7&lt;&gt;"Y"),NA(),INDEX(Capability!$Q$5:$Q$54,$B$20)))</f>
        <v/>
      </c>
      <c r="CJ54">
        <f>IF(ISNA(CB54),NA(),IF(OR(INDEX(Capability!$P$5:$P$54,$B$20)="",Settings!$F$7&lt;&gt;"Y"),NA(),INDEX(Capability!$P$5:$P$54,$B$20)))</f>
        <v/>
      </c>
      <c r="CP54">
        <f>IF((CS$1+50)&gt;CQ$1,NA(),(CS$1+50)-4)</f>
        <v/>
      </c>
      <c r="CQ54">
        <f>IF((CS$1+50)&gt;CQ$1,NA(),INDEX('Data Entry'!$H$5:$BE$10004,(CS$1+50)-4,$B$21))</f>
        <v/>
      </c>
      <c r="CR54">
        <f>IF(ISNA(CP54),NA(),INDEX(Capability!$K$5:$K$54,$B$21))</f>
        <v/>
      </c>
      <c r="CS54">
        <f>IF(ISNA(CP54),NA(),INDEX(Capability!$J$5:$J$54,$B$21))</f>
        <v/>
      </c>
      <c r="CT54">
        <f>IF(ISNA(CP54),NA(),INDEX(Capability!$L$5:$L$54,$B$21))</f>
        <v/>
      </c>
      <c r="CU54">
        <f>IF(OR(ISNA(CQ54),ISNA(CQ53)),NA(),ABS(CQ54-CQ53))</f>
        <v/>
      </c>
      <c r="CV54">
        <f>IF(ISNA(CP54),NA(),INDEX(Capability!$N$5:$N$54,$B$21))</f>
        <v/>
      </c>
      <c r="CW54">
        <f>IF(ISNA(CP54),NA(),IF(OR(INDEX(Capability!$Q$5:$Q$54,$B$21)="",Settings!$F$7&lt;&gt;"Y"),NA(),INDEX(Capability!$Q$5:$Q$54,$B$21)))</f>
        <v/>
      </c>
      <c r="CX54">
        <f>IF(ISNA(CP54),NA(),IF(OR(INDEX(Capability!$P$5:$P$54,$B$21)="",Settings!$F$7&lt;&gt;"Y"),NA(),INDEX(Capability!$P$5:$P$54,$B$21)))</f>
        <v/>
      </c>
      <c r="DD54">
        <f>IF((DG$1+50)&gt;DE$1,NA(),(DG$1+50)-4)</f>
        <v/>
      </c>
      <c r="DE54">
        <f>IF((DG$1+50)&gt;DE$1,NA(),INDEX('Data Entry'!$H$5:$BE$10004,(DG$1+50)-4,$B$22))</f>
        <v/>
      </c>
      <c r="DF54">
        <f>IF(ISNA(DD54),NA(),INDEX(Capability!$K$5:$K$54,$B$22))</f>
        <v/>
      </c>
      <c r="DG54">
        <f>IF(ISNA(DD54),NA(),INDEX(Capability!$J$5:$J$54,$B$22))</f>
        <v/>
      </c>
      <c r="DH54">
        <f>IF(ISNA(DD54),NA(),INDEX(Capability!$L$5:$L$54,$B$22))</f>
        <v/>
      </c>
      <c r="DI54">
        <f>IF(OR(ISNA(DE54),ISNA(DE53)),NA(),ABS(DE54-DE53))</f>
        <v/>
      </c>
      <c r="DJ54">
        <f>IF(ISNA(DD54),NA(),INDEX(Capability!$N$5:$N$54,$B$22))</f>
        <v/>
      </c>
      <c r="DK54">
        <f>IF(ISNA(DD54),NA(),IF(OR(INDEX(Capability!$Q$5:$Q$54,$B$22)="",Settings!$F$7&lt;&gt;"Y"),NA(),INDEX(Capability!$Q$5:$Q$54,$B$22)))</f>
        <v/>
      </c>
      <c r="DL54">
        <f>IF(ISNA(DD54),NA(),IF(OR(INDEX(Capability!$P$5:$P$54,$B$22)="",Settings!$F$7&lt;&gt;"Y"),NA(),INDEX(Capability!$P$5:$P$54,$B$22)))</f>
        <v/>
      </c>
      <c r="DR54">
        <f>IF((DU$1+50)&gt;DS$1,NA(),(DU$1+50)-4)</f>
        <v/>
      </c>
      <c r="DS54">
        <f>IF((DU$1+50)&gt;DS$1,NA(),INDEX('Data Entry'!$H$5:$BE$10004,(DU$1+50)-4,$B$23))</f>
        <v/>
      </c>
      <c r="DT54">
        <f>IF(ISNA(DR54),NA(),INDEX(Capability!$K$5:$K$54,$B$23))</f>
        <v/>
      </c>
      <c r="DU54">
        <f>IF(ISNA(DR54),NA(),INDEX(Capability!$J$5:$J$54,$B$23))</f>
        <v/>
      </c>
      <c r="DV54">
        <f>IF(ISNA(DR54),NA(),INDEX(Capability!$L$5:$L$54,$B$23))</f>
        <v/>
      </c>
      <c r="DW54">
        <f>IF(OR(ISNA(DS54),ISNA(DS53)),NA(),ABS(DS54-DS53))</f>
        <v/>
      </c>
      <c r="DX54">
        <f>IF(ISNA(DR54),NA(),INDEX(Capability!$N$5:$N$54,$B$23))</f>
        <v/>
      </c>
      <c r="DY54">
        <f>IF(ISNA(DR54),NA(),IF(OR(INDEX(Capability!$Q$5:$Q$54,$B$23)="",Settings!$F$7&lt;&gt;"Y"),NA(),INDEX(Capability!$Q$5:$Q$54,$B$23)))</f>
        <v/>
      </c>
      <c r="DZ54">
        <f>IF(ISNA(DR54),NA(),IF(OR(INDEX(Capability!$P$5:$P$54,$B$23)="",Settings!$F$7&lt;&gt;"Y"),NA(),INDEX(Capability!$P$5:$P$54,$B$23)))</f>
        <v/>
      </c>
    </row>
    <row r="55">
      <c r="A55" s="35" t="inlineStr">
        <is>
          <t>UCL</t>
        </is>
      </c>
      <c r="B55" s="23">
        <f>INDEX(Capability!$J$5:$J$54,$B$20)</f>
        <v/>
      </c>
      <c r="CB55">
        <f>IF((CE$1+51)&gt;CC$1,NA(),(CE$1+51)-4)</f>
        <v/>
      </c>
      <c r="CC55">
        <f>IF((CE$1+51)&gt;CC$1,NA(),INDEX('Data Entry'!$H$5:$BE$10004,(CE$1+51)-4,$B$20))</f>
        <v/>
      </c>
      <c r="CD55">
        <f>IF(ISNA(CB55),NA(),INDEX(Capability!$K$5:$K$54,$B$20))</f>
        <v/>
      </c>
      <c r="CE55">
        <f>IF(ISNA(CB55),NA(),INDEX(Capability!$J$5:$J$54,$B$20))</f>
        <v/>
      </c>
      <c r="CF55">
        <f>IF(ISNA(CB55),NA(),INDEX(Capability!$L$5:$L$54,$B$20))</f>
        <v/>
      </c>
      <c r="CG55">
        <f>IF(OR(ISNA(CC55),ISNA(CC54)),NA(),ABS(CC55-CC54))</f>
        <v/>
      </c>
      <c r="CH55">
        <f>IF(ISNA(CB55),NA(),INDEX(Capability!$N$5:$N$54,$B$20))</f>
        <v/>
      </c>
      <c r="CI55">
        <f>IF(ISNA(CB55),NA(),IF(OR(INDEX(Capability!$Q$5:$Q$54,$B$20)="",Settings!$F$7&lt;&gt;"Y"),NA(),INDEX(Capability!$Q$5:$Q$54,$B$20)))</f>
        <v/>
      </c>
      <c r="CJ55">
        <f>IF(ISNA(CB55),NA(),IF(OR(INDEX(Capability!$P$5:$P$54,$B$20)="",Settings!$F$7&lt;&gt;"Y"),NA(),INDEX(Capability!$P$5:$P$54,$B$20)))</f>
        <v/>
      </c>
      <c r="CP55">
        <f>IF((CS$1+51)&gt;CQ$1,NA(),(CS$1+51)-4)</f>
        <v/>
      </c>
      <c r="CQ55">
        <f>IF((CS$1+51)&gt;CQ$1,NA(),INDEX('Data Entry'!$H$5:$BE$10004,(CS$1+51)-4,$B$21))</f>
        <v/>
      </c>
      <c r="CR55">
        <f>IF(ISNA(CP55),NA(),INDEX(Capability!$K$5:$K$54,$B$21))</f>
        <v/>
      </c>
      <c r="CS55">
        <f>IF(ISNA(CP55),NA(),INDEX(Capability!$J$5:$J$54,$B$21))</f>
        <v/>
      </c>
      <c r="CT55">
        <f>IF(ISNA(CP55),NA(),INDEX(Capability!$L$5:$L$54,$B$21))</f>
        <v/>
      </c>
      <c r="CU55">
        <f>IF(OR(ISNA(CQ55),ISNA(CQ54)),NA(),ABS(CQ55-CQ54))</f>
        <v/>
      </c>
      <c r="CV55">
        <f>IF(ISNA(CP55),NA(),INDEX(Capability!$N$5:$N$54,$B$21))</f>
        <v/>
      </c>
      <c r="CW55">
        <f>IF(ISNA(CP55),NA(),IF(OR(INDEX(Capability!$Q$5:$Q$54,$B$21)="",Settings!$F$7&lt;&gt;"Y"),NA(),INDEX(Capability!$Q$5:$Q$54,$B$21)))</f>
        <v/>
      </c>
      <c r="CX55">
        <f>IF(ISNA(CP55),NA(),IF(OR(INDEX(Capability!$P$5:$P$54,$B$21)="",Settings!$F$7&lt;&gt;"Y"),NA(),INDEX(Capability!$P$5:$P$54,$B$21)))</f>
        <v/>
      </c>
      <c r="DD55">
        <f>IF((DG$1+51)&gt;DE$1,NA(),(DG$1+51)-4)</f>
        <v/>
      </c>
      <c r="DE55">
        <f>IF((DG$1+51)&gt;DE$1,NA(),INDEX('Data Entry'!$H$5:$BE$10004,(DG$1+51)-4,$B$22))</f>
        <v/>
      </c>
      <c r="DF55">
        <f>IF(ISNA(DD55),NA(),INDEX(Capability!$K$5:$K$54,$B$22))</f>
        <v/>
      </c>
      <c r="DG55">
        <f>IF(ISNA(DD55),NA(),INDEX(Capability!$J$5:$J$54,$B$22))</f>
        <v/>
      </c>
      <c r="DH55">
        <f>IF(ISNA(DD55),NA(),INDEX(Capability!$L$5:$L$54,$B$22))</f>
        <v/>
      </c>
      <c r="DI55">
        <f>IF(OR(ISNA(DE55),ISNA(DE54)),NA(),ABS(DE55-DE54))</f>
        <v/>
      </c>
      <c r="DJ55">
        <f>IF(ISNA(DD55),NA(),INDEX(Capability!$N$5:$N$54,$B$22))</f>
        <v/>
      </c>
      <c r="DK55">
        <f>IF(ISNA(DD55),NA(),IF(OR(INDEX(Capability!$Q$5:$Q$54,$B$22)="",Settings!$F$7&lt;&gt;"Y"),NA(),INDEX(Capability!$Q$5:$Q$54,$B$22)))</f>
        <v/>
      </c>
      <c r="DL55">
        <f>IF(ISNA(DD55),NA(),IF(OR(INDEX(Capability!$P$5:$P$54,$B$22)="",Settings!$F$7&lt;&gt;"Y"),NA(),INDEX(Capability!$P$5:$P$54,$B$22)))</f>
        <v/>
      </c>
      <c r="DR55">
        <f>IF((DU$1+51)&gt;DS$1,NA(),(DU$1+51)-4)</f>
        <v/>
      </c>
      <c r="DS55">
        <f>IF((DU$1+51)&gt;DS$1,NA(),INDEX('Data Entry'!$H$5:$BE$10004,(DU$1+51)-4,$B$23))</f>
        <v/>
      </c>
      <c r="DT55">
        <f>IF(ISNA(DR55),NA(),INDEX(Capability!$K$5:$K$54,$B$23))</f>
        <v/>
      </c>
      <c r="DU55">
        <f>IF(ISNA(DR55),NA(),INDEX(Capability!$J$5:$J$54,$B$23))</f>
        <v/>
      </c>
      <c r="DV55">
        <f>IF(ISNA(DR55),NA(),INDEX(Capability!$L$5:$L$54,$B$23))</f>
        <v/>
      </c>
      <c r="DW55">
        <f>IF(OR(ISNA(DS55),ISNA(DS54)),NA(),ABS(DS55-DS54))</f>
        <v/>
      </c>
      <c r="DX55">
        <f>IF(ISNA(DR55),NA(),INDEX(Capability!$N$5:$N$54,$B$23))</f>
        <v/>
      </c>
      <c r="DY55">
        <f>IF(ISNA(DR55),NA(),IF(OR(INDEX(Capability!$Q$5:$Q$54,$B$23)="",Settings!$F$7&lt;&gt;"Y"),NA(),INDEX(Capability!$Q$5:$Q$54,$B$23)))</f>
        <v/>
      </c>
      <c r="DZ55">
        <f>IF(ISNA(DR55),NA(),IF(OR(INDEX(Capability!$P$5:$P$54,$B$23)="",Settings!$F$7&lt;&gt;"Y"),NA(),INDEX(Capability!$P$5:$P$54,$B$23)))</f>
        <v/>
      </c>
    </row>
    <row r="56">
      <c r="A56" s="35" t="inlineStr">
        <is>
          <t>CL</t>
        </is>
      </c>
      <c r="B56" s="23">
        <f>INDEX(Capability!$K$5:$K$54,$B$20)</f>
        <v/>
      </c>
      <c r="CB56">
        <f>IF((CE$1+52)&gt;CC$1,NA(),(CE$1+52)-4)</f>
        <v/>
      </c>
      <c r="CC56">
        <f>IF((CE$1+52)&gt;CC$1,NA(),INDEX('Data Entry'!$H$5:$BE$10004,(CE$1+52)-4,$B$20))</f>
        <v/>
      </c>
      <c r="CD56">
        <f>IF(ISNA(CB56),NA(),INDEX(Capability!$K$5:$K$54,$B$20))</f>
        <v/>
      </c>
      <c r="CE56">
        <f>IF(ISNA(CB56),NA(),INDEX(Capability!$J$5:$J$54,$B$20))</f>
        <v/>
      </c>
      <c r="CF56">
        <f>IF(ISNA(CB56),NA(),INDEX(Capability!$L$5:$L$54,$B$20))</f>
        <v/>
      </c>
      <c r="CG56">
        <f>IF(OR(ISNA(CC56),ISNA(CC55)),NA(),ABS(CC56-CC55))</f>
        <v/>
      </c>
      <c r="CH56">
        <f>IF(ISNA(CB56),NA(),INDEX(Capability!$N$5:$N$54,$B$20))</f>
        <v/>
      </c>
      <c r="CI56">
        <f>IF(ISNA(CB56),NA(),IF(OR(INDEX(Capability!$Q$5:$Q$54,$B$20)="",Settings!$F$7&lt;&gt;"Y"),NA(),INDEX(Capability!$Q$5:$Q$54,$B$20)))</f>
        <v/>
      </c>
      <c r="CJ56">
        <f>IF(ISNA(CB56),NA(),IF(OR(INDEX(Capability!$P$5:$P$54,$B$20)="",Settings!$F$7&lt;&gt;"Y"),NA(),INDEX(Capability!$P$5:$P$54,$B$20)))</f>
        <v/>
      </c>
      <c r="CP56">
        <f>IF((CS$1+52)&gt;CQ$1,NA(),(CS$1+52)-4)</f>
        <v/>
      </c>
      <c r="CQ56">
        <f>IF((CS$1+52)&gt;CQ$1,NA(),INDEX('Data Entry'!$H$5:$BE$10004,(CS$1+52)-4,$B$21))</f>
        <v/>
      </c>
      <c r="CR56">
        <f>IF(ISNA(CP56),NA(),INDEX(Capability!$K$5:$K$54,$B$21))</f>
        <v/>
      </c>
      <c r="CS56">
        <f>IF(ISNA(CP56),NA(),INDEX(Capability!$J$5:$J$54,$B$21))</f>
        <v/>
      </c>
      <c r="CT56">
        <f>IF(ISNA(CP56),NA(),INDEX(Capability!$L$5:$L$54,$B$21))</f>
        <v/>
      </c>
      <c r="CU56">
        <f>IF(OR(ISNA(CQ56),ISNA(CQ55)),NA(),ABS(CQ56-CQ55))</f>
        <v/>
      </c>
      <c r="CV56">
        <f>IF(ISNA(CP56),NA(),INDEX(Capability!$N$5:$N$54,$B$21))</f>
        <v/>
      </c>
      <c r="CW56">
        <f>IF(ISNA(CP56),NA(),IF(OR(INDEX(Capability!$Q$5:$Q$54,$B$21)="",Settings!$F$7&lt;&gt;"Y"),NA(),INDEX(Capability!$Q$5:$Q$54,$B$21)))</f>
        <v/>
      </c>
      <c r="CX56">
        <f>IF(ISNA(CP56),NA(),IF(OR(INDEX(Capability!$P$5:$P$54,$B$21)="",Settings!$F$7&lt;&gt;"Y"),NA(),INDEX(Capability!$P$5:$P$54,$B$21)))</f>
        <v/>
      </c>
      <c r="DD56">
        <f>IF((DG$1+52)&gt;DE$1,NA(),(DG$1+52)-4)</f>
        <v/>
      </c>
      <c r="DE56">
        <f>IF((DG$1+52)&gt;DE$1,NA(),INDEX('Data Entry'!$H$5:$BE$10004,(DG$1+52)-4,$B$22))</f>
        <v/>
      </c>
      <c r="DF56">
        <f>IF(ISNA(DD56),NA(),INDEX(Capability!$K$5:$K$54,$B$22))</f>
        <v/>
      </c>
      <c r="DG56">
        <f>IF(ISNA(DD56),NA(),INDEX(Capability!$J$5:$J$54,$B$22))</f>
        <v/>
      </c>
      <c r="DH56">
        <f>IF(ISNA(DD56),NA(),INDEX(Capability!$L$5:$L$54,$B$22))</f>
        <v/>
      </c>
      <c r="DI56">
        <f>IF(OR(ISNA(DE56),ISNA(DE55)),NA(),ABS(DE56-DE55))</f>
        <v/>
      </c>
      <c r="DJ56">
        <f>IF(ISNA(DD56),NA(),INDEX(Capability!$N$5:$N$54,$B$22))</f>
        <v/>
      </c>
      <c r="DK56">
        <f>IF(ISNA(DD56),NA(),IF(OR(INDEX(Capability!$Q$5:$Q$54,$B$22)="",Settings!$F$7&lt;&gt;"Y"),NA(),INDEX(Capability!$Q$5:$Q$54,$B$22)))</f>
        <v/>
      </c>
      <c r="DL56">
        <f>IF(ISNA(DD56),NA(),IF(OR(INDEX(Capability!$P$5:$P$54,$B$22)="",Settings!$F$7&lt;&gt;"Y"),NA(),INDEX(Capability!$P$5:$P$54,$B$22)))</f>
        <v/>
      </c>
      <c r="DR56">
        <f>IF((DU$1+52)&gt;DS$1,NA(),(DU$1+52)-4)</f>
        <v/>
      </c>
      <c r="DS56">
        <f>IF((DU$1+52)&gt;DS$1,NA(),INDEX('Data Entry'!$H$5:$BE$10004,(DU$1+52)-4,$B$23))</f>
        <v/>
      </c>
      <c r="DT56">
        <f>IF(ISNA(DR56),NA(),INDEX(Capability!$K$5:$K$54,$B$23))</f>
        <v/>
      </c>
      <c r="DU56">
        <f>IF(ISNA(DR56),NA(),INDEX(Capability!$J$5:$J$54,$B$23))</f>
        <v/>
      </c>
      <c r="DV56">
        <f>IF(ISNA(DR56),NA(),INDEX(Capability!$L$5:$L$54,$B$23))</f>
        <v/>
      </c>
      <c r="DW56">
        <f>IF(OR(ISNA(DS56),ISNA(DS55)),NA(),ABS(DS56-DS55))</f>
        <v/>
      </c>
      <c r="DX56">
        <f>IF(ISNA(DR56),NA(),INDEX(Capability!$N$5:$N$54,$B$23))</f>
        <v/>
      </c>
      <c r="DY56">
        <f>IF(ISNA(DR56),NA(),IF(OR(INDEX(Capability!$Q$5:$Q$54,$B$23)="",Settings!$F$7&lt;&gt;"Y"),NA(),INDEX(Capability!$Q$5:$Q$54,$B$23)))</f>
        <v/>
      </c>
      <c r="DZ56">
        <f>IF(ISNA(DR56),NA(),IF(OR(INDEX(Capability!$P$5:$P$54,$B$23)="",Settings!$F$7&lt;&gt;"Y"),NA(),INDEX(Capability!$P$5:$P$54,$B$23)))</f>
        <v/>
      </c>
    </row>
    <row r="57">
      <c r="A57" s="35" t="inlineStr">
        <is>
          <t>LCL</t>
        </is>
      </c>
      <c r="B57" s="23">
        <f>INDEX(Capability!$L$5:$L$54,$B$20)</f>
        <v/>
      </c>
      <c r="CB57">
        <f>IF((CE$1+53)&gt;CC$1,NA(),(CE$1+53)-4)</f>
        <v/>
      </c>
      <c r="CC57">
        <f>IF((CE$1+53)&gt;CC$1,NA(),INDEX('Data Entry'!$H$5:$BE$10004,(CE$1+53)-4,$B$20))</f>
        <v/>
      </c>
      <c r="CD57">
        <f>IF(ISNA(CB57),NA(),INDEX(Capability!$K$5:$K$54,$B$20))</f>
        <v/>
      </c>
      <c r="CE57">
        <f>IF(ISNA(CB57),NA(),INDEX(Capability!$J$5:$J$54,$B$20))</f>
        <v/>
      </c>
      <c r="CF57">
        <f>IF(ISNA(CB57),NA(),INDEX(Capability!$L$5:$L$54,$B$20))</f>
        <v/>
      </c>
      <c r="CG57">
        <f>IF(OR(ISNA(CC57),ISNA(CC56)),NA(),ABS(CC57-CC56))</f>
        <v/>
      </c>
      <c r="CH57">
        <f>IF(ISNA(CB57),NA(),INDEX(Capability!$N$5:$N$54,$B$20))</f>
        <v/>
      </c>
      <c r="CI57">
        <f>IF(ISNA(CB57),NA(),IF(OR(INDEX(Capability!$Q$5:$Q$54,$B$20)="",Settings!$F$7&lt;&gt;"Y"),NA(),INDEX(Capability!$Q$5:$Q$54,$B$20)))</f>
        <v/>
      </c>
      <c r="CJ57">
        <f>IF(ISNA(CB57),NA(),IF(OR(INDEX(Capability!$P$5:$P$54,$B$20)="",Settings!$F$7&lt;&gt;"Y"),NA(),INDEX(Capability!$P$5:$P$54,$B$20)))</f>
        <v/>
      </c>
      <c r="CP57">
        <f>IF((CS$1+53)&gt;CQ$1,NA(),(CS$1+53)-4)</f>
        <v/>
      </c>
      <c r="CQ57">
        <f>IF((CS$1+53)&gt;CQ$1,NA(),INDEX('Data Entry'!$H$5:$BE$10004,(CS$1+53)-4,$B$21))</f>
        <v/>
      </c>
      <c r="CR57">
        <f>IF(ISNA(CP57),NA(),INDEX(Capability!$K$5:$K$54,$B$21))</f>
        <v/>
      </c>
      <c r="CS57">
        <f>IF(ISNA(CP57),NA(),INDEX(Capability!$J$5:$J$54,$B$21))</f>
        <v/>
      </c>
      <c r="CT57">
        <f>IF(ISNA(CP57),NA(),INDEX(Capability!$L$5:$L$54,$B$21))</f>
        <v/>
      </c>
      <c r="CU57">
        <f>IF(OR(ISNA(CQ57),ISNA(CQ56)),NA(),ABS(CQ57-CQ56))</f>
        <v/>
      </c>
      <c r="CV57">
        <f>IF(ISNA(CP57),NA(),INDEX(Capability!$N$5:$N$54,$B$21))</f>
        <v/>
      </c>
      <c r="CW57">
        <f>IF(ISNA(CP57),NA(),IF(OR(INDEX(Capability!$Q$5:$Q$54,$B$21)="",Settings!$F$7&lt;&gt;"Y"),NA(),INDEX(Capability!$Q$5:$Q$54,$B$21)))</f>
        <v/>
      </c>
      <c r="CX57">
        <f>IF(ISNA(CP57),NA(),IF(OR(INDEX(Capability!$P$5:$P$54,$B$21)="",Settings!$F$7&lt;&gt;"Y"),NA(),INDEX(Capability!$P$5:$P$54,$B$21)))</f>
        <v/>
      </c>
      <c r="DD57">
        <f>IF((DG$1+53)&gt;DE$1,NA(),(DG$1+53)-4)</f>
        <v/>
      </c>
      <c r="DE57">
        <f>IF((DG$1+53)&gt;DE$1,NA(),INDEX('Data Entry'!$H$5:$BE$10004,(DG$1+53)-4,$B$22))</f>
        <v/>
      </c>
      <c r="DF57">
        <f>IF(ISNA(DD57),NA(),INDEX(Capability!$K$5:$K$54,$B$22))</f>
        <v/>
      </c>
      <c r="DG57">
        <f>IF(ISNA(DD57),NA(),INDEX(Capability!$J$5:$J$54,$B$22))</f>
        <v/>
      </c>
      <c r="DH57">
        <f>IF(ISNA(DD57),NA(),INDEX(Capability!$L$5:$L$54,$B$22))</f>
        <v/>
      </c>
      <c r="DI57">
        <f>IF(OR(ISNA(DE57),ISNA(DE56)),NA(),ABS(DE57-DE56))</f>
        <v/>
      </c>
      <c r="DJ57">
        <f>IF(ISNA(DD57),NA(),INDEX(Capability!$N$5:$N$54,$B$22))</f>
        <v/>
      </c>
      <c r="DK57">
        <f>IF(ISNA(DD57),NA(),IF(OR(INDEX(Capability!$Q$5:$Q$54,$B$22)="",Settings!$F$7&lt;&gt;"Y"),NA(),INDEX(Capability!$Q$5:$Q$54,$B$22)))</f>
        <v/>
      </c>
      <c r="DL57">
        <f>IF(ISNA(DD57),NA(),IF(OR(INDEX(Capability!$P$5:$P$54,$B$22)="",Settings!$F$7&lt;&gt;"Y"),NA(),INDEX(Capability!$P$5:$P$54,$B$22)))</f>
        <v/>
      </c>
      <c r="DR57">
        <f>IF((DU$1+53)&gt;DS$1,NA(),(DU$1+53)-4)</f>
        <v/>
      </c>
      <c r="DS57">
        <f>IF((DU$1+53)&gt;DS$1,NA(),INDEX('Data Entry'!$H$5:$BE$10004,(DU$1+53)-4,$B$23))</f>
        <v/>
      </c>
      <c r="DT57">
        <f>IF(ISNA(DR57),NA(),INDEX(Capability!$K$5:$K$54,$B$23))</f>
        <v/>
      </c>
      <c r="DU57">
        <f>IF(ISNA(DR57),NA(),INDEX(Capability!$J$5:$J$54,$B$23))</f>
        <v/>
      </c>
      <c r="DV57">
        <f>IF(ISNA(DR57),NA(),INDEX(Capability!$L$5:$L$54,$B$23))</f>
        <v/>
      </c>
      <c r="DW57">
        <f>IF(OR(ISNA(DS57),ISNA(DS56)),NA(),ABS(DS57-DS56))</f>
        <v/>
      </c>
      <c r="DX57">
        <f>IF(ISNA(DR57),NA(),INDEX(Capability!$N$5:$N$54,$B$23))</f>
        <v/>
      </c>
      <c r="DY57">
        <f>IF(ISNA(DR57),NA(),IF(OR(INDEX(Capability!$Q$5:$Q$54,$B$23)="",Settings!$F$7&lt;&gt;"Y"),NA(),INDEX(Capability!$Q$5:$Q$54,$B$23)))</f>
        <v/>
      </c>
      <c r="DZ57">
        <f>IF(ISNA(DR57),NA(),IF(OR(INDEX(Capability!$P$5:$P$54,$B$23)="",Settings!$F$7&lt;&gt;"Y"),NA(),INDEX(Capability!$P$5:$P$54,$B$23)))</f>
        <v/>
      </c>
    </row>
    <row r="58">
      <c r="A58" s="35" t="inlineStr">
        <is>
          <t>mR-bar</t>
        </is>
      </c>
      <c r="B58" s="23">
        <f>INDEX(Capability!$M$5:$M$54,$B$20)</f>
        <v/>
      </c>
      <c r="CB58">
        <f>IF((CE$1+54)&gt;CC$1,NA(),(CE$1+54)-4)</f>
        <v/>
      </c>
      <c r="CC58">
        <f>IF((CE$1+54)&gt;CC$1,NA(),INDEX('Data Entry'!$H$5:$BE$10004,(CE$1+54)-4,$B$20))</f>
        <v/>
      </c>
      <c r="CD58">
        <f>IF(ISNA(CB58),NA(),INDEX(Capability!$K$5:$K$54,$B$20))</f>
        <v/>
      </c>
      <c r="CE58">
        <f>IF(ISNA(CB58),NA(),INDEX(Capability!$J$5:$J$54,$B$20))</f>
        <v/>
      </c>
      <c r="CF58">
        <f>IF(ISNA(CB58),NA(),INDEX(Capability!$L$5:$L$54,$B$20))</f>
        <v/>
      </c>
      <c r="CG58">
        <f>IF(OR(ISNA(CC58),ISNA(CC57)),NA(),ABS(CC58-CC57))</f>
        <v/>
      </c>
      <c r="CH58">
        <f>IF(ISNA(CB58),NA(),INDEX(Capability!$N$5:$N$54,$B$20))</f>
        <v/>
      </c>
      <c r="CI58">
        <f>IF(ISNA(CB58),NA(),IF(OR(INDEX(Capability!$Q$5:$Q$54,$B$20)="",Settings!$F$7&lt;&gt;"Y"),NA(),INDEX(Capability!$Q$5:$Q$54,$B$20)))</f>
        <v/>
      </c>
      <c r="CJ58">
        <f>IF(ISNA(CB58),NA(),IF(OR(INDEX(Capability!$P$5:$P$54,$B$20)="",Settings!$F$7&lt;&gt;"Y"),NA(),INDEX(Capability!$P$5:$P$54,$B$20)))</f>
        <v/>
      </c>
      <c r="CP58">
        <f>IF((CS$1+54)&gt;CQ$1,NA(),(CS$1+54)-4)</f>
        <v/>
      </c>
      <c r="CQ58">
        <f>IF((CS$1+54)&gt;CQ$1,NA(),INDEX('Data Entry'!$H$5:$BE$10004,(CS$1+54)-4,$B$21))</f>
        <v/>
      </c>
      <c r="CR58">
        <f>IF(ISNA(CP58),NA(),INDEX(Capability!$K$5:$K$54,$B$21))</f>
        <v/>
      </c>
      <c r="CS58">
        <f>IF(ISNA(CP58),NA(),INDEX(Capability!$J$5:$J$54,$B$21))</f>
        <v/>
      </c>
      <c r="CT58">
        <f>IF(ISNA(CP58),NA(),INDEX(Capability!$L$5:$L$54,$B$21))</f>
        <v/>
      </c>
      <c r="CU58">
        <f>IF(OR(ISNA(CQ58),ISNA(CQ57)),NA(),ABS(CQ58-CQ57))</f>
        <v/>
      </c>
      <c r="CV58">
        <f>IF(ISNA(CP58),NA(),INDEX(Capability!$N$5:$N$54,$B$21))</f>
        <v/>
      </c>
      <c r="CW58">
        <f>IF(ISNA(CP58),NA(),IF(OR(INDEX(Capability!$Q$5:$Q$54,$B$21)="",Settings!$F$7&lt;&gt;"Y"),NA(),INDEX(Capability!$Q$5:$Q$54,$B$21)))</f>
        <v/>
      </c>
      <c r="CX58">
        <f>IF(ISNA(CP58),NA(),IF(OR(INDEX(Capability!$P$5:$P$54,$B$21)="",Settings!$F$7&lt;&gt;"Y"),NA(),INDEX(Capability!$P$5:$P$54,$B$21)))</f>
        <v/>
      </c>
      <c r="DD58">
        <f>IF((DG$1+54)&gt;DE$1,NA(),(DG$1+54)-4)</f>
        <v/>
      </c>
      <c r="DE58">
        <f>IF((DG$1+54)&gt;DE$1,NA(),INDEX('Data Entry'!$H$5:$BE$10004,(DG$1+54)-4,$B$22))</f>
        <v/>
      </c>
      <c r="DF58">
        <f>IF(ISNA(DD58),NA(),INDEX(Capability!$K$5:$K$54,$B$22))</f>
        <v/>
      </c>
      <c r="DG58">
        <f>IF(ISNA(DD58),NA(),INDEX(Capability!$J$5:$J$54,$B$22))</f>
        <v/>
      </c>
      <c r="DH58">
        <f>IF(ISNA(DD58),NA(),INDEX(Capability!$L$5:$L$54,$B$22))</f>
        <v/>
      </c>
      <c r="DI58">
        <f>IF(OR(ISNA(DE58),ISNA(DE57)),NA(),ABS(DE58-DE57))</f>
        <v/>
      </c>
      <c r="DJ58">
        <f>IF(ISNA(DD58),NA(),INDEX(Capability!$N$5:$N$54,$B$22))</f>
        <v/>
      </c>
      <c r="DK58">
        <f>IF(ISNA(DD58),NA(),IF(OR(INDEX(Capability!$Q$5:$Q$54,$B$22)="",Settings!$F$7&lt;&gt;"Y"),NA(),INDEX(Capability!$Q$5:$Q$54,$B$22)))</f>
        <v/>
      </c>
      <c r="DL58">
        <f>IF(ISNA(DD58),NA(),IF(OR(INDEX(Capability!$P$5:$P$54,$B$22)="",Settings!$F$7&lt;&gt;"Y"),NA(),INDEX(Capability!$P$5:$P$54,$B$22)))</f>
        <v/>
      </c>
      <c r="DR58">
        <f>IF((DU$1+54)&gt;DS$1,NA(),(DU$1+54)-4)</f>
        <v/>
      </c>
      <c r="DS58">
        <f>IF((DU$1+54)&gt;DS$1,NA(),INDEX('Data Entry'!$H$5:$BE$10004,(DU$1+54)-4,$B$23))</f>
        <v/>
      </c>
      <c r="DT58">
        <f>IF(ISNA(DR58),NA(),INDEX(Capability!$K$5:$K$54,$B$23))</f>
        <v/>
      </c>
      <c r="DU58">
        <f>IF(ISNA(DR58),NA(),INDEX(Capability!$J$5:$J$54,$B$23))</f>
        <v/>
      </c>
      <c r="DV58">
        <f>IF(ISNA(DR58),NA(),INDEX(Capability!$L$5:$L$54,$B$23))</f>
        <v/>
      </c>
      <c r="DW58">
        <f>IF(OR(ISNA(DS58),ISNA(DS57)),NA(),ABS(DS58-DS57))</f>
        <v/>
      </c>
      <c r="DX58">
        <f>IF(ISNA(DR58),NA(),INDEX(Capability!$N$5:$N$54,$B$23))</f>
        <v/>
      </c>
      <c r="DY58">
        <f>IF(ISNA(DR58),NA(),IF(OR(INDEX(Capability!$Q$5:$Q$54,$B$23)="",Settings!$F$7&lt;&gt;"Y"),NA(),INDEX(Capability!$Q$5:$Q$54,$B$23)))</f>
        <v/>
      </c>
      <c r="DZ58">
        <f>IF(ISNA(DR58),NA(),IF(OR(INDEX(Capability!$P$5:$P$54,$B$23)="",Settings!$F$7&lt;&gt;"Y"),NA(),INDEX(Capability!$P$5:$P$54,$B$23)))</f>
        <v/>
      </c>
    </row>
    <row r="59">
      <c r="A59" s="35" t="inlineStr">
        <is>
          <t>mR UCL</t>
        </is>
      </c>
      <c r="B59" s="23">
        <f>INDEX(Capability!$N$5:$N$54,$B$20)</f>
        <v/>
      </c>
      <c r="CB59">
        <f>IF((CE$1+55)&gt;CC$1,NA(),(CE$1+55)-4)</f>
        <v/>
      </c>
      <c r="CC59">
        <f>IF((CE$1+55)&gt;CC$1,NA(),INDEX('Data Entry'!$H$5:$BE$10004,(CE$1+55)-4,$B$20))</f>
        <v/>
      </c>
      <c r="CD59">
        <f>IF(ISNA(CB59),NA(),INDEX(Capability!$K$5:$K$54,$B$20))</f>
        <v/>
      </c>
      <c r="CE59">
        <f>IF(ISNA(CB59),NA(),INDEX(Capability!$J$5:$J$54,$B$20))</f>
        <v/>
      </c>
      <c r="CF59">
        <f>IF(ISNA(CB59),NA(),INDEX(Capability!$L$5:$L$54,$B$20))</f>
        <v/>
      </c>
      <c r="CG59">
        <f>IF(OR(ISNA(CC59),ISNA(CC58)),NA(),ABS(CC59-CC58))</f>
        <v/>
      </c>
      <c r="CH59">
        <f>IF(ISNA(CB59),NA(),INDEX(Capability!$N$5:$N$54,$B$20))</f>
        <v/>
      </c>
      <c r="CI59">
        <f>IF(ISNA(CB59),NA(),IF(OR(INDEX(Capability!$Q$5:$Q$54,$B$20)="",Settings!$F$7&lt;&gt;"Y"),NA(),INDEX(Capability!$Q$5:$Q$54,$B$20)))</f>
        <v/>
      </c>
      <c r="CJ59">
        <f>IF(ISNA(CB59),NA(),IF(OR(INDEX(Capability!$P$5:$P$54,$B$20)="",Settings!$F$7&lt;&gt;"Y"),NA(),INDEX(Capability!$P$5:$P$54,$B$20)))</f>
        <v/>
      </c>
      <c r="CP59">
        <f>IF((CS$1+55)&gt;CQ$1,NA(),(CS$1+55)-4)</f>
        <v/>
      </c>
      <c r="CQ59">
        <f>IF((CS$1+55)&gt;CQ$1,NA(),INDEX('Data Entry'!$H$5:$BE$10004,(CS$1+55)-4,$B$21))</f>
        <v/>
      </c>
      <c r="CR59">
        <f>IF(ISNA(CP59),NA(),INDEX(Capability!$K$5:$K$54,$B$21))</f>
        <v/>
      </c>
      <c r="CS59">
        <f>IF(ISNA(CP59),NA(),INDEX(Capability!$J$5:$J$54,$B$21))</f>
        <v/>
      </c>
      <c r="CT59">
        <f>IF(ISNA(CP59),NA(),INDEX(Capability!$L$5:$L$54,$B$21))</f>
        <v/>
      </c>
      <c r="CU59">
        <f>IF(OR(ISNA(CQ59),ISNA(CQ58)),NA(),ABS(CQ59-CQ58))</f>
        <v/>
      </c>
      <c r="CV59">
        <f>IF(ISNA(CP59),NA(),INDEX(Capability!$N$5:$N$54,$B$21))</f>
        <v/>
      </c>
      <c r="CW59">
        <f>IF(ISNA(CP59),NA(),IF(OR(INDEX(Capability!$Q$5:$Q$54,$B$21)="",Settings!$F$7&lt;&gt;"Y"),NA(),INDEX(Capability!$Q$5:$Q$54,$B$21)))</f>
        <v/>
      </c>
      <c r="CX59">
        <f>IF(ISNA(CP59),NA(),IF(OR(INDEX(Capability!$P$5:$P$54,$B$21)="",Settings!$F$7&lt;&gt;"Y"),NA(),INDEX(Capability!$P$5:$P$54,$B$21)))</f>
        <v/>
      </c>
      <c r="DD59">
        <f>IF((DG$1+55)&gt;DE$1,NA(),(DG$1+55)-4)</f>
        <v/>
      </c>
      <c r="DE59">
        <f>IF((DG$1+55)&gt;DE$1,NA(),INDEX('Data Entry'!$H$5:$BE$10004,(DG$1+55)-4,$B$22))</f>
        <v/>
      </c>
      <c r="DF59">
        <f>IF(ISNA(DD59),NA(),INDEX(Capability!$K$5:$K$54,$B$22))</f>
        <v/>
      </c>
      <c r="DG59">
        <f>IF(ISNA(DD59),NA(),INDEX(Capability!$J$5:$J$54,$B$22))</f>
        <v/>
      </c>
      <c r="DH59">
        <f>IF(ISNA(DD59),NA(),INDEX(Capability!$L$5:$L$54,$B$22))</f>
        <v/>
      </c>
      <c r="DI59">
        <f>IF(OR(ISNA(DE59),ISNA(DE58)),NA(),ABS(DE59-DE58))</f>
        <v/>
      </c>
      <c r="DJ59">
        <f>IF(ISNA(DD59),NA(),INDEX(Capability!$N$5:$N$54,$B$22))</f>
        <v/>
      </c>
      <c r="DK59">
        <f>IF(ISNA(DD59),NA(),IF(OR(INDEX(Capability!$Q$5:$Q$54,$B$22)="",Settings!$F$7&lt;&gt;"Y"),NA(),INDEX(Capability!$Q$5:$Q$54,$B$22)))</f>
        <v/>
      </c>
      <c r="DL59">
        <f>IF(ISNA(DD59),NA(),IF(OR(INDEX(Capability!$P$5:$P$54,$B$22)="",Settings!$F$7&lt;&gt;"Y"),NA(),INDEX(Capability!$P$5:$P$54,$B$22)))</f>
        <v/>
      </c>
      <c r="DR59">
        <f>IF((DU$1+55)&gt;DS$1,NA(),(DU$1+55)-4)</f>
        <v/>
      </c>
      <c r="DS59">
        <f>IF((DU$1+55)&gt;DS$1,NA(),INDEX('Data Entry'!$H$5:$BE$10004,(DU$1+55)-4,$B$23))</f>
        <v/>
      </c>
      <c r="DT59">
        <f>IF(ISNA(DR59),NA(),INDEX(Capability!$K$5:$K$54,$B$23))</f>
        <v/>
      </c>
      <c r="DU59">
        <f>IF(ISNA(DR59),NA(),INDEX(Capability!$J$5:$J$54,$B$23))</f>
        <v/>
      </c>
      <c r="DV59">
        <f>IF(ISNA(DR59),NA(),INDEX(Capability!$L$5:$L$54,$B$23))</f>
        <v/>
      </c>
      <c r="DW59">
        <f>IF(OR(ISNA(DS59),ISNA(DS58)),NA(),ABS(DS59-DS58))</f>
        <v/>
      </c>
      <c r="DX59">
        <f>IF(ISNA(DR59),NA(),INDEX(Capability!$N$5:$N$54,$B$23))</f>
        <v/>
      </c>
      <c r="DY59">
        <f>IF(ISNA(DR59),NA(),IF(OR(INDEX(Capability!$Q$5:$Q$54,$B$23)="",Settings!$F$7&lt;&gt;"Y"),NA(),INDEX(Capability!$Q$5:$Q$54,$B$23)))</f>
        <v/>
      </c>
      <c r="DZ59">
        <f>IF(ISNA(DR59),NA(),IF(OR(INDEX(Capability!$P$5:$P$54,$B$23)="",Settings!$F$7&lt;&gt;"Y"),NA(),INDEX(Capability!$P$5:$P$54,$B$23)))</f>
        <v/>
      </c>
    </row>
    <row r="60">
      <c r="A60" s="37" t="inlineStr">
        <is>
          <t>SPECIFICATION</t>
        </is>
      </c>
      <c r="B60" s="28" t="n"/>
      <c r="CB60">
        <f>IF((CE$1+56)&gt;CC$1,NA(),(CE$1+56)-4)</f>
        <v/>
      </c>
      <c r="CC60">
        <f>IF((CE$1+56)&gt;CC$1,NA(),INDEX('Data Entry'!$H$5:$BE$10004,(CE$1+56)-4,$B$20))</f>
        <v/>
      </c>
      <c r="CD60">
        <f>IF(ISNA(CB60),NA(),INDEX(Capability!$K$5:$K$54,$B$20))</f>
        <v/>
      </c>
      <c r="CE60">
        <f>IF(ISNA(CB60),NA(),INDEX(Capability!$J$5:$J$54,$B$20))</f>
        <v/>
      </c>
      <c r="CF60">
        <f>IF(ISNA(CB60),NA(),INDEX(Capability!$L$5:$L$54,$B$20))</f>
        <v/>
      </c>
      <c r="CG60">
        <f>IF(OR(ISNA(CC60),ISNA(CC59)),NA(),ABS(CC60-CC59))</f>
        <v/>
      </c>
      <c r="CH60">
        <f>IF(ISNA(CB60),NA(),INDEX(Capability!$N$5:$N$54,$B$20))</f>
        <v/>
      </c>
      <c r="CI60">
        <f>IF(ISNA(CB60),NA(),IF(OR(INDEX(Capability!$Q$5:$Q$54,$B$20)="",Settings!$F$7&lt;&gt;"Y"),NA(),INDEX(Capability!$Q$5:$Q$54,$B$20)))</f>
        <v/>
      </c>
      <c r="CJ60">
        <f>IF(ISNA(CB60),NA(),IF(OR(INDEX(Capability!$P$5:$P$54,$B$20)="",Settings!$F$7&lt;&gt;"Y"),NA(),INDEX(Capability!$P$5:$P$54,$B$20)))</f>
        <v/>
      </c>
      <c r="CP60">
        <f>IF((CS$1+56)&gt;CQ$1,NA(),(CS$1+56)-4)</f>
        <v/>
      </c>
      <c r="CQ60">
        <f>IF((CS$1+56)&gt;CQ$1,NA(),INDEX('Data Entry'!$H$5:$BE$10004,(CS$1+56)-4,$B$21))</f>
        <v/>
      </c>
      <c r="CR60">
        <f>IF(ISNA(CP60),NA(),INDEX(Capability!$K$5:$K$54,$B$21))</f>
        <v/>
      </c>
      <c r="CS60">
        <f>IF(ISNA(CP60),NA(),INDEX(Capability!$J$5:$J$54,$B$21))</f>
        <v/>
      </c>
      <c r="CT60">
        <f>IF(ISNA(CP60),NA(),INDEX(Capability!$L$5:$L$54,$B$21))</f>
        <v/>
      </c>
      <c r="CU60">
        <f>IF(OR(ISNA(CQ60),ISNA(CQ59)),NA(),ABS(CQ60-CQ59))</f>
        <v/>
      </c>
      <c r="CV60">
        <f>IF(ISNA(CP60),NA(),INDEX(Capability!$N$5:$N$54,$B$21))</f>
        <v/>
      </c>
      <c r="CW60">
        <f>IF(ISNA(CP60),NA(),IF(OR(INDEX(Capability!$Q$5:$Q$54,$B$21)="",Settings!$F$7&lt;&gt;"Y"),NA(),INDEX(Capability!$Q$5:$Q$54,$B$21)))</f>
        <v/>
      </c>
      <c r="CX60">
        <f>IF(ISNA(CP60),NA(),IF(OR(INDEX(Capability!$P$5:$P$54,$B$21)="",Settings!$F$7&lt;&gt;"Y"),NA(),INDEX(Capability!$P$5:$P$54,$B$21)))</f>
        <v/>
      </c>
      <c r="DD60">
        <f>IF((DG$1+56)&gt;DE$1,NA(),(DG$1+56)-4)</f>
        <v/>
      </c>
      <c r="DE60">
        <f>IF((DG$1+56)&gt;DE$1,NA(),INDEX('Data Entry'!$H$5:$BE$10004,(DG$1+56)-4,$B$22))</f>
        <v/>
      </c>
      <c r="DF60">
        <f>IF(ISNA(DD60),NA(),INDEX(Capability!$K$5:$K$54,$B$22))</f>
        <v/>
      </c>
      <c r="DG60">
        <f>IF(ISNA(DD60),NA(),INDEX(Capability!$J$5:$J$54,$B$22))</f>
        <v/>
      </c>
      <c r="DH60">
        <f>IF(ISNA(DD60),NA(),INDEX(Capability!$L$5:$L$54,$B$22))</f>
        <v/>
      </c>
      <c r="DI60">
        <f>IF(OR(ISNA(DE60),ISNA(DE59)),NA(),ABS(DE60-DE59))</f>
        <v/>
      </c>
      <c r="DJ60">
        <f>IF(ISNA(DD60),NA(),INDEX(Capability!$N$5:$N$54,$B$22))</f>
        <v/>
      </c>
      <c r="DK60">
        <f>IF(ISNA(DD60),NA(),IF(OR(INDEX(Capability!$Q$5:$Q$54,$B$22)="",Settings!$F$7&lt;&gt;"Y"),NA(),INDEX(Capability!$Q$5:$Q$54,$B$22)))</f>
        <v/>
      </c>
      <c r="DL60">
        <f>IF(ISNA(DD60),NA(),IF(OR(INDEX(Capability!$P$5:$P$54,$B$22)="",Settings!$F$7&lt;&gt;"Y"),NA(),INDEX(Capability!$P$5:$P$54,$B$22)))</f>
        <v/>
      </c>
      <c r="DR60">
        <f>IF((DU$1+56)&gt;DS$1,NA(),(DU$1+56)-4)</f>
        <v/>
      </c>
      <c r="DS60">
        <f>IF((DU$1+56)&gt;DS$1,NA(),INDEX('Data Entry'!$H$5:$BE$10004,(DU$1+56)-4,$B$23))</f>
        <v/>
      </c>
      <c r="DT60">
        <f>IF(ISNA(DR60),NA(),INDEX(Capability!$K$5:$K$54,$B$23))</f>
        <v/>
      </c>
      <c r="DU60">
        <f>IF(ISNA(DR60),NA(),INDEX(Capability!$J$5:$J$54,$B$23))</f>
        <v/>
      </c>
      <c r="DV60">
        <f>IF(ISNA(DR60),NA(),INDEX(Capability!$L$5:$L$54,$B$23))</f>
        <v/>
      </c>
      <c r="DW60">
        <f>IF(OR(ISNA(DS60),ISNA(DS59)),NA(),ABS(DS60-DS59))</f>
        <v/>
      </c>
      <c r="DX60">
        <f>IF(ISNA(DR60),NA(),INDEX(Capability!$N$5:$N$54,$B$23))</f>
        <v/>
      </c>
      <c r="DY60">
        <f>IF(ISNA(DR60),NA(),IF(OR(INDEX(Capability!$Q$5:$Q$54,$B$23)="",Settings!$F$7&lt;&gt;"Y"),NA(),INDEX(Capability!$Q$5:$Q$54,$B$23)))</f>
        <v/>
      </c>
      <c r="DZ60">
        <f>IF(ISNA(DR60),NA(),IF(OR(INDEX(Capability!$P$5:$P$54,$B$23)="",Settings!$F$7&lt;&gt;"Y"),NA(),INDEX(Capability!$P$5:$P$54,$B$23)))</f>
        <v/>
      </c>
    </row>
    <row r="61">
      <c r="A61" s="35" t="inlineStr">
        <is>
          <t>USL</t>
        </is>
      </c>
      <c r="B61" s="23">
        <f>INDEX(Capability!$Q$5:$Q$54,$B$20)</f>
        <v/>
      </c>
      <c r="CB61">
        <f>IF((CE$1+57)&gt;CC$1,NA(),(CE$1+57)-4)</f>
        <v/>
      </c>
      <c r="CC61">
        <f>IF((CE$1+57)&gt;CC$1,NA(),INDEX('Data Entry'!$H$5:$BE$10004,(CE$1+57)-4,$B$20))</f>
        <v/>
      </c>
      <c r="CD61">
        <f>IF(ISNA(CB61),NA(),INDEX(Capability!$K$5:$K$54,$B$20))</f>
        <v/>
      </c>
      <c r="CE61">
        <f>IF(ISNA(CB61),NA(),INDEX(Capability!$J$5:$J$54,$B$20))</f>
        <v/>
      </c>
      <c r="CF61">
        <f>IF(ISNA(CB61),NA(),INDEX(Capability!$L$5:$L$54,$B$20))</f>
        <v/>
      </c>
      <c r="CG61">
        <f>IF(OR(ISNA(CC61),ISNA(CC60)),NA(),ABS(CC61-CC60))</f>
        <v/>
      </c>
      <c r="CH61">
        <f>IF(ISNA(CB61),NA(),INDEX(Capability!$N$5:$N$54,$B$20))</f>
        <v/>
      </c>
      <c r="CI61">
        <f>IF(ISNA(CB61),NA(),IF(OR(INDEX(Capability!$Q$5:$Q$54,$B$20)="",Settings!$F$7&lt;&gt;"Y"),NA(),INDEX(Capability!$Q$5:$Q$54,$B$20)))</f>
        <v/>
      </c>
      <c r="CJ61">
        <f>IF(ISNA(CB61),NA(),IF(OR(INDEX(Capability!$P$5:$P$54,$B$20)="",Settings!$F$7&lt;&gt;"Y"),NA(),INDEX(Capability!$P$5:$P$54,$B$20)))</f>
        <v/>
      </c>
      <c r="CP61">
        <f>IF((CS$1+57)&gt;CQ$1,NA(),(CS$1+57)-4)</f>
        <v/>
      </c>
      <c r="CQ61">
        <f>IF((CS$1+57)&gt;CQ$1,NA(),INDEX('Data Entry'!$H$5:$BE$10004,(CS$1+57)-4,$B$21))</f>
        <v/>
      </c>
      <c r="CR61">
        <f>IF(ISNA(CP61),NA(),INDEX(Capability!$K$5:$K$54,$B$21))</f>
        <v/>
      </c>
      <c r="CS61">
        <f>IF(ISNA(CP61),NA(),INDEX(Capability!$J$5:$J$54,$B$21))</f>
        <v/>
      </c>
      <c r="CT61">
        <f>IF(ISNA(CP61),NA(),INDEX(Capability!$L$5:$L$54,$B$21))</f>
        <v/>
      </c>
      <c r="CU61">
        <f>IF(OR(ISNA(CQ61),ISNA(CQ60)),NA(),ABS(CQ61-CQ60))</f>
        <v/>
      </c>
      <c r="CV61">
        <f>IF(ISNA(CP61),NA(),INDEX(Capability!$N$5:$N$54,$B$21))</f>
        <v/>
      </c>
      <c r="CW61">
        <f>IF(ISNA(CP61),NA(),IF(OR(INDEX(Capability!$Q$5:$Q$54,$B$21)="",Settings!$F$7&lt;&gt;"Y"),NA(),INDEX(Capability!$Q$5:$Q$54,$B$21)))</f>
        <v/>
      </c>
      <c r="CX61">
        <f>IF(ISNA(CP61),NA(),IF(OR(INDEX(Capability!$P$5:$P$54,$B$21)="",Settings!$F$7&lt;&gt;"Y"),NA(),INDEX(Capability!$P$5:$P$54,$B$21)))</f>
        <v/>
      </c>
      <c r="DD61">
        <f>IF((DG$1+57)&gt;DE$1,NA(),(DG$1+57)-4)</f>
        <v/>
      </c>
      <c r="DE61">
        <f>IF((DG$1+57)&gt;DE$1,NA(),INDEX('Data Entry'!$H$5:$BE$10004,(DG$1+57)-4,$B$22))</f>
        <v/>
      </c>
      <c r="DF61">
        <f>IF(ISNA(DD61),NA(),INDEX(Capability!$K$5:$K$54,$B$22))</f>
        <v/>
      </c>
      <c r="DG61">
        <f>IF(ISNA(DD61),NA(),INDEX(Capability!$J$5:$J$54,$B$22))</f>
        <v/>
      </c>
      <c r="DH61">
        <f>IF(ISNA(DD61),NA(),INDEX(Capability!$L$5:$L$54,$B$22))</f>
        <v/>
      </c>
      <c r="DI61">
        <f>IF(OR(ISNA(DE61),ISNA(DE60)),NA(),ABS(DE61-DE60))</f>
        <v/>
      </c>
      <c r="DJ61">
        <f>IF(ISNA(DD61),NA(),INDEX(Capability!$N$5:$N$54,$B$22))</f>
        <v/>
      </c>
      <c r="DK61">
        <f>IF(ISNA(DD61),NA(),IF(OR(INDEX(Capability!$Q$5:$Q$54,$B$22)="",Settings!$F$7&lt;&gt;"Y"),NA(),INDEX(Capability!$Q$5:$Q$54,$B$22)))</f>
        <v/>
      </c>
      <c r="DL61">
        <f>IF(ISNA(DD61),NA(),IF(OR(INDEX(Capability!$P$5:$P$54,$B$22)="",Settings!$F$7&lt;&gt;"Y"),NA(),INDEX(Capability!$P$5:$P$54,$B$22)))</f>
        <v/>
      </c>
      <c r="DR61">
        <f>IF((DU$1+57)&gt;DS$1,NA(),(DU$1+57)-4)</f>
        <v/>
      </c>
      <c r="DS61">
        <f>IF((DU$1+57)&gt;DS$1,NA(),INDEX('Data Entry'!$H$5:$BE$10004,(DU$1+57)-4,$B$23))</f>
        <v/>
      </c>
      <c r="DT61">
        <f>IF(ISNA(DR61),NA(),INDEX(Capability!$K$5:$K$54,$B$23))</f>
        <v/>
      </c>
      <c r="DU61">
        <f>IF(ISNA(DR61),NA(),INDEX(Capability!$J$5:$J$54,$B$23))</f>
        <v/>
      </c>
      <c r="DV61">
        <f>IF(ISNA(DR61),NA(),INDEX(Capability!$L$5:$L$54,$B$23))</f>
        <v/>
      </c>
      <c r="DW61">
        <f>IF(OR(ISNA(DS61),ISNA(DS60)),NA(),ABS(DS61-DS60))</f>
        <v/>
      </c>
      <c r="DX61">
        <f>IF(ISNA(DR61),NA(),INDEX(Capability!$N$5:$N$54,$B$23))</f>
        <v/>
      </c>
      <c r="DY61">
        <f>IF(ISNA(DR61),NA(),IF(OR(INDEX(Capability!$Q$5:$Q$54,$B$23)="",Settings!$F$7&lt;&gt;"Y"),NA(),INDEX(Capability!$Q$5:$Q$54,$B$23)))</f>
        <v/>
      </c>
      <c r="DZ61">
        <f>IF(ISNA(DR61),NA(),IF(OR(INDEX(Capability!$P$5:$P$54,$B$23)="",Settings!$F$7&lt;&gt;"Y"),NA(),INDEX(Capability!$P$5:$P$54,$B$23)))</f>
        <v/>
      </c>
    </row>
    <row r="62">
      <c r="A62" s="35" t="inlineStr">
        <is>
          <t>Nominal</t>
        </is>
      </c>
      <c r="B62" s="23">
        <f>INDEX(Capability!$O$5:$O$54,$B$20)</f>
        <v/>
      </c>
      <c r="CB62">
        <f>IF((CE$1+58)&gt;CC$1,NA(),(CE$1+58)-4)</f>
        <v/>
      </c>
      <c r="CC62">
        <f>IF((CE$1+58)&gt;CC$1,NA(),INDEX('Data Entry'!$H$5:$BE$10004,(CE$1+58)-4,$B$20))</f>
        <v/>
      </c>
      <c r="CD62">
        <f>IF(ISNA(CB62),NA(),INDEX(Capability!$K$5:$K$54,$B$20))</f>
        <v/>
      </c>
      <c r="CE62">
        <f>IF(ISNA(CB62),NA(),INDEX(Capability!$J$5:$J$54,$B$20))</f>
        <v/>
      </c>
      <c r="CF62">
        <f>IF(ISNA(CB62),NA(),INDEX(Capability!$L$5:$L$54,$B$20))</f>
        <v/>
      </c>
      <c r="CG62">
        <f>IF(OR(ISNA(CC62),ISNA(CC61)),NA(),ABS(CC62-CC61))</f>
        <v/>
      </c>
      <c r="CH62">
        <f>IF(ISNA(CB62),NA(),INDEX(Capability!$N$5:$N$54,$B$20))</f>
        <v/>
      </c>
      <c r="CI62">
        <f>IF(ISNA(CB62),NA(),IF(OR(INDEX(Capability!$Q$5:$Q$54,$B$20)="",Settings!$F$7&lt;&gt;"Y"),NA(),INDEX(Capability!$Q$5:$Q$54,$B$20)))</f>
        <v/>
      </c>
      <c r="CJ62">
        <f>IF(ISNA(CB62),NA(),IF(OR(INDEX(Capability!$P$5:$P$54,$B$20)="",Settings!$F$7&lt;&gt;"Y"),NA(),INDEX(Capability!$P$5:$P$54,$B$20)))</f>
        <v/>
      </c>
      <c r="CP62">
        <f>IF((CS$1+58)&gt;CQ$1,NA(),(CS$1+58)-4)</f>
        <v/>
      </c>
      <c r="CQ62">
        <f>IF((CS$1+58)&gt;CQ$1,NA(),INDEX('Data Entry'!$H$5:$BE$10004,(CS$1+58)-4,$B$21))</f>
        <v/>
      </c>
      <c r="CR62">
        <f>IF(ISNA(CP62),NA(),INDEX(Capability!$K$5:$K$54,$B$21))</f>
        <v/>
      </c>
      <c r="CS62">
        <f>IF(ISNA(CP62),NA(),INDEX(Capability!$J$5:$J$54,$B$21))</f>
        <v/>
      </c>
      <c r="CT62">
        <f>IF(ISNA(CP62),NA(),INDEX(Capability!$L$5:$L$54,$B$21))</f>
        <v/>
      </c>
      <c r="CU62">
        <f>IF(OR(ISNA(CQ62),ISNA(CQ61)),NA(),ABS(CQ62-CQ61))</f>
        <v/>
      </c>
      <c r="CV62">
        <f>IF(ISNA(CP62),NA(),INDEX(Capability!$N$5:$N$54,$B$21))</f>
        <v/>
      </c>
      <c r="CW62">
        <f>IF(ISNA(CP62),NA(),IF(OR(INDEX(Capability!$Q$5:$Q$54,$B$21)="",Settings!$F$7&lt;&gt;"Y"),NA(),INDEX(Capability!$Q$5:$Q$54,$B$21)))</f>
        <v/>
      </c>
      <c r="CX62">
        <f>IF(ISNA(CP62),NA(),IF(OR(INDEX(Capability!$P$5:$P$54,$B$21)="",Settings!$F$7&lt;&gt;"Y"),NA(),INDEX(Capability!$P$5:$P$54,$B$21)))</f>
        <v/>
      </c>
      <c r="DD62">
        <f>IF((DG$1+58)&gt;DE$1,NA(),(DG$1+58)-4)</f>
        <v/>
      </c>
      <c r="DE62">
        <f>IF((DG$1+58)&gt;DE$1,NA(),INDEX('Data Entry'!$H$5:$BE$10004,(DG$1+58)-4,$B$22))</f>
        <v/>
      </c>
      <c r="DF62">
        <f>IF(ISNA(DD62),NA(),INDEX(Capability!$K$5:$K$54,$B$22))</f>
        <v/>
      </c>
      <c r="DG62">
        <f>IF(ISNA(DD62),NA(),INDEX(Capability!$J$5:$J$54,$B$22))</f>
        <v/>
      </c>
      <c r="DH62">
        <f>IF(ISNA(DD62),NA(),INDEX(Capability!$L$5:$L$54,$B$22))</f>
        <v/>
      </c>
      <c r="DI62">
        <f>IF(OR(ISNA(DE62),ISNA(DE61)),NA(),ABS(DE62-DE61))</f>
        <v/>
      </c>
      <c r="DJ62">
        <f>IF(ISNA(DD62),NA(),INDEX(Capability!$N$5:$N$54,$B$22))</f>
        <v/>
      </c>
      <c r="DK62">
        <f>IF(ISNA(DD62),NA(),IF(OR(INDEX(Capability!$Q$5:$Q$54,$B$22)="",Settings!$F$7&lt;&gt;"Y"),NA(),INDEX(Capability!$Q$5:$Q$54,$B$22)))</f>
        <v/>
      </c>
      <c r="DL62">
        <f>IF(ISNA(DD62),NA(),IF(OR(INDEX(Capability!$P$5:$P$54,$B$22)="",Settings!$F$7&lt;&gt;"Y"),NA(),INDEX(Capability!$P$5:$P$54,$B$22)))</f>
        <v/>
      </c>
      <c r="DR62">
        <f>IF((DU$1+58)&gt;DS$1,NA(),(DU$1+58)-4)</f>
        <v/>
      </c>
      <c r="DS62">
        <f>IF((DU$1+58)&gt;DS$1,NA(),INDEX('Data Entry'!$H$5:$BE$10004,(DU$1+58)-4,$B$23))</f>
        <v/>
      </c>
      <c r="DT62">
        <f>IF(ISNA(DR62),NA(),INDEX(Capability!$K$5:$K$54,$B$23))</f>
        <v/>
      </c>
      <c r="DU62">
        <f>IF(ISNA(DR62),NA(),INDEX(Capability!$J$5:$J$54,$B$23))</f>
        <v/>
      </c>
      <c r="DV62">
        <f>IF(ISNA(DR62),NA(),INDEX(Capability!$L$5:$L$54,$B$23))</f>
        <v/>
      </c>
      <c r="DW62">
        <f>IF(OR(ISNA(DS62),ISNA(DS61)),NA(),ABS(DS62-DS61))</f>
        <v/>
      </c>
      <c r="DX62">
        <f>IF(ISNA(DR62),NA(),INDEX(Capability!$N$5:$N$54,$B$23))</f>
        <v/>
      </c>
      <c r="DY62">
        <f>IF(ISNA(DR62),NA(),IF(OR(INDEX(Capability!$Q$5:$Q$54,$B$23)="",Settings!$F$7&lt;&gt;"Y"),NA(),INDEX(Capability!$Q$5:$Q$54,$B$23)))</f>
        <v/>
      </c>
      <c r="DZ62">
        <f>IF(ISNA(DR62),NA(),IF(OR(INDEX(Capability!$P$5:$P$54,$B$23)="",Settings!$F$7&lt;&gt;"Y"),NA(),INDEX(Capability!$P$5:$P$54,$B$23)))</f>
        <v/>
      </c>
    </row>
    <row r="63">
      <c r="A63" s="35" t="inlineStr">
        <is>
          <t>LSL</t>
        </is>
      </c>
      <c r="B63" s="23">
        <f>INDEX(Capability!$P$5:$P$54,$B$20)</f>
        <v/>
      </c>
      <c r="CB63">
        <f>IF((CE$1+59)&gt;CC$1,NA(),(CE$1+59)-4)</f>
        <v/>
      </c>
      <c r="CC63">
        <f>IF((CE$1+59)&gt;CC$1,NA(),INDEX('Data Entry'!$H$5:$BE$10004,(CE$1+59)-4,$B$20))</f>
        <v/>
      </c>
      <c r="CD63">
        <f>IF(ISNA(CB63),NA(),INDEX(Capability!$K$5:$K$54,$B$20))</f>
        <v/>
      </c>
      <c r="CE63">
        <f>IF(ISNA(CB63),NA(),INDEX(Capability!$J$5:$J$54,$B$20))</f>
        <v/>
      </c>
      <c r="CF63">
        <f>IF(ISNA(CB63),NA(),INDEX(Capability!$L$5:$L$54,$B$20))</f>
        <v/>
      </c>
      <c r="CG63">
        <f>IF(OR(ISNA(CC63),ISNA(CC62)),NA(),ABS(CC63-CC62))</f>
        <v/>
      </c>
      <c r="CH63">
        <f>IF(ISNA(CB63),NA(),INDEX(Capability!$N$5:$N$54,$B$20))</f>
        <v/>
      </c>
      <c r="CI63">
        <f>IF(ISNA(CB63),NA(),IF(OR(INDEX(Capability!$Q$5:$Q$54,$B$20)="",Settings!$F$7&lt;&gt;"Y"),NA(),INDEX(Capability!$Q$5:$Q$54,$B$20)))</f>
        <v/>
      </c>
      <c r="CJ63">
        <f>IF(ISNA(CB63),NA(),IF(OR(INDEX(Capability!$P$5:$P$54,$B$20)="",Settings!$F$7&lt;&gt;"Y"),NA(),INDEX(Capability!$P$5:$P$54,$B$20)))</f>
        <v/>
      </c>
      <c r="CP63">
        <f>IF((CS$1+59)&gt;CQ$1,NA(),(CS$1+59)-4)</f>
        <v/>
      </c>
      <c r="CQ63">
        <f>IF((CS$1+59)&gt;CQ$1,NA(),INDEX('Data Entry'!$H$5:$BE$10004,(CS$1+59)-4,$B$21))</f>
        <v/>
      </c>
      <c r="CR63">
        <f>IF(ISNA(CP63),NA(),INDEX(Capability!$K$5:$K$54,$B$21))</f>
        <v/>
      </c>
      <c r="CS63">
        <f>IF(ISNA(CP63),NA(),INDEX(Capability!$J$5:$J$54,$B$21))</f>
        <v/>
      </c>
      <c r="CT63">
        <f>IF(ISNA(CP63),NA(),INDEX(Capability!$L$5:$L$54,$B$21))</f>
        <v/>
      </c>
      <c r="CU63">
        <f>IF(OR(ISNA(CQ63),ISNA(CQ62)),NA(),ABS(CQ63-CQ62))</f>
        <v/>
      </c>
      <c r="CV63">
        <f>IF(ISNA(CP63),NA(),INDEX(Capability!$N$5:$N$54,$B$21))</f>
        <v/>
      </c>
      <c r="CW63">
        <f>IF(ISNA(CP63),NA(),IF(OR(INDEX(Capability!$Q$5:$Q$54,$B$21)="",Settings!$F$7&lt;&gt;"Y"),NA(),INDEX(Capability!$Q$5:$Q$54,$B$21)))</f>
        <v/>
      </c>
      <c r="CX63">
        <f>IF(ISNA(CP63),NA(),IF(OR(INDEX(Capability!$P$5:$P$54,$B$21)="",Settings!$F$7&lt;&gt;"Y"),NA(),INDEX(Capability!$P$5:$P$54,$B$21)))</f>
        <v/>
      </c>
      <c r="DD63">
        <f>IF((DG$1+59)&gt;DE$1,NA(),(DG$1+59)-4)</f>
        <v/>
      </c>
      <c r="DE63">
        <f>IF((DG$1+59)&gt;DE$1,NA(),INDEX('Data Entry'!$H$5:$BE$10004,(DG$1+59)-4,$B$22))</f>
        <v/>
      </c>
      <c r="DF63">
        <f>IF(ISNA(DD63),NA(),INDEX(Capability!$K$5:$K$54,$B$22))</f>
        <v/>
      </c>
      <c r="DG63">
        <f>IF(ISNA(DD63),NA(),INDEX(Capability!$J$5:$J$54,$B$22))</f>
        <v/>
      </c>
      <c r="DH63">
        <f>IF(ISNA(DD63),NA(),INDEX(Capability!$L$5:$L$54,$B$22))</f>
        <v/>
      </c>
      <c r="DI63">
        <f>IF(OR(ISNA(DE63),ISNA(DE62)),NA(),ABS(DE63-DE62))</f>
        <v/>
      </c>
      <c r="DJ63">
        <f>IF(ISNA(DD63),NA(),INDEX(Capability!$N$5:$N$54,$B$22))</f>
        <v/>
      </c>
      <c r="DK63">
        <f>IF(ISNA(DD63),NA(),IF(OR(INDEX(Capability!$Q$5:$Q$54,$B$22)="",Settings!$F$7&lt;&gt;"Y"),NA(),INDEX(Capability!$Q$5:$Q$54,$B$22)))</f>
        <v/>
      </c>
      <c r="DL63">
        <f>IF(ISNA(DD63),NA(),IF(OR(INDEX(Capability!$P$5:$P$54,$B$22)="",Settings!$F$7&lt;&gt;"Y"),NA(),INDEX(Capability!$P$5:$P$54,$B$22)))</f>
        <v/>
      </c>
      <c r="DR63">
        <f>IF((DU$1+59)&gt;DS$1,NA(),(DU$1+59)-4)</f>
        <v/>
      </c>
      <c r="DS63">
        <f>IF((DU$1+59)&gt;DS$1,NA(),INDEX('Data Entry'!$H$5:$BE$10004,(DU$1+59)-4,$B$23))</f>
        <v/>
      </c>
      <c r="DT63">
        <f>IF(ISNA(DR63),NA(),INDEX(Capability!$K$5:$K$54,$B$23))</f>
        <v/>
      </c>
      <c r="DU63">
        <f>IF(ISNA(DR63),NA(),INDEX(Capability!$J$5:$J$54,$B$23))</f>
        <v/>
      </c>
      <c r="DV63">
        <f>IF(ISNA(DR63),NA(),INDEX(Capability!$L$5:$L$54,$B$23))</f>
        <v/>
      </c>
      <c r="DW63">
        <f>IF(OR(ISNA(DS63),ISNA(DS62)),NA(),ABS(DS63-DS62))</f>
        <v/>
      </c>
      <c r="DX63">
        <f>IF(ISNA(DR63),NA(),INDEX(Capability!$N$5:$N$54,$B$23))</f>
        <v/>
      </c>
      <c r="DY63">
        <f>IF(ISNA(DR63),NA(),IF(OR(INDEX(Capability!$Q$5:$Q$54,$B$23)="",Settings!$F$7&lt;&gt;"Y"),NA(),INDEX(Capability!$Q$5:$Q$54,$B$23)))</f>
        <v/>
      </c>
      <c r="DZ63">
        <f>IF(ISNA(DR63),NA(),IF(OR(INDEX(Capability!$P$5:$P$54,$B$23)="",Settings!$F$7&lt;&gt;"Y"),NA(),INDEX(Capability!$P$5:$P$54,$B$23)))</f>
        <v/>
      </c>
    </row>
    <row r="64">
      <c r="A64" s="37" t="inlineStr">
        <is>
          <t>CAPABILITY</t>
        </is>
      </c>
      <c r="B64" s="28" t="n"/>
      <c r="CB64">
        <f>IF((CE$1+60)&gt;CC$1,NA(),(CE$1+60)-4)</f>
        <v/>
      </c>
      <c r="CC64">
        <f>IF((CE$1+60)&gt;CC$1,NA(),INDEX('Data Entry'!$H$5:$BE$10004,(CE$1+60)-4,$B$20))</f>
        <v/>
      </c>
      <c r="CD64">
        <f>IF(ISNA(CB64),NA(),INDEX(Capability!$K$5:$K$54,$B$20))</f>
        <v/>
      </c>
      <c r="CE64">
        <f>IF(ISNA(CB64),NA(),INDEX(Capability!$J$5:$J$54,$B$20))</f>
        <v/>
      </c>
      <c r="CF64">
        <f>IF(ISNA(CB64),NA(),INDEX(Capability!$L$5:$L$54,$B$20))</f>
        <v/>
      </c>
      <c r="CG64">
        <f>IF(OR(ISNA(CC64),ISNA(CC63)),NA(),ABS(CC64-CC63))</f>
        <v/>
      </c>
      <c r="CH64">
        <f>IF(ISNA(CB64),NA(),INDEX(Capability!$N$5:$N$54,$B$20))</f>
        <v/>
      </c>
      <c r="CI64">
        <f>IF(ISNA(CB64),NA(),IF(OR(INDEX(Capability!$Q$5:$Q$54,$B$20)="",Settings!$F$7&lt;&gt;"Y"),NA(),INDEX(Capability!$Q$5:$Q$54,$B$20)))</f>
        <v/>
      </c>
      <c r="CJ64">
        <f>IF(ISNA(CB64),NA(),IF(OR(INDEX(Capability!$P$5:$P$54,$B$20)="",Settings!$F$7&lt;&gt;"Y"),NA(),INDEX(Capability!$P$5:$P$54,$B$20)))</f>
        <v/>
      </c>
      <c r="CP64">
        <f>IF((CS$1+60)&gt;CQ$1,NA(),(CS$1+60)-4)</f>
        <v/>
      </c>
      <c r="CQ64">
        <f>IF((CS$1+60)&gt;CQ$1,NA(),INDEX('Data Entry'!$H$5:$BE$10004,(CS$1+60)-4,$B$21))</f>
        <v/>
      </c>
      <c r="CR64">
        <f>IF(ISNA(CP64),NA(),INDEX(Capability!$K$5:$K$54,$B$21))</f>
        <v/>
      </c>
      <c r="CS64">
        <f>IF(ISNA(CP64),NA(),INDEX(Capability!$J$5:$J$54,$B$21))</f>
        <v/>
      </c>
      <c r="CT64">
        <f>IF(ISNA(CP64),NA(),INDEX(Capability!$L$5:$L$54,$B$21))</f>
        <v/>
      </c>
      <c r="CU64">
        <f>IF(OR(ISNA(CQ64),ISNA(CQ63)),NA(),ABS(CQ64-CQ63))</f>
        <v/>
      </c>
      <c r="CV64">
        <f>IF(ISNA(CP64),NA(),INDEX(Capability!$N$5:$N$54,$B$21))</f>
        <v/>
      </c>
      <c r="CW64">
        <f>IF(ISNA(CP64),NA(),IF(OR(INDEX(Capability!$Q$5:$Q$54,$B$21)="",Settings!$F$7&lt;&gt;"Y"),NA(),INDEX(Capability!$Q$5:$Q$54,$B$21)))</f>
        <v/>
      </c>
      <c r="CX64">
        <f>IF(ISNA(CP64),NA(),IF(OR(INDEX(Capability!$P$5:$P$54,$B$21)="",Settings!$F$7&lt;&gt;"Y"),NA(),INDEX(Capability!$P$5:$P$54,$B$21)))</f>
        <v/>
      </c>
      <c r="DD64">
        <f>IF((DG$1+60)&gt;DE$1,NA(),(DG$1+60)-4)</f>
        <v/>
      </c>
      <c r="DE64">
        <f>IF((DG$1+60)&gt;DE$1,NA(),INDEX('Data Entry'!$H$5:$BE$10004,(DG$1+60)-4,$B$22))</f>
        <v/>
      </c>
      <c r="DF64">
        <f>IF(ISNA(DD64),NA(),INDEX(Capability!$K$5:$K$54,$B$22))</f>
        <v/>
      </c>
      <c r="DG64">
        <f>IF(ISNA(DD64),NA(),INDEX(Capability!$J$5:$J$54,$B$22))</f>
        <v/>
      </c>
      <c r="DH64">
        <f>IF(ISNA(DD64),NA(),INDEX(Capability!$L$5:$L$54,$B$22))</f>
        <v/>
      </c>
      <c r="DI64">
        <f>IF(OR(ISNA(DE64),ISNA(DE63)),NA(),ABS(DE64-DE63))</f>
        <v/>
      </c>
      <c r="DJ64">
        <f>IF(ISNA(DD64),NA(),INDEX(Capability!$N$5:$N$54,$B$22))</f>
        <v/>
      </c>
      <c r="DK64">
        <f>IF(ISNA(DD64),NA(),IF(OR(INDEX(Capability!$Q$5:$Q$54,$B$22)="",Settings!$F$7&lt;&gt;"Y"),NA(),INDEX(Capability!$Q$5:$Q$54,$B$22)))</f>
        <v/>
      </c>
      <c r="DL64">
        <f>IF(ISNA(DD64),NA(),IF(OR(INDEX(Capability!$P$5:$P$54,$B$22)="",Settings!$F$7&lt;&gt;"Y"),NA(),INDEX(Capability!$P$5:$P$54,$B$22)))</f>
        <v/>
      </c>
      <c r="DR64">
        <f>IF((DU$1+60)&gt;DS$1,NA(),(DU$1+60)-4)</f>
        <v/>
      </c>
      <c r="DS64">
        <f>IF((DU$1+60)&gt;DS$1,NA(),INDEX('Data Entry'!$H$5:$BE$10004,(DU$1+60)-4,$B$23))</f>
        <v/>
      </c>
      <c r="DT64">
        <f>IF(ISNA(DR64),NA(),INDEX(Capability!$K$5:$K$54,$B$23))</f>
        <v/>
      </c>
      <c r="DU64">
        <f>IF(ISNA(DR64),NA(),INDEX(Capability!$J$5:$J$54,$B$23))</f>
        <v/>
      </c>
      <c r="DV64">
        <f>IF(ISNA(DR64),NA(),INDEX(Capability!$L$5:$L$54,$B$23))</f>
        <v/>
      </c>
      <c r="DW64">
        <f>IF(OR(ISNA(DS64),ISNA(DS63)),NA(),ABS(DS64-DS63))</f>
        <v/>
      </c>
      <c r="DX64">
        <f>IF(ISNA(DR64),NA(),INDEX(Capability!$N$5:$N$54,$B$23))</f>
        <v/>
      </c>
      <c r="DY64">
        <f>IF(ISNA(DR64),NA(),IF(OR(INDEX(Capability!$Q$5:$Q$54,$B$23)="",Settings!$F$7&lt;&gt;"Y"),NA(),INDEX(Capability!$Q$5:$Q$54,$B$23)))</f>
        <v/>
      </c>
      <c r="DZ64">
        <f>IF(ISNA(DR64),NA(),IF(OR(INDEX(Capability!$P$5:$P$54,$B$23)="",Settings!$F$7&lt;&gt;"Y"),NA(),INDEX(Capability!$P$5:$P$54,$B$23)))</f>
        <v/>
      </c>
    </row>
    <row r="65">
      <c r="A65" s="35" t="inlineStr">
        <is>
          <t>Cp</t>
        </is>
      </c>
      <c r="B65" s="38">
        <f>INDEX(Capability!$S$5:$S$54,$B$20)</f>
        <v/>
      </c>
      <c r="CB65">
        <f>IF((CE$1+61)&gt;CC$1,NA(),(CE$1+61)-4)</f>
        <v/>
      </c>
      <c r="CC65">
        <f>IF((CE$1+61)&gt;CC$1,NA(),INDEX('Data Entry'!$H$5:$BE$10004,(CE$1+61)-4,$B$20))</f>
        <v/>
      </c>
      <c r="CD65">
        <f>IF(ISNA(CB65),NA(),INDEX(Capability!$K$5:$K$54,$B$20))</f>
        <v/>
      </c>
      <c r="CE65">
        <f>IF(ISNA(CB65),NA(),INDEX(Capability!$J$5:$J$54,$B$20))</f>
        <v/>
      </c>
      <c r="CF65">
        <f>IF(ISNA(CB65),NA(),INDEX(Capability!$L$5:$L$54,$B$20))</f>
        <v/>
      </c>
      <c r="CG65">
        <f>IF(OR(ISNA(CC65),ISNA(CC64)),NA(),ABS(CC65-CC64))</f>
        <v/>
      </c>
      <c r="CH65">
        <f>IF(ISNA(CB65),NA(),INDEX(Capability!$N$5:$N$54,$B$20))</f>
        <v/>
      </c>
      <c r="CI65">
        <f>IF(ISNA(CB65),NA(),IF(OR(INDEX(Capability!$Q$5:$Q$54,$B$20)="",Settings!$F$7&lt;&gt;"Y"),NA(),INDEX(Capability!$Q$5:$Q$54,$B$20)))</f>
        <v/>
      </c>
      <c r="CJ65">
        <f>IF(ISNA(CB65),NA(),IF(OR(INDEX(Capability!$P$5:$P$54,$B$20)="",Settings!$F$7&lt;&gt;"Y"),NA(),INDEX(Capability!$P$5:$P$54,$B$20)))</f>
        <v/>
      </c>
      <c r="CP65">
        <f>IF((CS$1+61)&gt;CQ$1,NA(),(CS$1+61)-4)</f>
        <v/>
      </c>
      <c r="CQ65">
        <f>IF((CS$1+61)&gt;CQ$1,NA(),INDEX('Data Entry'!$H$5:$BE$10004,(CS$1+61)-4,$B$21))</f>
        <v/>
      </c>
      <c r="CR65">
        <f>IF(ISNA(CP65),NA(),INDEX(Capability!$K$5:$K$54,$B$21))</f>
        <v/>
      </c>
      <c r="CS65">
        <f>IF(ISNA(CP65),NA(),INDEX(Capability!$J$5:$J$54,$B$21))</f>
        <v/>
      </c>
      <c r="CT65">
        <f>IF(ISNA(CP65),NA(),INDEX(Capability!$L$5:$L$54,$B$21))</f>
        <v/>
      </c>
      <c r="CU65">
        <f>IF(OR(ISNA(CQ65),ISNA(CQ64)),NA(),ABS(CQ65-CQ64))</f>
        <v/>
      </c>
      <c r="CV65">
        <f>IF(ISNA(CP65),NA(),INDEX(Capability!$N$5:$N$54,$B$21))</f>
        <v/>
      </c>
      <c r="CW65">
        <f>IF(ISNA(CP65),NA(),IF(OR(INDEX(Capability!$Q$5:$Q$54,$B$21)="",Settings!$F$7&lt;&gt;"Y"),NA(),INDEX(Capability!$Q$5:$Q$54,$B$21)))</f>
        <v/>
      </c>
      <c r="CX65">
        <f>IF(ISNA(CP65),NA(),IF(OR(INDEX(Capability!$P$5:$P$54,$B$21)="",Settings!$F$7&lt;&gt;"Y"),NA(),INDEX(Capability!$P$5:$P$54,$B$21)))</f>
        <v/>
      </c>
      <c r="DD65">
        <f>IF((DG$1+61)&gt;DE$1,NA(),(DG$1+61)-4)</f>
        <v/>
      </c>
      <c r="DE65">
        <f>IF((DG$1+61)&gt;DE$1,NA(),INDEX('Data Entry'!$H$5:$BE$10004,(DG$1+61)-4,$B$22))</f>
        <v/>
      </c>
      <c r="DF65">
        <f>IF(ISNA(DD65),NA(),INDEX(Capability!$K$5:$K$54,$B$22))</f>
        <v/>
      </c>
      <c r="DG65">
        <f>IF(ISNA(DD65),NA(),INDEX(Capability!$J$5:$J$54,$B$22))</f>
        <v/>
      </c>
      <c r="DH65">
        <f>IF(ISNA(DD65),NA(),INDEX(Capability!$L$5:$L$54,$B$22))</f>
        <v/>
      </c>
      <c r="DI65">
        <f>IF(OR(ISNA(DE65),ISNA(DE64)),NA(),ABS(DE65-DE64))</f>
        <v/>
      </c>
      <c r="DJ65">
        <f>IF(ISNA(DD65),NA(),INDEX(Capability!$N$5:$N$54,$B$22))</f>
        <v/>
      </c>
      <c r="DK65">
        <f>IF(ISNA(DD65),NA(),IF(OR(INDEX(Capability!$Q$5:$Q$54,$B$22)="",Settings!$F$7&lt;&gt;"Y"),NA(),INDEX(Capability!$Q$5:$Q$54,$B$22)))</f>
        <v/>
      </c>
      <c r="DL65">
        <f>IF(ISNA(DD65),NA(),IF(OR(INDEX(Capability!$P$5:$P$54,$B$22)="",Settings!$F$7&lt;&gt;"Y"),NA(),INDEX(Capability!$P$5:$P$54,$B$22)))</f>
        <v/>
      </c>
      <c r="DR65">
        <f>IF((DU$1+61)&gt;DS$1,NA(),(DU$1+61)-4)</f>
        <v/>
      </c>
      <c r="DS65">
        <f>IF((DU$1+61)&gt;DS$1,NA(),INDEX('Data Entry'!$H$5:$BE$10004,(DU$1+61)-4,$B$23))</f>
        <v/>
      </c>
      <c r="DT65">
        <f>IF(ISNA(DR65),NA(),INDEX(Capability!$K$5:$K$54,$B$23))</f>
        <v/>
      </c>
      <c r="DU65">
        <f>IF(ISNA(DR65),NA(),INDEX(Capability!$J$5:$J$54,$B$23))</f>
        <v/>
      </c>
      <c r="DV65">
        <f>IF(ISNA(DR65),NA(),INDEX(Capability!$L$5:$L$54,$B$23))</f>
        <v/>
      </c>
      <c r="DW65">
        <f>IF(OR(ISNA(DS65),ISNA(DS64)),NA(),ABS(DS65-DS64))</f>
        <v/>
      </c>
      <c r="DX65">
        <f>IF(ISNA(DR65),NA(),INDEX(Capability!$N$5:$N$54,$B$23))</f>
        <v/>
      </c>
      <c r="DY65">
        <f>IF(ISNA(DR65),NA(),IF(OR(INDEX(Capability!$Q$5:$Q$54,$B$23)="",Settings!$F$7&lt;&gt;"Y"),NA(),INDEX(Capability!$Q$5:$Q$54,$B$23)))</f>
        <v/>
      </c>
      <c r="DZ65">
        <f>IF(ISNA(DR65),NA(),IF(OR(INDEX(Capability!$P$5:$P$54,$B$23)="",Settings!$F$7&lt;&gt;"Y"),NA(),INDEX(Capability!$P$5:$P$54,$B$23)))</f>
        <v/>
      </c>
    </row>
    <row r="66">
      <c r="A66" s="35" t="inlineStr">
        <is>
          <t>Cpk</t>
        </is>
      </c>
      <c r="B66" s="38">
        <f>INDEX(Capability!$T$5:$T$54,$B$20)</f>
        <v/>
      </c>
      <c r="CB66">
        <f>IF((CE$1+62)&gt;CC$1,NA(),(CE$1+62)-4)</f>
        <v/>
      </c>
      <c r="CC66">
        <f>IF((CE$1+62)&gt;CC$1,NA(),INDEX('Data Entry'!$H$5:$BE$10004,(CE$1+62)-4,$B$20))</f>
        <v/>
      </c>
      <c r="CD66">
        <f>IF(ISNA(CB66),NA(),INDEX(Capability!$K$5:$K$54,$B$20))</f>
        <v/>
      </c>
      <c r="CE66">
        <f>IF(ISNA(CB66),NA(),INDEX(Capability!$J$5:$J$54,$B$20))</f>
        <v/>
      </c>
      <c r="CF66">
        <f>IF(ISNA(CB66),NA(),INDEX(Capability!$L$5:$L$54,$B$20))</f>
        <v/>
      </c>
      <c r="CG66">
        <f>IF(OR(ISNA(CC66),ISNA(CC65)),NA(),ABS(CC66-CC65))</f>
        <v/>
      </c>
      <c r="CH66">
        <f>IF(ISNA(CB66),NA(),INDEX(Capability!$N$5:$N$54,$B$20))</f>
        <v/>
      </c>
      <c r="CI66">
        <f>IF(ISNA(CB66),NA(),IF(OR(INDEX(Capability!$Q$5:$Q$54,$B$20)="",Settings!$F$7&lt;&gt;"Y"),NA(),INDEX(Capability!$Q$5:$Q$54,$B$20)))</f>
        <v/>
      </c>
      <c r="CJ66">
        <f>IF(ISNA(CB66),NA(),IF(OR(INDEX(Capability!$P$5:$P$54,$B$20)="",Settings!$F$7&lt;&gt;"Y"),NA(),INDEX(Capability!$P$5:$P$54,$B$20)))</f>
        <v/>
      </c>
      <c r="CP66">
        <f>IF((CS$1+62)&gt;CQ$1,NA(),(CS$1+62)-4)</f>
        <v/>
      </c>
      <c r="CQ66">
        <f>IF((CS$1+62)&gt;CQ$1,NA(),INDEX('Data Entry'!$H$5:$BE$10004,(CS$1+62)-4,$B$21))</f>
        <v/>
      </c>
      <c r="CR66">
        <f>IF(ISNA(CP66),NA(),INDEX(Capability!$K$5:$K$54,$B$21))</f>
        <v/>
      </c>
      <c r="CS66">
        <f>IF(ISNA(CP66),NA(),INDEX(Capability!$J$5:$J$54,$B$21))</f>
        <v/>
      </c>
      <c r="CT66">
        <f>IF(ISNA(CP66),NA(),INDEX(Capability!$L$5:$L$54,$B$21))</f>
        <v/>
      </c>
      <c r="CU66">
        <f>IF(OR(ISNA(CQ66),ISNA(CQ65)),NA(),ABS(CQ66-CQ65))</f>
        <v/>
      </c>
      <c r="CV66">
        <f>IF(ISNA(CP66),NA(),INDEX(Capability!$N$5:$N$54,$B$21))</f>
        <v/>
      </c>
      <c r="CW66">
        <f>IF(ISNA(CP66),NA(),IF(OR(INDEX(Capability!$Q$5:$Q$54,$B$21)="",Settings!$F$7&lt;&gt;"Y"),NA(),INDEX(Capability!$Q$5:$Q$54,$B$21)))</f>
        <v/>
      </c>
      <c r="CX66">
        <f>IF(ISNA(CP66),NA(),IF(OR(INDEX(Capability!$P$5:$P$54,$B$21)="",Settings!$F$7&lt;&gt;"Y"),NA(),INDEX(Capability!$P$5:$P$54,$B$21)))</f>
        <v/>
      </c>
      <c r="DD66">
        <f>IF((DG$1+62)&gt;DE$1,NA(),(DG$1+62)-4)</f>
        <v/>
      </c>
      <c r="DE66">
        <f>IF((DG$1+62)&gt;DE$1,NA(),INDEX('Data Entry'!$H$5:$BE$10004,(DG$1+62)-4,$B$22))</f>
        <v/>
      </c>
      <c r="DF66">
        <f>IF(ISNA(DD66),NA(),INDEX(Capability!$K$5:$K$54,$B$22))</f>
        <v/>
      </c>
      <c r="DG66">
        <f>IF(ISNA(DD66),NA(),INDEX(Capability!$J$5:$J$54,$B$22))</f>
        <v/>
      </c>
      <c r="DH66">
        <f>IF(ISNA(DD66),NA(),INDEX(Capability!$L$5:$L$54,$B$22))</f>
        <v/>
      </c>
      <c r="DI66">
        <f>IF(OR(ISNA(DE66),ISNA(DE65)),NA(),ABS(DE66-DE65))</f>
        <v/>
      </c>
      <c r="DJ66">
        <f>IF(ISNA(DD66),NA(),INDEX(Capability!$N$5:$N$54,$B$22))</f>
        <v/>
      </c>
      <c r="DK66">
        <f>IF(ISNA(DD66),NA(),IF(OR(INDEX(Capability!$Q$5:$Q$54,$B$22)="",Settings!$F$7&lt;&gt;"Y"),NA(),INDEX(Capability!$Q$5:$Q$54,$B$22)))</f>
        <v/>
      </c>
      <c r="DL66">
        <f>IF(ISNA(DD66),NA(),IF(OR(INDEX(Capability!$P$5:$P$54,$B$22)="",Settings!$F$7&lt;&gt;"Y"),NA(),INDEX(Capability!$P$5:$P$54,$B$22)))</f>
        <v/>
      </c>
      <c r="DR66">
        <f>IF((DU$1+62)&gt;DS$1,NA(),(DU$1+62)-4)</f>
        <v/>
      </c>
      <c r="DS66">
        <f>IF((DU$1+62)&gt;DS$1,NA(),INDEX('Data Entry'!$H$5:$BE$10004,(DU$1+62)-4,$B$23))</f>
        <v/>
      </c>
      <c r="DT66">
        <f>IF(ISNA(DR66),NA(),INDEX(Capability!$K$5:$K$54,$B$23))</f>
        <v/>
      </c>
      <c r="DU66">
        <f>IF(ISNA(DR66),NA(),INDEX(Capability!$J$5:$J$54,$B$23))</f>
        <v/>
      </c>
      <c r="DV66">
        <f>IF(ISNA(DR66),NA(),INDEX(Capability!$L$5:$L$54,$B$23))</f>
        <v/>
      </c>
      <c r="DW66">
        <f>IF(OR(ISNA(DS66),ISNA(DS65)),NA(),ABS(DS66-DS65))</f>
        <v/>
      </c>
      <c r="DX66">
        <f>IF(ISNA(DR66),NA(),INDEX(Capability!$N$5:$N$54,$B$23))</f>
        <v/>
      </c>
      <c r="DY66">
        <f>IF(ISNA(DR66),NA(),IF(OR(INDEX(Capability!$Q$5:$Q$54,$B$23)="",Settings!$F$7&lt;&gt;"Y"),NA(),INDEX(Capability!$Q$5:$Q$54,$B$23)))</f>
        <v/>
      </c>
      <c r="DZ66">
        <f>IF(ISNA(DR66),NA(),IF(OR(INDEX(Capability!$P$5:$P$54,$B$23)="",Settings!$F$7&lt;&gt;"Y"),NA(),INDEX(Capability!$P$5:$P$54,$B$23)))</f>
        <v/>
      </c>
    </row>
    <row r="67">
      <c r="A67" s="35" t="inlineStr">
        <is>
          <t>Pp</t>
        </is>
      </c>
      <c r="B67" s="38">
        <f>INDEX(Capability!$U$5:$U$54,$B$20)</f>
        <v/>
      </c>
      <c r="CB67">
        <f>IF((CE$1+63)&gt;CC$1,NA(),(CE$1+63)-4)</f>
        <v/>
      </c>
      <c r="CC67">
        <f>IF((CE$1+63)&gt;CC$1,NA(),INDEX('Data Entry'!$H$5:$BE$10004,(CE$1+63)-4,$B$20))</f>
        <v/>
      </c>
      <c r="CD67">
        <f>IF(ISNA(CB67),NA(),INDEX(Capability!$K$5:$K$54,$B$20))</f>
        <v/>
      </c>
      <c r="CE67">
        <f>IF(ISNA(CB67),NA(),INDEX(Capability!$J$5:$J$54,$B$20))</f>
        <v/>
      </c>
      <c r="CF67">
        <f>IF(ISNA(CB67),NA(),INDEX(Capability!$L$5:$L$54,$B$20))</f>
        <v/>
      </c>
      <c r="CG67">
        <f>IF(OR(ISNA(CC67),ISNA(CC66)),NA(),ABS(CC67-CC66))</f>
        <v/>
      </c>
      <c r="CH67">
        <f>IF(ISNA(CB67),NA(),INDEX(Capability!$N$5:$N$54,$B$20))</f>
        <v/>
      </c>
      <c r="CI67">
        <f>IF(ISNA(CB67),NA(),IF(OR(INDEX(Capability!$Q$5:$Q$54,$B$20)="",Settings!$F$7&lt;&gt;"Y"),NA(),INDEX(Capability!$Q$5:$Q$54,$B$20)))</f>
        <v/>
      </c>
      <c r="CJ67">
        <f>IF(ISNA(CB67),NA(),IF(OR(INDEX(Capability!$P$5:$P$54,$B$20)="",Settings!$F$7&lt;&gt;"Y"),NA(),INDEX(Capability!$P$5:$P$54,$B$20)))</f>
        <v/>
      </c>
      <c r="CP67">
        <f>IF((CS$1+63)&gt;CQ$1,NA(),(CS$1+63)-4)</f>
        <v/>
      </c>
      <c r="CQ67">
        <f>IF((CS$1+63)&gt;CQ$1,NA(),INDEX('Data Entry'!$H$5:$BE$10004,(CS$1+63)-4,$B$21))</f>
        <v/>
      </c>
      <c r="CR67">
        <f>IF(ISNA(CP67),NA(),INDEX(Capability!$K$5:$K$54,$B$21))</f>
        <v/>
      </c>
      <c r="CS67">
        <f>IF(ISNA(CP67),NA(),INDEX(Capability!$J$5:$J$54,$B$21))</f>
        <v/>
      </c>
      <c r="CT67">
        <f>IF(ISNA(CP67),NA(),INDEX(Capability!$L$5:$L$54,$B$21))</f>
        <v/>
      </c>
      <c r="CU67">
        <f>IF(OR(ISNA(CQ67),ISNA(CQ66)),NA(),ABS(CQ67-CQ66))</f>
        <v/>
      </c>
      <c r="CV67">
        <f>IF(ISNA(CP67),NA(),INDEX(Capability!$N$5:$N$54,$B$21))</f>
        <v/>
      </c>
      <c r="CW67">
        <f>IF(ISNA(CP67),NA(),IF(OR(INDEX(Capability!$Q$5:$Q$54,$B$21)="",Settings!$F$7&lt;&gt;"Y"),NA(),INDEX(Capability!$Q$5:$Q$54,$B$21)))</f>
        <v/>
      </c>
      <c r="CX67">
        <f>IF(ISNA(CP67),NA(),IF(OR(INDEX(Capability!$P$5:$P$54,$B$21)="",Settings!$F$7&lt;&gt;"Y"),NA(),INDEX(Capability!$P$5:$P$54,$B$21)))</f>
        <v/>
      </c>
      <c r="DD67">
        <f>IF((DG$1+63)&gt;DE$1,NA(),(DG$1+63)-4)</f>
        <v/>
      </c>
      <c r="DE67">
        <f>IF((DG$1+63)&gt;DE$1,NA(),INDEX('Data Entry'!$H$5:$BE$10004,(DG$1+63)-4,$B$22))</f>
        <v/>
      </c>
      <c r="DF67">
        <f>IF(ISNA(DD67),NA(),INDEX(Capability!$K$5:$K$54,$B$22))</f>
        <v/>
      </c>
      <c r="DG67">
        <f>IF(ISNA(DD67),NA(),INDEX(Capability!$J$5:$J$54,$B$22))</f>
        <v/>
      </c>
      <c r="DH67">
        <f>IF(ISNA(DD67),NA(),INDEX(Capability!$L$5:$L$54,$B$22))</f>
        <v/>
      </c>
      <c r="DI67">
        <f>IF(OR(ISNA(DE67),ISNA(DE66)),NA(),ABS(DE67-DE66))</f>
        <v/>
      </c>
      <c r="DJ67">
        <f>IF(ISNA(DD67),NA(),INDEX(Capability!$N$5:$N$54,$B$22))</f>
        <v/>
      </c>
      <c r="DK67">
        <f>IF(ISNA(DD67),NA(),IF(OR(INDEX(Capability!$Q$5:$Q$54,$B$22)="",Settings!$F$7&lt;&gt;"Y"),NA(),INDEX(Capability!$Q$5:$Q$54,$B$22)))</f>
        <v/>
      </c>
      <c r="DL67">
        <f>IF(ISNA(DD67),NA(),IF(OR(INDEX(Capability!$P$5:$P$54,$B$22)="",Settings!$F$7&lt;&gt;"Y"),NA(),INDEX(Capability!$P$5:$P$54,$B$22)))</f>
        <v/>
      </c>
      <c r="DR67">
        <f>IF((DU$1+63)&gt;DS$1,NA(),(DU$1+63)-4)</f>
        <v/>
      </c>
      <c r="DS67">
        <f>IF((DU$1+63)&gt;DS$1,NA(),INDEX('Data Entry'!$H$5:$BE$10004,(DU$1+63)-4,$B$23))</f>
        <v/>
      </c>
      <c r="DT67">
        <f>IF(ISNA(DR67),NA(),INDEX(Capability!$K$5:$K$54,$B$23))</f>
        <v/>
      </c>
      <c r="DU67">
        <f>IF(ISNA(DR67),NA(),INDEX(Capability!$J$5:$J$54,$B$23))</f>
        <v/>
      </c>
      <c r="DV67">
        <f>IF(ISNA(DR67),NA(),INDEX(Capability!$L$5:$L$54,$B$23))</f>
        <v/>
      </c>
      <c r="DW67">
        <f>IF(OR(ISNA(DS67),ISNA(DS66)),NA(),ABS(DS67-DS66))</f>
        <v/>
      </c>
      <c r="DX67">
        <f>IF(ISNA(DR67),NA(),INDEX(Capability!$N$5:$N$54,$B$23))</f>
        <v/>
      </c>
      <c r="DY67">
        <f>IF(ISNA(DR67),NA(),IF(OR(INDEX(Capability!$Q$5:$Q$54,$B$23)="",Settings!$F$7&lt;&gt;"Y"),NA(),INDEX(Capability!$Q$5:$Q$54,$B$23)))</f>
        <v/>
      </c>
      <c r="DZ67">
        <f>IF(ISNA(DR67),NA(),IF(OR(INDEX(Capability!$P$5:$P$54,$B$23)="",Settings!$F$7&lt;&gt;"Y"),NA(),INDEX(Capability!$P$5:$P$54,$B$23)))</f>
        <v/>
      </c>
    </row>
    <row r="68">
      <c r="A68" s="35" t="inlineStr">
        <is>
          <t>Ppk</t>
        </is>
      </c>
      <c r="B68" s="38">
        <f>INDEX(Capability!$V$5:$V$54,$B$20)</f>
        <v/>
      </c>
      <c r="CB68">
        <f>IF((CE$1+64)&gt;CC$1,NA(),(CE$1+64)-4)</f>
        <v/>
      </c>
      <c r="CC68">
        <f>IF((CE$1+64)&gt;CC$1,NA(),INDEX('Data Entry'!$H$5:$BE$10004,(CE$1+64)-4,$B$20))</f>
        <v/>
      </c>
      <c r="CD68">
        <f>IF(ISNA(CB68),NA(),INDEX(Capability!$K$5:$K$54,$B$20))</f>
        <v/>
      </c>
      <c r="CE68">
        <f>IF(ISNA(CB68),NA(),INDEX(Capability!$J$5:$J$54,$B$20))</f>
        <v/>
      </c>
      <c r="CF68">
        <f>IF(ISNA(CB68),NA(),INDEX(Capability!$L$5:$L$54,$B$20))</f>
        <v/>
      </c>
      <c r="CG68">
        <f>IF(OR(ISNA(CC68),ISNA(CC67)),NA(),ABS(CC68-CC67))</f>
        <v/>
      </c>
      <c r="CH68">
        <f>IF(ISNA(CB68),NA(),INDEX(Capability!$N$5:$N$54,$B$20))</f>
        <v/>
      </c>
      <c r="CI68">
        <f>IF(ISNA(CB68),NA(),IF(OR(INDEX(Capability!$Q$5:$Q$54,$B$20)="",Settings!$F$7&lt;&gt;"Y"),NA(),INDEX(Capability!$Q$5:$Q$54,$B$20)))</f>
        <v/>
      </c>
      <c r="CJ68">
        <f>IF(ISNA(CB68),NA(),IF(OR(INDEX(Capability!$P$5:$P$54,$B$20)="",Settings!$F$7&lt;&gt;"Y"),NA(),INDEX(Capability!$P$5:$P$54,$B$20)))</f>
        <v/>
      </c>
      <c r="CP68">
        <f>IF((CS$1+64)&gt;CQ$1,NA(),(CS$1+64)-4)</f>
        <v/>
      </c>
      <c r="CQ68">
        <f>IF((CS$1+64)&gt;CQ$1,NA(),INDEX('Data Entry'!$H$5:$BE$10004,(CS$1+64)-4,$B$21))</f>
        <v/>
      </c>
      <c r="CR68">
        <f>IF(ISNA(CP68),NA(),INDEX(Capability!$K$5:$K$54,$B$21))</f>
        <v/>
      </c>
      <c r="CS68">
        <f>IF(ISNA(CP68),NA(),INDEX(Capability!$J$5:$J$54,$B$21))</f>
        <v/>
      </c>
      <c r="CT68">
        <f>IF(ISNA(CP68),NA(),INDEX(Capability!$L$5:$L$54,$B$21))</f>
        <v/>
      </c>
      <c r="CU68">
        <f>IF(OR(ISNA(CQ68),ISNA(CQ67)),NA(),ABS(CQ68-CQ67))</f>
        <v/>
      </c>
      <c r="CV68">
        <f>IF(ISNA(CP68),NA(),INDEX(Capability!$N$5:$N$54,$B$21))</f>
        <v/>
      </c>
      <c r="CW68">
        <f>IF(ISNA(CP68),NA(),IF(OR(INDEX(Capability!$Q$5:$Q$54,$B$21)="",Settings!$F$7&lt;&gt;"Y"),NA(),INDEX(Capability!$Q$5:$Q$54,$B$21)))</f>
        <v/>
      </c>
      <c r="CX68">
        <f>IF(ISNA(CP68),NA(),IF(OR(INDEX(Capability!$P$5:$P$54,$B$21)="",Settings!$F$7&lt;&gt;"Y"),NA(),INDEX(Capability!$P$5:$P$54,$B$21)))</f>
        <v/>
      </c>
      <c r="DD68">
        <f>IF((DG$1+64)&gt;DE$1,NA(),(DG$1+64)-4)</f>
        <v/>
      </c>
      <c r="DE68">
        <f>IF((DG$1+64)&gt;DE$1,NA(),INDEX('Data Entry'!$H$5:$BE$10004,(DG$1+64)-4,$B$22))</f>
        <v/>
      </c>
      <c r="DF68">
        <f>IF(ISNA(DD68),NA(),INDEX(Capability!$K$5:$K$54,$B$22))</f>
        <v/>
      </c>
      <c r="DG68">
        <f>IF(ISNA(DD68),NA(),INDEX(Capability!$J$5:$J$54,$B$22))</f>
        <v/>
      </c>
      <c r="DH68">
        <f>IF(ISNA(DD68),NA(),INDEX(Capability!$L$5:$L$54,$B$22))</f>
        <v/>
      </c>
      <c r="DI68">
        <f>IF(OR(ISNA(DE68),ISNA(DE67)),NA(),ABS(DE68-DE67))</f>
        <v/>
      </c>
      <c r="DJ68">
        <f>IF(ISNA(DD68),NA(),INDEX(Capability!$N$5:$N$54,$B$22))</f>
        <v/>
      </c>
      <c r="DK68">
        <f>IF(ISNA(DD68),NA(),IF(OR(INDEX(Capability!$Q$5:$Q$54,$B$22)="",Settings!$F$7&lt;&gt;"Y"),NA(),INDEX(Capability!$Q$5:$Q$54,$B$22)))</f>
        <v/>
      </c>
      <c r="DL68">
        <f>IF(ISNA(DD68),NA(),IF(OR(INDEX(Capability!$P$5:$P$54,$B$22)="",Settings!$F$7&lt;&gt;"Y"),NA(),INDEX(Capability!$P$5:$P$54,$B$22)))</f>
        <v/>
      </c>
      <c r="DR68">
        <f>IF((DU$1+64)&gt;DS$1,NA(),(DU$1+64)-4)</f>
        <v/>
      </c>
      <c r="DS68">
        <f>IF((DU$1+64)&gt;DS$1,NA(),INDEX('Data Entry'!$H$5:$BE$10004,(DU$1+64)-4,$B$23))</f>
        <v/>
      </c>
      <c r="DT68">
        <f>IF(ISNA(DR68),NA(),INDEX(Capability!$K$5:$K$54,$B$23))</f>
        <v/>
      </c>
      <c r="DU68">
        <f>IF(ISNA(DR68),NA(),INDEX(Capability!$J$5:$J$54,$B$23))</f>
        <v/>
      </c>
      <c r="DV68">
        <f>IF(ISNA(DR68),NA(),INDEX(Capability!$L$5:$L$54,$B$23))</f>
        <v/>
      </c>
      <c r="DW68">
        <f>IF(OR(ISNA(DS68),ISNA(DS67)),NA(),ABS(DS68-DS67))</f>
        <v/>
      </c>
      <c r="DX68">
        <f>IF(ISNA(DR68),NA(),INDEX(Capability!$N$5:$N$54,$B$23))</f>
        <v/>
      </c>
      <c r="DY68">
        <f>IF(ISNA(DR68),NA(),IF(OR(INDEX(Capability!$Q$5:$Q$54,$B$23)="",Settings!$F$7&lt;&gt;"Y"),NA(),INDEX(Capability!$Q$5:$Q$54,$B$23)))</f>
        <v/>
      </c>
      <c r="DZ68">
        <f>IF(ISNA(DR68),NA(),IF(OR(INDEX(Capability!$P$5:$P$54,$B$23)="",Settings!$F$7&lt;&gt;"Y"),NA(),INDEX(Capability!$P$5:$P$54,$B$23)))</f>
        <v/>
      </c>
    </row>
    <row r="69">
      <c r="A69" s="35" t="inlineStr">
        <is>
          <t>In control?</t>
        </is>
      </c>
      <c r="B69" s="36">
        <f>INDEX(Capability!$W$5:$W$54,$B$20)</f>
        <v/>
      </c>
      <c r="CB69">
        <f>IF((CE$1+65)&gt;CC$1,NA(),(CE$1+65)-4)</f>
        <v/>
      </c>
      <c r="CC69">
        <f>IF((CE$1+65)&gt;CC$1,NA(),INDEX('Data Entry'!$H$5:$BE$10004,(CE$1+65)-4,$B$20))</f>
        <v/>
      </c>
      <c r="CD69">
        <f>IF(ISNA(CB69),NA(),INDEX(Capability!$K$5:$K$54,$B$20))</f>
        <v/>
      </c>
      <c r="CE69">
        <f>IF(ISNA(CB69),NA(),INDEX(Capability!$J$5:$J$54,$B$20))</f>
        <v/>
      </c>
      <c r="CF69">
        <f>IF(ISNA(CB69),NA(),INDEX(Capability!$L$5:$L$54,$B$20))</f>
        <v/>
      </c>
      <c r="CG69">
        <f>IF(OR(ISNA(CC69),ISNA(CC68)),NA(),ABS(CC69-CC68))</f>
        <v/>
      </c>
      <c r="CH69">
        <f>IF(ISNA(CB69),NA(),INDEX(Capability!$N$5:$N$54,$B$20))</f>
        <v/>
      </c>
      <c r="CI69">
        <f>IF(ISNA(CB69),NA(),IF(OR(INDEX(Capability!$Q$5:$Q$54,$B$20)="",Settings!$F$7&lt;&gt;"Y"),NA(),INDEX(Capability!$Q$5:$Q$54,$B$20)))</f>
        <v/>
      </c>
      <c r="CJ69">
        <f>IF(ISNA(CB69),NA(),IF(OR(INDEX(Capability!$P$5:$P$54,$B$20)="",Settings!$F$7&lt;&gt;"Y"),NA(),INDEX(Capability!$P$5:$P$54,$B$20)))</f>
        <v/>
      </c>
      <c r="CP69">
        <f>IF((CS$1+65)&gt;CQ$1,NA(),(CS$1+65)-4)</f>
        <v/>
      </c>
      <c r="CQ69">
        <f>IF((CS$1+65)&gt;CQ$1,NA(),INDEX('Data Entry'!$H$5:$BE$10004,(CS$1+65)-4,$B$21))</f>
        <v/>
      </c>
      <c r="CR69">
        <f>IF(ISNA(CP69),NA(),INDEX(Capability!$K$5:$K$54,$B$21))</f>
        <v/>
      </c>
      <c r="CS69">
        <f>IF(ISNA(CP69),NA(),INDEX(Capability!$J$5:$J$54,$B$21))</f>
        <v/>
      </c>
      <c r="CT69">
        <f>IF(ISNA(CP69),NA(),INDEX(Capability!$L$5:$L$54,$B$21))</f>
        <v/>
      </c>
      <c r="CU69">
        <f>IF(OR(ISNA(CQ69),ISNA(CQ68)),NA(),ABS(CQ69-CQ68))</f>
        <v/>
      </c>
      <c r="CV69">
        <f>IF(ISNA(CP69),NA(),INDEX(Capability!$N$5:$N$54,$B$21))</f>
        <v/>
      </c>
      <c r="CW69">
        <f>IF(ISNA(CP69),NA(),IF(OR(INDEX(Capability!$Q$5:$Q$54,$B$21)="",Settings!$F$7&lt;&gt;"Y"),NA(),INDEX(Capability!$Q$5:$Q$54,$B$21)))</f>
        <v/>
      </c>
      <c r="CX69">
        <f>IF(ISNA(CP69),NA(),IF(OR(INDEX(Capability!$P$5:$P$54,$B$21)="",Settings!$F$7&lt;&gt;"Y"),NA(),INDEX(Capability!$P$5:$P$54,$B$21)))</f>
        <v/>
      </c>
      <c r="DD69">
        <f>IF((DG$1+65)&gt;DE$1,NA(),(DG$1+65)-4)</f>
        <v/>
      </c>
      <c r="DE69">
        <f>IF((DG$1+65)&gt;DE$1,NA(),INDEX('Data Entry'!$H$5:$BE$10004,(DG$1+65)-4,$B$22))</f>
        <v/>
      </c>
      <c r="DF69">
        <f>IF(ISNA(DD69),NA(),INDEX(Capability!$K$5:$K$54,$B$22))</f>
        <v/>
      </c>
      <c r="DG69">
        <f>IF(ISNA(DD69),NA(),INDEX(Capability!$J$5:$J$54,$B$22))</f>
        <v/>
      </c>
      <c r="DH69">
        <f>IF(ISNA(DD69),NA(),INDEX(Capability!$L$5:$L$54,$B$22))</f>
        <v/>
      </c>
      <c r="DI69">
        <f>IF(OR(ISNA(DE69),ISNA(DE68)),NA(),ABS(DE69-DE68))</f>
        <v/>
      </c>
      <c r="DJ69">
        <f>IF(ISNA(DD69),NA(),INDEX(Capability!$N$5:$N$54,$B$22))</f>
        <v/>
      </c>
      <c r="DK69">
        <f>IF(ISNA(DD69),NA(),IF(OR(INDEX(Capability!$Q$5:$Q$54,$B$22)="",Settings!$F$7&lt;&gt;"Y"),NA(),INDEX(Capability!$Q$5:$Q$54,$B$22)))</f>
        <v/>
      </c>
      <c r="DL69">
        <f>IF(ISNA(DD69),NA(),IF(OR(INDEX(Capability!$P$5:$P$54,$B$22)="",Settings!$F$7&lt;&gt;"Y"),NA(),INDEX(Capability!$P$5:$P$54,$B$22)))</f>
        <v/>
      </c>
      <c r="DR69">
        <f>IF((DU$1+65)&gt;DS$1,NA(),(DU$1+65)-4)</f>
        <v/>
      </c>
      <c r="DS69">
        <f>IF((DU$1+65)&gt;DS$1,NA(),INDEX('Data Entry'!$H$5:$BE$10004,(DU$1+65)-4,$B$23))</f>
        <v/>
      </c>
      <c r="DT69">
        <f>IF(ISNA(DR69),NA(),INDEX(Capability!$K$5:$K$54,$B$23))</f>
        <v/>
      </c>
      <c r="DU69">
        <f>IF(ISNA(DR69),NA(),INDEX(Capability!$J$5:$J$54,$B$23))</f>
        <v/>
      </c>
      <c r="DV69">
        <f>IF(ISNA(DR69),NA(),INDEX(Capability!$L$5:$L$54,$B$23))</f>
        <v/>
      </c>
      <c r="DW69">
        <f>IF(OR(ISNA(DS69),ISNA(DS68)),NA(),ABS(DS69-DS68))</f>
        <v/>
      </c>
      <c r="DX69">
        <f>IF(ISNA(DR69),NA(),INDEX(Capability!$N$5:$N$54,$B$23))</f>
        <v/>
      </c>
      <c r="DY69">
        <f>IF(ISNA(DR69),NA(),IF(OR(INDEX(Capability!$Q$5:$Q$54,$B$23)="",Settings!$F$7&lt;&gt;"Y"),NA(),INDEX(Capability!$Q$5:$Q$54,$B$23)))</f>
        <v/>
      </c>
      <c r="DZ69">
        <f>IF(ISNA(DR69),NA(),IF(OR(INDEX(Capability!$P$5:$P$54,$B$23)="",Settings!$F$7&lt;&gt;"Y"),NA(),INDEX(Capability!$P$5:$P$54,$B$23)))</f>
        <v/>
      </c>
    </row>
    <row r="70">
      <c r="A70" s="35" t="inlineStr">
        <is>
          <t>In spec?</t>
        </is>
      </c>
      <c r="B70" s="36">
        <f>INDEX(Capability!$X$5:$X$54,$B$20)</f>
        <v/>
      </c>
      <c r="CB70">
        <f>IF((CE$1+66)&gt;CC$1,NA(),(CE$1+66)-4)</f>
        <v/>
      </c>
      <c r="CC70">
        <f>IF((CE$1+66)&gt;CC$1,NA(),INDEX('Data Entry'!$H$5:$BE$10004,(CE$1+66)-4,$B$20))</f>
        <v/>
      </c>
      <c r="CD70">
        <f>IF(ISNA(CB70),NA(),INDEX(Capability!$K$5:$K$54,$B$20))</f>
        <v/>
      </c>
      <c r="CE70">
        <f>IF(ISNA(CB70),NA(),INDEX(Capability!$J$5:$J$54,$B$20))</f>
        <v/>
      </c>
      <c r="CF70">
        <f>IF(ISNA(CB70),NA(),INDEX(Capability!$L$5:$L$54,$B$20))</f>
        <v/>
      </c>
      <c r="CG70">
        <f>IF(OR(ISNA(CC70),ISNA(CC69)),NA(),ABS(CC70-CC69))</f>
        <v/>
      </c>
      <c r="CH70">
        <f>IF(ISNA(CB70),NA(),INDEX(Capability!$N$5:$N$54,$B$20))</f>
        <v/>
      </c>
      <c r="CI70">
        <f>IF(ISNA(CB70),NA(),IF(OR(INDEX(Capability!$Q$5:$Q$54,$B$20)="",Settings!$F$7&lt;&gt;"Y"),NA(),INDEX(Capability!$Q$5:$Q$54,$B$20)))</f>
        <v/>
      </c>
      <c r="CJ70">
        <f>IF(ISNA(CB70),NA(),IF(OR(INDEX(Capability!$P$5:$P$54,$B$20)="",Settings!$F$7&lt;&gt;"Y"),NA(),INDEX(Capability!$P$5:$P$54,$B$20)))</f>
        <v/>
      </c>
      <c r="CP70">
        <f>IF((CS$1+66)&gt;CQ$1,NA(),(CS$1+66)-4)</f>
        <v/>
      </c>
      <c r="CQ70">
        <f>IF((CS$1+66)&gt;CQ$1,NA(),INDEX('Data Entry'!$H$5:$BE$10004,(CS$1+66)-4,$B$21))</f>
        <v/>
      </c>
      <c r="CR70">
        <f>IF(ISNA(CP70),NA(),INDEX(Capability!$K$5:$K$54,$B$21))</f>
        <v/>
      </c>
      <c r="CS70">
        <f>IF(ISNA(CP70),NA(),INDEX(Capability!$J$5:$J$54,$B$21))</f>
        <v/>
      </c>
      <c r="CT70">
        <f>IF(ISNA(CP70),NA(),INDEX(Capability!$L$5:$L$54,$B$21))</f>
        <v/>
      </c>
      <c r="CU70">
        <f>IF(OR(ISNA(CQ70),ISNA(CQ69)),NA(),ABS(CQ70-CQ69))</f>
        <v/>
      </c>
      <c r="CV70">
        <f>IF(ISNA(CP70),NA(),INDEX(Capability!$N$5:$N$54,$B$21))</f>
        <v/>
      </c>
      <c r="CW70">
        <f>IF(ISNA(CP70),NA(),IF(OR(INDEX(Capability!$Q$5:$Q$54,$B$21)="",Settings!$F$7&lt;&gt;"Y"),NA(),INDEX(Capability!$Q$5:$Q$54,$B$21)))</f>
        <v/>
      </c>
      <c r="CX70">
        <f>IF(ISNA(CP70),NA(),IF(OR(INDEX(Capability!$P$5:$P$54,$B$21)="",Settings!$F$7&lt;&gt;"Y"),NA(),INDEX(Capability!$P$5:$P$54,$B$21)))</f>
        <v/>
      </c>
      <c r="DD70">
        <f>IF((DG$1+66)&gt;DE$1,NA(),(DG$1+66)-4)</f>
        <v/>
      </c>
      <c r="DE70">
        <f>IF((DG$1+66)&gt;DE$1,NA(),INDEX('Data Entry'!$H$5:$BE$10004,(DG$1+66)-4,$B$22))</f>
        <v/>
      </c>
      <c r="DF70">
        <f>IF(ISNA(DD70),NA(),INDEX(Capability!$K$5:$K$54,$B$22))</f>
        <v/>
      </c>
      <c r="DG70">
        <f>IF(ISNA(DD70),NA(),INDEX(Capability!$J$5:$J$54,$B$22))</f>
        <v/>
      </c>
      <c r="DH70">
        <f>IF(ISNA(DD70),NA(),INDEX(Capability!$L$5:$L$54,$B$22))</f>
        <v/>
      </c>
      <c r="DI70">
        <f>IF(OR(ISNA(DE70),ISNA(DE69)),NA(),ABS(DE70-DE69))</f>
        <v/>
      </c>
      <c r="DJ70">
        <f>IF(ISNA(DD70),NA(),INDEX(Capability!$N$5:$N$54,$B$22))</f>
        <v/>
      </c>
      <c r="DK70">
        <f>IF(ISNA(DD70),NA(),IF(OR(INDEX(Capability!$Q$5:$Q$54,$B$22)="",Settings!$F$7&lt;&gt;"Y"),NA(),INDEX(Capability!$Q$5:$Q$54,$B$22)))</f>
        <v/>
      </c>
      <c r="DL70">
        <f>IF(ISNA(DD70),NA(),IF(OR(INDEX(Capability!$P$5:$P$54,$B$22)="",Settings!$F$7&lt;&gt;"Y"),NA(),INDEX(Capability!$P$5:$P$54,$B$22)))</f>
        <v/>
      </c>
      <c r="DR70">
        <f>IF((DU$1+66)&gt;DS$1,NA(),(DU$1+66)-4)</f>
        <v/>
      </c>
      <c r="DS70">
        <f>IF((DU$1+66)&gt;DS$1,NA(),INDEX('Data Entry'!$H$5:$BE$10004,(DU$1+66)-4,$B$23))</f>
        <v/>
      </c>
      <c r="DT70">
        <f>IF(ISNA(DR70),NA(),INDEX(Capability!$K$5:$K$54,$B$23))</f>
        <v/>
      </c>
      <c r="DU70">
        <f>IF(ISNA(DR70),NA(),INDEX(Capability!$J$5:$J$54,$B$23))</f>
        <v/>
      </c>
      <c r="DV70">
        <f>IF(ISNA(DR70),NA(),INDEX(Capability!$L$5:$L$54,$B$23))</f>
        <v/>
      </c>
      <c r="DW70">
        <f>IF(OR(ISNA(DS70),ISNA(DS69)),NA(),ABS(DS70-DS69))</f>
        <v/>
      </c>
      <c r="DX70">
        <f>IF(ISNA(DR70),NA(),INDEX(Capability!$N$5:$N$54,$B$23))</f>
        <v/>
      </c>
      <c r="DY70">
        <f>IF(ISNA(DR70),NA(),IF(OR(INDEX(Capability!$Q$5:$Q$54,$B$23)="",Settings!$F$7&lt;&gt;"Y"),NA(),INDEX(Capability!$Q$5:$Q$54,$B$23)))</f>
        <v/>
      </c>
      <c r="DZ70">
        <f>IF(ISNA(DR70),NA(),IF(OR(INDEX(Capability!$P$5:$P$54,$B$23)="",Settings!$F$7&lt;&gt;"Y"),NA(),INDEX(Capability!$P$5:$P$54,$B$23)))</f>
        <v/>
      </c>
    </row>
    <row r="71">
      <c r="A71" s="35" t="inlineStr">
        <is>
          <t>Verdict</t>
        </is>
      </c>
      <c r="B71" s="36">
        <f>INDEX(Capability!$Y$5:$Y$54,$B$20)</f>
        <v/>
      </c>
      <c r="CB71">
        <f>IF((CE$1+67)&gt;CC$1,NA(),(CE$1+67)-4)</f>
        <v/>
      </c>
      <c r="CC71">
        <f>IF((CE$1+67)&gt;CC$1,NA(),INDEX('Data Entry'!$H$5:$BE$10004,(CE$1+67)-4,$B$20))</f>
        <v/>
      </c>
      <c r="CD71">
        <f>IF(ISNA(CB71),NA(),INDEX(Capability!$K$5:$K$54,$B$20))</f>
        <v/>
      </c>
      <c r="CE71">
        <f>IF(ISNA(CB71),NA(),INDEX(Capability!$J$5:$J$54,$B$20))</f>
        <v/>
      </c>
      <c r="CF71">
        <f>IF(ISNA(CB71),NA(),INDEX(Capability!$L$5:$L$54,$B$20))</f>
        <v/>
      </c>
      <c r="CG71">
        <f>IF(OR(ISNA(CC71),ISNA(CC70)),NA(),ABS(CC71-CC70))</f>
        <v/>
      </c>
      <c r="CH71">
        <f>IF(ISNA(CB71),NA(),INDEX(Capability!$N$5:$N$54,$B$20))</f>
        <v/>
      </c>
      <c r="CI71">
        <f>IF(ISNA(CB71),NA(),IF(OR(INDEX(Capability!$Q$5:$Q$54,$B$20)="",Settings!$F$7&lt;&gt;"Y"),NA(),INDEX(Capability!$Q$5:$Q$54,$B$20)))</f>
        <v/>
      </c>
      <c r="CJ71">
        <f>IF(ISNA(CB71),NA(),IF(OR(INDEX(Capability!$P$5:$P$54,$B$20)="",Settings!$F$7&lt;&gt;"Y"),NA(),INDEX(Capability!$P$5:$P$54,$B$20)))</f>
        <v/>
      </c>
      <c r="CP71">
        <f>IF((CS$1+67)&gt;CQ$1,NA(),(CS$1+67)-4)</f>
        <v/>
      </c>
      <c r="CQ71">
        <f>IF((CS$1+67)&gt;CQ$1,NA(),INDEX('Data Entry'!$H$5:$BE$10004,(CS$1+67)-4,$B$21))</f>
        <v/>
      </c>
      <c r="CR71">
        <f>IF(ISNA(CP71),NA(),INDEX(Capability!$K$5:$K$54,$B$21))</f>
        <v/>
      </c>
      <c r="CS71">
        <f>IF(ISNA(CP71),NA(),INDEX(Capability!$J$5:$J$54,$B$21))</f>
        <v/>
      </c>
      <c r="CT71">
        <f>IF(ISNA(CP71),NA(),INDEX(Capability!$L$5:$L$54,$B$21))</f>
        <v/>
      </c>
      <c r="CU71">
        <f>IF(OR(ISNA(CQ71),ISNA(CQ70)),NA(),ABS(CQ71-CQ70))</f>
        <v/>
      </c>
      <c r="CV71">
        <f>IF(ISNA(CP71),NA(),INDEX(Capability!$N$5:$N$54,$B$21))</f>
        <v/>
      </c>
      <c r="CW71">
        <f>IF(ISNA(CP71),NA(),IF(OR(INDEX(Capability!$Q$5:$Q$54,$B$21)="",Settings!$F$7&lt;&gt;"Y"),NA(),INDEX(Capability!$Q$5:$Q$54,$B$21)))</f>
        <v/>
      </c>
      <c r="CX71">
        <f>IF(ISNA(CP71),NA(),IF(OR(INDEX(Capability!$P$5:$P$54,$B$21)="",Settings!$F$7&lt;&gt;"Y"),NA(),INDEX(Capability!$P$5:$P$54,$B$21)))</f>
        <v/>
      </c>
      <c r="DD71">
        <f>IF((DG$1+67)&gt;DE$1,NA(),(DG$1+67)-4)</f>
        <v/>
      </c>
      <c r="DE71">
        <f>IF((DG$1+67)&gt;DE$1,NA(),INDEX('Data Entry'!$H$5:$BE$10004,(DG$1+67)-4,$B$22))</f>
        <v/>
      </c>
      <c r="DF71">
        <f>IF(ISNA(DD71),NA(),INDEX(Capability!$K$5:$K$54,$B$22))</f>
        <v/>
      </c>
      <c r="DG71">
        <f>IF(ISNA(DD71),NA(),INDEX(Capability!$J$5:$J$54,$B$22))</f>
        <v/>
      </c>
      <c r="DH71">
        <f>IF(ISNA(DD71),NA(),INDEX(Capability!$L$5:$L$54,$B$22))</f>
        <v/>
      </c>
      <c r="DI71">
        <f>IF(OR(ISNA(DE71),ISNA(DE70)),NA(),ABS(DE71-DE70))</f>
        <v/>
      </c>
      <c r="DJ71">
        <f>IF(ISNA(DD71),NA(),INDEX(Capability!$N$5:$N$54,$B$22))</f>
        <v/>
      </c>
      <c r="DK71">
        <f>IF(ISNA(DD71),NA(),IF(OR(INDEX(Capability!$Q$5:$Q$54,$B$22)="",Settings!$F$7&lt;&gt;"Y"),NA(),INDEX(Capability!$Q$5:$Q$54,$B$22)))</f>
        <v/>
      </c>
      <c r="DL71">
        <f>IF(ISNA(DD71),NA(),IF(OR(INDEX(Capability!$P$5:$P$54,$B$22)="",Settings!$F$7&lt;&gt;"Y"),NA(),INDEX(Capability!$P$5:$P$54,$B$22)))</f>
        <v/>
      </c>
      <c r="DR71">
        <f>IF((DU$1+67)&gt;DS$1,NA(),(DU$1+67)-4)</f>
        <v/>
      </c>
      <c r="DS71">
        <f>IF((DU$1+67)&gt;DS$1,NA(),INDEX('Data Entry'!$H$5:$BE$10004,(DU$1+67)-4,$B$23))</f>
        <v/>
      </c>
      <c r="DT71">
        <f>IF(ISNA(DR71),NA(),INDEX(Capability!$K$5:$K$54,$B$23))</f>
        <v/>
      </c>
      <c r="DU71">
        <f>IF(ISNA(DR71),NA(),INDEX(Capability!$J$5:$J$54,$B$23))</f>
        <v/>
      </c>
      <c r="DV71">
        <f>IF(ISNA(DR71),NA(),INDEX(Capability!$L$5:$L$54,$B$23))</f>
        <v/>
      </c>
      <c r="DW71">
        <f>IF(OR(ISNA(DS71),ISNA(DS70)),NA(),ABS(DS71-DS70))</f>
        <v/>
      </c>
      <c r="DX71">
        <f>IF(ISNA(DR71),NA(),INDEX(Capability!$N$5:$N$54,$B$23))</f>
        <v/>
      </c>
      <c r="DY71">
        <f>IF(ISNA(DR71),NA(),IF(OR(INDEX(Capability!$Q$5:$Q$54,$B$23)="",Settings!$F$7&lt;&gt;"Y"),NA(),INDEX(Capability!$Q$5:$Q$54,$B$23)))</f>
        <v/>
      </c>
      <c r="DZ71">
        <f>IF(ISNA(DR71),NA(),IF(OR(INDEX(Capability!$P$5:$P$54,$B$23)="",Settings!$F$7&lt;&gt;"Y"),NA(),INDEX(Capability!$P$5:$P$54,$B$23)))</f>
        <v/>
      </c>
    </row>
    <row r="72">
      <c r="CB72">
        <f>IF((CE$1+68)&gt;CC$1,NA(),(CE$1+68)-4)</f>
        <v/>
      </c>
      <c r="CC72">
        <f>IF((CE$1+68)&gt;CC$1,NA(),INDEX('Data Entry'!$H$5:$BE$10004,(CE$1+68)-4,$B$20))</f>
        <v/>
      </c>
      <c r="CD72">
        <f>IF(ISNA(CB72),NA(),INDEX(Capability!$K$5:$K$54,$B$20))</f>
        <v/>
      </c>
      <c r="CE72">
        <f>IF(ISNA(CB72),NA(),INDEX(Capability!$J$5:$J$54,$B$20))</f>
        <v/>
      </c>
      <c r="CF72">
        <f>IF(ISNA(CB72),NA(),INDEX(Capability!$L$5:$L$54,$B$20))</f>
        <v/>
      </c>
      <c r="CG72">
        <f>IF(OR(ISNA(CC72),ISNA(CC71)),NA(),ABS(CC72-CC71))</f>
        <v/>
      </c>
      <c r="CH72">
        <f>IF(ISNA(CB72),NA(),INDEX(Capability!$N$5:$N$54,$B$20))</f>
        <v/>
      </c>
      <c r="CI72">
        <f>IF(ISNA(CB72),NA(),IF(OR(INDEX(Capability!$Q$5:$Q$54,$B$20)="",Settings!$F$7&lt;&gt;"Y"),NA(),INDEX(Capability!$Q$5:$Q$54,$B$20)))</f>
        <v/>
      </c>
      <c r="CJ72">
        <f>IF(ISNA(CB72),NA(),IF(OR(INDEX(Capability!$P$5:$P$54,$B$20)="",Settings!$F$7&lt;&gt;"Y"),NA(),INDEX(Capability!$P$5:$P$54,$B$20)))</f>
        <v/>
      </c>
      <c r="CP72">
        <f>IF((CS$1+68)&gt;CQ$1,NA(),(CS$1+68)-4)</f>
        <v/>
      </c>
      <c r="CQ72">
        <f>IF((CS$1+68)&gt;CQ$1,NA(),INDEX('Data Entry'!$H$5:$BE$10004,(CS$1+68)-4,$B$21))</f>
        <v/>
      </c>
      <c r="CR72">
        <f>IF(ISNA(CP72),NA(),INDEX(Capability!$K$5:$K$54,$B$21))</f>
        <v/>
      </c>
      <c r="CS72">
        <f>IF(ISNA(CP72),NA(),INDEX(Capability!$J$5:$J$54,$B$21))</f>
        <v/>
      </c>
      <c r="CT72">
        <f>IF(ISNA(CP72),NA(),INDEX(Capability!$L$5:$L$54,$B$21))</f>
        <v/>
      </c>
      <c r="CU72">
        <f>IF(OR(ISNA(CQ72),ISNA(CQ71)),NA(),ABS(CQ72-CQ71))</f>
        <v/>
      </c>
      <c r="CV72">
        <f>IF(ISNA(CP72),NA(),INDEX(Capability!$N$5:$N$54,$B$21))</f>
        <v/>
      </c>
      <c r="CW72">
        <f>IF(ISNA(CP72),NA(),IF(OR(INDEX(Capability!$Q$5:$Q$54,$B$21)="",Settings!$F$7&lt;&gt;"Y"),NA(),INDEX(Capability!$Q$5:$Q$54,$B$21)))</f>
        <v/>
      </c>
      <c r="CX72">
        <f>IF(ISNA(CP72),NA(),IF(OR(INDEX(Capability!$P$5:$P$54,$B$21)="",Settings!$F$7&lt;&gt;"Y"),NA(),INDEX(Capability!$P$5:$P$54,$B$21)))</f>
        <v/>
      </c>
      <c r="DD72">
        <f>IF((DG$1+68)&gt;DE$1,NA(),(DG$1+68)-4)</f>
        <v/>
      </c>
      <c r="DE72">
        <f>IF((DG$1+68)&gt;DE$1,NA(),INDEX('Data Entry'!$H$5:$BE$10004,(DG$1+68)-4,$B$22))</f>
        <v/>
      </c>
      <c r="DF72">
        <f>IF(ISNA(DD72),NA(),INDEX(Capability!$K$5:$K$54,$B$22))</f>
        <v/>
      </c>
      <c r="DG72">
        <f>IF(ISNA(DD72),NA(),INDEX(Capability!$J$5:$J$54,$B$22))</f>
        <v/>
      </c>
      <c r="DH72">
        <f>IF(ISNA(DD72),NA(),INDEX(Capability!$L$5:$L$54,$B$22))</f>
        <v/>
      </c>
      <c r="DI72">
        <f>IF(OR(ISNA(DE72),ISNA(DE71)),NA(),ABS(DE72-DE71))</f>
        <v/>
      </c>
      <c r="DJ72">
        <f>IF(ISNA(DD72),NA(),INDEX(Capability!$N$5:$N$54,$B$22))</f>
        <v/>
      </c>
      <c r="DK72">
        <f>IF(ISNA(DD72),NA(),IF(OR(INDEX(Capability!$Q$5:$Q$54,$B$22)="",Settings!$F$7&lt;&gt;"Y"),NA(),INDEX(Capability!$Q$5:$Q$54,$B$22)))</f>
        <v/>
      </c>
      <c r="DL72">
        <f>IF(ISNA(DD72),NA(),IF(OR(INDEX(Capability!$P$5:$P$54,$B$22)="",Settings!$F$7&lt;&gt;"Y"),NA(),INDEX(Capability!$P$5:$P$54,$B$22)))</f>
        <v/>
      </c>
      <c r="DR72">
        <f>IF((DU$1+68)&gt;DS$1,NA(),(DU$1+68)-4)</f>
        <v/>
      </c>
      <c r="DS72">
        <f>IF((DU$1+68)&gt;DS$1,NA(),INDEX('Data Entry'!$H$5:$BE$10004,(DU$1+68)-4,$B$23))</f>
        <v/>
      </c>
      <c r="DT72">
        <f>IF(ISNA(DR72),NA(),INDEX(Capability!$K$5:$K$54,$B$23))</f>
        <v/>
      </c>
      <c r="DU72">
        <f>IF(ISNA(DR72),NA(),INDEX(Capability!$J$5:$J$54,$B$23))</f>
        <v/>
      </c>
      <c r="DV72">
        <f>IF(ISNA(DR72),NA(),INDEX(Capability!$L$5:$L$54,$B$23))</f>
        <v/>
      </c>
      <c r="DW72">
        <f>IF(OR(ISNA(DS72),ISNA(DS71)),NA(),ABS(DS72-DS71))</f>
        <v/>
      </c>
      <c r="DX72">
        <f>IF(ISNA(DR72),NA(),INDEX(Capability!$N$5:$N$54,$B$23))</f>
        <v/>
      </c>
      <c r="DY72">
        <f>IF(ISNA(DR72),NA(),IF(OR(INDEX(Capability!$Q$5:$Q$54,$B$23)="",Settings!$F$7&lt;&gt;"Y"),NA(),INDEX(Capability!$Q$5:$Q$54,$B$23)))</f>
        <v/>
      </c>
      <c r="DZ72">
        <f>IF(ISNA(DR72),NA(),IF(OR(INDEX(Capability!$P$5:$P$54,$B$23)="",Settings!$F$7&lt;&gt;"Y"),NA(),INDEX(Capability!$P$5:$P$54,$B$23)))</f>
        <v/>
      </c>
    </row>
    <row r="73">
      <c r="CB73">
        <f>IF((CE$1+69)&gt;CC$1,NA(),(CE$1+69)-4)</f>
        <v/>
      </c>
      <c r="CC73">
        <f>IF((CE$1+69)&gt;CC$1,NA(),INDEX('Data Entry'!$H$5:$BE$10004,(CE$1+69)-4,$B$20))</f>
        <v/>
      </c>
      <c r="CD73">
        <f>IF(ISNA(CB73),NA(),INDEX(Capability!$K$5:$K$54,$B$20))</f>
        <v/>
      </c>
      <c r="CE73">
        <f>IF(ISNA(CB73),NA(),INDEX(Capability!$J$5:$J$54,$B$20))</f>
        <v/>
      </c>
      <c r="CF73">
        <f>IF(ISNA(CB73),NA(),INDEX(Capability!$L$5:$L$54,$B$20))</f>
        <v/>
      </c>
      <c r="CG73">
        <f>IF(OR(ISNA(CC73),ISNA(CC72)),NA(),ABS(CC73-CC72))</f>
        <v/>
      </c>
      <c r="CH73">
        <f>IF(ISNA(CB73),NA(),INDEX(Capability!$N$5:$N$54,$B$20))</f>
        <v/>
      </c>
      <c r="CI73">
        <f>IF(ISNA(CB73),NA(),IF(OR(INDEX(Capability!$Q$5:$Q$54,$B$20)="",Settings!$F$7&lt;&gt;"Y"),NA(),INDEX(Capability!$Q$5:$Q$54,$B$20)))</f>
        <v/>
      </c>
      <c r="CJ73">
        <f>IF(ISNA(CB73),NA(),IF(OR(INDEX(Capability!$P$5:$P$54,$B$20)="",Settings!$F$7&lt;&gt;"Y"),NA(),INDEX(Capability!$P$5:$P$54,$B$20)))</f>
        <v/>
      </c>
      <c r="CP73">
        <f>IF((CS$1+69)&gt;CQ$1,NA(),(CS$1+69)-4)</f>
        <v/>
      </c>
      <c r="CQ73">
        <f>IF((CS$1+69)&gt;CQ$1,NA(),INDEX('Data Entry'!$H$5:$BE$10004,(CS$1+69)-4,$B$21))</f>
        <v/>
      </c>
      <c r="CR73">
        <f>IF(ISNA(CP73),NA(),INDEX(Capability!$K$5:$K$54,$B$21))</f>
        <v/>
      </c>
      <c r="CS73">
        <f>IF(ISNA(CP73),NA(),INDEX(Capability!$J$5:$J$54,$B$21))</f>
        <v/>
      </c>
      <c r="CT73">
        <f>IF(ISNA(CP73),NA(),INDEX(Capability!$L$5:$L$54,$B$21))</f>
        <v/>
      </c>
      <c r="CU73">
        <f>IF(OR(ISNA(CQ73),ISNA(CQ72)),NA(),ABS(CQ73-CQ72))</f>
        <v/>
      </c>
      <c r="CV73">
        <f>IF(ISNA(CP73),NA(),INDEX(Capability!$N$5:$N$54,$B$21))</f>
        <v/>
      </c>
      <c r="CW73">
        <f>IF(ISNA(CP73),NA(),IF(OR(INDEX(Capability!$Q$5:$Q$54,$B$21)="",Settings!$F$7&lt;&gt;"Y"),NA(),INDEX(Capability!$Q$5:$Q$54,$B$21)))</f>
        <v/>
      </c>
      <c r="CX73">
        <f>IF(ISNA(CP73),NA(),IF(OR(INDEX(Capability!$P$5:$P$54,$B$21)="",Settings!$F$7&lt;&gt;"Y"),NA(),INDEX(Capability!$P$5:$P$54,$B$21)))</f>
        <v/>
      </c>
      <c r="DD73">
        <f>IF((DG$1+69)&gt;DE$1,NA(),(DG$1+69)-4)</f>
        <v/>
      </c>
      <c r="DE73">
        <f>IF((DG$1+69)&gt;DE$1,NA(),INDEX('Data Entry'!$H$5:$BE$10004,(DG$1+69)-4,$B$22))</f>
        <v/>
      </c>
      <c r="DF73">
        <f>IF(ISNA(DD73),NA(),INDEX(Capability!$K$5:$K$54,$B$22))</f>
        <v/>
      </c>
      <c r="DG73">
        <f>IF(ISNA(DD73),NA(),INDEX(Capability!$J$5:$J$54,$B$22))</f>
        <v/>
      </c>
      <c r="DH73">
        <f>IF(ISNA(DD73),NA(),INDEX(Capability!$L$5:$L$54,$B$22))</f>
        <v/>
      </c>
      <c r="DI73">
        <f>IF(OR(ISNA(DE73),ISNA(DE72)),NA(),ABS(DE73-DE72))</f>
        <v/>
      </c>
      <c r="DJ73">
        <f>IF(ISNA(DD73),NA(),INDEX(Capability!$N$5:$N$54,$B$22))</f>
        <v/>
      </c>
      <c r="DK73">
        <f>IF(ISNA(DD73),NA(),IF(OR(INDEX(Capability!$Q$5:$Q$54,$B$22)="",Settings!$F$7&lt;&gt;"Y"),NA(),INDEX(Capability!$Q$5:$Q$54,$B$22)))</f>
        <v/>
      </c>
      <c r="DL73">
        <f>IF(ISNA(DD73),NA(),IF(OR(INDEX(Capability!$P$5:$P$54,$B$22)="",Settings!$F$7&lt;&gt;"Y"),NA(),INDEX(Capability!$P$5:$P$54,$B$22)))</f>
        <v/>
      </c>
      <c r="DR73">
        <f>IF((DU$1+69)&gt;DS$1,NA(),(DU$1+69)-4)</f>
        <v/>
      </c>
      <c r="DS73">
        <f>IF((DU$1+69)&gt;DS$1,NA(),INDEX('Data Entry'!$H$5:$BE$10004,(DU$1+69)-4,$B$23))</f>
        <v/>
      </c>
      <c r="DT73">
        <f>IF(ISNA(DR73),NA(),INDEX(Capability!$K$5:$K$54,$B$23))</f>
        <v/>
      </c>
      <c r="DU73">
        <f>IF(ISNA(DR73),NA(),INDEX(Capability!$J$5:$J$54,$B$23))</f>
        <v/>
      </c>
      <c r="DV73">
        <f>IF(ISNA(DR73),NA(),INDEX(Capability!$L$5:$L$54,$B$23))</f>
        <v/>
      </c>
      <c r="DW73">
        <f>IF(OR(ISNA(DS73),ISNA(DS72)),NA(),ABS(DS73-DS72))</f>
        <v/>
      </c>
      <c r="DX73">
        <f>IF(ISNA(DR73),NA(),INDEX(Capability!$N$5:$N$54,$B$23))</f>
        <v/>
      </c>
      <c r="DY73">
        <f>IF(ISNA(DR73),NA(),IF(OR(INDEX(Capability!$Q$5:$Q$54,$B$23)="",Settings!$F$7&lt;&gt;"Y"),NA(),INDEX(Capability!$Q$5:$Q$54,$B$23)))</f>
        <v/>
      </c>
      <c r="DZ73">
        <f>IF(ISNA(DR73),NA(),IF(OR(INDEX(Capability!$P$5:$P$54,$B$23)="",Settings!$F$7&lt;&gt;"Y"),NA(),INDEX(Capability!$P$5:$P$54,$B$23)))</f>
        <v/>
      </c>
    </row>
    <row r="74">
      <c r="A74" s="34">
        <f>"SLOT 2: "&amp;IF(INDEX(Settings!$B$17:$B$66,$B$21)="","(unnamed)",INDEX(Settings!$B$17:$B$66,$B$21))</f>
        <v/>
      </c>
      <c r="B74" s="9" t="n"/>
      <c r="CB74">
        <f>IF((CE$1+70)&gt;CC$1,NA(),(CE$1+70)-4)</f>
        <v/>
      </c>
      <c r="CC74">
        <f>IF((CE$1+70)&gt;CC$1,NA(),INDEX('Data Entry'!$H$5:$BE$10004,(CE$1+70)-4,$B$20))</f>
        <v/>
      </c>
      <c r="CD74">
        <f>IF(ISNA(CB74),NA(),INDEX(Capability!$K$5:$K$54,$B$20))</f>
        <v/>
      </c>
      <c r="CE74">
        <f>IF(ISNA(CB74),NA(),INDEX(Capability!$J$5:$J$54,$B$20))</f>
        <v/>
      </c>
      <c r="CF74">
        <f>IF(ISNA(CB74),NA(),INDEX(Capability!$L$5:$L$54,$B$20))</f>
        <v/>
      </c>
      <c r="CG74">
        <f>IF(OR(ISNA(CC74),ISNA(CC73)),NA(),ABS(CC74-CC73))</f>
        <v/>
      </c>
      <c r="CH74">
        <f>IF(ISNA(CB74),NA(),INDEX(Capability!$N$5:$N$54,$B$20))</f>
        <v/>
      </c>
      <c r="CI74">
        <f>IF(ISNA(CB74),NA(),IF(OR(INDEX(Capability!$Q$5:$Q$54,$B$20)="",Settings!$F$7&lt;&gt;"Y"),NA(),INDEX(Capability!$Q$5:$Q$54,$B$20)))</f>
        <v/>
      </c>
      <c r="CJ74">
        <f>IF(ISNA(CB74),NA(),IF(OR(INDEX(Capability!$P$5:$P$54,$B$20)="",Settings!$F$7&lt;&gt;"Y"),NA(),INDEX(Capability!$P$5:$P$54,$B$20)))</f>
        <v/>
      </c>
      <c r="CP74">
        <f>IF((CS$1+70)&gt;CQ$1,NA(),(CS$1+70)-4)</f>
        <v/>
      </c>
      <c r="CQ74">
        <f>IF((CS$1+70)&gt;CQ$1,NA(),INDEX('Data Entry'!$H$5:$BE$10004,(CS$1+70)-4,$B$21))</f>
        <v/>
      </c>
      <c r="CR74">
        <f>IF(ISNA(CP74),NA(),INDEX(Capability!$K$5:$K$54,$B$21))</f>
        <v/>
      </c>
      <c r="CS74">
        <f>IF(ISNA(CP74),NA(),INDEX(Capability!$J$5:$J$54,$B$21))</f>
        <v/>
      </c>
      <c r="CT74">
        <f>IF(ISNA(CP74),NA(),INDEX(Capability!$L$5:$L$54,$B$21))</f>
        <v/>
      </c>
      <c r="CU74">
        <f>IF(OR(ISNA(CQ74),ISNA(CQ73)),NA(),ABS(CQ74-CQ73))</f>
        <v/>
      </c>
      <c r="CV74">
        <f>IF(ISNA(CP74),NA(),INDEX(Capability!$N$5:$N$54,$B$21))</f>
        <v/>
      </c>
      <c r="CW74">
        <f>IF(ISNA(CP74),NA(),IF(OR(INDEX(Capability!$Q$5:$Q$54,$B$21)="",Settings!$F$7&lt;&gt;"Y"),NA(),INDEX(Capability!$Q$5:$Q$54,$B$21)))</f>
        <v/>
      </c>
      <c r="CX74">
        <f>IF(ISNA(CP74),NA(),IF(OR(INDEX(Capability!$P$5:$P$54,$B$21)="",Settings!$F$7&lt;&gt;"Y"),NA(),INDEX(Capability!$P$5:$P$54,$B$21)))</f>
        <v/>
      </c>
      <c r="DD74">
        <f>IF((DG$1+70)&gt;DE$1,NA(),(DG$1+70)-4)</f>
        <v/>
      </c>
      <c r="DE74">
        <f>IF((DG$1+70)&gt;DE$1,NA(),INDEX('Data Entry'!$H$5:$BE$10004,(DG$1+70)-4,$B$22))</f>
        <v/>
      </c>
      <c r="DF74">
        <f>IF(ISNA(DD74),NA(),INDEX(Capability!$K$5:$K$54,$B$22))</f>
        <v/>
      </c>
      <c r="DG74">
        <f>IF(ISNA(DD74),NA(),INDEX(Capability!$J$5:$J$54,$B$22))</f>
        <v/>
      </c>
      <c r="DH74">
        <f>IF(ISNA(DD74),NA(),INDEX(Capability!$L$5:$L$54,$B$22))</f>
        <v/>
      </c>
      <c r="DI74">
        <f>IF(OR(ISNA(DE74),ISNA(DE73)),NA(),ABS(DE74-DE73))</f>
        <v/>
      </c>
      <c r="DJ74">
        <f>IF(ISNA(DD74),NA(),INDEX(Capability!$N$5:$N$54,$B$22))</f>
        <v/>
      </c>
      <c r="DK74">
        <f>IF(ISNA(DD74),NA(),IF(OR(INDEX(Capability!$Q$5:$Q$54,$B$22)="",Settings!$F$7&lt;&gt;"Y"),NA(),INDEX(Capability!$Q$5:$Q$54,$B$22)))</f>
        <v/>
      </c>
      <c r="DL74">
        <f>IF(ISNA(DD74),NA(),IF(OR(INDEX(Capability!$P$5:$P$54,$B$22)="",Settings!$F$7&lt;&gt;"Y"),NA(),INDEX(Capability!$P$5:$P$54,$B$22)))</f>
        <v/>
      </c>
      <c r="DR74">
        <f>IF((DU$1+70)&gt;DS$1,NA(),(DU$1+70)-4)</f>
        <v/>
      </c>
      <c r="DS74">
        <f>IF((DU$1+70)&gt;DS$1,NA(),INDEX('Data Entry'!$H$5:$BE$10004,(DU$1+70)-4,$B$23))</f>
        <v/>
      </c>
      <c r="DT74">
        <f>IF(ISNA(DR74),NA(),INDEX(Capability!$K$5:$K$54,$B$23))</f>
        <v/>
      </c>
      <c r="DU74">
        <f>IF(ISNA(DR74),NA(),INDEX(Capability!$J$5:$J$54,$B$23))</f>
        <v/>
      </c>
      <c r="DV74">
        <f>IF(ISNA(DR74),NA(),INDEX(Capability!$L$5:$L$54,$B$23))</f>
        <v/>
      </c>
      <c r="DW74">
        <f>IF(OR(ISNA(DS74),ISNA(DS73)),NA(),ABS(DS74-DS73))</f>
        <v/>
      </c>
      <c r="DX74">
        <f>IF(ISNA(DR74),NA(),INDEX(Capability!$N$5:$N$54,$B$23))</f>
        <v/>
      </c>
      <c r="DY74">
        <f>IF(ISNA(DR74),NA(),IF(OR(INDEX(Capability!$Q$5:$Q$54,$B$23)="",Settings!$F$7&lt;&gt;"Y"),NA(),INDEX(Capability!$Q$5:$Q$54,$B$23)))</f>
        <v/>
      </c>
      <c r="DZ74">
        <f>IF(ISNA(DR74),NA(),IF(OR(INDEX(Capability!$P$5:$P$54,$B$23)="",Settings!$F$7&lt;&gt;"Y"),NA(),INDEX(Capability!$P$5:$P$54,$B$23)))</f>
        <v/>
      </c>
    </row>
    <row r="75">
      <c r="A75" s="35" t="inlineStr">
        <is>
          <t>Feature</t>
        </is>
      </c>
      <c r="B75" s="36">
        <f>INDEX(Capability!$A$5:$A$54,$B$21)</f>
        <v/>
      </c>
      <c r="CB75">
        <f>IF((CE$1+71)&gt;CC$1,NA(),(CE$1+71)-4)</f>
        <v/>
      </c>
      <c r="CC75">
        <f>IF((CE$1+71)&gt;CC$1,NA(),INDEX('Data Entry'!$H$5:$BE$10004,(CE$1+71)-4,$B$20))</f>
        <v/>
      </c>
      <c r="CD75">
        <f>IF(ISNA(CB75),NA(),INDEX(Capability!$K$5:$K$54,$B$20))</f>
        <v/>
      </c>
      <c r="CE75">
        <f>IF(ISNA(CB75),NA(),INDEX(Capability!$J$5:$J$54,$B$20))</f>
        <v/>
      </c>
      <c r="CF75">
        <f>IF(ISNA(CB75),NA(),INDEX(Capability!$L$5:$L$54,$B$20))</f>
        <v/>
      </c>
      <c r="CG75">
        <f>IF(OR(ISNA(CC75),ISNA(CC74)),NA(),ABS(CC75-CC74))</f>
        <v/>
      </c>
      <c r="CH75">
        <f>IF(ISNA(CB75),NA(),INDEX(Capability!$N$5:$N$54,$B$20))</f>
        <v/>
      </c>
      <c r="CI75">
        <f>IF(ISNA(CB75),NA(),IF(OR(INDEX(Capability!$Q$5:$Q$54,$B$20)="",Settings!$F$7&lt;&gt;"Y"),NA(),INDEX(Capability!$Q$5:$Q$54,$B$20)))</f>
        <v/>
      </c>
      <c r="CJ75">
        <f>IF(ISNA(CB75),NA(),IF(OR(INDEX(Capability!$P$5:$P$54,$B$20)="",Settings!$F$7&lt;&gt;"Y"),NA(),INDEX(Capability!$P$5:$P$54,$B$20)))</f>
        <v/>
      </c>
      <c r="CP75">
        <f>IF((CS$1+71)&gt;CQ$1,NA(),(CS$1+71)-4)</f>
        <v/>
      </c>
      <c r="CQ75">
        <f>IF((CS$1+71)&gt;CQ$1,NA(),INDEX('Data Entry'!$H$5:$BE$10004,(CS$1+71)-4,$B$21))</f>
        <v/>
      </c>
      <c r="CR75">
        <f>IF(ISNA(CP75),NA(),INDEX(Capability!$K$5:$K$54,$B$21))</f>
        <v/>
      </c>
      <c r="CS75">
        <f>IF(ISNA(CP75),NA(),INDEX(Capability!$J$5:$J$54,$B$21))</f>
        <v/>
      </c>
      <c r="CT75">
        <f>IF(ISNA(CP75),NA(),INDEX(Capability!$L$5:$L$54,$B$21))</f>
        <v/>
      </c>
      <c r="CU75">
        <f>IF(OR(ISNA(CQ75),ISNA(CQ74)),NA(),ABS(CQ75-CQ74))</f>
        <v/>
      </c>
      <c r="CV75">
        <f>IF(ISNA(CP75),NA(),INDEX(Capability!$N$5:$N$54,$B$21))</f>
        <v/>
      </c>
      <c r="CW75">
        <f>IF(ISNA(CP75),NA(),IF(OR(INDEX(Capability!$Q$5:$Q$54,$B$21)="",Settings!$F$7&lt;&gt;"Y"),NA(),INDEX(Capability!$Q$5:$Q$54,$B$21)))</f>
        <v/>
      </c>
      <c r="CX75">
        <f>IF(ISNA(CP75),NA(),IF(OR(INDEX(Capability!$P$5:$P$54,$B$21)="",Settings!$F$7&lt;&gt;"Y"),NA(),INDEX(Capability!$P$5:$P$54,$B$21)))</f>
        <v/>
      </c>
      <c r="DD75">
        <f>IF((DG$1+71)&gt;DE$1,NA(),(DG$1+71)-4)</f>
        <v/>
      </c>
      <c r="DE75">
        <f>IF((DG$1+71)&gt;DE$1,NA(),INDEX('Data Entry'!$H$5:$BE$10004,(DG$1+71)-4,$B$22))</f>
        <v/>
      </c>
      <c r="DF75">
        <f>IF(ISNA(DD75),NA(),INDEX(Capability!$K$5:$K$54,$B$22))</f>
        <v/>
      </c>
      <c r="DG75">
        <f>IF(ISNA(DD75),NA(),INDEX(Capability!$J$5:$J$54,$B$22))</f>
        <v/>
      </c>
      <c r="DH75">
        <f>IF(ISNA(DD75),NA(),INDEX(Capability!$L$5:$L$54,$B$22))</f>
        <v/>
      </c>
      <c r="DI75">
        <f>IF(OR(ISNA(DE75),ISNA(DE74)),NA(),ABS(DE75-DE74))</f>
        <v/>
      </c>
      <c r="DJ75">
        <f>IF(ISNA(DD75),NA(),INDEX(Capability!$N$5:$N$54,$B$22))</f>
        <v/>
      </c>
      <c r="DK75">
        <f>IF(ISNA(DD75),NA(),IF(OR(INDEX(Capability!$Q$5:$Q$54,$B$22)="",Settings!$F$7&lt;&gt;"Y"),NA(),INDEX(Capability!$Q$5:$Q$54,$B$22)))</f>
        <v/>
      </c>
      <c r="DL75">
        <f>IF(ISNA(DD75),NA(),IF(OR(INDEX(Capability!$P$5:$P$54,$B$22)="",Settings!$F$7&lt;&gt;"Y"),NA(),INDEX(Capability!$P$5:$P$54,$B$22)))</f>
        <v/>
      </c>
      <c r="DR75">
        <f>IF((DU$1+71)&gt;DS$1,NA(),(DU$1+71)-4)</f>
        <v/>
      </c>
      <c r="DS75">
        <f>IF((DU$1+71)&gt;DS$1,NA(),INDEX('Data Entry'!$H$5:$BE$10004,(DU$1+71)-4,$B$23))</f>
        <v/>
      </c>
      <c r="DT75">
        <f>IF(ISNA(DR75),NA(),INDEX(Capability!$K$5:$K$54,$B$23))</f>
        <v/>
      </c>
      <c r="DU75">
        <f>IF(ISNA(DR75),NA(),INDEX(Capability!$J$5:$J$54,$B$23))</f>
        <v/>
      </c>
      <c r="DV75">
        <f>IF(ISNA(DR75),NA(),INDEX(Capability!$L$5:$L$54,$B$23))</f>
        <v/>
      </c>
      <c r="DW75">
        <f>IF(OR(ISNA(DS75),ISNA(DS74)),NA(),ABS(DS75-DS74))</f>
        <v/>
      </c>
      <c r="DX75">
        <f>IF(ISNA(DR75),NA(),INDEX(Capability!$N$5:$N$54,$B$23))</f>
        <v/>
      </c>
      <c r="DY75">
        <f>IF(ISNA(DR75),NA(),IF(OR(INDEX(Capability!$Q$5:$Q$54,$B$23)="",Settings!$F$7&lt;&gt;"Y"),NA(),INDEX(Capability!$Q$5:$Q$54,$B$23)))</f>
        <v/>
      </c>
      <c r="DZ75">
        <f>IF(ISNA(DR75),NA(),IF(OR(INDEX(Capability!$P$5:$P$54,$B$23)="",Settings!$F$7&lt;&gt;"Y"),NA(),INDEX(Capability!$P$5:$P$54,$B$23)))</f>
        <v/>
      </c>
    </row>
    <row r="76">
      <c r="A76" s="35" t="inlineStr">
        <is>
          <t>Unit</t>
        </is>
      </c>
      <c r="B76" s="36">
        <f>INDEX(Settings!$F$17:$F$66,$B$21)</f>
        <v/>
      </c>
      <c r="CB76">
        <f>IF((CE$1+72)&gt;CC$1,NA(),(CE$1+72)-4)</f>
        <v/>
      </c>
      <c r="CC76">
        <f>IF((CE$1+72)&gt;CC$1,NA(),INDEX('Data Entry'!$H$5:$BE$10004,(CE$1+72)-4,$B$20))</f>
        <v/>
      </c>
      <c r="CD76">
        <f>IF(ISNA(CB76),NA(),INDEX(Capability!$K$5:$K$54,$B$20))</f>
        <v/>
      </c>
      <c r="CE76">
        <f>IF(ISNA(CB76),NA(),INDEX(Capability!$J$5:$J$54,$B$20))</f>
        <v/>
      </c>
      <c r="CF76">
        <f>IF(ISNA(CB76),NA(),INDEX(Capability!$L$5:$L$54,$B$20))</f>
        <v/>
      </c>
      <c r="CG76">
        <f>IF(OR(ISNA(CC76),ISNA(CC75)),NA(),ABS(CC76-CC75))</f>
        <v/>
      </c>
      <c r="CH76">
        <f>IF(ISNA(CB76),NA(),INDEX(Capability!$N$5:$N$54,$B$20))</f>
        <v/>
      </c>
      <c r="CI76">
        <f>IF(ISNA(CB76),NA(),IF(OR(INDEX(Capability!$Q$5:$Q$54,$B$20)="",Settings!$F$7&lt;&gt;"Y"),NA(),INDEX(Capability!$Q$5:$Q$54,$B$20)))</f>
        <v/>
      </c>
      <c r="CJ76">
        <f>IF(ISNA(CB76),NA(),IF(OR(INDEX(Capability!$P$5:$P$54,$B$20)="",Settings!$F$7&lt;&gt;"Y"),NA(),INDEX(Capability!$P$5:$P$54,$B$20)))</f>
        <v/>
      </c>
      <c r="CP76">
        <f>IF((CS$1+72)&gt;CQ$1,NA(),(CS$1+72)-4)</f>
        <v/>
      </c>
      <c r="CQ76">
        <f>IF((CS$1+72)&gt;CQ$1,NA(),INDEX('Data Entry'!$H$5:$BE$10004,(CS$1+72)-4,$B$21))</f>
        <v/>
      </c>
      <c r="CR76">
        <f>IF(ISNA(CP76),NA(),INDEX(Capability!$K$5:$K$54,$B$21))</f>
        <v/>
      </c>
      <c r="CS76">
        <f>IF(ISNA(CP76),NA(),INDEX(Capability!$J$5:$J$54,$B$21))</f>
        <v/>
      </c>
      <c r="CT76">
        <f>IF(ISNA(CP76),NA(),INDEX(Capability!$L$5:$L$54,$B$21))</f>
        <v/>
      </c>
      <c r="CU76">
        <f>IF(OR(ISNA(CQ76),ISNA(CQ75)),NA(),ABS(CQ76-CQ75))</f>
        <v/>
      </c>
      <c r="CV76">
        <f>IF(ISNA(CP76),NA(),INDEX(Capability!$N$5:$N$54,$B$21))</f>
        <v/>
      </c>
      <c r="CW76">
        <f>IF(ISNA(CP76),NA(),IF(OR(INDEX(Capability!$Q$5:$Q$54,$B$21)="",Settings!$F$7&lt;&gt;"Y"),NA(),INDEX(Capability!$Q$5:$Q$54,$B$21)))</f>
        <v/>
      </c>
      <c r="CX76">
        <f>IF(ISNA(CP76),NA(),IF(OR(INDEX(Capability!$P$5:$P$54,$B$21)="",Settings!$F$7&lt;&gt;"Y"),NA(),INDEX(Capability!$P$5:$P$54,$B$21)))</f>
        <v/>
      </c>
      <c r="DD76">
        <f>IF((DG$1+72)&gt;DE$1,NA(),(DG$1+72)-4)</f>
        <v/>
      </c>
      <c r="DE76">
        <f>IF((DG$1+72)&gt;DE$1,NA(),INDEX('Data Entry'!$H$5:$BE$10004,(DG$1+72)-4,$B$22))</f>
        <v/>
      </c>
      <c r="DF76">
        <f>IF(ISNA(DD76),NA(),INDEX(Capability!$K$5:$K$54,$B$22))</f>
        <v/>
      </c>
      <c r="DG76">
        <f>IF(ISNA(DD76),NA(),INDEX(Capability!$J$5:$J$54,$B$22))</f>
        <v/>
      </c>
      <c r="DH76">
        <f>IF(ISNA(DD76),NA(),INDEX(Capability!$L$5:$L$54,$B$22))</f>
        <v/>
      </c>
      <c r="DI76">
        <f>IF(OR(ISNA(DE76),ISNA(DE75)),NA(),ABS(DE76-DE75))</f>
        <v/>
      </c>
      <c r="DJ76">
        <f>IF(ISNA(DD76),NA(),INDEX(Capability!$N$5:$N$54,$B$22))</f>
        <v/>
      </c>
      <c r="DK76">
        <f>IF(ISNA(DD76),NA(),IF(OR(INDEX(Capability!$Q$5:$Q$54,$B$22)="",Settings!$F$7&lt;&gt;"Y"),NA(),INDEX(Capability!$Q$5:$Q$54,$B$22)))</f>
        <v/>
      </c>
      <c r="DL76">
        <f>IF(ISNA(DD76),NA(),IF(OR(INDEX(Capability!$P$5:$P$54,$B$22)="",Settings!$F$7&lt;&gt;"Y"),NA(),INDEX(Capability!$P$5:$P$54,$B$22)))</f>
        <v/>
      </c>
      <c r="DR76">
        <f>IF((DU$1+72)&gt;DS$1,NA(),(DU$1+72)-4)</f>
        <v/>
      </c>
      <c r="DS76">
        <f>IF((DU$1+72)&gt;DS$1,NA(),INDEX('Data Entry'!$H$5:$BE$10004,(DU$1+72)-4,$B$23))</f>
        <v/>
      </c>
      <c r="DT76">
        <f>IF(ISNA(DR76),NA(),INDEX(Capability!$K$5:$K$54,$B$23))</f>
        <v/>
      </c>
      <c r="DU76">
        <f>IF(ISNA(DR76),NA(),INDEX(Capability!$J$5:$J$54,$B$23))</f>
        <v/>
      </c>
      <c r="DV76">
        <f>IF(ISNA(DR76),NA(),INDEX(Capability!$L$5:$L$54,$B$23))</f>
        <v/>
      </c>
      <c r="DW76">
        <f>IF(OR(ISNA(DS76),ISNA(DS75)),NA(),ABS(DS76-DS75))</f>
        <v/>
      </c>
      <c r="DX76">
        <f>IF(ISNA(DR76),NA(),INDEX(Capability!$N$5:$N$54,$B$23))</f>
        <v/>
      </c>
      <c r="DY76">
        <f>IF(ISNA(DR76),NA(),IF(OR(INDEX(Capability!$Q$5:$Q$54,$B$23)="",Settings!$F$7&lt;&gt;"Y"),NA(),INDEX(Capability!$Q$5:$Q$54,$B$23)))</f>
        <v/>
      </c>
      <c r="DZ76">
        <f>IF(ISNA(DR76),NA(),IF(OR(INDEX(Capability!$P$5:$P$54,$B$23)="",Settings!$F$7&lt;&gt;"Y"),NA(),INDEX(Capability!$P$5:$P$54,$B$23)))</f>
        <v/>
      </c>
    </row>
    <row r="77">
      <c r="A77" s="35" t="inlineStr">
        <is>
          <t>Samples (n)</t>
        </is>
      </c>
      <c r="B77" s="22">
        <f>INDEX(Capability!$B$5:$B$54,$B$21)</f>
        <v/>
      </c>
      <c r="CB77">
        <f>IF((CE$1+73)&gt;CC$1,NA(),(CE$1+73)-4)</f>
        <v/>
      </c>
      <c r="CC77">
        <f>IF((CE$1+73)&gt;CC$1,NA(),INDEX('Data Entry'!$H$5:$BE$10004,(CE$1+73)-4,$B$20))</f>
        <v/>
      </c>
      <c r="CD77">
        <f>IF(ISNA(CB77),NA(),INDEX(Capability!$K$5:$K$54,$B$20))</f>
        <v/>
      </c>
      <c r="CE77">
        <f>IF(ISNA(CB77),NA(),INDEX(Capability!$J$5:$J$54,$B$20))</f>
        <v/>
      </c>
      <c r="CF77">
        <f>IF(ISNA(CB77),NA(),INDEX(Capability!$L$5:$L$54,$B$20))</f>
        <v/>
      </c>
      <c r="CG77">
        <f>IF(OR(ISNA(CC77),ISNA(CC76)),NA(),ABS(CC77-CC76))</f>
        <v/>
      </c>
      <c r="CH77">
        <f>IF(ISNA(CB77),NA(),INDEX(Capability!$N$5:$N$54,$B$20))</f>
        <v/>
      </c>
      <c r="CI77">
        <f>IF(ISNA(CB77),NA(),IF(OR(INDEX(Capability!$Q$5:$Q$54,$B$20)="",Settings!$F$7&lt;&gt;"Y"),NA(),INDEX(Capability!$Q$5:$Q$54,$B$20)))</f>
        <v/>
      </c>
      <c r="CJ77">
        <f>IF(ISNA(CB77),NA(),IF(OR(INDEX(Capability!$P$5:$P$54,$B$20)="",Settings!$F$7&lt;&gt;"Y"),NA(),INDEX(Capability!$P$5:$P$54,$B$20)))</f>
        <v/>
      </c>
      <c r="CP77">
        <f>IF((CS$1+73)&gt;CQ$1,NA(),(CS$1+73)-4)</f>
        <v/>
      </c>
      <c r="CQ77">
        <f>IF((CS$1+73)&gt;CQ$1,NA(),INDEX('Data Entry'!$H$5:$BE$10004,(CS$1+73)-4,$B$21))</f>
        <v/>
      </c>
      <c r="CR77">
        <f>IF(ISNA(CP77),NA(),INDEX(Capability!$K$5:$K$54,$B$21))</f>
        <v/>
      </c>
      <c r="CS77">
        <f>IF(ISNA(CP77),NA(),INDEX(Capability!$J$5:$J$54,$B$21))</f>
        <v/>
      </c>
      <c r="CT77">
        <f>IF(ISNA(CP77),NA(),INDEX(Capability!$L$5:$L$54,$B$21))</f>
        <v/>
      </c>
      <c r="CU77">
        <f>IF(OR(ISNA(CQ77),ISNA(CQ76)),NA(),ABS(CQ77-CQ76))</f>
        <v/>
      </c>
      <c r="CV77">
        <f>IF(ISNA(CP77),NA(),INDEX(Capability!$N$5:$N$54,$B$21))</f>
        <v/>
      </c>
      <c r="CW77">
        <f>IF(ISNA(CP77),NA(),IF(OR(INDEX(Capability!$Q$5:$Q$54,$B$21)="",Settings!$F$7&lt;&gt;"Y"),NA(),INDEX(Capability!$Q$5:$Q$54,$B$21)))</f>
        <v/>
      </c>
      <c r="CX77">
        <f>IF(ISNA(CP77),NA(),IF(OR(INDEX(Capability!$P$5:$P$54,$B$21)="",Settings!$F$7&lt;&gt;"Y"),NA(),INDEX(Capability!$P$5:$P$54,$B$21)))</f>
        <v/>
      </c>
      <c r="DD77">
        <f>IF((DG$1+73)&gt;DE$1,NA(),(DG$1+73)-4)</f>
        <v/>
      </c>
      <c r="DE77">
        <f>IF((DG$1+73)&gt;DE$1,NA(),INDEX('Data Entry'!$H$5:$BE$10004,(DG$1+73)-4,$B$22))</f>
        <v/>
      </c>
      <c r="DF77">
        <f>IF(ISNA(DD77),NA(),INDEX(Capability!$K$5:$K$54,$B$22))</f>
        <v/>
      </c>
      <c r="DG77">
        <f>IF(ISNA(DD77),NA(),INDEX(Capability!$J$5:$J$54,$B$22))</f>
        <v/>
      </c>
      <c r="DH77">
        <f>IF(ISNA(DD77),NA(),INDEX(Capability!$L$5:$L$54,$B$22))</f>
        <v/>
      </c>
      <c r="DI77">
        <f>IF(OR(ISNA(DE77),ISNA(DE76)),NA(),ABS(DE77-DE76))</f>
        <v/>
      </c>
      <c r="DJ77">
        <f>IF(ISNA(DD77),NA(),INDEX(Capability!$N$5:$N$54,$B$22))</f>
        <v/>
      </c>
      <c r="DK77">
        <f>IF(ISNA(DD77),NA(),IF(OR(INDEX(Capability!$Q$5:$Q$54,$B$22)="",Settings!$F$7&lt;&gt;"Y"),NA(),INDEX(Capability!$Q$5:$Q$54,$B$22)))</f>
        <v/>
      </c>
      <c r="DL77">
        <f>IF(ISNA(DD77),NA(),IF(OR(INDEX(Capability!$P$5:$P$54,$B$22)="",Settings!$F$7&lt;&gt;"Y"),NA(),INDEX(Capability!$P$5:$P$54,$B$22)))</f>
        <v/>
      </c>
      <c r="DR77">
        <f>IF((DU$1+73)&gt;DS$1,NA(),(DU$1+73)-4)</f>
        <v/>
      </c>
      <c r="DS77">
        <f>IF((DU$1+73)&gt;DS$1,NA(),INDEX('Data Entry'!$H$5:$BE$10004,(DU$1+73)-4,$B$23))</f>
        <v/>
      </c>
      <c r="DT77">
        <f>IF(ISNA(DR77),NA(),INDEX(Capability!$K$5:$K$54,$B$23))</f>
        <v/>
      </c>
      <c r="DU77">
        <f>IF(ISNA(DR77),NA(),INDEX(Capability!$J$5:$J$54,$B$23))</f>
        <v/>
      </c>
      <c r="DV77">
        <f>IF(ISNA(DR77),NA(),INDEX(Capability!$L$5:$L$54,$B$23))</f>
        <v/>
      </c>
      <c r="DW77">
        <f>IF(OR(ISNA(DS77),ISNA(DS76)),NA(),ABS(DS77-DS76))</f>
        <v/>
      </c>
      <c r="DX77">
        <f>IF(ISNA(DR77),NA(),INDEX(Capability!$N$5:$N$54,$B$23))</f>
        <v/>
      </c>
      <c r="DY77">
        <f>IF(ISNA(DR77),NA(),IF(OR(INDEX(Capability!$Q$5:$Q$54,$B$23)="",Settings!$F$7&lt;&gt;"Y"),NA(),INDEX(Capability!$Q$5:$Q$54,$B$23)))</f>
        <v/>
      </c>
      <c r="DZ77">
        <f>IF(ISNA(DR77),NA(),IF(OR(INDEX(Capability!$P$5:$P$54,$B$23)="",Settings!$F$7&lt;&gt;"Y"),NA(),INDEX(Capability!$P$5:$P$54,$B$23)))</f>
        <v/>
      </c>
    </row>
    <row r="78">
      <c r="A78" s="37" t="inlineStr">
        <is>
          <t>DATA RANGE</t>
        </is>
      </c>
      <c r="B78" s="28" t="n"/>
      <c r="CB78">
        <f>IF((CE$1+74)&gt;CC$1,NA(),(CE$1+74)-4)</f>
        <v/>
      </c>
      <c r="CC78">
        <f>IF((CE$1+74)&gt;CC$1,NA(),INDEX('Data Entry'!$H$5:$BE$10004,(CE$1+74)-4,$B$20))</f>
        <v/>
      </c>
      <c r="CD78">
        <f>IF(ISNA(CB78),NA(),INDEX(Capability!$K$5:$K$54,$B$20))</f>
        <v/>
      </c>
      <c r="CE78">
        <f>IF(ISNA(CB78),NA(),INDEX(Capability!$J$5:$J$54,$B$20))</f>
        <v/>
      </c>
      <c r="CF78">
        <f>IF(ISNA(CB78),NA(),INDEX(Capability!$L$5:$L$54,$B$20))</f>
        <v/>
      </c>
      <c r="CG78">
        <f>IF(OR(ISNA(CC78),ISNA(CC77)),NA(),ABS(CC78-CC77))</f>
        <v/>
      </c>
      <c r="CH78">
        <f>IF(ISNA(CB78),NA(),INDEX(Capability!$N$5:$N$54,$B$20))</f>
        <v/>
      </c>
      <c r="CI78">
        <f>IF(ISNA(CB78),NA(),IF(OR(INDEX(Capability!$Q$5:$Q$54,$B$20)="",Settings!$F$7&lt;&gt;"Y"),NA(),INDEX(Capability!$Q$5:$Q$54,$B$20)))</f>
        <v/>
      </c>
      <c r="CJ78">
        <f>IF(ISNA(CB78),NA(),IF(OR(INDEX(Capability!$P$5:$P$54,$B$20)="",Settings!$F$7&lt;&gt;"Y"),NA(),INDEX(Capability!$P$5:$P$54,$B$20)))</f>
        <v/>
      </c>
      <c r="CP78">
        <f>IF((CS$1+74)&gt;CQ$1,NA(),(CS$1+74)-4)</f>
        <v/>
      </c>
      <c r="CQ78">
        <f>IF((CS$1+74)&gt;CQ$1,NA(),INDEX('Data Entry'!$H$5:$BE$10004,(CS$1+74)-4,$B$21))</f>
        <v/>
      </c>
      <c r="CR78">
        <f>IF(ISNA(CP78),NA(),INDEX(Capability!$K$5:$K$54,$B$21))</f>
        <v/>
      </c>
      <c r="CS78">
        <f>IF(ISNA(CP78),NA(),INDEX(Capability!$J$5:$J$54,$B$21))</f>
        <v/>
      </c>
      <c r="CT78">
        <f>IF(ISNA(CP78),NA(),INDEX(Capability!$L$5:$L$54,$B$21))</f>
        <v/>
      </c>
      <c r="CU78">
        <f>IF(OR(ISNA(CQ78),ISNA(CQ77)),NA(),ABS(CQ78-CQ77))</f>
        <v/>
      </c>
      <c r="CV78">
        <f>IF(ISNA(CP78),NA(),INDEX(Capability!$N$5:$N$54,$B$21))</f>
        <v/>
      </c>
      <c r="CW78">
        <f>IF(ISNA(CP78),NA(),IF(OR(INDEX(Capability!$Q$5:$Q$54,$B$21)="",Settings!$F$7&lt;&gt;"Y"),NA(),INDEX(Capability!$Q$5:$Q$54,$B$21)))</f>
        <v/>
      </c>
      <c r="CX78">
        <f>IF(ISNA(CP78),NA(),IF(OR(INDEX(Capability!$P$5:$P$54,$B$21)="",Settings!$F$7&lt;&gt;"Y"),NA(),INDEX(Capability!$P$5:$P$54,$B$21)))</f>
        <v/>
      </c>
      <c r="DD78">
        <f>IF((DG$1+74)&gt;DE$1,NA(),(DG$1+74)-4)</f>
        <v/>
      </c>
      <c r="DE78">
        <f>IF((DG$1+74)&gt;DE$1,NA(),INDEX('Data Entry'!$H$5:$BE$10004,(DG$1+74)-4,$B$22))</f>
        <v/>
      </c>
      <c r="DF78">
        <f>IF(ISNA(DD78),NA(),INDEX(Capability!$K$5:$K$54,$B$22))</f>
        <v/>
      </c>
      <c r="DG78">
        <f>IF(ISNA(DD78),NA(),INDEX(Capability!$J$5:$J$54,$B$22))</f>
        <v/>
      </c>
      <c r="DH78">
        <f>IF(ISNA(DD78),NA(),INDEX(Capability!$L$5:$L$54,$B$22))</f>
        <v/>
      </c>
      <c r="DI78">
        <f>IF(OR(ISNA(DE78),ISNA(DE77)),NA(),ABS(DE78-DE77))</f>
        <v/>
      </c>
      <c r="DJ78">
        <f>IF(ISNA(DD78),NA(),INDEX(Capability!$N$5:$N$54,$B$22))</f>
        <v/>
      </c>
      <c r="DK78">
        <f>IF(ISNA(DD78),NA(),IF(OR(INDEX(Capability!$Q$5:$Q$54,$B$22)="",Settings!$F$7&lt;&gt;"Y"),NA(),INDEX(Capability!$Q$5:$Q$54,$B$22)))</f>
        <v/>
      </c>
      <c r="DL78">
        <f>IF(ISNA(DD78),NA(),IF(OR(INDEX(Capability!$P$5:$P$54,$B$22)="",Settings!$F$7&lt;&gt;"Y"),NA(),INDEX(Capability!$P$5:$P$54,$B$22)))</f>
        <v/>
      </c>
      <c r="DR78">
        <f>IF((DU$1+74)&gt;DS$1,NA(),(DU$1+74)-4)</f>
        <v/>
      </c>
      <c r="DS78">
        <f>IF((DU$1+74)&gt;DS$1,NA(),INDEX('Data Entry'!$H$5:$BE$10004,(DU$1+74)-4,$B$23))</f>
        <v/>
      </c>
      <c r="DT78">
        <f>IF(ISNA(DR78),NA(),INDEX(Capability!$K$5:$K$54,$B$23))</f>
        <v/>
      </c>
      <c r="DU78">
        <f>IF(ISNA(DR78),NA(),INDEX(Capability!$J$5:$J$54,$B$23))</f>
        <v/>
      </c>
      <c r="DV78">
        <f>IF(ISNA(DR78),NA(),INDEX(Capability!$L$5:$L$54,$B$23))</f>
        <v/>
      </c>
      <c r="DW78">
        <f>IF(OR(ISNA(DS78),ISNA(DS77)),NA(),ABS(DS78-DS77))</f>
        <v/>
      </c>
      <c r="DX78">
        <f>IF(ISNA(DR78),NA(),INDEX(Capability!$N$5:$N$54,$B$23))</f>
        <v/>
      </c>
      <c r="DY78">
        <f>IF(ISNA(DR78),NA(),IF(OR(INDEX(Capability!$Q$5:$Q$54,$B$23)="",Settings!$F$7&lt;&gt;"Y"),NA(),INDEX(Capability!$Q$5:$Q$54,$B$23)))</f>
        <v/>
      </c>
      <c r="DZ78">
        <f>IF(ISNA(DR78),NA(),IF(OR(INDEX(Capability!$P$5:$P$54,$B$23)="",Settings!$F$7&lt;&gt;"Y"),NA(),INDEX(Capability!$P$5:$P$54,$B$23)))</f>
        <v/>
      </c>
    </row>
    <row r="79">
      <c r="A79" s="35" t="inlineStr">
        <is>
          <t>Min</t>
        </is>
      </c>
      <c r="B79" s="23">
        <f>INDEX(Capability!$E$5:$E$54,$B$21)</f>
        <v/>
      </c>
      <c r="CB79">
        <f>IF((CE$1+75)&gt;CC$1,NA(),(CE$1+75)-4)</f>
        <v/>
      </c>
      <c r="CC79">
        <f>IF((CE$1+75)&gt;CC$1,NA(),INDEX('Data Entry'!$H$5:$BE$10004,(CE$1+75)-4,$B$20))</f>
        <v/>
      </c>
      <c r="CD79">
        <f>IF(ISNA(CB79),NA(),INDEX(Capability!$K$5:$K$54,$B$20))</f>
        <v/>
      </c>
      <c r="CE79">
        <f>IF(ISNA(CB79),NA(),INDEX(Capability!$J$5:$J$54,$B$20))</f>
        <v/>
      </c>
      <c r="CF79">
        <f>IF(ISNA(CB79),NA(),INDEX(Capability!$L$5:$L$54,$B$20))</f>
        <v/>
      </c>
      <c r="CG79">
        <f>IF(OR(ISNA(CC79),ISNA(CC78)),NA(),ABS(CC79-CC78))</f>
        <v/>
      </c>
      <c r="CH79">
        <f>IF(ISNA(CB79),NA(),INDEX(Capability!$N$5:$N$54,$B$20))</f>
        <v/>
      </c>
      <c r="CI79">
        <f>IF(ISNA(CB79),NA(),IF(OR(INDEX(Capability!$Q$5:$Q$54,$B$20)="",Settings!$F$7&lt;&gt;"Y"),NA(),INDEX(Capability!$Q$5:$Q$54,$B$20)))</f>
        <v/>
      </c>
      <c r="CJ79">
        <f>IF(ISNA(CB79),NA(),IF(OR(INDEX(Capability!$P$5:$P$54,$B$20)="",Settings!$F$7&lt;&gt;"Y"),NA(),INDEX(Capability!$P$5:$P$54,$B$20)))</f>
        <v/>
      </c>
      <c r="CP79">
        <f>IF((CS$1+75)&gt;CQ$1,NA(),(CS$1+75)-4)</f>
        <v/>
      </c>
      <c r="CQ79">
        <f>IF((CS$1+75)&gt;CQ$1,NA(),INDEX('Data Entry'!$H$5:$BE$10004,(CS$1+75)-4,$B$21))</f>
        <v/>
      </c>
      <c r="CR79">
        <f>IF(ISNA(CP79),NA(),INDEX(Capability!$K$5:$K$54,$B$21))</f>
        <v/>
      </c>
      <c r="CS79">
        <f>IF(ISNA(CP79),NA(),INDEX(Capability!$J$5:$J$54,$B$21))</f>
        <v/>
      </c>
      <c r="CT79">
        <f>IF(ISNA(CP79),NA(),INDEX(Capability!$L$5:$L$54,$B$21))</f>
        <v/>
      </c>
      <c r="CU79">
        <f>IF(OR(ISNA(CQ79),ISNA(CQ78)),NA(),ABS(CQ79-CQ78))</f>
        <v/>
      </c>
      <c r="CV79">
        <f>IF(ISNA(CP79),NA(),INDEX(Capability!$N$5:$N$54,$B$21))</f>
        <v/>
      </c>
      <c r="CW79">
        <f>IF(ISNA(CP79),NA(),IF(OR(INDEX(Capability!$Q$5:$Q$54,$B$21)="",Settings!$F$7&lt;&gt;"Y"),NA(),INDEX(Capability!$Q$5:$Q$54,$B$21)))</f>
        <v/>
      </c>
      <c r="CX79">
        <f>IF(ISNA(CP79),NA(),IF(OR(INDEX(Capability!$P$5:$P$54,$B$21)="",Settings!$F$7&lt;&gt;"Y"),NA(),INDEX(Capability!$P$5:$P$54,$B$21)))</f>
        <v/>
      </c>
      <c r="DD79">
        <f>IF((DG$1+75)&gt;DE$1,NA(),(DG$1+75)-4)</f>
        <v/>
      </c>
      <c r="DE79">
        <f>IF((DG$1+75)&gt;DE$1,NA(),INDEX('Data Entry'!$H$5:$BE$10004,(DG$1+75)-4,$B$22))</f>
        <v/>
      </c>
      <c r="DF79">
        <f>IF(ISNA(DD79),NA(),INDEX(Capability!$K$5:$K$54,$B$22))</f>
        <v/>
      </c>
      <c r="DG79">
        <f>IF(ISNA(DD79),NA(),INDEX(Capability!$J$5:$J$54,$B$22))</f>
        <v/>
      </c>
      <c r="DH79">
        <f>IF(ISNA(DD79),NA(),INDEX(Capability!$L$5:$L$54,$B$22))</f>
        <v/>
      </c>
      <c r="DI79">
        <f>IF(OR(ISNA(DE79),ISNA(DE78)),NA(),ABS(DE79-DE78))</f>
        <v/>
      </c>
      <c r="DJ79">
        <f>IF(ISNA(DD79),NA(),INDEX(Capability!$N$5:$N$54,$B$22))</f>
        <v/>
      </c>
      <c r="DK79">
        <f>IF(ISNA(DD79),NA(),IF(OR(INDEX(Capability!$Q$5:$Q$54,$B$22)="",Settings!$F$7&lt;&gt;"Y"),NA(),INDEX(Capability!$Q$5:$Q$54,$B$22)))</f>
        <v/>
      </c>
      <c r="DL79">
        <f>IF(ISNA(DD79),NA(),IF(OR(INDEX(Capability!$P$5:$P$54,$B$22)="",Settings!$F$7&lt;&gt;"Y"),NA(),INDEX(Capability!$P$5:$P$54,$B$22)))</f>
        <v/>
      </c>
      <c r="DR79">
        <f>IF((DU$1+75)&gt;DS$1,NA(),(DU$1+75)-4)</f>
        <v/>
      </c>
      <c r="DS79">
        <f>IF((DU$1+75)&gt;DS$1,NA(),INDEX('Data Entry'!$H$5:$BE$10004,(DU$1+75)-4,$B$23))</f>
        <v/>
      </c>
      <c r="DT79">
        <f>IF(ISNA(DR79),NA(),INDEX(Capability!$K$5:$K$54,$B$23))</f>
        <v/>
      </c>
      <c r="DU79">
        <f>IF(ISNA(DR79),NA(),INDEX(Capability!$J$5:$J$54,$B$23))</f>
        <v/>
      </c>
      <c r="DV79">
        <f>IF(ISNA(DR79),NA(),INDEX(Capability!$L$5:$L$54,$B$23))</f>
        <v/>
      </c>
      <c r="DW79">
        <f>IF(OR(ISNA(DS79),ISNA(DS78)),NA(),ABS(DS79-DS78))</f>
        <v/>
      </c>
      <c r="DX79">
        <f>IF(ISNA(DR79),NA(),INDEX(Capability!$N$5:$N$54,$B$23))</f>
        <v/>
      </c>
      <c r="DY79">
        <f>IF(ISNA(DR79),NA(),IF(OR(INDEX(Capability!$Q$5:$Q$54,$B$23)="",Settings!$F$7&lt;&gt;"Y"),NA(),INDEX(Capability!$Q$5:$Q$54,$B$23)))</f>
        <v/>
      </c>
      <c r="DZ79">
        <f>IF(ISNA(DR79),NA(),IF(OR(INDEX(Capability!$P$5:$P$54,$B$23)="",Settings!$F$7&lt;&gt;"Y"),NA(),INDEX(Capability!$P$5:$P$54,$B$23)))</f>
        <v/>
      </c>
    </row>
    <row r="80">
      <c r="A80" s="35" t="inlineStr">
        <is>
          <t>Max</t>
        </is>
      </c>
      <c r="B80" s="23">
        <f>INDEX(Capability!$F$5:$F$54,$B$21)</f>
        <v/>
      </c>
      <c r="CB80">
        <f>IF((CE$1+76)&gt;CC$1,NA(),(CE$1+76)-4)</f>
        <v/>
      </c>
      <c r="CC80">
        <f>IF((CE$1+76)&gt;CC$1,NA(),INDEX('Data Entry'!$H$5:$BE$10004,(CE$1+76)-4,$B$20))</f>
        <v/>
      </c>
      <c r="CD80">
        <f>IF(ISNA(CB80),NA(),INDEX(Capability!$K$5:$K$54,$B$20))</f>
        <v/>
      </c>
      <c r="CE80">
        <f>IF(ISNA(CB80),NA(),INDEX(Capability!$J$5:$J$54,$B$20))</f>
        <v/>
      </c>
      <c r="CF80">
        <f>IF(ISNA(CB80),NA(),INDEX(Capability!$L$5:$L$54,$B$20))</f>
        <v/>
      </c>
      <c r="CG80">
        <f>IF(OR(ISNA(CC80),ISNA(CC79)),NA(),ABS(CC80-CC79))</f>
        <v/>
      </c>
      <c r="CH80">
        <f>IF(ISNA(CB80),NA(),INDEX(Capability!$N$5:$N$54,$B$20))</f>
        <v/>
      </c>
      <c r="CI80">
        <f>IF(ISNA(CB80),NA(),IF(OR(INDEX(Capability!$Q$5:$Q$54,$B$20)="",Settings!$F$7&lt;&gt;"Y"),NA(),INDEX(Capability!$Q$5:$Q$54,$B$20)))</f>
        <v/>
      </c>
      <c r="CJ80">
        <f>IF(ISNA(CB80),NA(),IF(OR(INDEX(Capability!$P$5:$P$54,$B$20)="",Settings!$F$7&lt;&gt;"Y"),NA(),INDEX(Capability!$P$5:$P$54,$B$20)))</f>
        <v/>
      </c>
      <c r="CP80">
        <f>IF((CS$1+76)&gt;CQ$1,NA(),(CS$1+76)-4)</f>
        <v/>
      </c>
      <c r="CQ80">
        <f>IF((CS$1+76)&gt;CQ$1,NA(),INDEX('Data Entry'!$H$5:$BE$10004,(CS$1+76)-4,$B$21))</f>
        <v/>
      </c>
      <c r="CR80">
        <f>IF(ISNA(CP80),NA(),INDEX(Capability!$K$5:$K$54,$B$21))</f>
        <v/>
      </c>
      <c r="CS80">
        <f>IF(ISNA(CP80),NA(),INDEX(Capability!$J$5:$J$54,$B$21))</f>
        <v/>
      </c>
      <c r="CT80">
        <f>IF(ISNA(CP80),NA(),INDEX(Capability!$L$5:$L$54,$B$21))</f>
        <v/>
      </c>
      <c r="CU80">
        <f>IF(OR(ISNA(CQ80),ISNA(CQ79)),NA(),ABS(CQ80-CQ79))</f>
        <v/>
      </c>
      <c r="CV80">
        <f>IF(ISNA(CP80),NA(),INDEX(Capability!$N$5:$N$54,$B$21))</f>
        <v/>
      </c>
      <c r="CW80">
        <f>IF(ISNA(CP80),NA(),IF(OR(INDEX(Capability!$Q$5:$Q$54,$B$21)="",Settings!$F$7&lt;&gt;"Y"),NA(),INDEX(Capability!$Q$5:$Q$54,$B$21)))</f>
        <v/>
      </c>
      <c r="CX80">
        <f>IF(ISNA(CP80),NA(),IF(OR(INDEX(Capability!$P$5:$P$54,$B$21)="",Settings!$F$7&lt;&gt;"Y"),NA(),INDEX(Capability!$P$5:$P$54,$B$21)))</f>
        <v/>
      </c>
      <c r="DD80">
        <f>IF((DG$1+76)&gt;DE$1,NA(),(DG$1+76)-4)</f>
        <v/>
      </c>
      <c r="DE80">
        <f>IF((DG$1+76)&gt;DE$1,NA(),INDEX('Data Entry'!$H$5:$BE$10004,(DG$1+76)-4,$B$22))</f>
        <v/>
      </c>
      <c r="DF80">
        <f>IF(ISNA(DD80),NA(),INDEX(Capability!$K$5:$K$54,$B$22))</f>
        <v/>
      </c>
      <c r="DG80">
        <f>IF(ISNA(DD80),NA(),INDEX(Capability!$J$5:$J$54,$B$22))</f>
        <v/>
      </c>
      <c r="DH80">
        <f>IF(ISNA(DD80),NA(),INDEX(Capability!$L$5:$L$54,$B$22))</f>
        <v/>
      </c>
      <c r="DI80">
        <f>IF(OR(ISNA(DE80),ISNA(DE79)),NA(),ABS(DE80-DE79))</f>
        <v/>
      </c>
      <c r="DJ80">
        <f>IF(ISNA(DD80),NA(),INDEX(Capability!$N$5:$N$54,$B$22))</f>
        <v/>
      </c>
      <c r="DK80">
        <f>IF(ISNA(DD80),NA(),IF(OR(INDEX(Capability!$Q$5:$Q$54,$B$22)="",Settings!$F$7&lt;&gt;"Y"),NA(),INDEX(Capability!$Q$5:$Q$54,$B$22)))</f>
        <v/>
      </c>
      <c r="DL80">
        <f>IF(ISNA(DD80),NA(),IF(OR(INDEX(Capability!$P$5:$P$54,$B$22)="",Settings!$F$7&lt;&gt;"Y"),NA(),INDEX(Capability!$P$5:$P$54,$B$22)))</f>
        <v/>
      </c>
      <c r="DR80">
        <f>IF((DU$1+76)&gt;DS$1,NA(),(DU$1+76)-4)</f>
        <v/>
      </c>
      <c r="DS80">
        <f>IF((DU$1+76)&gt;DS$1,NA(),INDEX('Data Entry'!$H$5:$BE$10004,(DU$1+76)-4,$B$23))</f>
        <v/>
      </c>
      <c r="DT80">
        <f>IF(ISNA(DR80),NA(),INDEX(Capability!$K$5:$K$54,$B$23))</f>
        <v/>
      </c>
      <c r="DU80">
        <f>IF(ISNA(DR80),NA(),INDEX(Capability!$J$5:$J$54,$B$23))</f>
        <v/>
      </c>
      <c r="DV80">
        <f>IF(ISNA(DR80),NA(),INDEX(Capability!$L$5:$L$54,$B$23))</f>
        <v/>
      </c>
      <c r="DW80">
        <f>IF(OR(ISNA(DS80),ISNA(DS79)),NA(),ABS(DS80-DS79))</f>
        <v/>
      </c>
      <c r="DX80">
        <f>IF(ISNA(DR80),NA(),INDEX(Capability!$N$5:$N$54,$B$23))</f>
        <v/>
      </c>
      <c r="DY80">
        <f>IF(ISNA(DR80),NA(),IF(OR(INDEX(Capability!$Q$5:$Q$54,$B$23)="",Settings!$F$7&lt;&gt;"Y"),NA(),INDEX(Capability!$Q$5:$Q$54,$B$23)))</f>
        <v/>
      </c>
      <c r="DZ80">
        <f>IF(ISNA(DR80),NA(),IF(OR(INDEX(Capability!$P$5:$P$54,$B$23)="",Settings!$F$7&lt;&gt;"Y"),NA(),INDEX(Capability!$P$5:$P$54,$B$23)))</f>
        <v/>
      </c>
    </row>
    <row r="81">
      <c r="A81" s="35" t="inlineStr">
        <is>
          <t>Range</t>
        </is>
      </c>
      <c r="B81" s="23">
        <f>INDEX(Capability!$G$5:$G$54,$B$21)</f>
        <v/>
      </c>
      <c r="CB81">
        <f>IF((CE$1+77)&gt;CC$1,NA(),(CE$1+77)-4)</f>
        <v/>
      </c>
      <c r="CC81">
        <f>IF((CE$1+77)&gt;CC$1,NA(),INDEX('Data Entry'!$H$5:$BE$10004,(CE$1+77)-4,$B$20))</f>
        <v/>
      </c>
      <c r="CD81">
        <f>IF(ISNA(CB81),NA(),INDEX(Capability!$K$5:$K$54,$B$20))</f>
        <v/>
      </c>
      <c r="CE81">
        <f>IF(ISNA(CB81),NA(),INDEX(Capability!$J$5:$J$54,$B$20))</f>
        <v/>
      </c>
      <c r="CF81">
        <f>IF(ISNA(CB81),NA(),INDEX(Capability!$L$5:$L$54,$B$20))</f>
        <v/>
      </c>
      <c r="CG81">
        <f>IF(OR(ISNA(CC81),ISNA(CC80)),NA(),ABS(CC81-CC80))</f>
        <v/>
      </c>
      <c r="CH81">
        <f>IF(ISNA(CB81),NA(),INDEX(Capability!$N$5:$N$54,$B$20))</f>
        <v/>
      </c>
      <c r="CI81">
        <f>IF(ISNA(CB81),NA(),IF(OR(INDEX(Capability!$Q$5:$Q$54,$B$20)="",Settings!$F$7&lt;&gt;"Y"),NA(),INDEX(Capability!$Q$5:$Q$54,$B$20)))</f>
        <v/>
      </c>
      <c r="CJ81">
        <f>IF(ISNA(CB81),NA(),IF(OR(INDEX(Capability!$P$5:$P$54,$B$20)="",Settings!$F$7&lt;&gt;"Y"),NA(),INDEX(Capability!$P$5:$P$54,$B$20)))</f>
        <v/>
      </c>
      <c r="CP81">
        <f>IF((CS$1+77)&gt;CQ$1,NA(),(CS$1+77)-4)</f>
        <v/>
      </c>
      <c r="CQ81">
        <f>IF((CS$1+77)&gt;CQ$1,NA(),INDEX('Data Entry'!$H$5:$BE$10004,(CS$1+77)-4,$B$21))</f>
        <v/>
      </c>
      <c r="CR81">
        <f>IF(ISNA(CP81),NA(),INDEX(Capability!$K$5:$K$54,$B$21))</f>
        <v/>
      </c>
      <c r="CS81">
        <f>IF(ISNA(CP81),NA(),INDEX(Capability!$J$5:$J$54,$B$21))</f>
        <v/>
      </c>
      <c r="CT81">
        <f>IF(ISNA(CP81),NA(),INDEX(Capability!$L$5:$L$54,$B$21))</f>
        <v/>
      </c>
      <c r="CU81">
        <f>IF(OR(ISNA(CQ81),ISNA(CQ80)),NA(),ABS(CQ81-CQ80))</f>
        <v/>
      </c>
      <c r="CV81">
        <f>IF(ISNA(CP81),NA(),INDEX(Capability!$N$5:$N$54,$B$21))</f>
        <v/>
      </c>
      <c r="CW81">
        <f>IF(ISNA(CP81),NA(),IF(OR(INDEX(Capability!$Q$5:$Q$54,$B$21)="",Settings!$F$7&lt;&gt;"Y"),NA(),INDEX(Capability!$Q$5:$Q$54,$B$21)))</f>
        <v/>
      </c>
      <c r="CX81">
        <f>IF(ISNA(CP81),NA(),IF(OR(INDEX(Capability!$P$5:$P$54,$B$21)="",Settings!$F$7&lt;&gt;"Y"),NA(),INDEX(Capability!$P$5:$P$54,$B$21)))</f>
        <v/>
      </c>
      <c r="DD81">
        <f>IF((DG$1+77)&gt;DE$1,NA(),(DG$1+77)-4)</f>
        <v/>
      </c>
      <c r="DE81">
        <f>IF((DG$1+77)&gt;DE$1,NA(),INDEX('Data Entry'!$H$5:$BE$10004,(DG$1+77)-4,$B$22))</f>
        <v/>
      </c>
      <c r="DF81">
        <f>IF(ISNA(DD81),NA(),INDEX(Capability!$K$5:$K$54,$B$22))</f>
        <v/>
      </c>
      <c r="DG81">
        <f>IF(ISNA(DD81),NA(),INDEX(Capability!$J$5:$J$54,$B$22))</f>
        <v/>
      </c>
      <c r="DH81">
        <f>IF(ISNA(DD81),NA(),INDEX(Capability!$L$5:$L$54,$B$22))</f>
        <v/>
      </c>
      <c r="DI81">
        <f>IF(OR(ISNA(DE81),ISNA(DE80)),NA(),ABS(DE81-DE80))</f>
        <v/>
      </c>
      <c r="DJ81">
        <f>IF(ISNA(DD81),NA(),INDEX(Capability!$N$5:$N$54,$B$22))</f>
        <v/>
      </c>
      <c r="DK81">
        <f>IF(ISNA(DD81),NA(),IF(OR(INDEX(Capability!$Q$5:$Q$54,$B$22)="",Settings!$F$7&lt;&gt;"Y"),NA(),INDEX(Capability!$Q$5:$Q$54,$B$22)))</f>
        <v/>
      </c>
      <c r="DL81">
        <f>IF(ISNA(DD81),NA(),IF(OR(INDEX(Capability!$P$5:$P$54,$B$22)="",Settings!$F$7&lt;&gt;"Y"),NA(),INDEX(Capability!$P$5:$P$54,$B$22)))</f>
        <v/>
      </c>
      <c r="DR81">
        <f>IF((DU$1+77)&gt;DS$1,NA(),(DU$1+77)-4)</f>
        <v/>
      </c>
      <c r="DS81">
        <f>IF((DU$1+77)&gt;DS$1,NA(),INDEX('Data Entry'!$H$5:$BE$10004,(DU$1+77)-4,$B$23))</f>
        <v/>
      </c>
      <c r="DT81">
        <f>IF(ISNA(DR81),NA(),INDEX(Capability!$K$5:$K$54,$B$23))</f>
        <v/>
      </c>
      <c r="DU81">
        <f>IF(ISNA(DR81),NA(),INDEX(Capability!$J$5:$J$54,$B$23))</f>
        <v/>
      </c>
      <c r="DV81">
        <f>IF(ISNA(DR81),NA(),INDEX(Capability!$L$5:$L$54,$B$23))</f>
        <v/>
      </c>
      <c r="DW81">
        <f>IF(OR(ISNA(DS81),ISNA(DS80)),NA(),ABS(DS81-DS80))</f>
        <v/>
      </c>
      <c r="DX81">
        <f>IF(ISNA(DR81),NA(),INDEX(Capability!$N$5:$N$54,$B$23))</f>
        <v/>
      </c>
      <c r="DY81">
        <f>IF(ISNA(DR81),NA(),IF(OR(INDEX(Capability!$Q$5:$Q$54,$B$23)="",Settings!$F$7&lt;&gt;"Y"),NA(),INDEX(Capability!$Q$5:$Q$54,$B$23)))</f>
        <v/>
      </c>
      <c r="DZ81">
        <f>IF(ISNA(DR81),NA(),IF(OR(INDEX(Capability!$P$5:$P$54,$B$23)="",Settings!$F$7&lt;&gt;"Y"),NA(),INDEX(Capability!$P$5:$P$54,$B$23)))</f>
        <v/>
      </c>
    </row>
    <row r="82">
      <c r="A82" s="35" t="inlineStr">
        <is>
          <t>Mean</t>
        </is>
      </c>
      <c r="B82" s="23">
        <f>INDEX(Capability!$C$5:$C$54,$B$21)</f>
        <v/>
      </c>
      <c r="CB82">
        <f>IF((CE$1+78)&gt;CC$1,NA(),(CE$1+78)-4)</f>
        <v/>
      </c>
      <c r="CC82">
        <f>IF((CE$1+78)&gt;CC$1,NA(),INDEX('Data Entry'!$H$5:$BE$10004,(CE$1+78)-4,$B$20))</f>
        <v/>
      </c>
      <c r="CD82">
        <f>IF(ISNA(CB82),NA(),INDEX(Capability!$K$5:$K$54,$B$20))</f>
        <v/>
      </c>
      <c r="CE82">
        <f>IF(ISNA(CB82),NA(),INDEX(Capability!$J$5:$J$54,$B$20))</f>
        <v/>
      </c>
      <c r="CF82">
        <f>IF(ISNA(CB82),NA(),INDEX(Capability!$L$5:$L$54,$B$20))</f>
        <v/>
      </c>
      <c r="CG82">
        <f>IF(OR(ISNA(CC82),ISNA(CC81)),NA(),ABS(CC82-CC81))</f>
        <v/>
      </c>
      <c r="CH82">
        <f>IF(ISNA(CB82),NA(),INDEX(Capability!$N$5:$N$54,$B$20))</f>
        <v/>
      </c>
      <c r="CI82">
        <f>IF(ISNA(CB82),NA(),IF(OR(INDEX(Capability!$Q$5:$Q$54,$B$20)="",Settings!$F$7&lt;&gt;"Y"),NA(),INDEX(Capability!$Q$5:$Q$54,$B$20)))</f>
        <v/>
      </c>
      <c r="CJ82">
        <f>IF(ISNA(CB82),NA(),IF(OR(INDEX(Capability!$P$5:$P$54,$B$20)="",Settings!$F$7&lt;&gt;"Y"),NA(),INDEX(Capability!$P$5:$P$54,$B$20)))</f>
        <v/>
      </c>
      <c r="CP82">
        <f>IF((CS$1+78)&gt;CQ$1,NA(),(CS$1+78)-4)</f>
        <v/>
      </c>
      <c r="CQ82">
        <f>IF((CS$1+78)&gt;CQ$1,NA(),INDEX('Data Entry'!$H$5:$BE$10004,(CS$1+78)-4,$B$21))</f>
        <v/>
      </c>
      <c r="CR82">
        <f>IF(ISNA(CP82),NA(),INDEX(Capability!$K$5:$K$54,$B$21))</f>
        <v/>
      </c>
      <c r="CS82">
        <f>IF(ISNA(CP82),NA(),INDEX(Capability!$J$5:$J$54,$B$21))</f>
        <v/>
      </c>
      <c r="CT82">
        <f>IF(ISNA(CP82),NA(),INDEX(Capability!$L$5:$L$54,$B$21))</f>
        <v/>
      </c>
      <c r="CU82">
        <f>IF(OR(ISNA(CQ82),ISNA(CQ81)),NA(),ABS(CQ82-CQ81))</f>
        <v/>
      </c>
      <c r="CV82">
        <f>IF(ISNA(CP82),NA(),INDEX(Capability!$N$5:$N$54,$B$21))</f>
        <v/>
      </c>
      <c r="CW82">
        <f>IF(ISNA(CP82),NA(),IF(OR(INDEX(Capability!$Q$5:$Q$54,$B$21)="",Settings!$F$7&lt;&gt;"Y"),NA(),INDEX(Capability!$Q$5:$Q$54,$B$21)))</f>
        <v/>
      </c>
      <c r="CX82">
        <f>IF(ISNA(CP82),NA(),IF(OR(INDEX(Capability!$P$5:$P$54,$B$21)="",Settings!$F$7&lt;&gt;"Y"),NA(),INDEX(Capability!$P$5:$P$54,$B$21)))</f>
        <v/>
      </c>
      <c r="DD82">
        <f>IF((DG$1+78)&gt;DE$1,NA(),(DG$1+78)-4)</f>
        <v/>
      </c>
      <c r="DE82">
        <f>IF((DG$1+78)&gt;DE$1,NA(),INDEX('Data Entry'!$H$5:$BE$10004,(DG$1+78)-4,$B$22))</f>
        <v/>
      </c>
      <c r="DF82">
        <f>IF(ISNA(DD82),NA(),INDEX(Capability!$K$5:$K$54,$B$22))</f>
        <v/>
      </c>
      <c r="DG82">
        <f>IF(ISNA(DD82),NA(),INDEX(Capability!$J$5:$J$54,$B$22))</f>
        <v/>
      </c>
      <c r="DH82">
        <f>IF(ISNA(DD82),NA(),INDEX(Capability!$L$5:$L$54,$B$22))</f>
        <v/>
      </c>
      <c r="DI82">
        <f>IF(OR(ISNA(DE82),ISNA(DE81)),NA(),ABS(DE82-DE81))</f>
        <v/>
      </c>
      <c r="DJ82">
        <f>IF(ISNA(DD82),NA(),INDEX(Capability!$N$5:$N$54,$B$22))</f>
        <v/>
      </c>
      <c r="DK82">
        <f>IF(ISNA(DD82),NA(),IF(OR(INDEX(Capability!$Q$5:$Q$54,$B$22)="",Settings!$F$7&lt;&gt;"Y"),NA(),INDEX(Capability!$Q$5:$Q$54,$B$22)))</f>
        <v/>
      </c>
      <c r="DL82">
        <f>IF(ISNA(DD82),NA(),IF(OR(INDEX(Capability!$P$5:$P$54,$B$22)="",Settings!$F$7&lt;&gt;"Y"),NA(),INDEX(Capability!$P$5:$P$54,$B$22)))</f>
        <v/>
      </c>
      <c r="DR82">
        <f>IF((DU$1+78)&gt;DS$1,NA(),(DU$1+78)-4)</f>
        <v/>
      </c>
      <c r="DS82">
        <f>IF((DU$1+78)&gt;DS$1,NA(),INDEX('Data Entry'!$H$5:$BE$10004,(DU$1+78)-4,$B$23))</f>
        <v/>
      </c>
      <c r="DT82">
        <f>IF(ISNA(DR82),NA(),INDEX(Capability!$K$5:$K$54,$B$23))</f>
        <v/>
      </c>
      <c r="DU82">
        <f>IF(ISNA(DR82),NA(),INDEX(Capability!$J$5:$J$54,$B$23))</f>
        <v/>
      </c>
      <c r="DV82">
        <f>IF(ISNA(DR82),NA(),INDEX(Capability!$L$5:$L$54,$B$23))</f>
        <v/>
      </c>
      <c r="DW82">
        <f>IF(OR(ISNA(DS82),ISNA(DS81)),NA(),ABS(DS82-DS81))</f>
        <v/>
      </c>
      <c r="DX82">
        <f>IF(ISNA(DR82),NA(),INDEX(Capability!$N$5:$N$54,$B$23))</f>
        <v/>
      </c>
      <c r="DY82">
        <f>IF(ISNA(DR82),NA(),IF(OR(INDEX(Capability!$Q$5:$Q$54,$B$23)="",Settings!$F$7&lt;&gt;"Y"),NA(),INDEX(Capability!$Q$5:$Q$54,$B$23)))</f>
        <v/>
      </c>
      <c r="DZ82">
        <f>IF(ISNA(DR82),NA(),IF(OR(INDEX(Capability!$P$5:$P$54,$B$23)="",Settings!$F$7&lt;&gt;"Y"),NA(),INDEX(Capability!$P$5:$P$54,$B$23)))</f>
        <v/>
      </c>
    </row>
    <row r="83">
      <c r="A83" s="35" t="inlineStr">
        <is>
          <t>Median</t>
        </is>
      </c>
      <c r="B83" s="23">
        <f>INDEX(Capability!$D$5:$D$54,$B$21)</f>
        <v/>
      </c>
      <c r="CB83">
        <f>IF((CE$1+79)&gt;CC$1,NA(),(CE$1+79)-4)</f>
        <v/>
      </c>
      <c r="CC83">
        <f>IF((CE$1+79)&gt;CC$1,NA(),INDEX('Data Entry'!$H$5:$BE$10004,(CE$1+79)-4,$B$20))</f>
        <v/>
      </c>
      <c r="CD83">
        <f>IF(ISNA(CB83),NA(),INDEX(Capability!$K$5:$K$54,$B$20))</f>
        <v/>
      </c>
      <c r="CE83">
        <f>IF(ISNA(CB83),NA(),INDEX(Capability!$J$5:$J$54,$B$20))</f>
        <v/>
      </c>
      <c r="CF83">
        <f>IF(ISNA(CB83),NA(),INDEX(Capability!$L$5:$L$54,$B$20))</f>
        <v/>
      </c>
      <c r="CG83">
        <f>IF(OR(ISNA(CC83),ISNA(CC82)),NA(),ABS(CC83-CC82))</f>
        <v/>
      </c>
      <c r="CH83">
        <f>IF(ISNA(CB83),NA(),INDEX(Capability!$N$5:$N$54,$B$20))</f>
        <v/>
      </c>
      <c r="CI83">
        <f>IF(ISNA(CB83),NA(),IF(OR(INDEX(Capability!$Q$5:$Q$54,$B$20)="",Settings!$F$7&lt;&gt;"Y"),NA(),INDEX(Capability!$Q$5:$Q$54,$B$20)))</f>
        <v/>
      </c>
      <c r="CJ83">
        <f>IF(ISNA(CB83),NA(),IF(OR(INDEX(Capability!$P$5:$P$54,$B$20)="",Settings!$F$7&lt;&gt;"Y"),NA(),INDEX(Capability!$P$5:$P$54,$B$20)))</f>
        <v/>
      </c>
      <c r="CP83">
        <f>IF((CS$1+79)&gt;CQ$1,NA(),(CS$1+79)-4)</f>
        <v/>
      </c>
      <c r="CQ83">
        <f>IF((CS$1+79)&gt;CQ$1,NA(),INDEX('Data Entry'!$H$5:$BE$10004,(CS$1+79)-4,$B$21))</f>
        <v/>
      </c>
      <c r="CR83">
        <f>IF(ISNA(CP83),NA(),INDEX(Capability!$K$5:$K$54,$B$21))</f>
        <v/>
      </c>
      <c r="CS83">
        <f>IF(ISNA(CP83),NA(),INDEX(Capability!$J$5:$J$54,$B$21))</f>
        <v/>
      </c>
      <c r="CT83">
        <f>IF(ISNA(CP83),NA(),INDEX(Capability!$L$5:$L$54,$B$21))</f>
        <v/>
      </c>
      <c r="CU83">
        <f>IF(OR(ISNA(CQ83),ISNA(CQ82)),NA(),ABS(CQ83-CQ82))</f>
        <v/>
      </c>
      <c r="CV83">
        <f>IF(ISNA(CP83),NA(),INDEX(Capability!$N$5:$N$54,$B$21))</f>
        <v/>
      </c>
      <c r="CW83">
        <f>IF(ISNA(CP83),NA(),IF(OR(INDEX(Capability!$Q$5:$Q$54,$B$21)="",Settings!$F$7&lt;&gt;"Y"),NA(),INDEX(Capability!$Q$5:$Q$54,$B$21)))</f>
        <v/>
      </c>
      <c r="CX83">
        <f>IF(ISNA(CP83),NA(),IF(OR(INDEX(Capability!$P$5:$P$54,$B$21)="",Settings!$F$7&lt;&gt;"Y"),NA(),INDEX(Capability!$P$5:$P$54,$B$21)))</f>
        <v/>
      </c>
      <c r="DD83">
        <f>IF((DG$1+79)&gt;DE$1,NA(),(DG$1+79)-4)</f>
        <v/>
      </c>
      <c r="DE83">
        <f>IF((DG$1+79)&gt;DE$1,NA(),INDEX('Data Entry'!$H$5:$BE$10004,(DG$1+79)-4,$B$22))</f>
        <v/>
      </c>
      <c r="DF83">
        <f>IF(ISNA(DD83),NA(),INDEX(Capability!$K$5:$K$54,$B$22))</f>
        <v/>
      </c>
      <c r="DG83">
        <f>IF(ISNA(DD83),NA(),INDEX(Capability!$J$5:$J$54,$B$22))</f>
        <v/>
      </c>
      <c r="DH83">
        <f>IF(ISNA(DD83),NA(),INDEX(Capability!$L$5:$L$54,$B$22))</f>
        <v/>
      </c>
      <c r="DI83">
        <f>IF(OR(ISNA(DE83),ISNA(DE82)),NA(),ABS(DE83-DE82))</f>
        <v/>
      </c>
      <c r="DJ83">
        <f>IF(ISNA(DD83),NA(),INDEX(Capability!$N$5:$N$54,$B$22))</f>
        <v/>
      </c>
      <c r="DK83">
        <f>IF(ISNA(DD83),NA(),IF(OR(INDEX(Capability!$Q$5:$Q$54,$B$22)="",Settings!$F$7&lt;&gt;"Y"),NA(),INDEX(Capability!$Q$5:$Q$54,$B$22)))</f>
        <v/>
      </c>
      <c r="DL83">
        <f>IF(ISNA(DD83),NA(),IF(OR(INDEX(Capability!$P$5:$P$54,$B$22)="",Settings!$F$7&lt;&gt;"Y"),NA(),INDEX(Capability!$P$5:$P$54,$B$22)))</f>
        <v/>
      </c>
      <c r="DR83">
        <f>IF((DU$1+79)&gt;DS$1,NA(),(DU$1+79)-4)</f>
        <v/>
      </c>
      <c r="DS83">
        <f>IF((DU$1+79)&gt;DS$1,NA(),INDEX('Data Entry'!$H$5:$BE$10004,(DU$1+79)-4,$B$23))</f>
        <v/>
      </c>
      <c r="DT83">
        <f>IF(ISNA(DR83),NA(),INDEX(Capability!$K$5:$K$54,$B$23))</f>
        <v/>
      </c>
      <c r="DU83">
        <f>IF(ISNA(DR83),NA(),INDEX(Capability!$J$5:$J$54,$B$23))</f>
        <v/>
      </c>
      <c r="DV83">
        <f>IF(ISNA(DR83),NA(),INDEX(Capability!$L$5:$L$54,$B$23))</f>
        <v/>
      </c>
      <c r="DW83">
        <f>IF(OR(ISNA(DS83),ISNA(DS82)),NA(),ABS(DS83-DS82))</f>
        <v/>
      </c>
      <c r="DX83">
        <f>IF(ISNA(DR83),NA(),INDEX(Capability!$N$5:$N$54,$B$23))</f>
        <v/>
      </c>
      <c r="DY83">
        <f>IF(ISNA(DR83),NA(),IF(OR(INDEX(Capability!$Q$5:$Q$54,$B$23)="",Settings!$F$7&lt;&gt;"Y"),NA(),INDEX(Capability!$Q$5:$Q$54,$B$23)))</f>
        <v/>
      </c>
      <c r="DZ83">
        <f>IF(ISNA(DR83),NA(),IF(OR(INDEX(Capability!$P$5:$P$54,$B$23)="",Settings!$F$7&lt;&gt;"Y"),NA(),INDEX(Capability!$P$5:$P$54,$B$23)))</f>
        <v/>
      </c>
    </row>
    <row r="84">
      <c r="A84" s="35" t="inlineStr">
        <is>
          <t>Std Dev (overall)</t>
        </is>
      </c>
      <c r="B84" s="23">
        <f>INDEX(Capability!$I$5:$I$54,$B$21)</f>
        <v/>
      </c>
      <c r="CB84">
        <f>IF((CE$1+80)&gt;CC$1,NA(),(CE$1+80)-4)</f>
        <v/>
      </c>
      <c r="CC84">
        <f>IF((CE$1+80)&gt;CC$1,NA(),INDEX('Data Entry'!$H$5:$BE$10004,(CE$1+80)-4,$B$20))</f>
        <v/>
      </c>
      <c r="CD84">
        <f>IF(ISNA(CB84),NA(),INDEX(Capability!$K$5:$K$54,$B$20))</f>
        <v/>
      </c>
      <c r="CE84">
        <f>IF(ISNA(CB84),NA(),INDEX(Capability!$J$5:$J$54,$B$20))</f>
        <v/>
      </c>
      <c r="CF84">
        <f>IF(ISNA(CB84),NA(),INDEX(Capability!$L$5:$L$54,$B$20))</f>
        <v/>
      </c>
      <c r="CG84">
        <f>IF(OR(ISNA(CC84),ISNA(CC83)),NA(),ABS(CC84-CC83))</f>
        <v/>
      </c>
      <c r="CH84">
        <f>IF(ISNA(CB84),NA(),INDEX(Capability!$N$5:$N$54,$B$20))</f>
        <v/>
      </c>
      <c r="CI84">
        <f>IF(ISNA(CB84),NA(),IF(OR(INDEX(Capability!$Q$5:$Q$54,$B$20)="",Settings!$F$7&lt;&gt;"Y"),NA(),INDEX(Capability!$Q$5:$Q$54,$B$20)))</f>
        <v/>
      </c>
      <c r="CJ84">
        <f>IF(ISNA(CB84),NA(),IF(OR(INDEX(Capability!$P$5:$P$54,$B$20)="",Settings!$F$7&lt;&gt;"Y"),NA(),INDEX(Capability!$P$5:$P$54,$B$20)))</f>
        <v/>
      </c>
      <c r="CP84">
        <f>IF((CS$1+80)&gt;CQ$1,NA(),(CS$1+80)-4)</f>
        <v/>
      </c>
      <c r="CQ84">
        <f>IF((CS$1+80)&gt;CQ$1,NA(),INDEX('Data Entry'!$H$5:$BE$10004,(CS$1+80)-4,$B$21))</f>
        <v/>
      </c>
      <c r="CR84">
        <f>IF(ISNA(CP84),NA(),INDEX(Capability!$K$5:$K$54,$B$21))</f>
        <v/>
      </c>
      <c r="CS84">
        <f>IF(ISNA(CP84),NA(),INDEX(Capability!$J$5:$J$54,$B$21))</f>
        <v/>
      </c>
      <c r="CT84">
        <f>IF(ISNA(CP84),NA(),INDEX(Capability!$L$5:$L$54,$B$21))</f>
        <v/>
      </c>
      <c r="CU84">
        <f>IF(OR(ISNA(CQ84),ISNA(CQ83)),NA(),ABS(CQ84-CQ83))</f>
        <v/>
      </c>
      <c r="CV84">
        <f>IF(ISNA(CP84),NA(),INDEX(Capability!$N$5:$N$54,$B$21))</f>
        <v/>
      </c>
      <c r="CW84">
        <f>IF(ISNA(CP84),NA(),IF(OR(INDEX(Capability!$Q$5:$Q$54,$B$21)="",Settings!$F$7&lt;&gt;"Y"),NA(),INDEX(Capability!$Q$5:$Q$54,$B$21)))</f>
        <v/>
      </c>
      <c r="CX84">
        <f>IF(ISNA(CP84),NA(),IF(OR(INDEX(Capability!$P$5:$P$54,$B$21)="",Settings!$F$7&lt;&gt;"Y"),NA(),INDEX(Capability!$P$5:$P$54,$B$21)))</f>
        <v/>
      </c>
      <c r="DD84">
        <f>IF((DG$1+80)&gt;DE$1,NA(),(DG$1+80)-4)</f>
        <v/>
      </c>
      <c r="DE84">
        <f>IF((DG$1+80)&gt;DE$1,NA(),INDEX('Data Entry'!$H$5:$BE$10004,(DG$1+80)-4,$B$22))</f>
        <v/>
      </c>
      <c r="DF84">
        <f>IF(ISNA(DD84),NA(),INDEX(Capability!$K$5:$K$54,$B$22))</f>
        <v/>
      </c>
      <c r="DG84">
        <f>IF(ISNA(DD84),NA(),INDEX(Capability!$J$5:$J$54,$B$22))</f>
        <v/>
      </c>
      <c r="DH84">
        <f>IF(ISNA(DD84),NA(),INDEX(Capability!$L$5:$L$54,$B$22))</f>
        <v/>
      </c>
      <c r="DI84">
        <f>IF(OR(ISNA(DE84),ISNA(DE83)),NA(),ABS(DE84-DE83))</f>
        <v/>
      </c>
      <c r="DJ84">
        <f>IF(ISNA(DD84),NA(),INDEX(Capability!$N$5:$N$54,$B$22))</f>
        <v/>
      </c>
      <c r="DK84">
        <f>IF(ISNA(DD84),NA(),IF(OR(INDEX(Capability!$Q$5:$Q$54,$B$22)="",Settings!$F$7&lt;&gt;"Y"),NA(),INDEX(Capability!$Q$5:$Q$54,$B$22)))</f>
        <v/>
      </c>
      <c r="DL84">
        <f>IF(ISNA(DD84),NA(),IF(OR(INDEX(Capability!$P$5:$P$54,$B$22)="",Settings!$F$7&lt;&gt;"Y"),NA(),INDEX(Capability!$P$5:$P$54,$B$22)))</f>
        <v/>
      </c>
      <c r="DR84">
        <f>IF((DU$1+80)&gt;DS$1,NA(),(DU$1+80)-4)</f>
        <v/>
      </c>
      <c r="DS84">
        <f>IF((DU$1+80)&gt;DS$1,NA(),INDEX('Data Entry'!$H$5:$BE$10004,(DU$1+80)-4,$B$23))</f>
        <v/>
      </c>
      <c r="DT84">
        <f>IF(ISNA(DR84),NA(),INDEX(Capability!$K$5:$K$54,$B$23))</f>
        <v/>
      </c>
      <c r="DU84">
        <f>IF(ISNA(DR84),NA(),INDEX(Capability!$J$5:$J$54,$B$23))</f>
        <v/>
      </c>
      <c r="DV84">
        <f>IF(ISNA(DR84),NA(),INDEX(Capability!$L$5:$L$54,$B$23))</f>
        <v/>
      </c>
      <c r="DW84">
        <f>IF(OR(ISNA(DS84),ISNA(DS83)),NA(),ABS(DS84-DS83))</f>
        <v/>
      </c>
      <c r="DX84">
        <f>IF(ISNA(DR84),NA(),INDEX(Capability!$N$5:$N$54,$B$23))</f>
        <v/>
      </c>
      <c r="DY84">
        <f>IF(ISNA(DR84),NA(),IF(OR(INDEX(Capability!$Q$5:$Q$54,$B$23)="",Settings!$F$7&lt;&gt;"Y"),NA(),INDEX(Capability!$Q$5:$Q$54,$B$23)))</f>
        <v/>
      </c>
      <c r="DZ84">
        <f>IF(ISNA(DR84),NA(),IF(OR(INDEX(Capability!$P$5:$P$54,$B$23)="",Settings!$F$7&lt;&gt;"Y"),NA(),INDEX(Capability!$P$5:$P$54,$B$23)))</f>
        <v/>
      </c>
    </row>
    <row r="85">
      <c r="A85" s="35" t="inlineStr">
        <is>
          <t>Sigma (within)</t>
        </is>
      </c>
      <c r="B85" s="23">
        <f>INDEX(Capability!$H$5:$H$54,$B$21)</f>
        <v/>
      </c>
      <c r="CB85">
        <f>IF((CE$1+81)&gt;CC$1,NA(),(CE$1+81)-4)</f>
        <v/>
      </c>
      <c r="CC85">
        <f>IF((CE$1+81)&gt;CC$1,NA(),INDEX('Data Entry'!$H$5:$BE$10004,(CE$1+81)-4,$B$20))</f>
        <v/>
      </c>
      <c r="CD85">
        <f>IF(ISNA(CB85),NA(),INDEX(Capability!$K$5:$K$54,$B$20))</f>
        <v/>
      </c>
      <c r="CE85">
        <f>IF(ISNA(CB85),NA(),INDEX(Capability!$J$5:$J$54,$B$20))</f>
        <v/>
      </c>
      <c r="CF85">
        <f>IF(ISNA(CB85),NA(),INDEX(Capability!$L$5:$L$54,$B$20))</f>
        <v/>
      </c>
      <c r="CG85">
        <f>IF(OR(ISNA(CC85),ISNA(CC84)),NA(),ABS(CC85-CC84))</f>
        <v/>
      </c>
      <c r="CH85">
        <f>IF(ISNA(CB85),NA(),INDEX(Capability!$N$5:$N$54,$B$20))</f>
        <v/>
      </c>
      <c r="CI85">
        <f>IF(ISNA(CB85),NA(),IF(OR(INDEX(Capability!$Q$5:$Q$54,$B$20)="",Settings!$F$7&lt;&gt;"Y"),NA(),INDEX(Capability!$Q$5:$Q$54,$B$20)))</f>
        <v/>
      </c>
      <c r="CJ85">
        <f>IF(ISNA(CB85),NA(),IF(OR(INDEX(Capability!$P$5:$P$54,$B$20)="",Settings!$F$7&lt;&gt;"Y"),NA(),INDEX(Capability!$P$5:$P$54,$B$20)))</f>
        <v/>
      </c>
      <c r="CP85">
        <f>IF((CS$1+81)&gt;CQ$1,NA(),(CS$1+81)-4)</f>
        <v/>
      </c>
      <c r="CQ85">
        <f>IF((CS$1+81)&gt;CQ$1,NA(),INDEX('Data Entry'!$H$5:$BE$10004,(CS$1+81)-4,$B$21))</f>
        <v/>
      </c>
      <c r="CR85">
        <f>IF(ISNA(CP85),NA(),INDEX(Capability!$K$5:$K$54,$B$21))</f>
        <v/>
      </c>
      <c r="CS85">
        <f>IF(ISNA(CP85),NA(),INDEX(Capability!$J$5:$J$54,$B$21))</f>
        <v/>
      </c>
      <c r="CT85">
        <f>IF(ISNA(CP85),NA(),INDEX(Capability!$L$5:$L$54,$B$21))</f>
        <v/>
      </c>
      <c r="CU85">
        <f>IF(OR(ISNA(CQ85),ISNA(CQ84)),NA(),ABS(CQ85-CQ84))</f>
        <v/>
      </c>
      <c r="CV85">
        <f>IF(ISNA(CP85),NA(),INDEX(Capability!$N$5:$N$54,$B$21))</f>
        <v/>
      </c>
      <c r="CW85">
        <f>IF(ISNA(CP85),NA(),IF(OR(INDEX(Capability!$Q$5:$Q$54,$B$21)="",Settings!$F$7&lt;&gt;"Y"),NA(),INDEX(Capability!$Q$5:$Q$54,$B$21)))</f>
        <v/>
      </c>
      <c r="CX85">
        <f>IF(ISNA(CP85),NA(),IF(OR(INDEX(Capability!$P$5:$P$54,$B$21)="",Settings!$F$7&lt;&gt;"Y"),NA(),INDEX(Capability!$P$5:$P$54,$B$21)))</f>
        <v/>
      </c>
      <c r="DD85">
        <f>IF((DG$1+81)&gt;DE$1,NA(),(DG$1+81)-4)</f>
        <v/>
      </c>
      <c r="DE85">
        <f>IF((DG$1+81)&gt;DE$1,NA(),INDEX('Data Entry'!$H$5:$BE$10004,(DG$1+81)-4,$B$22))</f>
        <v/>
      </c>
      <c r="DF85">
        <f>IF(ISNA(DD85),NA(),INDEX(Capability!$K$5:$K$54,$B$22))</f>
        <v/>
      </c>
      <c r="DG85">
        <f>IF(ISNA(DD85),NA(),INDEX(Capability!$J$5:$J$54,$B$22))</f>
        <v/>
      </c>
      <c r="DH85">
        <f>IF(ISNA(DD85),NA(),INDEX(Capability!$L$5:$L$54,$B$22))</f>
        <v/>
      </c>
      <c r="DI85">
        <f>IF(OR(ISNA(DE85),ISNA(DE84)),NA(),ABS(DE85-DE84))</f>
        <v/>
      </c>
      <c r="DJ85">
        <f>IF(ISNA(DD85),NA(),INDEX(Capability!$N$5:$N$54,$B$22))</f>
        <v/>
      </c>
      <c r="DK85">
        <f>IF(ISNA(DD85),NA(),IF(OR(INDEX(Capability!$Q$5:$Q$54,$B$22)="",Settings!$F$7&lt;&gt;"Y"),NA(),INDEX(Capability!$Q$5:$Q$54,$B$22)))</f>
        <v/>
      </c>
      <c r="DL85">
        <f>IF(ISNA(DD85),NA(),IF(OR(INDEX(Capability!$P$5:$P$54,$B$22)="",Settings!$F$7&lt;&gt;"Y"),NA(),INDEX(Capability!$P$5:$P$54,$B$22)))</f>
        <v/>
      </c>
      <c r="DR85">
        <f>IF((DU$1+81)&gt;DS$1,NA(),(DU$1+81)-4)</f>
        <v/>
      </c>
      <c r="DS85">
        <f>IF((DU$1+81)&gt;DS$1,NA(),INDEX('Data Entry'!$H$5:$BE$10004,(DU$1+81)-4,$B$23))</f>
        <v/>
      </c>
      <c r="DT85">
        <f>IF(ISNA(DR85),NA(),INDEX(Capability!$K$5:$K$54,$B$23))</f>
        <v/>
      </c>
      <c r="DU85">
        <f>IF(ISNA(DR85),NA(),INDEX(Capability!$J$5:$J$54,$B$23))</f>
        <v/>
      </c>
      <c r="DV85">
        <f>IF(ISNA(DR85),NA(),INDEX(Capability!$L$5:$L$54,$B$23))</f>
        <v/>
      </c>
      <c r="DW85">
        <f>IF(OR(ISNA(DS85),ISNA(DS84)),NA(),ABS(DS85-DS84))</f>
        <v/>
      </c>
      <c r="DX85">
        <f>IF(ISNA(DR85),NA(),INDEX(Capability!$N$5:$N$54,$B$23))</f>
        <v/>
      </c>
      <c r="DY85">
        <f>IF(ISNA(DR85),NA(),IF(OR(INDEX(Capability!$Q$5:$Q$54,$B$23)="",Settings!$F$7&lt;&gt;"Y"),NA(),INDEX(Capability!$Q$5:$Q$54,$B$23)))</f>
        <v/>
      </c>
      <c r="DZ85">
        <f>IF(ISNA(DR85),NA(),IF(OR(INDEX(Capability!$P$5:$P$54,$B$23)="",Settings!$F$7&lt;&gt;"Y"),NA(),INDEX(Capability!$P$5:$P$54,$B$23)))</f>
        <v/>
      </c>
    </row>
    <row r="86">
      <c r="A86" s="37" t="inlineStr">
        <is>
          <t>CONTROL</t>
        </is>
      </c>
      <c r="B86" s="28" t="n"/>
      <c r="CB86">
        <f>IF((CE$1+82)&gt;CC$1,NA(),(CE$1+82)-4)</f>
        <v/>
      </c>
      <c r="CC86">
        <f>IF((CE$1+82)&gt;CC$1,NA(),INDEX('Data Entry'!$H$5:$BE$10004,(CE$1+82)-4,$B$20))</f>
        <v/>
      </c>
      <c r="CD86">
        <f>IF(ISNA(CB86),NA(),INDEX(Capability!$K$5:$K$54,$B$20))</f>
        <v/>
      </c>
      <c r="CE86">
        <f>IF(ISNA(CB86),NA(),INDEX(Capability!$J$5:$J$54,$B$20))</f>
        <v/>
      </c>
      <c r="CF86">
        <f>IF(ISNA(CB86),NA(),INDEX(Capability!$L$5:$L$54,$B$20))</f>
        <v/>
      </c>
      <c r="CG86">
        <f>IF(OR(ISNA(CC86),ISNA(CC85)),NA(),ABS(CC86-CC85))</f>
        <v/>
      </c>
      <c r="CH86">
        <f>IF(ISNA(CB86),NA(),INDEX(Capability!$N$5:$N$54,$B$20))</f>
        <v/>
      </c>
      <c r="CI86">
        <f>IF(ISNA(CB86),NA(),IF(OR(INDEX(Capability!$Q$5:$Q$54,$B$20)="",Settings!$F$7&lt;&gt;"Y"),NA(),INDEX(Capability!$Q$5:$Q$54,$B$20)))</f>
        <v/>
      </c>
      <c r="CJ86">
        <f>IF(ISNA(CB86),NA(),IF(OR(INDEX(Capability!$P$5:$P$54,$B$20)="",Settings!$F$7&lt;&gt;"Y"),NA(),INDEX(Capability!$P$5:$P$54,$B$20)))</f>
        <v/>
      </c>
      <c r="CP86">
        <f>IF((CS$1+82)&gt;CQ$1,NA(),(CS$1+82)-4)</f>
        <v/>
      </c>
      <c r="CQ86">
        <f>IF((CS$1+82)&gt;CQ$1,NA(),INDEX('Data Entry'!$H$5:$BE$10004,(CS$1+82)-4,$B$21))</f>
        <v/>
      </c>
      <c r="CR86">
        <f>IF(ISNA(CP86),NA(),INDEX(Capability!$K$5:$K$54,$B$21))</f>
        <v/>
      </c>
      <c r="CS86">
        <f>IF(ISNA(CP86),NA(),INDEX(Capability!$J$5:$J$54,$B$21))</f>
        <v/>
      </c>
      <c r="CT86">
        <f>IF(ISNA(CP86),NA(),INDEX(Capability!$L$5:$L$54,$B$21))</f>
        <v/>
      </c>
      <c r="CU86">
        <f>IF(OR(ISNA(CQ86),ISNA(CQ85)),NA(),ABS(CQ86-CQ85))</f>
        <v/>
      </c>
      <c r="CV86">
        <f>IF(ISNA(CP86),NA(),INDEX(Capability!$N$5:$N$54,$B$21))</f>
        <v/>
      </c>
      <c r="CW86">
        <f>IF(ISNA(CP86),NA(),IF(OR(INDEX(Capability!$Q$5:$Q$54,$B$21)="",Settings!$F$7&lt;&gt;"Y"),NA(),INDEX(Capability!$Q$5:$Q$54,$B$21)))</f>
        <v/>
      </c>
      <c r="CX86">
        <f>IF(ISNA(CP86),NA(),IF(OR(INDEX(Capability!$P$5:$P$54,$B$21)="",Settings!$F$7&lt;&gt;"Y"),NA(),INDEX(Capability!$P$5:$P$54,$B$21)))</f>
        <v/>
      </c>
      <c r="DD86">
        <f>IF((DG$1+82)&gt;DE$1,NA(),(DG$1+82)-4)</f>
        <v/>
      </c>
      <c r="DE86">
        <f>IF((DG$1+82)&gt;DE$1,NA(),INDEX('Data Entry'!$H$5:$BE$10004,(DG$1+82)-4,$B$22))</f>
        <v/>
      </c>
      <c r="DF86">
        <f>IF(ISNA(DD86),NA(),INDEX(Capability!$K$5:$K$54,$B$22))</f>
        <v/>
      </c>
      <c r="DG86">
        <f>IF(ISNA(DD86),NA(),INDEX(Capability!$J$5:$J$54,$B$22))</f>
        <v/>
      </c>
      <c r="DH86">
        <f>IF(ISNA(DD86),NA(),INDEX(Capability!$L$5:$L$54,$B$22))</f>
        <v/>
      </c>
      <c r="DI86">
        <f>IF(OR(ISNA(DE86),ISNA(DE85)),NA(),ABS(DE86-DE85))</f>
        <v/>
      </c>
      <c r="DJ86">
        <f>IF(ISNA(DD86),NA(),INDEX(Capability!$N$5:$N$54,$B$22))</f>
        <v/>
      </c>
      <c r="DK86">
        <f>IF(ISNA(DD86),NA(),IF(OR(INDEX(Capability!$Q$5:$Q$54,$B$22)="",Settings!$F$7&lt;&gt;"Y"),NA(),INDEX(Capability!$Q$5:$Q$54,$B$22)))</f>
        <v/>
      </c>
      <c r="DL86">
        <f>IF(ISNA(DD86),NA(),IF(OR(INDEX(Capability!$P$5:$P$54,$B$22)="",Settings!$F$7&lt;&gt;"Y"),NA(),INDEX(Capability!$P$5:$P$54,$B$22)))</f>
        <v/>
      </c>
      <c r="DR86">
        <f>IF((DU$1+82)&gt;DS$1,NA(),(DU$1+82)-4)</f>
        <v/>
      </c>
      <c r="DS86">
        <f>IF((DU$1+82)&gt;DS$1,NA(),INDEX('Data Entry'!$H$5:$BE$10004,(DU$1+82)-4,$B$23))</f>
        <v/>
      </c>
      <c r="DT86">
        <f>IF(ISNA(DR86),NA(),INDEX(Capability!$K$5:$K$54,$B$23))</f>
        <v/>
      </c>
      <c r="DU86">
        <f>IF(ISNA(DR86),NA(),INDEX(Capability!$J$5:$J$54,$B$23))</f>
        <v/>
      </c>
      <c r="DV86">
        <f>IF(ISNA(DR86),NA(),INDEX(Capability!$L$5:$L$54,$B$23))</f>
        <v/>
      </c>
      <c r="DW86">
        <f>IF(OR(ISNA(DS86),ISNA(DS85)),NA(),ABS(DS86-DS85))</f>
        <v/>
      </c>
      <c r="DX86">
        <f>IF(ISNA(DR86),NA(),INDEX(Capability!$N$5:$N$54,$B$23))</f>
        <v/>
      </c>
      <c r="DY86">
        <f>IF(ISNA(DR86),NA(),IF(OR(INDEX(Capability!$Q$5:$Q$54,$B$23)="",Settings!$F$7&lt;&gt;"Y"),NA(),INDEX(Capability!$Q$5:$Q$54,$B$23)))</f>
        <v/>
      </c>
      <c r="DZ86">
        <f>IF(ISNA(DR86),NA(),IF(OR(INDEX(Capability!$P$5:$P$54,$B$23)="",Settings!$F$7&lt;&gt;"Y"),NA(),INDEX(Capability!$P$5:$P$54,$B$23)))</f>
        <v/>
      </c>
    </row>
    <row r="87">
      <c r="A87" s="35" t="inlineStr">
        <is>
          <t>UCL</t>
        </is>
      </c>
      <c r="B87" s="23">
        <f>INDEX(Capability!$J$5:$J$54,$B$21)</f>
        <v/>
      </c>
      <c r="CB87">
        <f>IF((CE$1+83)&gt;CC$1,NA(),(CE$1+83)-4)</f>
        <v/>
      </c>
      <c r="CC87">
        <f>IF((CE$1+83)&gt;CC$1,NA(),INDEX('Data Entry'!$H$5:$BE$10004,(CE$1+83)-4,$B$20))</f>
        <v/>
      </c>
      <c r="CD87">
        <f>IF(ISNA(CB87),NA(),INDEX(Capability!$K$5:$K$54,$B$20))</f>
        <v/>
      </c>
      <c r="CE87">
        <f>IF(ISNA(CB87),NA(),INDEX(Capability!$J$5:$J$54,$B$20))</f>
        <v/>
      </c>
      <c r="CF87">
        <f>IF(ISNA(CB87),NA(),INDEX(Capability!$L$5:$L$54,$B$20))</f>
        <v/>
      </c>
      <c r="CG87">
        <f>IF(OR(ISNA(CC87),ISNA(CC86)),NA(),ABS(CC87-CC86))</f>
        <v/>
      </c>
      <c r="CH87">
        <f>IF(ISNA(CB87),NA(),INDEX(Capability!$N$5:$N$54,$B$20))</f>
        <v/>
      </c>
      <c r="CI87">
        <f>IF(ISNA(CB87),NA(),IF(OR(INDEX(Capability!$Q$5:$Q$54,$B$20)="",Settings!$F$7&lt;&gt;"Y"),NA(),INDEX(Capability!$Q$5:$Q$54,$B$20)))</f>
        <v/>
      </c>
      <c r="CJ87">
        <f>IF(ISNA(CB87),NA(),IF(OR(INDEX(Capability!$P$5:$P$54,$B$20)="",Settings!$F$7&lt;&gt;"Y"),NA(),INDEX(Capability!$P$5:$P$54,$B$20)))</f>
        <v/>
      </c>
      <c r="CP87">
        <f>IF((CS$1+83)&gt;CQ$1,NA(),(CS$1+83)-4)</f>
        <v/>
      </c>
      <c r="CQ87">
        <f>IF((CS$1+83)&gt;CQ$1,NA(),INDEX('Data Entry'!$H$5:$BE$10004,(CS$1+83)-4,$B$21))</f>
        <v/>
      </c>
      <c r="CR87">
        <f>IF(ISNA(CP87),NA(),INDEX(Capability!$K$5:$K$54,$B$21))</f>
        <v/>
      </c>
      <c r="CS87">
        <f>IF(ISNA(CP87),NA(),INDEX(Capability!$J$5:$J$54,$B$21))</f>
        <v/>
      </c>
      <c r="CT87">
        <f>IF(ISNA(CP87),NA(),INDEX(Capability!$L$5:$L$54,$B$21))</f>
        <v/>
      </c>
      <c r="CU87">
        <f>IF(OR(ISNA(CQ87),ISNA(CQ86)),NA(),ABS(CQ87-CQ86))</f>
        <v/>
      </c>
      <c r="CV87">
        <f>IF(ISNA(CP87),NA(),INDEX(Capability!$N$5:$N$54,$B$21))</f>
        <v/>
      </c>
      <c r="CW87">
        <f>IF(ISNA(CP87),NA(),IF(OR(INDEX(Capability!$Q$5:$Q$54,$B$21)="",Settings!$F$7&lt;&gt;"Y"),NA(),INDEX(Capability!$Q$5:$Q$54,$B$21)))</f>
        <v/>
      </c>
      <c r="CX87">
        <f>IF(ISNA(CP87),NA(),IF(OR(INDEX(Capability!$P$5:$P$54,$B$21)="",Settings!$F$7&lt;&gt;"Y"),NA(),INDEX(Capability!$P$5:$P$54,$B$21)))</f>
        <v/>
      </c>
      <c r="DD87">
        <f>IF((DG$1+83)&gt;DE$1,NA(),(DG$1+83)-4)</f>
        <v/>
      </c>
      <c r="DE87">
        <f>IF((DG$1+83)&gt;DE$1,NA(),INDEX('Data Entry'!$H$5:$BE$10004,(DG$1+83)-4,$B$22))</f>
        <v/>
      </c>
      <c r="DF87">
        <f>IF(ISNA(DD87),NA(),INDEX(Capability!$K$5:$K$54,$B$22))</f>
        <v/>
      </c>
      <c r="DG87">
        <f>IF(ISNA(DD87),NA(),INDEX(Capability!$J$5:$J$54,$B$22))</f>
        <v/>
      </c>
      <c r="DH87">
        <f>IF(ISNA(DD87),NA(),INDEX(Capability!$L$5:$L$54,$B$22))</f>
        <v/>
      </c>
      <c r="DI87">
        <f>IF(OR(ISNA(DE87),ISNA(DE86)),NA(),ABS(DE87-DE86))</f>
        <v/>
      </c>
      <c r="DJ87">
        <f>IF(ISNA(DD87),NA(),INDEX(Capability!$N$5:$N$54,$B$22))</f>
        <v/>
      </c>
      <c r="DK87">
        <f>IF(ISNA(DD87),NA(),IF(OR(INDEX(Capability!$Q$5:$Q$54,$B$22)="",Settings!$F$7&lt;&gt;"Y"),NA(),INDEX(Capability!$Q$5:$Q$54,$B$22)))</f>
        <v/>
      </c>
      <c r="DL87">
        <f>IF(ISNA(DD87),NA(),IF(OR(INDEX(Capability!$P$5:$P$54,$B$22)="",Settings!$F$7&lt;&gt;"Y"),NA(),INDEX(Capability!$P$5:$P$54,$B$22)))</f>
        <v/>
      </c>
      <c r="DR87">
        <f>IF((DU$1+83)&gt;DS$1,NA(),(DU$1+83)-4)</f>
        <v/>
      </c>
      <c r="DS87">
        <f>IF((DU$1+83)&gt;DS$1,NA(),INDEX('Data Entry'!$H$5:$BE$10004,(DU$1+83)-4,$B$23))</f>
        <v/>
      </c>
      <c r="DT87">
        <f>IF(ISNA(DR87),NA(),INDEX(Capability!$K$5:$K$54,$B$23))</f>
        <v/>
      </c>
      <c r="DU87">
        <f>IF(ISNA(DR87),NA(),INDEX(Capability!$J$5:$J$54,$B$23))</f>
        <v/>
      </c>
      <c r="DV87">
        <f>IF(ISNA(DR87),NA(),INDEX(Capability!$L$5:$L$54,$B$23))</f>
        <v/>
      </c>
      <c r="DW87">
        <f>IF(OR(ISNA(DS87),ISNA(DS86)),NA(),ABS(DS87-DS86))</f>
        <v/>
      </c>
      <c r="DX87">
        <f>IF(ISNA(DR87),NA(),INDEX(Capability!$N$5:$N$54,$B$23))</f>
        <v/>
      </c>
      <c r="DY87">
        <f>IF(ISNA(DR87),NA(),IF(OR(INDEX(Capability!$Q$5:$Q$54,$B$23)="",Settings!$F$7&lt;&gt;"Y"),NA(),INDEX(Capability!$Q$5:$Q$54,$B$23)))</f>
        <v/>
      </c>
      <c r="DZ87">
        <f>IF(ISNA(DR87),NA(),IF(OR(INDEX(Capability!$P$5:$P$54,$B$23)="",Settings!$F$7&lt;&gt;"Y"),NA(),INDEX(Capability!$P$5:$P$54,$B$23)))</f>
        <v/>
      </c>
    </row>
    <row r="88">
      <c r="A88" s="35" t="inlineStr">
        <is>
          <t>CL</t>
        </is>
      </c>
      <c r="B88" s="23">
        <f>INDEX(Capability!$K$5:$K$54,$B$21)</f>
        <v/>
      </c>
      <c r="CB88">
        <f>IF((CE$1+84)&gt;CC$1,NA(),(CE$1+84)-4)</f>
        <v/>
      </c>
      <c r="CC88">
        <f>IF((CE$1+84)&gt;CC$1,NA(),INDEX('Data Entry'!$H$5:$BE$10004,(CE$1+84)-4,$B$20))</f>
        <v/>
      </c>
      <c r="CD88">
        <f>IF(ISNA(CB88),NA(),INDEX(Capability!$K$5:$K$54,$B$20))</f>
        <v/>
      </c>
      <c r="CE88">
        <f>IF(ISNA(CB88),NA(),INDEX(Capability!$J$5:$J$54,$B$20))</f>
        <v/>
      </c>
      <c r="CF88">
        <f>IF(ISNA(CB88),NA(),INDEX(Capability!$L$5:$L$54,$B$20))</f>
        <v/>
      </c>
      <c r="CG88">
        <f>IF(OR(ISNA(CC88),ISNA(CC87)),NA(),ABS(CC88-CC87))</f>
        <v/>
      </c>
      <c r="CH88">
        <f>IF(ISNA(CB88),NA(),INDEX(Capability!$N$5:$N$54,$B$20))</f>
        <v/>
      </c>
      <c r="CI88">
        <f>IF(ISNA(CB88),NA(),IF(OR(INDEX(Capability!$Q$5:$Q$54,$B$20)="",Settings!$F$7&lt;&gt;"Y"),NA(),INDEX(Capability!$Q$5:$Q$54,$B$20)))</f>
        <v/>
      </c>
      <c r="CJ88">
        <f>IF(ISNA(CB88),NA(),IF(OR(INDEX(Capability!$P$5:$P$54,$B$20)="",Settings!$F$7&lt;&gt;"Y"),NA(),INDEX(Capability!$P$5:$P$54,$B$20)))</f>
        <v/>
      </c>
      <c r="CP88">
        <f>IF((CS$1+84)&gt;CQ$1,NA(),(CS$1+84)-4)</f>
        <v/>
      </c>
      <c r="CQ88">
        <f>IF((CS$1+84)&gt;CQ$1,NA(),INDEX('Data Entry'!$H$5:$BE$10004,(CS$1+84)-4,$B$21))</f>
        <v/>
      </c>
      <c r="CR88">
        <f>IF(ISNA(CP88),NA(),INDEX(Capability!$K$5:$K$54,$B$21))</f>
        <v/>
      </c>
      <c r="CS88">
        <f>IF(ISNA(CP88),NA(),INDEX(Capability!$J$5:$J$54,$B$21))</f>
        <v/>
      </c>
      <c r="CT88">
        <f>IF(ISNA(CP88),NA(),INDEX(Capability!$L$5:$L$54,$B$21))</f>
        <v/>
      </c>
      <c r="CU88">
        <f>IF(OR(ISNA(CQ88),ISNA(CQ87)),NA(),ABS(CQ88-CQ87))</f>
        <v/>
      </c>
      <c r="CV88">
        <f>IF(ISNA(CP88),NA(),INDEX(Capability!$N$5:$N$54,$B$21))</f>
        <v/>
      </c>
      <c r="CW88">
        <f>IF(ISNA(CP88),NA(),IF(OR(INDEX(Capability!$Q$5:$Q$54,$B$21)="",Settings!$F$7&lt;&gt;"Y"),NA(),INDEX(Capability!$Q$5:$Q$54,$B$21)))</f>
        <v/>
      </c>
      <c r="CX88">
        <f>IF(ISNA(CP88),NA(),IF(OR(INDEX(Capability!$P$5:$P$54,$B$21)="",Settings!$F$7&lt;&gt;"Y"),NA(),INDEX(Capability!$P$5:$P$54,$B$21)))</f>
        <v/>
      </c>
      <c r="DD88">
        <f>IF((DG$1+84)&gt;DE$1,NA(),(DG$1+84)-4)</f>
        <v/>
      </c>
      <c r="DE88">
        <f>IF((DG$1+84)&gt;DE$1,NA(),INDEX('Data Entry'!$H$5:$BE$10004,(DG$1+84)-4,$B$22))</f>
        <v/>
      </c>
      <c r="DF88">
        <f>IF(ISNA(DD88),NA(),INDEX(Capability!$K$5:$K$54,$B$22))</f>
        <v/>
      </c>
      <c r="DG88">
        <f>IF(ISNA(DD88),NA(),INDEX(Capability!$J$5:$J$54,$B$22))</f>
        <v/>
      </c>
      <c r="DH88">
        <f>IF(ISNA(DD88),NA(),INDEX(Capability!$L$5:$L$54,$B$22))</f>
        <v/>
      </c>
      <c r="DI88">
        <f>IF(OR(ISNA(DE88),ISNA(DE87)),NA(),ABS(DE88-DE87))</f>
        <v/>
      </c>
      <c r="DJ88">
        <f>IF(ISNA(DD88),NA(),INDEX(Capability!$N$5:$N$54,$B$22))</f>
        <v/>
      </c>
      <c r="DK88">
        <f>IF(ISNA(DD88),NA(),IF(OR(INDEX(Capability!$Q$5:$Q$54,$B$22)="",Settings!$F$7&lt;&gt;"Y"),NA(),INDEX(Capability!$Q$5:$Q$54,$B$22)))</f>
        <v/>
      </c>
      <c r="DL88">
        <f>IF(ISNA(DD88),NA(),IF(OR(INDEX(Capability!$P$5:$P$54,$B$22)="",Settings!$F$7&lt;&gt;"Y"),NA(),INDEX(Capability!$P$5:$P$54,$B$22)))</f>
        <v/>
      </c>
      <c r="DR88">
        <f>IF((DU$1+84)&gt;DS$1,NA(),(DU$1+84)-4)</f>
        <v/>
      </c>
      <c r="DS88">
        <f>IF((DU$1+84)&gt;DS$1,NA(),INDEX('Data Entry'!$H$5:$BE$10004,(DU$1+84)-4,$B$23))</f>
        <v/>
      </c>
      <c r="DT88">
        <f>IF(ISNA(DR88),NA(),INDEX(Capability!$K$5:$K$54,$B$23))</f>
        <v/>
      </c>
      <c r="DU88">
        <f>IF(ISNA(DR88),NA(),INDEX(Capability!$J$5:$J$54,$B$23))</f>
        <v/>
      </c>
      <c r="DV88">
        <f>IF(ISNA(DR88),NA(),INDEX(Capability!$L$5:$L$54,$B$23))</f>
        <v/>
      </c>
      <c r="DW88">
        <f>IF(OR(ISNA(DS88),ISNA(DS87)),NA(),ABS(DS88-DS87))</f>
        <v/>
      </c>
      <c r="DX88">
        <f>IF(ISNA(DR88),NA(),INDEX(Capability!$N$5:$N$54,$B$23))</f>
        <v/>
      </c>
      <c r="DY88">
        <f>IF(ISNA(DR88),NA(),IF(OR(INDEX(Capability!$Q$5:$Q$54,$B$23)="",Settings!$F$7&lt;&gt;"Y"),NA(),INDEX(Capability!$Q$5:$Q$54,$B$23)))</f>
        <v/>
      </c>
      <c r="DZ88">
        <f>IF(ISNA(DR88),NA(),IF(OR(INDEX(Capability!$P$5:$P$54,$B$23)="",Settings!$F$7&lt;&gt;"Y"),NA(),INDEX(Capability!$P$5:$P$54,$B$23)))</f>
        <v/>
      </c>
    </row>
    <row r="89">
      <c r="A89" s="35" t="inlineStr">
        <is>
          <t>LCL</t>
        </is>
      </c>
      <c r="B89" s="23">
        <f>INDEX(Capability!$L$5:$L$54,$B$21)</f>
        <v/>
      </c>
      <c r="CB89">
        <f>IF((CE$1+85)&gt;CC$1,NA(),(CE$1+85)-4)</f>
        <v/>
      </c>
      <c r="CC89">
        <f>IF((CE$1+85)&gt;CC$1,NA(),INDEX('Data Entry'!$H$5:$BE$10004,(CE$1+85)-4,$B$20))</f>
        <v/>
      </c>
      <c r="CD89">
        <f>IF(ISNA(CB89),NA(),INDEX(Capability!$K$5:$K$54,$B$20))</f>
        <v/>
      </c>
      <c r="CE89">
        <f>IF(ISNA(CB89),NA(),INDEX(Capability!$J$5:$J$54,$B$20))</f>
        <v/>
      </c>
      <c r="CF89">
        <f>IF(ISNA(CB89),NA(),INDEX(Capability!$L$5:$L$54,$B$20))</f>
        <v/>
      </c>
      <c r="CG89">
        <f>IF(OR(ISNA(CC89),ISNA(CC88)),NA(),ABS(CC89-CC88))</f>
        <v/>
      </c>
      <c r="CH89">
        <f>IF(ISNA(CB89),NA(),INDEX(Capability!$N$5:$N$54,$B$20))</f>
        <v/>
      </c>
      <c r="CI89">
        <f>IF(ISNA(CB89),NA(),IF(OR(INDEX(Capability!$Q$5:$Q$54,$B$20)="",Settings!$F$7&lt;&gt;"Y"),NA(),INDEX(Capability!$Q$5:$Q$54,$B$20)))</f>
        <v/>
      </c>
      <c r="CJ89">
        <f>IF(ISNA(CB89),NA(),IF(OR(INDEX(Capability!$P$5:$P$54,$B$20)="",Settings!$F$7&lt;&gt;"Y"),NA(),INDEX(Capability!$P$5:$P$54,$B$20)))</f>
        <v/>
      </c>
      <c r="CP89">
        <f>IF((CS$1+85)&gt;CQ$1,NA(),(CS$1+85)-4)</f>
        <v/>
      </c>
      <c r="CQ89">
        <f>IF((CS$1+85)&gt;CQ$1,NA(),INDEX('Data Entry'!$H$5:$BE$10004,(CS$1+85)-4,$B$21))</f>
        <v/>
      </c>
      <c r="CR89">
        <f>IF(ISNA(CP89),NA(),INDEX(Capability!$K$5:$K$54,$B$21))</f>
        <v/>
      </c>
      <c r="CS89">
        <f>IF(ISNA(CP89),NA(),INDEX(Capability!$J$5:$J$54,$B$21))</f>
        <v/>
      </c>
      <c r="CT89">
        <f>IF(ISNA(CP89),NA(),INDEX(Capability!$L$5:$L$54,$B$21))</f>
        <v/>
      </c>
      <c r="CU89">
        <f>IF(OR(ISNA(CQ89),ISNA(CQ88)),NA(),ABS(CQ89-CQ88))</f>
        <v/>
      </c>
      <c r="CV89">
        <f>IF(ISNA(CP89),NA(),INDEX(Capability!$N$5:$N$54,$B$21))</f>
        <v/>
      </c>
      <c r="CW89">
        <f>IF(ISNA(CP89),NA(),IF(OR(INDEX(Capability!$Q$5:$Q$54,$B$21)="",Settings!$F$7&lt;&gt;"Y"),NA(),INDEX(Capability!$Q$5:$Q$54,$B$21)))</f>
        <v/>
      </c>
      <c r="CX89">
        <f>IF(ISNA(CP89),NA(),IF(OR(INDEX(Capability!$P$5:$P$54,$B$21)="",Settings!$F$7&lt;&gt;"Y"),NA(),INDEX(Capability!$P$5:$P$54,$B$21)))</f>
        <v/>
      </c>
      <c r="DD89">
        <f>IF((DG$1+85)&gt;DE$1,NA(),(DG$1+85)-4)</f>
        <v/>
      </c>
      <c r="DE89">
        <f>IF((DG$1+85)&gt;DE$1,NA(),INDEX('Data Entry'!$H$5:$BE$10004,(DG$1+85)-4,$B$22))</f>
        <v/>
      </c>
      <c r="DF89">
        <f>IF(ISNA(DD89),NA(),INDEX(Capability!$K$5:$K$54,$B$22))</f>
        <v/>
      </c>
      <c r="DG89">
        <f>IF(ISNA(DD89),NA(),INDEX(Capability!$J$5:$J$54,$B$22))</f>
        <v/>
      </c>
      <c r="DH89">
        <f>IF(ISNA(DD89),NA(),INDEX(Capability!$L$5:$L$54,$B$22))</f>
        <v/>
      </c>
      <c r="DI89">
        <f>IF(OR(ISNA(DE89),ISNA(DE88)),NA(),ABS(DE89-DE88))</f>
        <v/>
      </c>
      <c r="DJ89">
        <f>IF(ISNA(DD89),NA(),INDEX(Capability!$N$5:$N$54,$B$22))</f>
        <v/>
      </c>
      <c r="DK89">
        <f>IF(ISNA(DD89),NA(),IF(OR(INDEX(Capability!$Q$5:$Q$54,$B$22)="",Settings!$F$7&lt;&gt;"Y"),NA(),INDEX(Capability!$Q$5:$Q$54,$B$22)))</f>
        <v/>
      </c>
      <c r="DL89">
        <f>IF(ISNA(DD89),NA(),IF(OR(INDEX(Capability!$P$5:$P$54,$B$22)="",Settings!$F$7&lt;&gt;"Y"),NA(),INDEX(Capability!$P$5:$P$54,$B$22)))</f>
        <v/>
      </c>
      <c r="DR89">
        <f>IF((DU$1+85)&gt;DS$1,NA(),(DU$1+85)-4)</f>
        <v/>
      </c>
      <c r="DS89">
        <f>IF((DU$1+85)&gt;DS$1,NA(),INDEX('Data Entry'!$H$5:$BE$10004,(DU$1+85)-4,$B$23))</f>
        <v/>
      </c>
      <c r="DT89">
        <f>IF(ISNA(DR89),NA(),INDEX(Capability!$K$5:$K$54,$B$23))</f>
        <v/>
      </c>
      <c r="DU89">
        <f>IF(ISNA(DR89),NA(),INDEX(Capability!$J$5:$J$54,$B$23))</f>
        <v/>
      </c>
      <c r="DV89">
        <f>IF(ISNA(DR89),NA(),INDEX(Capability!$L$5:$L$54,$B$23))</f>
        <v/>
      </c>
      <c r="DW89">
        <f>IF(OR(ISNA(DS89),ISNA(DS88)),NA(),ABS(DS89-DS88))</f>
        <v/>
      </c>
      <c r="DX89">
        <f>IF(ISNA(DR89),NA(),INDEX(Capability!$N$5:$N$54,$B$23))</f>
        <v/>
      </c>
      <c r="DY89">
        <f>IF(ISNA(DR89),NA(),IF(OR(INDEX(Capability!$Q$5:$Q$54,$B$23)="",Settings!$F$7&lt;&gt;"Y"),NA(),INDEX(Capability!$Q$5:$Q$54,$B$23)))</f>
        <v/>
      </c>
      <c r="DZ89">
        <f>IF(ISNA(DR89),NA(),IF(OR(INDEX(Capability!$P$5:$P$54,$B$23)="",Settings!$F$7&lt;&gt;"Y"),NA(),INDEX(Capability!$P$5:$P$54,$B$23)))</f>
        <v/>
      </c>
    </row>
    <row r="90">
      <c r="A90" s="35" t="inlineStr">
        <is>
          <t>mR-bar</t>
        </is>
      </c>
      <c r="B90" s="23">
        <f>INDEX(Capability!$M$5:$M$54,$B$21)</f>
        <v/>
      </c>
      <c r="CB90">
        <f>IF((CE$1+86)&gt;CC$1,NA(),(CE$1+86)-4)</f>
        <v/>
      </c>
      <c r="CC90">
        <f>IF((CE$1+86)&gt;CC$1,NA(),INDEX('Data Entry'!$H$5:$BE$10004,(CE$1+86)-4,$B$20))</f>
        <v/>
      </c>
      <c r="CD90">
        <f>IF(ISNA(CB90),NA(),INDEX(Capability!$K$5:$K$54,$B$20))</f>
        <v/>
      </c>
      <c r="CE90">
        <f>IF(ISNA(CB90),NA(),INDEX(Capability!$J$5:$J$54,$B$20))</f>
        <v/>
      </c>
      <c r="CF90">
        <f>IF(ISNA(CB90),NA(),INDEX(Capability!$L$5:$L$54,$B$20))</f>
        <v/>
      </c>
      <c r="CG90">
        <f>IF(OR(ISNA(CC90),ISNA(CC89)),NA(),ABS(CC90-CC89))</f>
        <v/>
      </c>
      <c r="CH90">
        <f>IF(ISNA(CB90),NA(),INDEX(Capability!$N$5:$N$54,$B$20))</f>
        <v/>
      </c>
      <c r="CI90">
        <f>IF(ISNA(CB90),NA(),IF(OR(INDEX(Capability!$Q$5:$Q$54,$B$20)="",Settings!$F$7&lt;&gt;"Y"),NA(),INDEX(Capability!$Q$5:$Q$54,$B$20)))</f>
        <v/>
      </c>
      <c r="CJ90">
        <f>IF(ISNA(CB90),NA(),IF(OR(INDEX(Capability!$P$5:$P$54,$B$20)="",Settings!$F$7&lt;&gt;"Y"),NA(),INDEX(Capability!$P$5:$P$54,$B$20)))</f>
        <v/>
      </c>
      <c r="CP90">
        <f>IF((CS$1+86)&gt;CQ$1,NA(),(CS$1+86)-4)</f>
        <v/>
      </c>
      <c r="CQ90">
        <f>IF((CS$1+86)&gt;CQ$1,NA(),INDEX('Data Entry'!$H$5:$BE$10004,(CS$1+86)-4,$B$21))</f>
        <v/>
      </c>
      <c r="CR90">
        <f>IF(ISNA(CP90),NA(),INDEX(Capability!$K$5:$K$54,$B$21))</f>
        <v/>
      </c>
      <c r="CS90">
        <f>IF(ISNA(CP90),NA(),INDEX(Capability!$J$5:$J$54,$B$21))</f>
        <v/>
      </c>
      <c r="CT90">
        <f>IF(ISNA(CP90),NA(),INDEX(Capability!$L$5:$L$54,$B$21))</f>
        <v/>
      </c>
      <c r="CU90">
        <f>IF(OR(ISNA(CQ90),ISNA(CQ89)),NA(),ABS(CQ90-CQ89))</f>
        <v/>
      </c>
      <c r="CV90">
        <f>IF(ISNA(CP90),NA(),INDEX(Capability!$N$5:$N$54,$B$21))</f>
        <v/>
      </c>
      <c r="CW90">
        <f>IF(ISNA(CP90),NA(),IF(OR(INDEX(Capability!$Q$5:$Q$54,$B$21)="",Settings!$F$7&lt;&gt;"Y"),NA(),INDEX(Capability!$Q$5:$Q$54,$B$21)))</f>
        <v/>
      </c>
      <c r="CX90">
        <f>IF(ISNA(CP90),NA(),IF(OR(INDEX(Capability!$P$5:$P$54,$B$21)="",Settings!$F$7&lt;&gt;"Y"),NA(),INDEX(Capability!$P$5:$P$54,$B$21)))</f>
        <v/>
      </c>
      <c r="DD90">
        <f>IF((DG$1+86)&gt;DE$1,NA(),(DG$1+86)-4)</f>
        <v/>
      </c>
      <c r="DE90">
        <f>IF((DG$1+86)&gt;DE$1,NA(),INDEX('Data Entry'!$H$5:$BE$10004,(DG$1+86)-4,$B$22))</f>
        <v/>
      </c>
      <c r="DF90">
        <f>IF(ISNA(DD90),NA(),INDEX(Capability!$K$5:$K$54,$B$22))</f>
        <v/>
      </c>
      <c r="DG90">
        <f>IF(ISNA(DD90),NA(),INDEX(Capability!$J$5:$J$54,$B$22))</f>
        <v/>
      </c>
      <c r="DH90">
        <f>IF(ISNA(DD90),NA(),INDEX(Capability!$L$5:$L$54,$B$22))</f>
        <v/>
      </c>
      <c r="DI90">
        <f>IF(OR(ISNA(DE90),ISNA(DE89)),NA(),ABS(DE90-DE89))</f>
        <v/>
      </c>
      <c r="DJ90">
        <f>IF(ISNA(DD90),NA(),INDEX(Capability!$N$5:$N$54,$B$22))</f>
        <v/>
      </c>
      <c r="DK90">
        <f>IF(ISNA(DD90),NA(),IF(OR(INDEX(Capability!$Q$5:$Q$54,$B$22)="",Settings!$F$7&lt;&gt;"Y"),NA(),INDEX(Capability!$Q$5:$Q$54,$B$22)))</f>
        <v/>
      </c>
      <c r="DL90">
        <f>IF(ISNA(DD90),NA(),IF(OR(INDEX(Capability!$P$5:$P$54,$B$22)="",Settings!$F$7&lt;&gt;"Y"),NA(),INDEX(Capability!$P$5:$P$54,$B$22)))</f>
        <v/>
      </c>
      <c r="DR90">
        <f>IF((DU$1+86)&gt;DS$1,NA(),(DU$1+86)-4)</f>
        <v/>
      </c>
      <c r="DS90">
        <f>IF((DU$1+86)&gt;DS$1,NA(),INDEX('Data Entry'!$H$5:$BE$10004,(DU$1+86)-4,$B$23))</f>
        <v/>
      </c>
      <c r="DT90">
        <f>IF(ISNA(DR90),NA(),INDEX(Capability!$K$5:$K$54,$B$23))</f>
        <v/>
      </c>
      <c r="DU90">
        <f>IF(ISNA(DR90),NA(),INDEX(Capability!$J$5:$J$54,$B$23))</f>
        <v/>
      </c>
      <c r="DV90">
        <f>IF(ISNA(DR90),NA(),INDEX(Capability!$L$5:$L$54,$B$23))</f>
        <v/>
      </c>
      <c r="DW90">
        <f>IF(OR(ISNA(DS90),ISNA(DS89)),NA(),ABS(DS90-DS89))</f>
        <v/>
      </c>
      <c r="DX90">
        <f>IF(ISNA(DR90),NA(),INDEX(Capability!$N$5:$N$54,$B$23))</f>
        <v/>
      </c>
      <c r="DY90">
        <f>IF(ISNA(DR90),NA(),IF(OR(INDEX(Capability!$Q$5:$Q$54,$B$23)="",Settings!$F$7&lt;&gt;"Y"),NA(),INDEX(Capability!$Q$5:$Q$54,$B$23)))</f>
        <v/>
      </c>
      <c r="DZ90">
        <f>IF(ISNA(DR90),NA(),IF(OR(INDEX(Capability!$P$5:$P$54,$B$23)="",Settings!$F$7&lt;&gt;"Y"),NA(),INDEX(Capability!$P$5:$P$54,$B$23)))</f>
        <v/>
      </c>
    </row>
    <row r="91">
      <c r="A91" s="35" t="inlineStr">
        <is>
          <t>mR UCL</t>
        </is>
      </c>
      <c r="B91" s="23">
        <f>INDEX(Capability!$N$5:$N$54,$B$21)</f>
        <v/>
      </c>
      <c r="CB91">
        <f>IF((CE$1+87)&gt;CC$1,NA(),(CE$1+87)-4)</f>
        <v/>
      </c>
      <c r="CC91">
        <f>IF((CE$1+87)&gt;CC$1,NA(),INDEX('Data Entry'!$H$5:$BE$10004,(CE$1+87)-4,$B$20))</f>
        <v/>
      </c>
      <c r="CD91">
        <f>IF(ISNA(CB91),NA(),INDEX(Capability!$K$5:$K$54,$B$20))</f>
        <v/>
      </c>
      <c r="CE91">
        <f>IF(ISNA(CB91),NA(),INDEX(Capability!$J$5:$J$54,$B$20))</f>
        <v/>
      </c>
      <c r="CF91">
        <f>IF(ISNA(CB91),NA(),INDEX(Capability!$L$5:$L$54,$B$20))</f>
        <v/>
      </c>
      <c r="CG91">
        <f>IF(OR(ISNA(CC91),ISNA(CC90)),NA(),ABS(CC91-CC90))</f>
        <v/>
      </c>
      <c r="CH91">
        <f>IF(ISNA(CB91),NA(),INDEX(Capability!$N$5:$N$54,$B$20))</f>
        <v/>
      </c>
      <c r="CI91">
        <f>IF(ISNA(CB91),NA(),IF(OR(INDEX(Capability!$Q$5:$Q$54,$B$20)="",Settings!$F$7&lt;&gt;"Y"),NA(),INDEX(Capability!$Q$5:$Q$54,$B$20)))</f>
        <v/>
      </c>
      <c r="CJ91">
        <f>IF(ISNA(CB91),NA(),IF(OR(INDEX(Capability!$P$5:$P$54,$B$20)="",Settings!$F$7&lt;&gt;"Y"),NA(),INDEX(Capability!$P$5:$P$54,$B$20)))</f>
        <v/>
      </c>
      <c r="CP91">
        <f>IF((CS$1+87)&gt;CQ$1,NA(),(CS$1+87)-4)</f>
        <v/>
      </c>
      <c r="CQ91">
        <f>IF((CS$1+87)&gt;CQ$1,NA(),INDEX('Data Entry'!$H$5:$BE$10004,(CS$1+87)-4,$B$21))</f>
        <v/>
      </c>
      <c r="CR91">
        <f>IF(ISNA(CP91),NA(),INDEX(Capability!$K$5:$K$54,$B$21))</f>
        <v/>
      </c>
      <c r="CS91">
        <f>IF(ISNA(CP91),NA(),INDEX(Capability!$J$5:$J$54,$B$21))</f>
        <v/>
      </c>
      <c r="CT91">
        <f>IF(ISNA(CP91),NA(),INDEX(Capability!$L$5:$L$54,$B$21))</f>
        <v/>
      </c>
      <c r="CU91">
        <f>IF(OR(ISNA(CQ91),ISNA(CQ90)),NA(),ABS(CQ91-CQ90))</f>
        <v/>
      </c>
      <c r="CV91">
        <f>IF(ISNA(CP91),NA(),INDEX(Capability!$N$5:$N$54,$B$21))</f>
        <v/>
      </c>
      <c r="CW91">
        <f>IF(ISNA(CP91),NA(),IF(OR(INDEX(Capability!$Q$5:$Q$54,$B$21)="",Settings!$F$7&lt;&gt;"Y"),NA(),INDEX(Capability!$Q$5:$Q$54,$B$21)))</f>
        <v/>
      </c>
      <c r="CX91">
        <f>IF(ISNA(CP91),NA(),IF(OR(INDEX(Capability!$P$5:$P$54,$B$21)="",Settings!$F$7&lt;&gt;"Y"),NA(),INDEX(Capability!$P$5:$P$54,$B$21)))</f>
        <v/>
      </c>
      <c r="DD91">
        <f>IF((DG$1+87)&gt;DE$1,NA(),(DG$1+87)-4)</f>
        <v/>
      </c>
      <c r="DE91">
        <f>IF((DG$1+87)&gt;DE$1,NA(),INDEX('Data Entry'!$H$5:$BE$10004,(DG$1+87)-4,$B$22))</f>
        <v/>
      </c>
      <c r="DF91">
        <f>IF(ISNA(DD91),NA(),INDEX(Capability!$K$5:$K$54,$B$22))</f>
        <v/>
      </c>
      <c r="DG91">
        <f>IF(ISNA(DD91),NA(),INDEX(Capability!$J$5:$J$54,$B$22))</f>
        <v/>
      </c>
      <c r="DH91">
        <f>IF(ISNA(DD91),NA(),INDEX(Capability!$L$5:$L$54,$B$22))</f>
        <v/>
      </c>
      <c r="DI91">
        <f>IF(OR(ISNA(DE91),ISNA(DE90)),NA(),ABS(DE91-DE90))</f>
        <v/>
      </c>
      <c r="DJ91">
        <f>IF(ISNA(DD91),NA(),INDEX(Capability!$N$5:$N$54,$B$22))</f>
        <v/>
      </c>
      <c r="DK91">
        <f>IF(ISNA(DD91),NA(),IF(OR(INDEX(Capability!$Q$5:$Q$54,$B$22)="",Settings!$F$7&lt;&gt;"Y"),NA(),INDEX(Capability!$Q$5:$Q$54,$B$22)))</f>
        <v/>
      </c>
      <c r="DL91">
        <f>IF(ISNA(DD91),NA(),IF(OR(INDEX(Capability!$P$5:$P$54,$B$22)="",Settings!$F$7&lt;&gt;"Y"),NA(),INDEX(Capability!$P$5:$P$54,$B$22)))</f>
        <v/>
      </c>
      <c r="DR91">
        <f>IF((DU$1+87)&gt;DS$1,NA(),(DU$1+87)-4)</f>
        <v/>
      </c>
      <c r="DS91">
        <f>IF((DU$1+87)&gt;DS$1,NA(),INDEX('Data Entry'!$H$5:$BE$10004,(DU$1+87)-4,$B$23))</f>
        <v/>
      </c>
      <c r="DT91">
        <f>IF(ISNA(DR91),NA(),INDEX(Capability!$K$5:$K$54,$B$23))</f>
        <v/>
      </c>
      <c r="DU91">
        <f>IF(ISNA(DR91),NA(),INDEX(Capability!$J$5:$J$54,$B$23))</f>
        <v/>
      </c>
      <c r="DV91">
        <f>IF(ISNA(DR91),NA(),INDEX(Capability!$L$5:$L$54,$B$23))</f>
        <v/>
      </c>
      <c r="DW91">
        <f>IF(OR(ISNA(DS91),ISNA(DS90)),NA(),ABS(DS91-DS90))</f>
        <v/>
      </c>
      <c r="DX91">
        <f>IF(ISNA(DR91),NA(),INDEX(Capability!$N$5:$N$54,$B$23))</f>
        <v/>
      </c>
      <c r="DY91">
        <f>IF(ISNA(DR91),NA(),IF(OR(INDEX(Capability!$Q$5:$Q$54,$B$23)="",Settings!$F$7&lt;&gt;"Y"),NA(),INDEX(Capability!$Q$5:$Q$54,$B$23)))</f>
        <v/>
      </c>
      <c r="DZ91">
        <f>IF(ISNA(DR91),NA(),IF(OR(INDEX(Capability!$P$5:$P$54,$B$23)="",Settings!$F$7&lt;&gt;"Y"),NA(),INDEX(Capability!$P$5:$P$54,$B$23)))</f>
        <v/>
      </c>
    </row>
    <row r="92">
      <c r="A92" s="37" t="inlineStr">
        <is>
          <t>SPECIFICATION</t>
        </is>
      </c>
      <c r="B92" s="28" t="n"/>
      <c r="CB92">
        <f>IF((CE$1+88)&gt;CC$1,NA(),(CE$1+88)-4)</f>
        <v/>
      </c>
      <c r="CC92">
        <f>IF((CE$1+88)&gt;CC$1,NA(),INDEX('Data Entry'!$H$5:$BE$10004,(CE$1+88)-4,$B$20))</f>
        <v/>
      </c>
      <c r="CD92">
        <f>IF(ISNA(CB92),NA(),INDEX(Capability!$K$5:$K$54,$B$20))</f>
        <v/>
      </c>
      <c r="CE92">
        <f>IF(ISNA(CB92),NA(),INDEX(Capability!$J$5:$J$54,$B$20))</f>
        <v/>
      </c>
      <c r="CF92">
        <f>IF(ISNA(CB92),NA(),INDEX(Capability!$L$5:$L$54,$B$20))</f>
        <v/>
      </c>
      <c r="CG92">
        <f>IF(OR(ISNA(CC92),ISNA(CC91)),NA(),ABS(CC92-CC91))</f>
        <v/>
      </c>
      <c r="CH92">
        <f>IF(ISNA(CB92),NA(),INDEX(Capability!$N$5:$N$54,$B$20))</f>
        <v/>
      </c>
      <c r="CI92">
        <f>IF(ISNA(CB92),NA(),IF(OR(INDEX(Capability!$Q$5:$Q$54,$B$20)="",Settings!$F$7&lt;&gt;"Y"),NA(),INDEX(Capability!$Q$5:$Q$54,$B$20)))</f>
        <v/>
      </c>
      <c r="CJ92">
        <f>IF(ISNA(CB92),NA(),IF(OR(INDEX(Capability!$P$5:$P$54,$B$20)="",Settings!$F$7&lt;&gt;"Y"),NA(),INDEX(Capability!$P$5:$P$54,$B$20)))</f>
        <v/>
      </c>
      <c r="CP92">
        <f>IF((CS$1+88)&gt;CQ$1,NA(),(CS$1+88)-4)</f>
        <v/>
      </c>
      <c r="CQ92">
        <f>IF((CS$1+88)&gt;CQ$1,NA(),INDEX('Data Entry'!$H$5:$BE$10004,(CS$1+88)-4,$B$21))</f>
        <v/>
      </c>
      <c r="CR92">
        <f>IF(ISNA(CP92),NA(),INDEX(Capability!$K$5:$K$54,$B$21))</f>
        <v/>
      </c>
      <c r="CS92">
        <f>IF(ISNA(CP92),NA(),INDEX(Capability!$J$5:$J$54,$B$21))</f>
        <v/>
      </c>
      <c r="CT92">
        <f>IF(ISNA(CP92),NA(),INDEX(Capability!$L$5:$L$54,$B$21))</f>
        <v/>
      </c>
      <c r="CU92">
        <f>IF(OR(ISNA(CQ92),ISNA(CQ91)),NA(),ABS(CQ92-CQ91))</f>
        <v/>
      </c>
      <c r="CV92">
        <f>IF(ISNA(CP92),NA(),INDEX(Capability!$N$5:$N$54,$B$21))</f>
        <v/>
      </c>
      <c r="CW92">
        <f>IF(ISNA(CP92),NA(),IF(OR(INDEX(Capability!$Q$5:$Q$54,$B$21)="",Settings!$F$7&lt;&gt;"Y"),NA(),INDEX(Capability!$Q$5:$Q$54,$B$21)))</f>
        <v/>
      </c>
      <c r="CX92">
        <f>IF(ISNA(CP92),NA(),IF(OR(INDEX(Capability!$P$5:$P$54,$B$21)="",Settings!$F$7&lt;&gt;"Y"),NA(),INDEX(Capability!$P$5:$P$54,$B$21)))</f>
        <v/>
      </c>
      <c r="DD92">
        <f>IF((DG$1+88)&gt;DE$1,NA(),(DG$1+88)-4)</f>
        <v/>
      </c>
      <c r="DE92">
        <f>IF((DG$1+88)&gt;DE$1,NA(),INDEX('Data Entry'!$H$5:$BE$10004,(DG$1+88)-4,$B$22))</f>
        <v/>
      </c>
      <c r="DF92">
        <f>IF(ISNA(DD92),NA(),INDEX(Capability!$K$5:$K$54,$B$22))</f>
        <v/>
      </c>
      <c r="DG92">
        <f>IF(ISNA(DD92),NA(),INDEX(Capability!$J$5:$J$54,$B$22))</f>
        <v/>
      </c>
      <c r="DH92">
        <f>IF(ISNA(DD92),NA(),INDEX(Capability!$L$5:$L$54,$B$22))</f>
        <v/>
      </c>
      <c r="DI92">
        <f>IF(OR(ISNA(DE92),ISNA(DE91)),NA(),ABS(DE92-DE91))</f>
        <v/>
      </c>
      <c r="DJ92">
        <f>IF(ISNA(DD92),NA(),INDEX(Capability!$N$5:$N$54,$B$22))</f>
        <v/>
      </c>
      <c r="DK92">
        <f>IF(ISNA(DD92),NA(),IF(OR(INDEX(Capability!$Q$5:$Q$54,$B$22)="",Settings!$F$7&lt;&gt;"Y"),NA(),INDEX(Capability!$Q$5:$Q$54,$B$22)))</f>
        <v/>
      </c>
      <c r="DL92">
        <f>IF(ISNA(DD92),NA(),IF(OR(INDEX(Capability!$P$5:$P$54,$B$22)="",Settings!$F$7&lt;&gt;"Y"),NA(),INDEX(Capability!$P$5:$P$54,$B$22)))</f>
        <v/>
      </c>
      <c r="DR92">
        <f>IF((DU$1+88)&gt;DS$1,NA(),(DU$1+88)-4)</f>
        <v/>
      </c>
      <c r="DS92">
        <f>IF((DU$1+88)&gt;DS$1,NA(),INDEX('Data Entry'!$H$5:$BE$10004,(DU$1+88)-4,$B$23))</f>
        <v/>
      </c>
      <c r="DT92">
        <f>IF(ISNA(DR92),NA(),INDEX(Capability!$K$5:$K$54,$B$23))</f>
        <v/>
      </c>
      <c r="DU92">
        <f>IF(ISNA(DR92),NA(),INDEX(Capability!$J$5:$J$54,$B$23))</f>
        <v/>
      </c>
      <c r="DV92">
        <f>IF(ISNA(DR92),NA(),INDEX(Capability!$L$5:$L$54,$B$23))</f>
        <v/>
      </c>
      <c r="DW92">
        <f>IF(OR(ISNA(DS92),ISNA(DS91)),NA(),ABS(DS92-DS91))</f>
        <v/>
      </c>
      <c r="DX92">
        <f>IF(ISNA(DR92),NA(),INDEX(Capability!$N$5:$N$54,$B$23))</f>
        <v/>
      </c>
      <c r="DY92">
        <f>IF(ISNA(DR92),NA(),IF(OR(INDEX(Capability!$Q$5:$Q$54,$B$23)="",Settings!$F$7&lt;&gt;"Y"),NA(),INDEX(Capability!$Q$5:$Q$54,$B$23)))</f>
        <v/>
      </c>
      <c r="DZ92">
        <f>IF(ISNA(DR92),NA(),IF(OR(INDEX(Capability!$P$5:$P$54,$B$23)="",Settings!$F$7&lt;&gt;"Y"),NA(),INDEX(Capability!$P$5:$P$54,$B$23)))</f>
        <v/>
      </c>
    </row>
    <row r="93">
      <c r="A93" s="35" t="inlineStr">
        <is>
          <t>USL</t>
        </is>
      </c>
      <c r="B93" s="23">
        <f>INDEX(Capability!$Q$5:$Q$54,$B$21)</f>
        <v/>
      </c>
      <c r="CB93">
        <f>IF((CE$1+89)&gt;CC$1,NA(),(CE$1+89)-4)</f>
        <v/>
      </c>
      <c r="CC93">
        <f>IF((CE$1+89)&gt;CC$1,NA(),INDEX('Data Entry'!$H$5:$BE$10004,(CE$1+89)-4,$B$20))</f>
        <v/>
      </c>
      <c r="CD93">
        <f>IF(ISNA(CB93),NA(),INDEX(Capability!$K$5:$K$54,$B$20))</f>
        <v/>
      </c>
      <c r="CE93">
        <f>IF(ISNA(CB93),NA(),INDEX(Capability!$J$5:$J$54,$B$20))</f>
        <v/>
      </c>
      <c r="CF93">
        <f>IF(ISNA(CB93),NA(),INDEX(Capability!$L$5:$L$54,$B$20))</f>
        <v/>
      </c>
      <c r="CG93">
        <f>IF(OR(ISNA(CC93),ISNA(CC92)),NA(),ABS(CC93-CC92))</f>
        <v/>
      </c>
      <c r="CH93">
        <f>IF(ISNA(CB93),NA(),INDEX(Capability!$N$5:$N$54,$B$20))</f>
        <v/>
      </c>
      <c r="CI93">
        <f>IF(ISNA(CB93),NA(),IF(OR(INDEX(Capability!$Q$5:$Q$54,$B$20)="",Settings!$F$7&lt;&gt;"Y"),NA(),INDEX(Capability!$Q$5:$Q$54,$B$20)))</f>
        <v/>
      </c>
      <c r="CJ93">
        <f>IF(ISNA(CB93),NA(),IF(OR(INDEX(Capability!$P$5:$P$54,$B$20)="",Settings!$F$7&lt;&gt;"Y"),NA(),INDEX(Capability!$P$5:$P$54,$B$20)))</f>
        <v/>
      </c>
      <c r="CP93">
        <f>IF((CS$1+89)&gt;CQ$1,NA(),(CS$1+89)-4)</f>
        <v/>
      </c>
      <c r="CQ93">
        <f>IF((CS$1+89)&gt;CQ$1,NA(),INDEX('Data Entry'!$H$5:$BE$10004,(CS$1+89)-4,$B$21))</f>
        <v/>
      </c>
      <c r="CR93">
        <f>IF(ISNA(CP93),NA(),INDEX(Capability!$K$5:$K$54,$B$21))</f>
        <v/>
      </c>
      <c r="CS93">
        <f>IF(ISNA(CP93),NA(),INDEX(Capability!$J$5:$J$54,$B$21))</f>
        <v/>
      </c>
      <c r="CT93">
        <f>IF(ISNA(CP93),NA(),INDEX(Capability!$L$5:$L$54,$B$21))</f>
        <v/>
      </c>
      <c r="CU93">
        <f>IF(OR(ISNA(CQ93),ISNA(CQ92)),NA(),ABS(CQ93-CQ92))</f>
        <v/>
      </c>
      <c r="CV93">
        <f>IF(ISNA(CP93),NA(),INDEX(Capability!$N$5:$N$54,$B$21))</f>
        <v/>
      </c>
      <c r="CW93">
        <f>IF(ISNA(CP93),NA(),IF(OR(INDEX(Capability!$Q$5:$Q$54,$B$21)="",Settings!$F$7&lt;&gt;"Y"),NA(),INDEX(Capability!$Q$5:$Q$54,$B$21)))</f>
        <v/>
      </c>
      <c r="CX93">
        <f>IF(ISNA(CP93),NA(),IF(OR(INDEX(Capability!$P$5:$P$54,$B$21)="",Settings!$F$7&lt;&gt;"Y"),NA(),INDEX(Capability!$P$5:$P$54,$B$21)))</f>
        <v/>
      </c>
      <c r="DD93">
        <f>IF((DG$1+89)&gt;DE$1,NA(),(DG$1+89)-4)</f>
        <v/>
      </c>
      <c r="DE93">
        <f>IF((DG$1+89)&gt;DE$1,NA(),INDEX('Data Entry'!$H$5:$BE$10004,(DG$1+89)-4,$B$22))</f>
        <v/>
      </c>
      <c r="DF93">
        <f>IF(ISNA(DD93),NA(),INDEX(Capability!$K$5:$K$54,$B$22))</f>
        <v/>
      </c>
      <c r="DG93">
        <f>IF(ISNA(DD93),NA(),INDEX(Capability!$J$5:$J$54,$B$22))</f>
        <v/>
      </c>
      <c r="DH93">
        <f>IF(ISNA(DD93),NA(),INDEX(Capability!$L$5:$L$54,$B$22))</f>
        <v/>
      </c>
      <c r="DI93">
        <f>IF(OR(ISNA(DE93),ISNA(DE92)),NA(),ABS(DE93-DE92))</f>
        <v/>
      </c>
      <c r="DJ93">
        <f>IF(ISNA(DD93),NA(),INDEX(Capability!$N$5:$N$54,$B$22))</f>
        <v/>
      </c>
      <c r="DK93">
        <f>IF(ISNA(DD93),NA(),IF(OR(INDEX(Capability!$Q$5:$Q$54,$B$22)="",Settings!$F$7&lt;&gt;"Y"),NA(),INDEX(Capability!$Q$5:$Q$54,$B$22)))</f>
        <v/>
      </c>
      <c r="DL93">
        <f>IF(ISNA(DD93),NA(),IF(OR(INDEX(Capability!$P$5:$P$54,$B$22)="",Settings!$F$7&lt;&gt;"Y"),NA(),INDEX(Capability!$P$5:$P$54,$B$22)))</f>
        <v/>
      </c>
      <c r="DR93">
        <f>IF((DU$1+89)&gt;DS$1,NA(),(DU$1+89)-4)</f>
        <v/>
      </c>
      <c r="DS93">
        <f>IF((DU$1+89)&gt;DS$1,NA(),INDEX('Data Entry'!$H$5:$BE$10004,(DU$1+89)-4,$B$23))</f>
        <v/>
      </c>
      <c r="DT93">
        <f>IF(ISNA(DR93),NA(),INDEX(Capability!$K$5:$K$54,$B$23))</f>
        <v/>
      </c>
      <c r="DU93">
        <f>IF(ISNA(DR93),NA(),INDEX(Capability!$J$5:$J$54,$B$23))</f>
        <v/>
      </c>
      <c r="DV93">
        <f>IF(ISNA(DR93),NA(),INDEX(Capability!$L$5:$L$54,$B$23))</f>
        <v/>
      </c>
      <c r="DW93">
        <f>IF(OR(ISNA(DS93),ISNA(DS92)),NA(),ABS(DS93-DS92))</f>
        <v/>
      </c>
      <c r="DX93">
        <f>IF(ISNA(DR93),NA(),INDEX(Capability!$N$5:$N$54,$B$23))</f>
        <v/>
      </c>
      <c r="DY93">
        <f>IF(ISNA(DR93),NA(),IF(OR(INDEX(Capability!$Q$5:$Q$54,$B$23)="",Settings!$F$7&lt;&gt;"Y"),NA(),INDEX(Capability!$Q$5:$Q$54,$B$23)))</f>
        <v/>
      </c>
      <c r="DZ93">
        <f>IF(ISNA(DR93),NA(),IF(OR(INDEX(Capability!$P$5:$P$54,$B$23)="",Settings!$F$7&lt;&gt;"Y"),NA(),INDEX(Capability!$P$5:$P$54,$B$23)))</f>
        <v/>
      </c>
    </row>
    <row r="94">
      <c r="A94" s="35" t="inlineStr">
        <is>
          <t>Nominal</t>
        </is>
      </c>
      <c r="B94" s="23">
        <f>INDEX(Capability!$O$5:$O$54,$B$21)</f>
        <v/>
      </c>
      <c r="CB94">
        <f>IF((CE$1+90)&gt;CC$1,NA(),(CE$1+90)-4)</f>
        <v/>
      </c>
      <c r="CC94">
        <f>IF((CE$1+90)&gt;CC$1,NA(),INDEX('Data Entry'!$H$5:$BE$10004,(CE$1+90)-4,$B$20))</f>
        <v/>
      </c>
      <c r="CD94">
        <f>IF(ISNA(CB94),NA(),INDEX(Capability!$K$5:$K$54,$B$20))</f>
        <v/>
      </c>
      <c r="CE94">
        <f>IF(ISNA(CB94),NA(),INDEX(Capability!$J$5:$J$54,$B$20))</f>
        <v/>
      </c>
      <c r="CF94">
        <f>IF(ISNA(CB94),NA(),INDEX(Capability!$L$5:$L$54,$B$20))</f>
        <v/>
      </c>
      <c r="CG94">
        <f>IF(OR(ISNA(CC94),ISNA(CC93)),NA(),ABS(CC94-CC93))</f>
        <v/>
      </c>
      <c r="CH94">
        <f>IF(ISNA(CB94),NA(),INDEX(Capability!$N$5:$N$54,$B$20))</f>
        <v/>
      </c>
      <c r="CI94">
        <f>IF(ISNA(CB94),NA(),IF(OR(INDEX(Capability!$Q$5:$Q$54,$B$20)="",Settings!$F$7&lt;&gt;"Y"),NA(),INDEX(Capability!$Q$5:$Q$54,$B$20)))</f>
        <v/>
      </c>
      <c r="CJ94">
        <f>IF(ISNA(CB94),NA(),IF(OR(INDEX(Capability!$P$5:$P$54,$B$20)="",Settings!$F$7&lt;&gt;"Y"),NA(),INDEX(Capability!$P$5:$P$54,$B$20)))</f>
        <v/>
      </c>
      <c r="CP94">
        <f>IF((CS$1+90)&gt;CQ$1,NA(),(CS$1+90)-4)</f>
        <v/>
      </c>
      <c r="CQ94">
        <f>IF((CS$1+90)&gt;CQ$1,NA(),INDEX('Data Entry'!$H$5:$BE$10004,(CS$1+90)-4,$B$21))</f>
        <v/>
      </c>
      <c r="CR94">
        <f>IF(ISNA(CP94),NA(),INDEX(Capability!$K$5:$K$54,$B$21))</f>
        <v/>
      </c>
      <c r="CS94">
        <f>IF(ISNA(CP94),NA(),INDEX(Capability!$J$5:$J$54,$B$21))</f>
        <v/>
      </c>
      <c r="CT94">
        <f>IF(ISNA(CP94),NA(),INDEX(Capability!$L$5:$L$54,$B$21))</f>
        <v/>
      </c>
      <c r="CU94">
        <f>IF(OR(ISNA(CQ94),ISNA(CQ93)),NA(),ABS(CQ94-CQ93))</f>
        <v/>
      </c>
      <c r="CV94">
        <f>IF(ISNA(CP94),NA(),INDEX(Capability!$N$5:$N$54,$B$21))</f>
        <v/>
      </c>
      <c r="CW94">
        <f>IF(ISNA(CP94),NA(),IF(OR(INDEX(Capability!$Q$5:$Q$54,$B$21)="",Settings!$F$7&lt;&gt;"Y"),NA(),INDEX(Capability!$Q$5:$Q$54,$B$21)))</f>
        <v/>
      </c>
      <c r="CX94">
        <f>IF(ISNA(CP94),NA(),IF(OR(INDEX(Capability!$P$5:$P$54,$B$21)="",Settings!$F$7&lt;&gt;"Y"),NA(),INDEX(Capability!$P$5:$P$54,$B$21)))</f>
        <v/>
      </c>
      <c r="DD94">
        <f>IF((DG$1+90)&gt;DE$1,NA(),(DG$1+90)-4)</f>
        <v/>
      </c>
      <c r="DE94">
        <f>IF((DG$1+90)&gt;DE$1,NA(),INDEX('Data Entry'!$H$5:$BE$10004,(DG$1+90)-4,$B$22))</f>
        <v/>
      </c>
      <c r="DF94">
        <f>IF(ISNA(DD94),NA(),INDEX(Capability!$K$5:$K$54,$B$22))</f>
        <v/>
      </c>
      <c r="DG94">
        <f>IF(ISNA(DD94),NA(),INDEX(Capability!$J$5:$J$54,$B$22))</f>
        <v/>
      </c>
      <c r="DH94">
        <f>IF(ISNA(DD94),NA(),INDEX(Capability!$L$5:$L$54,$B$22))</f>
        <v/>
      </c>
      <c r="DI94">
        <f>IF(OR(ISNA(DE94),ISNA(DE93)),NA(),ABS(DE94-DE93))</f>
        <v/>
      </c>
      <c r="DJ94">
        <f>IF(ISNA(DD94),NA(),INDEX(Capability!$N$5:$N$54,$B$22))</f>
        <v/>
      </c>
      <c r="DK94">
        <f>IF(ISNA(DD94),NA(),IF(OR(INDEX(Capability!$Q$5:$Q$54,$B$22)="",Settings!$F$7&lt;&gt;"Y"),NA(),INDEX(Capability!$Q$5:$Q$54,$B$22)))</f>
        <v/>
      </c>
      <c r="DL94">
        <f>IF(ISNA(DD94),NA(),IF(OR(INDEX(Capability!$P$5:$P$54,$B$22)="",Settings!$F$7&lt;&gt;"Y"),NA(),INDEX(Capability!$P$5:$P$54,$B$22)))</f>
        <v/>
      </c>
      <c r="DR94">
        <f>IF((DU$1+90)&gt;DS$1,NA(),(DU$1+90)-4)</f>
        <v/>
      </c>
      <c r="DS94">
        <f>IF((DU$1+90)&gt;DS$1,NA(),INDEX('Data Entry'!$H$5:$BE$10004,(DU$1+90)-4,$B$23))</f>
        <v/>
      </c>
      <c r="DT94">
        <f>IF(ISNA(DR94),NA(),INDEX(Capability!$K$5:$K$54,$B$23))</f>
        <v/>
      </c>
      <c r="DU94">
        <f>IF(ISNA(DR94),NA(),INDEX(Capability!$J$5:$J$54,$B$23))</f>
        <v/>
      </c>
      <c r="DV94">
        <f>IF(ISNA(DR94),NA(),INDEX(Capability!$L$5:$L$54,$B$23))</f>
        <v/>
      </c>
      <c r="DW94">
        <f>IF(OR(ISNA(DS94),ISNA(DS93)),NA(),ABS(DS94-DS93))</f>
        <v/>
      </c>
      <c r="DX94">
        <f>IF(ISNA(DR94),NA(),INDEX(Capability!$N$5:$N$54,$B$23))</f>
        <v/>
      </c>
      <c r="DY94">
        <f>IF(ISNA(DR94),NA(),IF(OR(INDEX(Capability!$Q$5:$Q$54,$B$23)="",Settings!$F$7&lt;&gt;"Y"),NA(),INDEX(Capability!$Q$5:$Q$54,$B$23)))</f>
        <v/>
      </c>
      <c r="DZ94">
        <f>IF(ISNA(DR94),NA(),IF(OR(INDEX(Capability!$P$5:$P$54,$B$23)="",Settings!$F$7&lt;&gt;"Y"),NA(),INDEX(Capability!$P$5:$P$54,$B$23)))</f>
        <v/>
      </c>
    </row>
    <row r="95">
      <c r="A95" s="35" t="inlineStr">
        <is>
          <t>LSL</t>
        </is>
      </c>
      <c r="B95" s="23">
        <f>INDEX(Capability!$P$5:$P$54,$B$21)</f>
        <v/>
      </c>
      <c r="CB95">
        <f>IF((CE$1+91)&gt;CC$1,NA(),(CE$1+91)-4)</f>
        <v/>
      </c>
      <c r="CC95">
        <f>IF((CE$1+91)&gt;CC$1,NA(),INDEX('Data Entry'!$H$5:$BE$10004,(CE$1+91)-4,$B$20))</f>
        <v/>
      </c>
      <c r="CD95">
        <f>IF(ISNA(CB95),NA(),INDEX(Capability!$K$5:$K$54,$B$20))</f>
        <v/>
      </c>
      <c r="CE95">
        <f>IF(ISNA(CB95),NA(),INDEX(Capability!$J$5:$J$54,$B$20))</f>
        <v/>
      </c>
      <c r="CF95">
        <f>IF(ISNA(CB95),NA(),INDEX(Capability!$L$5:$L$54,$B$20))</f>
        <v/>
      </c>
      <c r="CG95">
        <f>IF(OR(ISNA(CC95),ISNA(CC94)),NA(),ABS(CC95-CC94))</f>
        <v/>
      </c>
      <c r="CH95">
        <f>IF(ISNA(CB95),NA(),INDEX(Capability!$N$5:$N$54,$B$20))</f>
        <v/>
      </c>
      <c r="CI95">
        <f>IF(ISNA(CB95),NA(),IF(OR(INDEX(Capability!$Q$5:$Q$54,$B$20)="",Settings!$F$7&lt;&gt;"Y"),NA(),INDEX(Capability!$Q$5:$Q$54,$B$20)))</f>
        <v/>
      </c>
      <c r="CJ95">
        <f>IF(ISNA(CB95),NA(),IF(OR(INDEX(Capability!$P$5:$P$54,$B$20)="",Settings!$F$7&lt;&gt;"Y"),NA(),INDEX(Capability!$P$5:$P$54,$B$20)))</f>
        <v/>
      </c>
      <c r="CP95">
        <f>IF((CS$1+91)&gt;CQ$1,NA(),(CS$1+91)-4)</f>
        <v/>
      </c>
      <c r="CQ95">
        <f>IF((CS$1+91)&gt;CQ$1,NA(),INDEX('Data Entry'!$H$5:$BE$10004,(CS$1+91)-4,$B$21))</f>
        <v/>
      </c>
      <c r="CR95">
        <f>IF(ISNA(CP95),NA(),INDEX(Capability!$K$5:$K$54,$B$21))</f>
        <v/>
      </c>
      <c r="CS95">
        <f>IF(ISNA(CP95),NA(),INDEX(Capability!$J$5:$J$54,$B$21))</f>
        <v/>
      </c>
      <c r="CT95">
        <f>IF(ISNA(CP95),NA(),INDEX(Capability!$L$5:$L$54,$B$21))</f>
        <v/>
      </c>
      <c r="CU95">
        <f>IF(OR(ISNA(CQ95),ISNA(CQ94)),NA(),ABS(CQ95-CQ94))</f>
        <v/>
      </c>
      <c r="CV95">
        <f>IF(ISNA(CP95),NA(),INDEX(Capability!$N$5:$N$54,$B$21))</f>
        <v/>
      </c>
      <c r="CW95">
        <f>IF(ISNA(CP95),NA(),IF(OR(INDEX(Capability!$Q$5:$Q$54,$B$21)="",Settings!$F$7&lt;&gt;"Y"),NA(),INDEX(Capability!$Q$5:$Q$54,$B$21)))</f>
        <v/>
      </c>
      <c r="CX95">
        <f>IF(ISNA(CP95),NA(),IF(OR(INDEX(Capability!$P$5:$P$54,$B$21)="",Settings!$F$7&lt;&gt;"Y"),NA(),INDEX(Capability!$P$5:$P$54,$B$21)))</f>
        <v/>
      </c>
      <c r="DD95">
        <f>IF((DG$1+91)&gt;DE$1,NA(),(DG$1+91)-4)</f>
        <v/>
      </c>
      <c r="DE95">
        <f>IF((DG$1+91)&gt;DE$1,NA(),INDEX('Data Entry'!$H$5:$BE$10004,(DG$1+91)-4,$B$22))</f>
        <v/>
      </c>
      <c r="DF95">
        <f>IF(ISNA(DD95),NA(),INDEX(Capability!$K$5:$K$54,$B$22))</f>
        <v/>
      </c>
      <c r="DG95">
        <f>IF(ISNA(DD95),NA(),INDEX(Capability!$J$5:$J$54,$B$22))</f>
        <v/>
      </c>
      <c r="DH95">
        <f>IF(ISNA(DD95),NA(),INDEX(Capability!$L$5:$L$54,$B$22))</f>
        <v/>
      </c>
      <c r="DI95">
        <f>IF(OR(ISNA(DE95),ISNA(DE94)),NA(),ABS(DE95-DE94))</f>
        <v/>
      </c>
      <c r="DJ95">
        <f>IF(ISNA(DD95),NA(),INDEX(Capability!$N$5:$N$54,$B$22))</f>
        <v/>
      </c>
      <c r="DK95">
        <f>IF(ISNA(DD95),NA(),IF(OR(INDEX(Capability!$Q$5:$Q$54,$B$22)="",Settings!$F$7&lt;&gt;"Y"),NA(),INDEX(Capability!$Q$5:$Q$54,$B$22)))</f>
        <v/>
      </c>
      <c r="DL95">
        <f>IF(ISNA(DD95),NA(),IF(OR(INDEX(Capability!$P$5:$P$54,$B$22)="",Settings!$F$7&lt;&gt;"Y"),NA(),INDEX(Capability!$P$5:$P$54,$B$22)))</f>
        <v/>
      </c>
      <c r="DR95">
        <f>IF((DU$1+91)&gt;DS$1,NA(),(DU$1+91)-4)</f>
        <v/>
      </c>
      <c r="DS95">
        <f>IF((DU$1+91)&gt;DS$1,NA(),INDEX('Data Entry'!$H$5:$BE$10004,(DU$1+91)-4,$B$23))</f>
        <v/>
      </c>
      <c r="DT95">
        <f>IF(ISNA(DR95),NA(),INDEX(Capability!$K$5:$K$54,$B$23))</f>
        <v/>
      </c>
      <c r="DU95">
        <f>IF(ISNA(DR95),NA(),INDEX(Capability!$J$5:$J$54,$B$23))</f>
        <v/>
      </c>
      <c r="DV95">
        <f>IF(ISNA(DR95),NA(),INDEX(Capability!$L$5:$L$54,$B$23))</f>
        <v/>
      </c>
      <c r="DW95">
        <f>IF(OR(ISNA(DS95),ISNA(DS94)),NA(),ABS(DS95-DS94))</f>
        <v/>
      </c>
      <c r="DX95">
        <f>IF(ISNA(DR95),NA(),INDEX(Capability!$N$5:$N$54,$B$23))</f>
        <v/>
      </c>
      <c r="DY95">
        <f>IF(ISNA(DR95),NA(),IF(OR(INDEX(Capability!$Q$5:$Q$54,$B$23)="",Settings!$F$7&lt;&gt;"Y"),NA(),INDEX(Capability!$Q$5:$Q$54,$B$23)))</f>
        <v/>
      </c>
      <c r="DZ95">
        <f>IF(ISNA(DR95),NA(),IF(OR(INDEX(Capability!$P$5:$P$54,$B$23)="",Settings!$F$7&lt;&gt;"Y"),NA(),INDEX(Capability!$P$5:$P$54,$B$23)))</f>
        <v/>
      </c>
    </row>
    <row r="96">
      <c r="A96" s="37" t="inlineStr">
        <is>
          <t>CAPABILITY</t>
        </is>
      </c>
      <c r="B96" s="28" t="n"/>
      <c r="CB96">
        <f>IF((CE$1+92)&gt;CC$1,NA(),(CE$1+92)-4)</f>
        <v/>
      </c>
      <c r="CC96">
        <f>IF((CE$1+92)&gt;CC$1,NA(),INDEX('Data Entry'!$H$5:$BE$10004,(CE$1+92)-4,$B$20))</f>
        <v/>
      </c>
      <c r="CD96">
        <f>IF(ISNA(CB96),NA(),INDEX(Capability!$K$5:$K$54,$B$20))</f>
        <v/>
      </c>
      <c r="CE96">
        <f>IF(ISNA(CB96),NA(),INDEX(Capability!$J$5:$J$54,$B$20))</f>
        <v/>
      </c>
      <c r="CF96">
        <f>IF(ISNA(CB96),NA(),INDEX(Capability!$L$5:$L$54,$B$20))</f>
        <v/>
      </c>
      <c r="CG96">
        <f>IF(OR(ISNA(CC96),ISNA(CC95)),NA(),ABS(CC96-CC95))</f>
        <v/>
      </c>
      <c r="CH96">
        <f>IF(ISNA(CB96),NA(),INDEX(Capability!$N$5:$N$54,$B$20))</f>
        <v/>
      </c>
      <c r="CI96">
        <f>IF(ISNA(CB96),NA(),IF(OR(INDEX(Capability!$Q$5:$Q$54,$B$20)="",Settings!$F$7&lt;&gt;"Y"),NA(),INDEX(Capability!$Q$5:$Q$54,$B$20)))</f>
        <v/>
      </c>
      <c r="CJ96">
        <f>IF(ISNA(CB96),NA(),IF(OR(INDEX(Capability!$P$5:$P$54,$B$20)="",Settings!$F$7&lt;&gt;"Y"),NA(),INDEX(Capability!$P$5:$P$54,$B$20)))</f>
        <v/>
      </c>
      <c r="CP96">
        <f>IF((CS$1+92)&gt;CQ$1,NA(),(CS$1+92)-4)</f>
        <v/>
      </c>
      <c r="CQ96">
        <f>IF((CS$1+92)&gt;CQ$1,NA(),INDEX('Data Entry'!$H$5:$BE$10004,(CS$1+92)-4,$B$21))</f>
        <v/>
      </c>
      <c r="CR96">
        <f>IF(ISNA(CP96),NA(),INDEX(Capability!$K$5:$K$54,$B$21))</f>
        <v/>
      </c>
      <c r="CS96">
        <f>IF(ISNA(CP96),NA(),INDEX(Capability!$J$5:$J$54,$B$21))</f>
        <v/>
      </c>
      <c r="CT96">
        <f>IF(ISNA(CP96),NA(),INDEX(Capability!$L$5:$L$54,$B$21))</f>
        <v/>
      </c>
      <c r="CU96">
        <f>IF(OR(ISNA(CQ96),ISNA(CQ95)),NA(),ABS(CQ96-CQ95))</f>
        <v/>
      </c>
      <c r="CV96">
        <f>IF(ISNA(CP96),NA(),INDEX(Capability!$N$5:$N$54,$B$21))</f>
        <v/>
      </c>
      <c r="CW96">
        <f>IF(ISNA(CP96),NA(),IF(OR(INDEX(Capability!$Q$5:$Q$54,$B$21)="",Settings!$F$7&lt;&gt;"Y"),NA(),INDEX(Capability!$Q$5:$Q$54,$B$21)))</f>
        <v/>
      </c>
      <c r="CX96">
        <f>IF(ISNA(CP96),NA(),IF(OR(INDEX(Capability!$P$5:$P$54,$B$21)="",Settings!$F$7&lt;&gt;"Y"),NA(),INDEX(Capability!$P$5:$P$54,$B$21)))</f>
        <v/>
      </c>
      <c r="DD96">
        <f>IF((DG$1+92)&gt;DE$1,NA(),(DG$1+92)-4)</f>
        <v/>
      </c>
      <c r="DE96">
        <f>IF((DG$1+92)&gt;DE$1,NA(),INDEX('Data Entry'!$H$5:$BE$10004,(DG$1+92)-4,$B$22))</f>
        <v/>
      </c>
      <c r="DF96">
        <f>IF(ISNA(DD96),NA(),INDEX(Capability!$K$5:$K$54,$B$22))</f>
        <v/>
      </c>
      <c r="DG96">
        <f>IF(ISNA(DD96),NA(),INDEX(Capability!$J$5:$J$54,$B$22))</f>
        <v/>
      </c>
      <c r="DH96">
        <f>IF(ISNA(DD96),NA(),INDEX(Capability!$L$5:$L$54,$B$22))</f>
        <v/>
      </c>
      <c r="DI96">
        <f>IF(OR(ISNA(DE96),ISNA(DE95)),NA(),ABS(DE96-DE95))</f>
        <v/>
      </c>
      <c r="DJ96">
        <f>IF(ISNA(DD96),NA(),INDEX(Capability!$N$5:$N$54,$B$22))</f>
        <v/>
      </c>
      <c r="DK96">
        <f>IF(ISNA(DD96),NA(),IF(OR(INDEX(Capability!$Q$5:$Q$54,$B$22)="",Settings!$F$7&lt;&gt;"Y"),NA(),INDEX(Capability!$Q$5:$Q$54,$B$22)))</f>
        <v/>
      </c>
      <c r="DL96">
        <f>IF(ISNA(DD96),NA(),IF(OR(INDEX(Capability!$P$5:$P$54,$B$22)="",Settings!$F$7&lt;&gt;"Y"),NA(),INDEX(Capability!$P$5:$P$54,$B$22)))</f>
        <v/>
      </c>
      <c r="DR96">
        <f>IF((DU$1+92)&gt;DS$1,NA(),(DU$1+92)-4)</f>
        <v/>
      </c>
      <c r="DS96">
        <f>IF((DU$1+92)&gt;DS$1,NA(),INDEX('Data Entry'!$H$5:$BE$10004,(DU$1+92)-4,$B$23))</f>
        <v/>
      </c>
      <c r="DT96">
        <f>IF(ISNA(DR96),NA(),INDEX(Capability!$K$5:$K$54,$B$23))</f>
        <v/>
      </c>
      <c r="DU96">
        <f>IF(ISNA(DR96),NA(),INDEX(Capability!$J$5:$J$54,$B$23))</f>
        <v/>
      </c>
      <c r="DV96">
        <f>IF(ISNA(DR96),NA(),INDEX(Capability!$L$5:$L$54,$B$23))</f>
        <v/>
      </c>
      <c r="DW96">
        <f>IF(OR(ISNA(DS96),ISNA(DS95)),NA(),ABS(DS96-DS95))</f>
        <v/>
      </c>
      <c r="DX96">
        <f>IF(ISNA(DR96),NA(),INDEX(Capability!$N$5:$N$54,$B$23))</f>
        <v/>
      </c>
      <c r="DY96">
        <f>IF(ISNA(DR96),NA(),IF(OR(INDEX(Capability!$Q$5:$Q$54,$B$23)="",Settings!$F$7&lt;&gt;"Y"),NA(),INDEX(Capability!$Q$5:$Q$54,$B$23)))</f>
        <v/>
      </c>
      <c r="DZ96">
        <f>IF(ISNA(DR96),NA(),IF(OR(INDEX(Capability!$P$5:$P$54,$B$23)="",Settings!$F$7&lt;&gt;"Y"),NA(),INDEX(Capability!$P$5:$P$54,$B$23)))</f>
        <v/>
      </c>
    </row>
    <row r="97">
      <c r="A97" s="35" t="inlineStr">
        <is>
          <t>Cp</t>
        </is>
      </c>
      <c r="B97" s="38">
        <f>INDEX(Capability!$S$5:$S$54,$B$21)</f>
        <v/>
      </c>
      <c r="CB97">
        <f>IF((CE$1+93)&gt;CC$1,NA(),(CE$1+93)-4)</f>
        <v/>
      </c>
      <c r="CC97">
        <f>IF((CE$1+93)&gt;CC$1,NA(),INDEX('Data Entry'!$H$5:$BE$10004,(CE$1+93)-4,$B$20))</f>
        <v/>
      </c>
      <c r="CD97">
        <f>IF(ISNA(CB97),NA(),INDEX(Capability!$K$5:$K$54,$B$20))</f>
        <v/>
      </c>
      <c r="CE97">
        <f>IF(ISNA(CB97),NA(),INDEX(Capability!$J$5:$J$54,$B$20))</f>
        <v/>
      </c>
      <c r="CF97">
        <f>IF(ISNA(CB97),NA(),INDEX(Capability!$L$5:$L$54,$B$20))</f>
        <v/>
      </c>
      <c r="CG97">
        <f>IF(OR(ISNA(CC97),ISNA(CC96)),NA(),ABS(CC97-CC96))</f>
        <v/>
      </c>
      <c r="CH97">
        <f>IF(ISNA(CB97),NA(),INDEX(Capability!$N$5:$N$54,$B$20))</f>
        <v/>
      </c>
      <c r="CI97">
        <f>IF(ISNA(CB97),NA(),IF(OR(INDEX(Capability!$Q$5:$Q$54,$B$20)="",Settings!$F$7&lt;&gt;"Y"),NA(),INDEX(Capability!$Q$5:$Q$54,$B$20)))</f>
        <v/>
      </c>
      <c r="CJ97">
        <f>IF(ISNA(CB97),NA(),IF(OR(INDEX(Capability!$P$5:$P$54,$B$20)="",Settings!$F$7&lt;&gt;"Y"),NA(),INDEX(Capability!$P$5:$P$54,$B$20)))</f>
        <v/>
      </c>
      <c r="CP97">
        <f>IF((CS$1+93)&gt;CQ$1,NA(),(CS$1+93)-4)</f>
        <v/>
      </c>
      <c r="CQ97">
        <f>IF((CS$1+93)&gt;CQ$1,NA(),INDEX('Data Entry'!$H$5:$BE$10004,(CS$1+93)-4,$B$21))</f>
        <v/>
      </c>
      <c r="CR97">
        <f>IF(ISNA(CP97),NA(),INDEX(Capability!$K$5:$K$54,$B$21))</f>
        <v/>
      </c>
      <c r="CS97">
        <f>IF(ISNA(CP97),NA(),INDEX(Capability!$J$5:$J$54,$B$21))</f>
        <v/>
      </c>
      <c r="CT97">
        <f>IF(ISNA(CP97),NA(),INDEX(Capability!$L$5:$L$54,$B$21))</f>
        <v/>
      </c>
      <c r="CU97">
        <f>IF(OR(ISNA(CQ97),ISNA(CQ96)),NA(),ABS(CQ97-CQ96))</f>
        <v/>
      </c>
      <c r="CV97">
        <f>IF(ISNA(CP97),NA(),INDEX(Capability!$N$5:$N$54,$B$21))</f>
        <v/>
      </c>
      <c r="CW97">
        <f>IF(ISNA(CP97),NA(),IF(OR(INDEX(Capability!$Q$5:$Q$54,$B$21)="",Settings!$F$7&lt;&gt;"Y"),NA(),INDEX(Capability!$Q$5:$Q$54,$B$21)))</f>
        <v/>
      </c>
      <c r="CX97">
        <f>IF(ISNA(CP97),NA(),IF(OR(INDEX(Capability!$P$5:$P$54,$B$21)="",Settings!$F$7&lt;&gt;"Y"),NA(),INDEX(Capability!$P$5:$P$54,$B$21)))</f>
        <v/>
      </c>
      <c r="DD97">
        <f>IF((DG$1+93)&gt;DE$1,NA(),(DG$1+93)-4)</f>
        <v/>
      </c>
      <c r="DE97">
        <f>IF((DG$1+93)&gt;DE$1,NA(),INDEX('Data Entry'!$H$5:$BE$10004,(DG$1+93)-4,$B$22))</f>
        <v/>
      </c>
      <c r="DF97">
        <f>IF(ISNA(DD97),NA(),INDEX(Capability!$K$5:$K$54,$B$22))</f>
        <v/>
      </c>
      <c r="DG97">
        <f>IF(ISNA(DD97),NA(),INDEX(Capability!$J$5:$J$54,$B$22))</f>
        <v/>
      </c>
      <c r="DH97">
        <f>IF(ISNA(DD97),NA(),INDEX(Capability!$L$5:$L$54,$B$22))</f>
        <v/>
      </c>
      <c r="DI97">
        <f>IF(OR(ISNA(DE97),ISNA(DE96)),NA(),ABS(DE97-DE96))</f>
        <v/>
      </c>
      <c r="DJ97">
        <f>IF(ISNA(DD97),NA(),INDEX(Capability!$N$5:$N$54,$B$22))</f>
        <v/>
      </c>
      <c r="DK97">
        <f>IF(ISNA(DD97),NA(),IF(OR(INDEX(Capability!$Q$5:$Q$54,$B$22)="",Settings!$F$7&lt;&gt;"Y"),NA(),INDEX(Capability!$Q$5:$Q$54,$B$22)))</f>
        <v/>
      </c>
      <c r="DL97">
        <f>IF(ISNA(DD97),NA(),IF(OR(INDEX(Capability!$P$5:$P$54,$B$22)="",Settings!$F$7&lt;&gt;"Y"),NA(),INDEX(Capability!$P$5:$P$54,$B$22)))</f>
        <v/>
      </c>
      <c r="DR97">
        <f>IF((DU$1+93)&gt;DS$1,NA(),(DU$1+93)-4)</f>
        <v/>
      </c>
      <c r="DS97">
        <f>IF((DU$1+93)&gt;DS$1,NA(),INDEX('Data Entry'!$H$5:$BE$10004,(DU$1+93)-4,$B$23))</f>
        <v/>
      </c>
      <c r="DT97">
        <f>IF(ISNA(DR97),NA(),INDEX(Capability!$K$5:$K$54,$B$23))</f>
        <v/>
      </c>
      <c r="DU97">
        <f>IF(ISNA(DR97),NA(),INDEX(Capability!$J$5:$J$54,$B$23))</f>
        <v/>
      </c>
      <c r="DV97">
        <f>IF(ISNA(DR97),NA(),INDEX(Capability!$L$5:$L$54,$B$23))</f>
        <v/>
      </c>
      <c r="DW97">
        <f>IF(OR(ISNA(DS97),ISNA(DS96)),NA(),ABS(DS97-DS96))</f>
        <v/>
      </c>
      <c r="DX97">
        <f>IF(ISNA(DR97),NA(),INDEX(Capability!$N$5:$N$54,$B$23))</f>
        <v/>
      </c>
      <c r="DY97">
        <f>IF(ISNA(DR97),NA(),IF(OR(INDEX(Capability!$Q$5:$Q$54,$B$23)="",Settings!$F$7&lt;&gt;"Y"),NA(),INDEX(Capability!$Q$5:$Q$54,$B$23)))</f>
        <v/>
      </c>
      <c r="DZ97">
        <f>IF(ISNA(DR97),NA(),IF(OR(INDEX(Capability!$P$5:$P$54,$B$23)="",Settings!$F$7&lt;&gt;"Y"),NA(),INDEX(Capability!$P$5:$P$54,$B$23)))</f>
        <v/>
      </c>
    </row>
    <row r="98">
      <c r="A98" s="35" t="inlineStr">
        <is>
          <t>Cpk</t>
        </is>
      </c>
      <c r="B98" s="38">
        <f>INDEX(Capability!$T$5:$T$54,$B$21)</f>
        <v/>
      </c>
      <c r="CB98">
        <f>IF((CE$1+94)&gt;CC$1,NA(),(CE$1+94)-4)</f>
        <v/>
      </c>
      <c r="CC98">
        <f>IF((CE$1+94)&gt;CC$1,NA(),INDEX('Data Entry'!$H$5:$BE$10004,(CE$1+94)-4,$B$20))</f>
        <v/>
      </c>
      <c r="CD98">
        <f>IF(ISNA(CB98),NA(),INDEX(Capability!$K$5:$K$54,$B$20))</f>
        <v/>
      </c>
      <c r="CE98">
        <f>IF(ISNA(CB98),NA(),INDEX(Capability!$J$5:$J$54,$B$20))</f>
        <v/>
      </c>
      <c r="CF98">
        <f>IF(ISNA(CB98),NA(),INDEX(Capability!$L$5:$L$54,$B$20))</f>
        <v/>
      </c>
      <c r="CG98">
        <f>IF(OR(ISNA(CC98),ISNA(CC97)),NA(),ABS(CC98-CC97))</f>
        <v/>
      </c>
      <c r="CH98">
        <f>IF(ISNA(CB98),NA(),INDEX(Capability!$N$5:$N$54,$B$20))</f>
        <v/>
      </c>
      <c r="CI98">
        <f>IF(ISNA(CB98),NA(),IF(OR(INDEX(Capability!$Q$5:$Q$54,$B$20)="",Settings!$F$7&lt;&gt;"Y"),NA(),INDEX(Capability!$Q$5:$Q$54,$B$20)))</f>
        <v/>
      </c>
      <c r="CJ98">
        <f>IF(ISNA(CB98),NA(),IF(OR(INDEX(Capability!$P$5:$P$54,$B$20)="",Settings!$F$7&lt;&gt;"Y"),NA(),INDEX(Capability!$P$5:$P$54,$B$20)))</f>
        <v/>
      </c>
      <c r="CP98">
        <f>IF((CS$1+94)&gt;CQ$1,NA(),(CS$1+94)-4)</f>
        <v/>
      </c>
      <c r="CQ98">
        <f>IF((CS$1+94)&gt;CQ$1,NA(),INDEX('Data Entry'!$H$5:$BE$10004,(CS$1+94)-4,$B$21))</f>
        <v/>
      </c>
      <c r="CR98">
        <f>IF(ISNA(CP98),NA(),INDEX(Capability!$K$5:$K$54,$B$21))</f>
        <v/>
      </c>
      <c r="CS98">
        <f>IF(ISNA(CP98),NA(),INDEX(Capability!$J$5:$J$54,$B$21))</f>
        <v/>
      </c>
      <c r="CT98">
        <f>IF(ISNA(CP98),NA(),INDEX(Capability!$L$5:$L$54,$B$21))</f>
        <v/>
      </c>
      <c r="CU98">
        <f>IF(OR(ISNA(CQ98),ISNA(CQ97)),NA(),ABS(CQ98-CQ97))</f>
        <v/>
      </c>
      <c r="CV98">
        <f>IF(ISNA(CP98),NA(),INDEX(Capability!$N$5:$N$54,$B$21))</f>
        <v/>
      </c>
      <c r="CW98">
        <f>IF(ISNA(CP98),NA(),IF(OR(INDEX(Capability!$Q$5:$Q$54,$B$21)="",Settings!$F$7&lt;&gt;"Y"),NA(),INDEX(Capability!$Q$5:$Q$54,$B$21)))</f>
        <v/>
      </c>
      <c r="CX98">
        <f>IF(ISNA(CP98),NA(),IF(OR(INDEX(Capability!$P$5:$P$54,$B$21)="",Settings!$F$7&lt;&gt;"Y"),NA(),INDEX(Capability!$P$5:$P$54,$B$21)))</f>
        <v/>
      </c>
      <c r="DD98">
        <f>IF((DG$1+94)&gt;DE$1,NA(),(DG$1+94)-4)</f>
        <v/>
      </c>
      <c r="DE98">
        <f>IF((DG$1+94)&gt;DE$1,NA(),INDEX('Data Entry'!$H$5:$BE$10004,(DG$1+94)-4,$B$22))</f>
        <v/>
      </c>
      <c r="DF98">
        <f>IF(ISNA(DD98),NA(),INDEX(Capability!$K$5:$K$54,$B$22))</f>
        <v/>
      </c>
      <c r="DG98">
        <f>IF(ISNA(DD98),NA(),INDEX(Capability!$J$5:$J$54,$B$22))</f>
        <v/>
      </c>
      <c r="DH98">
        <f>IF(ISNA(DD98),NA(),INDEX(Capability!$L$5:$L$54,$B$22))</f>
        <v/>
      </c>
      <c r="DI98">
        <f>IF(OR(ISNA(DE98),ISNA(DE97)),NA(),ABS(DE98-DE97))</f>
        <v/>
      </c>
      <c r="DJ98">
        <f>IF(ISNA(DD98),NA(),INDEX(Capability!$N$5:$N$54,$B$22))</f>
        <v/>
      </c>
      <c r="DK98">
        <f>IF(ISNA(DD98),NA(),IF(OR(INDEX(Capability!$Q$5:$Q$54,$B$22)="",Settings!$F$7&lt;&gt;"Y"),NA(),INDEX(Capability!$Q$5:$Q$54,$B$22)))</f>
        <v/>
      </c>
      <c r="DL98">
        <f>IF(ISNA(DD98),NA(),IF(OR(INDEX(Capability!$P$5:$P$54,$B$22)="",Settings!$F$7&lt;&gt;"Y"),NA(),INDEX(Capability!$P$5:$P$54,$B$22)))</f>
        <v/>
      </c>
      <c r="DR98">
        <f>IF((DU$1+94)&gt;DS$1,NA(),(DU$1+94)-4)</f>
        <v/>
      </c>
      <c r="DS98">
        <f>IF((DU$1+94)&gt;DS$1,NA(),INDEX('Data Entry'!$H$5:$BE$10004,(DU$1+94)-4,$B$23))</f>
        <v/>
      </c>
      <c r="DT98">
        <f>IF(ISNA(DR98),NA(),INDEX(Capability!$K$5:$K$54,$B$23))</f>
        <v/>
      </c>
      <c r="DU98">
        <f>IF(ISNA(DR98),NA(),INDEX(Capability!$J$5:$J$54,$B$23))</f>
        <v/>
      </c>
      <c r="DV98">
        <f>IF(ISNA(DR98),NA(),INDEX(Capability!$L$5:$L$54,$B$23))</f>
        <v/>
      </c>
      <c r="DW98">
        <f>IF(OR(ISNA(DS98),ISNA(DS97)),NA(),ABS(DS98-DS97))</f>
        <v/>
      </c>
      <c r="DX98">
        <f>IF(ISNA(DR98),NA(),INDEX(Capability!$N$5:$N$54,$B$23))</f>
        <v/>
      </c>
      <c r="DY98">
        <f>IF(ISNA(DR98),NA(),IF(OR(INDEX(Capability!$Q$5:$Q$54,$B$23)="",Settings!$F$7&lt;&gt;"Y"),NA(),INDEX(Capability!$Q$5:$Q$54,$B$23)))</f>
        <v/>
      </c>
      <c r="DZ98">
        <f>IF(ISNA(DR98),NA(),IF(OR(INDEX(Capability!$P$5:$P$54,$B$23)="",Settings!$F$7&lt;&gt;"Y"),NA(),INDEX(Capability!$P$5:$P$54,$B$23)))</f>
        <v/>
      </c>
    </row>
    <row r="99">
      <c r="A99" s="35" t="inlineStr">
        <is>
          <t>Pp</t>
        </is>
      </c>
      <c r="B99" s="38">
        <f>INDEX(Capability!$U$5:$U$54,$B$21)</f>
        <v/>
      </c>
      <c r="CB99">
        <f>IF((CE$1+95)&gt;CC$1,NA(),(CE$1+95)-4)</f>
        <v/>
      </c>
      <c r="CC99">
        <f>IF((CE$1+95)&gt;CC$1,NA(),INDEX('Data Entry'!$H$5:$BE$10004,(CE$1+95)-4,$B$20))</f>
        <v/>
      </c>
      <c r="CD99">
        <f>IF(ISNA(CB99),NA(),INDEX(Capability!$K$5:$K$54,$B$20))</f>
        <v/>
      </c>
      <c r="CE99">
        <f>IF(ISNA(CB99),NA(),INDEX(Capability!$J$5:$J$54,$B$20))</f>
        <v/>
      </c>
      <c r="CF99">
        <f>IF(ISNA(CB99),NA(),INDEX(Capability!$L$5:$L$54,$B$20))</f>
        <v/>
      </c>
      <c r="CG99">
        <f>IF(OR(ISNA(CC99),ISNA(CC98)),NA(),ABS(CC99-CC98))</f>
        <v/>
      </c>
      <c r="CH99">
        <f>IF(ISNA(CB99),NA(),INDEX(Capability!$N$5:$N$54,$B$20))</f>
        <v/>
      </c>
      <c r="CI99">
        <f>IF(ISNA(CB99),NA(),IF(OR(INDEX(Capability!$Q$5:$Q$54,$B$20)="",Settings!$F$7&lt;&gt;"Y"),NA(),INDEX(Capability!$Q$5:$Q$54,$B$20)))</f>
        <v/>
      </c>
      <c r="CJ99">
        <f>IF(ISNA(CB99),NA(),IF(OR(INDEX(Capability!$P$5:$P$54,$B$20)="",Settings!$F$7&lt;&gt;"Y"),NA(),INDEX(Capability!$P$5:$P$54,$B$20)))</f>
        <v/>
      </c>
      <c r="CP99">
        <f>IF((CS$1+95)&gt;CQ$1,NA(),(CS$1+95)-4)</f>
        <v/>
      </c>
      <c r="CQ99">
        <f>IF((CS$1+95)&gt;CQ$1,NA(),INDEX('Data Entry'!$H$5:$BE$10004,(CS$1+95)-4,$B$21))</f>
        <v/>
      </c>
      <c r="CR99">
        <f>IF(ISNA(CP99),NA(),INDEX(Capability!$K$5:$K$54,$B$21))</f>
        <v/>
      </c>
      <c r="CS99">
        <f>IF(ISNA(CP99),NA(),INDEX(Capability!$J$5:$J$54,$B$21))</f>
        <v/>
      </c>
      <c r="CT99">
        <f>IF(ISNA(CP99),NA(),INDEX(Capability!$L$5:$L$54,$B$21))</f>
        <v/>
      </c>
      <c r="CU99">
        <f>IF(OR(ISNA(CQ99),ISNA(CQ98)),NA(),ABS(CQ99-CQ98))</f>
        <v/>
      </c>
      <c r="CV99">
        <f>IF(ISNA(CP99),NA(),INDEX(Capability!$N$5:$N$54,$B$21))</f>
        <v/>
      </c>
      <c r="CW99">
        <f>IF(ISNA(CP99),NA(),IF(OR(INDEX(Capability!$Q$5:$Q$54,$B$21)="",Settings!$F$7&lt;&gt;"Y"),NA(),INDEX(Capability!$Q$5:$Q$54,$B$21)))</f>
        <v/>
      </c>
      <c r="CX99">
        <f>IF(ISNA(CP99),NA(),IF(OR(INDEX(Capability!$P$5:$P$54,$B$21)="",Settings!$F$7&lt;&gt;"Y"),NA(),INDEX(Capability!$P$5:$P$54,$B$21)))</f>
        <v/>
      </c>
      <c r="DD99">
        <f>IF((DG$1+95)&gt;DE$1,NA(),(DG$1+95)-4)</f>
        <v/>
      </c>
      <c r="DE99">
        <f>IF((DG$1+95)&gt;DE$1,NA(),INDEX('Data Entry'!$H$5:$BE$10004,(DG$1+95)-4,$B$22))</f>
        <v/>
      </c>
      <c r="DF99">
        <f>IF(ISNA(DD99),NA(),INDEX(Capability!$K$5:$K$54,$B$22))</f>
        <v/>
      </c>
      <c r="DG99">
        <f>IF(ISNA(DD99),NA(),INDEX(Capability!$J$5:$J$54,$B$22))</f>
        <v/>
      </c>
      <c r="DH99">
        <f>IF(ISNA(DD99),NA(),INDEX(Capability!$L$5:$L$54,$B$22))</f>
        <v/>
      </c>
      <c r="DI99">
        <f>IF(OR(ISNA(DE99),ISNA(DE98)),NA(),ABS(DE99-DE98))</f>
        <v/>
      </c>
      <c r="DJ99">
        <f>IF(ISNA(DD99),NA(),INDEX(Capability!$N$5:$N$54,$B$22))</f>
        <v/>
      </c>
      <c r="DK99">
        <f>IF(ISNA(DD99),NA(),IF(OR(INDEX(Capability!$Q$5:$Q$54,$B$22)="",Settings!$F$7&lt;&gt;"Y"),NA(),INDEX(Capability!$Q$5:$Q$54,$B$22)))</f>
        <v/>
      </c>
      <c r="DL99">
        <f>IF(ISNA(DD99),NA(),IF(OR(INDEX(Capability!$P$5:$P$54,$B$22)="",Settings!$F$7&lt;&gt;"Y"),NA(),INDEX(Capability!$P$5:$P$54,$B$22)))</f>
        <v/>
      </c>
      <c r="DR99">
        <f>IF((DU$1+95)&gt;DS$1,NA(),(DU$1+95)-4)</f>
        <v/>
      </c>
      <c r="DS99">
        <f>IF((DU$1+95)&gt;DS$1,NA(),INDEX('Data Entry'!$H$5:$BE$10004,(DU$1+95)-4,$B$23))</f>
        <v/>
      </c>
      <c r="DT99">
        <f>IF(ISNA(DR99),NA(),INDEX(Capability!$K$5:$K$54,$B$23))</f>
        <v/>
      </c>
      <c r="DU99">
        <f>IF(ISNA(DR99),NA(),INDEX(Capability!$J$5:$J$54,$B$23))</f>
        <v/>
      </c>
      <c r="DV99">
        <f>IF(ISNA(DR99),NA(),INDEX(Capability!$L$5:$L$54,$B$23))</f>
        <v/>
      </c>
      <c r="DW99">
        <f>IF(OR(ISNA(DS99),ISNA(DS98)),NA(),ABS(DS99-DS98))</f>
        <v/>
      </c>
      <c r="DX99">
        <f>IF(ISNA(DR99),NA(),INDEX(Capability!$N$5:$N$54,$B$23))</f>
        <v/>
      </c>
      <c r="DY99">
        <f>IF(ISNA(DR99),NA(),IF(OR(INDEX(Capability!$Q$5:$Q$54,$B$23)="",Settings!$F$7&lt;&gt;"Y"),NA(),INDEX(Capability!$Q$5:$Q$54,$B$23)))</f>
        <v/>
      </c>
      <c r="DZ99">
        <f>IF(ISNA(DR99),NA(),IF(OR(INDEX(Capability!$P$5:$P$54,$B$23)="",Settings!$F$7&lt;&gt;"Y"),NA(),INDEX(Capability!$P$5:$P$54,$B$23)))</f>
        <v/>
      </c>
    </row>
    <row r="100">
      <c r="A100" s="35" t="inlineStr">
        <is>
          <t>Ppk</t>
        </is>
      </c>
      <c r="B100" s="38">
        <f>INDEX(Capability!$V$5:$V$54,$B$21)</f>
        <v/>
      </c>
      <c r="CB100">
        <f>IF((CE$1+96)&gt;CC$1,NA(),(CE$1+96)-4)</f>
        <v/>
      </c>
      <c r="CC100">
        <f>IF((CE$1+96)&gt;CC$1,NA(),INDEX('Data Entry'!$H$5:$BE$10004,(CE$1+96)-4,$B$20))</f>
        <v/>
      </c>
      <c r="CD100">
        <f>IF(ISNA(CB100),NA(),INDEX(Capability!$K$5:$K$54,$B$20))</f>
        <v/>
      </c>
      <c r="CE100">
        <f>IF(ISNA(CB100),NA(),INDEX(Capability!$J$5:$J$54,$B$20))</f>
        <v/>
      </c>
      <c r="CF100">
        <f>IF(ISNA(CB100),NA(),INDEX(Capability!$L$5:$L$54,$B$20))</f>
        <v/>
      </c>
      <c r="CG100">
        <f>IF(OR(ISNA(CC100),ISNA(CC99)),NA(),ABS(CC100-CC99))</f>
        <v/>
      </c>
      <c r="CH100">
        <f>IF(ISNA(CB100),NA(),INDEX(Capability!$N$5:$N$54,$B$20))</f>
        <v/>
      </c>
      <c r="CI100">
        <f>IF(ISNA(CB100),NA(),IF(OR(INDEX(Capability!$Q$5:$Q$54,$B$20)="",Settings!$F$7&lt;&gt;"Y"),NA(),INDEX(Capability!$Q$5:$Q$54,$B$20)))</f>
        <v/>
      </c>
      <c r="CJ100">
        <f>IF(ISNA(CB100),NA(),IF(OR(INDEX(Capability!$P$5:$P$54,$B$20)="",Settings!$F$7&lt;&gt;"Y"),NA(),INDEX(Capability!$P$5:$P$54,$B$20)))</f>
        <v/>
      </c>
      <c r="CP100">
        <f>IF((CS$1+96)&gt;CQ$1,NA(),(CS$1+96)-4)</f>
        <v/>
      </c>
      <c r="CQ100">
        <f>IF((CS$1+96)&gt;CQ$1,NA(),INDEX('Data Entry'!$H$5:$BE$10004,(CS$1+96)-4,$B$21))</f>
        <v/>
      </c>
      <c r="CR100">
        <f>IF(ISNA(CP100),NA(),INDEX(Capability!$K$5:$K$54,$B$21))</f>
        <v/>
      </c>
      <c r="CS100">
        <f>IF(ISNA(CP100),NA(),INDEX(Capability!$J$5:$J$54,$B$21))</f>
        <v/>
      </c>
      <c r="CT100">
        <f>IF(ISNA(CP100),NA(),INDEX(Capability!$L$5:$L$54,$B$21))</f>
        <v/>
      </c>
      <c r="CU100">
        <f>IF(OR(ISNA(CQ100),ISNA(CQ99)),NA(),ABS(CQ100-CQ99))</f>
        <v/>
      </c>
      <c r="CV100">
        <f>IF(ISNA(CP100),NA(),INDEX(Capability!$N$5:$N$54,$B$21))</f>
        <v/>
      </c>
      <c r="CW100">
        <f>IF(ISNA(CP100),NA(),IF(OR(INDEX(Capability!$Q$5:$Q$54,$B$21)="",Settings!$F$7&lt;&gt;"Y"),NA(),INDEX(Capability!$Q$5:$Q$54,$B$21)))</f>
        <v/>
      </c>
      <c r="CX100">
        <f>IF(ISNA(CP100),NA(),IF(OR(INDEX(Capability!$P$5:$P$54,$B$21)="",Settings!$F$7&lt;&gt;"Y"),NA(),INDEX(Capability!$P$5:$P$54,$B$21)))</f>
        <v/>
      </c>
      <c r="DD100">
        <f>IF((DG$1+96)&gt;DE$1,NA(),(DG$1+96)-4)</f>
        <v/>
      </c>
      <c r="DE100">
        <f>IF((DG$1+96)&gt;DE$1,NA(),INDEX('Data Entry'!$H$5:$BE$10004,(DG$1+96)-4,$B$22))</f>
        <v/>
      </c>
      <c r="DF100">
        <f>IF(ISNA(DD100),NA(),INDEX(Capability!$K$5:$K$54,$B$22))</f>
        <v/>
      </c>
      <c r="DG100">
        <f>IF(ISNA(DD100),NA(),INDEX(Capability!$J$5:$J$54,$B$22))</f>
        <v/>
      </c>
      <c r="DH100">
        <f>IF(ISNA(DD100),NA(),INDEX(Capability!$L$5:$L$54,$B$22))</f>
        <v/>
      </c>
      <c r="DI100">
        <f>IF(OR(ISNA(DE100),ISNA(DE99)),NA(),ABS(DE100-DE99))</f>
        <v/>
      </c>
      <c r="DJ100">
        <f>IF(ISNA(DD100),NA(),INDEX(Capability!$N$5:$N$54,$B$22))</f>
        <v/>
      </c>
      <c r="DK100">
        <f>IF(ISNA(DD100),NA(),IF(OR(INDEX(Capability!$Q$5:$Q$54,$B$22)="",Settings!$F$7&lt;&gt;"Y"),NA(),INDEX(Capability!$Q$5:$Q$54,$B$22)))</f>
        <v/>
      </c>
      <c r="DL100">
        <f>IF(ISNA(DD100),NA(),IF(OR(INDEX(Capability!$P$5:$P$54,$B$22)="",Settings!$F$7&lt;&gt;"Y"),NA(),INDEX(Capability!$P$5:$P$54,$B$22)))</f>
        <v/>
      </c>
      <c r="DR100">
        <f>IF((DU$1+96)&gt;DS$1,NA(),(DU$1+96)-4)</f>
        <v/>
      </c>
      <c r="DS100">
        <f>IF((DU$1+96)&gt;DS$1,NA(),INDEX('Data Entry'!$H$5:$BE$10004,(DU$1+96)-4,$B$23))</f>
        <v/>
      </c>
      <c r="DT100">
        <f>IF(ISNA(DR100),NA(),INDEX(Capability!$K$5:$K$54,$B$23))</f>
        <v/>
      </c>
      <c r="DU100">
        <f>IF(ISNA(DR100),NA(),INDEX(Capability!$J$5:$J$54,$B$23))</f>
        <v/>
      </c>
      <c r="DV100">
        <f>IF(ISNA(DR100),NA(),INDEX(Capability!$L$5:$L$54,$B$23))</f>
        <v/>
      </c>
      <c r="DW100">
        <f>IF(OR(ISNA(DS100),ISNA(DS99)),NA(),ABS(DS100-DS99))</f>
        <v/>
      </c>
      <c r="DX100">
        <f>IF(ISNA(DR100),NA(),INDEX(Capability!$N$5:$N$54,$B$23))</f>
        <v/>
      </c>
      <c r="DY100">
        <f>IF(ISNA(DR100),NA(),IF(OR(INDEX(Capability!$Q$5:$Q$54,$B$23)="",Settings!$F$7&lt;&gt;"Y"),NA(),INDEX(Capability!$Q$5:$Q$54,$B$23)))</f>
        <v/>
      </c>
      <c r="DZ100">
        <f>IF(ISNA(DR100),NA(),IF(OR(INDEX(Capability!$P$5:$P$54,$B$23)="",Settings!$F$7&lt;&gt;"Y"),NA(),INDEX(Capability!$P$5:$P$54,$B$23)))</f>
        <v/>
      </c>
    </row>
    <row r="101">
      <c r="A101" s="35" t="inlineStr">
        <is>
          <t>In control?</t>
        </is>
      </c>
      <c r="B101" s="36">
        <f>INDEX(Capability!$W$5:$W$54,$B$21)</f>
        <v/>
      </c>
      <c r="CB101">
        <f>IF((CE$1+97)&gt;CC$1,NA(),(CE$1+97)-4)</f>
        <v/>
      </c>
      <c r="CC101">
        <f>IF((CE$1+97)&gt;CC$1,NA(),INDEX('Data Entry'!$H$5:$BE$10004,(CE$1+97)-4,$B$20))</f>
        <v/>
      </c>
      <c r="CD101">
        <f>IF(ISNA(CB101),NA(),INDEX(Capability!$K$5:$K$54,$B$20))</f>
        <v/>
      </c>
      <c r="CE101">
        <f>IF(ISNA(CB101),NA(),INDEX(Capability!$J$5:$J$54,$B$20))</f>
        <v/>
      </c>
      <c r="CF101">
        <f>IF(ISNA(CB101),NA(),INDEX(Capability!$L$5:$L$54,$B$20))</f>
        <v/>
      </c>
      <c r="CG101">
        <f>IF(OR(ISNA(CC101),ISNA(CC100)),NA(),ABS(CC101-CC100))</f>
        <v/>
      </c>
      <c r="CH101">
        <f>IF(ISNA(CB101),NA(),INDEX(Capability!$N$5:$N$54,$B$20))</f>
        <v/>
      </c>
      <c r="CI101">
        <f>IF(ISNA(CB101),NA(),IF(OR(INDEX(Capability!$Q$5:$Q$54,$B$20)="",Settings!$F$7&lt;&gt;"Y"),NA(),INDEX(Capability!$Q$5:$Q$54,$B$20)))</f>
        <v/>
      </c>
      <c r="CJ101">
        <f>IF(ISNA(CB101),NA(),IF(OR(INDEX(Capability!$P$5:$P$54,$B$20)="",Settings!$F$7&lt;&gt;"Y"),NA(),INDEX(Capability!$P$5:$P$54,$B$20)))</f>
        <v/>
      </c>
      <c r="CP101">
        <f>IF((CS$1+97)&gt;CQ$1,NA(),(CS$1+97)-4)</f>
        <v/>
      </c>
      <c r="CQ101">
        <f>IF((CS$1+97)&gt;CQ$1,NA(),INDEX('Data Entry'!$H$5:$BE$10004,(CS$1+97)-4,$B$21))</f>
        <v/>
      </c>
      <c r="CR101">
        <f>IF(ISNA(CP101),NA(),INDEX(Capability!$K$5:$K$54,$B$21))</f>
        <v/>
      </c>
      <c r="CS101">
        <f>IF(ISNA(CP101),NA(),INDEX(Capability!$J$5:$J$54,$B$21))</f>
        <v/>
      </c>
      <c r="CT101">
        <f>IF(ISNA(CP101),NA(),INDEX(Capability!$L$5:$L$54,$B$21))</f>
        <v/>
      </c>
      <c r="CU101">
        <f>IF(OR(ISNA(CQ101),ISNA(CQ100)),NA(),ABS(CQ101-CQ100))</f>
        <v/>
      </c>
      <c r="CV101">
        <f>IF(ISNA(CP101),NA(),INDEX(Capability!$N$5:$N$54,$B$21))</f>
        <v/>
      </c>
      <c r="CW101">
        <f>IF(ISNA(CP101),NA(),IF(OR(INDEX(Capability!$Q$5:$Q$54,$B$21)="",Settings!$F$7&lt;&gt;"Y"),NA(),INDEX(Capability!$Q$5:$Q$54,$B$21)))</f>
        <v/>
      </c>
      <c r="CX101">
        <f>IF(ISNA(CP101),NA(),IF(OR(INDEX(Capability!$P$5:$P$54,$B$21)="",Settings!$F$7&lt;&gt;"Y"),NA(),INDEX(Capability!$P$5:$P$54,$B$21)))</f>
        <v/>
      </c>
      <c r="DD101">
        <f>IF((DG$1+97)&gt;DE$1,NA(),(DG$1+97)-4)</f>
        <v/>
      </c>
      <c r="DE101">
        <f>IF((DG$1+97)&gt;DE$1,NA(),INDEX('Data Entry'!$H$5:$BE$10004,(DG$1+97)-4,$B$22))</f>
        <v/>
      </c>
      <c r="DF101">
        <f>IF(ISNA(DD101),NA(),INDEX(Capability!$K$5:$K$54,$B$22))</f>
        <v/>
      </c>
      <c r="DG101">
        <f>IF(ISNA(DD101),NA(),INDEX(Capability!$J$5:$J$54,$B$22))</f>
        <v/>
      </c>
      <c r="DH101">
        <f>IF(ISNA(DD101),NA(),INDEX(Capability!$L$5:$L$54,$B$22))</f>
        <v/>
      </c>
      <c r="DI101">
        <f>IF(OR(ISNA(DE101),ISNA(DE100)),NA(),ABS(DE101-DE100))</f>
        <v/>
      </c>
      <c r="DJ101">
        <f>IF(ISNA(DD101),NA(),INDEX(Capability!$N$5:$N$54,$B$22))</f>
        <v/>
      </c>
      <c r="DK101">
        <f>IF(ISNA(DD101),NA(),IF(OR(INDEX(Capability!$Q$5:$Q$54,$B$22)="",Settings!$F$7&lt;&gt;"Y"),NA(),INDEX(Capability!$Q$5:$Q$54,$B$22)))</f>
        <v/>
      </c>
      <c r="DL101">
        <f>IF(ISNA(DD101),NA(),IF(OR(INDEX(Capability!$P$5:$P$54,$B$22)="",Settings!$F$7&lt;&gt;"Y"),NA(),INDEX(Capability!$P$5:$P$54,$B$22)))</f>
        <v/>
      </c>
      <c r="DR101">
        <f>IF((DU$1+97)&gt;DS$1,NA(),(DU$1+97)-4)</f>
        <v/>
      </c>
      <c r="DS101">
        <f>IF((DU$1+97)&gt;DS$1,NA(),INDEX('Data Entry'!$H$5:$BE$10004,(DU$1+97)-4,$B$23))</f>
        <v/>
      </c>
      <c r="DT101">
        <f>IF(ISNA(DR101),NA(),INDEX(Capability!$K$5:$K$54,$B$23))</f>
        <v/>
      </c>
      <c r="DU101">
        <f>IF(ISNA(DR101),NA(),INDEX(Capability!$J$5:$J$54,$B$23))</f>
        <v/>
      </c>
      <c r="DV101">
        <f>IF(ISNA(DR101),NA(),INDEX(Capability!$L$5:$L$54,$B$23))</f>
        <v/>
      </c>
      <c r="DW101">
        <f>IF(OR(ISNA(DS101),ISNA(DS100)),NA(),ABS(DS101-DS100))</f>
        <v/>
      </c>
      <c r="DX101">
        <f>IF(ISNA(DR101),NA(),INDEX(Capability!$N$5:$N$54,$B$23))</f>
        <v/>
      </c>
      <c r="DY101">
        <f>IF(ISNA(DR101),NA(),IF(OR(INDEX(Capability!$Q$5:$Q$54,$B$23)="",Settings!$F$7&lt;&gt;"Y"),NA(),INDEX(Capability!$Q$5:$Q$54,$B$23)))</f>
        <v/>
      </c>
      <c r="DZ101">
        <f>IF(ISNA(DR101),NA(),IF(OR(INDEX(Capability!$P$5:$P$54,$B$23)="",Settings!$F$7&lt;&gt;"Y"),NA(),INDEX(Capability!$P$5:$P$54,$B$23)))</f>
        <v/>
      </c>
    </row>
    <row r="102">
      <c r="A102" s="35" t="inlineStr">
        <is>
          <t>In spec?</t>
        </is>
      </c>
      <c r="B102" s="36">
        <f>INDEX(Capability!$X$5:$X$54,$B$21)</f>
        <v/>
      </c>
      <c r="CB102">
        <f>IF((CE$1+98)&gt;CC$1,NA(),(CE$1+98)-4)</f>
        <v/>
      </c>
      <c r="CC102">
        <f>IF((CE$1+98)&gt;CC$1,NA(),INDEX('Data Entry'!$H$5:$BE$10004,(CE$1+98)-4,$B$20))</f>
        <v/>
      </c>
      <c r="CD102">
        <f>IF(ISNA(CB102),NA(),INDEX(Capability!$K$5:$K$54,$B$20))</f>
        <v/>
      </c>
      <c r="CE102">
        <f>IF(ISNA(CB102),NA(),INDEX(Capability!$J$5:$J$54,$B$20))</f>
        <v/>
      </c>
      <c r="CF102">
        <f>IF(ISNA(CB102),NA(),INDEX(Capability!$L$5:$L$54,$B$20))</f>
        <v/>
      </c>
      <c r="CG102">
        <f>IF(OR(ISNA(CC102),ISNA(CC101)),NA(),ABS(CC102-CC101))</f>
        <v/>
      </c>
      <c r="CH102">
        <f>IF(ISNA(CB102),NA(),INDEX(Capability!$N$5:$N$54,$B$20))</f>
        <v/>
      </c>
      <c r="CI102">
        <f>IF(ISNA(CB102),NA(),IF(OR(INDEX(Capability!$Q$5:$Q$54,$B$20)="",Settings!$F$7&lt;&gt;"Y"),NA(),INDEX(Capability!$Q$5:$Q$54,$B$20)))</f>
        <v/>
      </c>
      <c r="CJ102">
        <f>IF(ISNA(CB102),NA(),IF(OR(INDEX(Capability!$P$5:$P$54,$B$20)="",Settings!$F$7&lt;&gt;"Y"),NA(),INDEX(Capability!$P$5:$P$54,$B$20)))</f>
        <v/>
      </c>
      <c r="CP102">
        <f>IF((CS$1+98)&gt;CQ$1,NA(),(CS$1+98)-4)</f>
        <v/>
      </c>
      <c r="CQ102">
        <f>IF((CS$1+98)&gt;CQ$1,NA(),INDEX('Data Entry'!$H$5:$BE$10004,(CS$1+98)-4,$B$21))</f>
        <v/>
      </c>
      <c r="CR102">
        <f>IF(ISNA(CP102),NA(),INDEX(Capability!$K$5:$K$54,$B$21))</f>
        <v/>
      </c>
      <c r="CS102">
        <f>IF(ISNA(CP102),NA(),INDEX(Capability!$J$5:$J$54,$B$21))</f>
        <v/>
      </c>
      <c r="CT102">
        <f>IF(ISNA(CP102),NA(),INDEX(Capability!$L$5:$L$54,$B$21))</f>
        <v/>
      </c>
      <c r="CU102">
        <f>IF(OR(ISNA(CQ102),ISNA(CQ101)),NA(),ABS(CQ102-CQ101))</f>
        <v/>
      </c>
      <c r="CV102">
        <f>IF(ISNA(CP102),NA(),INDEX(Capability!$N$5:$N$54,$B$21))</f>
        <v/>
      </c>
      <c r="CW102">
        <f>IF(ISNA(CP102),NA(),IF(OR(INDEX(Capability!$Q$5:$Q$54,$B$21)="",Settings!$F$7&lt;&gt;"Y"),NA(),INDEX(Capability!$Q$5:$Q$54,$B$21)))</f>
        <v/>
      </c>
      <c r="CX102">
        <f>IF(ISNA(CP102),NA(),IF(OR(INDEX(Capability!$P$5:$P$54,$B$21)="",Settings!$F$7&lt;&gt;"Y"),NA(),INDEX(Capability!$P$5:$P$54,$B$21)))</f>
        <v/>
      </c>
      <c r="DD102">
        <f>IF((DG$1+98)&gt;DE$1,NA(),(DG$1+98)-4)</f>
        <v/>
      </c>
      <c r="DE102">
        <f>IF((DG$1+98)&gt;DE$1,NA(),INDEX('Data Entry'!$H$5:$BE$10004,(DG$1+98)-4,$B$22))</f>
        <v/>
      </c>
      <c r="DF102">
        <f>IF(ISNA(DD102),NA(),INDEX(Capability!$K$5:$K$54,$B$22))</f>
        <v/>
      </c>
      <c r="DG102">
        <f>IF(ISNA(DD102),NA(),INDEX(Capability!$J$5:$J$54,$B$22))</f>
        <v/>
      </c>
      <c r="DH102">
        <f>IF(ISNA(DD102),NA(),INDEX(Capability!$L$5:$L$54,$B$22))</f>
        <v/>
      </c>
      <c r="DI102">
        <f>IF(OR(ISNA(DE102),ISNA(DE101)),NA(),ABS(DE102-DE101))</f>
        <v/>
      </c>
      <c r="DJ102">
        <f>IF(ISNA(DD102),NA(),INDEX(Capability!$N$5:$N$54,$B$22))</f>
        <v/>
      </c>
      <c r="DK102">
        <f>IF(ISNA(DD102),NA(),IF(OR(INDEX(Capability!$Q$5:$Q$54,$B$22)="",Settings!$F$7&lt;&gt;"Y"),NA(),INDEX(Capability!$Q$5:$Q$54,$B$22)))</f>
        <v/>
      </c>
      <c r="DL102">
        <f>IF(ISNA(DD102),NA(),IF(OR(INDEX(Capability!$P$5:$P$54,$B$22)="",Settings!$F$7&lt;&gt;"Y"),NA(),INDEX(Capability!$P$5:$P$54,$B$22)))</f>
        <v/>
      </c>
      <c r="DR102">
        <f>IF((DU$1+98)&gt;DS$1,NA(),(DU$1+98)-4)</f>
        <v/>
      </c>
      <c r="DS102">
        <f>IF((DU$1+98)&gt;DS$1,NA(),INDEX('Data Entry'!$H$5:$BE$10004,(DU$1+98)-4,$B$23))</f>
        <v/>
      </c>
      <c r="DT102">
        <f>IF(ISNA(DR102),NA(),INDEX(Capability!$K$5:$K$54,$B$23))</f>
        <v/>
      </c>
      <c r="DU102">
        <f>IF(ISNA(DR102),NA(),INDEX(Capability!$J$5:$J$54,$B$23))</f>
        <v/>
      </c>
      <c r="DV102">
        <f>IF(ISNA(DR102),NA(),INDEX(Capability!$L$5:$L$54,$B$23))</f>
        <v/>
      </c>
      <c r="DW102">
        <f>IF(OR(ISNA(DS102),ISNA(DS101)),NA(),ABS(DS102-DS101))</f>
        <v/>
      </c>
      <c r="DX102">
        <f>IF(ISNA(DR102),NA(),INDEX(Capability!$N$5:$N$54,$B$23))</f>
        <v/>
      </c>
      <c r="DY102">
        <f>IF(ISNA(DR102),NA(),IF(OR(INDEX(Capability!$Q$5:$Q$54,$B$23)="",Settings!$F$7&lt;&gt;"Y"),NA(),INDEX(Capability!$Q$5:$Q$54,$B$23)))</f>
        <v/>
      </c>
      <c r="DZ102">
        <f>IF(ISNA(DR102),NA(),IF(OR(INDEX(Capability!$P$5:$P$54,$B$23)="",Settings!$F$7&lt;&gt;"Y"),NA(),INDEX(Capability!$P$5:$P$54,$B$23)))</f>
        <v/>
      </c>
    </row>
    <row r="103">
      <c r="A103" s="35" t="inlineStr">
        <is>
          <t>Verdict</t>
        </is>
      </c>
      <c r="B103" s="36">
        <f>INDEX(Capability!$Y$5:$Y$54,$B$21)</f>
        <v/>
      </c>
      <c r="CB103">
        <f>IF((CE$1+99)&gt;CC$1,NA(),(CE$1+99)-4)</f>
        <v/>
      </c>
      <c r="CC103">
        <f>IF((CE$1+99)&gt;CC$1,NA(),INDEX('Data Entry'!$H$5:$BE$10004,(CE$1+99)-4,$B$20))</f>
        <v/>
      </c>
      <c r="CD103">
        <f>IF(ISNA(CB103),NA(),INDEX(Capability!$K$5:$K$54,$B$20))</f>
        <v/>
      </c>
      <c r="CE103">
        <f>IF(ISNA(CB103),NA(),INDEX(Capability!$J$5:$J$54,$B$20))</f>
        <v/>
      </c>
      <c r="CF103">
        <f>IF(ISNA(CB103),NA(),INDEX(Capability!$L$5:$L$54,$B$20))</f>
        <v/>
      </c>
      <c r="CG103">
        <f>IF(OR(ISNA(CC103),ISNA(CC102)),NA(),ABS(CC103-CC102))</f>
        <v/>
      </c>
      <c r="CH103">
        <f>IF(ISNA(CB103),NA(),INDEX(Capability!$N$5:$N$54,$B$20))</f>
        <v/>
      </c>
      <c r="CI103">
        <f>IF(ISNA(CB103),NA(),IF(OR(INDEX(Capability!$Q$5:$Q$54,$B$20)="",Settings!$F$7&lt;&gt;"Y"),NA(),INDEX(Capability!$Q$5:$Q$54,$B$20)))</f>
        <v/>
      </c>
      <c r="CJ103">
        <f>IF(ISNA(CB103),NA(),IF(OR(INDEX(Capability!$P$5:$P$54,$B$20)="",Settings!$F$7&lt;&gt;"Y"),NA(),INDEX(Capability!$P$5:$P$54,$B$20)))</f>
        <v/>
      </c>
      <c r="CP103">
        <f>IF((CS$1+99)&gt;CQ$1,NA(),(CS$1+99)-4)</f>
        <v/>
      </c>
      <c r="CQ103">
        <f>IF((CS$1+99)&gt;CQ$1,NA(),INDEX('Data Entry'!$H$5:$BE$10004,(CS$1+99)-4,$B$21))</f>
        <v/>
      </c>
      <c r="CR103">
        <f>IF(ISNA(CP103),NA(),INDEX(Capability!$K$5:$K$54,$B$21))</f>
        <v/>
      </c>
      <c r="CS103">
        <f>IF(ISNA(CP103),NA(),INDEX(Capability!$J$5:$J$54,$B$21))</f>
        <v/>
      </c>
      <c r="CT103">
        <f>IF(ISNA(CP103),NA(),INDEX(Capability!$L$5:$L$54,$B$21))</f>
        <v/>
      </c>
      <c r="CU103">
        <f>IF(OR(ISNA(CQ103),ISNA(CQ102)),NA(),ABS(CQ103-CQ102))</f>
        <v/>
      </c>
      <c r="CV103">
        <f>IF(ISNA(CP103),NA(),INDEX(Capability!$N$5:$N$54,$B$21))</f>
        <v/>
      </c>
      <c r="CW103">
        <f>IF(ISNA(CP103),NA(),IF(OR(INDEX(Capability!$Q$5:$Q$54,$B$21)="",Settings!$F$7&lt;&gt;"Y"),NA(),INDEX(Capability!$Q$5:$Q$54,$B$21)))</f>
        <v/>
      </c>
      <c r="CX103">
        <f>IF(ISNA(CP103),NA(),IF(OR(INDEX(Capability!$P$5:$P$54,$B$21)="",Settings!$F$7&lt;&gt;"Y"),NA(),INDEX(Capability!$P$5:$P$54,$B$21)))</f>
        <v/>
      </c>
      <c r="DD103">
        <f>IF((DG$1+99)&gt;DE$1,NA(),(DG$1+99)-4)</f>
        <v/>
      </c>
      <c r="DE103">
        <f>IF((DG$1+99)&gt;DE$1,NA(),INDEX('Data Entry'!$H$5:$BE$10004,(DG$1+99)-4,$B$22))</f>
        <v/>
      </c>
      <c r="DF103">
        <f>IF(ISNA(DD103),NA(),INDEX(Capability!$K$5:$K$54,$B$22))</f>
        <v/>
      </c>
      <c r="DG103">
        <f>IF(ISNA(DD103),NA(),INDEX(Capability!$J$5:$J$54,$B$22))</f>
        <v/>
      </c>
      <c r="DH103">
        <f>IF(ISNA(DD103),NA(),INDEX(Capability!$L$5:$L$54,$B$22))</f>
        <v/>
      </c>
      <c r="DI103">
        <f>IF(OR(ISNA(DE103),ISNA(DE102)),NA(),ABS(DE103-DE102))</f>
        <v/>
      </c>
      <c r="DJ103">
        <f>IF(ISNA(DD103),NA(),INDEX(Capability!$N$5:$N$54,$B$22))</f>
        <v/>
      </c>
      <c r="DK103">
        <f>IF(ISNA(DD103),NA(),IF(OR(INDEX(Capability!$Q$5:$Q$54,$B$22)="",Settings!$F$7&lt;&gt;"Y"),NA(),INDEX(Capability!$Q$5:$Q$54,$B$22)))</f>
        <v/>
      </c>
      <c r="DL103">
        <f>IF(ISNA(DD103),NA(),IF(OR(INDEX(Capability!$P$5:$P$54,$B$22)="",Settings!$F$7&lt;&gt;"Y"),NA(),INDEX(Capability!$P$5:$P$54,$B$22)))</f>
        <v/>
      </c>
      <c r="DR103">
        <f>IF((DU$1+99)&gt;DS$1,NA(),(DU$1+99)-4)</f>
        <v/>
      </c>
      <c r="DS103">
        <f>IF((DU$1+99)&gt;DS$1,NA(),INDEX('Data Entry'!$H$5:$BE$10004,(DU$1+99)-4,$B$23))</f>
        <v/>
      </c>
      <c r="DT103">
        <f>IF(ISNA(DR103),NA(),INDEX(Capability!$K$5:$K$54,$B$23))</f>
        <v/>
      </c>
      <c r="DU103">
        <f>IF(ISNA(DR103),NA(),INDEX(Capability!$J$5:$J$54,$B$23))</f>
        <v/>
      </c>
      <c r="DV103">
        <f>IF(ISNA(DR103),NA(),INDEX(Capability!$L$5:$L$54,$B$23))</f>
        <v/>
      </c>
      <c r="DW103">
        <f>IF(OR(ISNA(DS103),ISNA(DS102)),NA(),ABS(DS103-DS102))</f>
        <v/>
      </c>
      <c r="DX103">
        <f>IF(ISNA(DR103),NA(),INDEX(Capability!$N$5:$N$54,$B$23))</f>
        <v/>
      </c>
      <c r="DY103">
        <f>IF(ISNA(DR103),NA(),IF(OR(INDEX(Capability!$Q$5:$Q$54,$B$23)="",Settings!$F$7&lt;&gt;"Y"),NA(),INDEX(Capability!$Q$5:$Q$54,$B$23)))</f>
        <v/>
      </c>
      <c r="DZ103">
        <f>IF(ISNA(DR103),NA(),IF(OR(INDEX(Capability!$P$5:$P$54,$B$23)="",Settings!$F$7&lt;&gt;"Y"),NA(),INDEX(Capability!$P$5:$P$54,$B$23)))</f>
        <v/>
      </c>
    </row>
    <row r="104">
      <c r="CB104">
        <f>IF((CE$1+100)&gt;CC$1,NA(),(CE$1+100)-4)</f>
        <v/>
      </c>
      <c r="CC104">
        <f>IF((CE$1+100)&gt;CC$1,NA(),INDEX('Data Entry'!$H$5:$BE$10004,(CE$1+100)-4,$B$20))</f>
        <v/>
      </c>
      <c r="CD104">
        <f>IF(ISNA(CB104),NA(),INDEX(Capability!$K$5:$K$54,$B$20))</f>
        <v/>
      </c>
      <c r="CE104">
        <f>IF(ISNA(CB104),NA(),INDEX(Capability!$J$5:$J$54,$B$20))</f>
        <v/>
      </c>
      <c r="CF104">
        <f>IF(ISNA(CB104),NA(),INDEX(Capability!$L$5:$L$54,$B$20))</f>
        <v/>
      </c>
      <c r="CG104">
        <f>IF(OR(ISNA(CC104),ISNA(CC103)),NA(),ABS(CC104-CC103))</f>
        <v/>
      </c>
      <c r="CH104">
        <f>IF(ISNA(CB104),NA(),INDEX(Capability!$N$5:$N$54,$B$20))</f>
        <v/>
      </c>
      <c r="CI104">
        <f>IF(ISNA(CB104),NA(),IF(OR(INDEX(Capability!$Q$5:$Q$54,$B$20)="",Settings!$F$7&lt;&gt;"Y"),NA(),INDEX(Capability!$Q$5:$Q$54,$B$20)))</f>
        <v/>
      </c>
      <c r="CJ104">
        <f>IF(ISNA(CB104),NA(),IF(OR(INDEX(Capability!$P$5:$P$54,$B$20)="",Settings!$F$7&lt;&gt;"Y"),NA(),INDEX(Capability!$P$5:$P$54,$B$20)))</f>
        <v/>
      </c>
      <c r="CP104">
        <f>IF((CS$1+100)&gt;CQ$1,NA(),(CS$1+100)-4)</f>
        <v/>
      </c>
      <c r="CQ104">
        <f>IF((CS$1+100)&gt;CQ$1,NA(),INDEX('Data Entry'!$H$5:$BE$10004,(CS$1+100)-4,$B$21))</f>
        <v/>
      </c>
      <c r="CR104">
        <f>IF(ISNA(CP104),NA(),INDEX(Capability!$K$5:$K$54,$B$21))</f>
        <v/>
      </c>
      <c r="CS104">
        <f>IF(ISNA(CP104),NA(),INDEX(Capability!$J$5:$J$54,$B$21))</f>
        <v/>
      </c>
      <c r="CT104">
        <f>IF(ISNA(CP104),NA(),INDEX(Capability!$L$5:$L$54,$B$21))</f>
        <v/>
      </c>
      <c r="CU104">
        <f>IF(OR(ISNA(CQ104),ISNA(CQ103)),NA(),ABS(CQ104-CQ103))</f>
        <v/>
      </c>
      <c r="CV104">
        <f>IF(ISNA(CP104),NA(),INDEX(Capability!$N$5:$N$54,$B$21))</f>
        <v/>
      </c>
      <c r="CW104">
        <f>IF(ISNA(CP104),NA(),IF(OR(INDEX(Capability!$Q$5:$Q$54,$B$21)="",Settings!$F$7&lt;&gt;"Y"),NA(),INDEX(Capability!$Q$5:$Q$54,$B$21)))</f>
        <v/>
      </c>
      <c r="CX104">
        <f>IF(ISNA(CP104),NA(),IF(OR(INDEX(Capability!$P$5:$P$54,$B$21)="",Settings!$F$7&lt;&gt;"Y"),NA(),INDEX(Capability!$P$5:$P$54,$B$21)))</f>
        <v/>
      </c>
      <c r="DD104">
        <f>IF((DG$1+100)&gt;DE$1,NA(),(DG$1+100)-4)</f>
        <v/>
      </c>
      <c r="DE104">
        <f>IF((DG$1+100)&gt;DE$1,NA(),INDEX('Data Entry'!$H$5:$BE$10004,(DG$1+100)-4,$B$22))</f>
        <v/>
      </c>
      <c r="DF104">
        <f>IF(ISNA(DD104),NA(),INDEX(Capability!$K$5:$K$54,$B$22))</f>
        <v/>
      </c>
      <c r="DG104">
        <f>IF(ISNA(DD104),NA(),INDEX(Capability!$J$5:$J$54,$B$22))</f>
        <v/>
      </c>
      <c r="DH104">
        <f>IF(ISNA(DD104),NA(),INDEX(Capability!$L$5:$L$54,$B$22))</f>
        <v/>
      </c>
      <c r="DI104">
        <f>IF(OR(ISNA(DE104),ISNA(DE103)),NA(),ABS(DE104-DE103))</f>
        <v/>
      </c>
      <c r="DJ104">
        <f>IF(ISNA(DD104),NA(),INDEX(Capability!$N$5:$N$54,$B$22))</f>
        <v/>
      </c>
      <c r="DK104">
        <f>IF(ISNA(DD104),NA(),IF(OR(INDEX(Capability!$Q$5:$Q$54,$B$22)="",Settings!$F$7&lt;&gt;"Y"),NA(),INDEX(Capability!$Q$5:$Q$54,$B$22)))</f>
        <v/>
      </c>
      <c r="DL104">
        <f>IF(ISNA(DD104),NA(),IF(OR(INDEX(Capability!$P$5:$P$54,$B$22)="",Settings!$F$7&lt;&gt;"Y"),NA(),INDEX(Capability!$P$5:$P$54,$B$22)))</f>
        <v/>
      </c>
      <c r="DR104">
        <f>IF((DU$1+100)&gt;DS$1,NA(),(DU$1+100)-4)</f>
        <v/>
      </c>
      <c r="DS104">
        <f>IF((DU$1+100)&gt;DS$1,NA(),INDEX('Data Entry'!$H$5:$BE$10004,(DU$1+100)-4,$B$23))</f>
        <v/>
      </c>
      <c r="DT104">
        <f>IF(ISNA(DR104),NA(),INDEX(Capability!$K$5:$K$54,$B$23))</f>
        <v/>
      </c>
      <c r="DU104">
        <f>IF(ISNA(DR104),NA(),INDEX(Capability!$J$5:$J$54,$B$23))</f>
        <v/>
      </c>
      <c r="DV104">
        <f>IF(ISNA(DR104),NA(),INDEX(Capability!$L$5:$L$54,$B$23))</f>
        <v/>
      </c>
      <c r="DW104">
        <f>IF(OR(ISNA(DS104),ISNA(DS103)),NA(),ABS(DS104-DS103))</f>
        <v/>
      </c>
      <c r="DX104">
        <f>IF(ISNA(DR104),NA(),INDEX(Capability!$N$5:$N$54,$B$23))</f>
        <v/>
      </c>
      <c r="DY104">
        <f>IF(ISNA(DR104),NA(),IF(OR(INDEX(Capability!$Q$5:$Q$54,$B$23)="",Settings!$F$7&lt;&gt;"Y"),NA(),INDEX(Capability!$Q$5:$Q$54,$B$23)))</f>
        <v/>
      </c>
      <c r="DZ104">
        <f>IF(ISNA(DR104),NA(),IF(OR(INDEX(Capability!$P$5:$P$54,$B$23)="",Settings!$F$7&lt;&gt;"Y"),NA(),INDEX(Capability!$P$5:$P$54,$B$23)))</f>
        <v/>
      </c>
    </row>
    <row r="105">
      <c r="CB105">
        <f>IF((CE$1+101)&gt;CC$1,NA(),(CE$1+101)-4)</f>
        <v/>
      </c>
      <c r="CC105">
        <f>IF((CE$1+101)&gt;CC$1,NA(),INDEX('Data Entry'!$H$5:$BE$10004,(CE$1+101)-4,$B$20))</f>
        <v/>
      </c>
      <c r="CD105">
        <f>IF(ISNA(CB105),NA(),INDEX(Capability!$K$5:$K$54,$B$20))</f>
        <v/>
      </c>
      <c r="CE105">
        <f>IF(ISNA(CB105),NA(),INDEX(Capability!$J$5:$J$54,$B$20))</f>
        <v/>
      </c>
      <c r="CF105">
        <f>IF(ISNA(CB105),NA(),INDEX(Capability!$L$5:$L$54,$B$20))</f>
        <v/>
      </c>
      <c r="CG105">
        <f>IF(OR(ISNA(CC105),ISNA(CC104)),NA(),ABS(CC105-CC104))</f>
        <v/>
      </c>
      <c r="CH105">
        <f>IF(ISNA(CB105),NA(),INDEX(Capability!$N$5:$N$54,$B$20))</f>
        <v/>
      </c>
      <c r="CI105">
        <f>IF(ISNA(CB105),NA(),IF(OR(INDEX(Capability!$Q$5:$Q$54,$B$20)="",Settings!$F$7&lt;&gt;"Y"),NA(),INDEX(Capability!$Q$5:$Q$54,$B$20)))</f>
        <v/>
      </c>
      <c r="CJ105">
        <f>IF(ISNA(CB105),NA(),IF(OR(INDEX(Capability!$P$5:$P$54,$B$20)="",Settings!$F$7&lt;&gt;"Y"),NA(),INDEX(Capability!$P$5:$P$54,$B$20)))</f>
        <v/>
      </c>
      <c r="CP105">
        <f>IF((CS$1+101)&gt;CQ$1,NA(),(CS$1+101)-4)</f>
        <v/>
      </c>
      <c r="CQ105">
        <f>IF((CS$1+101)&gt;CQ$1,NA(),INDEX('Data Entry'!$H$5:$BE$10004,(CS$1+101)-4,$B$21))</f>
        <v/>
      </c>
      <c r="CR105">
        <f>IF(ISNA(CP105),NA(),INDEX(Capability!$K$5:$K$54,$B$21))</f>
        <v/>
      </c>
      <c r="CS105">
        <f>IF(ISNA(CP105),NA(),INDEX(Capability!$J$5:$J$54,$B$21))</f>
        <v/>
      </c>
      <c r="CT105">
        <f>IF(ISNA(CP105),NA(),INDEX(Capability!$L$5:$L$54,$B$21))</f>
        <v/>
      </c>
      <c r="CU105">
        <f>IF(OR(ISNA(CQ105),ISNA(CQ104)),NA(),ABS(CQ105-CQ104))</f>
        <v/>
      </c>
      <c r="CV105">
        <f>IF(ISNA(CP105),NA(),INDEX(Capability!$N$5:$N$54,$B$21))</f>
        <v/>
      </c>
      <c r="CW105">
        <f>IF(ISNA(CP105),NA(),IF(OR(INDEX(Capability!$Q$5:$Q$54,$B$21)="",Settings!$F$7&lt;&gt;"Y"),NA(),INDEX(Capability!$Q$5:$Q$54,$B$21)))</f>
        <v/>
      </c>
      <c r="CX105">
        <f>IF(ISNA(CP105),NA(),IF(OR(INDEX(Capability!$P$5:$P$54,$B$21)="",Settings!$F$7&lt;&gt;"Y"),NA(),INDEX(Capability!$P$5:$P$54,$B$21)))</f>
        <v/>
      </c>
      <c r="DD105">
        <f>IF((DG$1+101)&gt;DE$1,NA(),(DG$1+101)-4)</f>
        <v/>
      </c>
      <c r="DE105">
        <f>IF((DG$1+101)&gt;DE$1,NA(),INDEX('Data Entry'!$H$5:$BE$10004,(DG$1+101)-4,$B$22))</f>
        <v/>
      </c>
      <c r="DF105">
        <f>IF(ISNA(DD105),NA(),INDEX(Capability!$K$5:$K$54,$B$22))</f>
        <v/>
      </c>
      <c r="DG105">
        <f>IF(ISNA(DD105),NA(),INDEX(Capability!$J$5:$J$54,$B$22))</f>
        <v/>
      </c>
      <c r="DH105">
        <f>IF(ISNA(DD105),NA(),INDEX(Capability!$L$5:$L$54,$B$22))</f>
        <v/>
      </c>
      <c r="DI105">
        <f>IF(OR(ISNA(DE105),ISNA(DE104)),NA(),ABS(DE105-DE104))</f>
        <v/>
      </c>
      <c r="DJ105">
        <f>IF(ISNA(DD105),NA(),INDEX(Capability!$N$5:$N$54,$B$22))</f>
        <v/>
      </c>
      <c r="DK105">
        <f>IF(ISNA(DD105),NA(),IF(OR(INDEX(Capability!$Q$5:$Q$54,$B$22)="",Settings!$F$7&lt;&gt;"Y"),NA(),INDEX(Capability!$Q$5:$Q$54,$B$22)))</f>
        <v/>
      </c>
      <c r="DL105">
        <f>IF(ISNA(DD105),NA(),IF(OR(INDEX(Capability!$P$5:$P$54,$B$22)="",Settings!$F$7&lt;&gt;"Y"),NA(),INDEX(Capability!$P$5:$P$54,$B$22)))</f>
        <v/>
      </c>
      <c r="DR105">
        <f>IF((DU$1+101)&gt;DS$1,NA(),(DU$1+101)-4)</f>
        <v/>
      </c>
      <c r="DS105">
        <f>IF((DU$1+101)&gt;DS$1,NA(),INDEX('Data Entry'!$H$5:$BE$10004,(DU$1+101)-4,$B$23))</f>
        <v/>
      </c>
      <c r="DT105">
        <f>IF(ISNA(DR105),NA(),INDEX(Capability!$K$5:$K$54,$B$23))</f>
        <v/>
      </c>
      <c r="DU105">
        <f>IF(ISNA(DR105),NA(),INDEX(Capability!$J$5:$J$54,$B$23))</f>
        <v/>
      </c>
      <c r="DV105">
        <f>IF(ISNA(DR105),NA(),INDEX(Capability!$L$5:$L$54,$B$23))</f>
        <v/>
      </c>
      <c r="DW105">
        <f>IF(OR(ISNA(DS105),ISNA(DS104)),NA(),ABS(DS105-DS104))</f>
        <v/>
      </c>
      <c r="DX105">
        <f>IF(ISNA(DR105),NA(),INDEX(Capability!$N$5:$N$54,$B$23))</f>
        <v/>
      </c>
      <c r="DY105">
        <f>IF(ISNA(DR105),NA(),IF(OR(INDEX(Capability!$Q$5:$Q$54,$B$23)="",Settings!$F$7&lt;&gt;"Y"),NA(),INDEX(Capability!$Q$5:$Q$54,$B$23)))</f>
        <v/>
      </c>
      <c r="DZ105">
        <f>IF(ISNA(DR105),NA(),IF(OR(INDEX(Capability!$P$5:$P$54,$B$23)="",Settings!$F$7&lt;&gt;"Y"),NA(),INDEX(Capability!$P$5:$P$54,$B$23)))</f>
        <v/>
      </c>
    </row>
    <row r="106">
      <c r="A106" s="34">
        <f>"SLOT 3: "&amp;IF(INDEX(Settings!$B$17:$B$66,$B$22)="","(unnamed)",INDEX(Settings!$B$17:$B$66,$B$22))</f>
        <v/>
      </c>
      <c r="B106" s="9" t="n"/>
      <c r="CB106">
        <f>IF((CE$1+102)&gt;CC$1,NA(),(CE$1+102)-4)</f>
        <v/>
      </c>
      <c r="CC106">
        <f>IF((CE$1+102)&gt;CC$1,NA(),INDEX('Data Entry'!$H$5:$BE$10004,(CE$1+102)-4,$B$20))</f>
        <v/>
      </c>
      <c r="CD106">
        <f>IF(ISNA(CB106),NA(),INDEX(Capability!$K$5:$K$54,$B$20))</f>
        <v/>
      </c>
      <c r="CE106">
        <f>IF(ISNA(CB106),NA(),INDEX(Capability!$J$5:$J$54,$B$20))</f>
        <v/>
      </c>
      <c r="CF106">
        <f>IF(ISNA(CB106),NA(),INDEX(Capability!$L$5:$L$54,$B$20))</f>
        <v/>
      </c>
      <c r="CG106">
        <f>IF(OR(ISNA(CC106),ISNA(CC105)),NA(),ABS(CC106-CC105))</f>
        <v/>
      </c>
      <c r="CH106">
        <f>IF(ISNA(CB106),NA(),INDEX(Capability!$N$5:$N$54,$B$20))</f>
        <v/>
      </c>
      <c r="CI106">
        <f>IF(ISNA(CB106),NA(),IF(OR(INDEX(Capability!$Q$5:$Q$54,$B$20)="",Settings!$F$7&lt;&gt;"Y"),NA(),INDEX(Capability!$Q$5:$Q$54,$B$20)))</f>
        <v/>
      </c>
      <c r="CJ106">
        <f>IF(ISNA(CB106),NA(),IF(OR(INDEX(Capability!$P$5:$P$54,$B$20)="",Settings!$F$7&lt;&gt;"Y"),NA(),INDEX(Capability!$P$5:$P$54,$B$20)))</f>
        <v/>
      </c>
      <c r="CP106">
        <f>IF((CS$1+102)&gt;CQ$1,NA(),(CS$1+102)-4)</f>
        <v/>
      </c>
      <c r="CQ106">
        <f>IF((CS$1+102)&gt;CQ$1,NA(),INDEX('Data Entry'!$H$5:$BE$10004,(CS$1+102)-4,$B$21))</f>
        <v/>
      </c>
      <c r="CR106">
        <f>IF(ISNA(CP106),NA(),INDEX(Capability!$K$5:$K$54,$B$21))</f>
        <v/>
      </c>
      <c r="CS106">
        <f>IF(ISNA(CP106),NA(),INDEX(Capability!$J$5:$J$54,$B$21))</f>
        <v/>
      </c>
      <c r="CT106">
        <f>IF(ISNA(CP106),NA(),INDEX(Capability!$L$5:$L$54,$B$21))</f>
        <v/>
      </c>
      <c r="CU106">
        <f>IF(OR(ISNA(CQ106),ISNA(CQ105)),NA(),ABS(CQ106-CQ105))</f>
        <v/>
      </c>
      <c r="CV106">
        <f>IF(ISNA(CP106),NA(),INDEX(Capability!$N$5:$N$54,$B$21))</f>
        <v/>
      </c>
      <c r="CW106">
        <f>IF(ISNA(CP106),NA(),IF(OR(INDEX(Capability!$Q$5:$Q$54,$B$21)="",Settings!$F$7&lt;&gt;"Y"),NA(),INDEX(Capability!$Q$5:$Q$54,$B$21)))</f>
        <v/>
      </c>
      <c r="CX106">
        <f>IF(ISNA(CP106),NA(),IF(OR(INDEX(Capability!$P$5:$P$54,$B$21)="",Settings!$F$7&lt;&gt;"Y"),NA(),INDEX(Capability!$P$5:$P$54,$B$21)))</f>
        <v/>
      </c>
      <c r="DD106">
        <f>IF((DG$1+102)&gt;DE$1,NA(),(DG$1+102)-4)</f>
        <v/>
      </c>
      <c r="DE106">
        <f>IF((DG$1+102)&gt;DE$1,NA(),INDEX('Data Entry'!$H$5:$BE$10004,(DG$1+102)-4,$B$22))</f>
        <v/>
      </c>
      <c r="DF106">
        <f>IF(ISNA(DD106),NA(),INDEX(Capability!$K$5:$K$54,$B$22))</f>
        <v/>
      </c>
      <c r="DG106">
        <f>IF(ISNA(DD106),NA(),INDEX(Capability!$J$5:$J$54,$B$22))</f>
        <v/>
      </c>
      <c r="DH106">
        <f>IF(ISNA(DD106),NA(),INDEX(Capability!$L$5:$L$54,$B$22))</f>
        <v/>
      </c>
      <c r="DI106">
        <f>IF(OR(ISNA(DE106),ISNA(DE105)),NA(),ABS(DE106-DE105))</f>
        <v/>
      </c>
      <c r="DJ106">
        <f>IF(ISNA(DD106),NA(),INDEX(Capability!$N$5:$N$54,$B$22))</f>
        <v/>
      </c>
      <c r="DK106">
        <f>IF(ISNA(DD106),NA(),IF(OR(INDEX(Capability!$Q$5:$Q$54,$B$22)="",Settings!$F$7&lt;&gt;"Y"),NA(),INDEX(Capability!$Q$5:$Q$54,$B$22)))</f>
        <v/>
      </c>
      <c r="DL106">
        <f>IF(ISNA(DD106),NA(),IF(OR(INDEX(Capability!$P$5:$P$54,$B$22)="",Settings!$F$7&lt;&gt;"Y"),NA(),INDEX(Capability!$P$5:$P$54,$B$22)))</f>
        <v/>
      </c>
      <c r="DR106">
        <f>IF((DU$1+102)&gt;DS$1,NA(),(DU$1+102)-4)</f>
        <v/>
      </c>
      <c r="DS106">
        <f>IF((DU$1+102)&gt;DS$1,NA(),INDEX('Data Entry'!$H$5:$BE$10004,(DU$1+102)-4,$B$23))</f>
        <v/>
      </c>
      <c r="DT106">
        <f>IF(ISNA(DR106),NA(),INDEX(Capability!$K$5:$K$54,$B$23))</f>
        <v/>
      </c>
      <c r="DU106">
        <f>IF(ISNA(DR106),NA(),INDEX(Capability!$J$5:$J$54,$B$23))</f>
        <v/>
      </c>
      <c r="DV106">
        <f>IF(ISNA(DR106),NA(),INDEX(Capability!$L$5:$L$54,$B$23))</f>
        <v/>
      </c>
      <c r="DW106">
        <f>IF(OR(ISNA(DS106),ISNA(DS105)),NA(),ABS(DS106-DS105))</f>
        <v/>
      </c>
      <c r="DX106">
        <f>IF(ISNA(DR106),NA(),INDEX(Capability!$N$5:$N$54,$B$23))</f>
        <v/>
      </c>
      <c r="DY106">
        <f>IF(ISNA(DR106),NA(),IF(OR(INDEX(Capability!$Q$5:$Q$54,$B$23)="",Settings!$F$7&lt;&gt;"Y"),NA(),INDEX(Capability!$Q$5:$Q$54,$B$23)))</f>
        <v/>
      </c>
      <c r="DZ106">
        <f>IF(ISNA(DR106),NA(),IF(OR(INDEX(Capability!$P$5:$P$54,$B$23)="",Settings!$F$7&lt;&gt;"Y"),NA(),INDEX(Capability!$P$5:$P$54,$B$23)))</f>
        <v/>
      </c>
    </row>
    <row r="107">
      <c r="A107" s="35" t="inlineStr">
        <is>
          <t>Feature</t>
        </is>
      </c>
      <c r="B107" s="36">
        <f>INDEX(Capability!$A$5:$A$54,$B$22)</f>
        <v/>
      </c>
      <c r="CB107">
        <f>IF((CE$1+103)&gt;CC$1,NA(),(CE$1+103)-4)</f>
        <v/>
      </c>
      <c r="CC107">
        <f>IF((CE$1+103)&gt;CC$1,NA(),INDEX('Data Entry'!$H$5:$BE$10004,(CE$1+103)-4,$B$20))</f>
        <v/>
      </c>
      <c r="CD107">
        <f>IF(ISNA(CB107),NA(),INDEX(Capability!$K$5:$K$54,$B$20))</f>
        <v/>
      </c>
      <c r="CE107">
        <f>IF(ISNA(CB107),NA(),INDEX(Capability!$J$5:$J$54,$B$20))</f>
        <v/>
      </c>
      <c r="CF107">
        <f>IF(ISNA(CB107),NA(),INDEX(Capability!$L$5:$L$54,$B$20))</f>
        <v/>
      </c>
      <c r="CG107">
        <f>IF(OR(ISNA(CC107),ISNA(CC106)),NA(),ABS(CC107-CC106))</f>
        <v/>
      </c>
      <c r="CH107">
        <f>IF(ISNA(CB107),NA(),INDEX(Capability!$N$5:$N$54,$B$20))</f>
        <v/>
      </c>
      <c r="CI107">
        <f>IF(ISNA(CB107),NA(),IF(OR(INDEX(Capability!$Q$5:$Q$54,$B$20)="",Settings!$F$7&lt;&gt;"Y"),NA(),INDEX(Capability!$Q$5:$Q$54,$B$20)))</f>
        <v/>
      </c>
      <c r="CJ107">
        <f>IF(ISNA(CB107),NA(),IF(OR(INDEX(Capability!$P$5:$P$54,$B$20)="",Settings!$F$7&lt;&gt;"Y"),NA(),INDEX(Capability!$P$5:$P$54,$B$20)))</f>
        <v/>
      </c>
      <c r="CP107">
        <f>IF((CS$1+103)&gt;CQ$1,NA(),(CS$1+103)-4)</f>
        <v/>
      </c>
      <c r="CQ107">
        <f>IF((CS$1+103)&gt;CQ$1,NA(),INDEX('Data Entry'!$H$5:$BE$10004,(CS$1+103)-4,$B$21))</f>
        <v/>
      </c>
      <c r="CR107">
        <f>IF(ISNA(CP107),NA(),INDEX(Capability!$K$5:$K$54,$B$21))</f>
        <v/>
      </c>
      <c r="CS107">
        <f>IF(ISNA(CP107),NA(),INDEX(Capability!$J$5:$J$54,$B$21))</f>
        <v/>
      </c>
      <c r="CT107">
        <f>IF(ISNA(CP107),NA(),INDEX(Capability!$L$5:$L$54,$B$21))</f>
        <v/>
      </c>
      <c r="CU107">
        <f>IF(OR(ISNA(CQ107),ISNA(CQ106)),NA(),ABS(CQ107-CQ106))</f>
        <v/>
      </c>
      <c r="CV107">
        <f>IF(ISNA(CP107),NA(),INDEX(Capability!$N$5:$N$54,$B$21))</f>
        <v/>
      </c>
      <c r="CW107">
        <f>IF(ISNA(CP107),NA(),IF(OR(INDEX(Capability!$Q$5:$Q$54,$B$21)="",Settings!$F$7&lt;&gt;"Y"),NA(),INDEX(Capability!$Q$5:$Q$54,$B$21)))</f>
        <v/>
      </c>
      <c r="CX107">
        <f>IF(ISNA(CP107),NA(),IF(OR(INDEX(Capability!$P$5:$P$54,$B$21)="",Settings!$F$7&lt;&gt;"Y"),NA(),INDEX(Capability!$P$5:$P$54,$B$21)))</f>
        <v/>
      </c>
      <c r="DD107">
        <f>IF((DG$1+103)&gt;DE$1,NA(),(DG$1+103)-4)</f>
        <v/>
      </c>
      <c r="DE107">
        <f>IF((DG$1+103)&gt;DE$1,NA(),INDEX('Data Entry'!$H$5:$BE$10004,(DG$1+103)-4,$B$22))</f>
        <v/>
      </c>
      <c r="DF107">
        <f>IF(ISNA(DD107),NA(),INDEX(Capability!$K$5:$K$54,$B$22))</f>
        <v/>
      </c>
      <c r="DG107">
        <f>IF(ISNA(DD107),NA(),INDEX(Capability!$J$5:$J$54,$B$22))</f>
        <v/>
      </c>
      <c r="DH107">
        <f>IF(ISNA(DD107),NA(),INDEX(Capability!$L$5:$L$54,$B$22))</f>
        <v/>
      </c>
      <c r="DI107">
        <f>IF(OR(ISNA(DE107),ISNA(DE106)),NA(),ABS(DE107-DE106))</f>
        <v/>
      </c>
      <c r="DJ107">
        <f>IF(ISNA(DD107),NA(),INDEX(Capability!$N$5:$N$54,$B$22))</f>
        <v/>
      </c>
      <c r="DK107">
        <f>IF(ISNA(DD107),NA(),IF(OR(INDEX(Capability!$Q$5:$Q$54,$B$22)="",Settings!$F$7&lt;&gt;"Y"),NA(),INDEX(Capability!$Q$5:$Q$54,$B$22)))</f>
        <v/>
      </c>
      <c r="DL107">
        <f>IF(ISNA(DD107),NA(),IF(OR(INDEX(Capability!$P$5:$P$54,$B$22)="",Settings!$F$7&lt;&gt;"Y"),NA(),INDEX(Capability!$P$5:$P$54,$B$22)))</f>
        <v/>
      </c>
      <c r="DR107">
        <f>IF((DU$1+103)&gt;DS$1,NA(),(DU$1+103)-4)</f>
        <v/>
      </c>
      <c r="DS107">
        <f>IF((DU$1+103)&gt;DS$1,NA(),INDEX('Data Entry'!$H$5:$BE$10004,(DU$1+103)-4,$B$23))</f>
        <v/>
      </c>
      <c r="DT107">
        <f>IF(ISNA(DR107),NA(),INDEX(Capability!$K$5:$K$54,$B$23))</f>
        <v/>
      </c>
      <c r="DU107">
        <f>IF(ISNA(DR107),NA(),INDEX(Capability!$J$5:$J$54,$B$23))</f>
        <v/>
      </c>
      <c r="DV107">
        <f>IF(ISNA(DR107),NA(),INDEX(Capability!$L$5:$L$54,$B$23))</f>
        <v/>
      </c>
      <c r="DW107">
        <f>IF(OR(ISNA(DS107),ISNA(DS106)),NA(),ABS(DS107-DS106))</f>
        <v/>
      </c>
      <c r="DX107">
        <f>IF(ISNA(DR107),NA(),INDEX(Capability!$N$5:$N$54,$B$23))</f>
        <v/>
      </c>
      <c r="DY107">
        <f>IF(ISNA(DR107),NA(),IF(OR(INDEX(Capability!$Q$5:$Q$54,$B$23)="",Settings!$F$7&lt;&gt;"Y"),NA(),INDEX(Capability!$Q$5:$Q$54,$B$23)))</f>
        <v/>
      </c>
      <c r="DZ107">
        <f>IF(ISNA(DR107),NA(),IF(OR(INDEX(Capability!$P$5:$P$54,$B$23)="",Settings!$F$7&lt;&gt;"Y"),NA(),INDEX(Capability!$P$5:$P$54,$B$23)))</f>
        <v/>
      </c>
    </row>
    <row r="108">
      <c r="A108" s="35" t="inlineStr">
        <is>
          <t>Unit</t>
        </is>
      </c>
      <c r="B108" s="36">
        <f>INDEX(Settings!$F$17:$F$66,$B$22)</f>
        <v/>
      </c>
      <c r="CB108">
        <f>IF((CE$1+104)&gt;CC$1,NA(),(CE$1+104)-4)</f>
        <v/>
      </c>
      <c r="CC108">
        <f>IF((CE$1+104)&gt;CC$1,NA(),INDEX('Data Entry'!$H$5:$BE$10004,(CE$1+104)-4,$B$20))</f>
        <v/>
      </c>
      <c r="CD108">
        <f>IF(ISNA(CB108),NA(),INDEX(Capability!$K$5:$K$54,$B$20))</f>
        <v/>
      </c>
      <c r="CE108">
        <f>IF(ISNA(CB108),NA(),INDEX(Capability!$J$5:$J$54,$B$20))</f>
        <v/>
      </c>
      <c r="CF108">
        <f>IF(ISNA(CB108),NA(),INDEX(Capability!$L$5:$L$54,$B$20))</f>
        <v/>
      </c>
      <c r="CG108">
        <f>IF(OR(ISNA(CC108),ISNA(CC107)),NA(),ABS(CC108-CC107))</f>
        <v/>
      </c>
      <c r="CH108">
        <f>IF(ISNA(CB108),NA(),INDEX(Capability!$N$5:$N$54,$B$20))</f>
        <v/>
      </c>
      <c r="CI108">
        <f>IF(ISNA(CB108),NA(),IF(OR(INDEX(Capability!$Q$5:$Q$54,$B$20)="",Settings!$F$7&lt;&gt;"Y"),NA(),INDEX(Capability!$Q$5:$Q$54,$B$20)))</f>
        <v/>
      </c>
      <c r="CJ108">
        <f>IF(ISNA(CB108),NA(),IF(OR(INDEX(Capability!$P$5:$P$54,$B$20)="",Settings!$F$7&lt;&gt;"Y"),NA(),INDEX(Capability!$P$5:$P$54,$B$20)))</f>
        <v/>
      </c>
      <c r="CP108">
        <f>IF((CS$1+104)&gt;CQ$1,NA(),(CS$1+104)-4)</f>
        <v/>
      </c>
      <c r="CQ108">
        <f>IF((CS$1+104)&gt;CQ$1,NA(),INDEX('Data Entry'!$H$5:$BE$10004,(CS$1+104)-4,$B$21))</f>
        <v/>
      </c>
      <c r="CR108">
        <f>IF(ISNA(CP108),NA(),INDEX(Capability!$K$5:$K$54,$B$21))</f>
        <v/>
      </c>
      <c r="CS108">
        <f>IF(ISNA(CP108),NA(),INDEX(Capability!$J$5:$J$54,$B$21))</f>
        <v/>
      </c>
      <c r="CT108">
        <f>IF(ISNA(CP108),NA(),INDEX(Capability!$L$5:$L$54,$B$21))</f>
        <v/>
      </c>
      <c r="CU108">
        <f>IF(OR(ISNA(CQ108),ISNA(CQ107)),NA(),ABS(CQ108-CQ107))</f>
        <v/>
      </c>
      <c r="CV108">
        <f>IF(ISNA(CP108),NA(),INDEX(Capability!$N$5:$N$54,$B$21))</f>
        <v/>
      </c>
      <c r="CW108">
        <f>IF(ISNA(CP108),NA(),IF(OR(INDEX(Capability!$Q$5:$Q$54,$B$21)="",Settings!$F$7&lt;&gt;"Y"),NA(),INDEX(Capability!$Q$5:$Q$54,$B$21)))</f>
        <v/>
      </c>
      <c r="CX108">
        <f>IF(ISNA(CP108),NA(),IF(OR(INDEX(Capability!$P$5:$P$54,$B$21)="",Settings!$F$7&lt;&gt;"Y"),NA(),INDEX(Capability!$P$5:$P$54,$B$21)))</f>
        <v/>
      </c>
      <c r="DD108">
        <f>IF((DG$1+104)&gt;DE$1,NA(),(DG$1+104)-4)</f>
        <v/>
      </c>
      <c r="DE108">
        <f>IF((DG$1+104)&gt;DE$1,NA(),INDEX('Data Entry'!$H$5:$BE$10004,(DG$1+104)-4,$B$22))</f>
        <v/>
      </c>
      <c r="DF108">
        <f>IF(ISNA(DD108),NA(),INDEX(Capability!$K$5:$K$54,$B$22))</f>
        <v/>
      </c>
      <c r="DG108">
        <f>IF(ISNA(DD108),NA(),INDEX(Capability!$J$5:$J$54,$B$22))</f>
        <v/>
      </c>
      <c r="DH108">
        <f>IF(ISNA(DD108),NA(),INDEX(Capability!$L$5:$L$54,$B$22))</f>
        <v/>
      </c>
      <c r="DI108">
        <f>IF(OR(ISNA(DE108),ISNA(DE107)),NA(),ABS(DE108-DE107))</f>
        <v/>
      </c>
      <c r="DJ108">
        <f>IF(ISNA(DD108),NA(),INDEX(Capability!$N$5:$N$54,$B$22))</f>
        <v/>
      </c>
      <c r="DK108">
        <f>IF(ISNA(DD108),NA(),IF(OR(INDEX(Capability!$Q$5:$Q$54,$B$22)="",Settings!$F$7&lt;&gt;"Y"),NA(),INDEX(Capability!$Q$5:$Q$54,$B$22)))</f>
        <v/>
      </c>
      <c r="DL108">
        <f>IF(ISNA(DD108),NA(),IF(OR(INDEX(Capability!$P$5:$P$54,$B$22)="",Settings!$F$7&lt;&gt;"Y"),NA(),INDEX(Capability!$P$5:$P$54,$B$22)))</f>
        <v/>
      </c>
      <c r="DR108">
        <f>IF((DU$1+104)&gt;DS$1,NA(),(DU$1+104)-4)</f>
        <v/>
      </c>
      <c r="DS108">
        <f>IF((DU$1+104)&gt;DS$1,NA(),INDEX('Data Entry'!$H$5:$BE$10004,(DU$1+104)-4,$B$23))</f>
        <v/>
      </c>
      <c r="DT108">
        <f>IF(ISNA(DR108),NA(),INDEX(Capability!$K$5:$K$54,$B$23))</f>
        <v/>
      </c>
      <c r="DU108">
        <f>IF(ISNA(DR108),NA(),INDEX(Capability!$J$5:$J$54,$B$23))</f>
        <v/>
      </c>
      <c r="DV108">
        <f>IF(ISNA(DR108),NA(),INDEX(Capability!$L$5:$L$54,$B$23))</f>
        <v/>
      </c>
      <c r="DW108">
        <f>IF(OR(ISNA(DS108),ISNA(DS107)),NA(),ABS(DS108-DS107))</f>
        <v/>
      </c>
      <c r="DX108">
        <f>IF(ISNA(DR108),NA(),INDEX(Capability!$N$5:$N$54,$B$23))</f>
        <v/>
      </c>
      <c r="DY108">
        <f>IF(ISNA(DR108),NA(),IF(OR(INDEX(Capability!$Q$5:$Q$54,$B$23)="",Settings!$F$7&lt;&gt;"Y"),NA(),INDEX(Capability!$Q$5:$Q$54,$B$23)))</f>
        <v/>
      </c>
      <c r="DZ108">
        <f>IF(ISNA(DR108),NA(),IF(OR(INDEX(Capability!$P$5:$P$54,$B$23)="",Settings!$F$7&lt;&gt;"Y"),NA(),INDEX(Capability!$P$5:$P$54,$B$23)))</f>
        <v/>
      </c>
    </row>
    <row r="109">
      <c r="A109" s="35" t="inlineStr">
        <is>
          <t>Samples (n)</t>
        </is>
      </c>
      <c r="B109" s="22">
        <f>INDEX(Capability!$B$5:$B$54,$B$22)</f>
        <v/>
      </c>
      <c r="CB109">
        <f>IF((CE$1+105)&gt;CC$1,NA(),(CE$1+105)-4)</f>
        <v/>
      </c>
      <c r="CC109">
        <f>IF((CE$1+105)&gt;CC$1,NA(),INDEX('Data Entry'!$H$5:$BE$10004,(CE$1+105)-4,$B$20))</f>
        <v/>
      </c>
      <c r="CD109">
        <f>IF(ISNA(CB109),NA(),INDEX(Capability!$K$5:$K$54,$B$20))</f>
        <v/>
      </c>
      <c r="CE109">
        <f>IF(ISNA(CB109),NA(),INDEX(Capability!$J$5:$J$54,$B$20))</f>
        <v/>
      </c>
      <c r="CF109">
        <f>IF(ISNA(CB109),NA(),INDEX(Capability!$L$5:$L$54,$B$20))</f>
        <v/>
      </c>
      <c r="CG109">
        <f>IF(OR(ISNA(CC109),ISNA(CC108)),NA(),ABS(CC109-CC108))</f>
        <v/>
      </c>
      <c r="CH109">
        <f>IF(ISNA(CB109),NA(),INDEX(Capability!$N$5:$N$54,$B$20))</f>
        <v/>
      </c>
      <c r="CI109">
        <f>IF(ISNA(CB109),NA(),IF(OR(INDEX(Capability!$Q$5:$Q$54,$B$20)="",Settings!$F$7&lt;&gt;"Y"),NA(),INDEX(Capability!$Q$5:$Q$54,$B$20)))</f>
        <v/>
      </c>
      <c r="CJ109">
        <f>IF(ISNA(CB109),NA(),IF(OR(INDEX(Capability!$P$5:$P$54,$B$20)="",Settings!$F$7&lt;&gt;"Y"),NA(),INDEX(Capability!$P$5:$P$54,$B$20)))</f>
        <v/>
      </c>
      <c r="CP109">
        <f>IF((CS$1+105)&gt;CQ$1,NA(),(CS$1+105)-4)</f>
        <v/>
      </c>
      <c r="CQ109">
        <f>IF((CS$1+105)&gt;CQ$1,NA(),INDEX('Data Entry'!$H$5:$BE$10004,(CS$1+105)-4,$B$21))</f>
        <v/>
      </c>
      <c r="CR109">
        <f>IF(ISNA(CP109),NA(),INDEX(Capability!$K$5:$K$54,$B$21))</f>
        <v/>
      </c>
      <c r="CS109">
        <f>IF(ISNA(CP109),NA(),INDEX(Capability!$J$5:$J$54,$B$21))</f>
        <v/>
      </c>
      <c r="CT109">
        <f>IF(ISNA(CP109),NA(),INDEX(Capability!$L$5:$L$54,$B$21))</f>
        <v/>
      </c>
      <c r="CU109">
        <f>IF(OR(ISNA(CQ109),ISNA(CQ108)),NA(),ABS(CQ109-CQ108))</f>
        <v/>
      </c>
      <c r="CV109">
        <f>IF(ISNA(CP109),NA(),INDEX(Capability!$N$5:$N$54,$B$21))</f>
        <v/>
      </c>
      <c r="CW109">
        <f>IF(ISNA(CP109),NA(),IF(OR(INDEX(Capability!$Q$5:$Q$54,$B$21)="",Settings!$F$7&lt;&gt;"Y"),NA(),INDEX(Capability!$Q$5:$Q$54,$B$21)))</f>
        <v/>
      </c>
      <c r="CX109">
        <f>IF(ISNA(CP109),NA(),IF(OR(INDEX(Capability!$P$5:$P$54,$B$21)="",Settings!$F$7&lt;&gt;"Y"),NA(),INDEX(Capability!$P$5:$P$54,$B$21)))</f>
        <v/>
      </c>
      <c r="DD109">
        <f>IF((DG$1+105)&gt;DE$1,NA(),(DG$1+105)-4)</f>
        <v/>
      </c>
      <c r="DE109">
        <f>IF((DG$1+105)&gt;DE$1,NA(),INDEX('Data Entry'!$H$5:$BE$10004,(DG$1+105)-4,$B$22))</f>
        <v/>
      </c>
      <c r="DF109">
        <f>IF(ISNA(DD109),NA(),INDEX(Capability!$K$5:$K$54,$B$22))</f>
        <v/>
      </c>
      <c r="DG109">
        <f>IF(ISNA(DD109),NA(),INDEX(Capability!$J$5:$J$54,$B$22))</f>
        <v/>
      </c>
      <c r="DH109">
        <f>IF(ISNA(DD109),NA(),INDEX(Capability!$L$5:$L$54,$B$22))</f>
        <v/>
      </c>
      <c r="DI109">
        <f>IF(OR(ISNA(DE109),ISNA(DE108)),NA(),ABS(DE109-DE108))</f>
        <v/>
      </c>
      <c r="DJ109">
        <f>IF(ISNA(DD109),NA(),INDEX(Capability!$N$5:$N$54,$B$22))</f>
        <v/>
      </c>
      <c r="DK109">
        <f>IF(ISNA(DD109),NA(),IF(OR(INDEX(Capability!$Q$5:$Q$54,$B$22)="",Settings!$F$7&lt;&gt;"Y"),NA(),INDEX(Capability!$Q$5:$Q$54,$B$22)))</f>
        <v/>
      </c>
      <c r="DL109">
        <f>IF(ISNA(DD109),NA(),IF(OR(INDEX(Capability!$P$5:$P$54,$B$22)="",Settings!$F$7&lt;&gt;"Y"),NA(),INDEX(Capability!$P$5:$P$54,$B$22)))</f>
        <v/>
      </c>
      <c r="DR109">
        <f>IF((DU$1+105)&gt;DS$1,NA(),(DU$1+105)-4)</f>
        <v/>
      </c>
      <c r="DS109">
        <f>IF((DU$1+105)&gt;DS$1,NA(),INDEX('Data Entry'!$H$5:$BE$10004,(DU$1+105)-4,$B$23))</f>
        <v/>
      </c>
      <c r="DT109">
        <f>IF(ISNA(DR109),NA(),INDEX(Capability!$K$5:$K$54,$B$23))</f>
        <v/>
      </c>
      <c r="DU109">
        <f>IF(ISNA(DR109),NA(),INDEX(Capability!$J$5:$J$54,$B$23))</f>
        <v/>
      </c>
      <c r="DV109">
        <f>IF(ISNA(DR109),NA(),INDEX(Capability!$L$5:$L$54,$B$23))</f>
        <v/>
      </c>
      <c r="DW109">
        <f>IF(OR(ISNA(DS109),ISNA(DS108)),NA(),ABS(DS109-DS108))</f>
        <v/>
      </c>
      <c r="DX109">
        <f>IF(ISNA(DR109),NA(),INDEX(Capability!$N$5:$N$54,$B$23))</f>
        <v/>
      </c>
      <c r="DY109">
        <f>IF(ISNA(DR109),NA(),IF(OR(INDEX(Capability!$Q$5:$Q$54,$B$23)="",Settings!$F$7&lt;&gt;"Y"),NA(),INDEX(Capability!$Q$5:$Q$54,$B$23)))</f>
        <v/>
      </c>
      <c r="DZ109">
        <f>IF(ISNA(DR109),NA(),IF(OR(INDEX(Capability!$P$5:$P$54,$B$23)="",Settings!$F$7&lt;&gt;"Y"),NA(),INDEX(Capability!$P$5:$P$54,$B$23)))</f>
        <v/>
      </c>
    </row>
    <row r="110">
      <c r="A110" s="37" t="inlineStr">
        <is>
          <t>DATA RANGE</t>
        </is>
      </c>
      <c r="B110" s="28" t="n"/>
      <c r="CB110">
        <f>IF((CE$1+106)&gt;CC$1,NA(),(CE$1+106)-4)</f>
        <v/>
      </c>
      <c r="CC110">
        <f>IF((CE$1+106)&gt;CC$1,NA(),INDEX('Data Entry'!$H$5:$BE$10004,(CE$1+106)-4,$B$20))</f>
        <v/>
      </c>
      <c r="CD110">
        <f>IF(ISNA(CB110),NA(),INDEX(Capability!$K$5:$K$54,$B$20))</f>
        <v/>
      </c>
      <c r="CE110">
        <f>IF(ISNA(CB110),NA(),INDEX(Capability!$J$5:$J$54,$B$20))</f>
        <v/>
      </c>
      <c r="CF110">
        <f>IF(ISNA(CB110),NA(),INDEX(Capability!$L$5:$L$54,$B$20))</f>
        <v/>
      </c>
      <c r="CG110">
        <f>IF(OR(ISNA(CC110),ISNA(CC109)),NA(),ABS(CC110-CC109))</f>
        <v/>
      </c>
      <c r="CH110">
        <f>IF(ISNA(CB110),NA(),INDEX(Capability!$N$5:$N$54,$B$20))</f>
        <v/>
      </c>
      <c r="CI110">
        <f>IF(ISNA(CB110),NA(),IF(OR(INDEX(Capability!$Q$5:$Q$54,$B$20)="",Settings!$F$7&lt;&gt;"Y"),NA(),INDEX(Capability!$Q$5:$Q$54,$B$20)))</f>
        <v/>
      </c>
      <c r="CJ110">
        <f>IF(ISNA(CB110),NA(),IF(OR(INDEX(Capability!$P$5:$P$54,$B$20)="",Settings!$F$7&lt;&gt;"Y"),NA(),INDEX(Capability!$P$5:$P$54,$B$20)))</f>
        <v/>
      </c>
      <c r="CP110">
        <f>IF((CS$1+106)&gt;CQ$1,NA(),(CS$1+106)-4)</f>
        <v/>
      </c>
      <c r="CQ110">
        <f>IF((CS$1+106)&gt;CQ$1,NA(),INDEX('Data Entry'!$H$5:$BE$10004,(CS$1+106)-4,$B$21))</f>
        <v/>
      </c>
      <c r="CR110">
        <f>IF(ISNA(CP110),NA(),INDEX(Capability!$K$5:$K$54,$B$21))</f>
        <v/>
      </c>
      <c r="CS110">
        <f>IF(ISNA(CP110),NA(),INDEX(Capability!$J$5:$J$54,$B$21))</f>
        <v/>
      </c>
      <c r="CT110">
        <f>IF(ISNA(CP110),NA(),INDEX(Capability!$L$5:$L$54,$B$21))</f>
        <v/>
      </c>
      <c r="CU110">
        <f>IF(OR(ISNA(CQ110),ISNA(CQ109)),NA(),ABS(CQ110-CQ109))</f>
        <v/>
      </c>
      <c r="CV110">
        <f>IF(ISNA(CP110),NA(),INDEX(Capability!$N$5:$N$54,$B$21))</f>
        <v/>
      </c>
      <c r="CW110">
        <f>IF(ISNA(CP110),NA(),IF(OR(INDEX(Capability!$Q$5:$Q$54,$B$21)="",Settings!$F$7&lt;&gt;"Y"),NA(),INDEX(Capability!$Q$5:$Q$54,$B$21)))</f>
        <v/>
      </c>
      <c r="CX110">
        <f>IF(ISNA(CP110),NA(),IF(OR(INDEX(Capability!$P$5:$P$54,$B$21)="",Settings!$F$7&lt;&gt;"Y"),NA(),INDEX(Capability!$P$5:$P$54,$B$21)))</f>
        <v/>
      </c>
      <c r="DD110">
        <f>IF((DG$1+106)&gt;DE$1,NA(),(DG$1+106)-4)</f>
        <v/>
      </c>
      <c r="DE110">
        <f>IF((DG$1+106)&gt;DE$1,NA(),INDEX('Data Entry'!$H$5:$BE$10004,(DG$1+106)-4,$B$22))</f>
        <v/>
      </c>
      <c r="DF110">
        <f>IF(ISNA(DD110),NA(),INDEX(Capability!$K$5:$K$54,$B$22))</f>
        <v/>
      </c>
      <c r="DG110">
        <f>IF(ISNA(DD110),NA(),INDEX(Capability!$J$5:$J$54,$B$22))</f>
        <v/>
      </c>
      <c r="DH110">
        <f>IF(ISNA(DD110),NA(),INDEX(Capability!$L$5:$L$54,$B$22))</f>
        <v/>
      </c>
      <c r="DI110">
        <f>IF(OR(ISNA(DE110),ISNA(DE109)),NA(),ABS(DE110-DE109))</f>
        <v/>
      </c>
      <c r="DJ110">
        <f>IF(ISNA(DD110),NA(),INDEX(Capability!$N$5:$N$54,$B$22))</f>
        <v/>
      </c>
      <c r="DK110">
        <f>IF(ISNA(DD110),NA(),IF(OR(INDEX(Capability!$Q$5:$Q$54,$B$22)="",Settings!$F$7&lt;&gt;"Y"),NA(),INDEX(Capability!$Q$5:$Q$54,$B$22)))</f>
        <v/>
      </c>
      <c r="DL110">
        <f>IF(ISNA(DD110),NA(),IF(OR(INDEX(Capability!$P$5:$P$54,$B$22)="",Settings!$F$7&lt;&gt;"Y"),NA(),INDEX(Capability!$P$5:$P$54,$B$22)))</f>
        <v/>
      </c>
      <c r="DR110">
        <f>IF((DU$1+106)&gt;DS$1,NA(),(DU$1+106)-4)</f>
        <v/>
      </c>
      <c r="DS110">
        <f>IF((DU$1+106)&gt;DS$1,NA(),INDEX('Data Entry'!$H$5:$BE$10004,(DU$1+106)-4,$B$23))</f>
        <v/>
      </c>
      <c r="DT110">
        <f>IF(ISNA(DR110),NA(),INDEX(Capability!$K$5:$K$54,$B$23))</f>
        <v/>
      </c>
      <c r="DU110">
        <f>IF(ISNA(DR110),NA(),INDEX(Capability!$J$5:$J$54,$B$23))</f>
        <v/>
      </c>
      <c r="DV110">
        <f>IF(ISNA(DR110),NA(),INDEX(Capability!$L$5:$L$54,$B$23))</f>
        <v/>
      </c>
      <c r="DW110">
        <f>IF(OR(ISNA(DS110),ISNA(DS109)),NA(),ABS(DS110-DS109))</f>
        <v/>
      </c>
      <c r="DX110">
        <f>IF(ISNA(DR110),NA(),INDEX(Capability!$N$5:$N$54,$B$23))</f>
        <v/>
      </c>
      <c r="DY110">
        <f>IF(ISNA(DR110),NA(),IF(OR(INDEX(Capability!$Q$5:$Q$54,$B$23)="",Settings!$F$7&lt;&gt;"Y"),NA(),INDEX(Capability!$Q$5:$Q$54,$B$23)))</f>
        <v/>
      </c>
      <c r="DZ110">
        <f>IF(ISNA(DR110),NA(),IF(OR(INDEX(Capability!$P$5:$P$54,$B$23)="",Settings!$F$7&lt;&gt;"Y"),NA(),INDEX(Capability!$P$5:$P$54,$B$23)))</f>
        <v/>
      </c>
    </row>
    <row r="111">
      <c r="A111" s="35" t="inlineStr">
        <is>
          <t>Min</t>
        </is>
      </c>
      <c r="B111" s="23">
        <f>INDEX(Capability!$E$5:$E$54,$B$22)</f>
        <v/>
      </c>
      <c r="CB111">
        <f>IF((CE$1+107)&gt;CC$1,NA(),(CE$1+107)-4)</f>
        <v/>
      </c>
      <c r="CC111">
        <f>IF((CE$1+107)&gt;CC$1,NA(),INDEX('Data Entry'!$H$5:$BE$10004,(CE$1+107)-4,$B$20))</f>
        <v/>
      </c>
      <c r="CD111">
        <f>IF(ISNA(CB111),NA(),INDEX(Capability!$K$5:$K$54,$B$20))</f>
        <v/>
      </c>
      <c r="CE111">
        <f>IF(ISNA(CB111),NA(),INDEX(Capability!$J$5:$J$54,$B$20))</f>
        <v/>
      </c>
      <c r="CF111">
        <f>IF(ISNA(CB111),NA(),INDEX(Capability!$L$5:$L$54,$B$20))</f>
        <v/>
      </c>
      <c r="CG111">
        <f>IF(OR(ISNA(CC111),ISNA(CC110)),NA(),ABS(CC111-CC110))</f>
        <v/>
      </c>
      <c r="CH111">
        <f>IF(ISNA(CB111),NA(),INDEX(Capability!$N$5:$N$54,$B$20))</f>
        <v/>
      </c>
      <c r="CI111">
        <f>IF(ISNA(CB111),NA(),IF(OR(INDEX(Capability!$Q$5:$Q$54,$B$20)="",Settings!$F$7&lt;&gt;"Y"),NA(),INDEX(Capability!$Q$5:$Q$54,$B$20)))</f>
        <v/>
      </c>
      <c r="CJ111">
        <f>IF(ISNA(CB111),NA(),IF(OR(INDEX(Capability!$P$5:$P$54,$B$20)="",Settings!$F$7&lt;&gt;"Y"),NA(),INDEX(Capability!$P$5:$P$54,$B$20)))</f>
        <v/>
      </c>
      <c r="CP111">
        <f>IF((CS$1+107)&gt;CQ$1,NA(),(CS$1+107)-4)</f>
        <v/>
      </c>
      <c r="CQ111">
        <f>IF((CS$1+107)&gt;CQ$1,NA(),INDEX('Data Entry'!$H$5:$BE$10004,(CS$1+107)-4,$B$21))</f>
        <v/>
      </c>
      <c r="CR111">
        <f>IF(ISNA(CP111),NA(),INDEX(Capability!$K$5:$K$54,$B$21))</f>
        <v/>
      </c>
      <c r="CS111">
        <f>IF(ISNA(CP111),NA(),INDEX(Capability!$J$5:$J$54,$B$21))</f>
        <v/>
      </c>
      <c r="CT111">
        <f>IF(ISNA(CP111),NA(),INDEX(Capability!$L$5:$L$54,$B$21))</f>
        <v/>
      </c>
      <c r="CU111">
        <f>IF(OR(ISNA(CQ111),ISNA(CQ110)),NA(),ABS(CQ111-CQ110))</f>
        <v/>
      </c>
      <c r="CV111">
        <f>IF(ISNA(CP111),NA(),INDEX(Capability!$N$5:$N$54,$B$21))</f>
        <v/>
      </c>
      <c r="CW111">
        <f>IF(ISNA(CP111),NA(),IF(OR(INDEX(Capability!$Q$5:$Q$54,$B$21)="",Settings!$F$7&lt;&gt;"Y"),NA(),INDEX(Capability!$Q$5:$Q$54,$B$21)))</f>
        <v/>
      </c>
      <c r="CX111">
        <f>IF(ISNA(CP111),NA(),IF(OR(INDEX(Capability!$P$5:$P$54,$B$21)="",Settings!$F$7&lt;&gt;"Y"),NA(),INDEX(Capability!$P$5:$P$54,$B$21)))</f>
        <v/>
      </c>
      <c r="DD111">
        <f>IF((DG$1+107)&gt;DE$1,NA(),(DG$1+107)-4)</f>
        <v/>
      </c>
      <c r="DE111">
        <f>IF((DG$1+107)&gt;DE$1,NA(),INDEX('Data Entry'!$H$5:$BE$10004,(DG$1+107)-4,$B$22))</f>
        <v/>
      </c>
      <c r="DF111">
        <f>IF(ISNA(DD111),NA(),INDEX(Capability!$K$5:$K$54,$B$22))</f>
        <v/>
      </c>
      <c r="DG111">
        <f>IF(ISNA(DD111),NA(),INDEX(Capability!$J$5:$J$54,$B$22))</f>
        <v/>
      </c>
      <c r="DH111">
        <f>IF(ISNA(DD111),NA(),INDEX(Capability!$L$5:$L$54,$B$22))</f>
        <v/>
      </c>
      <c r="DI111">
        <f>IF(OR(ISNA(DE111),ISNA(DE110)),NA(),ABS(DE111-DE110))</f>
        <v/>
      </c>
      <c r="DJ111">
        <f>IF(ISNA(DD111),NA(),INDEX(Capability!$N$5:$N$54,$B$22))</f>
        <v/>
      </c>
      <c r="DK111">
        <f>IF(ISNA(DD111),NA(),IF(OR(INDEX(Capability!$Q$5:$Q$54,$B$22)="",Settings!$F$7&lt;&gt;"Y"),NA(),INDEX(Capability!$Q$5:$Q$54,$B$22)))</f>
        <v/>
      </c>
      <c r="DL111">
        <f>IF(ISNA(DD111),NA(),IF(OR(INDEX(Capability!$P$5:$P$54,$B$22)="",Settings!$F$7&lt;&gt;"Y"),NA(),INDEX(Capability!$P$5:$P$54,$B$22)))</f>
        <v/>
      </c>
      <c r="DR111">
        <f>IF((DU$1+107)&gt;DS$1,NA(),(DU$1+107)-4)</f>
        <v/>
      </c>
      <c r="DS111">
        <f>IF((DU$1+107)&gt;DS$1,NA(),INDEX('Data Entry'!$H$5:$BE$10004,(DU$1+107)-4,$B$23))</f>
        <v/>
      </c>
      <c r="DT111">
        <f>IF(ISNA(DR111),NA(),INDEX(Capability!$K$5:$K$54,$B$23))</f>
        <v/>
      </c>
      <c r="DU111">
        <f>IF(ISNA(DR111),NA(),INDEX(Capability!$J$5:$J$54,$B$23))</f>
        <v/>
      </c>
      <c r="DV111">
        <f>IF(ISNA(DR111),NA(),INDEX(Capability!$L$5:$L$54,$B$23))</f>
        <v/>
      </c>
      <c r="DW111">
        <f>IF(OR(ISNA(DS111),ISNA(DS110)),NA(),ABS(DS111-DS110))</f>
        <v/>
      </c>
      <c r="DX111">
        <f>IF(ISNA(DR111),NA(),INDEX(Capability!$N$5:$N$54,$B$23))</f>
        <v/>
      </c>
      <c r="DY111">
        <f>IF(ISNA(DR111),NA(),IF(OR(INDEX(Capability!$Q$5:$Q$54,$B$23)="",Settings!$F$7&lt;&gt;"Y"),NA(),INDEX(Capability!$Q$5:$Q$54,$B$23)))</f>
        <v/>
      </c>
      <c r="DZ111">
        <f>IF(ISNA(DR111),NA(),IF(OR(INDEX(Capability!$P$5:$P$54,$B$23)="",Settings!$F$7&lt;&gt;"Y"),NA(),INDEX(Capability!$P$5:$P$54,$B$23)))</f>
        <v/>
      </c>
    </row>
    <row r="112">
      <c r="A112" s="35" t="inlineStr">
        <is>
          <t>Max</t>
        </is>
      </c>
      <c r="B112" s="23">
        <f>INDEX(Capability!$F$5:$F$54,$B$22)</f>
        <v/>
      </c>
      <c r="CB112">
        <f>IF((CE$1+108)&gt;CC$1,NA(),(CE$1+108)-4)</f>
        <v/>
      </c>
      <c r="CC112">
        <f>IF((CE$1+108)&gt;CC$1,NA(),INDEX('Data Entry'!$H$5:$BE$10004,(CE$1+108)-4,$B$20))</f>
        <v/>
      </c>
      <c r="CD112">
        <f>IF(ISNA(CB112),NA(),INDEX(Capability!$K$5:$K$54,$B$20))</f>
        <v/>
      </c>
      <c r="CE112">
        <f>IF(ISNA(CB112),NA(),INDEX(Capability!$J$5:$J$54,$B$20))</f>
        <v/>
      </c>
      <c r="CF112">
        <f>IF(ISNA(CB112),NA(),INDEX(Capability!$L$5:$L$54,$B$20))</f>
        <v/>
      </c>
      <c r="CG112">
        <f>IF(OR(ISNA(CC112),ISNA(CC111)),NA(),ABS(CC112-CC111))</f>
        <v/>
      </c>
      <c r="CH112">
        <f>IF(ISNA(CB112),NA(),INDEX(Capability!$N$5:$N$54,$B$20))</f>
        <v/>
      </c>
      <c r="CI112">
        <f>IF(ISNA(CB112),NA(),IF(OR(INDEX(Capability!$Q$5:$Q$54,$B$20)="",Settings!$F$7&lt;&gt;"Y"),NA(),INDEX(Capability!$Q$5:$Q$54,$B$20)))</f>
        <v/>
      </c>
      <c r="CJ112">
        <f>IF(ISNA(CB112),NA(),IF(OR(INDEX(Capability!$P$5:$P$54,$B$20)="",Settings!$F$7&lt;&gt;"Y"),NA(),INDEX(Capability!$P$5:$P$54,$B$20)))</f>
        <v/>
      </c>
      <c r="CP112">
        <f>IF((CS$1+108)&gt;CQ$1,NA(),(CS$1+108)-4)</f>
        <v/>
      </c>
      <c r="CQ112">
        <f>IF((CS$1+108)&gt;CQ$1,NA(),INDEX('Data Entry'!$H$5:$BE$10004,(CS$1+108)-4,$B$21))</f>
        <v/>
      </c>
      <c r="CR112">
        <f>IF(ISNA(CP112),NA(),INDEX(Capability!$K$5:$K$54,$B$21))</f>
        <v/>
      </c>
      <c r="CS112">
        <f>IF(ISNA(CP112),NA(),INDEX(Capability!$J$5:$J$54,$B$21))</f>
        <v/>
      </c>
      <c r="CT112">
        <f>IF(ISNA(CP112),NA(),INDEX(Capability!$L$5:$L$54,$B$21))</f>
        <v/>
      </c>
      <c r="CU112">
        <f>IF(OR(ISNA(CQ112),ISNA(CQ111)),NA(),ABS(CQ112-CQ111))</f>
        <v/>
      </c>
      <c r="CV112">
        <f>IF(ISNA(CP112),NA(),INDEX(Capability!$N$5:$N$54,$B$21))</f>
        <v/>
      </c>
      <c r="CW112">
        <f>IF(ISNA(CP112),NA(),IF(OR(INDEX(Capability!$Q$5:$Q$54,$B$21)="",Settings!$F$7&lt;&gt;"Y"),NA(),INDEX(Capability!$Q$5:$Q$54,$B$21)))</f>
        <v/>
      </c>
      <c r="CX112">
        <f>IF(ISNA(CP112),NA(),IF(OR(INDEX(Capability!$P$5:$P$54,$B$21)="",Settings!$F$7&lt;&gt;"Y"),NA(),INDEX(Capability!$P$5:$P$54,$B$21)))</f>
        <v/>
      </c>
      <c r="DD112">
        <f>IF((DG$1+108)&gt;DE$1,NA(),(DG$1+108)-4)</f>
        <v/>
      </c>
      <c r="DE112">
        <f>IF((DG$1+108)&gt;DE$1,NA(),INDEX('Data Entry'!$H$5:$BE$10004,(DG$1+108)-4,$B$22))</f>
        <v/>
      </c>
      <c r="DF112">
        <f>IF(ISNA(DD112),NA(),INDEX(Capability!$K$5:$K$54,$B$22))</f>
        <v/>
      </c>
      <c r="DG112">
        <f>IF(ISNA(DD112),NA(),INDEX(Capability!$J$5:$J$54,$B$22))</f>
        <v/>
      </c>
      <c r="DH112">
        <f>IF(ISNA(DD112),NA(),INDEX(Capability!$L$5:$L$54,$B$22))</f>
        <v/>
      </c>
      <c r="DI112">
        <f>IF(OR(ISNA(DE112),ISNA(DE111)),NA(),ABS(DE112-DE111))</f>
        <v/>
      </c>
      <c r="DJ112">
        <f>IF(ISNA(DD112),NA(),INDEX(Capability!$N$5:$N$54,$B$22))</f>
        <v/>
      </c>
      <c r="DK112">
        <f>IF(ISNA(DD112),NA(),IF(OR(INDEX(Capability!$Q$5:$Q$54,$B$22)="",Settings!$F$7&lt;&gt;"Y"),NA(),INDEX(Capability!$Q$5:$Q$54,$B$22)))</f>
        <v/>
      </c>
      <c r="DL112">
        <f>IF(ISNA(DD112),NA(),IF(OR(INDEX(Capability!$P$5:$P$54,$B$22)="",Settings!$F$7&lt;&gt;"Y"),NA(),INDEX(Capability!$P$5:$P$54,$B$22)))</f>
        <v/>
      </c>
      <c r="DR112">
        <f>IF((DU$1+108)&gt;DS$1,NA(),(DU$1+108)-4)</f>
        <v/>
      </c>
      <c r="DS112">
        <f>IF((DU$1+108)&gt;DS$1,NA(),INDEX('Data Entry'!$H$5:$BE$10004,(DU$1+108)-4,$B$23))</f>
        <v/>
      </c>
      <c r="DT112">
        <f>IF(ISNA(DR112),NA(),INDEX(Capability!$K$5:$K$54,$B$23))</f>
        <v/>
      </c>
      <c r="DU112">
        <f>IF(ISNA(DR112),NA(),INDEX(Capability!$J$5:$J$54,$B$23))</f>
        <v/>
      </c>
      <c r="DV112">
        <f>IF(ISNA(DR112),NA(),INDEX(Capability!$L$5:$L$54,$B$23))</f>
        <v/>
      </c>
      <c r="DW112">
        <f>IF(OR(ISNA(DS112),ISNA(DS111)),NA(),ABS(DS112-DS111))</f>
        <v/>
      </c>
      <c r="DX112">
        <f>IF(ISNA(DR112),NA(),INDEX(Capability!$N$5:$N$54,$B$23))</f>
        <v/>
      </c>
      <c r="DY112">
        <f>IF(ISNA(DR112),NA(),IF(OR(INDEX(Capability!$Q$5:$Q$54,$B$23)="",Settings!$F$7&lt;&gt;"Y"),NA(),INDEX(Capability!$Q$5:$Q$54,$B$23)))</f>
        <v/>
      </c>
      <c r="DZ112">
        <f>IF(ISNA(DR112),NA(),IF(OR(INDEX(Capability!$P$5:$P$54,$B$23)="",Settings!$F$7&lt;&gt;"Y"),NA(),INDEX(Capability!$P$5:$P$54,$B$23)))</f>
        <v/>
      </c>
    </row>
    <row r="113">
      <c r="A113" s="35" t="inlineStr">
        <is>
          <t>Range</t>
        </is>
      </c>
      <c r="B113" s="23">
        <f>INDEX(Capability!$G$5:$G$54,$B$22)</f>
        <v/>
      </c>
      <c r="CB113">
        <f>IF((CE$1+109)&gt;CC$1,NA(),(CE$1+109)-4)</f>
        <v/>
      </c>
      <c r="CC113">
        <f>IF((CE$1+109)&gt;CC$1,NA(),INDEX('Data Entry'!$H$5:$BE$10004,(CE$1+109)-4,$B$20))</f>
        <v/>
      </c>
      <c r="CD113">
        <f>IF(ISNA(CB113),NA(),INDEX(Capability!$K$5:$K$54,$B$20))</f>
        <v/>
      </c>
      <c r="CE113">
        <f>IF(ISNA(CB113),NA(),INDEX(Capability!$J$5:$J$54,$B$20))</f>
        <v/>
      </c>
      <c r="CF113">
        <f>IF(ISNA(CB113),NA(),INDEX(Capability!$L$5:$L$54,$B$20))</f>
        <v/>
      </c>
      <c r="CG113">
        <f>IF(OR(ISNA(CC113),ISNA(CC112)),NA(),ABS(CC113-CC112))</f>
        <v/>
      </c>
      <c r="CH113">
        <f>IF(ISNA(CB113),NA(),INDEX(Capability!$N$5:$N$54,$B$20))</f>
        <v/>
      </c>
      <c r="CI113">
        <f>IF(ISNA(CB113),NA(),IF(OR(INDEX(Capability!$Q$5:$Q$54,$B$20)="",Settings!$F$7&lt;&gt;"Y"),NA(),INDEX(Capability!$Q$5:$Q$54,$B$20)))</f>
        <v/>
      </c>
      <c r="CJ113">
        <f>IF(ISNA(CB113),NA(),IF(OR(INDEX(Capability!$P$5:$P$54,$B$20)="",Settings!$F$7&lt;&gt;"Y"),NA(),INDEX(Capability!$P$5:$P$54,$B$20)))</f>
        <v/>
      </c>
      <c r="CP113">
        <f>IF((CS$1+109)&gt;CQ$1,NA(),(CS$1+109)-4)</f>
        <v/>
      </c>
      <c r="CQ113">
        <f>IF((CS$1+109)&gt;CQ$1,NA(),INDEX('Data Entry'!$H$5:$BE$10004,(CS$1+109)-4,$B$21))</f>
        <v/>
      </c>
      <c r="CR113">
        <f>IF(ISNA(CP113),NA(),INDEX(Capability!$K$5:$K$54,$B$21))</f>
        <v/>
      </c>
      <c r="CS113">
        <f>IF(ISNA(CP113),NA(),INDEX(Capability!$J$5:$J$54,$B$21))</f>
        <v/>
      </c>
      <c r="CT113">
        <f>IF(ISNA(CP113),NA(),INDEX(Capability!$L$5:$L$54,$B$21))</f>
        <v/>
      </c>
      <c r="CU113">
        <f>IF(OR(ISNA(CQ113),ISNA(CQ112)),NA(),ABS(CQ113-CQ112))</f>
        <v/>
      </c>
      <c r="CV113">
        <f>IF(ISNA(CP113),NA(),INDEX(Capability!$N$5:$N$54,$B$21))</f>
        <v/>
      </c>
      <c r="CW113">
        <f>IF(ISNA(CP113),NA(),IF(OR(INDEX(Capability!$Q$5:$Q$54,$B$21)="",Settings!$F$7&lt;&gt;"Y"),NA(),INDEX(Capability!$Q$5:$Q$54,$B$21)))</f>
        <v/>
      </c>
      <c r="CX113">
        <f>IF(ISNA(CP113),NA(),IF(OR(INDEX(Capability!$P$5:$P$54,$B$21)="",Settings!$F$7&lt;&gt;"Y"),NA(),INDEX(Capability!$P$5:$P$54,$B$21)))</f>
        <v/>
      </c>
      <c r="DD113">
        <f>IF((DG$1+109)&gt;DE$1,NA(),(DG$1+109)-4)</f>
        <v/>
      </c>
      <c r="DE113">
        <f>IF((DG$1+109)&gt;DE$1,NA(),INDEX('Data Entry'!$H$5:$BE$10004,(DG$1+109)-4,$B$22))</f>
        <v/>
      </c>
      <c r="DF113">
        <f>IF(ISNA(DD113),NA(),INDEX(Capability!$K$5:$K$54,$B$22))</f>
        <v/>
      </c>
      <c r="DG113">
        <f>IF(ISNA(DD113),NA(),INDEX(Capability!$J$5:$J$54,$B$22))</f>
        <v/>
      </c>
      <c r="DH113">
        <f>IF(ISNA(DD113),NA(),INDEX(Capability!$L$5:$L$54,$B$22))</f>
        <v/>
      </c>
      <c r="DI113">
        <f>IF(OR(ISNA(DE113),ISNA(DE112)),NA(),ABS(DE113-DE112))</f>
        <v/>
      </c>
      <c r="DJ113">
        <f>IF(ISNA(DD113),NA(),INDEX(Capability!$N$5:$N$54,$B$22))</f>
        <v/>
      </c>
      <c r="DK113">
        <f>IF(ISNA(DD113),NA(),IF(OR(INDEX(Capability!$Q$5:$Q$54,$B$22)="",Settings!$F$7&lt;&gt;"Y"),NA(),INDEX(Capability!$Q$5:$Q$54,$B$22)))</f>
        <v/>
      </c>
      <c r="DL113">
        <f>IF(ISNA(DD113),NA(),IF(OR(INDEX(Capability!$P$5:$P$54,$B$22)="",Settings!$F$7&lt;&gt;"Y"),NA(),INDEX(Capability!$P$5:$P$54,$B$22)))</f>
        <v/>
      </c>
      <c r="DR113">
        <f>IF((DU$1+109)&gt;DS$1,NA(),(DU$1+109)-4)</f>
        <v/>
      </c>
      <c r="DS113">
        <f>IF((DU$1+109)&gt;DS$1,NA(),INDEX('Data Entry'!$H$5:$BE$10004,(DU$1+109)-4,$B$23))</f>
        <v/>
      </c>
      <c r="DT113">
        <f>IF(ISNA(DR113),NA(),INDEX(Capability!$K$5:$K$54,$B$23))</f>
        <v/>
      </c>
      <c r="DU113">
        <f>IF(ISNA(DR113),NA(),INDEX(Capability!$J$5:$J$54,$B$23))</f>
        <v/>
      </c>
      <c r="DV113">
        <f>IF(ISNA(DR113),NA(),INDEX(Capability!$L$5:$L$54,$B$23))</f>
        <v/>
      </c>
      <c r="DW113">
        <f>IF(OR(ISNA(DS113),ISNA(DS112)),NA(),ABS(DS113-DS112))</f>
        <v/>
      </c>
      <c r="DX113">
        <f>IF(ISNA(DR113),NA(),INDEX(Capability!$N$5:$N$54,$B$23))</f>
        <v/>
      </c>
      <c r="DY113">
        <f>IF(ISNA(DR113),NA(),IF(OR(INDEX(Capability!$Q$5:$Q$54,$B$23)="",Settings!$F$7&lt;&gt;"Y"),NA(),INDEX(Capability!$Q$5:$Q$54,$B$23)))</f>
        <v/>
      </c>
      <c r="DZ113">
        <f>IF(ISNA(DR113),NA(),IF(OR(INDEX(Capability!$P$5:$P$54,$B$23)="",Settings!$F$7&lt;&gt;"Y"),NA(),INDEX(Capability!$P$5:$P$54,$B$23)))</f>
        <v/>
      </c>
    </row>
    <row r="114">
      <c r="A114" s="35" t="inlineStr">
        <is>
          <t>Mean</t>
        </is>
      </c>
      <c r="B114" s="23">
        <f>INDEX(Capability!$C$5:$C$54,$B$22)</f>
        <v/>
      </c>
      <c r="CB114">
        <f>IF((CE$1+110)&gt;CC$1,NA(),(CE$1+110)-4)</f>
        <v/>
      </c>
      <c r="CC114">
        <f>IF((CE$1+110)&gt;CC$1,NA(),INDEX('Data Entry'!$H$5:$BE$10004,(CE$1+110)-4,$B$20))</f>
        <v/>
      </c>
      <c r="CD114">
        <f>IF(ISNA(CB114),NA(),INDEX(Capability!$K$5:$K$54,$B$20))</f>
        <v/>
      </c>
      <c r="CE114">
        <f>IF(ISNA(CB114),NA(),INDEX(Capability!$J$5:$J$54,$B$20))</f>
        <v/>
      </c>
      <c r="CF114">
        <f>IF(ISNA(CB114),NA(),INDEX(Capability!$L$5:$L$54,$B$20))</f>
        <v/>
      </c>
      <c r="CG114">
        <f>IF(OR(ISNA(CC114),ISNA(CC113)),NA(),ABS(CC114-CC113))</f>
        <v/>
      </c>
      <c r="CH114">
        <f>IF(ISNA(CB114),NA(),INDEX(Capability!$N$5:$N$54,$B$20))</f>
        <v/>
      </c>
      <c r="CI114">
        <f>IF(ISNA(CB114),NA(),IF(OR(INDEX(Capability!$Q$5:$Q$54,$B$20)="",Settings!$F$7&lt;&gt;"Y"),NA(),INDEX(Capability!$Q$5:$Q$54,$B$20)))</f>
        <v/>
      </c>
      <c r="CJ114">
        <f>IF(ISNA(CB114),NA(),IF(OR(INDEX(Capability!$P$5:$P$54,$B$20)="",Settings!$F$7&lt;&gt;"Y"),NA(),INDEX(Capability!$P$5:$P$54,$B$20)))</f>
        <v/>
      </c>
      <c r="CP114">
        <f>IF((CS$1+110)&gt;CQ$1,NA(),(CS$1+110)-4)</f>
        <v/>
      </c>
      <c r="CQ114">
        <f>IF((CS$1+110)&gt;CQ$1,NA(),INDEX('Data Entry'!$H$5:$BE$10004,(CS$1+110)-4,$B$21))</f>
        <v/>
      </c>
      <c r="CR114">
        <f>IF(ISNA(CP114),NA(),INDEX(Capability!$K$5:$K$54,$B$21))</f>
        <v/>
      </c>
      <c r="CS114">
        <f>IF(ISNA(CP114),NA(),INDEX(Capability!$J$5:$J$54,$B$21))</f>
        <v/>
      </c>
      <c r="CT114">
        <f>IF(ISNA(CP114),NA(),INDEX(Capability!$L$5:$L$54,$B$21))</f>
        <v/>
      </c>
      <c r="CU114">
        <f>IF(OR(ISNA(CQ114),ISNA(CQ113)),NA(),ABS(CQ114-CQ113))</f>
        <v/>
      </c>
      <c r="CV114">
        <f>IF(ISNA(CP114),NA(),INDEX(Capability!$N$5:$N$54,$B$21))</f>
        <v/>
      </c>
      <c r="CW114">
        <f>IF(ISNA(CP114),NA(),IF(OR(INDEX(Capability!$Q$5:$Q$54,$B$21)="",Settings!$F$7&lt;&gt;"Y"),NA(),INDEX(Capability!$Q$5:$Q$54,$B$21)))</f>
        <v/>
      </c>
      <c r="CX114">
        <f>IF(ISNA(CP114),NA(),IF(OR(INDEX(Capability!$P$5:$P$54,$B$21)="",Settings!$F$7&lt;&gt;"Y"),NA(),INDEX(Capability!$P$5:$P$54,$B$21)))</f>
        <v/>
      </c>
      <c r="DD114">
        <f>IF((DG$1+110)&gt;DE$1,NA(),(DG$1+110)-4)</f>
        <v/>
      </c>
      <c r="DE114">
        <f>IF((DG$1+110)&gt;DE$1,NA(),INDEX('Data Entry'!$H$5:$BE$10004,(DG$1+110)-4,$B$22))</f>
        <v/>
      </c>
      <c r="DF114">
        <f>IF(ISNA(DD114),NA(),INDEX(Capability!$K$5:$K$54,$B$22))</f>
        <v/>
      </c>
      <c r="DG114">
        <f>IF(ISNA(DD114),NA(),INDEX(Capability!$J$5:$J$54,$B$22))</f>
        <v/>
      </c>
      <c r="DH114">
        <f>IF(ISNA(DD114),NA(),INDEX(Capability!$L$5:$L$54,$B$22))</f>
        <v/>
      </c>
      <c r="DI114">
        <f>IF(OR(ISNA(DE114),ISNA(DE113)),NA(),ABS(DE114-DE113))</f>
        <v/>
      </c>
      <c r="DJ114">
        <f>IF(ISNA(DD114),NA(),INDEX(Capability!$N$5:$N$54,$B$22))</f>
        <v/>
      </c>
      <c r="DK114">
        <f>IF(ISNA(DD114),NA(),IF(OR(INDEX(Capability!$Q$5:$Q$54,$B$22)="",Settings!$F$7&lt;&gt;"Y"),NA(),INDEX(Capability!$Q$5:$Q$54,$B$22)))</f>
        <v/>
      </c>
      <c r="DL114">
        <f>IF(ISNA(DD114),NA(),IF(OR(INDEX(Capability!$P$5:$P$54,$B$22)="",Settings!$F$7&lt;&gt;"Y"),NA(),INDEX(Capability!$P$5:$P$54,$B$22)))</f>
        <v/>
      </c>
      <c r="DR114">
        <f>IF((DU$1+110)&gt;DS$1,NA(),(DU$1+110)-4)</f>
        <v/>
      </c>
      <c r="DS114">
        <f>IF((DU$1+110)&gt;DS$1,NA(),INDEX('Data Entry'!$H$5:$BE$10004,(DU$1+110)-4,$B$23))</f>
        <v/>
      </c>
      <c r="DT114">
        <f>IF(ISNA(DR114),NA(),INDEX(Capability!$K$5:$K$54,$B$23))</f>
        <v/>
      </c>
      <c r="DU114">
        <f>IF(ISNA(DR114),NA(),INDEX(Capability!$J$5:$J$54,$B$23))</f>
        <v/>
      </c>
      <c r="DV114">
        <f>IF(ISNA(DR114),NA(),INDEX(Capability!$L$5:$L$54,$B$23))</f>
        <v/>
      </c>
      <c r="DW114">
        <f>IF(OR(ISNA(DS114),ISNA(DS113)),NA(),ABS(DS114-DS113))</f>
        <v/>
      </c>
      <c r="DX114">
        <f>IF(ISNA(DR114),NA(),INDEX(Capability!$N$5:$N$54,$B$23))</f>
        <v/>
      </c>
      <c r="DY114">
        <f>IF(ISNA(DR114),NA(),IF(OR(INDEX(Capability!$Q$5:$Q$54,$B$23)="",Settings!$F$7&lt;&gt;"Y"),NA(),INDEX(Capability!$Q$5:$Q$54,$B$23)))</f>
        <v/>
      </c>
      <c r="DZ114">
        <f>IF(ISNA(DR114),NA(),IF(OR(INDEX(Capability!$P$5:$P$54,$B$23)="",Settings!$F$7&lt;&gt;"Y"),NA(),INDEX(Capability!$P$5:$P$54,$B$23)))</f>
        <v/>
      </c>
    </row>
    <row r="115">
      <c r="A115" s="35" t="inlineStr">
        <is>
          <t>Median</t>
        </is>
      </c>
      <c r="B115" s="23">
        <f>INDEX(Capability!$D$5:$D$54,$B$22)</f>
        <v/>
      </c>
      <c r="CB115">
        <f>IF((CE$1+111)&gt;CC$1,NA(),(CE$1+111)-4)</f>
        <v/>
      </c>
      <c r="CC115">
        <f>IF((CE$1+111)&gt;CC$1,NA(),INDEX('Data Entry'!$H$5:$BE$10004,(CE$1+111)-4,$B$20))</f>
        <v/>
      </c>
      <c r="CD115">
        <f>IF(ISNA(CB115),NA(),INDEX(Capability!$K$5:$K$54,$B$20))</f>
        <v/>
      </c>
      <c r="CE115">
        <f>IF(ISNA(CB115),NA(),INDEX(Capability!$J$5:$J$54,$B$20))</f>
        <v/>
      </c>
      <c r="CF115">
        <f>IF(ISNA(CB115),NA(),INDEX(Capability!$L$5:$L$54,$B$20))</f>
        <v/>
      </c>
      <c r="CG115">
        <f>IF(OR(ISNA(CC115),ISNA(CC114)),NA(),ABS(CC115-CC114))</f>
        <v/>
      </c>
      <c r="CH115">
        <f>IF(ISNA(CB115),NA(),INDEX(Capability!$N$5:$N$54,$B$20))</f>
        <v/>
      </c>
      <c r="CI115">
        <f>IF(ISNA(CB115),NA(),IF(OR(INDEX(Capability!$Q$5:$Q$54,$B$20)="",Settings!$F$7&lt;&gt;"Y"),NA(),INDEX(Capability!$Q$5:$Q$54,$B$20)))</f>
        <v/>
      </c>
      <c r="CJ115">
        <f>IF(ISNA(CB115),NA(),IF(OR(INDEX(Capability!$P$5:$P$54,$B$20)="",Settings!$F$7&lt;&gt;"Y"),NA(),INDEX(Capability!$P$5:$P$54,$B$20)))</f>
        <v/>
      </c>
      <c r="CP115">
        <f>IF((CS$1+111)&gt;CQ$1,NA(),(CS$1+111)-4)</f>
        <v/>
      </c>
      <c r="CQ115">
        <f>IF((CS$1+111)&gt;CQ$1,NA(),INDEX('Data Entry'!$H$5:$BE$10004,(CS$1+111)-4,$B$21))</f>
        <v/>
      </c>
      <c r="CR115">
        <f>IF(ISNA(CP115),NA(),INDEX(Capability!$K$5:$K$54,$B$21))</f>
        <v/>
      </c>
      <c r="CS115">
        <f>IF(ISNA(CP115),NA(),INDEX(Capability!$J$5:$J$54,$B$21))</f>
        <v/>
      </c>
      <c r="CT115">
        <f>IF(ISNA(CP115),NA(),INDEX(Capability!$L$5:$L$54,$B$21))</f>
        <v/>
      </c>
      <c r="CU115">
        <f>IF(OR(ISNA(CQ115),ISNA(CQ114)),NA(),ABS(CQ115-CQ114))</f>
        <v/>
      </c>
      <c r="CV115">
        <f>IF(ISNA(CP115),NA(),INDEX(Capability!$N$5:$N$54,$B$21))</f>
        <v/>
      </c>
      <c r="CW115">
        <f>IF(ISNA(CP115),NA(),IF(OR(INDEX(Capability!$Q$5:$Q$54,$B$21)="",Settings!$F$7&lt;&gt;"Y"),NA(),INDEX(Capability!$Q$5:$Q$54,$B$21)))</f>
        <v/>
      </c>
      <c r="CX115">
        <f>IF(ISNA(CP115),NA(),IF(OR(INDEX(Capability!$P$5:$P$54,$B$21)="",Settings!$F$7&lt;&gt;"Y"),NA(),INDEX(Capability!$P$5:$P$54,$B$21)))</f>
        <v/>
      </c>
      <c r="DD115">
        <f>IF((DG$1+111)&gt;DE$1,NA(),(DG$1+111)-4)</f>
        <v/>
      </c>
      <c r="DE115">
        <f>IF((DG$1+111)&gt;DE$1,NA(),INDEX('Data Entry'!$H$5:$BE$10004,(DG$1+111)-4,$B$22))</f>
        <v/>
      </c>
      <c r="DF115">
        <f>IF(ISNA(DD115),NA(),INDEX(Capability!$K$5:$K$54,$B$22))</f>
        <v/>
      </c>
      <c r="DG115">
        <f>IF(ISNA(DD115),NA(),INDEX(Capability!$J$5:$J$54,$B$22))</f>
        <v/>
      </c>
      <c r="DH115">
        <f>IF(ISNA(DD115),NA(),INDEX(Capability!$L$5:$L$54,$B$22))</f>
        <v/>
      </c>
      <c r="DI115">
        <f>IF(OR(ISNA(DE115),ISNA(DE114)),NA(),ABS(DE115-DE114))</f>
        <v/>
      </c>
      <c r="DJ115">
        <f>IF(ISNA(DD115),NA(),INDEX(Capability!$N$5:$N$54,$B$22))</f>
        <v/>
      </c>
      <c r="DK115">
        <f>IF(ISNA(DD115),NA(),IF(OR(INDEX(Capability!$Q$5:$Q$54,$B$22)="",Settings!$F$7&lt;&gt;"Y"),NA(),INDEX(Capability!$Q$5:$Q$54,$B$22)))</f>
        <v/>
      </c>
      <c r="DL115">
        <f>IF(ISNA(DD115),NA(),IF(OR(INDEX(Capability!$P$5:$P$54,$B$22)="",Settings!$F$7&lt;&gt;"Y"),NA(),INDEX(Capability!$P$5:$P$54,$B$22)))</f>
        <v/>
      </c>
      <c r="DR115">
        <f>IF((DU$1+111)&gt;DS$1,NA(),(DU$1+111)-4)</f>
        <v/>
      </c>
      <c r="DS115">
        <f>IF((DU$1+111)&gt;DS$1,NA(),INDEX('Data Entry'!$H$5:$BE$10004,(DU$1+111)-4,$B$23))</f>
        <v/>
      </c>
      <c r="DT115">
        <f>IF(ISNA(DR115),NA(),INDEX(Capability!$K$5:$K$54,$B$23))</f>
        <v/>
      </c>
      <c r="DU115">
        <f>IF(ISNA(DR115),NA(),INDEX(Capability!$J$5:$J$54,$B$23))</f>
        <v/>
      </c>
      <c r="DV115">
        <f>IF(ISNA(DR115),NA(),INDEX(Capability!$L$5:$L$54,$B$23))</f>
        <v/>
      </c>
      <c r="DW115">
        <f>IF(OR(ISNA(DS115),ISNA(DS114)),NA(),ABS(DS115-DS114))</f>
        <v/>
      </c>
      <c r="DX115">
        <f>IF(ISNA(DR115),NA(),INDEX(Capability!$N$5:$N$54,$B$23))</f>
        <v/>
      </c>
      <c r="DY115">
        <f>IF(ISNA(DR115),NA(),IF(OR(INDEX(Capability!$Q$5:$Q$54,$B$23)="",Settings!$F$7&lt;&gt;"Y"),NA(),INDEX(Capability!$Q$5:$Q$54,$B$23)))</f>
        <v/>
      </c>
      <c r="DZ115">
        <f>IF(ISNA(DR115),NA(),IF(OR(INDEX(Capability!$P$5:$P$54,$B$23)="",Settings!$F$7&lt;&gt;"Y"),NA(),INDEX(Capability!$P$5:$P$54,$B$23)))</f>
        <v/>
      </c>
    </row>
    <row r="116">
      <c r="A116" s="35" t="inlineStr">
        <is>
          <t>Std Dev (overall)</t>
        </is>
      </c>
      <c r="B116" s="23">
        <f>INDEX(Capability!$I$5:$I$54,$B$22)</f>
        <v/>
      </c>
      <c r="CB116">
        <f>IF((CE$1+112)&gt;CC$1,NA(),(CE$1+112)-4)</f>
        <v/>
      </c>
      <c r="CC116">
        <f>IF((CE$1+112)&gt;CC$1,NA(),INDEX('Data Entry'!$H$5:$BE$10004,(CE$1+112)-4,$B$20))</f>
        <v/>
      </c>
      <c r="CD116">
        <f>IF(ISNA(CB116),NA(),INDEX(Capability!$K$5:$K$54,$B$20))</f>
        <v/>
      </c>
      <c r="CE116">
        <f>IF(ISNA(CB116),NA(),INDEX(Capability!$J$5:$J$54,$B$20))</f>
        <v/>
      </c>
      <c r="CF116">
        <f>IF(ISNA(CB116),NA(),INDEX(Capability!$L$5:$L$54,$B$20))</f>
        <v/>
      </c>
      <c r="CG116">
        <f>IF(OR(ISNA(CC116),ISNA(CC115)),NA(),ABS(CC116-CC115))</f>
        <v/>
      </c>
      <c r="CH116">
        <f>IF(ISNA(CB116),NA(),INDEX(Capability!$N$5:$N$54,$B$20))</f>
        <v/>
      </c>
      <c r="CI116">
        <f>IF(ISNA(CB116),NA(),IF(OR(INDEX(Capability!$Q$5:$Q$54,$B$20)="",Settings!$F$7&lt;&gt;"Y"),NA(),INDEX(Capability!$Q$5:$Q$54,$B$20)))</f>
        <v/>
      </c>
      <c r="CJ116">
        <f>IF(ISNA(CB116),NA(),IF(OR(INDEX(Capability!$P$5:$P$54,$B$20)="",Settings!$F$7&lt;&gt;"Y"),NA(),INDEX(Capability!$P$5:$P$54,$B$20)))</f>
        <v/>
      </c>
      <c r="CP116">
        <f>IF((CS$1+112)&gt;CQ$1,NA(),(CS$1+112)-4)</f>
        <v/>
      </c>
      <c r="CQ116">
        <f>IF((CS$1+112)&gt;CQ$1,NA(),INDEX('Data Entry'!$H$5:$BE$10004,(CS$1+112)-4,$B$21))</f>
        <v/>
      </c>
      <c r="CR116">
        <f>IF(ISNA(CP116),NA(),INDEX(Capability!$K$5:$K$54,$B$21))</f>
        <v/>
      </c>
      <c r="CS116">
        <f>IF(ISNA(CP116),NA(),INDEX(Capability!$J$5:$J$54,$B$21))</f>
        <v/>
      </c>
      <c r="CT116">
        <f>IF(ISNA(CP116),NA(),INDEX(Capability!$L$5:$L$54,$B$21))</f>
        <v/>
      </c>
      <c r="CU116">
        <f>IF(OR(ISNA(CQ116),ISNA(CQ115)),NA(),ABS(CQ116-CQ115))</f>
        <v/>
      </c>
      <c r="CV116">
        <f>IF(ISNA(CP116),NA(),INDEX(Capability!$N$5:$N$54,$B$21))</f>
        <v/>
      </c>
      <c r="CW116">
        <f>IF(ISNA(CP116),NA(),IF(OR(INDEX(Capability!$Q$5:$Q$54,$B$21)="",Settings!$F$7&lt;&gt;"Y"),NA(),INDEX(Capability!$Q$5:$Q$54,$B$21)))</f>
        <v/>
      </c>
      <c r="CX116">
        <f>IF(ISNA(CP116),NA(),IF(OR(INDEX(Capability!$P$5:$P$54,$B$21)="",Settings!$F$7&lt;&gt;"Y"),NA(),INDEX(Capability!$P$5:$P$54,$B$21)))</f>
        <v/>
      </c>
      <c r="DD116">
        <f>IF((DG$1+112)&gt;DE$1,NA(),(DG$1+112)-4)</f>
        <v/>
      </c>
      <c r="DE116">
        <f>IF((DG$1+112)&gt;DE$1,NA(),INDEX('Data Entry'!$H$5:$BE$10004,(DG$1+112)-4,$B$22))</f>
        <v/>
      </c>
      <c r="DF116">
        <f>IF(ISNA(DD116),NA(),INDEX(Capability!$K$5:$K$54,$B$22))</f>
        <v/>
      </c>
      <c r="DG116">
        <f>IF(ISNA(DD116),NA(),INDEX(Capability!$J$5:$J$54,$B$22))</f>
        <v/>
      </c>
      <c r="DH116">
        <f>IF(ISNA(DD116),NA(),INDEX(Capability!$L$5:$L$54,$B$22))</f>
        <v/>
      </c>
      <c r="DI116">
        <f>IF(OR(ISNA(DE116),ISNA(DE115)),NA(),ABS(DE116-DE115))</f>
        <v/>
      </c>
      <c r="DJ116">
        <f>IF(ISNA(DD116),NA(),INDEX(Capability!$N$5:$N$54,$B$22))</f>
        <v/>
      </c>
      <c r="DK116">
        <f>IF(ISNA(DD116),NA(),IF(OR(INDEX(Capability!$Q$5:$Q$54,$B$22)="",Settings!$F$7&lt;&gt;"Y"),NA(),INDEX(Capability!$Q$5:$Q$54,$B$22)))</f>
        <v/>
      </c>
      <c r="DL116">
        <f>IF(ISNA(DD116),NA(),IF(OR(INDEX(Capability!$P$5:$P$54,$B$22)="",Settings!$F$7&lt;&gt;"Y"),NA(),INDEX(Capability!$P$5:$P$54,$B$22)))</f>
        <v/>
      </c>
      <c r="DR116">
        <f>IF((DU$1+112)&gt;DS$1,NA(),(DU$1+112)-4)</f>
        <v/>
      </c>
      <c r="DS116">
        <f>IF((DU$1+112)&gt;DS$1,NA(),INDEX('Data Entry'!$H$5:$BE$10004,(DU$1+112)-4,$B$23))</f>
        <v/>
      </c>
      <c r="DT116">
        <f>IF(ISNA(DR116),NA(),INDEX(Capability!$K$5:$K$54,$B$23))</f>
        <v/>
      </c>
      <c r="DU116">
        <f>IF(ISNA(DR116),NA(),INDEX(Capability!$J$5:$J$54,$B$23))</f>
        <v/>
      </c>
      <c r="DV116">
        <f>IF(ISNA(DR116),NA(),INDEX(Capability!$L$5:$L$54,$B$23))</f>
        <v/>
      </c>
      <c r="DW116">
        <f>IF(OR(ISNA(DS116),ISNA(DS115)),NA(),ABS(DS116-DS115))</f>
        <v/>
      </c>
      <c r="DX116">
        <f>IF(ISNA(DR116),NA(),INDEX(Capability!$N$5:$N$54,$B$23))</f>
        <v/>
      </c>
      <c r="DY116">
        <f>IF(ISNA(DR116),NA(),IF(OR(INDEX(Capability!$Q$5:$Q$54,$B$23)="",Settings!$F$7&lt;&gt;"Y"),NA(),INDEX(Capability!$Q$5:$Q$54,$B$23)))</f>
        <v/>
      </c>
      <c r="DZ116">
        <f>IF(ISNA(DR116),NA(),IF(OR(INDEX(Capability!$P$5:$P$54,$B$23)="",Settings!$F$7&lt;&gt;"Y"),NA(),INDEX(Capability!$P$5:$P$54,$B$23)))</f>
        <v/>
      </c>
    </row>
    <row r="117">
      <c r="A117" s="35" t="inlineStr">
        <is>
          <t>Sigma (within)</t>
        </is>
      </c>
      <c r="B117" s="23">
        <f>INDEX(Capability!$H$5:$H$54,$B$22)</f>
        <v/>
      </c>
      <c r="CB117">
        <f>IF((CE$1+113)&gt;CC$1,NA(),(CE$1+113)-4)</f>
        <v/>
      </c>
      <c r="CC117">
        <f>IF((CE$1+113)&gt;CC$1,NA(),INDEX('Data Entry'!$H$5:$BE$10004,(CE$1+113)-4,$B$20))</f>
        <v/>
      </c>
      <c r="CD117">
        <f>IF(ISNA(CB117),NA(),INDEX(Capability!$K$5:$K$54,$B$20))</f>
        <v/>
      </c>
      <c r="CE117">
        <f>IF(ISNA(CB117),NA(),INDEX(Capability!$J$5:$J$54,$B$20))</f>
        <v/>
      </c>
      <c r="CF117">
        <f>IF(ISNA(CB117),NA(),INDEX(Capability!$L$5:$L$54,$B$20))</f>
        <v/>
      </c>
      <c r="CG117">
        <f>IF(OR(ISNA(CC117),ISNA(CC116)),NA(),ABS(CC117-CC116))</f>
        <v/>
      </c>
      <c r="CH117">
        <f>IF(ISNA(CB117),NA(),INDEX(Capability!$N$5:$N$54,$B$20))</f>
        <v/>
      </c>
      <c r="CI117">
        <f>IF(ISNA(CB117),NA(),IF(OR(INDEX(Capability!$Q$5:$Q$54,$B$20)="",Settings!$F$7&lt;&gt;"Y"),NA(),INDEX(Capability!$Q$5:$Q$54,$B$20)))</f>
        <v/>
      </c>
      <c r="CJ117">
        <f>IF(ISNA(CB117),NA(),IF(OR(INDEX(Capability!$P$5:$P$54,$B$20)="",Settings!$F$7&lt;&gt;"Y"),NA(),INDEX(Capability!$P$5:$P$54,$B$20)))</f>
        <v/>
      </c>
      <c r="CP117">
        <f>IF((CS$1+113)&gt;CQ$1,NA(),(CS$1+113)-4)</f>
        <v/>
      </c>
      <c r="CQ117">
        <f>IF((CS$1+113)&gt;CQ$1,NA(),INDEX('Data Entry'!$H$5:$BE$10004,(CS$1+113)-4,$B$21))</f>
        <v/>
      </c>
      <c r="CR117">
        <f>IF(ISNA(CP117),NA(),INDEX(Capability!$K$5:$K$54,$B$21))</f>
        <v/>
      </c>
      <c r="CS117">
        <f>IF(ISNA(CP117),NA(),INDEX(Capability!$J$5:$J$54,$B$21))</f>
        <v/>
      </c>
      <c r="CT117">
        <f>IF(ISNA(CP117),NA(),INDEX(Capability!$L$5:$L$54,$B$21))</f>
        <v/>
      </c>
      <c r="CU117">
        <f>IF(OR(ISNA(CQ117),ISNA(CQ116)),NA(),ABS(CQ117-CQ116))</f>
        <v/>
      </c>
      <c r="CV117">
        <f>IF(ISNA(CP117),NA(),INDEX(Capability!$N$5:$N$54,$B$21))</f>
        <v/>
      </c>
      <c r="CW117">
        <f>IF(ISNA(CP117),NA(),IF(OR(INDEX(Capability!$Q$5:$Q$54,$B$21)="",Settings!$F$7&lt;&gt;"Y"),NA(),INDEX(Capability!$Q$5:$Q$54,$B$21)))</f>
        <v/>
      </c>
      <c r="CX117">
        <f>IF(ISNA(CP117),NA(),IF(OR(INDEX(Capability!$P$5:$P$54,$B$21)="",Settings!$F$7&lt;&gt;"Y"),NA(),INDEX(Capability!$P$5:$P$54,$B$21)))</f>
        <v/>
      </c>
      <c r="DD117">
        <f>IF((DG$1+113)&gt;DE$1,NA(),(DG$1+113)-4)</f>
        <v/>
      </c>
      <c r="DE117">
        <f>IF((DG$1+113)&gt;DE$1,NA(),INDEX('Data Entry'!$H$5:$BE$10004,(DG$1+113)-4,$B$22))</f>
        <v/>
      </c>
      <c r="DF117">
        <f>IF(ISNA(DD117),NA(),INDEX(Capability!$K$5:$K$54,$B$22))</f>
        <v/>
      </c>
      <c r="DG117">
        <f>IF(ISNA(DD117),NA(),INDEX(Capability!$J$5:$J$54,$B$22))</f>
        <v/>
      </c>
      <c r="DH117">
        <f>IF(ISNA(DD117),NA(),INDEX(Capability!$L$5:$L$54,$B$22))</f>
        <v/>
      </c>
      <c r="DI117">
        <f>IF(OR(ISNA(DE117),ISNA(DE116)),NA(),ABS(DE117-DE116))</f>
        <v/>
      </c>
      <c r="DJ117">
        <f>IF(ISNA(DD117),NA(),INDEX(Capability!$N$5:$N$54,$B$22))</f>
        <v/>
      </c>
      <c r="DK117">
        <f>IF(ISNA(DD117),NA(),IF(OR(INDEX(Capability!$Q$5:$Q$54,$B$22)="",Settings!$F$7&lt;&gt;"Y"),NA(),INDEX(Capability!$Q$5:$Q$54,$B$22)))</f>
        <v/>
      </c>
      <c r="DL117">
        <f>IF(ISNA(DD117),NA(),IF(OR(INDEX(Capability!$P$5:$P$54,$B$22)="",Settings!$F$7&lt;&gt;"Y"),NA(),INDEX(Capability!$P$5:$P$54,$B$22)))</f>
        <v/>
      </c>
      <c r="DR117">
        <f>IF((DU$1+113)&gt;DS$1,NA(),(DU$1+113)-4)</f>
        <v/>
      </c>
      <c r="DS117">
        <f>IF((DU$1+113)&gt;DS$1,NA(),INDEX('Data Entry'!$H$5:$BE$10004,(DU$1+113)-4,$B$23))</f>
        <v/>
      </c>
      <c r="DT117">
        <f>IF(ISNA(DR117),NA(),INDEX(Capability!$K$5:$K$54,$B$23))</f>
        <v/>
      </c>
      <c r="DU117">
        <f>IF(ISNA(DR117),NA(),INDEX(Capability!$J$5:$J$54,$B$23))</f>
        <v/>
      </c>
      <c r="DV117">
        <f>IF(ISNA(DR117),NA(),INDEX(Capability!$L$5:$L$54,$B$23))</f>
        <v/>
      </c>
      <c r="DW117">
        <f>IF(OR(ISNA(DS117),ISNA(DS116)),NA(),ABS(DS117-DS116))</f>
        <v/>
      </c>
      <c r="DX117">
        <f>IF(ISNA(DR117),NA(),INDEX(Capability!$N$5:$N$54,$B$23))</f>
        <v/>
      </c>
      <c r="DY117">
        <f>IF(ISNA(DR117),NA(),IF(OR(INDEX(Capability!$Q$5:$Q$54,$B$23)="",Settings!$F$7&lt;&gt;"Y"),NA(),INDEX(Capability!$Q$5:$Q$54,$B$23)))</f>
        <v/>
      </c>
      <c r="DZ117">
        <f>IF(ISNA(DR117),NA(),IF(OR(INDEX(Capability!$P$5:$P$54,$B$23)="",Settings!$F$7&lt;&gt;"Y"),NA(),INDEX(Capability!$P$5:$P$54,$B$23)))</f>
        <v/>
      </c>
    </row>
    <row r="118">
      <c r="A118" s="37" t="inlineStr">
        <is>
          <t>CONTROL</t>
        </is>
      </c>
      <c r="B118" s="28" t="n"/>
      <c r="CB118">
        <f>IF((CE$1+114)&gt;CC$1,NA(),(CE$1+114)-4)</f>
        <v/>
      </c>
      <c r="CC118">
        <f>IF((CE$1+114)&gt;CC$1,NA(),INDEX('Data Entry'!$H$5:$BE$10004,(CE$1+114)-4,$B$20))</f>
        <v/>
      </c>
      <c r="CD118">
        <f>IF(ISNA(CB118),NA(),INDEX(Capability!$K$5:$K$54,$B$20))</f>
        <v/>
      </c>
      <c r="CE118">
        <f>IF(ISNA(CB118),NA(),INDEX(Capability!$J$5:$J$54,$B$20))</f>
        <v/>
      </c>
      <c r="CF118">
        <f>IF(ISNA(CB118),NA(),INDEX(Capability!$L$5:$L$54,$B$20))</f>
        <v/>
      </c>
      <c r="CG118">
        <f>IF(OR(ISNA(CC118),ISNA(CC117)),NA(),ABS(CC118-CC117))</f>
        <v/>
      </c>
      <c r="CH118">
        <f>IF(ISNA(CB118),NA(),INDEX(Capability!$N$5:$N$54,$B$20))</f>
        <v/>
      </c>
      <c r="CI118">
        <f>IF(ISNA(CB118),NA(),IF(OR(INDEX(Capability!$Q$5:$Q$54,$B$20)="",Settings!$F$7&lt;&gt;"Y"),NA(),INDEX(Capability!$Q$5:$Q$54,$B$20)))</f>
        <v/>
      </c>
      <c r="CJ118">
        <f>IF(ISNA(CB118),NA(),IF(OR(INDEX(Capability!$P$5:$P$54,$B$20)="",Settings!$F$7&lt;&gt;"Y"),NA(),INDEX(Capability!$P$5:$P$54,$B$20)))</f>
        <v/>
      </c>
      <c r="CP118">
        <f>IF((CS$1+114)&gt;CQ$1,NA(),(CS$1+114)-4)</f>
        <v/>
      </c>
      <c r="CQ118">
        <f>IF((CS$1+114)&gt;CQ$1,NA(),INDEX('Data Entry'!$H$5:$BE$10004,(CS$1+114)-4,$B$21))</f>
        <v/>
      </c>
      <c r="CR118">
        <f>IF(ISNA(CP118),NA(),INDEX(Capability!$K$5:$K$54,$B$21))</f>
        <v/>
      </c>
      <c r="CS118">
        <f>IF(ISNA(CP118),NA(),INDEX(Capability!$J$5:$J$54,$B$21))</f>
        <v/>
      </c>
      <c r="CT118">
        <f>IF(ISNA(CP118),NA(),INDEX(Capability!$L$5:$L$54,$B$21))</f>
        <v/>
      </c>
      <c r="CU118">
        <f>IF(OR(ISNA(CQ118),ISNA(CQ117)),NA(),ABS(CQ118-CQ117))</f>
        <v/>
      </c>
      <c r="CV118">
        <f>IF(ISNA(CP118),NA(),INDEX(Capability!$N$5:$N$54,$B$21))</f>
        <v/>
      </c>
      <c r="CW118">
        <f>IF(ISNA(CP118),NA(),IF(OR(INDEX(Capability!$Q$5:$Q$54,$B$21)="",Settings!$F$7&lt;&gt;"Y"),NA(),INDEX(Capability!$Q$5:$Q$54,$B$21)))</f>
        <v/>
      </c>
      <c r="CX118">
        <f>IF(ISNA(CP118),NA(),IF(OR(INDEX(Capability!$P$5:$P$54,$B$21)="",Settings!$F$7&lt;&gt;"Y"),NA(),INDEX(Capability!$P$5:$P$54,$B$21)))</f>
        <v/>
      </c>
      <c r="DD118">
        <f>IF((DG$1+114)&gt;DE$1,NA(),(DG$1+114)-4)</f>
        <v/>
      </c>
      <c r="DE118">
        <f>IF((DG$1+114)&gt;DE$1,NA(),INDEX('Data Entry'!$H$5:$BE$10004,(DG$1+114)-4,$B$22))</f>
        <v/>
      </c>
      <c r="DF118">
        <f>IF(ISNA(DD118),NA(),INDEX(Capability!$K$5:$K$54,$B$22))</f>
        <v/>
      </c>
      <c r="DG118">
        <f>IF(ISNA(DD118),NA(),INDEX(Capability!$J$5:$J$54,$B$22))</f>
        <v/>
      </c>
      <c r="DH118">
        <f>IF(ISNA(DD118),NA(),INDEX(Capability!$L$5:$L$54,$B$22))</f>
        <v/>
      </c>
      <c r="DI118">
        <f>IF(OR(ISNA(DE118),ISNA(DE117)),NA(),ABS(DE118-DE117))</f>
        <v/>
      </c>
      <c r="DJ118">
        <f>IF(ISNA(DD118),NA(),INDEX(Capability!$N$5:$N$54,$B$22))</f>
        <v/>
      </c>
      <c r="DK118">
        <f>IF(ISNA(DD118),NA(),IF(OR(INDEX(Capability!$Q$5:$Q$54,$B$22)="",Settings!$F$7&lt;&gt;"Y"),NA(),INDEX(Capability!$Q$5:$Q$54,$B$22)))</f>
        <v/>
      </c>
      <c r="DL118">
        <f>IF(ISNA(DD118),NA(),IF(OR(INDEX(Capability!$P$5:$P$54,$B$22)="",Settings!$F$7&lt;&gt;"Y"),NA(),INDEX(Capability!$P$5:$P$54,$B$22)))</f>
        <v/>
      </c>
      <c r="DR118">
        <f>IF((DU$1+114)&gt;DS$1,NA(),(DU$1+114)-4)</f>
        <v/>
      </c>
      <c r="DS118">
        <f>IF((DU$1+114)&gt;DS$1,NA(),INDEX('Data Entry'!$H$5:$BE$10004,(DU$1+114)-4,$B$23))</f>
        <v/>
      </c>
      <c r="DT118">
        <f>IF(ISNA(DR118),NA(),INDEX(Capability!$K$5:$K$54,$B$23))</f>
        <v/>
      </c>
      <c r="DU118">
        <f>IF(ISNA(DR118),NA(),INDEX(Capability!$J$5:$J$54,$B$23))</f>
        <v/>
      </c>
      <c r="DV118">
        <f>IF(ISNA(DR118),NA(),INDEX(Capability!$L$5:$L$54,$B$23))</f>
        <v/>
      </c>
      <c r="DW118">
        <f>IF(OR(ISNA(DS118),ISNA(DS117)),NA(),ABS(DS118-DS117))</f>
        <v/>
      </c>
      <c r="DX118">
        <f>IF(ISNA(DR118),NA(),INDEX(Capability!$N$5:$N$54,$B$23))</f>
        <v/>
      </c>
      <c r="DY118">
        <f>IF(ISNA(DR118),NA(),IF(OR(INDEX(Capability!$Q$5:$Q$54,$B$23)="",Settings!$F$7&lt;&gt;"Y"),NA(),INDEX(Capability!$Q$5:$Q$54,$B$23)))</f>
        <v/>
      </c>
      <c r="DZ118">
        <f>IF(ISNA(DR118),NA(),IF(OR(INDEX(Capability!$P$5:$P$54,$B$23)="",Settings!$F$7&lt;&gt;"Y"),NA(),INDEX(Capability!$P$5:$P$54,$B$23)))</f>
        <v/>
      </c>
    </row>
    <row r="119">
      <c r="A119" s="35" t="inlineStr">
        <is>
          <t>UCL</t>
        </is>
      </c>
      <c r="B119" s="23">
        <f>INDEX(Capability!$J$5:$J$54,$B$22)</f>
        <v/>
      </c>
      <c r="CB119">
        <f>IF((CE$1+115)&gt;CC$1,NA(),(CE$1+115)-4)</f>
        <v/>
      </c>
      <c r="CC119">
        <f>IF((CE$1+115)&gt;CC$1,NA(),INDEX('Data Entry'!$H$5:$BE$10004,(CE$1+115)-4,$B$20))</f>
        <v/>
      </c>
      <c r="CD119">
        <f>IF(ISNA(CB119),NA(),INDEX(Capability!$K$5:$K$54,$B$20))</f>
        <v/>
      </c>
      <c r="CE119">
        <f>IF(ISNA(CB119),NA(),INDEX(Capability!$J$5:$J$54,$B$20))</f>
        <v/>
      </c>
      <c r="CF119">
        <f>IF(ISNA(CB119),NA(),INDEX(Capability!$L$5:$L$54,$B$20))</f>
        <v/>
      </c>
      <c r="CG119">
        <f>IF(OR(ISNA(CC119),ISNA(CC118)),NA(),ABS(CC119-CC118))</f>
        <v/>
      </c>
      <c r="CH119">
        <f>IF(ISNA(CB119),NA(),INDEX(Capability!$N$5:$N$54,$B$20))</f>
        <v/>
      </c>
      <c r="CI119">
        <f>IF(ISNA(CB119),NA(),IF(OR(INDEX(Capability!$Q$5:$Q$54,$B$20)="",Settings!$F$7&lt;&gt;"Y"),NA(),INDEX(Capability!$Q$5:$Q$54,$B$20)))</f>
        <v/>
      </c>
      <c r="CJ119">
        <f>IF(ISNA(CB119),NA(),IF(OR(INDEX(Capability!$P$5:$P$54,$B$20)="",Settings!$F$7&lt;&gt;"Y"),NA(),INDEX(Capability!$P$5:$P$54,$B$20)))</f>
        <v/>
      </c>
      <c r="CP119">
        <f>IF((CS$1+115)&gt;CQ$1,NA(),(CS$1+115)-4)</f>
        <v/>
      </c>
      <c r="CQ119">
        <f>IF((CS$1+115)&gt;CQ$1,NA(),INDEX('Data Entry'!$H$5:$BE$10004,(CS$1+115)-4,$B$21))</f>
        <v/>
      </c>
      <c r="CR119">
        <f>IF(ISNA(CP119),NA(),INDEX(Capability!$K$5:$K$54,$B$21))</f>
        <v/>
      </c>
      <c r="CS119">
        <f>IF(ISNA(CP119),NA(),INDEX(Capability!$J$5:$J$54,$B$21))</f>
        <v/>
      </c>
      <c r="CT119">
        <f>IF(ISNA(CP119),NA(),INDEX(Capability!$L$5:$L$54,$B$21))</f>
        <v/>
      </c>
      <c r="CU119">
        <f>IF(OR(ISNA(CQ119),ISNA(CQ118)),NA(),ABS(CQ119-CQ118))</f>
        <v/>
      </c>
      <c r="CV119">
        <f>IF(ISNA(CP119),NA(),INDEX(Capability!$N$5:$N$54,$B$21))</f>
        <v/>
      </c>
      <c r="CW119">
        <f>IF(ISNA(CP119),NA(),IF(OR(INDEX(Capability!$Q$5:$Q$54,$B$21)="",Settings!$F$7&lt;&gt;"Y"),NA(),INDEX(Capability!$Q$5:$Q$54,$B$21)))</f>
        <v/>
      </c>
      <c r="CX119">
        <f>IF(ISNA(CP119),NA(),IF(OR(INDEX(Capability!$P$5:$P$54,$B$21)="",Settings!$F$7&lt;&gt;"Y"),NA(),INDEX(Capability!$P$5:$P$54,$B$21)))</f>
        <v/>
      </c>
      <c r="DD119">
        <f>IF((DG$1+115)&gt;DE$1,NA(),(DG$1+115)-4)</f>
        <v/>
      </c>
      <c r="DE119">
        <f>IF((DG$1+115)&gt;DE$1,NA(),INDEX('Data Entry'!$H$5:$BE$10004,(DG$1+115)-4,$B$22))</f>
        <v/>
      </c>
      <c r="DF119">
        <f>IF(ISNA(DD119),NA(),INDEX(Capability!$K$5:$K$54,$B$22))</f>
        <v/>
      </c>
      <c r="DG119">
        <f>IF(ISNA(DD119),NA(),INDEX(Capability!$J$5:$J$54,$B$22))</f>
        <v/>
      </c>
      <c r="DH119">
        <f>IF(ISNA(DD119),NA(),INDEX(Capability!$L$5:$L$54,$B$22))</f>
        <v/>
      </c>
      <c r="DI119">
        <f>IF(OR(ISNA(DE119),ISNA(DE118)),NA(),ABS(DE119-DE118))</f>
        <v/>
      </c>
      <c r="DJ119">
        <f>IF(ISNA(DD119),NA(),INDEX(Capability!$N$5:$N$54,$B$22))</f>
        <v/>
      </c>
      <c r="DK119">
        <f>IF(ISNA(DD119),NA(),IF(OR(INDEX(Capability!$Q$5:$Q$54,$B$22)="",Settings!$F$7&lt;&gt;"Y"),NA(),INDEX(Capability!$Q$5:$Q$54,$B$22)))</f>
        <v/>
      </c>
      <c r="DL119">
        <f>IF(ISNA(DD119),NA(),IF(OR(INDEX(Capability!$P$5:$P$54,$B$22)="",Settings!$F$7&lt;&gt;"Y"),NA(),INDEX(Capability!$P$5:$P$54,$B$22)))</f>
        <v/>
      </c>
      <c r="DR119">
        <f>IF((DU$1+115)&gt;DS$1,NA(),(DU$1+115)-4)</f>
        <v/>
      </c>
      <c r="DS119">
        <f>IF((DU$1+115)&gt;DS$1,NA(),INDEX('Data Entry'!$H$5:$BE$10004,(DU$1+115)-4,$B$23))</f>
        <v/>
      </c>
      <c r="DT119">
        <f>IF(ISNA(DR119),NA(),INDEX(Capability!$K$5:$K$54,$B$23))</f>
        <v/>
      </c>
      <c r="DU119">
        <f>IF(ISNA(DR119),NA(),INDEX(Capability!$J$5:$J$54,$B$23))</f>
        <v/>
      </c>
      <c r="DV119">
        <f>IF(ISNA(DR119),NA(),INDEX(Capability!$L$5:$L$54,$B$23))</f>
        <v/>
      </c>
      <c r="DW119">
        <f>IF(OR(ISNA(DS119),ISNA(DS118)),NA(),ABS(DS119-DS118))</f>
        <v/>
      </c>
      <c r="DX119">
        <f>IF(ISNA(DR119),NA(),INDEX(Capability!$N$5:$N$54,$B$23))</f>
        <v/>
      </c>
      <c r="DY119">
        <f>IF(ISNA(DR119),NA(),IF(OR(INDEX(Capability!$Q$5:$Q$54,$B$23)="",Settings!$F$7&lt;&gt;"Y"),NA(),INDEX(Capability!$Q$5:$Q$54,$B$23)))</f>
        <v/>
      </c>
      <c r="DZ119">
        <f>IF(ISNA(DR119),NA(),IF(OR(INDEX(Capability!$P$5:$P$54,$B$23)="",Settings!$F$7&lt;&gt;"Y"),NA(),INDEX(Capability!$P$5:$P$54,$B$23)))</f>
        <v/>
      </c>
    </row>
    <row r="120">
      <c r="A120" s="35" t="inlineStr">
        <is>
          <t>CL</t>
        </is>
      </c>
      <c r="B120" s="23">
        <f>INDEX(Capability!$K$5:$K$54,$B$22)</f>
        <v/>
      </c>
      <c r="CB120">
        <f>IF((CE$1+116)&gt;CC$1,NA(),(CE$1+116)-4)</f>
        <v/>
      </c>
      <c r="CC120">
        <f>IF((CE$1+116)&gt;CC$1,NA(),INDEX('Data Entry'!$H$5:$BE$10004,(CE$1+116)-4,$B$20))</f>
        <v/>
      </c>
      <c r="CD120">
        <f>IF(ISNA(CB120),NA(),INDEX(Capability!$K$5:$K$54,$B$20))</f>
        <v/>
      </c>
      <c r="CE120">
        <f>IF(ISNA(CB120),NA(),INDEX(Capability!$J$5:$J$54,$B$20))</f>
        <v/>
      </c>
      <c r="CF120">
        <f>IF(ISNA(CB120),NA(),INDEX(Capability!$L$5:$L$54,$B$20))</f>
        <v/>
      </c>
      <c r="CG120">
        <f>IF(OR(ISNA(CC120),ISNA(CC119)),NA(),ABS(CC120-CC119))</f>
        <v/>
      </c>
      <c r="CH120">
        <f>IF(ISNA(CB120),NA(),INDEX(Capability!$N$5:$N$54,$B$20))</f>
        <v/>
      </c>
      <c r="CI120">
        <f>IF(ISNA(CB120),NA(),IF(OR(INDEX(Capability!$Q$5:$Q$54,$B$20)="",Settings!$F$7&lt;&gt;"Y"),NA(),INDEX(Capability!$Q$5:$Q$54,$B$20)))</f>
        <v/>
      </c>
      <c r="CJ120">
        <f>IF(ISNA(CB120),NA(),IF(OR(INDEX(Capability!$P$5:$P$54,$B$20)="",Settings!$F$7&lt;&gt;"Y"),NA(),INDEX(Capability!$P$5:$P$54,$B$20)))</f>
        <v/>
      </c>
      <c r="CP120">
        <f>IF((CS$1+116)&gt;CQ$1,NA(),(CS$1+116)-4)</f>
        <v/>
      </c>
      <c r="CQ120">
        <f>IF((CS$1+116)&gt;CQ$1,NA(),INDEX('Data Entry'!$H$5:$BE$10004,(CS$1+116)-4,$B$21))</f>
        <v/>
      </c>
      <c r="CR120">
        <f>IF(ISNA(CP120),NA(),INDEX(Capability!$K$5:$K$54,$B$21))</f>
        <v/>
      </c>
      <c r="CS120">
        <f>IF(ISNA(CP120),NA(),INDEX(Capability!$J$5:$J$54,$B$21))</f>
        <v/>
      </c>
      <c r="CT120">
        <f>IF(ISNA(CP120),NA(),INDEX(Capability!$L$5:$L$54,$B$21))</f>
        <v/>
      </c>
      <c r="CU120">
        <f>IF(OR(ISNA(CQ120),ISNA(CQ119)),NA(),ABS(CQ120-CQ119))</f>
        <v/>
      </c>
      <c r="CV120">
        <f>IF(ISNA(CP120),NA(),INDEX(Capability!$N$5:$N$54,$B$21))</f>
        <v/>
      </c>
      <c r="CW120">
        <f>IF(ISNA(CP120),NA(),IF(OR(INDEX(Capability!$Q$5:$Q$54,$B$21)="",Settings!$F$7&lt;&gt;"Y"),NA(),INDEX(Capability!$Q$5:$Q$54,$B$21)))</f>
        <v/>
      </c>
      <c r="CX120">
        <f>IF(ISNA(CP120),NA(),IF(OR(INDEX(Capability!$P$5:$P$54,$B$21)="",Settings!$F$7&lt;&gt;"Y"),NA(),INDEX(Capability!$P$5:$P$54,$B$21)))</f>
        <v/>
      </c>
      <c r="DD120">
        <f>IF((DG$1+116)&gt;DE$1,NA(),(DG$1+116)-4)</f>
        <v/>
      </c>
      <c r="DE120">
        <f>IF((DG$1+116)&gt;DE$1,NA(),INDEX('Data Entry'!$H$5:$BE$10004,(DG$1+116)-4,$B$22))</f>
        <v/>
      </c>
      <c r="DF120">
        <f>IF(ISNA(DD120),NA(),INDEX(Capability!$K$5:$K$54,$B$22))</f>
        <v/>
      </c>
      <c r="DG120">
        <f>IF(ISNA(DD120),NA(),INDEX(Capability!$J$5:$J$54,$B$22))</f>
        <v/>
      </c>
      <c r="DH120">
        <f>IF(ISNA(DD120),NA(),INDEX(Capability!$L$5:$L$54,$B$22))</f>
        <v/>
      </c>
      <c r="DI120">
        <f>IF(OR(ISNA(DE120),ISNA(DE119)),NA(),ABS(DE120-DE119))</f>
        <v/>
      </c>
      <c r="DJ120">
        <f>IF(ISNA(DD120),NA(),INDEX(Capability!$N$5:$N$54,$B$22))</f>
        <v/>
      </c>
      <c r="DK120">
        <f>IF(ISNA(DD120),NA(),IF(OR(INDEX(Capability!$Q$5:$Q$54,$B$22)="",Settings!$F$7&lt;&gt;"Y"),NA(),INDEX(Capability!$Q$5:$Q$54,$B$22)))</f>
        <v/>
      </c>
      <c r="DL120">
        <f>IF(ISNA(DD120),NA(),IF(OR(INDEX(Capability!$P$5:$P$54,$B$22)="",Settings!$F$7&lt;&gt;"Y"),NA(),INDEX(Capability!$P$5:$P$54,$B$22)))</f>
        <v/>
      </c>
      <c r="DR120">
        <f>IF((DU$1+116)&gt;DS$1,NA(),(DU$1+116)-4)</f>
        <v/>
      </c>
      <c r="DS120">
        <f>IF((DU$1+116)&gt;DS$1,NA(),INDEX('Data Entry'!$H$5:$BE$10004,(DU$1+116)-4,$B$23))</f>
        <v/>
      </c>
      <c r="DT120">
        <f>IF(ISNA(DR120),NA(),INDEX(Capability!$K$5:$K$54,$B$23))</f>
        <v/>
      </c>
      <c r="DU120">
        <f>IF(ISNA(DR120),NA(),INDEX(Capability!$J$5:$J$54,$B$23))</f>
        <v/>
      </c>
      <c r="DV120">
        <f>IF(ISNA(DR120),NA(),INDEX(Capability!$L$5:$L$54,$B$23))</f>
        <v/>
      </c>
      <c r="DW120">
        <f>IF(OR(ISNA(DS120),ISNA(DS119)),NA(),ABS(DS120-DS119))</f>
        <v/>
      </c>
      <c r="DX120">
        <f>IF(ISNA(DR120),NA(),INDEX(Capability!$N$5:$N$54,$B$23))</f>
        <v/>
      </c>
      <c r="DY120">
        <f>IF(ISNA(DR120),NA(),IF(OR(INDEX(Capability!$Q$5:$Q$54,$B$23)="",Settings!$F$7&lt;&gt;"Y"),NA(),INDEX(Capability!$Q$5:$Q$54,$B$23)))</f>
        <v/>
      </c>
      <c r="DZ120">
        <f>IF(ISNA(DR120),NA(),IF(OR(INDEX(Capability!$P$5:$P$54,$B$23)="",Settings!$F$7&lt;&gt;"Y"),NA(),INDEX(Capability!$P$5:$P$54,$B$23)))</f>
        <v/>
      </c>
    </row>
    <row r="121">
      <c r="A121" s="35" t="inlineStr">
        <is>
          <t>LCL</t>
        </is>
      </c>
      <c r="B121" s="23">
        <f>INDEX(Capability!$L$5:$L$54,$B$22)</f>
        <v/>
      </c>
      <c r="CB121">
        <f>IF((CE$1+117)&gt;CC$1,NA(),(CE$1+117)-4)</f>
        <v/>
      </c>
      <c r="CC121">
        <f>IF((CE$1+117)&gt;CC$1,NA(),INDEX('Data Entry'!$H$5:$BE$10004,(CE$1+117)-4,$B$20))</f>
        <v/>
      </c>
      <c r="CD121">
        <f>IF(ISNA(CB121),NA(),INDEX(Capability!$K$5:$K$54,$B$20))</f>
        <v/>
      </c>
      <c r="CE121">
        <f>IF(ISNA(CB121),NA(),INDEX(Capability!$J$5:$J$54,$B$20))</f>
        <v/>
      </c>
      <c r="CF121">
        <f>IF(ISNA(CB121),NA(),INDEX(Capability!$L$5:$L$54,$B$20))</f>
        <v/>
      </c>
      <c r="CG121">
        <f>IF(OR(ISNA(CC121),ISNA(CC120)),NA(),ABS(CC121-CC120))</f>
        <v/>
      </c>
      <c r="CH121">
        <f>IF(ISNA(CB121),NA(),INDEX(Capability!$N$5:$N$54,$B$20))</f>
        <v/>
      </c>
      <c r="CI121">
        <f>IF(ISNA(CB121),NA(),IF(OR(INDEX(Capability!$Q$5:$Q$54,$B$20)="",Settings!$F$7&lt;&gt;"Y"),NA(),INDEX(Capability!$Q$5:$Q$54,$B$20)))</f>
        <v/>
      </c>
      <c r="CJ121">
        <f>IF(ISNA(CB121),NA(),IF(OR(INDEX(Capability!$P$5:$P$54,$B$20)="",Settings!$F$7&lt;&gt;"Y"),NA(),INDEX(Capability!$P$5:$P$54,$B$20)))</f>
        <v/>
      </c>
      <c r="CP121">
        <f>IF((CS$1+117)&gt;CQ$1,NA(),(CS$1+117)-4)</f>
        <v/>
      </c>
      <c r="CQ121">
        <f>IF((CS$1+117)&gt;CQ$1,NA(),INDEX('Data Entry'!$H$5:$BE$10004,(CS$1+117)-4,$B$21))</f>
        <v/>
      </c>
      <c r="CR121">
        <f>IF(ISNA(CP121),NA(),INDEX(Capability!$K$5:$K$54,$B$21))</f>
        <v/>
      </c>
      <c r="CS121">
        <f>IF(ISNA(CP121),NA(),INDEX(Capability!$J$5:$J$54,$B$21))</f>
        <v/>
      </c>
      <c r="CT121">
        <f>IF(ISNA(CP121),NA(),INDEX(Capability!$L$5:$L$54,$B$21))</f>
        <v/>
      </c>
      <c r="CU121">
        <f>IF(OR(ISNA(CQ121),ISNA(CQ120)),NA(),ABS(CQ121-CQ120))</f>
        <v/>
      </c>
      <c r="CV121">
        <f>IF(ISNA(CP121),NA(),INDEX(Capability!$N$5:$N$54,$B$21))</f>
        <v/>
      </c>
      <c r="CW121">
        <f>IF(ISNA(CP121),NA(),IF(OR(INDEX(Capability!$Q$5:$Q$54,$B$21)="",Settings!$F$7&lt;&gt;"Y"),NA(),INDEX(Capability!$Q$5:$Q$54,$B$21)))</f>
        <v/>
      </c>
      <c r="CX121">
        <f>IF(ISNA(CP121),NA(),IF(OR(INDEX(Capability!$P$5:$P$54,$B$21)="",Settings!$F$7&lt;&gt;"Y"),NA(),INDEX(Capability!$P$5:$P$54,$B$21)))</f>
        <v/>
      </c>
      <c r="DD121">
        <f>IF((DG$1+117)&gt;DE$1,NA(),(DG$1+117)-4)</f>
        <v/>
      </c>
      <c r="DE121">
        <f>IF((DG$1+117)&gt;DE$1,NA(),INDEX('Data Entry'!$H$5:$BE$10004,(DG$1+117)-4,$B$22))</f>
        <v/>
      </c>
      <c r="DF121">
        <f>IF(ISNA(DD121),NA(),INDEX(Capability!$K$5:$K$54,$B$22))</f>
        <v/>
      </c>
      <c r="DG121">
        <f>IF(ISNA(DD121),NA(),INDEX(Capability!$J$5:$J$54,$B$22))</f>
        <v/>
      </c>
      <c r="DH121">
        <f>IF(ISNA(DD121),NA(),INDEX(Capability!$L$5:$L$54,$B$22))</f>
        <v/>
      </c>
      <c r="DI121">
        <f>IF(OR(ISNA(DE121),ISNA(DE120)),NA(),ABS(DE121-DE120))</f>
        <v/>
      </c>
      <c r="DJ121">
        <f>IF(ISNA(DD121),NA(),INDEX(Capability!$N$5:$N$54,$B$22))</f>
        <v/>
      </c>
      <c r="DK121">
        <f>IF(ISNA(DD121),NA(),IF(OR(INDEX(Capability!$Q$5:$Q$54,$B$22)="",Settings!$F$7&lt;&gt;"Y"),NA(),INDEX(Capability!$Q$5:$Q$54,$B$22)))</f>
        <v/>
      </c>
      <c r="DL121">
        <f>IF(ISNA(DD121),NA(),IF(OR(INDEX(Capability!$P$5:$P$54,$B$22)="",Settings!$F$7&lt;&gt;"Y"),NA(),INDEX(Capability!$P$5:$P$54,$B$22)))</f>
        <v/>
      </c>
      <c r="DR121">
        <f>IF((DU$1+117)&gt;DS$1,NA(),(DU$1+117)-4)</f>
        <v/>
      </c>
      <c r="DS121">
        <f>IF((DU$1+117)&gt;DS$1,NA(),INDEX('Data Entry'!$H$5:$BE$10004,(DU$1+117)-4,$B$23))</f>
        <v/>
      </c>
      <c r="DT121">
        <f>IF(ISNA(DR121),NA(),INDEX(Capability!$K$5:$K$54,$B$23))</f>
        <v/>
      </c>
      <c r="DU121">
        <f>IF(ISNA(DR121),NA(),INDEX(Capability!$J$5:$J$54,$B$23))</f>
        <v/>
      </c>
      <c r="DV121">
        <f>IF(ISNA(DR121),NA(),INDEX(Capability!$L$5:$L$54,$B$23))</f>
        <v/>
      </c>
      <c r="DW121">
        <f>IF(OR(ISNA(DS121),ISNA(DS120)),NA(),ABS(DS121-DS120))</f>
        <v/>
      </c>
      <c r="DX121">
        <f>IF(ISNA(DR121),NA(),INDEX(Capability!$N$5:$N$54,$B$23))</f>
        <v/>
      </c>
      <c r="DY121">
        <f>IF(ISNA(DR121),NA(),IF(OR(INDEX(Capability!$Q$5:$Q$54,$B$23)="",Settings!$F$7&lt;&gt;"Y"),NA(),INDEX(Capability!$Q$5:$Q$54,$B$23)))</f>
        <v/>
      </c>
      <c r="DZ121">
        <f>IF(ISNA(DR121),NA(),IF(OR(INDEX(Capability!$P$5:$P$54,$B$23)="",Settings!$F$7&lt;&gt;"Y"),NA(),INDEX(Capability!$P$5:$P$54,$B$23)))</f>
        <v/>
      </c>
    </row>
    <row r="122">
      <c r="A122" s="35" t="inlineStr">
        <is>
          <t>mR-bar</t>
        </is>
      </c>
      <c r="B122" s="23">
        <f>INDEX(Capability!$M$5:$M$54,$B$22)</f>
        <v/>
      </c>
      <c r="CB122">
        <f>IF((CE$1+118)&gt;CC$1,NA(),(CE$1+118)-4)</f>
        <v/>
      </c>
      <c r="CC122">
        <f>IF((CE$1+118)&gt;CC$1,NA(),INDEX('Data Entry'!$H$5:$BE$10004,(CE$1+118)-4,$B$20))</f>
        <v/>
      </c>
      <c r="CD122">
        <f>IF(ISNA(CB122),NA(),INDEX(Capability!$K$5:$K$54,$B$20))</f>
        <v/>
      </c>
      <c r="CE122">
        <f>IF(ISNA(CB122),NA(),INDEX(Capability!$J$5:$J$54,$B$20))</f>
        <v/>
      </c>
      <c r="CF122">
        <f>IF(ISNA(CB122),NA(),INDEX(Capability!$L$5:$L$54,$B$20))</f>
        <v/>
      </c>
      <c r="CG122">
        <f>IF(OR(ISNA(CC122),ISNA(CC121)),NA(),ABS(CC122-CC121))</f>
        <v/>
      </c>
      <c r="CH122">
        <f>IF(ISNA(CB122),NA(),INDEX(Capability!$N$5:$N$54,$B$20))</f>
        <v/>
      </c>
      <c r="CI122">
        <f>IF(ISNA(CB122),NA(),IF(OR(INDEX(Capability!$Q$5:$Q$54,$B$20)="",Settings!$F$7&lt;&gt;"Y"),NA(),INDEX(Capability!$Q$5:$Q$54,$B$20)))</f>
        <v/>
      </c>
      <c r="CJ122">
        <f>IF(ISNA(CB122),NA(),IF(OR(INDEX(Capability!$P$5:$P$54,$B$20)="",Settings!$F$7&lt;&gt;"Y"),NA(),INDEX(Capability!$P$5:$P$54,$B$20)))</f>
        <v/>
      </c>
      <c r="CP122">
        <f>IF((CS$1+118)&gt;CQ$1,NA(),(CS$1+118)-4)</f>
        <v/>
      </c>
      <c r="CQ122">
        <f>IF((CS$1+118)&gt;CQ$1,NA(),INDEX('Data Entry'!$H$5:$BE$10004,(CS$1+118)-4,$B$21))</f>
        <v/>
      </c>
      <c r="CR122">
        <f>IF(ISNA(CP122),NA(),INDEX(Capability!$K$5:$K$54,$B$21))</f>
        <v/>
      </c>
      <c r="CS122">
        <f>IF(ISNA(CP122),NA(),INDEX(Capability!$J$5:$J$54,$B$21))</f>
        <v/>
      </c>
      <c r="CT122">
        <f>IF(ISNA(CP122),NA(),INDEX(Capability!$L$5:$L$54,$B$21))</f>
        <v/>
      </c>
      <c r="CU122">
        <f>IF(OR(ISNA(CQ122),ISNA(CQ121)),NA(),ABS(CQ122-CQ121))</f>
        <v/>
      </c>
      <c r="CV122">
        <f>IF(ISNA(CP122),NA(),INDEX(Capability!$N$5:$N$54,$B$21))</f>
        <v/>
      </c>
      <c r="CW122">
        <f>IF(ISNA(CP122),NA(),IF(OR(INDEX(Capability!$Q$5:$Q$54,$B$21)="",Settings!$F$7&lt;&gt;"Y"),NA(),INDEX(Capability!$Q$5:$Q$54,$B$21)))</f>
        <v/>
      </c>
      <c r="CX122">
        <f>IF(ISNA(CP122),NA(),IF(OR(INDEX(Capability!$P$5:$P$54,$B$21)="",Settings!$F$7&lt;&gt;"Y"),NA(),INDEX(Capability!$P$5:$P$54,$B$21)))</f>
        <v/>
      </c>
      <c r="DD122">
        <f>IF((DG$1+118)&gt;DE$1,NA(),(DG$1+118)-4)</f>
        <v/>
      </c>
      <c r="DE122">
        <f>IF((DG$1+118)&gt;DE$1,NA(),INDEX('Data Entry'!$H$5:$BE$10004,(DG$1+118)-4,$B$22))</f>
        <v/>
      </c>
      <c r="DF122">
        <f>IF(ISNA(DD122),NA(),INDEX(Capability!$K$5:$K$54,$B$22))</f>
        <v/>
      </c>
      <c r="DG122">
        <f>IF(ISNA(DD122),NA(),INDEX(Capability!$J$5:$J$54,$B$22))</f>
        <v/>
      </c>
      <c r="DH122">
        <f>IF(ISNA(DD122),NA(),INDEX(Capability!$L$5:$L$54,$B$22))</f>
        <v/>
      </c>
      <c r="DI122">
        <f>IF(OR(ISNA(DE122),ISNA(DE121)),NA(),ABS(DE122-DE121))</f>
        <v/>
      </c>
      <c r="DJ122">
        <f>IF(ISNA(DD122),NA(),INDEX(Capability!$N$5:$N$54,$B$22))</f>
        <v/>
      </c>
      <c r="DK122">
        <f>IF(ISNA(DD122),NA(),IF(OR(INDEX(Capability!$Q$5:$Q$54,$B$22)="",Settings!$F$7&lt;&gt;"Y"),NA(),INDEX(Capability!$Q$5:$Q$54,$B$22)))</f>
        <v/>
      </c>
      <c r="DL122">
        <f>IF(ISNA(DD122),NA(),IF(OR(INDEX(Capability!$P$5:$P$54,$B$22)="",Settings!$F$7&lt;&gt;"Y"),NA(),INDEX(Capability!$P$5:$P$54,$B$22)))</f>
        <v/>
      </c>
      <c r="DR122">
        <f>IF((DU$1+118)&gt;DS$1,NA(),(DU$1+118)-4)</f>
        <v/>
      </c>
      <c r="DS122">
        <f>IF((DU$1+118)&gt;DS$1,NA(),INDEX('Data Entry'!$H$5:$BE$10004,(DU$1+118)-4,$B$23))</f>
        <v/>
      </c>
      <c r="DT122">
        <f>IF(ISNA(DR122),NA(),INDEX(Capability!$K$5:$K$54,$B$23))</f>
        <v/>
      </c>
      <c r="DU122">
        <f>IF(ISNA(DR122),NA(),INDEX(Capability!$J$5:$J$54,$B$23))</f>
        <v/>
      </c>
      <c r="DV122">
        <f>IF(ISNA(DR122),NA(),INDEX(Capability!$L$5:$L$54,$B$23))</f>
        <v/>
      </c>
      <c r="DW122">
        <f>IF(OR(ISNA(DS122),ISNA(DS121)),NA(),ABS(DS122-DS121))</f>
        <v/>
      </c>
      <c r="DX122">
        <f>IF(ISNA(DR122),NA(),INDEX(Capability!$N$5:$N$54,$B$23))</f>
        <v/>
      </c>
      <c r="DY122">
        <f>IF(ISNA(DR122),NA(),IF(OR(INDEX(Capability!$Q$5:$Q$54,$B$23)="",Settings!$F$7&lt;&gt;"Y"),NA(),INDEX(Capability!$Q$5:$Q$54,$B$23)))</f>
        <v/>
      </c>
      <c r="DZ122">
        <f>IF(ISNA(DR122),NA(),IF(OR(INDEX(Capability!$P$5:$P$54,$B$23)="",Settings!$F$7&lt;&gt;"Y"),NA(),INDEX(Capability!$P$5:$P$54,$B$23)))</f>
        <v/>
      </c>
    </row>
    <row r="123">
      <c r="A123" s="35" t="inlineStr">
        <is>
          <t>mR UCL</t>
        </is>
      </c>
      <c r="B123" s="23">
        <f>INDEX(Capability!$N$5:$N$54,$B$22)</f>
        <v/>
      </c>
      <c r="CB123">
        <f>IF((CE$1+119)&gt;CC$1,NA(),(CE$1+119)-4)</f>
        <v/>
      </c>
      <c r="CC123">
        <f>IF((CE$1+119)&gt;CC$1,NA(),INDEX('Data Entry'!$H$5:$BE$10004,(CE$1+119)-4,$B$20))</f>
        <v/>
      </c>
      <c r="CD123">
        <f>IF(ISNA(CB123),NA(),INDEX(Capability!$K$5:$K$54,$B$20))</f>
        <v/>
      </c>
      <c r="CE123">
        <f>IF(ISNA(CB123),NA(),INDEX(Capability!$J$5:$J$54,$B$20))</f>
        <v/>
      </c>
      <c r="CF123">
        <f>IF(ISNA(CB123),NA(),INDEX(Capability!$L$5:$L$54,$B$20))</f>
        <v/>
      </c>
      <c r="CG123">
        <f>IF(OR(ISNA(CC123),ISNA(CC122)),NA(),ABS(CC123-CC122))</f>
        <v/>
      </c>
      <c r="CH123">
        <f>IF(ISNA(CB123),NA(),INDEX(Capability!$N$5:$N$54,$B$20))</f>
        <v/>
      </c>
      <c r="CI123">
        <f>IF(ISNA(CB123),NA(),IF(OR(INDEX(Capability!$Q$5:$Q$54,$B$20)="",Settings!$F$7&lt;&gt;"Y"),NA(),INDEX(Capability!$Q$5:$Q$54,$B$20)))</f>
        <v/>
      </c>
      <c r="CJ123">
        <f>IF(ISNA(CB123),NA(),IF(OR(INDEX(Capability!$P$5:$P$54,$B$20)="",Settings!$F$7&lt;&gt;"Y"),NA(),INDEX(Capability!$P$5:$P$54,$B$20)))</f>
        <v/>
      </c>
      <c r="CP123">
        <f>IF((CS$1+119)&gt;CQ$1,NA(),(CS$1+119)-4)</f>
        <v/>
      </c>
      <c r="CQ123">
        <f>IF((CS$1+119)&gt;CQ$1,NA(),INDEX('Data Entry'!$H$5:$BE$10004,(CS$1+119)-4,$B$21))</f>
        <v/>
      </c>
      <c r="CR123">
        <f>IF(ISNA(CP123),NA(),INDEX(Capability!$K$5:$K$54,$B$21))</f>
        <v/>
      </c>
      <c r="CS123">
        <f>IF(ISNA(CP123),NA(),INDEX(Capability!$J$5:$J$54,$B$21))</f>
        <v/>
      </c>
      <c r="CT123">
        <f>IF(ISNA(CP123),NA(),INDEX(Capability!$L$5:$L$54,$B$21))</f>
        <v/>
      </c>
      <c r="CU123">
        <f>IF(OR(ISNA(CQ123),ISNA(CQ122)),NA(),ABS(CQ123-CQ122))</f>
        <v/>
      </c>
      <c r="CV123">
        <f>IF(ISNA(CP123),NA(),INDEX(Capability!$N$5:$N$54,$B$21))</f>
        <v/>
      </c>
      <c r="CW123">
        <f>IF(ISNA(CP123),NA(),IF(OR(INDEX(Capability!$Q$5:$Q$54,$B$21)="",Settings!$F$7&lt;&gt;"Y"),NA(),INDEX(Capability!$Q$5:$Q$54,$B$21)))</f>
        <v/>
      </c>
      <c r="CX123">
        <f>IF(ISNA(CP123),NA(),IF(OR(INDEX(Capability!$P$5:$P$54,$B$21)="",Settings!$F$7&lt;&gt;"Y"),NA(),INDEX(Capability!$P$5:$P$54,$B$21)))</f>
        <v/>
      </c>
      <c r="DD123">
        <f>IF((DG$1+119)&gt;DE$1,NA(),(DG$1+119)-4)</f>
        <v/>
      </c>
      <c r="DE123">
        <f>IF((DG$1+119)&gt;DE$1,NA(),INDEX('Data Entry'!$H$5:$BE$10004,(DG$1+119)-4,$B$22))</f>
        <v/>
      </c>
      <c r="DF123">
        <f>IF(ISNA(DD123),NA(),INDEX(Capability!$K$5:$K$54,$B$22))</f>
        <v/>
      </c>
      <c r="DG123">
        <f>IF(ISNA(DD123),NA(),INDEX(Capability!$J$5:$J$54,$B$22))</f>
        <v/>
      </c>
      <c r="DH123">
        <f>IF(ISNA(DD123),NA(),INDEX(Capability!$L$5:$L$54,$B$22))</f>
        <v/>
      </c>
      <c r="DI123">
        <f>IF(OR(ISNA(DE123),ISNA(DE122)),NA(),ABS(DE123-DE122))</f>
        <v/>
      </c>
      <c r="DJ123">
        <f>IF(ISNA(DD123),NA(),INDEX(Capability!$N$5:$N$54,$B$22))</f>
        <v/>
      </c>
      <c r="DK123">
        <f>IF(ISNA(DD123),NA(),IF(OR(INDEX(Capability!$Q$5:$Q$54,$B$22)="",Settings!$F$7&lt;&gt;"Y"),NA(),INDEX(Capability!$Q$5:$Q$54,$B$22)))</f>
        <v/>
      </c>
      <c r="DL123">
        <f>IF(ISNA(DD123),NA(),IF(OR(INDEX(Capability!$P$5:$P$54,$B$22)="",Settings!$F$7&lt;&gt;"Y"),NA(),INDEX(Capability!$P$5:$P$54,$B$22)))</f>
        <v/>
      </c>
      <c r="DR123">
        <f>IF((DU$1+119)&gt;DS$1,NA(),(DU$1+119)-4)</f>
        <v/>
      </c>
      <c r="DS123">
        <f>IF((DU$1+119)&gt;DS$1,NA(),INDEX('Data Entry'!$H$5:$BE$10004,(DU$1+119)-4,$B$23))</f>
        <v/>
      </c>
      <c r="DT123">
        <f>IF(ISNA(DR123),NA(),INDEX(Capability!$K$5:$K$54,$B$23))</f>
        <v/>
      </c>
      <c r="DU123">
        <f>IF(ISNA(DR123),NA(),INDEX(Capability!$J$5:$J$54,$B$23))</f>
        <v/>
      </c>
      <c r="DV123">
        <f>IF(ISNA(DR123),NA(),INDEX(Capability!$L$5:$L$54,$B$23))</f>
        <v/>
      </c>
      <c r="DW123">
        <f>IF(OR(ISNA(DS123),ISNA(DS122)),NA(),ABS(DS123-DS122))</f>
        <v/>
      </c>
      <c r="DX123">
        <f>IF(ISNA(DR123),NA(),INDEX(Capability!$N$5:$N$54,$B$23))</f>
        <v/>
      </c>
      <c r="DY123">
        <f>IF(ISNA(DR123),NA(),IF(OR(INDEX(Capability!$Q$5:$Q$54,$B$23)="",Settings!$F$7&lt;&gt;"Y"),NA(),INDEX(Capability!$Q$5:$Q$54,$B$23)))</f>
        <v/>
      </c>
      <c r="DZ123">
        <f>IF(ISNA(DR123),NA(),IF(OR(INDEX(Capability!$P$5:$P$54,$B$23)="",Settings!$F$7&lt;&gt;"Y"),NA(),INDEX(Capability!$P$5:$P$54,$B$23)))</f>
        <v/>
      </c>
    </row>
    <row r="124">
      <c r="A124" s="37" t="inlineStr">
        <is>
          <t>SPECIFICATION</t>
        </is>
      </c>
      <c r="B124" s="28" t="n"/>
      <c r="CB124">
        <f>IF((CE$1+120)&gt;CC$1,NA(),(CE$1+120)-4)</f>
        <v/>
      </c>
      <c r="CC124">
        <f>IF((CE$1+120)&gt;CC$1,NA(),INDEX('Data Entry'!$H$5:$BE$10004,(CE$1+120)-4,$B$20))</f>
        <v/>
      </c>
      <c r="CD124">
        <f>IF(ISNA(CB124),NA(),INDEX(Capability!$K$5:$K$54,$B$20))</f>
        <v/>
      </c>
      <c r="CE124">
        <f>IF(ISNA(CB124),NA(),INDEX(Capability!$J$5:$J$54,$B$20))</f>
        <v/>
      </c>
      <c r="CF124">
        <f>IF(ISNA(CB124),NA(),INDEX(Capability!$L$5:$L$54,$B$20))</f>
        <v/>
      </c>
      <c r="CG124">
        <f>IF(OR(ISNA(CC124),ISNA(CC123)),NA(),ABS(CC124-CC123))</f>
        <v/>
      </c>
      <c r="CH124">
        <f>IF(ISNA(CB124),NA(),INDEX(Capability!$N$5:$N$54,$B$20))</f>
        <v/>
      </c>
      <c r="CI124">
        <f>IF(ISNA(CB124),NA(),IF(OR(INDEX(Capability!$Q$5:$Q$54,$B$20)="",Settings!$F$7&lt;&gt;"Y"),NA(),INDEX(Capability!$Q$5:$Q$54,$B$20)))</f>
        <v/>
      </c>
      <c r="CJ124">
        <f>IF(ISNA(CB124),NA(),IF(OR(INDEX(Capability!$P$5:$P$54,$B$20)="",Settings!$F$7&lt;&gt;"Y"),NA(),INDEX(Capability!$P$5:$P$54,$B$20)))</f>
        <v/>
      </c>
      <c r="CP124">
        <f>IF((CS$1+120)&gt;CQ$1,NA(),(CS$1+120)-4)</f>
        <v/>
      </c>
      <c r="CQ124">
        <f>IF((CS$1+120)&gt;CQ$1,NA(),INDEX('Data Entry'!$H$5:$BE$10004,(CS$1+120)-4,$B$21))</f>
        <v/>
      </c>
      <c r="CR124">
        <f>IF(ISNA(CP124),NA(),INDEX(Capability!$K$5:$K$54,$B$21))</f>
        <v/>
      </c>
      <c r="CS124">
        <f>IF(ISNA(CP124),NA(),INDEX(Capability!$J$5:$J$54,$B$21))</f>
        <v/>
      </c>
      <c r="CT124">
        <f>IF(ISNA(CP124),NA(),INDEX(Capability!$L$5:$L$54,$B$21))</f>
        <v/>
      </c>
      <c r="CU124">
        <f>IF(OR(ISNA(CQ124),ISNA(CQ123)),NA(),ABS(CQ124-CQ123))</f>
        <v/>
      </c>
      <c r="CV124">
        <f>IF(ISNA(CP124),NA(),INDEX(Capability!$N$5:$N$54,$B$21))</f>
        <v/>
      </c>
      <c r="CW124">
        <f>IF(ISNA(CP124),NA(),IF(OR(INDEX(Capability!$Q$5:$Q$54,$B$21)="",Settings!$F$7&lt;&gt;"Y"),NA(),INDEX(Capability!$Q$5:$Q$54,$B$21)))</f>
        <v/>
      </c>
      <c r="CX124">
        <f>IF(ISNA(CP124),NA(),IF(OR(INDEX(Capability!$P$5:$P$54,$B$21)="",Settings!$F$7&lt;&gt;"Y"),NA(),INDEX(Capability!$P$5:$P$54,$B$21)))</f>
        <v/>
      </c>
      <c r="DD124">
        <f>IF((DG$1+120)&gt;DE$1,NA(),(DG$1+120)-4)</f>
        <v/>
      </c>
      <c r="DE124">
        <f>IF((DG$1+120)&gt;DE$1,NA(),INDEX('Data Entry'!$H$5:$BE$10004,(DG$1+120)-4,$B$22))</f>
        <v/>
      </c>
      <c r="DF124">
        <f>IF(ISNA(DD124),NA(),INDEX(Capability!$K$5:$K$54,$B$22))</f>
        <v/>
      </c>
      <c r="DG124">
        <f>IF(ISNA(DD124),NA(),INDEX(Capability!$J$5:$J$54,$B$22))</f>
        <v/>
      </c>
      <c r="DH124">
        <f>IF(ISNA(DD124),NA(),INDEX(Capability!$L$5:$L$54,$B$22))</f>
        <v/>
      </c>
      <c r="DI124">
        <f>IF(OR(ISNA(DE124),ISNA(DE123)),NA(),ABS(DE124-DE123))</f>
        <v/>
      </c>
      <c r="DJ124">
        <f>IF(ISNA(DD124),NA(),INDEX(Capability!$N$5:$N$54,$B$22))</f>
        <v/>
      </c>
      <c r="DK124">
        <f>IF(ISNA(DD124),NA(),IF(OR(INDEX(Capability!$Q$5:$Q$54,$B$22)="",Settings!$F$7&lt;&gt;"Y"),NA(),INDEX(Capability!$Q$5:$Q$54,$B$22)))</f>
        <v/>
      </c>
      <c r="DL124">
        <f>IF(ISNA(DD124),NA(),IF(OR(INDEX(Capability!$P$5:$P$54,$B$22)="",Settings!$F$7&lt;&gt;"Y"),NA(),INDEX(Capability!$P$5:$P$54,$B$22)))</f>
        <v/>
      </c>
      <c r="DR124">
        <f>IF((DU$1+120)&gt;DS$1,NA(),(DU$1+120)-4)</f>
        <v/>
      </c>
      <c r="DS124">
        <f>IF((DU$1+120)&gt;DS$1,NA(),INDEX('Data Entry'!$H$5:$BE$10004,(DU$1+120)-4,$B$23))</f>
        <v/>
      </c>
      <c r="DT124">
        <f>IF(ISNA(DR124),NA(),INDEX(Capability!$K$5:$K$54,$B$23))</f>
        <v/>
      </c>
      <c r="DU124">
        <f>IF(ISNA(DR124),NA(),INDEX(Capability!$J$5:$J$54,$B$23))</f>
        <v/>
      </c>
      <c r="DV124">
        <f>IF(ISNA(DR124),NA(),INDEX(Capability!$L$5:$L$54,$B$23))</f>
        <v/>
      </c>
      <c r="DW124">
        <f>IF(OR(ISNA(DS124),ISNA(DS123)),NA(),ABS(DS124-DS123))</f>
        <v/>
      </c>
      <c r="DX124">
        <f>IF(ISNA(DR124),NA(),INDEX(Capability!$N$5:$N$54,$B$23))</f>
        <v/>
      </c>
      <c r="DY124">
        <f>IF(ISNA(DR124),NA(),IF(OR(INDEX(Capability!$Q$5:$Q$54,$B$23)="",Settings!$F$7&lt;&gt;"Y"),NA(),INDEX(Capability!$Q$5:$Q$54,$B$23)))</f>
        <v/>
      </c>
      <c r="DZ124">
        <f>IF(ISNA(DR124),NA(),IF(OR(INDEX(Capability!$P$5:$P$54,$B$23)="",Settings!$F$7&lt;&gt;"Y"),NA(),INDEX(Capability!$P$5:$P$54,$B$23)))</f>
        <v/>
      </c>
    </row>
    <row r="125">
      <c r="A125" s="35" t="inlineStr">
        <is>
          <t>USL</t>
        </is>
      </c>
      <c r="B125" s="23">
        <f>INDEX(Capability!$Q$5:$Q$54,$B$22)</f>
        <v/>
      </c>
      <c r="CB125">
        <f>IF((CE$1+121)&gt;CC$1,NA(),(CE$1+121)-4)</f>
        <v/>
      </c>
      <c r="CC125">
        <f>IF((CE$1+121)&gt;CC$1,NA(),INDEX('Data Entry'!$H$5:$BE$10004,(CE$1+121)-4,$B$20))</f>
        <v/>
      </c>
      <c r="CD125">
        <f>IF(ISNA(CB125),NA(),INDEX(Capability!$K$5:$K$54,$B$20))</f>
        <v/>
      </c>
      <c r="CE125">
        <f>IF(ISNA(CB125),NA(),INDEX(Capability!$J$5:$J$54,$B$20))</f>
        <v/>
      </c>
      <c r="CF125">
        <f>IF(ISNA(CB125),NA(),INDEX(Capability!$L$5:$L$54,$B$20))</f>
        <v/>
      </c>
      <c r="CG125">
        <f>IF(OR(ISNA(CC125),ISNA(CC124)),NA(),ABS(CC125-CC124))</f>
        <v/>
      </c>
      <c r="CH125">
        <f>IF(ISNA(CB125),NA(),INDEX(Capability!$N$5:$N$54,$B$20))</f>
        <v/>
      </c>
      <c r="CI125">
        <f>IF(ISNA(CB125),NA(),IF(OR(INDEX(Capability!$Q$5:$Q$54,$B$20)="",Settings!$F$7&lt;&gt;"Y"),NA(),INDEX(Capability!$Q$5:$Q$54,$B$20)))</f>
        <v/>
      </c>
      <c r="CJ125">
        <f>IF(ISNA(CB125),NA(),IF(OR(INDEX(Capability!$P$5:$P$54,$B$20)="",Settings!$F$7&lt;&gt;"Y"),NA(),INDEX(Capability!$P$5:$P$54,$B$20)))</f>
        <v/>
      </c>
      <c r="CP125">
        <f>IF((CS$1+121)&gt;CQ$1,NA(),(CS$1+121)-4)</f>
        <v/>
      </c>
      <c r="CQ125">
        <f>IF((CS$1+121)&gt;CQ$1,NA(),INDEX('Data Entry'!$H$5:$BE$10004,(CS$1+121)-4,$B$21))</f>
        <v/>
      </c>
      <c r="CR125">
        <f>IF(ISNA(CP125),NA(),INDEX(Capability!$K$5:$K$54,$B$21))</f>
        <v/>
      </c>
      <c r="CS125">
        <f>IF(ISNA(CP125),NA(),INDEX(Capability!$J$5:$J$54,$B$21))</f>
        <v/>
      </c>
      <c r="CT125">
        <f>IF(ISNA(CP125),NA(),INDEX(Capability!$L$5:$L$54,$B$21))</f>
        <v/>
      </c>
      <c r="CU125">
        <f>IF(OR(ISNA(CQ125),ISNA(CQ124)),NA(),ABS(CQ125-CQ124))</f>
        <v/>
      </c>
      <c r="CV125">
        <f>IF(ISNA(CP125),NA(),INDEX(Capability!$N$5:$N$54,$B$21))</f>
        <v/>
      </c>
      <c r="CW125">
        <f>IF(ISNA(CP125),NA(),IF(OR(INDEX(Capability!$Q$5:$Q$54,$B$21)="",Settings!$F$7&lt;&gt;"Y"),NA(),INDEX(Capability!$Q$5:$Q$54,$B$21)))</f>
        <v/>
      </c>
      <c r="CX125">
        <f>IF(ISNA(CP125),NA(),IF(OR(INDEX(Capability!$P$5:$P$54,$B$21)="",Settings!$F$7&lt;&gt;"Y"),NA(),INDEX(Capability!$P$5:$P$54,$B$21)))</f>
        <v/>
      </c>
      <c r="DD125">
        <f>IF((DG$1+121)&gt;DE$1,NA(),(DG$1+121)-4)</f>
        <v/>
      </c>
      <c r="DE125">
        <f>IF((DG$1+121)&gt;DE$1,NA(),INDEX('Data Entry'!$H$5:$BE$10004,(DG$1+121)-4,$B$22))</f>
        <v/>
      </c>
      <c r="DF125">
        <f>IF(ISNA(DD125),NA(),INDEX(Capability!$K$5:$K$54,$B$22))</f>
        <v/>
      </c>
      <c r="DG125">
        <f>IF(ISNA(DD125),NA(),INDEX(Capability!$J$5:$J$54,$B$22))</f>
        <v/>
      </c>
      <c r="DH125">
        <f>IF(ISNA(DD125),NA(),INDEX(Capability!$L$5:$L$54,$B$22))</f>
        <v/>
      </c>
      <c r="DI125">
        <f>IF(OR(ISNA(DE125),ISNA(DE124)),NA(),ABS(DE125-DE124))</f>
        <v/>
      </c>
      <c r="DJ125">
        <f>IF(ISNA(DD125),NA(),INDEX(Capability!$N$5:$N$54,$B$22))</f>
        <v/>
      </c>
      <c r="DK125">
        <f>IF(ISNA(DD125),NA(),IF(OR(INDEX(Capability!$Q$5:$Q$54,$B$22)="",Settings!$F$7&lt;&gt;"Y"),NA(),INDEX(Capability!$Q$5:$Q$54,$B$22)))</f>
        <v/>
      </c>
      <c r="DL125">
        <f>IF(ISNA(DD125),NA(),IF(OR(INDEX(Capability!$P$5:$P$54,$B$22)="",Settings!$F$7&lt;&gt;"Y"),NA(),INDEX(Capability!$P$5:$P$54,$B$22)))</f>
        <v/>
      </c>
      <c r="DR125">
        <f>IF((DU$1+121)&gt;DS$1,NA(),(DU$1+121)-4)</f>
        <v/>
      </c>
      <c r="DS125">
        <f>IF((DU$1+121)&gt;DS$1,NA(),INDEX('Data Entry'!$H$5:$BE$10004,(DU$1+121)-4,$B$23))</f>
        <v/>
      </c>
      <c r="DT125">
        <f>IF(ISNA(DR125),NA(),INDEX(Capability!$K$5:$K$54,$B$23))</f>
        <v/>
      </c>
      <c r="DU125">
        <f>IF(ISNA(DR125),NA(),INDEX(Capability!$J$5:$J$54,$B$23))</f>
        <v/>
      </c>
      <c r="DV125">
        <f>IF(ISNA(DR125),NA(),INDEX(Capability!$L$5:$L$54,$B$23))</f>
        <v/>
      </c>
      <c r="DW125">
        <f>IF(OR(ISNA(DS125),ISNA(DS124)),NA(),ABS(DS125-DS124))</f>
        <v/>
      </c>
      <c r="DX125">
        <f>IF(ISNA(DR125),NA(),INDEX(Capability!$N$5:$N$54,$B$23))</f>
        <v/>
      </c>
      <c r="DY125">
        <f>IF(ISNA(DR125),NA(),IF(OR(INDEX(Capability!$Q$5:$Q$54,$B$23)="",Settings!$F$7&lt;&gt;"Y"),NA(),INDEX(Capability!$Q$5:$Q$54,$B$23)))</f>
        <v/>
      </c>
      <c r="DZ125">
        <f>IF(ISNA(DR125),NA(),IF(OR(INDEX(Capability!$P$5:$P$54,$B$23)="",Settings!$F$7&lt;&gt;"Y"),NA(),INDEX(Capability!$P$5:$P$54,$B$23)))</f>
        <v/>
      </c>
    </row>
    <row r="126">
      <c r="A126" s="35" t="inlineStr">
        <is>
          <t>Nominal</t>
        </is>
      </c>
      <c r="B126" s="23">
        <f>INDEX(Capability!$O$5:$O$54,$B$22)</f>
        <v/>
      </c>
      <c r="CB126">
        <f>IF((CE$1+122)&gt;CC$1,NA(),(CE$1+122)-4)</f>
        <v/>
      </c>
      <c r="CC126">
        <f>IF((CE$1+122)&gt;CC$1,NA(),INDEX('Data Entry'!$H$5:$BE$10004,(CE$1+122)-4,$B$20))</f>
        <v/>
      </c>
      <c r="CD126">
        <f>IF(ISNA(CB126),NA(),INDEX(Capability!$K$5:$K$54,$B$20))</f>
        <v/>
      </c>
      <c r="CE126">
        <f>IF(ISNA(CB126),NA(),INDEX(Capability!$J$5:$J$54,$B$20))</f>
        <v/>
      </c>
      <c r="CF126">
        <f>IF(ISNA(CB126),NA(),INDEX(Capability!$L$5:$L$54,$B$20))</f>
        <v/>
      </c>
      <c r="CG126">
        <f>IF(OR(ISNA(CC126),ISNA(CC125)),NA(),ABS(CC126-CC125))</f>
        <v/>
      </c>
      <c r="CH126">
        <f>IF(ISNA(CB126),NA(),INDEX(Capability!$N$5:$N$54,$B$20))</f>
        <v/>
      </c>
      <c r="CI126">
        <f>IF(ISNA(CB126),NA(),IF(OR(INDEX(Capability!$Q$5:$Q$54,$B$20)="",Settings!$F$7&lt;&gt;"Y"),NA(),INDEX(Capability!$Q$5:$Q$54,$B$20)))</f>
        <v/>
      </c>
      <c r="CJ126">
        <f>IF(ISNA(CB126),NA(),IF(OR(INDEX(Capability!$P$5:$P$54,$B$20)="",Settings!$F$7&lt;&gt;"Y"),NA(),INDEX(Capability!$P$5:$P$54,$B$20)))</f>
        <v/>
      </c>
      <c r="CP126">
        <f>IF((CS$1+122)&gt;CQ$1,NA(),(CS$1+122)-4)</f>
        <v/>
      </c>
      <c r="CQ126">
        <f>IF((CS$1+122)&gt;CQ$1,NA(),INDEX('Data Entry'!$H$5:$BE$10004,(CS$1+122)-4,$B$21))</f>
        <v/>
      </c>
      <c r="CR126">
        <f>IF(ISNA(CP126),NA(),INDEX(Capability!$K$5:$K$54,$B$21))</f>
        <v/>
      </c>
      <c r="CS126">
        <f>IF(ISNA(CP126),NA(),INDEX(Capability!$J$5:$J$54,$B$21))</f>
        <v/>
      </c>
      <c r="CT126">
        <f>IF(ISNA(CP126),NA(),INDEX(Capability!$L$5:$L$54,$B$21))</f>
        <v/>
      </c>
      <c r="CU126">
        <f>IF(OR(ISNA(CQ126),ISNA(CQ125)),NA(),ABS(CQ126-CQ125))</f>
        <v/>
      </c>
      <c r="CV126">
        <f>IF(ISNA(CP126),NA(),INDEX(Capability!$N$5:$N$54,$B$21))</f>
        <v/>
      </c>
      <c r="CW126">
        <f>IF(ISNA(CP126),NA(),IF(OR(INDEX(Capability!$Q$5:$Q$54,$B$21)="",Settings!$F$7&lt;&gt;"Y"),NA(),INDEX(Capability!$Q$5:$Q$54,$B$21)))</f>
        <v/>
      </c>
      <c r="CX126">
        <f>IF(ISNA(CP126),NA(),IF(OR(INDEX(Capability!$P$5:$P$54,$B$21)="",Settings!$F$7&lt;&gt;"Y"),NA(),INDEX(Capability!$P$5:$P$54,$B$21)))</f>
        <v/>
      </c>
      <c r="DD126">
        <f>IF((DG$1+122)&gt;DE$1,NA(),(DG$1+122)-4)</f>
        <v/>
      </c>
      <c r="DE126">
        <f>IF((DG$1+122)&gt;DE$1,NA(),INDEX('Data Entry'!$H$5:$BE$10004,(DG$1+122)-4,$B$22))</f>
        <v/>
      </c>
      <c r="DF126">
        <f>IF(ISNA(DD126),NA(),INDEX(Capability!$K$5:$K$54,$B$22))</f>
        <v/>
      </c>
      <c r="DG126">
        <f>IF(ISNA(DD126),NA(),INDEX(Capability!$J$5:$J$54,$B$22))</f>
        <v/>
      </c>
      <c r="DH126">
        <f>IF(ISNA(DD126),NA(),INDEX(Capability!$L$5:$L$54,$B$22))</f>
        <v/>
      </c>
      <c r="DI126">
        <f>IF(OR(ISNA(DE126),ISNA(DE125)),NA(),ABS(DE126-DE125))</f>
        <v/>
      </c>
      <c r="DJ126">
        <f>IF(ISNA(DD126),NA(),INDEX(Capability!$N$5:$N$54,$B$22))</f>
        <v/>
      </c>
      <c r="DK126">
        <f>IF(ISNA(DD126),NA(),IF(OR(INDEX(Capability!$Q$5:$Q$54,$B$22)="",Settings!$F$7&lt;&gt;"Y"),NA(),INDEX(Capability!$Q$5:$Q$54,$B$22)))</f>
        <v/>
      </c>
      <c r="DL126">
        <f>IF(ISNA(DD126),NA(),IF(OR(INDEX(Capability!$P$5:$P$54,$B$22)="",Settings!$F$7&lt;&gt;"Y"),NA(),INDEX(Capability!$P$5:$P$54,$B$22)))</f>
        <v/>
      </c>
      <c r="DR126">
        <f>IF((DU$1+122)&gt;DS$1,NA(),(DU$1+122)-4)</f>
        <v/>
      </c>
      <c r="DS126">
        <f>IF((DU$1+122)&gt;DS$1,NA(),INDEX('Data Entry'!$H$5:$BE$10004,(DU$1+122)-4,$B$23))</f>
        <v/>
      </c>
      <c r="DT126">
        <f>IF(ISNA(DR126),NA(),INDEX(Capability!$K$5:$K$54,$B$23))</f>
        <v/>
      </c>
      <c r="DU126">
        <f>IF(ISNA(DR126),NA(),INDEX(Capability!$J$5:$J$54,$B$23))</f>
        <v/>
      </c>
      <c r="DV126">
        <f>IF(ISNA(DR126),NA(),INDEX(Capability!$L$5:$L$54,$B$23))</f>
        <v/>
      </c>
      <c r="DW126">
        <f>IF(OR(ISNA(DS126),ISNA(DS125)),NA(),ABS(DS126-DS125))</f>
        <v/>
      </c>
      <c r="DX126">
        <f>IF(ISNA(DR126),NA(),INDEX(Capability!$N$5:$N$54,$B$23))</f>
        <v/>
      </c>
      <c r="DY126">
        <f>IF(ISNA(DR126),NA(),IF(OR(INDEX(Capability!$Q$5:$Q$54,$B$23)="",Settings!$F$7&lt;&gt;"Y"),NA(),INDEX(Capability!$Q$5:$Q$54,$B$23)))</f>
        <v/>
      </c>
      <c r="DZ126">
        <f>IF(ISNA(DR126),NA(),IF(OR(INDEX(Capability!$P$5:$P$54,$B$23)="",Settings!$F$7&lt;&gt;"Y"),NA(),INDEX(Capability!$P$5:$P$54,$B$23)))</f>
        <v/>
      </c>
    </row>
    <row r="127">
      <c r="A127" s="35" t="inlineStr">
        <is>
          <t>LSL</t>
        </is>
      </c>
      <c r="B127" s="23">
        <f>INDEX(Capability!$P$5:$P$54,$B$22)</f>
        <v/>
      </c>
      <c r="CB127">
        <f>IF((CE$1+123)&gt;CC$1,NA(),(CE$1+123)-4)</f>
        <v/>
      </c>
      <c r="CC127">
        <f>IF((CE$1+123)&gt;CC$1,NA(),INDEX('Data Entry'!$H$5:$BE$10004,(CE$1+123)-4,$B$20))</f>
        <v/>
      </c>
      <c r="CD127">
        <f>IF(ISNA(CB127),NA(),INDEX(Capability!$K$5:$K$54,$B$20))</f>
        <v/>
      </c>
      <c r="CE127">
        <f>IF(ISNA(CB127),NA(),INDEX(Capability!$J$5:$J$54,$B$20))</f>
        <v/>
      </c>
      <c r="CF127">
        <f>IF(ISNA(CB127),NA(),INDEX(Capability!$L$5:$L$54,$B$20))</f>
        <v/>
      </c>
      <c r="CG127">
        <f>IF(OR(ISNA(CC127),ISNA(CC126)),NA(),ABS(CC127-CC126))</f>
        <v/>
      </c>
      <c r="CH127">
        <f>IF(ISNA(CB127),NA(),INDEX(Capability!$N$5:$N$54,$B$20))</f>
        <v/>
      </c>
      <c r="CI127">
        <f>IF(ISNA(CB127),NA(),IF(OR(INDEX(Capability!$Q$5:$Q$54,$B$20)="",Settings!$F$7&lt;&gt;"Y"),NA(),INDEX(Capability!$Q$5:$Q$54,$B$20)))</f>
        <v/>
      </c>
      <c r="CJ127">
        <f>IF(ISNA(CB127),NA(),IF(OR(INDEX(Capability!$P$5:$P$54,$B$20)="",Settings!$F$7&lt;&gt;"Y"),NA(),INDEX(Capability!$P$5:$P$54,$B$20)))</f>
        <v/>
      </c>
      <c r="CP127">
        <f>IF((CS$1+123)&gt;CQ$1,NA(),(CS$1+123)-4)</f>
        <v/>
      </c>
      <c r="CQ127">
        <f>IF((CS$1+123)&gt;CQ$1,NA(),INDEX('Data Entry'!$H$5:$BE$10004,(CS$1+123)-4,$B$21))</f>
        <v/>
      </c>
      <c r="CR127">
        <f>IF(ISNA(CP127),NA(),INDEX(Capability!$K$5:$K$54,$B$21))</f>
        <v/>
      </c>
      <c r="CS127">
        <f>IF(ISNA(CP127),NA(),INDEX(Capability!$J$5:$J$54,$B$21))</f>
        <v/>
      </c>
      <c r="CT127">
        <f>IF(ISNA(CP127),NA(),INDEX(Capability!$L$5:$L$54,$B$21))</f>
        <v/>
      </c>
      <c r="CU127">
        <f>IF(OR(ISNA(CQ127),ISNA(CQ126)),NA(),ABS(CQ127-CQ126))</f>
        <v/>
      </c>
      <c r="CV127">
        <f>IF(ISNA(CP127),NA(),INDEX(Capability!$N$5:$N$54,$B$21))</f>
        <v/>
      </c>
      <c r="CW127">
        <f>IF(ISNA(CP127),NA(),IF(OR(INDEX(Capability!$Q$5:$Q$54,$B$21)="",Settings!$F$7&lt;&gt;"Y"),NA(),INDEX(Capability!$Q$5:$Q$54,$B$21)))</f>
        <v/>
      </c>
      <c r="CX127">
        <f>IF(ISNA(CP127),NA(),IF(OR(INDEX(Capability!$P$5:$P$54,$B$21)="",Settings!$F$7&lt;&gt;"Y"),NA(),INDEX(Capability!$P$5:$P$54,$B$21)))</f>
        <v/>
      </c>
      <c r="DD127">
        <f>IF((DG$1+123)&gt;DE$1,NA(),(DG$1+123)-4)</f>
        <v/>
      </c>
      <c r="DE127">
        <f>IF((DG$1+123)&gt;DE$1,NA(),INDEX('Data Entry'!$H$5:$BE$10004,(DG$1+123)-4,$B$22))</f>
        <v/>
      </c>
      <c r="DF127">
        <f>IF(ISNA(DD127),NA(),INDEX(Capability!$K$5:$K$54,$B$22))</f>
        <v/>
      </c>
      <c r="DG127">
        <f>IF(ISNA(DD127),NA(),INDEX(Capability!$J$5:$J$54,$B$22))</f>
        <v/>
      </c>
      <c r="DH127">
        <f>IF(ISNA(DD127),NA(),INDEX(Capability!$L$5:$L$54,$B$22))</f>
        <v/>
      </c>
      <c r="DI127">
        <f>IF(OR(ISNA(DE127),ISNA(DE126)),NA(),ABS(DE127-DE126))</f>
        <v/>
      </c>
      <c r="DJ127">
        <f>IF(ISNA(DD127),NA(),INDEX(Capability!$N$5:$N$54,$B$22))</f>
        <v/>
      </c>
      <c r="DK127">
        <f>IF(ISNA(DD127),NA(),IF(OR(INDEX(Capability!$Q$5:$Q$54,$B$22)="",Settings!$F$7&lt;&gt;"Y"),NA(),INDEX(Capability!$Q$5:$Q$54,$B$22)))</f>
        <v/>
      </c>
      <c r="DL127">
        <f>IF(ISNA(DD127),NA(),IF(OR(INDEX(Capability!$P$5:$P$54,$B$22)="",Settings!$F$7&lt;&gt;"Y"),NA(),INDEX(Capability!$P$5:$P$54,$B$22)))</f>
        <v/>
      </c>
      <c r="DR127">
        <f>IF((DU$1+123)&gt;DS$1,NA(),(DU$1+123)-4)</f>
        <v/>
      </c>
      <c r="DS127">
        <f>IF((DU$1+123)&gt;DS$1,NA(),INDEX('Data Entry'!$H$5:$BE$10004,(DU$1+123)-4,$B$23))</f>
        <v/>
      </c>
      <c r="DT127">
        <f>IF(ISNA(DR127),NA(),INDEX(Capability!$K$5:$K$54,$B$23))</f>
        <v/>
      </c>
      <c r="DU127">
        <f>IF(ISNA(DR127),NA(),INDEX(Capability!$J$5:$J$54,$B$23))</f>
        <v/>
      </c>
      <c r="DV127">
        <f>IF(ISNA(DR127),NA(),INDEX(Capability!$L$5:$L$54,$B$23))</f>
        <v/>
      </c>
      <c r="DW127">
        <f>IF(OR(ISNA(DS127),ISNA(DS126)),NA(),ABS(DS127-DS126))</f>
        <v/>
      </c>
      <c r="DX127">
        <f>IF(ISNA(DR127),NA(),INDEX(Capability!$N$5:$N$54,$B$23))</f>
        <v/>
      </c>
      <c r="DY127">
        <f>IF(ISNA(DR127),NA(),IF(OR(INDEX(Capability!$Q$5:$Q$54,$B$23)="",Settings!$F$7&lt;&gt;"Y"),NA(),INDEX(Capability!$Q$5:$Q$54,$B$23)))</f>
        <v/>
      </c>
      <c r="DZ127">
        <f>IF(ISNA(DR127),NA(),IF(OR(INDEX(Capability!$P$5:$P$54,$B$23)="",Settings!$F$7&lt;&gt;"Y"),NA(),INDEX(Capability!$P$5:$P$54,$B$23)))</f>
        <v/>
      </c>
    </row>
    <row r="128">
      <c r="A128" s="37" t="inlineStr">
        <is>
          <t>CAPABILITY</t>
        </is>
      </c>
      <c r="B128" s="28" t="n"/>
      <c r="CB128">
        <f>IF((CE$1+124)&gt;CC$1,NA(),(CE$1+124)-4)</f>
        <v/>
      </c>
      <c r="CC128">
        <f>IF((CE$1+124)&gt;CC$1,NA(),INDEX('Data Entry'!$H$5:$BE$10004,(CE$1+124)-4,$B$20))</f>
        <v/>
      </c>
      <c r="CD128">
        <f>IF(ISNA(CB128),NA(),INDEX(Capability!$K$5:$K$54,$B$20))</f>
        <v/>
      </c>
      <c r="CE128">
        <f>IF(ISNA(CB128),NA(),INDEX(Capability!$J$5:$J$54,$B$20))</f>
        <v/>
      </c>
      <c r="CF128">
        <f>IF(ISNA(CB128),NA(),INDEX(Capability!$L$5:$L$54,$B$20))</f>
        <v/>
      </c>
      <c r="CG128">
        <f>IF(OR(ISNA(CC128),ISNA(CC127)),NA(),ABS(CC128-CC127))</f>
        <v/>
      </c>
      <c r="CH128">
        <f>IF(ISNA(CB128),NA(),INDEX(Capability!$N$5:$N$54,$B$20))</f>
        <v/>
      </c>
      <c r="CI128">
        <f>IF(ISNA(CB128),NA(),IF(OR(INDEX(Capability!$Q$5:$Q$54,$B$20)="",Settings!$F$7&lt;&gt;"Y"),NA(),INDEX(Capability!$Q$5:$Q$54,$B$20)))</f>
        <v/>
      </c>
      <c r="CJ128">
        <f>IF(ISNA(CB128),NA(),IF(OR(INDEX(Capability!$P$5:$P$54,$B$20)="",Settings!$F$7&lt;&gt;"Y"),NA(),INDEX(Capability!$P$5:$P$54,$B$20)))</f>
        <v/>
      </c>
      <c r="CP128">
        <f>IF((CS$1+124)&gt;CQ$1,NA(),(CS$1+124)-4)</f>
        <v/>
      </c>
      <c r="CQ128">
        <f>IF((CS$1+124)&gt;CQ$1,NA(),INDEX('Data Entry'!$H$5:$BE$10004,(CS$1+124)-4,$B$21))</f>
        <v/>
      </c>
      <c r="CR128">
        <f>IF(ISNA(CP128),NA(),INDEX(Capability!$K$5:$K$54,$B$21))</f>
        <v/>
      </c>
      <c r="CS128">
        <f>IF(ISNA(CP128),NA(),INDEX(Capability!$J$5:$J$54,$B$21))</f>
        <v/>
      </c>
      <c r="CT128">
        <f>IF(ISNA(CP128),NA(),INDEX(Capability!$L$5:$L$54,$B$21))</f>
        <v/>
      </c>
      <c r="CU128">
        <f>IF(OR(ISNA(CQ128),ISNA(CQ127)),NA(),ABS(CQ128-CQ127))</f>
        <v/>
      </c>
      <c r="CV128">
        <f>IF(ISNA(CP128),NA(),INDEX(Capability!$N$5:$N$54,$B$21))</f>
        <v/>
      </c>
      <c r="CW128">
        <f>IF(ISNA(CP128),NA(),IF(OR(INDEX(Capability!$Q$5:$Q$54,$B$21)="",Settings!$F$7&lt;&gt;"Y"),NA(),INDEX(Capability!$Q$5:$Q$54,$B$21)))</f>
        <v/>
      </c>
      <c r="CX128">
        <f>IF(ISNA(CP128),NA(),IF(OR(INDEX(Capability!$P$5:$P$54,$B$21)="",Settings!$F$7&lt;&gt;"Y"),NA(),INDEX(Capability!$P$5:$P$54,$B$21)))</f>
        <v/>
      </c>
      <c r="DD128">
        <f>IF((DG$1+124)&gt;DE$1,NA(),(DG$1+124)-4)</f>
        <v/>
      </c>
      <c r="DE128">
        <f>IF((DG$1+124)&gt;DE$1,NA(),INDEX('Data Entry'!$H$5:$BE$10004,(DG$1+124)-4,$B$22))</f>
        <v/>
      </c>
      <c r="DF128">
        <f>IF(ISNA(DD128),NA(),INDEX(Capability!$K$5:$K$54,$B$22))</f>
        <v/>
      </c>
      <c r="DG128">
        <f>IF(ISNA(DD128),NA(),INDEX(Capability!$J$5:$J$54,$B$22))</f>
        <v/>
      </c>
      <c r="DH128">
        <f>IF(ISNA(DD128),NA(),INDEX(Capability!$L$5:$L$54,$B$22))</f>
        <v/>
      </c>
      <c r="DI128">
        <f>IF(OR(ISNA(DE128),ISNA(DE127)),NA(),ABS(DE128-DE127))</f>
        <v/>
      </c>
      <c r="DJ128">
        <f>IF(ISNA(DD128),NA(),INDEX(Capability!$N$5:$N$54,$B$22))</f>
        <v/>
      </c>
      <c r="DK128">
        <f>IF(ISNA(DD128),NA(),IF(OR(INDEX(Capability!$Q$5:$Q$54,$B$22)="",Settings!$F$7&lt;&gt;"Y"),NA(),INDEX(Capability!$Q$5:$Q$54,$B$22)))</f>
        <v/>
      </c>
      <c r="DL128">
        <f>IF(ISNA(DD128),NA(),IF(OR(INDEX(Capability!$P$5:$P$54,$B$22)="",Settings!$F$7&lt;&gt;"Y"),NA(),INDEX(Capability!$P$5:$P$54,$B$22)))</f>
        <v/>
      </c>
      <c r="DR128">
        <f>IF((DU$1+124)&gt;DS$1,NA(),(DU$1+124)-4)</f>
        <v/>
      </c>
      <c r="DS128">
        <f>IF((DU$1+124)&gt;DS$1,NA(),INDEX('Data Entry'!$H$5:$BE$10004,(DU$1+124)-4,$B$23))</f>
        <v/>
      </c>
      <c r="DT128">
        <f>IF(ISNA(DR128),NA(),INDEX(Capability!$K$5:$K$54,$B$23))</f>
        <v/>
      </c>
      <c r="DU128">
        <f>IF(ISNA(DR128),NA(),INDEX(Capability!$J$5:$J$54,$B$23))</f>
        <v/>
      </c>
      <c r="DV128">
        <f>IF(ISNA(DR128),NA(),INDEX(Capability!$L$5:$L$54,$B$23))</f>
        <v/>
      </c>
      <c r="DW128">
        <f>IF(OR(ISNA(DS128),ISNA(DS127)),NA(),ABS(DS128-DS127))</f>
        <v/>
      </c>
      <c r="DX128">
        <f>IF(ISNA(DR128),NA(),INDEX(Capability!$N$5:$N$54,$B$23))</f>
        <v/>
      </c>
      <c r="DY128">
        <f>IF(ISNA(DR128),NA(),IF(OR(INDEX(Capability!$Q$5:$Q$54,$B$23)="",Settings!$F$7&lt;&gt;"Y"),NA(),INDEX(Capability!$Q$5:$Q$54,$B$23)))</f>
        <v/>
      </c>
      <c r="DZ128">
        <f>IF(ISNA(DR128),NA(),IF(OR(INDEX(Capability!$P$5:$P$54,$B$23)="",Settings!$F$7&lt;&gt;"Y"),NA(),INDEX(Capability!$P$5:$P$54,$B$23)))</f>
        <v/>
      </c>
    </row>
    <row r="129">
      <c r="A129" s="35" t="inlineStr">
        <is>
          <t>Cp</t>
        </is>
      </c>
      <c r="B129" s="38">
        <f>INDEX(Capability!$S$5:$S$54,$B$22)</f>
        <v/>
      </c>
      <c r="CB129">
        <f>IF((CE$1+125)&gt;CC$1,NA(),(CE$1+125)-4)</f>
        <v/>
      </c>
      <c r="CC129">
        <f>IF((CE$1+125)&gt;CC$1,NA(),INDEX('Data Entry'!$H$5:$BE$10004,(CE$1+125)-4,$B$20))</f>
        <v/>
      </c>
      <c r="CD129">
        <f>IF(ISNA(CB129),NA(),INDEX(Capability!$K$5:$K$54,$B$20))</f>
        <v/>
      </c>
      <c r="CE129">
        <f>IF(ISNA(CB129),NA(),INDEX(Capability!$J$5:$J$54,$B$20))</f>
        <v/>
      </c>
      <c r="CF129">
        <f>IF(ISNA(CB129),NA(),INDEX(Capability!$L$5:$L$54,$B$20))</f>
        <v/>
      </c>
      <c r="CG129">
        <f>IF(OR(ISNA(CC129),ISNA(CC128)),NA(),ABS(CC129-CC128))</f>
        <v/>
      </c>
      <c r="CH129">
        <f>IF(ISNA(CB129),NA(),INDEX(Capability!$N$5:$N$54,$B$20))</f>
        <v/>
      </c>
      <c r="CI129">
        <f>IF(ISNA(CB129),NA(),IF(OR(INDEX(Capability!$Q$5:$Q$54,$B$20)="",Settings!$F$7&lt;&gt;"Y"),NA(),INDEX(Capability!$Q$5:$Q$54,$B$20)))</f>
        <v/>
      </c>
      <c r="CJ129">
        <f>IF(ISNA(CB129),NA(),IF(OR(INDEX(Capability!$P$5:$P$54,$B$20)="",Settings!$F$7&lt;&gt;"Y"),NA(),INDEX(Capability!$P$5:$P$54,$B$20)))</f>
        <v/>
      </c>
      <c r="CP129">
        <f>IF((CS$1+125)&gt;CQ$1,NA(),(CS$1+125)-4)</f>
        <v/>
      </c>
      <c r="CQ129">
        <f>IF((CS$1+125)&gt;CQ$1,NA(),INDEX('Data Entry'!$H$5:$BE$10004,(CS$1+125)-4,$B$21))</f>
        <v/>
      </c>
      <c r="CR129">
        <f>IF(ISNA(CP129),NA(),INDEX(Capability!$K$5:$K$54,$B$21))</f>
        <v/>
      </c>
      <c r="CS129">
        <f>IF(ISNA(CP129),NA(),INDEX(Capability!$J$5:$J$54,$B$21))</f>
        <v/>
      </c>
      <c r="CT129">
        <f>IF(ISNA(CP129),NA(),INDEX(Capability!$L$5:$L$54,$B$21))</f>
        <v/>
      </c>
      <c r="CU129">
        <f>IF(OR(ISNA(CQ129),ISNA(CQ128)),NA(),ABS(CQ129-CQ128))</f>
        <v/>
      </c>
      <c r="CV129">
        <f>IF(ISNA(CP129),NA(),INDEX(Capability!$N$5:$N$54,$B$21))</f>
        <v/>
      </c>
      <c r="CW129">
        <f>IF(ISNA(CP129),NA(),IF(OR(INDEX(Capability!$Q$5:$Q$54,$B$21)="",Settings!$F$7&lt;&gt;"Y"),NA(),INDEX(Capability!$Q$5:$Q$54,$B$21)))</f>
        <v/>
      </c>
      <c r="CX129">
        <f>IF(ISNA(CP129),NA(),IF(OR(INDEX(Capability!$P$5:$P$54,$B$21)="",Settings!$F$7&lt;&gt;"Y"),NA(),INDEX(Capability!$P$5:$P$54,$B$21)))</f>
        <v/>
      </c>
      <c r="DD129">
        <f>IF((DG$1+125)&gt;DE$1,NA(),(DG$1+125)-4)</f>
        <v/>
      </c>
      <c r="DE129">
        <f>IF((DG$1+125)&gt;DE$1,NA(),INDEX('Data Entry'!$H$5:$BE$10004,(DG$1+125)-4,$B$22))</f>
        <v/>
      </c>
      <c r="DF129">
        <f>IF(ISNA(DD129),NA(),INDEX(Capability!$K$5:$K$54,$B$22))</f>
        <v/>
      </c>
      <c r="DG129">
        <f>IF(ISNA(DD129),NA(),INDEX(Capability!$J$5:$J$54,$B$22))</f>
        <v/>
      </c>
      <c r="DH129">
        <f>IF(ISNA(DD129),NA(),INDEX(Capability!$L$5:$L$54,$B$22))</f>
        <v/>
      </c>
      <c r="DI129">
        <f>IF(OR(ISNA(DE129),ISNA(DE128)),NA(),ABS(DE129-DE128))</f>
        <v/>
      </c>
      <c r="DJ129">
        <f>IF(ISNA(DD129),NA(),INDEX(Capability!$N$5:$N$54,$B$22))</f>
        <v/>
      </c>
      <c r="DK129">
        <f>IF(ISNA(DD129),NA(),IF(OR(INDEX(Capability!$Q$5:$Q$54,$B$22)="",Settings!$F$7&lt;&gt;"Y"),NA(),INDEX(Capability!$Q$5:$Q$54,$B$22)))</f>
        <v/>
      </c>
      <c r="DL129">
        <f>IF(ISNA(DD129),NA(),IF(OR(INDEX(Capability!$P$5:$P$54,$B$22)="",Settings!$F$7&lt;&gt;"Y"),NA(),INDEX(Capability!$P$5:$P$54,$B$22)))</f>
        <v/>
      </c>
      <c r="DR129">
        <f>IF((DU$1+125)&gt;DS$1,NA(),(DU$1+125)-4)</f>
        <v/>
      </c>
      <c r="DS129">
        <f>IF((DU$1+125)&gt;DS$1,NA(),INDEX('Data Entry'!$H$5:$BE$10004,(DU$1+125)-4,$B$23))</f>
        <v/>
      </c>
      <c r="DT129">
        <f>IF(ISNA(DR129),NA(),INDEX(Capability!$K$5:$K$54,$B$23))</f>
        <v/>
      </c>
      <c r="DU129">
        <f>IF(ISNA(DR129),NA(),INDEX(Capability!$J$5:$J$54,$B$23))</f>
        <v/>
      </c>
      <c r="DV129">
        <f>IF(ISNA(DR129),NA(),INDEX(Capability!$L$5:$L$54,$B$23))</f>
        <v/>
      </c>
      <c r="DW129">
        <f>IF(OR(ISNA(DS129),ISNA(DS128)),NA(),ABS(DS129-DS128))</f>
        <v/>
      </c>
      <c r="DX129">
        <f>IF(ISNA(DR129),NA(),INDEX(Capability!$N$5:$N$54,$B$23))</f>
        <v/>
      </c>
      <c r="DY129">
        <f>IF(ISNA(DR129),NA(),IF(OR(INDEX(Capability!$Q$5:$Q$54,$B$23)="",Settings!$F$7&lt;&gt;"Y"),NA(),INDEX(Capability!$Q$5:$Q$54,$B$23)))</f>
        <v/>
      </c>
      <c r="DZ129">
        <f>IF(ISNA(DR129),NA(),IF(OR(INDEX(Capability!$P$5:$P$54,$B$23)="",Settings!$F$7&lt;&gt;"Y"),NA(),INDEX(Capability!$P$5:$P$54,$B$23)))</f>
        <v/>
      </c>
    </row>
    <row r="130">
      <c r="A130" s="35" t="inlineStr">
        <is>
          <t>Cpk</t>
        </is>
      </c>
      <c r="B130" s="38">
        <f>INDEX(Capability!$T$5:$T$54,$B$22)</f>
        <v/>
      </c>
      <c r="CB130">
        <f>IF((CE$1+126)&gt;CC$1,NA(),(CE$1+126)-4)</f>
        <v/>
      </c>
      <c r="CC130">
        <f>IF((CE$1+126)&gt;CC$1,NA(),INDEX('Data Entry'!$H$5:$BE$10004,(CE$1+126)-4,$B$20))</f>
        <v/>
      </c>
      <c r="CD130">
        <f>IF(ISNA(CB130),NA(),INDEX(Capability!$K$5:$K$54,$B$20))</f>
        <v/>
      </c>
      <c r="CE130">
        <f>IF(ISNA(CB130),NA(),INDEX(Capability!$J$5:$J$54,$B$20))</f>
        <v/>
      </c>
      <c r="CF130">
        <f>IF(ISNA(CB130),NA(),INDEX(Capability!$L$5:$L$54,$B$20))</f>
        <v/>
      </c>
      <c r="CG130">
        <f>IF(OR(ISNA(CC130),ISNA(CC129)),NA(),ABS(CC130-CC129))</f>
        <v/>
      </c>
      <c r="CH130">
        <f>IF(ISNA(CB130),NA(),INDEX(Capability!$N$5:$N$54,$B$20))</f>
        <v/>
      </c>
      <c r="CI130">
        <f>IF(ISNA(CB130),NA(),IF(OR(INDEX(Capability!$Q$5:$Q$54,$B$20)="",Settings!$F$7&lt;&gt;"Y"),NA(),INDEX(Capability!$Q$5:$Q$54,$B$20)))</f>
        <v/>
      </c>
      <c r="CJ130">
        <f>IF(ISNA(CB130),NA(),IF(OR(INDEX(Capability!$P$5:$P$54,$B$20)="",Settings!$F$7&lt;&gt;"Y"),NA(),INDEX(Capability!$P$5:$P$54,$B$20)))</f>
        <v/>
      </c>
      <c r="CP130">
        <f>IF((CS$1+126)&gt;CQ$1,NA(),(CS$1+126)-4)</f>
        <v/>
      </c>
      <c r="CQ130">
        <f>IF((CS$1+126)&gt;CQ$1,NA(),INDEX('Data Entry'!$H$5:$BE$10004,(CS$1+126)-4,$B$21))</f>
        <v/>
      </c>
      <c r="CR130">
        <f>IF(ISNA(CP130),NA(),INDEX(Capability!$K$5:$K$54,$B$21))</f>
        <v/>
      </c>
      <c r="CS130">
        <f>IF(ISNA(CP130),NA(),INDEX(Capability!$J$5:$J$54,$B$21))</f>
        <v/>
      </c>
      <c r="CT130">
        <f>IF(ISNA(CP130),NA(),INDEX(Capability!$L$5:$L$54,$B$21))</f>
        <v/>
      </c>
      <c r="CU130">
        <f>IF(OR(ISNA(CQ130),ISNA(CQ129)),NA(),ABS(CQ130-CQ129))</f>
        <v/>
      </c>
      <c r="CV130">
        <f>IF(ISNA(CP130),NA(),INDEX(Capability!$N$5:$N$54,$B$21))</f>
        <v/>
      </c>
      <c r="CW130">
        <f>IF(ISNA(CP130),NA(),IF(OR(INDEX(Capability!$Q$5:$Q$54,$B$21)="",Settings!$F$7&lt;&gt;"Y"),NA(),INDEX(Capability!$Q$5:$Q$54,$B$21)))</f>
        <v/>
      </c>
      <c r="CX130">
        <f>IF(ISNA(CP130),NA(),IF(OR(INDEX(Capability!$P$5:$P$54,$B$21)="",Settings!$F$7&lt;&gt;"Y"),NA(),INDEX(Capability!$P$5:$P$54,$B$21)))</f>
        <v/>
      </c>
      <c r="DD130">
        <f>IF((DG$1+126)&gt;DE$1,NA(),(DG$1+126)-4)</f>
        <v/>
      </c>
      <c r="DE130">
        <f>IF((DG$1+126)&gt;DE$1,NA(),INDEX('Data Entry'!$H$5:$BE$10004,(DG$1+126)-4,$B$22))</f>
        <v/>
      </c>
      <c r="DF130">
        <f>IF(ISNA(DD130),NA(),INDEX(Capability!$K$5:$K$54,$B$22))</f>
        <v/>
      </c>
      <c r="DG130">
        <f>IF(ISNA(DD130),NA(),INDEX(Capability!$J$5:$J$54,$B$22))</f>
        <v/>
      </c>
      <c r="DH130">
        <f>IF(ISNA(DD130),NA(),INDEX(Capability!$L$5:$L$54,$B$22))</f>
        <v/>
      </c>
      <c r="DI130">
        <f>IF(OR(ISNA(DE130),ISNA(DE129)),NA(),ABS(DE130-DE129))</f>
        <v/>
      </c>
      <c r="DJ130">
        <f>IF(ISNA(DD130),NA(),INDEX(Capability!$N$5:$N$54,$B$22))</f>
        <v/>
      </c>
      <c r="DK130">
        <f>IF(ISNA(DD130),NA(),IF(OR(INDEX(Capability!$Q$5:$Q$54,$B$22)="",Settings!$F$7&lt;&gt;"Y"),NA(),INDEX(Capability!$Q$5:$Q$54,$B$22)))</f>
        <v/>
      </c>
      <c r="DL130">
        <f>IF(ISNA(DD130),NA(),IF(OR(INDEX(Capability!$P$5:$P$54,$B$22)="",Settings!$F$7&lt;&gt;"Y"),NA(),INDEX(Capability!$P$5:$P$54,$B$22)))</f>
        <v/>
      </c>
      <c r="DR130">
        <f>IF((DU$1+126)&gt;DS$1,NA(),(DU$1+126)-4)</f>
        <v/>
      </c>
      <c r="DS130">
        <f>IF((DU$1+126)&gt;DS$1,NA(),INDEX('Data Entry'!$H$5:$BE$10004,(DU$1+126)-4,$B$23))</f>
        <v/>
      </c>
      <c r="DT130">
        <f>IF(ISNA(DR130),NA(),INDEX(Capability!$K$5:$K$54,$B$23))</f>
        <v/>
      </c>
      <c r="DU130">
        <f>IF(ISNA(DR130),NA(),INDEX(Capability!$J$5:$J$54,$B$23))</f>
        <v/>
      </c>
      <c r="DV130">
        <f>IF(ISNA(DR130),NA(),INDEX(Capability!$L$5:$L$54,$B$23))</f>
        <v/>
      </c>
      <c r="DW130">
        <f>IF(OR(ISNA(DS130),ISNA(DS129)),NA(),ABS(DS130-DS129))</f>
        <v/>
      </c>
      <c r="DX130">
        <f>IF(ISNA(DR130),NA(),INDEX(Capability!$N$5:$N$54,$B$23))</f>
        <v/>
      </c>
      <c r="DY130">
        <f>IF(ISNA(DR130),NA(),IF(OR(INDEX(Capability!$Q$5:$Q$54,$B$23)="",Settings!$F$7&lt;&gt;"Y"),NA(),INDEX(Capability!$Q$5:$Q$54,$B$23)))</f>
        <v/>
      </c>
      <c r="DZ130">
        <f>IF(ISNA(DR130),NA(),IF(OR(INDEX(Capability!$P$5:$P$54,$B$23)="",Settings!$F$7&lt;&gt;"Y"),NA(),INDEX(Capability!$P$5:$P$54,$B$23)))</f>
        <v/>
      </c>
    </row>
    <row r="131">
      <c r="A131" s="35" t="inlineStr">
        <is>
          <t>Pp</t>
        </is>
      </c>
      <c r="B131" s="38">
        <f>INDEX(Capability!$U$5:$U$54,$B$22)</f>
        <v/>
      </c>
      <c r="CB131">
        <f>IF((CE$1+127)&gt;CC$1,NA(),(CE$1+127)-4)</f>
        <v/>
      </c>
      <c r="CC131">
        <f>IF((CE$1+127)&gt;CC$1,NA(),INDEX('Data Entry'!$H$5:$BE$10004,(CE$1+127)-4,$B$20))</f>
        <v/>
      </c>
      <c r="CD131">
        <f>IF(ISNA(CB131),NA(),INDEX(Capability!$K$5:$K$54,$B$20))</f>
        <v/>
      </c>
      <c r="CE131">
        <f>IF(ISNA(CB131),NA(),INDEX(Capability!$J$5:$J$54,$B$20))</f>
        <v/>
      </c>
      <c r="CF131">
        <f>IF(ISNA(CB131),NA(),INDEX(Capability!$L$5:$L$54,$B$20))</f>
        <v/>
      </c>
      <c r="CG131">
        <f>IF(OR(ISNA(CC131),ISNA(CC130)),NA(),ABS(CC131-CC130))</f>
        <v/>
      </c>
      <c r="CH131">
        <f>IF(ISNA(CB131),NA(),INDEX(Capability!$N$5:$N$54,$B$20))</f>
        <v/>
      </c>
      <c r="CI131">
        <f>IF(ISNA(CB131),NA(),IF(OR(INDEX(Capability!$Q$5:$Q$54,$B$20)="",Settings!$F$7&lt;&gt;"Y"),NA(),INDEX(Capability!$Q$5:$Q$54,$B$20)))</f>
        <v/>
      </c>
      <c r="CJ131">
        <f>IF(ISNA(CB131),NA(),IF(OR(INDEX(Capability!$P$5:$P$54,$B$20)="",Settings!$F$7&lt;&gt;"Y"),NA(),INDEX(Capability!$P$5:$P$54,$B$20)))</f>
        <v/>
      </c>
      <c r="CP131">
        <f>IF((CS$1+127)&gt;CQ$1,NA(),(CS$1+127)-4)</f>
        <v/>
      </c>
      <c r="CQ131">
        <f>IF((CS$1+127)&gt;CQ$1,NA(),INDEX('Data Entry'!$H$5:$BE$10004,(CS$1+127)-4,$B$21))</f>
        <v/>
      </c>
      <c r="CR131">
        <f>IF(ISNA(CP131),NA(),INDEX(Capability!$K$5:$K$54,$B$21))</f>
        <v/>
      </c>
      <c r="CS131">
        <f>IF(ISNA(CP131),NA(),INDEX(Capability!$J$5:$J$54,$B$21))</f>
        <v/>
      </c>
      <c r="CT131">
        <f>IF(ISNA(CP131),NA(),INDEX(Capability!$L$5:$L$54,$B$21))</f>
        <v/>
      </c>
      <c r="CU131">
        <f>IF(OR(ISNA(CQ131),ISNA(CQ130)),NA(),ABS(CQ131-CQ130))</f>
        <v/>
      </c>
      <c r="CV131">
        <f>IF(ISNA(CP131),NA(),INDEX(Capability!$N$5:$N$54,$B$21))</f>
        <v/>
      </c>
      <c r="CW131">
        <f>IF(ISNA(CP131),NA(),IF(OR(INDEX(Capability!$Q$5:$Q$54,$B$21)="",Settings!$F$7&lt;&gt;"Y"),NA(),INDEX(Capability!$Q$5:$Q$54,$B$21)))</f>
        <v/>
      </c>
      <c r="CX131">
        <f>IF(ISNA(CP131),NA(),IF(OR(INDEX(Capability!$P$5:$P$54,$B$21)="",Settings!$F$7&lt;&gt;"Y"),NA(),INDEX(Capability!$P$5:$P$54,$B$21)))</f>
        <v/>
      </c>
      <c r="DD131">
        <f>IF((DG$1+127)&gt;DE$1,NA(),(DG$1+127)-4)</f>
        <v/>
      </c>
      <c r="DE131">
        <f>IF((DG$1+127)&gt;DE$1,NA(),INDEX('Data Entry'!$H$5:$BE$10004,(DG$1+127)-4,$B$22))</f>
        <v/>
      </c>
      <c r="DF131">
        <f>IF(ISNA(DD131),NA(),INDEX(Capability!$K$5:$K$54,$B$22))</f>
        <v/>
      </c>
      <c r="DG131">
        <f>IF(ISNA(DD131),NA(),INDEX(Capability!$J$5:$J$54,$B$22))</f>
        <v/>
      </c>
      <c r="DH131">
        <f>IF(ISNA(DD131),NA(),INDEX(Capability!$L$5:$L$54,$B$22))</f>
        <v/>
      </c>
      <c r="DI131">
        <f>IF(OR(ISNA(DE131),ISNA(DE130)),NA(),ABS(DE131-DE130))</f>
        <v/>
      </c>
      <c r="DJ131">
        <f>IF(ISNA(DD131),NA(),INDEX(Capability!$N$5:$N$54,$B$22))</f>
        <v/>
      </c>
      <c r="DK131">
        <f>IF(ISNA(DD131),NA(),IF(OR(INDEX(Capability!$Q$5:$Q$54,$B$22)="",Settings!$F$7&lt;&gt;"Y"),NA(),INDEX(Capability!$Q$5:$Q$54,$B$22)))</f>
        <v/>
      </c>
      <c r="DL131">
        <f>IF(ISNA(DD131),NA(),IF(OR(INDEX(Capability!$P$5:$P$54,$B$22)="",Settings!$F$7&lt;&gt;"Y"),NA(),INDEX(Capability!$P$5:$P$54,$B$22)))</f>
        <v/>
      </c>
      <c r="DR131">
        <f>IF((DU$1+127)&gt;DS$1,NA(),(DU$1+127)-4)</f>
        <v/>
      </c>
      <c r="DS131">
        <f>IF((DU$1+127)&gt;DS$1,NA(),INDEX('Data Entry'!$H$5:$BE$10004,(DU$1+127)-4,$B$23))</f>
        <v/>
      </c>
      <c r="DT131">
        <f>IF(ISNA(DR131),NA(),INDEX(Capability!$K$5:$K$54,$B$23))</f>
        <v/>
      </c>
      <c r="DU131">
        <f>IF(ISNA(DR131),NA(),INDEX(Capability!$J$5:$J$54,$B$23))</f>
        <v/>
      </c>
      <c r="DV131">
        <f>IF(ISNA(DR131),NA(),INDEX(Capability!$L$5:$L$54,$B$23))</f>
        <v/>
      </c>
      <c r="DW131">
        <f>IF(OR(ISNA(DS131),ISNA(DS130)),NA(),ABS(DS131-DS130))</f>
        <v/>
      </c>
      <c r="DX131">
        <f>IF(ISNA(DR131),NA(),INDEX(Capability!$N$5:$N$54,$B$23))</f>
        <v/>
      </c>
      <c r="DY131">
        <f>IF(ISNA(DR131),NA(),IF(OR(INDEX(Capability!$Q$5:$Q$54,$B$23)="",Settings!$F$7&lt;&gt;"Y"),NA(),INDEX(Capability!$Q$5:$Q$54,$B$23)))</f>
        <v/>
      </c>
      <c r="DZ131">
        <f>IF(ISNA(DR131),NA(),IF(OR(INDEX(Capability!$P$5:$P$54,$B$23)="",Settings!$F$7&lt;&gt;"Y"),NA(),INDEX(Capability!$P$5:$P$54,$B$23)))</f>
        <v/>
      </c>
    </row>
    <row r="132">
      <c r="A132" s="35" t="inlineStr">
        <is>
          <t>Ppk</t>
        </is>
      </c>
      <c r="B132" s="38">
        <f>INDEX(Capability!$V$5:$V$54,$B$22)</f>
        <v/>
      </c>
      <c r="CB132">
        <f>IF((CE$1+128)&gt;CC$1,NA(),(CE$1+128)-4)</f>
        <v/>
      </c>
      <c r="CC132">
        <f>IF((CE$1+128)&gt;CC$1,NA(),INDEX('Data Entry'!$H$5:$BE$10004,(CE$1+128)-4,$B$20))</f>
        <v/>
      </c>
      <c r="CD132">
        <f>IF(ISNA(CB132),NA(),INDEX(Capability!$K$5:$K$54,$B$20))</f>
        <v/>
      </c>
      <c r="CE132">
        <f>IF(ISNA(CB132),NA(),INDEX(Capability!$J$5:$J$54,$B$20))</f>
        <v/>
      </c>
      <c r="CF132">
        <f>IF(ISNA(CB132),NA(),INDEX(Capability!$L$5:$L$54,$B$20))</f>
        <v/>
      </c>
      <c r="CG132">
        <f>IF(OR(ISNA(CC132),ISNA(CC131)),NA(),ABS(CC132-CC131))</f>
        <v/>
      </c>
      <c r="CH132">
        <f>IF(ISNA(CB132),NA(),INDEX(Capability!$N$5:$N$54,$B$20))</f>
        <v/>
      </c>
      <c r="CI132">
        <f>IF(ISNA(CB132),NA(),IF(OR(INDEX(Capability!$Q$5:$Q$54,$B$20)="",Settings!$F$7&lt;&gt;"Y"),NA(),INDEX(Capability!$Q$5:$Q$54,$B$20)))</f>
        <v/>
      </c>
      <c r="CJ132">
        <f>IF(ISNA(CB132),NA(),IF(OR(INDEX(Capability!$P$5:$P$54,$B$20)="",Settings!$F$7&lt;&gt;"Y"),NA(),INDEX(Capability!$P$5:$P$54,$B$20)))</f>
        <v/>
      </c>
      <c r="CP132">
        <f>IF((CS$1+128)&gt;CQ$1,NA(),(CS$1+128)-4)</f>
        <v/>
      </c>
      <c r="CQ132">
        <f>IF((CS$1+128)&gt;CQ$1,NA(),INDEX('Data Entry'!$H$5:$BE$10004,(CS$1+128)-4,$B$21))</f>
        <v/>
      </c>
      <c r="CR132">
        <f>IF(ISNA(CP132),NA(),INDEX(Capability!$K$5:$K$54,$B$21))</f>
        <v/>
      </c>
      <c r="CS132">
        <f>IF(ISNA(CP132),NA(),INDEX(Capability!$J$5:$J$54,$B$21))</f>
        <v/>
      </c>
      <c r="CT132">
        <f>IF(ISNA(CP132),NA(),INDEX(Capability!$L$5:$L$54,$B$21))</f>
        <v/>
      </c>
      <c r="CU132">
        <f>IF(OR(ISNA(CQ132),ISNA(CQ131)),NA(),ABS(CQ132-CQ131))</f>
        <v/>
      </c>
      <c r="CV132">
        <f>IF(ISNA(CP132),NA(),INDEX(Capability!$N$5:$N$54,$B$21))</f>
        <v/>
      </c>
      <c r="CW132">
        <f>IF(ISNA(CP132),NA(),IF(OR(INDEX(Capability!$Q$5:$Q$54,$B$21)="",Settings!$F$7&lt;&gt;"Y"),NA(),INDEX(Capability!$Q$5:$Q$54,$B$21)))</f>
        <v/>
      </c>
      <c r="CX132">
        <f>IF(ISNA(CP132),NA(),IF(OR(INDEX(Capability!$P$5:$P$54,$B$21)="",Settings!$F$7&lt;&gt;"Y"),NA(),INDEX(Capability!$P$5:$P$54,$B$21)))</f>
        <v/>
      </c>
      <c r="DD132">
        <f>IF((DG$1+128)&gt;DE$1,NA(),(DG$1+128)-4)</f>
        <v/>
      </c>
      <c r="DE132">
        <f>IF((DG$1+128)&gt;DE$1,NA(),INDEX('Data Entry'!$H$5:$BE$10004,(DG$1+128)-4,$B$22))</f>
        <v/>
      </c>
      <c r="DF132">
        <f>IF(ISNA(DD132),NA(),INDEX(Capability!$K$5:$K$54,$B$22))</f>
        <v/>
      </c>
      <c r="DG132">
        <f>IF(ISNA(DD132),NA(),INDEX(Capability!$J$5:$J$54,$B$22))</f>
        <v/>
      </c>
      <c r="DH132">
        <f>IF(ISNA(DD132),NA(),INDEX(Capability!$L$5:$L$54,$B$22))</f>
        <v/>
      </c>
      <c r="DI132">
        <f>IF(OR(ISNA(DE132),ISNA(DE131)),NA(),ABS(DE132-DE131))</f>
        <v/>
      </c>
      <c r="DJ132">
        <f>IF(ISNA(DD132),NA(),INDEX(Capability!$N$5:$N$54,$B$22))</f>
        <v/>
      </c>
      <c r="DK132">
        <f>IF(ISNA(DD132),NA(),IF(OR(INDEX(Capability!$Q$5:$Q$54,$B$22)="",Settings!$F$7&lt;&gt;"Y"),NA(),INDEX(Capability!$Q$5:$Q$54,$B$22)))</f>
        <v/>
      </c>
      <c r="DL132">
        <f>IF(ISNA(DD132),NA(),IF(OR(INDEX(Capability!$P$5:$P$54,$B$22)="",Settings!$F$7&lt;&gt;"Y"),NA(),INDEX(Capability!$P$5:$P$54,$B$22)))</f>
        <v/>
      </c>
      <c r="DR132">
        <f>IF((DU$1+128)&gt;DS$1,NA(),(DU$1+128)-4)</f>
        <v/>
      </c>
      <c r="DS132">
        <f>IF((DU$1+128)&gt;DS$1,NA(),INDEX('Data Entry'!$H$5:$BE$10004,(DU$1+128)-4,$B$23))</f>
        <v/>
      </c>
      <c r="DT132">
        <f>IF(ISNA(DR132),NA(),INDEX(Capability!$K$5:$K$54,$B$23))</f>
        <v/>
      </c>
      <c r="DU132">
        <f>IF(ISNA(DR132),NA(),INDEX(Capability!$J$5:$J$54,$B$23))</f>
        <v/>
      </c>
      <c r="DV132">
        <f>IF(ISNA(DR132),NA(),INDEX(Capability!$L$5:$L$54,$B$23))</f>
        <v/>
      </c>
      <c r="DW132">
        <f>IF(OR(ISNA(DS132),ISNA(DS131)),NA(),ABS(DS132-DS131))</f>
        <v/>
      </c>
      <c r="DX132">
        <f>IF(ISNA(DR132),NA(),INDEX(Capability!$N$5:$N$54,$B$23))</f>
        <v/>
      </c>
      <c r="DY132">
        <f>IF(ISNA(DR132),NA(),IF(OR(INDEX(Capability!$Q$5:$Q$54,$B$23)="",Settings!$F$7&lt;&gt;"Y"),NA(),INDEX(Capability!$Q$5:$Q$54,$B$23)))</f>
        <v/>
      </c>
      <c r="DZ132">
        <f>IF(ISNA(DR132),NA(),IF(OR(INDEX(Capability!$P$5:$P$54,$B$23)="",Settings!$F$7&lt;&gt;"Y"),NA(),INDEX(Capability!$P$5:$P$54,$B$23)))</f>
        <v/>
      </c>
    </row>
    <row r="133">
      <c r="A133" s="35" t="inlineStr">
        <is>
          <t>In control?</t>
        </is>
      </c>
      <c r="B133" s="36">
        <f>INDEX(Capability!$W$5:$W$54,$B$22)</f>
        <v/>
      </c>
      <c r="CB133">
        <f>IF((CE$1+129)&gt;CC$1,NA(),(CE$1+129)-4)</f>
        <v/>
      </c>
      <c r="CC133">
        <f>IF((CE$1+129)&gt;CC$1,NA(),INDEX('Data Entry'!$H$5:$BE$10004,(CE$1+129)-4,$B$20))</f>
        <v/>
      </c>
      <c r="CD133">
        <f>IF(ISNA(CB133),NA(),INDEX(Capability!$K$5:$K$54,$B$20))</f>
        <v/>
      </c>
      <c r="CE133">
        <f>IF(ISNA(CB133),NA(),INDEX(Capability!$J$5:$J$54,$B$20))</f>
        <v/>
      </c>
      <c r="CF133">
        <f>IF(ISNA(CB133),NA(),INDEX(Capability!$L$5:$L$54,$B$20))</f>
        <v/>
      </c>
      <c r="CG133">
        <f>IF(OR(ISNA(CC133),ISNA(CC132)),NA(),ABS(CC133-CC132))</f>
        <v/>
      </c>
      <c r="CH133">
        <f>IF(ISNA(CB133),NA(),INDEX(Capability!$N$5:$N$54,$B$20))</f>
        <v/>
      </c>
      <c r="CI133">
        <f>IF(ISNA(CB133),NA(),IF(OR(INDEX(Capability!$Q$5:$Q$54,$B$20)="",Settings!$F$7&lt;&gt;"Y"),NA(),INDEX(Capability!$Q$5:$Q$54,$B$20)))</f>
        <v/>
      </c>
      <c r="CJ133">
        <f>IF(ISNA(CB133),NA(),IF(OR(INDEX(Capability!$P$5:$P$54,$B$20)="",Settings!$F$7&lt;&gt;"Y"),NA(),INDEX(Capability!$P$5:$P$54,$B$20)))</f>
        <v/>
      </c>
      <c r="CP133">
        <f>IF((CS$1+129)&gt;CQ$1,NA(),(CS$1+129)-4)</f>
        <v/>
      </c>
      <c r="CQ133">
        <f>IF((CS$1+129)&gt;CQ$1,NA(),INDEX('Data Entry'!$H$5:$BE$10004,(CS$1+129)-4,$B$21))</f>
        <v/>
      </c>
      <c r="CR133">
        <f>IF(ISNA(CP133),NA(),INDEX(Capability!$K$5:$K$54,$B$21))</f>
        <v/>
      </c>
      <c r="CS133">
        <f>IF(ISNA(CP133),NA(),INDEX(Capability!$J$5:$J$54,$B$21))</f>
        <v/>
      </c>
      <c r="CT133">
        <f>IF(ISNA(CP133),NA(),INDEX(Capability!$L$5:$L$54,$B$21))</f>
        <v/>
      </c>
      <c r="CU133">
        <f>IF(OR(ISNA(CQ133),ISNA(CQ132)),NA(),ABS(CQ133-CQ132))</f>
        <v/>
      </c>
      <c r="CV133">
        <f>IF(ISNA(CP133),NA(),INDEX(Capability!$N$5:$N$54,$B$21))</f>
        <v/>
      </c>
      <c r="CW133">
        <f>IF(ISNA(CP133),NA(),IF(OR(INDEX(Capability!$Q$5:$Q$54,$B$21)="",Settings!$F$7&lt;&gt;"Y"),NA(),INDEX(Capability!$Q$5:$Q$54,$B$21)))</f>
        <v/>
      </c>
      <c r="CX133">
        <f>IF(ISNA(CP133),NA(),IF(OR(INDEX(Capability!$P$5:$P$54,$B$21)="",Settings!$F$7&lt;&gt;"Y"),NA(),INDEX(Capability!$P$5:$P$54,$B$21)))</f>
        <v/>
      </c>
      <c r="DD133">
        <f>IF((DG$1+129)&gt;DE$1,NA(),(DG$1+129)-4)</f>
        <v/>
      </c>
      <c r="DE133">
        <f>IF((DG$1+129)&gt;DE$1,NA(),INDEX('Data Entry'!$H$5:$BE$10004,(DG$1+129)-4,$B$22))</f>
        <v/>
      </c>
      <c r="DF133">
        <f>IF(ISNA(DD133),NA(),INDEX(Capability!$K$5:$K$54,$B$22))</f>
        <v/>
      </c>
      <c r="DG133">
        <f>IF(ISNA(DD133),NA(),INDEX(Capability!$J$5:$J$54,$B$22))</f>
        <v/>
      </c>
      <c r="DH133">
        <f>IF(ISNA(DD133),NA(),INDEX(Capability!$L$5:$L$54,$B$22))</f>
        <v/>
      </c>
      <c r="DI133">
        <f>IF(OR(ISNA(DE133),ISNA(DE132)),NA(),ABS(DE133-DE132))</f>
        <v/>
      </c>
      <c r="DJ133">
        <f>IF(ISNA(DD133),NA(),INDEX(Capability!$N$5:$N$54,$B$22))</f>
        <v/>
      </c>
      <c r="DK133">
        <f>IF(ISNA(DD133),NA(),IF(OR(INDEX(Capability!$Q$5:$Q$54,$B$22)="",Settings!$F$7&lt;&gt;"Y"),NA(),INDEX(Capability!$Q$5:$Q$54,$B$22)))</f>
        <v/>
      </c>
      <c r="DL133">
        <f>IF(ISNA(DD133),NA(),IF(OR(INDEX(Capability!$P$5:$P$54,$B$22)="",Settings!$F$7&lt;&gt;"Y"),NA(),INDEX(Capability!$P$5:$P$54,$B$22)))</f>
        <v/>
      </c>
      <c r="DR133">
        <f>IF((DU$1+129)&gt;DS$1,NA(),(DU$1+129)-4)</f>
        <v/>
      </c>
      <c r="DS133">
        <f>IF((DU$1+129)&gt;DS$1,NA(),INDEX('Data Entry'!$H$5:$BE$10004,(DU$1+129)-4,$B$23))</f>
        <v/>
      </c>
      <c r="DT133">
        <f>IF(ISNA(DR133),NA(),INDEX(Capability!$K$5:$K$54,$B$23))</f>
        <v/>
      </c>
      <c r="DU133">
        <f>IF(ISNA(DR133),NA(),INDEX(Capability!$J$5:$J$54,$B$23))</f>
        <v/>
      </c>
      <c r="DV133">
        <f>IF(ISNA(DR133),NA(),INDEX(Capability!$L$5:$L$54,$B$23))</f>
        <v/>
      </c>
      <c r="DW133">
        <f>IF(OR(ISNA(DS133),ISNA(DS132)),NA(),ABS(DS133-DS132))</f>
        <v/>
      </c>
      <c r="DX133">
        <f>IF(ISNA(DR133),NA(),INDEX(Capability!$N$5:$N$54,$B$23))</f>
        <v/>
      </c>
      <c r="DY133">
        <f>IF(ISNA(DR133),NA(),IF(OR(INDEX(Capability!$Q$5:$Q$54,$B$23)="",Settings!$F$7&lt;&gt;"Y"),NA(),INDEX(Capability!$Q$5:$Q$54,$B$23)))</f>
        <v/>
      </c>
      <c r="DZ133">
        <f>IF(ISNA(DR133),NA(),IF(OR(INDEX(Capability!$P$5:$P$54,$B$23)="",Settings!$F$7&lt;&gt;"Y"),NA(),INDEX(Capability!$P$5:$P$54,$B$23)))</f>
        <v/>
      </c>
    </row>
    <row r="134">
      <c r="A134" s="35" t="inlineStr">
        <is>
          <t>In spec?</t>
        </is>
      </c>
      <c r="B134" s="36">
        <f>INDEX(Capability!$X$5:$X$54,$B$22)</f>
        <v/>
      </c>
      <c r="CB134">
        <f>IF((CE$1+130)&gt;CC$1,NA(),(CE$1+130)-4)</f>
        <v/>
      </c>
      <c r="CC134">
        <f>IF((CE$1+130)&gt;CC$1,NA(),INDEX('Data Entry'!$H$5:$BE$10004,(CE$1+130)-4,$B$20))</f>
        <v/>
      </c>
      <c r="CD134">
        <f>IF(ISNA(CB134),NA(),INDEX(Capability!$K$5:$K$54,$B$20))</f>
        <v/>
      </c>
      <c r="CE134">
        <f>IF(ISNA(CB134),NA(),INDEX(Capability!$J$5:$J$54,$B$20))</f>
        <v/>
      </c>
      <c r="CF134">
        <f>IF(ISNA(CB134),NA(),INDEX(Capability!$L$5:$L$54,$B$20))</f>
        <v/>
      </c>
      <c r="CG134">
        <f>IF(OR(ISNA(CC134),ISNA(CC133)),NA(),ABS(CC134-CC133))</f>
        <v/>
      </c>
      <c r="CH134">
        <f>IF(ISNA(CB134),NA(),INDEX(Capability!$N$5:$N$54,$B$20))</f>
        <v/>
      </c>
      <c r="CI134">
        <f>IF(ISNA(CB134),NA(),IF(OR(INDEX(Capability!$Q$5:$Q$54,$B$20)="",Settings!$F$7&lt;&gt;"Y"),NA(),INDEX(Capability!$Q$5:$Q$54,$B$20)))</f>
        <v/>
      </c>
      <c r="CJ134">
        <f>IF(ISNA(CB134),NA(),IF(OR(INDEX(Capability!$P$5:$P$54,$B$20)="",Settings!$F$7&lt;&gt;"Y"),NA(),INDEX(Capability!$P$5:$P$54,$B$20)))</f>
        <v/>
      </c>
      <c r="CP134">
        <f>IF((CS$1+130)&gt;CQ$1,NA(),(CS$1+130)-4)</f>
        <v/>
      </c>
      <c r="CQ134">
        <f>IF((CS$1+130)&gt;CQ$1,NA(),INDEX('Data Entry'!$H$5:$BE$10004,(CS$1+130)-4,$B$21))</f>
        <v/>
      </c>
      <c r="CR134">
        <f>IF(ISNA(CP134),NA(),INDEX(Capability!$K$5:$K$54,$B$21))</f>
        <v/>
      </c>
      <c r="CS134">
        <f>IF(ISNA(CP134),NA(),INDEX(Capability!$J$5:$J$54,$B$21))</f>
        <v/>
      </c>
      <c r="CT134">
        <f>IF(ISNA(CP134),NA(),INDEX(Capability!$L$5:$L$54,$B$21))</f>
        <v/>
      </c>
      <c r="CU134">
        <f>IF(OR(ISNA(CQ134),ISNA(CQ133)),NA(),ABS(CQ134-CQ133))</f>
        <v/>
      </c>
      <c r="CV134">
        <f>IF(ISNA(CP134),NA(),INDEX(Capability!$N$5:$N$54,$B$21))</f>
        <v/>
      </c>
      <c r="CW134">
        <f>IF(ISNA(CP134),NA(),IF(OR(INDEX(Capability!$Q$5:$Q$54,$B$21)="",Settings!$F$7&lt;&gt;"Y"),NA(),INDEX(Capability!$Q$5:$Q$54,$B$21)))</f>
        <v/>
      </c>
      <c r="CX134">
        <f>IF(ISNA(CP134),NA(),IF(OR(INDEX(Capability!$P$5:$P$54,$B$21)="",Settings!$F$7&lt;&gt;"Y"),NA(),INDEX(Capability!$P$5:$P$54,$B$21)))</f>
        <v/>
      </c>
      <c r="DD134">
        <f>IF((DG$1+130)&gt;DE$1,NA(),(DG$1+130)-4)</f>
        <v/>
      </c>
      <c r="DE134">
        <f>IF((DG$1+130)&gt;DE$1,NA(),INDEX('Data Entry'!$H$5:$BE$10004,(DG$1+130)-4,$B$22))</f>
        <v/>
      </c>
      <c r="DF134">
        <f>IF(ISNA(DD134),NA(),INDEX(Capability!$K$5:$K$54,$B$22))</f>
        <v/>
      </c>
      <c r="DG134">
        <f>IF(ISNA(DD134),NA(),INDEX(Capability!$J$5:$J$54,$B$22))</f>
        <v/>
      </c>
      <c r="DH134">
        <f>IF(ISNA(DD134),NA(),INDEX(Capability!$L$5:$L$54,$B$22))</f>
        <v/>
      </c>
      <c r="DI134">
        <f>IF(OR(ISNA(DE134),ISNA(DE133)),NA(),ABS(DE134-DE133))</f>
        <v/>
      </c>
      <c r="DJ134">
        <f>IF(ISNA(DD134),NA(),INDEX(Capability!$N$5:$N$54,$B$22))</f>
        <v/>
      </c>
      <c r="DK134">
        <f>IF(ISNA(DD134),NA(),IF(OR(INDEX(Capability!$Q$5:$Q$54,$B$22)="",Settings!$F$7&lt;&gt;"Y"),NA(),INDEX(Capability!$Q$5:$Q$54,$B$22)))</f>
        <v/>
      </c>
      <c r="DL134">
        <f>IF(ISNA(DD134),NA(),IF(OR(INDEX(Capability!$P$5:$P$54,$B$22)="",Settings!$F$7&lt;&gt;"Y"),NA(),INDEX(Capability!$P$5:$P$54,$B$22)))</f>
        <v/>
      </c>
      <c r="DR134">
        <f>IF((DU$1+130)&gt;DS$1,NA(),(DU$1+130)-4)</f>
        <v/>
      </c>
      <c r="DS134">
        <f>IF((DU$1+130)&gt;DS$1,NA(),INDEX('Data Entry'!$H$5:$BE$10004,(DU$1+130)-4,$B$23))</f>
        <v/>
      </c>
      <c r="DT134">
        <f>IF(ISNA(DR134),NA(),INDEX(Capability!$K$5:$K$54,$B$23))</f>
        <v/>
      </c>
      <c r="DU134">
        <f>IF(ISNA(DR134),NA(),INDEX(Capability!$J$5:$J$54,$B$23))</f>
        <v/>
      </c>
      <c r="DV134">
        <f>IF(ISNA(DR134),NA(),INDEX(Capability!$L$5:$L$54,$B$23))</f>
        <v/>
      </c>
      <c r="DW134">
        <f>IF(OR(ISNA(DS134),ISNA(DS133)),NA(),ABS(DS134-DS133))</f>
        <v/>
      </c>
      <c r="DX134">
        <f>IF(ISNA(DR134),NA(),INDEX(Capability!$N$5:$N$54,$B$23))</f>
        <v/>
      </c>
      <c r="DY134">
        <f>IF(ISNA(DR134),NA(),IF(OR(INDEX(Capability!$Q$5:$Q$54,$B$23)="",Settings!$F$7&lt;&gt;"Y"),NA(),INDEX(Capability!$Q$5:$Q$54,$B$23)))</f>
        <v/>
      </c>
      <c r="DZ134">
        <f>IF(ISNA(DR134),NA(),IF(OR(INDEX(Capability!$P$5:$P$54,$B$23)="",Settings!$F$7&lt;&gt;"Y"),NA(),INDEX(Capability!$P$5:$P$54,$B$23)))</f>
        <v/>
      </c>
    </row>
    <row r="135">
      <c r="A135" s="35" t="inlineStr">
        <is>
          <t>Verdict</t>
        </is>
      </c>
      <c r="B135" s="36">
        <f>INDEX(Capability!$Y$5:$Y$54,$B$22)</f>
        <v/>
      </c>
      <c r="CB135">
        <f>IF((CE$1+131)&gt;CC$1,NA(),(CE$1+131)-4)</f>
        <v/>
      </c>
      <c r="CC135">
        <f>IF((CE$1+131)&gt;CC$1,NA(),INDEX('Data Entry'!$H$5:$BE$10004,(CE$1+131)-4,$B$20))</f>
        <v/>
      </c>
      <c r="CD135">
        <f>IF(ISNA(CB135),NA(),INDEX(Capability!$K$5:$K$54,$B$20))</f>
        <v/>
      </c>
      <c r="CE135">
        <f>IF(ISNA(CB135),NA(),INDEX(Capability!$J$5:$J$54,$B$20))</f>
        <v/>
      </c>
      <c r="CF135">
        <f>IF(ISNA(CB135),NA(),INDEX(Capability!$L$5:$L$54,$B$20))</f>
        <v/>
      </c>
      <c r="CG135">
        <f>IF(OR(ISNA(CC135),ISNA(CC134)),NA(),ABS(CC135-CC134))</f>
        <v/>
      </c>
      <c r="CH135">
        <f>IF(ISNA(CB135),NA(),INDEX(Capability!$N$5:$N$54,$B$20))</f>
        <v/>
      </c>
      <c r="CI135">
        <f>IF(ISNA(CB135),NA(),IF(OR(INDEX(Capability!$Q$5:$Q$54,$B$20)="",Settings!$F$7&lt;&gt;"Y"),NA(),INDEX(Capability!$Q$5:$Q$54,$B$20)))</f>
        <v/>
      </c>
      <c r="CJ135">
        <f>IF(ISNA(CB135),NA(),IF(OR(INDEX(Capability!$P$5:$P$54,$B$20)="",Settings!$F$7&lt;&gt;"Y"),NA(),INDEX(Capability!$P$5:$P$54,$B$20)))</f>
        <v/>
      </c>
      <c r="CP135">
        <f>IF((CS$1+131)&gt;CQ$1,NA(),(CS$1+131)-4)</f>
        <v/>
      </c>
      <c r="CQ135">
        <f>IF((CS$1+131)&gt;CQ$1,NA(),INDEX('Data Entry'!$H$5:$BE$10004,(CS$1+131)-4,$B$21))</f>
        <v/>
      </c>
      <c r="CR135">
        <f>IF(ISNA(CP135),NA(),INDEX(Capability!$K$5:$K$54,$B$21))</f>
        <v/>
      </c>
      <c r="CS135">
        <f>IF(ISNA(CP135),NA(),INDEX(Capability!$J$5:$J$54,$B$21))</f>
        <v/>
      </c>
      <c r="CT135">
        <f>IF(ISNA(CP135),NA(),INDEX(Capability!$L$5:$L$54,$B$21))</f>
        <v/>
      </c>
      <c r="CU135">
        <f>IF(OR(ISNA(CQ135),ISNA(CQ134)),NA(),ABS(CQ135-CQ134))</f>
        <v/>
      </c>
      <c r="CV135">
        <f>IF(ISNA(CP135),NA(),INDEX(Capability!$N$5:$N$54,$B$21))</f>
        <v/>
      </c>
      <c r="CW135">
        <f>IF(ISNA(CP135),NA(),IF(OR(INDEX(Capability!$Q$5:$Q$54,$B$21)="",Settings!$F$7&lt;&gt;"Y"),NA(),INDEX(Capability!$Q$5:$Q$54,$B$21)))</f>
        <v/>
      </c>
      <c r="CX135">
        <f>IF(ISNA(CP135),NA(),IF(OR(INDEX(Capability!$P$5:$P$54,$B$21)="",Settings!$F$7&lt;&gt;"Y"),NA(),INDEX(Capability!$P$5:$P$54,$B$21)))</f>
        <v/>
      </c>
      <c r="DD135">
        <f>IF((DG$1+131)&gt;DE$1,NA(),(DG$1+131)-4)</f>
        <v/>
      </c>
      <c r="DE135">
        <f>IF((DG$1+131)&gt;DE$1,NA(),INDEX('Data Entry'!$H$5:$BE$10004,(DG$1+131)-4,$B$22))</f>
        <v/>
      </c>
      <c r="DF135">
        <f>IF(ISNA(DD135),NA(),INDEX(Capability!$K$5:$K$54,$B$22))</f>
        <v/>
      </c>
      <c r="DG135">
        <f>IF(ISNA(DD135),NA(),INDEX(Capability!$J$5:$J$54,$B$22))</f>
        <v/>
      </c>
      <c r="DH135">
        <f>IF(ISNA(DD135),NA(),INDEX(Capability!$L$5:$L$54,$B$22))</f>
        <v/>
      </c>
      <c r="DI135">
        <f>IF(OR(ISNA(DE135),ISNA(DE134)),NA(),ABS(DE135-DE134))</f>
        <v/>
      </c>
      <c r="DJ135">
        <f>IF(ISNA(DD135),NA(),INDEX(Capability!$N$5:$N$54,$B$22))</f>
        <v/>
      </c>
      <c r="DK135">
        <f>IF(ISNA(DD135),NA(),IF(OR(INDEX(Capability!$Q$5:$Q$54,$B$22)="",Settings!$F$7&lt;&gt;"Y"),NA(),INDEX(Capability!$Q$5:$Q$54,$B$22)))</f>
        <v/>
      </c>
      <c r="DL135">
        <f>IF(ISNA(DD135),NA(),IF(OR(INDEX(Capability!$P$5:$P$54,$B$22)="",Settings!$F$7&lt;&gt;"Y"),NA(),INDEX(Capability!$P$5:$P$54,$B$22)))</f>
        <v/>
      </c>
      <c r="DR135">
        <f>IF((DU$1+131)&gt;DS$1,NA(),(DU$1+131)-4)</f>
        <v/>
      </c>
      <c r="DS135">
        <f>IF((DU$1+131)&gt;DS$1,NA(),INDEX('Data Entry'!$H$5:$BE$10004,(DU$1+131)-4,$B$23))</f>
        <v/>
      </c>
      <c r="DT135">
        <f>IF(ISNA(DR135),NA(),INDEX(Capability!$K$5:$K$54,$B$23))</f>
        <v/>
      </c>
      <c r="DU135">
        <f>IF(ISNA(DR135),NA(),INDEX(Capability!$J$5:$J$54,$B$23))</f>
        <v/>
      </c>
      <c r="DV135">
        <f>IF(ISNA(DR135),NA(),INDEX(Capability!$L$5:$L$54,$B$23))</f>
        <v/>
      </c>
      <c r="DW135">
        <f>IF(OR(ISNA(DS135),ISNA(DS134)),NA(),ABS(DS135-DS134))</f>
        <v/>
      </c>
      <c r="DX135">
        <f>IF(ISNA(DR135),NA(),INDEX(Capability!$N$5:$N$54,$B$23))</f>
        <v/>
      </c>
      <c r="DY135">
        <f>IF(ISNA(DR135),NA(),IF(OR(INDEX(Capability!$Q$5:$Q$54,$B$23)="",Settings!$F$7&lt;&gt;"Y"),NA(),INDEX(Capability!$Q$5:$Q$54,$B$23)))</f>
        <v/>
      </c>
      <c r="DZ135">
        <f>IF(ISNA(DR135),NA(),IF(OR(INDEX(Capability!$P$5:$P$54,$B$23)="",Settings!$F$7&lt;&gt;"Y"),NA(),INDEX(Capability!$P$5:$P$54,$B$23)))</f>
        <v/>
      </c>
    </row>
    <row r="136">
      <c r="CB136">
        <f>IF((CE$1+132)&gt;CC$1,NA(),(CE$1+132)-4)</f>
        <v/>
      </c>
      <c r="CC136">
        <f>IF((CE$1+132)&gt;CC$1,NA(),INDEX('Data Entry'!$H$5:$BE$10004,(CE$1+132)-4,$B$20))</f>
        <v/>
      </c>
      <c r="CD136">
        <f>IF(ISNA(CB136),NA(),INDEX(Capability!$K$5:$K$54,$B$20))</f>
        <v/>
      </c>
      <c r="CE136">
        <f>IF(ISNA(CB136),NA(),INDEX(Capability!$J$5:$J$54,$B$20))</f>
        <v/>
      </c>
      <c r="CF136">
        <f>IF(ISNA(CB136),NA(),INDEX(Capability!$L$5:$L$54,$B$20))</f>
        <v/>
      </c>
      <c r="CG136">
        <f>IF(OR(ISNA(CC136),ISNA(CC135)),NA(),ABS(CC136-CC135))</f>
        <v/>
      </c>
      <c r="CH136">
        <f>IF(ISNA(CB136),NA(),INDEX(Capability!$N$5:$N$54,$B$20))</f>
        <v/>
      </c>
      <c r="CI136">
        <f>IF(ISNA(CB136),NA(),IF(OR(INDEX(Capability!$Q$5:$Q$54,$B$20)="",Settings!$F$7&lt;&gt;"Y"),NA(),INDEX(Capability!$Q$5:$Q$54,$B$20)))</f>
        <v/>
      </c>
      <c r="CJ136">
        <f>IF(ISNA(CB136),NA(),IF(OR(INDEX(Capability!$P$5:$P$54,$B$20)="",Settings!$F$7&lt;&gt;"Y"),NA(),INDEX(Capability!$P$5:$P$54,$B$20)))</f>
        <v/>
      </c>
      <c r="CP136">
        <f>IF((CS$1+132)&gt;CQ$1,NA(),(CS$1+132)-4)</f>
        <v/>
      </c>
      <c r="CQ136">
        <f>IF((CS$1+132)&gt;CQ$1,NA(),INDEX('Data Entry'!$H$5:$BE$10004,(CS$1+132)-4,$B$21))</f>
        <v/>
      </c>
      <c r="CR136">
        <f>IF(ISNA(CP136),NA(),INDEX(Capability!$K$5:$K$54,$B$21))</f>
        <v/>
      </c>
      <c r="CS136">
        <f>IF(ISNA(CP136),NA(),INDEX(Capability!$J$5:$J$54,$B$21))</f>
        <v/>
      </c>
      <c r="CT136">
        <f>IF(ISNA(CP136),NA(),INDEX(Capability!$L$5:$L$54,$B$21))</f>
        <v/>
      </c>
      <c r="CU136">
        <f>IF(OR(ISNA(CQ136),ISNA(CQ135)),NA(),ABS(CQ136-CQ135))</f>
        <v/>
      </c>
      <c r="CV136">
        <f>IF(ISNA(CP136),NA(),INDEX(Capability!$N$5:$N$54,$B$21))</f>
        <v/>
      </c>
      <c r="CW136">
        <f>IF(ISNA(CP136),NA(),IF(OR(INDEX(Capability!$Q$5:$Q$54,$B$21)="",Settings!$F$7&lt;&gt;"Y"),NA(),INDEX(Capability!$Q$5:$Q$54,$B$21)))</f>
        <v/>
      </c>
      <c r="CX136">
        <f>IF(ISNA(CP136),NA(),IF(OR(INDEX(Capability!$P$5:$P$54,$B$21)="",Settings!$F$7&lt;&gt;"Y"),NA(),INDEX(Capability!$P$5:$P$54,$B$21)))</f>
        <v/>
      </c>
      <c r="DD136">
        <f>IF((DG$1+132)&gt;DE$1,NA(),(DG$1+132)-4)</f>
        <v/>
      </c>
      <c r="DE136">
        <f>IF((DG$1+132)&gt;DE$1,NA(),INDEX('Data Entry'!$H$5:$BE$10004,(DG$1+132)-4,$B$22))</f>
        <v/>
      </c>
      <c r="DF136">
        <f>IF(ISNA(DD136),NA(),INDEX(Capability!$K$5:$K$54,$B$22))</f>
        <v/>
      </c>
      <c r="DG136">
        <f>IF(ISNA(DD136),NA(),INDEX(Capability!$J$5:$J$54,$B$22))</f>
        <v/>
      </c>
      <c r="DH136">
        <f>IF(ISNA(DD136),NA(),INDEX(Capability!$L$5:$L$54,$B$22))</f>
        <v/>
      </c>
      <c r="DI136">
        <f>IF(OR(ISNA(DE136),ISNA(DE135)),NA(),ABS(DE136-DE135))</f>
        <v/>
      </c>
      <c r="DJ136">
        <f>IF(ISNA(DD136),NA(),INDEX(Capability!$N$5:$N$54,$B$22))</f>
        <v/>
      </c>
      <c r="DK136">
        <f>IF(ISNA(DD136),NA(),IF(OR(INDEX(Capability!$Q$5:$Q$54,$B$22)="",Settings!$F$7&lt;&gt;"Y"),NA(),INDEX(Capability!$Q$5:$Q$54,$B$22)))</f>
        <v/>
      </c>
      <c r="DL136">
        <f>IF(ISNA(DD136),NA(),IF(OR(INDEX(Capability!$P$5:$P$54,$B$22)="",Settings!$F$7&lt;&gt;"Y"),NA(),INDEX(Capability!$P$5:$P$54,$B$22)))</f>
        <v/>
      </c>
      <c r="DR136">
        <f>IF((DU$1+132)&gt;DS$1,NA(),(DU$1+132)-4)</f>
        <v/>
      </c>
      <c r="DS136">
        <f>IF((DU$1+132)&gt;DS$1,NA(),INDEX('Data Entry'!$H$5:$BE$10004,(DU$1+132)-4,$B$23))</f>
        <v/>
      </c>
      <c r="DT136">
        <f>IF(ISNA(DR136),NA(),INDEX(Capability!$K$5:$K$54,$B$23))</f>
        <v/>
      </c>
      <c r="DU136">
        <f>IF(ISNA(DR136),NA(),INDEX(Capability!$J$5:$J$54,$B$23))</f>
        <v/>
      </c>
      <c r="DV136">
        <f>IF(ISNA(DR136),NA(),INDEX(Capability!$L$5:$L$54,$B$23))</f>
        <v/>
      </c>
      <c r="DW136">
        <f>IF(OR(ISNA(DS136),ISNA(DS135)),NA(),ABS(DS136-DS135))</f>
        <v/>
      </c>
      <c r="DX136">
        <f>IF(ISNA(DR136),NA(),INDEX(Capability!$N$5:$N$54,$B$23))</f>
        <v/>
      </c>
      <c r="DY136">
        <f>IF(ISNA(DR136),NA(),IF(OR(INDEX(Capability!$Q$5:$Q$54,$B$23)="",Settings!$F$7&lt;&gt;"Y"),NA(),INDEX(Capability!$Q$5:$Q$54,$B$23)))</f>
        <v/>
      </c>
      <c r="DZ136">
        <f>IF(ISNA(DR136),NA(),IF(OR(INDEX(Capability!$P$5:$P$54,$B$23)="",Settings!$F$7&lt;&gt;"Y"),NA(),INDEX(Capability!$P$5:$P$54,$B$23)))</f>
        <v/>
      </c>
    </row>
    <row r="137">
      <c r="CB137">
        <f>IF((CE$1+133)&gt;CC$1,NA(),(CE$1+133)-4)</f>
        <v/>
      </c>
      <c r="CC137">
        <f>IF((CE$1+133)&gt;CC$1,NA(),INDEX('Data Entry'!$H$5:$BE$10004,(CE$1+133)-4,$B$20))</f>
        <v/>
      </c>
      <c r="CD137">
        <f>IF(ISNA(CB137),NA(),INDEX(Capability!$K$5:$K$54,$B$20))</f>
        <v/>
      </c>
      <c r="CE137">
        <f>IF(ISNA(CB137),NA(),INDEX(Capability!$J$5:$J$54,$B$20))</f>
        <v/>
      </c>
      <c r="CF137">
        <f>IF(ISNA(CB137),NA(),INDEX(Capability!$L$5:$L$54,$B$20))</f>
        <v/>
      </c>
      <c r="CG137">
        <f>IF(OR(ISNA(CC137),ISNA(CC136)),NA(),ABS(CC137-CC136))</f>
        <v/>
      </c>
      <c r="CH137">
        <f>IF(ISNA(CB137),NA(),INDEX(Capability!$N$5:$N$54,$B$20))</f>
        <v/>
      </c>
      <c r="CI137">
        <f>IF(ISNA(CB137),NA(),IF(OR(INDEX(Capability!$Q$5:$Q$54,$B$20)="",Settings!$F$7&lt;&gt;"Y"),NA(),INDEX(Capability!$Q$5:$Q$54,$B$20)))</f>
        <v/>
      </c>
      <c r="CJ137">
        <f>IF(ISNA(CB137),NA(),IF(OR(INDEX(Capability!$P$5:$P$54,$B$20)="",Settings!$F$7&lt;&gt;"Y"),NA(),INDEX(Capability!$P$5:$P$54,$B$20)))</f>
        <v/>
      </c>
      <c r="CP137">
        <f>IF((CS$1+133)&gt;CQ$1,NA(),(CS$1+133)-4)</f>
        <v/>
      </c>
      <c r="CQ137">
        <f>IF((CS$1+133)&gt;CQ$1,NA(),INDEX('Data Entry'!$H$5:$BE$10004,(CS$1+133)-4,$B$21))</f>
        <v/>
      </c>
      <c r="CR137">
        <f>IF(ISNA(CP137),NA(),INDEX(Capability!$K$5:$K$54,$B$21))</f>
        <v/>
      </c>
      <c r="CS137">
        <f>IF(ISNA(CP137),NA(),INDEX(Capability!$J$5:$J$54,$B$21))</f>
        <v/>
      </c>
      <c r="CT137">
        <f>IF(ISNA(CP137),NA(),INDEX(Capability!$L$5:$L$54,$B$21))</f>
        <v/>
      </c>
      <c r="CU137">
        <f>IF(OR(ISNA(CQ137),ISNA(CQ136)),NA(),ABS(CQ137-CQ136))</f>
        <v/>
      </c>
      <c r="CV137">
        <f>IF(ISNA(CP137),NA(),INDEX(Capability!$N$5:$N$54,$B$21))</f>
        <v/>
      </c>
      <c r="CW137">
        <f>IF(ISNA(CP137),NA(),IF(OR(INDEX(Capability!$Q$5:$Q$54,$B$21)="",Settings!$F$7&lt;&gt;"Y"),NA(),INDEX(Capability!$Q$5:$Q$54,$B$21)))</f>
        <v/>
      </c>
      <c r="CX137">
        <f>IF(ISNA(CP137),NA(),IF(OR(INDEX(Capability!$P$5:$P$54,$B$21)="",Settings!$F$7&lt;&gt;"Y"),NA(),INDEX(Capability!$P$5:$P$54,$B$21)))</f>
        <v/>
      </c>
      <c r="DD137">
        <f>IF((DG$1+133)&gt;DE$1,NA(),(DG$1+133)-4)</f>
        <v/>
      </c>
      <c r="DE137">
        <f>IF((DG$1+133)&gt;DE$1,NA(),INDEX('Data Entry'!$H$5:$BE$10004,(DG$1+133)-4,$B$22))</f>
        <v/>
      </c>
      <c r="DF137">
        <f>IF(ISNA(DD137),NA(),INDEX(Capability!$K$5:$K$54,$B$22))</f>
        <v/>
      </c>
      <c r="DG137">
        <f>IF(ISNA(DD137),NA(),INDEX(Capability!$J$5:$J$54,$B$22))</f>
        <v/>
      </c>
      <c r="DH137">
        <f>IF(ISNA(DD137),NA(),INDEX(Capability!$L$5:$L$54,$B$22))</f>
        <v/>
      </c>
      <c r="DI137">
        <f>IF(OR(ISNA(DE137),ISNA(DE136)),NA(),ABS(DE137-DE136))</f>
        <v/>
      </c>
      <c r="DJ137">
        <f>IF(ISNA(DD137),NA(),INDEX(Capability!$N$5:$N$54,$B$22))</f>
        <v/>
      </c>
      <c r="DK137">
        <f>IF(ISNA(DD137),NA(),IF(OR(INDEX(Capability!$Q$5:$Q$54,$B$22)="",Settings!$F$7&lt;&gt;"Y"),NA(),INDEX(Capability!$Q$5:$Q$54,$B$22)))</f>
        <v/>
      </c>
      <c r="DL137">
        <f>IF(ISNA(DD137),NA(),IF(OR(INDEX(Capability!$P$5:$P$54,$B$22)="",Settings!$F$7&lt;&gt;"Y"),NA(),INDEX(Capability!$P$5:$P$54,$B$22)))</f>
        <v/>
      </c>
      <c r="DR137">
        <f>IF((DU$1+133)&gt;DS$1,NA(),(DU$1+133)-4)</f>
        <v/>
      </c>
      <c r="DS137">
        <f>IF((DU$1+133)&gt;DS$1,NA(),INDEX('Data Entry'!$H$5:$BE$10004,(DU$1+133)-4,$B$23))</f>
        <v/>
      </c>
      <c r="DT137">
        <f>IF(ISNA(DR137),NA(),INDEX(Capability!$K$5:$K$54,$B$23))</f>
        <v/>
      </c>
      <c r="DU137">
        <f>IF(ISNA(DR137),NA(),INDEX(Capability!$J$5:$J$54,$B$23))</f>
        <v/>
      </c>
      <c r="DV137">
        <f>IF(ISNA(DR137),NA(),INDEX(Capability!$L$5:$L$54,$B$23))</f>
        <v/>
      </c>
      <c r="DW137">
        <f>IF(OR(ISNA(DS137),ISNA(DS136)),NA(),ABS(DS137-DS136))</f>
        <v/>
      </c>
      <c r="DX137">
        <f>IF(ISNA(DR137),NA(),INDEX(Capability!$N$5:$N$54,$B$23))</f>
        <v/>
      </c>
      <c r="DY137">
        <f>IF(ISNA(DR137),NA(),IF(OR(INDEX(Capability!$Q$5:$Q$54,$B$23)="",Settings!$F$7&lt;&gt;"Y"),NA(),INDEX(Capability!$Q$5:$Q$54,$B$23)))</f>
        <v/>
      </c>
      <c r="DZ137">
        <f>IF(ISNA(DR137),NA(),IF(OR(INDEX(Capability!$P$5:$P$54,$B$23)="",Settings!$F$7&lt;&gt;"Y"),NA(),INDEX(Capability!$P$5:$P$54,$B$23)))</f>
        <v/>
      </c>
    </row>
    <row r="138">
      <c r="A138" s="34">
        <f>"SLOT 4: "&amp;IF(INDEX(Settings!$B$17:$B$66,$B$23)="","(unnamed)",INDEX(Settings!$B$17:$B$66,$B$23))</f>
        <v/>
      </c>
      <c r="B138" s="9" t="n"/>
      <c r="CB138">
        <f>IF((CE$1+134)&gt;CC$1,NA(),(CE$1+134)-4)</f>
        <v/>
      </c>
      <c r="CC138">
        <f>IF((CE$1+134)&gt;CC$1,NA(),INDEX('Data Entry'!$H$5:$BE$10004,(CE$1+134)-4,$B$20))</f>
        <v/>
      </c>
      <c r="CD138">
        <f>IF(ISNA(CB138),NA(),INDEX(Capability!$K$5:$K$54,$B$20))</f>
        <v/>
      </c>
      <c r="CE138">
        <f>IF(ISNA(CB138),NA(),INDEX(Capability!$J$5:$J$54,$B$20))</f>
        <v/>
      </c>
      <c r="CF138">
        <f>IF(ISNA(CB138),NA(),INDEX(Capability!$L$5:$L$54,$B$20))</f>
        <v/>
      </c>
      <c r="CG138">
        <f>IF(OR(ISNA(CC138),ISNA(CC137)),NA(),ABS(CC138-CC137))</f>
        <v/>
      </c>
      <c r="CH138">
        <f>IF(ISNA(CB138),NA(),INDEX(Capability!$N$5:$N$54,$B$20))</f>
        <v/>
      </c>
      <c r="CI138">
        <f>IF(ISNA(CB138),NA(),IF(OR(INDEX(Capability!$Q$5:$Q$54,$B$20)="",Settings!$F$7&lt;&gt;"Y"),NA(),INDEX(Capability!$Q$5:$Q$54,$B$20)))</f>
        <v/>
      </c>
      <c r="CJ138">
        <f>IF(ISNA(CB138),NA(),IF(OR(INDEX(Capability!$P$5:$P$54,$B$20)="",Settings!$F$7&lt;&gt;"Y"),NA(),INDEX(Capability!$P$5:$P$54,$B$20)))</f>
        <v/>
      </c>
      <c r="CP138">
        <f>IF((CS$1+134)&gt;CQ$1,NA(),(CS$1+134)-4)</f>
        <v/>
      </c>
      <c r="CQ138">
        <f>IF((CS$1+134)&gt;CQ$1,NA(),INDEX('Data Entry'!$H$5:$BE$10004,(CS$1+134)-4,$B$21))</f>
        <v/>
      </c>
      <c r="CR138">
        <f>IF(ISNA(CP138),NA(),INDEX(Capability!$K$5:$K$54,$B$21))</f>
        <v/>
      </c>
      <c r="CS138">
        <f>IF(ISNA(CP138),NA(),INDEX(Capability!$J$5:$J$54,$B$21))</f>
        <v/>
      </c>
      <c r="CT138">
        <f>IF(ISNA(CP138),NA(),INDEX(Capability!$L$5:$L$54,$B$21))</f>
        <v/>
      </c>
      <c r="CU138">
        <f>IF(OR(ISNA(CQ138),ISNA(CQ137)),NA(),ABS(CQ138-CQ137))</f>
        <v/>
      </c>
      <c r="CV138">
        <f>IF(ISNA(CP138),NA(),INDEX(Capability!$N$5:$N$54,$B$21))</f>
        <v/>
      </c>
      <c r="CW138">
        <f>IF(ISNA(CP138),NA(),IF(OR(INDEX(Capability!$Q$5:$Q$54,$B$21)="",Settings!$F$7&lt;&gt;"Y"),NA(),INDEX(Capability!$Q$5:$Q$54,$B$21)))</f>
        <v/>
      </c>
      <c r="CX138">
        <f>IF(ISNA(CP138),NA(),IF(OR(INDEX(Capability!$P$5:$P$54,$B$21)="",Settings!$F$7&lt;&gt;"Y"),NA(),INDEX(Capability!$P$5:$P$54,$B$21)))</f>
        <v/>
      </c>
      <c r="DD138">
        <f>IF((DG$1+134)&gt;DE$1,NA(),(DG$1+134)-4)</f>
        <v/>
      </c>
      <c r="DE138">
        <f>IF((DG$1+134)&gt;DE$1,NA(),INDEX('Data Entry'!$H$5:$BE$10004,(DG$1+134)-4,$B$22))</f>
        <v/>
      </c>
      <c r="DF138">
        <f>IF(ISNA(DD138),NA(),INDEX(Capability!$K$5:$K$54,$B$22))</f>
        <v/>
      </c>
      <c r="DG138">
        <f>IF(ISNA(DD138),NA(),INDEX(Capability!$J$5:$J$54,$B$22))</f>
        <v/>
      </c>
      <c r="DH138">
        <f>IF(ISNA(DD138),NA(),INDEX(Capability!$L$5:$L$54,$B$22))</f>
        <v/>
      </c>
      <c r="DI138">
        <f>IF(OR(ISNA(DE138),ISNA(DE137)),NA(),ABS(DE138-DE137))</f>
        <v/>
      </c>
      <c r="DJ138">
        <f>IF(ISNA(DD138),NA(),INDEX(Capability!$N$5:$N$54,$B$22))</f>
        <v/>
      </c>
      <c r="DK138">
        <f>IF(ISNA(DD138),NA(),IF(OR(INDEX(Capability!$Q$5:$Q$54,$B$22)="",Settings!$F$7&lt;&gt;"Y"),NA(),INDEX(Capability!$Q$5:$Q$54,$B$22)))</f>
        <v/>
      </c>
      <c r="DL138">
        <f>IF(ISNA(DD138),NA(),IF(OR(INDEX(Capability!$P$5:$P$54,$B$22)="",Settings!$F$7&lt;&gt;"Y"),NA(),INDEX(Capability!$P$5:$P$54,$B$22)))</f>
        <v/>
      </c>
      <c r="DR138">
        <f>IF((DU$1+134)&gt;DS$1,NA(),(DU$1+134)-4)</f>
        <v/>
      </c>
      <c r="DS138">
        <f>IF((DU$1+134)&gt;DS$1,NA(),INDEX('Data Entry'!$H$5:$BE$10004,(DU$1+134)-4,$B$23))</f>
        <v/>
      </c>
      <c r="DT138">
        <f>IF(ISNA(DR138),NA(),INDEX(Capability!$K$5:$K$54,$B$23))</f>
        <v/>
      </c>
      <c r="DU138">
        <f>IF(ISNA(DR138),NA(),INDEX(Capability!$J$5:$J$54,$B$23))</f>
        <v/>
      </c>
      <c r="DV138">
        <f>IF(ISNA(DR138),NA(),INDEX(Capability!$L$5:$L$54,$B$23))</f>
        <v/>
      </c>
      <c r="DW138">
        <f>IF(OR(ISNA(DS138),ISNA(DS137)),NA(),ABS(DS138-DS137))</f>
        <v/>
      </c>
      <c r="DX138">
        <f>IF(ISNA(DR138),NA(),INDEX(Capability!$N$5:$N$54,$B$23))</f>
        <v/>
      </c>
      <c r="DY138">
        <f>IF(ISNA(DR138),NA(),IF(OR(INDEX(Capability!$Q$5:$Q$54,$B$23)="",Settings!$F$7&lt;&gt;"Y"),NA(),INDEX(Capability!$Q$5:$Q$54,$B$23)))</f>
        <v/>
      </c>
      <c r="DZ138">
        <f>IF(ISNA(DR138),NA(),IF(OR(INDEX(Capability!$P$5:$P$54,$B$23)="",Settings!$F$7&lt;&gt;"Y"),NA(),INDEX(Capability!$P$5:$P$54,$B$23)))</f>
        <v/>
      </c>
    </row>
    <row r="139">
      <c r="A139" s="35" t="inlineStr">
        <is>
          <t>Feature</t>
        </is>
      </c>
      <c r="B139" s="36">
        <f>INDEX(Capability!$A$5:$A$54,$B$23)</f>
        <v/>
      </c>
      <c r="CB139">
        <f>IF((CE$1+135)&gt;CC$1,NA(),(CE$1+135)-4)</f>
        <v/>
      </c>
      <c r="CC139">
        <f>IF((CE$1+135)&gt;CC$1,NA(),INDEX('Data Entry'!$H$5:$BE$10004,(CE$1+135)-4,$B$20))</f>
        <v/>
      </c>
      <c r="CD139">
        <f>IF(ISNA(CB139),NA(),INDEX(Capability!$K$5:$K$54,$B$20))</f>
        <v/>
      </c>
      <c r="CE139">
        <f>IF(ISNA(CB139),NA(),INDEX(Capability!$J$5:$J$54,$B$20))</f>
        <v/>
      </c>
      <c r="CF139">
        <f>IF(ISNA(CB139),NA(),INDEX(Capability!$L$5:$L$54,$B$20))</f>
        <v/>
      </c>
      <c r="CG139">
        <f>IF(OR(ISNA(CC139),ISNA(CC138)),NA(),ABS(CC139-CC138))</f>
        <v/>
      </c>
      <c r="CH139">
        <f>IF(ISNA(CB139),NA(),INDEX(Capability!$N$5:$N$54,$B$20))</f>
        <v/>
      </c>
      <c r="CI139">
        <f>IF(ISNA(CB139),NA(),IF(OR(INDEX(Capability!$Q$5:$Q$54,$B$20)="",Settings!$F$7&lt;&gt;"Y"),NA(),INDEX(Capability!$Q$5:$Q$54,$B$20)))</f>
        <v/>
      </c>
      <c r="CJ139">
        <f>IF(ISNA(CB139),NA(),IF(OR(INDEX(Capability!$P$5:$P$54,$B$20)="",Settings!$F$7&lt;&gt;"Y"),NA(),INDEX(Capability!$P$5:$P$54,$B$20)))</f>
        <v/>
      </c>
      <c r="CP139">
        <f>IF((CS$1+135)&gt;CQ$1,NA(),(CS$1+135)-4)</f>
        <v/>
      </c>
      <c r="CQ139">
        <f>IF((CS$1+135)&gt;CQ$1,NA(),INDEX('Data Entry'!$H$5:$BE$10004,(CS$1+135)-4,$B$21))</f>
        <v/>
      </c>
      <c r="CR139">
        <f>IF(ISNA(CP139),NA(),INDEX(Capability!$K$5:$K$54,$B$21))</f>
        <v/>
      </c>
      <c r="CS139">
        <f>IF(ISNA(CP139),NA(),INDEX(Capability!$J$5:$J$54,$B$21))</f>
        <v/>
      </c>
      <c r="CT139">
        <f>IF(ISNA(CP139),NA(),INDEX(Capability!$L$5:$L$54,$B$21))</f>
        <v/>
      </c>
      <c r="CU139">
        <f>IF(OR(ISNA(CQ139),ISNA(CQ138)),NA(),ABS(CQ139-CQ138))</f>
        <v/>
      </c>
      <c r="CV139">
        <f>IF(ISNA(CP139),NA(),INDEX(Capability!$N$5:$N$54,$B$21))</f>
        <v/>
      </c>
      <c r="CW139">
        <f>IF(ISNA(CP139),NA(),IF(OR(INDEX(Capability!$Q$5:$Q$54,$B$21)="",Settings!$F$7&lt;&gt;"Y"),NA(),INDEX(Capability!$Q$5:$Q$54,$B$21)))</f>
        <v/>
      </c>
      <c r="CX139">
        <f>IF(ISNA(CP139),NA(),IF(OR(INDEX(Capability!$P$5:$P$54,$B$21)="",Settings!$F$7&lt;&gt;"Y"),NA(),INDEX(Capability!$P$5:$P$54,$B$21)))</f>
        <v/>
      </c>
      <c r="DD139">
        <f>IF((DG$1+135)&gt;DE$1,NA(),(DG$1+135)-4)</f>
        <v/>
      </c>
      <c r="DE139">
        <f>IF((DG$1+135)&gt;DE$1,NA(),INDEX('Data Entry'!$H$5:$BE$10004,(DG$1+135)-4,$B$22))</f>
        <v/>
      </c>
      <c r="DF139">
        <f>IF(ISNA(DD139),NA(),INDEX(Capability!$K$5:$K$54,$B$22))</f>
        <v/>
      </c>
      <c r="DG139">
        <f>IF(ISNA(DD139),NA(),INDEX(Capability!$J$5:$J$54,$B$22))</f>
        <v/>
      </c>
      <c r="DH139">
        <f>IF(ISNA(DD139),NA(),INDEX(Capability!$L$5:$L$54,$B$22))</f>
        <v/>
      </c>
      <c r="DI139">
        <f>IF(OR(ISNA(DE139),ISNA(DE138)),NA(),ABS(DE139-DE138))</f>
        <v/>
      </c>
      <c r="DJ139">
        <f>IF(ISNA(DD139),NA(),INDEX(Capability!$N$5:$N$54,$B$22))</f>
        <v/>
      </c>
      <c r="DK139">
        <f>IF(ISNA(DD139),NA(),IF(OR(INDEX(Capability!$Q$5:$Q$54,$B$22)="",Settings!$F$7&lt;&gt;"Y"),NA(),INDEX(Capability!$Q$5:$Q$54,$B$22)))</f>
        <v/>
      </c>
      <c r="DL139">
        <f>IF(ISNA(DD139),NA(),IF(OR(INDEX(Capability!$P$5:$P$54,$B$22)="",Settings!$F$7&lt;&gt;"Y"),NA(),INDEX(Capability!$P$5:$P$54,$B$22)))</f>
        <v/>
      </c>
      <c r="DR139">
        <f>IF((DU$1+135)&gt;DS$1,NA(),(DU$1+135)-4)</f>
        <v/>
      </c>
      <c r="DS139">
        <f>IF((DU$1+135)&gt;DS$1,NA(),INDEX('Data Entry'!$H$5:$BE$10004,(DU$1+135)-4,$B$23))</f>
        <v/>
      </c>
      <c r="DT139">
        <f>IF(ISNA(DR139),NA(),INDEX(Capability!$K$5:$K$54,$B$23))</f>
        <v/>
      </c>
      <c r="DU139">
        <f>IF(ISNA(DR139),NA(),INDEX(Capability!$J$5:$J$54,$B$23))</f>
        <v/>
      </c>
      <c r="DV139">
        <f>IF(ISNA(DR139),NA(),INDEX(Capability!$L$5:$L$54,$B$23))</f>
        <v/>
      </c>
      <c r="DW139">
        <f>IF(OR(ISNA(DS139),ISNA(DS138)),NA(),ABS(DS139-DS138))</f>
        <v/>
      </c>
      <c r="DX139">
        <f>IF(ISNA(DR139),NA(),INDEX(Capability!$N$5:$N$54,$B$23))</f>
        <v/>
      </c>
      <c r="DY139">
        <f>IF(ISNA(DR139),NA(),IF(OR(INDEX(Capability!$Q$5:$Q$54,$B$23)="",Settings!$F$7&lt;&gt;"Y"),NA(),INDEX(Capability!$Q$5:$Q$54,$B$23)))</f>
        <v/>
      </c>
      <c r="DZ139">
        <f>IF(ISNA(DR139),NA(),IF(OR(INDEX(Capability!$P$5:$P$54,$B$23)="",Settings!$F$7&lt;&gt;"Y"),NA(),INDEX(Capability!$P$5:$P$54,$B$23)))</f>
        <v/>
      </c>
    </row>
    <row r="140">
      <c r="A140" s="35" t="inlineStr">
        <is>
          <t>Unit</t>
        </is>
      </c>
      <c r="B140" s="36">
        <f>INDEX(Settings!$F$17:$F$66,$B$23)</f>
        <v/>
      </c>
      <c r="CB140">
        <f>IF((CE$1+136)&gt;CC$1,NA(),(CE$1+136)-4)</f>
        <v/>
      </c>
      <c r="CC140">
        <f>IF((CE$1+136)&gt;CC$1,NA(),INDEX('Data Entry'!$H$5:$BE$10004,(CE$1+136)-4,$B$20))</f>
        <v/>
      </c>
      <c r="CD140">
        <f>IF(ISNA(CB140),NA(),INDEX(Capability!$K$5:$K$54,$B$20))</f>
        <v/>
      </c>
      <c r="CE140">
        <f>IF(ISNA(CB140),NA(),INDEX(Capability!$J$5:$J$54,$B$20))</f>
        <v/>
      </c>
      <c r="CF140">
        <f>IF(ISNA(CB140),NA(),INDEX(Capability!$L$5:$L$54,$B$20))</f>
        <v/>
      </c>
      <c r="CG140">
        <f>IF(OR(ISNA(CC140),ISNA(CC139)),NA(),ABS(CC140-CC139))</f>
        <v/>
      </c>
      <c r="CH140">
        <f>IF(ISNA(CB140),NA(),INDEX(Capability!$N$5:$N$54,$B$20))</f>
        <v/>
      </c>
      <c r="CI140">
        <f>IF(ISNA(CB140),NA(),IF(OR(INDEX(Capability!$Q$5:$Q$54,$B$20)="",Settings!$F$7&lt;&gt;"Y"),NA(),INDEX(Capability!$Q$5:$Q$54,$B$20)))</f>
        <v/>
      </c>
      <c r="CJ140">
        <f>IF(ISNA(CB140),NA(),IF(OR(INDEX(Capability!$P$5:$P$54,$B$20)="",Settings!$F$7&lt;&gt;"Y"),NA(),INDEX(Capability!$P$5:$P$54,$B$20)))</f>
        <v/>
      </c>
      <c r="CP140">
        <f>IF((CS$1+136)&gt;CQ$1,NA(),(CS$1+136)-4)</f>
        <v/>
      </c>
      <c r="CQ140">
        <f>IF((CS$1+136)&gt;CQ$1,NA(),INDEX('Data Entry'!$H$5:$BE$10004,(CS$1+136)-4,$B$21))</f>
        <v/>
      </c>
      <c r="CR140">
        <f>IF(ISNA(CP140),NA(),INDEX(Capability!$K$5:$K$54,$B$21))</f>
        <v/>
      </c>
      <c r="CS140">
        <f>IF(ISNA(CP140),NA(),INDEX(Capability!$J$5:$J$54,$B$21))</f>
        <v/>
      </c>
      <c r="CT140">
        <f>IF(ISNA(CP140),NA(),INDEX(Capability!$L$5:$L$54,$B$21))</f>
        <v/>
      </c>
      <c r="CU140">
        <f>IF(OR(ISNA(CQ140),ISNA(CQ139)),NA(),ABS(CQ140-CQ139))</f>
        <v/>
      </c>
      <c r="CV140">
        <f>IF(ISNA(CP140),NA(),INDEX(Capability!$N$5:$N$54,$B$21))</f>
        <v/>
      </c>
      <c r="CW140">
        <f>IF(ISNA(CP140),NA(),IF(OR(INDEX(Capability!$Q$5:$Q$54,$B$21)="",Settings!$F$7&lt;&gt;"Y"),NA(),INDEX(Capability!$Q$5:$Q$54,$B$21)))</f>
        <v/>
      </c>
      <c r="CX140">
        <f>IF(ISNA(CP140),NA(),IF(OR(INDEX(Capability!$P$5:$P$54,$B$21)="",Settings!$F$7&lt;&gt;"Y"),NA(),INDEX(Capability!$P$5:$P$54,$B$21)))</f>
        <v/>
      </c>
      <c r="DD140">
        <f>IF((DG$1+136)&gt;DE$1,NA(),(DG$1+136)-4)</f>
        <v/>
      </c>
      <c r="DE140">
        <f>IF((DG$1+136)&gt;DE$1,NA(),INDEX('Data Entry'!$H$5:$BE$10004,(DG$1+136)-4,$B$22))</f>
        <v/>
      </c>
      <c r="DF140">
        <f>IF(ISNA(DD140),NA(),INDEX(Capability!$K$5:$K$54,$B$22))</f>
        <v/>
      </c>
      <c r="DG140">
        <f>IF(ISNA(DD140),NA(),INDEX(Capability!$J$5:$J$54,$B$22))</f>
        <v/>
      </c>
      <c r="DH140">
        <f>IF(ISNA(DD140),NA(),INDEX(Capability!$L$5:$L$54,$B$22))</f>
        <v/>
      </c>
      <c r="DI140">
        <f>IF(OR(ISNA(DE140),ISNA(DE139)),NA(),ABS(DE140-DE139))</f>
        <v/>
      </c>
      <c r="DJ140">
        <f>IF(ISNA(DD140),NA(),INDEX(Capability!$N$5:$N$54,$B$22))</f>
        <v/>
      </c>
      <c r="DK140">
        <f>IF(ISNA(DD140),NA(),IF(OR(INDEX(Capability!$Q$5:$Q$54,$B$22)="",Settings!$F$7&lt;&gt;"Y"),NA(),INDEX(Capability!$Q$5:$Q$54,$B$22)))</f>
        <v/>
      </c>
      <c r="DL140">
        <f>IF(ISNA(DD140),NA(),IF(OR(INDEX(Capability!$P$5:$P$54,$B$22)="",Settings!$F$7&lt;&gt;"Y"),NA(),INDEX(Capability!$P$5:$P$54,$B$22)))</f>
        <v/>
      </c>
      <c r="DR140">
        <f>IF((DU$1+136)&gt;DS$1,NA(),(DU$1+136)-4)</f>
        <v/>
      </c>
      <c r="DS140">
        <f>IF((DU$1+136)&gt;DS$1,NA(),INDEX('Data Entry'!$H$5:$BE$10004,(DU$1+136)-4,$B$23))</f>
        <v/>
      </c>
      <c r="DT140">
        <f>IF(ISNA(DR140),NA(),INDEX(Capability!$K$5:$K$54,$B$23))</f>
        <v/>
      </c>
      <c r="DU140">
        <f>IF(ISNA(DR140),NA(),INDEX(Capability!$J$5:$J$54,$B$23))</f>
        <v/>
      </c>
      <c r="DV140">
        <f>IF(ISNA(DR140),NA(),INDEX(Capability!$L$5:$L$54,$B$23))</f>
        <v/>
      </c>
      <c r="DW140">
        <f>IF(OR(ISNA(DS140),ISNA(DS139)),NA(),ABS(DS140-DS139))</f>
        <v/>
      </c>
      <c r="DX140">
        <f>IF(ISNA(DR140),NA(),INDEX(Capability!$N$5:$N$54,$B$23))</f>
        <v/>
      </c>
      <c r="DY140">
        <f>IF(ISNA(DR140),NA(),IF(OR(INDEX(Capability!$Q$5:$Q$54,$B$23)="",Settings!$F$7&lt;&gt;"Y"),NA(),INDEX(Capability!$Q$5:$Q$54,$B$23)))</f>
        <v/>
      </c>
      <c r="DZ140">
        <f>IF(ISNA(DR140),NA(),IF(OR(INDEX(Capability!$P$5:$P$54,$B$23)="",Settings!$F$7&lt;&gt;"Y"),NA(),INDEX(Capability!$P$5:$P$54,$B$23)))</f>
        <v/>
      </c>
    </row>
    <row r="141">
      <c r="A141" s="35" t="inlineStr">
        <is>
          <t>Samples (n)</t>
        </is>
      </c>
      <c r="B141" s="22">
        <f>INDEX(Capability!$B$5:$B$54,$B$23)</f>
        <v/>
      </c>
      <c r="CB141">
        <f>IF((CE$1+137)&gt;CC$1,NA(),(CE$1+137)-4)</f>
        <v/>
      </c>
      <c r="CC141">
        <f>IF((CE$1+137)&gt;CC$1,NA(),INDEX('Data Entry'!$H$5:$BE$10004,(CE$1+137)-4,$B$20))</f>
        <v/>
      </c>
      <c r="CD141">
        <f>IF(ISNA(CB141),NA(),INDEX(Capability!$K$5:$K$54,$B$20))</f>
        <v/>
      </c>
      <c r="CE141">
        <f>IF(ISNA(CB141),NA(),INDEX(Capability!$J$5:$J$54,$B$20))</f>
        <v/>
      </c>
      <c r="CF141">
        <f>IF(ISNA(CB141),NA(),INDEX(Capability!$L$5:$L$54,$B$20))</f>
        <v/>
      </c>
      <c r="CG141">
        <f>IF(OR(ISNA(CC141),ISNA(CC140)),NA(),ABS(CC141-CC140))</f>
        <v/>
      </c>
      <c r="CH141">
        <f>IF(ISNA(CB141),NA(),INDEX(Capability!$N$5:$N$54,$B$20))</f>
        <v/>
      </c>
      <c r="CI141">
        <f>IF(ISNA(CB141),NA(),IF(OR(INDEX(Capability!$Q$5:$Q$54,$B$20)="",Settings!$F$7&lt;&gt;"Y"),NA(),INDEX(Capability!$Q$5:$Q$54,$B$20)))</f>
        <v/>
      </c>
      <c r="CJ141">
        <f>IF(ISNA(CB141),NA(),IF(OR(INDEX(Capability!$P$5:$P$54,$B$20)="",Settings!$F$7&lt;&gt;"Y"),NA(),INDEX(Capability!$P$5:$P$54,$B$20)))</f>
        <v/>
      </c>
      <c r="CP141">
        <f>IF((CS$1+137)&gt;CQ$1,NA(),(CS$1+137)-4)</f>
        <v/>
      </c>
      <c r="CQ141">
        <f>IF((CS$1+137)&gt;CQ$1,NA(),INDEX('Data Entry'!$H$5:$BE$10004,(CS$1+137)-4,$B$21))</f>
        <v/>
      </c>
      <c r="CR141">
        <f>IF(ISNA(CP141),NA(),INDEX(Capability!$K$5:$K$54,$B$21))</f>
        <v/>
      </c>
      <c r="CS141">
        <f>IF(ISNA(CP141),NA(),INDEX(Capability!$J$5:$J$54,$B$21))</f>
        <v/>
      </c>
      <c r="CT141">
        <f>IF(ISNA(CP141),NA(),INDEX(Capability!$L$5:$L$54,$B$21))</f>
        <v/>
      </c>
      <c r="CU141">
        <f>IF(OR(ISNA(CQ141),ISNA(CQ140)),NA(),ABS(CQ141-CQ140))</f>
        <v/>
      </c>
      <c r="CV141">
        <f>IF(ISNA(CP141),NA(),INDEX(Capability!$N$5:$N$54,$B$21))</f>
        <v/>
      </c>
      <c r="CW141">
        <f>IF(ISNA(CP141),NA(),IF(OR(INDEX(Capability!$Q$5:$Q$54,$B$21)="",Settings!$F$7&lt;&gt;"Y"),NA(),INDEX(Capability!$Q$5:$Q$54,$B$21)))</f>
        <v/>
      </c>
      <c r="CX141">
        <f>IF(ISNA(CP141),NA(),IF(OR(INDEX(Capability!$P$5:$P$54,$B$21)="",Settings!$F$7&lt;&gt;"Y"),NA(),INDEX(Capability!$P$5:$P$54,$B$21)))</f>
        <v/>
      </c>
      <c r="DD141">
        <f>IF((DG$1+137)&gt;DE$1,NA(),(DG$1+137)-4)</f>
        <v/>
      </c>
      <c r="DE141">
        <f>IF((DG$1+137)&gt;DE$1,NA(),INDEX('Data Entry'!$H$5:$BE$10004,(DG$1+137)-4,$B$22))</f>
        <v/>
      </c>
      <c r="DF141">
        <f>IF(ISNA(DD141),NA(),INDEX(Capability!$K$5:$K$54,$B$22))</f>
        <v/>
      </c>
      <c r="DG141">
        <f>IF(ISNA(DD141),NA(),INDEX(Capability!$J$5:$J$54,$B$22))</f>
        <v/>
      </c>
      <c r="DH141">
        <f>IF(ISNA(DD141),NA(),INDEX(Capability!$L$5:$L$54,$B$22))</f>
        <v/>
      </c>
      <c r="DI141">
        <f>IF(OR(ISNA(DE141),ISNA(DE140)),NA(),ABS(DE141-DE140))</f>
        <v/>
      </c>
      <c r="DJ141">
        <f>IF(ISNA(DD141),NA(),INDEX(Capability!$N$5:$N$54,$B$22))</f>
        <v/>
      </c>
      <c r="DK141">
        <f>IF(ISNA(DD141),NA(),IF(OR(INDEX(Capability!$Q$5:$Q$54,$B$22)="",Settings!$F$7&lt;&gt;"Y"),NA(),INDEX(Capability!$Q$5:$Q$54,$B$22)))</f>
        <v/>
      </c>
      <c r="DL141">
        <f>IF(ISNA(DD141),NA(),IF(OR(INDEX(Capability!$P$5:$P$54,$B$22)="",Settings!$F$7&lt;&gt;"Y"),NA(),INDEX(Capability!$P$5:$P$54,$B$22)))</f>
        <v/>
      </c>
      <c r="DR141">
        <f>IF((DU$1+137)&gt;DS$1,NA(),(DU$1+137)-4)</f>
        <v/>
      </c>
      <c r="DS141">
        <f>IF((DU$1+137)&gt;DS$1,NA(),INDEX('Data Entry'!$H$5:$BE$10004,(DU$1+137)-4,$B$23))</f>
        <v/>
      </c>
      <c r="DT141">
        <f>IF(ISNA(DR141),NA(),INDEX(Capability!$K$5:$K$54,$B$23))</f>
        <v/>
      </c>
      <c r="DU141">
        <f>IF(ISNA(DR141),NA(),INDEX(Capability!$J$5:$J$54,$B$23))</f>
        <v/>
      </c>
      <c r="DV141">
        <f>IF(ISNA(DR141),NA(),INDEX(Capability!$L$5:$L$54,$B$23))</f>
        <v/>
      </c>
      <c r="DW141">
        <f>IF(OR(ISNA(DS141),ISNA(DS140)),NA(),ABS(DS141-DS140))</f>
        <v/>
      </c>
      <c r="DX141">
        <f>IF(ISNA(DR141),NA(),INDEX(Capability!$N$5:$N$54,$B$23))</f>
        <v/>
      </c>
      <c r="DY141">
        <f>IF(ISNA(DR141),NA(),IF(OR(INDEX(Capability!$Q$5:$Q$54,$B$23)="",Settings!$F$7&lt;&gt;"Y"),NA(),INDEX(Capability!$Q$5:$Q$54,$B$23)))</f>
        <v/>
      </c>
      <c r="DZ141">
        <f>IF(ISNA(DR141),NA(),IF(OR(INDEX(Capability!$P$5:$P$54,$B$23)="",Settings!$F$7&lt;&gt;"Y"),NA(),INDEX(Capability!$P$5:$P$54,$B$23)))</f>
        <v/>
      </c>
    </row>
    <row r="142">
      <c r="A142" s="37" t="inlineStr">
        <is>
          <t>DATA RANGE</t>
        </is>
      </c>
      <c r="B142" s="28" t="n"/>
      <c r="CB142">
        <f>IF((CE$1+138)&gt;CC$1,NA(),(CE$1+138)-4)</f>
        <v/>
      </c>
      <c r="CC142">
        <f>IF((CE$1+138)&gt;CC$1,NA(),INDEX('Data Entry'!$H$5:$BE$10004,(CE$1+138)-4,$B$20))</f>
        <v/>
      </c>
      <c r="CD142">
        <f>IF(ISNA(CB142),NA(),INDEX(Capability!$K$5:$K$54,$B$20))</f>
        <v/>
      </c>
      <c r="CE142">
        <f>IF(ISNA(CB142),NA(),INDEX(Capability!$J$5:$J$54,$B$20))</f>
        <v/>
      </c>
      <c r="CF142">
        <f>IF(ISNA(CB142),NA(),INDEX(Capability!$L$5:$L$54,$B$20))</f>
        <v/>
      </c>
      <c r="CG142">
        <f>IF(OR(ISNA(CC142),ISNA(CC141)),NA(),ABS(CC142-CC141))</f>
        <v/>
      </c>
      <c r="CH142">
        <f>IF(ISNA(CB142),NA(),INDEX(Capability!$N$5:$N$54,$B$20))</f>
        <v/>
      </c>
      <c r="CI142">
        <f>IF(ISNA(CB142),NA(),IF(OR(INDEX(Capability!$Q$5:$Q$54,$B$20)="",Settings!$F$7&lt;&gt;"Y"),NA(),INDEX(Capability!$Q$5:$Q$54,$B$20)))</f>
        <v/>
      </c>
      <c r="CJ142">
        <f>IF(ISNA(CB142),NA(),IF(OR(INDEX(Capability!$P$5:$P$54,$B$20)="",Settings!$F$7&lt;&gt;"Y"),NA(),INDEX(Capability!$P$5:$P$54,$B$20)))</f>
        <v/>
      </c>
      <c r="CP142">
        <f>IF((CS$1+138)&gt;CQ$1,NA(),(CS$1+138)-4)</f>
        <v/>
      </c>
      <c r="CQ142">
        <f>IF((CS$1+138)&gt;CQ$1,NA(),INDEX('Data Entry'!$H$5:$BE$10004,(CS$1+138)-4,$B$21))</f>
        <v/>
      </c>
      <c r="CR142">
        <f>IF(ISNA(CP142),NA(),INDEX(Capability!$K$5:$K$54,$B$21))</f>
        <v/>
      </c>
      <c r="CS142">
        <f>IF(ISNA(CP142),NA(),INDEX(Capability!$J$5:$J$54,$B$21))</f>
        <v/>
      </c>
      <c r="CT142">
        <f>IF(ISNA(CP142),NA(),INDEX(Capability!$L$5:$L$54,$B$21))</f>
        <v/>
      </c>
      <c r="CU142">
        <f>IF(OR(ISNA(CQ142),ISNA(CQ141)),NA(),ABS(CQ142-CQ141))</f>
        <v/>
      </c>
      <c r="CV142">
        <f>IF(ISNA(CP142),NA(),INDEX(Capability!$N$5:$N$54,$B$21))</f>
        <v/>
      </c>
      <c r="CW142">
        <f>IF(ISNA(CP142),NA(),IF(OR(INDEX(Capability!$Q$5:$Q$54,$B$21)="",Settings!$F$7&lt;&gt;"Y"),NA(),INDEX(Capability!$Q$5:$Q$54,$B$21)))</f>
        <v/>
      </c>
      <c r="CX142">
        <f>IF(ISNA(CP142),NA(),IF(OR(INDEX(Capability!$P$5:$P$54,$B$21)="",Settings!$F$7&lt;&gt;"Y"),NA(),INDEX(Capability!$P$5:$P$54,$B$21)))</f>
        <v/>
      </c>
      <c r="DD142">
        <f>IF((DG$1+138)&gt;DE$1,NA(),(DG$1+138)-4)</f>
        <v/>
      </c>
      <c r="DE142">
        <f>IF((DG$1+138)&gt;DE$1,NA(),INDEX('Data Entry'!$H$5:$BE$10004,(DG$1+138)-4,$B$22))</f>
        <v/>
      </c>
      <c r="DF142">
        <f>IF(ISNA(DD142),NA(),INDEX(Capability!$K$5:$K$54,$B$22))</f>
        <v/>
      </c>
      <c r="DG142">
        <f>IF(ISNA(DD142),NA(),INDEX(Capability!$J$5:$J$54,$B$22))</f>
        <v/>
      </c>
      <c r="DH142">
        <f>IF(ISNA(DD142),NA(),INDEX(Capability!$L$5:$L$54,$B$22))</f>
        <v/>
      </c>
      <c r="DI142">
        <f>IF(OR(ISNA(DE142),ISNA(DE141)),NA(),ABS(DE142-DE141))</f>
        <v/>
      </c>
      <c r="DJ142">
        <f>IF(ISNA(DD142),NA(),INDEX(Capability!$N$5:$N$54,$B$22))</f>
        <v/>
      </c>
      <c r="DK142">
        <f>IF(ISNA(DD142),NA(),IF(OR(INDEX(Capability!$Q$5:$Q$54,$B$22)="",Settings!$F$7&lt;&gt;"Y"),NA(),INDEX(Capability!$Q$5:$Q$54,$B$22)))</f>
        <v/>
      </c>
      <c r="DL142">
        <f>IF(ISNA(DD142),NA(),IF(OR(INDEX(Capability!$P$5:$P$54,$B$22)="",Settings!$F$7&lt;&gt;"Y"),NA(),INDEX(Capability!$P$5:$P$54,$B$22)))</f>
        <v/>
      </c>
      <c r="DR142">
        <f>IF((DU$1+138)&gt;DS$1,NA(),(DU$1+138)-4)</f>
        <v/>
      </c>
      <c r="DS142">
        <f>IF((DU$1+138)&gt;DS$1,NA(),INDEX('Data Entry'!$H$5:$BE$10004,(DU$1+138)-4,$B$23))</f>
        <v/>
      </c>
      <c r="DT142">
        <f>IF(ISNA(DR142),NA(),INDEX(Capability!$K$5:$K$54,$B$23))</f>
        <v/>
      </c>
      <c r="DU142">
        <f>IF(ISNA(DR142),NA(),INDEX(Capability!$J$5:$J$54,$B$23))</f>
        <v/>
      </c>
      <c r="DV142">
        <f>IF(ISNA(DR142),NA(),INDEX(Capability!$L$5:$L$54,$B$23))</f>
        <v/>
      </c>
      <c r="DW142">
        <f>IF(OR(ISNA(DS142),ISNA(DS141)),NA(),ABS(DS142-DS141))</f>
        <v/>
      </c>
      <c r="DX142">
        <f>IF(ISNA(DR142),NA(),INDEX(Capability!$N$5:$N$54,$B$23))</f>
        <v/>
      </c>
      <c r="DY142">
        <f>IF(ISNA(DR142),NA(),IF(OR(INDEX(Capability!$Q$5:$Q$54,$B$23)="",Settings!$F$7&lt;&gt;"Y"),NA(),INDEX(Capability!$Q$5:$Q$54,$B$23)))</f>
        <v/>
      </c>
      <c r="DZ142">
        <f>IF(ISNA(DR142),NA(),IF(OR(INDEX(Capability!$P$5:$P$54,$B$23)="",Settings!$F$7&lt;&gt;"Y"),NA(),INDEX(Capability!$P$5:$P$54,$B$23)))</f>
        <v/>
      </c>
    </row>
    <row r="143">
      <c r="A143" s="35" t="inlineStr">
        <is>
          <t>Min</t>
        </is>
      </c>
      <c r="B143" s="23">
        <f>INDEX(Capability!$E$5:$E$54,$B$23)</f>
        <v/>
      </c>
      <c r="CB143">
        <f>IF((CE$1+139)&gt;CC$1,NA(),(CE$1+139)-4)</f>
        <v/>
      </c>
      <c r="CC143">
        <f>IF((CE$1+139)&gt;CC$1,NA(),INDEX('Data Entry'!$H$5:$BE$10004,(CE$1+139)-4,$B$20))</f>
        <v/>
      </c>
      <c r="CD143">
        <f>IF(ISNA(CB143),NA(),INDEX(Capability!$K$5:$K$54,$B$20))</f>
        <v/>
      </c>
      <c r="CE143">
        <f>IF(ISNA(CB143),NA(),INDEX(Capability!$J$5:$J$54,$B$20))</f>
        <v/>
      </c>
      <c r="CF143">
        <f>IF(ISNA(CB143),NA(),INDEX(Capability!$L$5:$L$54,$B$20))</f>
        <v/>
      </c>
      <c r="CG143">
        <f>IF(OR(ISNA(CC143),ISNA(CC142)),NA(),ABS(CC143-CC142))</f>
        <v/>
      </c>
      <c r="CH143">
        <f>IF(ISNA(CB143),NA(),INDEX(Capability!$N$5:$N$54,$B$20))</f>
        <v/>
      </c>
      <c r="CI143">
        <f>IF(ISNA(CB143),NA(),IF(OR(INDEX(Capability!$Q$5:$Q$54,$B$20)="",Settings!$F$7&lt;&gt;"Y"),NA(),INDEX(Capability!$Q$5:$Q$54,$B$20)))</f>
        <v/>
      </c>
      <c r="CJ143">
        <f>IF(ISNA(CB143),NA(),IF(OR(INDEX(Capability!$P$5:$P$54,$B$20)="",Settings!$F$7&lt;&gt;"Y"),NA(),INDEX(Capability!$P$5:$P$54,$B$20)))</f>
        <v/>
      </c>
      <c r="CP143">
        <f>IF((CS$1+139)&gt;CQ$1,NA(),(CS$1+139)-4)</f>
        <v/>
      </c>
      <c r="CQ143">
        <f>IF((CS$1+139)&gt;CQ$1,NA(),INDEX('Data Entry'!$H$5:$BE$10004,(CS$1+139)-4,$B$21))</f>
        <v/>
      </c>
      <c r="CR143">
        <f>IF(ISNA(CP143),NA(),INDEX(Capability!$K$5:$K$54,$B$21))</f>
        <v/>
      </c>
      <c r="CS143">
        <f>IF(ISNA(CP143),NA(),INDEX(Capability!$J$5:$J$54,$B$21))</f>
        <v/>
      </c>
      <c r="CT143">
        <f>IF(ISNA(CP143),NA(),INDEX(Capability!$L$5:$L$54,$B$21))</f>
        <v/>
      </c>
      <c r="CU143">
        <f>IF(OR(ISNA(CQ143),ISNA(CQ142)),NA(),ABS(CQ143-CQ142))</f>
        <v/>
      </c>
      <c r="CV143">
        <f>IF(ISNA(CP143),NA(),INDEX(Capability!$N$5:$N$54,$B$21))</f>
        <v/>
      </c>
      <c r="CW143">
        <f>IF(ISNA(CP143),NA(),IF(OR(INDEX(Capability!$Q$5:$Q$54,$B$21)="",Settings!$F$7&lt;&gt;"Y"),NA(),INDEX(Capability!$Q$5:$Q$54,$B$21)))</f>
        <v/>
      </c>
      <c r="CX143">
        <f>IF(ISNA(CP143),NA(),IF(OR(INDEX(Capability!$P$5:$P$54,$B$21)="",Settings!$F$7&lt;&gt;"Y"),NA(),INDEX(Capability!$P$5:$P$54,$B$21)))</f>
        <v/>
      </c>
      <c r="DD143">
        <f>IF((DG$1+139)&gt;DE$1,NA(),(DG$1+139)-4)</f>
        <v/>
      </c>
      <c r="DE143">
        <f>IF((DG$1+139)&gt;DE$1,NA(),INDEX('Data Entry'!$H$5:$BE$10004,(DG$1+139)-4,$B$22))</f>
        <v/>
      </c>
      <c r="DF143">
        <f>IF(ISNA(DD143),NA(),INDEX(Capability!$K$5:$K$54,$B$22))</f>
        <v/>
      </c>
      <c r="DG143">
        <f>IF(ISNA(DD143),NA(),INDEX(Capability!$J$5:$J$54,$B$22))</f>
        <v/>
      </c>
      <c r="DH143">
        <f>IF(ISNA(DD143),NA(),INDEX(Capability!$L$5:$L$54,$B$22))</f>
        <v/>
      </c>
      <c r="DI143">
        <f>IF(OR(ISNA(DE143),ISNA(DE142)),NA(),ABS(DE143-DE142))</f>
        <v/>
      </c>
      <c r="DJ143">
        <f>IF(ISNA(DD143),NA(),INDEX(Capability!$N$5:$N$54,$B$22))</f>
        <v/>
      </c>
      <c r="DK143">
        <f>IF(ISNA(DD143),NA(),IF(OR(INDEX(Capability!$Q$5:$Q$54,$B$22)="",Settings!$F$7&lt;&gt;"Y"),NA(),INDEX(Capability!$Q$5:$Q$54,$B$22)))</f>
        <v/>
      </c>
      <c r="DL143">
        <f>IF(ISNA(DD143),NA(),IF(OR(INDEX(Capability!$P$5:$P$54,$B$22)="",Settings!$F$7&lt;&gt;"Y"),NA(),INDEX(Capability!$P$5:$P$54,$B$22)))</f>
        <v/>
      </c>
      <c r="DR143">
        <f>IF((DU$1+139)&gt;DS$1,NA(),(DU$1+139)-4)</f>
        <v/>
      </c>
      <c r="DS143">
        <f>IF((DU$1+139)&gt;DS$1,NA(),INDEX('Data Entry'!$H$5:$BE$10004,(DU$1+139)-4,$B$23))</f>
        <v/>
      </c>
      <c r="DT143">
        <f>IF(ISNA(DR143),NA(),INDEX(Capability!$K$5:$K$54,$B$23))</f>
        <v/>
      </c>
      <c r="DU143">
        <f>IF(ISNA(DR143),NA(),INDEX(Capability!$J$5:$J$54,$B$23))</f>
        <v/>
      </c>
      <c r="DV143">
        <f>IF(ISNA(DR143),NA(),INDEX(Capability!$L$5:$L$54,$B$23))</f>
        <v/>
      </c>
      <c r="DW143">
        <f>IF(OR(ISNA(DS143),ISNA(DS142)),NA(),ABS(DS143-DS142))</f>
        <v/>
      </c>
      <c r="DX143">
        <f>IF(ISNA(DR143),NA(),INDEX(Capability!$N$5:$N$54,$B$23))</f>
        <v/>
      </c>
      <c r="DY143">
        <f>IF(ISNA(DR143),NA(),IF(OR(INDEX(Capability!$Q$5:$Q$54,$B$23)="",Settings!$F$7&lt;&gt;"Y"),NA(),INDEX(Capability!$Q$5:$Q$54,$B$23)))</f>
        <v/>
      </c>
      <c r="DZ143">
        <f>IF(ISNA(DR143),NA(),IF(OR(INDEX(Capability!$P$5:$P$54,$B$23)="",Settings!$F$7&lt;&gt;"Y"),NA(),INDEX(Capability!$P$5:$P$54,$B$23)))</f>
        <v/>
      </c>
    </row>
    <row r="144">
      <c r="A144" s="35" t="inlineStr">
        <is>
          <t>Max</t>
        </is>
      </c>
      <c r="B144" s="23">
        <f>INDEX(Capability!$F$5:$F$54,$B$23)</f>
        <v/>
      </c>
      <c r="CB144">
        <f>IF((CE$1+140)&gt;CC$1,NA(),(CE$1+140)-4)</f>
        <v/>
      </c>
      <c r="CC144">
        <f>IF((CE$1+140)&gt;CC$1,NA(),INDEX('Data Entry'!$H$5:$BE$10004,(CE$1+140)-4,$B$20))</f>
        <v/>
      </c>
      <c r="CD144">
        <f>IF(ISNA(CB144),NA(),INDEX(Capability!$K$5:$K$54,$B$20))</f>
        <v/>
      </c>
      <c r="CE144">
        <f>IF(ISNA(CB144),NA(),INDEX(Capability!$J$5:$J$54,$B$20))</f>
        <v/>
      </c>
      <c r="CF144">
        <f>IF(ISNA(CB144),NA(),INDEX(Capability!$L$5:$L$54,$B$20))</f>
        <v/>
      </c>
      <c r="CG144">
        <f>IF(OR(ISNA(CC144),ISNA(CC143)),NA(),ABS(CC144-CC143))</f>
        <v/>
      </c>
      <c r="CH144">
        <f>IF(ISNA(CB144),NA(),INDEX(Capability!$N$5:$N$54,$B$20))</f>
        <v/>
      </c>
      <c r="CI144">
        <f>IF(ISNA(CB144),NA(),IF(OR(INDEX(Capability!$Q$5:$Q$54,$B$20)="",Settings!$F$7&lt;&gt;"Y"),NA(),INDEX(Capability!$Q$5:$Q$54,$B$20)))</f>
        <v/>
      </c>
      <c r="CJ144">
        <f>IF(ISNA(CB144),NA(),IF(OR(INDEX(Capability!$P$5:$P$54,$B$20)="",Settings!$F$7&lt;&gt;"Y"),NA(),INDEX(Capability!$P$5:$P$54,$B$20)))</f>
        <v/>
      </c>
      <c r="CP144">
        <f>IF((CS$1+140)&gt;CQ$1,NA(),(CS$1+140)-4)</f>
        <v/>
      </c>
      <c r="CQ144">
        <f>IF((CS$1+140)&gt;CQ$1,NA(),INDEX('Data Entry'!$H$5:$BE$10004,(CS$1+140)-4,$B$21))</f>
        <v/>
      </c>
      <c r="CR144">
        <f>IF(ISNA(CP144),NA(),INDEX(Capability!$K$5:$K$54,$B$21))</f>
        <v/>
      </c>
      <c r="CS144">
        <f>IF(ISNA(CP144),NA(),INDEX(Capability!$J$5:$J$54,$B$21))</f>
        <v/>
      </c>
      <c r="CT144">
        <f>IF(ISNA(CP144),NA(),INDEX(Capability!$L$5:$L$54,$B$21))</f>
        <v/>
      </c>
      <c r="CU144">
        <f>IF(OR(ISNA(CQ144),ISNA(CQ143)),NA(),ABS(CQ144-CQ143))</f>
        <v/>
      </c>
      <c r="CV144">
        <f>IF(ISNA(CP144),NA(),INDEX(Capability!$N$5:$N$54,$B$21))</f>
        <v/>
      </c>
      <c r="CW144">
        <f>IF(ISNA(CP144),NA(),IF(OR(INDEX(Capability!$Q$5:$Q$54,$B$21)="",Settings!$F$7&lt;&gt;"Y"),NA(),INDEX(Capability!$Q$5:$Q$54,$B$21)))</f>
        <v/>
      </c>
      <c r="CX144">
        <f>IF(ISNA(CP144),NA(),IF(OR(INDEX(Capability!$P$5:$P$54,$B$21)="",Settings!$F$7&lt;&gt;"Y"),NA(),INDEX(Capability!$P$5:$P$54,$B$21)))</f>
        <v/>
      </c>
      <c r="DD144">
        <f>IF((DG$1+140)&gt;DE$1,NA(),(DG$1+140)-4)</f>
        <v/>
      </c>
      <c r="DE144">
        <f>IF((DG$1+140)&gt;DE$1,NA(),INDEX('Data Entry'!$H$5:$BE$10004,(DG$1+140)-4,$B$22))</f>
        <v/>
      </c>
      <c r="DF144">
        <f>IF(ISNA(DD144),NA(),INDEX(Capability!$K$5:$K$54,$B$22))</f>
        <v/>
      </c>
      <c r="DG144">
        <f>IF(ISNA(DD144),NA(),INDEX(Capability!$J$5:$J$54,$B$22))</f>
        <v/>
      </c>
      <c r="DH144">
        <f>IF(ISNA(DD144),NA(),INDEX(Capability!$L$5:$L$54,$B$22))</f>
        <v/>
      </c>
      <c r="DI144">
        <f>IF(OR(ISNA(DE144),ISNA(DE143)),NA(),ABS(DE144-DE143))</f>
        <v/>
      </c>
      <c r="DJ144">
        <f>IF(ISNA(DD144),NA(),INDEX(Capability!$N$5:$N$54,$B$22))</f>
        <v/>
      </c>
      <c r="DK144">
        <f>IF(ISNA(DD144),NA(),IF(OR(INDEX(Capability!$Q$5:$Q$54,$B$22)="",Settings!$F$7&lt;&gt;"Y"),NA(),INDEX(Capability!$Q$5:$Q$54,$B$22)))</f>
        <v/>
      </c>
      <c r="DL144">
        <f>IF(ISNA(DD144),NA(),IF(OR(INDEX(Capability!$P$5:$P$54,$B$22)="",Settings!$F$7&lt;&gt;"Y"),NA(),INDEX(Capability!$P$5:$P$54,$B$22)))</f>
        <v/>
      </c>
      <c r="DR144">
        <f>IF((DU$1+140)&gt;DS$1,NA(),(DU$1+140)-4)</f>
        <v/>
      </c>
      <c r="DS144">
        <f>IF((DU$1+140)&gt;DS$1,NA(),INDEX('Data Entry'!$H$5:$BE$10004,(DU$1+140)-4,$B$23))</f>
        <v/>
      </c>
      <c r="DT144">
        <f>IF(ISNA(DR144),NA(),INDEX(Capability!$K$5:$K$54,$B$23))</f>
        <v/>
      </c>
      <c r="DU144">
        <f>IF(ISNA(DR144),NA(),INDEX(Capability!$J$5:$J$54,$B$23))</f>
        <v/>
      </c>
      <c r="DV144">
        <f>IF(ISNA(DR144),NA(),INDEX(Capability!$L$5:$L$54,$B$23))</f>
        <v/>
      </c>
      <c r="DW144">
        <f>IF(OR(ISNA(DS144),ISNA(DS143)),NA(),ABS(DS144-DS143))</f>
        <v/>
      </c>
      <c r="DX144">
        <f>IF(ISNA(DR144),NA(),INDEX(Capability!$N$5:$N$54,$B$23))</f>
        <v/>
      </c>
      <c r="DY144">
        <f>IF(ISNA(DR144),NA(),IF(OR(INDEX(Capability!$Q$5:$Q$54,$B$23)="",Settings!$F$7&lt;&gt;"Y"),NA(),INDEX(Capability!$Q$5:$Q$54,$B$23)))</f>
        <v/>
      </c>
      <c r="DZ144">
        <f>IF(ISNA(DR144),NA(),IF(OR(INDEX(Capability!$P$5:$P$54,$B$23)="",Settings!$F$7&lt;&gt;"Y"),NA(),INDEX(Capability!$P$5:$P$54,$B$23)))</f>
        <v/>
      </c>
    </row>
    <row r="145">
      <c r="A145" s="35" t="inlineStr">
        <is>
          <t>Range</t>
        </is>
      </c>
      <c r="B145" s="23">
        <f>INDEX(Capability!$G$5:$G$54,$B$23)</f>
        <v/>
      </c>
      <c r="CB145">
        <f>IF((CE$1+141)&gt;CC$1,NA(),(CE$1+141)-4)</f>
        <v/>
      </c>
      <c r="CC145">
        <f>IF((CE$1+141)&gt;CC$1,NA(),INDEX('Data Entry'!$H$5:$BE$10004,(CE$1+141)-4,$B$20))</f>
        <v/>
      </c>
      <c r="CD145">
        <f>IF(ISNA(CB145),NA(),INDEX(Capability!$K$5:$K$54,$B$20))</f>
        <v/>
      </c>
      <c r="CE145">
        <f>IF(ISNA(CB145),NA(),INDEX(Capability!$J$5:$J$54,$B$20))</f>
        <v/>
      </c>
      <c r="CF145">
        <f>IF(ISNA(CB145),NA(),INDEX(Capability!$L$5:$L$54,$B$20))</f>
        <v/>
      </c>
      <c r="CG145">
        <f>IF(OR(ISNA(CC145),ISNA(CC144)),NA(),ABS(CC145-CC144))</f>
        <v/>
      </c>
      <c r="CH145">
        <f>IF(ISNA(CB145),NA(),INDEX(Capability!$N$5:$N$54,$B$20))</f>
        <v/>
      </c>
      <c r="CI145">
        <f>IF(ISNA(CB145),NA(),IF(OR(INDEX(Capability!$Q$5:$Q$54,$B$20)="",Settings!$F$7&lt;&gt;"Y"),NA(),INDEX(Capability!$Q$5:$Q$54,$B$20)))</f>
        <v/>
      </c>
      <c r="CJ145">
        <f>IF(ISNA(CB145),NA(),IF(OR(INDEX(Capability!$P$5:$P$54,$B$20)="",Settings!$F$7&lt;&gt;"Y"),NA(),INDEX(Capability!$P$5:$P$54,$B$20)))</f>
        <v/>
      </c>
      <c r="CP145">
        <f>IF((CS$1+141)&gt;CQ$1,NA(),(CS$1+141)-4)</f>
        <v/>
      </c>
      <c r="CQ145">
        <f>IF((CS$1+141)&gt;CQ$1,NA(),INDEX('Data Entry'!$H$5:$BE$10004,(CS$1+141)-4,$B$21))</f>
        <v/>
      </c>
      <c r="CR145">
        <f>IF(ISNA(CP145),NA(),INDEX(Capability!$K$5:$K$54,$B$21))</f>
        <v/>
      </c>
      <c r="CS145">
        <f>IF(ISNA(CP145),NA(),INDEX(Capability!$J$5:$J$54,$B$21))</f>
        <v/>
      </c>
      <c r="CT145">
        <f>IF(ISNA(CP145),NA(),INDEX(Capability!$L$5:$L$54,$B$21))</f>
        <v/>
      </c>
      <c r="CU145">
        <f>IF(OR(ISNA(CQ145),ISNA(CQ144)),NA(),ABS(CQ145-CQ144))</f>
        <v/>
      </c>
      <c r="CV145">
        <f>IF(ISNA(CP145),NA(),INDEX(Capability!$N$5:$N$54,$B$21))</f>
        <v/>
      </c>
      <c r="CW145">
        <f>IF(ISNA(CP145),NA(),IF(OR(INDEX(Capability!$Q$5:$Q$54,$B$21)="",Settings!$F$7&lt;&gt;"Y"),NA(),INDEX(Capability!$Q$5:$Q$54,$B$21)))</f>
        <v/>
      </c>
      <c r="CX145">
        <f>IF(ISNA(CP145),NA(),IF(OR(INDEX(Capability!$P$5:$P$54,$B$21)="",Settings!$F$7&lt;&gt;"Y"),NA(),INDEX(Capability!$P$5:$P$54,$B$21)))</f>
        <v/>
      </c>
      <c r="DD145">
        <f>IF((DG$1+141)&gt;DE$1,NA(),(DG$1+141)-4)</f>
        <v/>
      </c>
      <c r="DE145">
        <f>IF((DG$1+141)&gt;DE$1,NA(),INDEX('Data Entry'!$H$5:$BE$10004,(DG$1+141)-4,$B$22))</f>
        <v/>
      </c>
      <c r="DF145">
        <f>IF(ISNA(DD145),NA(),INDEX(Capability!$K$5:$K$54,$B$22))</f>
        <v/>
      </c>
      <c r="DG145">
        <f>IF(ISNA(DD145),NA(),INDEX(Capability!$J$5:$J$54,$B$22))</f>
        <v/>
      </c>
      <c r="DH145">
        <f>IF(ISNA(DD145),NA(),INDEX(Capability!$L$5:$L$54,$B$22))</f>
        <v/>
      </c>
      <c r="DI145">
        <f>IF(OR(ISNA(DE145),ISNA(DE144)),NA(),ABS(DE145-DE144))</f>
        <v/>
      </c>
      <c r="DJ145">
        <f>IF(ISNA(DD145),NA(),INDEX(Capability!$N$5:$N$54,$B$22))</f>
        <v/>
      </c>
      <c r="DK145">
        <f>IF(ISNA(DD145),NA(),IF(OR(INDEX(Capability!$Q$5:$Q$54,$B$22)="",Settings!$F$7&lt;&gt;"Y"),NA(),INDEX(Capability!$Q$5:$Q$54,$B$22)))</f>
        <v/>
      </c>
      <c r="DL145">
        <f>IF(ISNA(DD145),NA(),IF(OR(INDEX(Capability!$P$5:$P$54,$B$22)="",Settings!$F$7&lt;&gt;"Y"),NA(),INDEX(Capability!$P$5:$P$54,$B$22)))</f>
        <v/>
      </c>
      <c r="DR145">
        <f>IF((DU$1+141)&gt;DS$1,NA(),(DU$1+141)-4)</f>
        <v/>
      </c>
      <c r="DS145">
        <f>IF((DU$1+141)&gt;DS$1,NA(),INDEX('Data Entry'!$H$5:$BE$10004,(DU$1+141)-4,$B$23))</f>
        <v/>
      </c>
      <c r="DT145">
        <f>IF(ISNA(DR145),NA(),INDEX(Capability!$K$5:$K$54,$B$23))</f>
        <v/>
      </c>
      <c r="DU145">
        <f>IF(ISNA(DR145),NA(),INDEX(Capability!$J$5:$J$54,$B$23))</f>
        <v/>
      </c>
      <c r="DV145">
        <f>IF(ISNA(DR145),NA(),INDEX(Capability!$L$5:$L$54,$B$23))</f>
        <v/>
      </c>
      <c r="DW145">
        <f>IF(OR(ISNA(DS145),ISNA(DS144)),NA(),ABS(DS145-DS144))</f>
        <v/>
      </c>
      <c r="DX145">
        <f>IF(ISNA(DR145),NA(),INDEX(Capability!$N$5:$N$54,$B$23))</f>
        <v/>
      </c>
      <c r="DY145">
        <f>IF(ISNA(DR145),NA(),IF(OR(INDEX(Capability!$Q$5:$Q$54,$B$23)="",Settings!$F$7&lt;&gt;"Y"),NA(),INDEX(Capability!$Q$5:$Q$54,$B$23)))</f>
        <v/>
      </c>
      <c r="DZ145">
        <f>IF(ISNA(DR145),NA(),IF(OR(INDEX(Capability!$P$5:$P$54,$B$23)="",Settings!$F$7&lt;&gt;"Y"),NA(),INDEX(Capability!$P$5:$P$54,$B$23)))</f>
        <v/>
      </c>
    </row>
    <row r="146">
      <c r="A146" s="35" t="inlineStr">
        <is>
          <t>Mean</t>
        </is>
      </c>
      <c r="B146" s="23">
        <f>INDEX(Capability!$C$5:$C$54,$B$23)</f>
        <v/>
      </c>
      <c r="CB146">
        <f>IF((CE$1+142)&gt;CC$1,NA(),(CE$1+142)-4)</f>
        <v/>
      </c>
      <c r="CC146">
        <f>IF((CE$1+142)&gt;CC$1,NA(),INDEX('Data Entry'!$H$5:$BE$10004,(CE$1+142)-4,$B$20))</f>
        <v/>
      </c>
      <c r="CD146">
        <f>IF(ISNA(CB146),NA(),INDEX(Capability!$K$5:$K$54,$B$20))</f>
        <v/>
      </c>
      <c r="CE146">
        <f>IF(ISNA(CB146),NA(),INDEX(Capability!$J$5:$J$54,$B$20))</f>
        <v/>
      </c>
      <c r="CF146">
        <f>IF(ISNA(CB146),NA(),INDEX(Capability!$L$5:$L$54,$B$20))</f>
        <v/>
      </c>
      <c r="CG146">
        <f>IF(OR(ISNA(CC146),ISNA(CC145)),NA(),ABS(CC146-CC145))</f>
        <v/>
      </c>
      <c r="CH146">
        <f>IF(ISNA(CB146),NA(),INDEX(Capability!$N$5:$N$54,$B$20))</f>
        <v/>
      </c>
      <c r="CI146">
        <f>IF(ISNA(CB146),NA(),IF(OR(INDEX(Capability!$Q$5:$Q$54,$B$20)="",Settings!$F$7&lt;&gt;"Y"),NA(),INDEX(Capability!$Q$5:$Q$54,$B$20)))</f>
        <v/>
      </c>
      <c r="CJ146">
        <f>IF(ISNA(CB146),NA(),IF(OR(INDEX(Capability!$P$5:$P$54,$B$20)="",Settings!$F$7&lt;&gt;"Y"),NA(),INDEX(Capability!$P$5:$P$54,$B$20)))</f>
        <v/>
      </c>
      <c r="CP146">
        <f>IF((CS$1+142)&gt;CQ$1,NA(),(CS$1+142)-4)</f>
        <v/>
      </c>
      <c r="CQ146">
        <f>IF((CS$1+142)&gt;CQ$1,NA(),INDEX('Data Entry'!$H$5:$BE$10004,(CS$1+142)-4,$B$21))</f>
        <v/>
      </c>
      <c r="CR146">
        <f>IF(ISNA(CP146),NA(),INDEX(Capability!$K$5:$K$54,$B$21))</f>
        <v/>
      </c>
      <c r="CS146">
        <f>IF(ISNA(CP146),NA(),INDEX(Capability!$J$5:$J$54,$B$21))</f>
        <v/>
      </c>
      <c r="CT146">
        <f>IF(ISNA(CP146),NA(),INDEX(Capability!$L$5:$L$54,$B$21))</f>
        <v/>
      </c>
      <c r="CU146">
        <f>IF(OR(ISNA(CQ146),ISNA(CQ145)),NA(),ABS(CQ146-CQ145))</f>
        <v/>
      </c>
      <c r="CV146">
        <f>IF(ISNA(CP146),NA(),INDEX(Capability!$N$5:$N$54,$B$21))</f>
        <v/>
      </c>
      <c r="CW146">
        <f>IF(ISNA(CP146),NA(),IF(OR(INDEX(Capability!$Q$5:$Q$54,$B$21)="",Settings!$F$7&lt;&gt;"Y"),NA(),INDEX(Capability!$Q$5:$Q$54,$B$21)))</f>
        <v/>
      </c>
      <c r="CX146">
        <f>IF(ISNA(CP146),NA(),IF(OR(INDEX(Capability!$P$5:$P$54,$B$21)="",Settings!$F$7&lt;&gt;"Y"),NA(),INDEX(Capability!$P$5:$P$54,$B$21)))</f>
        <v/>
      </c>
      <c r="DD146">
        <f>IF((DG$1+142)&gt;DE$1,NA(),(DG$1+142)-4)</f>
        <v/>
      </c>
      <c r="DE146">
        <f>IF((DG$1+142)&gt;DE$1,NA(),INDEX('Data Entry'!$H$5:$BE$10004,(DG$1+142)-4,$B$22))</f>
        <v/>
      </c>
      <c r="DF146">
        <f>IF(ISNA(DD146),NA(),INDEX(Capability!$K$5:$K$54,$B$22))</f>
        <v/>
      </c>
      <c r="DG146">
        <f>IF(ISNA(DD146),NA(),INDEX(Capability!$J$5:$J$54,$B$22))</f>
        <v/>
      </c>
      <c r="DH146">
        <f>IF(ISNA(DD146),NA(),INDEX(Capability!$L$5:$L$54,$B$22))</f>
        <v/>
      </c>
      <c r="DI146">
        <f>IF(OR(ISNA(DE146),ISNA(DE145)),NA(),ABS(DE146-DE145))</f>
        <v/>
      </c>
      <c r="DJ146">
        <f>IF(ISNA(DD146),NA(),INDEX(Capability!$N$5:$N$54,$B$22))</f>
        <v/>
      </c>
      <c r="DK146">
        <f>IF(ISNA(DD146),NA(),IF(OR(INDEX(Capability!$Q$5:$Q$54,$B$22)="",Settings!$F$7&lt;&gt;"Y"),NA(),INDEX(Capability!$Q$5:$Q$54,$B$22)))</f>
        <v/>
      </c>
      <c r="DL146">
        <f>IF(ISNA(DD146),NA(),IF(OR(INDEX(Capability!$P$5:$P$54,$B$22)="",Settings!$F$7&lt;&gt;"Y"),NA(),INDEX(Capability!$P$5:$P$54,$B$22)))</f>
        <v/>
      </c>
      <c r="DR146">
        <f>IF((DU$1+142)&gt;DS$1,NA(),(DU$1+142)-4)</f>
        <v/>
      </c>
      <c r="DS146">
        <f>IF((DU$1+142)&gt;DS$1,NA(),INDEX('Data Entry'!$H$5:$BE$10004,(DU$1+142)-4,$B$23))</f>
        <v/>
      </c>
      <c r="DT146">
        <f>IF(ISNA(DR146),NA(),INDEX(Capability!$K$5:$K$54,$B$23))</f>
        <v/>
      </c>
      <c r="DU146">
        <f>IF(ISNA(DR146),NA(),INDEX(Capability!$J$5:$J$54,$B$23))</f>
        <v/>
      </c>
      <c r="DV146">
        <f>IF(ISNA(DR146),NA(),INDEX(Capability!$L$5:$L$54,$B$23))</f>
        <v/>
      </c>
      <c r="DW146">
        <f>IF(OR(ISNA(DS146),ISNA(DS145)),NA(),ABS(DS146-DS145))</f>
        <v/>
      </c>
      <c r="DX146">
        <f>IF(ISNA(DR146),NA(),INDEX(Capability!$N$5:$N$54,$B$23))</f>
        <v/>
      </c>
      <c r="DY146">
        <f>IF(ISNA(DR146),NA(),IF(OR(INDEX(Capability!$Q$5:$Q$54,$B$23)="",Settings!$F$7&lt;&gt;"Y"),NA(),INDEX(Capability!$Q$5:$Q$54,$B$23)))</f>
        <v/>
      </c>
      <c r="DZ146">
        <f>IF(ISNA(DR146),NA(),IF(OR(INDEX(Capability!$P$5:$P$54,$B$23)="",Settings!$F$7&lt;&gt;"Y"),NA(),INDEX(Capability!$P$5:$P$54,$B$23)))</f>
        <v/>
      </c>
    </row>
    <row r="147">
      <c r="A147" s="35" t="inlineStr">
        <is>
          <t>Median</t>
        </is>
      </c>
      <c r="B147" s="23">
        <f>INDEX(Capability!$D$5:$D$54,$B$23)</f>
        <v/>
      </c>
      <c r="CB147">
        <f>IF((CE$1+143)&gt;CC$1,NA(),(CE$1+143)-4)</f>
        <v/>
      </c>
      <c r="CC147">
        <f>IF((CE$1+143)&gt;CC$1,NA(),INDEX('Data Entry'!$H$5:$BE$10004,(CE$1+143)-4,$B$20))</f>
        <v/>
      </c>
      <c r="CD147">
        <f>IF(ISNA(CB147),NA(),INDEX(Capability!$K$5:$K$54,$B$20))</f>
        <v/>
      </c>
      <c r="CE147">
        <f>IF(ISNA(CB147),NA(),INDEX(Capability!$J$5:$J$54,$B$20))</f>
        <v/>
      </c>
      <c r="CF147">
        <f>IF(ISNA(CB147),NA(),INDEX(Capability!$L$5:$L$54,$B$20))</f>
        <v/>
      </c>
      <c r="CG147">
        <f>IF(OR(ISNA(CC147),ISNA(CC146)),NA(),ABS(CC147-CC146))</f>
        <v/>
      </c>
      <c r="CH147">
        <f>IF(ISNA(CB147),NA(),INDEX(Capability!$N$5:$N$54,$B$20))</f>
        <v/>
      </c>
      <c r="CI147">
        <f>IF(ISNA(CB147),NA(),IF(OR(INDEX(Capability!$Q$5:$Q$54,$B$20)="",Settings!$F$7&lt;&gt;"Y"),NA(),INDEX(Capability!$Q$5:$Q$54,$B$20)))</f>
        <v/>
      </c>
      <c r="CJ147">
        <f>IF(ISNA(CB147),NA(),IF(OR(INDEX(Capability!$P$5:$P$54,$B$20)="",Settings!$F$7&lt;&gt;"Y"),NA(),INDEX(Capability!$P$5:$P$54,$B$20)))</f>
        <v/>
      </c>
      <c r="CP147">
        <f>IF((CS$1+143)&gt;CQ$1,NA(),(CS$1+143)-4)</f>
        <v/>
      </c>
      <c r="CQ147">
        <f>IF((CS$1+143)&gt;CQ$1,NA(),INDEX('Data Entry'!$H$5:$BE$10004,(CS$1+143)-4,$B$21))</f>
        <v/>
      </c>
      <c r="CR147">
        <f>IF(ISNA(CP147),NA(),INDEX(Capability!$K$5:$K$54,$B$21))</f>
        <v/>
      </c>
      <c r="CS147">
        <f>IF(ISNA(CP147),NA(),INDEX(Capability!$J$5:$J$54,$B$21))</f>
        <v/>
      </c>
      <c r="CT147">
        <f>IF(ISNA(CP147),NA(),INDEX(Capability!$L$5:$L$54,$B$21))</f>
        <v/>
      </c>
      <c r="CU147">
        <f>IF(OR(ISNA(CQ147),ISNA(CQ146)),NA(),ABS(CQ147-CQ146))</f>
        <v/>
      </c>
      <c r="CV147">
        <f>IF(ISNA(CP147),NA(),INDEX(Capability!$N$5:$N$54,$B$21))</f>
        <v/>
      </c>
      <c r="CW147">
        <f>IF(ISNA(CP147),NA(),IF(OR(INDEX(Capability!$Q$5:$Q$54,$B$21)="",Settings!$F$7&lt;&gt;"Y"),NA(),INDEX(Capability!$Q$5:$Q$54,$B$21)))</f>
        <v/>
      </c>
      <c r="CX147">
        <f>IF(ISNA(CP147),NA(),IF(OR(INDEX(Capability!$P$5:$P$54,$B$21)="",Settings!$F$7&lt;&gt;"Y"),NA(),INDEX(Capability!$P$5:$P$54,$B$21)))</f>
        <v/>
      </c>
      <c r="DD147">
        <f>IF((DG$1+143)&gt;DE$1,NA(),(DG$1+143)-4)</f>
        <v/>
      </c>
      <c r="DE147">
        <f>IF((DG$1+143)&gt;DE$1,NA(),INDEX('Data Entry'!$H$5:$BE$10004,(DG$1+143)-4,$B$22))</f>
        <v/>
      </c>
      <c r="DF147">
        <f>IF(ISNA(DD147),NA(),INDEX(Capability!$K$5:$K$54,$B$22))</f>
        <v/>
      </c>
      <c r="DG147">
        <f>IF(ISNA(DD147),NA(),INDEX(Capability!$J$5:$J$54,$B$22))</f>
        <v/>
      </c>
      <c r="DH147">
        <f>IF(ISNA(DD147),NA(),INDEX(Capability!$L$5:$L$54,$B$22))</f>
        <v/>
      </c>
      <c r="DI147">
        <f>IF(OR(ISNA(DE147),ISNA(DE146)),NA(),ABS(DE147-DE146))</f>
        <v/>
      </c>
      <c r="DJ147">
        <f>IF(ISNA(DD147),NA(),INDEX(Capability!$N$5:$N$54,$B$22))</f>
        <v/>
      </c>
      <c r="DK147">
        <f>IF(ISNA(DD147),NA(),IF(OR(INDEX(Capability!$Q$5:$Q$54,$B$22)="",Settings!$F$7&lt;&gt;"Y"),NA(),INDEX(Capability!$Q$5:$Q$54,$B$22)))</f>
        <v/>
      </c>
      <c r="DL147">
        <f>IF(ISNA(DD147),NA(),IF(OR(INDEX(Capability!$P$5:$P$54,$B$22)="",Settings!$F$7&lt;&gt;"Y"),NA(),INDEX(Capability!$P$5:$P$54,$B$22)))</f>
        <v/>
      </c>
      <c r="DR147">
        <f>IF((DU$1+143)&gt;DS$1,NA(),(DU$1+143)-4)</f>
        <v/>
      </c>
      <c r="DS147">
        <f>IF((DU$1+143)&gt;DS$1,NA(),INDEX('Data Entry'!$H$5:$BE$10004,(DU$1+143)-4,$B$23))</f>
        <v/>
      </c>
      <c r="DT147">
        <f>IF(ISNA(DR147),NA(),INDEX(Capability!$K$5:$K$54,$B$23))</f>
        <v/>
      </c>
      <c r="DU147">
        <f>IF(ISNA(DR147),NA(),INDEX(Capability!$J$5:$J$54,$B$23))</f>
        <v/>
      </c>
      <c r="DV147">
        <f>IF(ISNA(DR147),NA(),INDEX(Capability!$L$5:$L$54,$B$23))</f>
        <v/>
      </c>
      <c r="DW147">
        <f>IF(OR(ISNA(DS147),ISNA(DS146)),NA(),ABS(DS147-DS146))</f>
        <v/>
      </c>
      <c r="DX147">
        <f>IF(ISNA(DR147),NA(),INDEX(Capability!$N$5:$N$54,$B$23))</f>
        <v/>
      </c>
      <c r="DY147">
        <f>IF(ISNA(DR147),NA(),IF(OR(INDEX(Capability!$Q$5:$Q$54,$B$23)="",Settings!$F$7&lt;&gt;"Y"),NA(),INDEX(Capability!$Q$5:$Q$54,$B$23)))</f>
        <v/>
      </c>
      <c r="DZ147">
        <f>IF(ISNA(DR147),NA(),IF(OR(INDEX(Capability!$P$5:$P$54,$B$23)="",Settings!$F$7&lt;&gt;"Y"),NA(),INDEX(Capability!$P$5:$P$54,$B$23)))</f>
        <v/>
      </c>
    </row>
    <row r="148">
      <c r="A148" s="35" t="inlineStr">
        <is>
          <t>Std Dev (overall)</t>
        </is>
      </c>
      <c r="B148" s="23">
        <f>INDEX(Capability!$I$5:$I$54,$B$23)</f>
        <v/>
      </c>
      <c r="CB148">
        <f>IF((CE$1+144)&gt;CC$1,NA(),(CE$1+144)-4)</f>
        <v/>
      </c>
      <c r="CC148">
        <f>IF((CE$1+144)&gt;CC$1,NA(),INDEX('Data Entry'!$H$5:$BE$10004,(CE$1+144)-4,$B$20))</f>
        <v/>
      </c>
      <c r="CD148">
        <f>IF(ISNA(CB148),NA(),INDEX(Capability!$K$5:$K$54,$B$20))</f>
        <v/>
      </c>
      <c r="CE148">
        <f>IF(ISNA(CB148),NA(),INDEX(Capability!$J$5:$J$54,$B$20))</f>
        <v/>
      </c>
      <c r="CF148">
        <f>IF(ISNA(CB148),NA(),INDEX(Capability!$L$5:$L$54,$B$20))</f>
        <v/>
      </c>
      <c r="CG148">
        <f>IF(OR(ISNA(CC148),ISNA(CC147)),NA(),ABS(CC148-CC147))</f>
        <v/>
      </c>
      <c r="CH148">
        <f>IF(ISNA(CB148),NA(),INDEX(Capability!$N$5:$N$54,$B$20))</f>
        <v/>
      </c>
      <c r="CI148">
        <f>IF(ISNA(CB148),NA(),IF(OR(INDEX(Capability!$Q$5:$Q$54,$B$20)="",Settings!$F$7&lt;&gt;"Y"),NA(),INDEX(Capability!$Q$5:$Q$54,$B$20)))</f>
        <v/>
      </c>
      <c r="CJ148">
        <f>IF(ISNA(CB148),NA(),IF(OR(INDEX(Capability!$P$5:$P$54,$B$20)="",Settings!$F$7&lt;&gt;"Y"),NA(),INDEX(Capability!$P$5:$P$54,$B$20)))</f>
        <v/>
      </c>
      <c r="CP148">
        <f>IF((CS$1+144)&gt;CQ$1,NA(),(CS$1+144)-4)</f>
        <v/>
      </c>
      <c r="CQ148">
        <f>IF((CS$1+144)&gt;CQ$1,NA(),INDEX('Data Entry'!$H$5:$BE$10004,(CS$1+144)-4,$B$21))</f>
        <v/>
      </c>
      <c r="CR148">
        <f>IF(ISNA(CP148),NA(),INDEX(Capability!$K$5:$K$54,$B$21))</f>
        <v/>
      </c>
      <c r="CS148">
        <f>IF(ISNA(CP148),NA(),INDEX(Capability!$J$5:$J$54,$B$21))</f>
        <v/>
      </c>
      <c r="CT148">
        <f>IF(ISNA(CP148),NA(),INDEX(Capability!$L$5:$L$54,$B$21))</f>
        <v/>
      </c>
      <c r="CU148">
        <f>IF(OR(ISNA(CQ148),ISNA(CQ147)),NA(),ABS(CQ148-CQ147))</f>
        <v/>
      </c>
      <c r="CV148">
        <f>IF(ISNA(CP148),NA(),INDEX(Capability!$N$5:$N$54,$B$21))</f>
        <v/>
      </c>
      <c r="CW148">
        <f>IF(ISNA(CP148),NA(),IF(OR(INDEX(Capability!$Q$5:$Q$54,$B$21)="",Settings!$F$7&lt;&gt;"Y"),NA(),INDEX(Capability!$Q$5:$Q$54,$B$21)))</f>
        <v/>
      </c>
      <c r="CX148">
        <f>IF(ISNA(CP148),NA(),IF(OR(INDEX(Capability!$P$5:$P$54,$B$21)="",Settings!$F$7&lt;&gt;"Y"),NA(),INDEX(Capability!$P$5:$P$54,$B$21)))</f>
        <v/>
      </c>
      <c r="DD148">
        <f>IF((DG$1+144)&gt;DE$1,NA(),(DG$1+144)-4)</f>
        <v/>
      </c>
      <c r="DE148">
        <f>IF((DG$1+144)&gt;DE$1,NA(),INDEX('Data Entry'!$H$5:$BE$10004,(DG$1+144)-4,$B$22))</f>
        <v/>
      </c>
      <c r="DF148">
        <f>IF(ISNA(DD148),NA(),INDEX(Capability!$K$5:$K$54,$B$22))</f>
        <v/>
      </c>
      <c r="DG148">
        <f>IF(ISNA(DD148),NA(),INDEX(Capability!$J$5:$J$54,$B$22))</f>
        <v/>
      </c>
      <c r="DH148">
        <f>IF(ISNA(DD148),NA(),INDEX(Capability!$L$5:$L$54,$B$22))</f>
        <v/>
      </c>
      <c r="DI148">
        <f>IF(OR(ISNA(DE148),ISNA(DE147)),NA(),ABS(DE148-DE147))</f>
        <v/>
      </c>
      <c r="DJ148">
        <f>IF(ISNA(DD148),NA(),INDEX(Capability!$N$5:$N$54,$B$22))</f>
        <v/>
      </c>
      <c r="DK148">
        <f>IF(ISNA(DD148),NA(),IF(OR(INDEX(Capability!$Q$5:$Q$54,$B$22)="",Settings!$F$7&lt;&gt;"Y"),NA(),INDEX(Capability!$Q$5:$Q$54,$B$22)))</f>
        <v/>
      </c>
      <c r="DL148">
        <f>IF(ISNA(DD148),NA(),IF(OR(INDEX(Capability!$P$5:$P$54,$B$22)="",Settings!$F$7&lt;&gt;"Y"),NA(),INDEX(Capability!$P$5:$P$54,$B$22)))</f>
        <v/>
      </c>
      <c r="DR148">
        <f>IF((DU$1+144)&gt;DS$1,NA(),(DU$1+144)-4)</f>
        <v/>
      </c>
      <c r="DS148">
        <f>IF((DU$1+144)&gt;DS$1,NA(),INDEX('Data Entry'!$H$5:$BE$10004,(DU$1+144)-4,$B$23))</f>
        <v/>
      </c>
      <c r="DT148">
        <f>IF(ISNA(DR148),NA(),INDEX(Capability!$K$5:$K$54,$B$23))</f>
        <v/>
      </c>
      <c r="DU148">
        <f>IF(ISNA(DR148),NA(),INDEX(Capability!$J$5:$J$54,$B$23))</f>
        <v/>
      </c>
      <c r="DV148">
        <f>IF(ISNA(DR148),NA(),INDEX(Capability!$L$5:$L$54,$B$23))</f>
        <v/>
      </c>
      <c r="DW148">
        <f>IF(OR(ISNA(DS148),ISNA(DS147)),NA(),ABS(DS148-DS147))</f>
        <v/>
      </c>
      <c r="DX148">
        <f>IF(ISNA(DR148),NA(),INDEX(Capability!$N$5:$N$54,$B$23))</f>
        <v/>
      </c>
      <c r="DY148">
        <f>IF(ISNA(DR148),NA(),IF(OR(INDEX(Capability!$Q$5:$Q$54,$B$23)="",Settings!$F$7&lt;&gt;"Y"),NA(),INDEX(Capability!$Q$5:$Q$54,$B$23)))</f>
        <v/>
      </c>
      <c r="DZ148">
        <f>IF(ISNA(DR148),NA(),IF(OR(INDEX(Capability!$P$5:$P$54,$B$23)="",Settings!$F$7&lt;&gt;"Y"),NA(),INDEX(Capability!$P$5:$P$54,$B$23)))</f>
        <v/>
      </c>
    </row>
    <row r="149">
      <c r="A149" s="35" t="inlineStr">
        <is>
          <t>Sigma (within)</t>
        </is>
      </c>
      <c r="B149" s="23">
        <f>INDEX(Capability!$H$5:$H$54,$B$23)</f>
        <v/>
      </c>
      <c r="CB149">
        <f>IF((CE$1+145)&gt;CC$1,NA(),(CE$1+145)-4)</f>
        <v/>
      </c>
      <c r="CC149">
        <f>IF((CE$1+145)&gt;CC$1,NA(),INDEX('Data Entry'!$H$5:$BE$10004,(CE$1+145)-4,$B$20))</f>
        <v/>
      </c>
      <c r="CD149">
        <f>IF(ISNA(CB149),NA(),INDEX(Capability!$K$5:$K$54,$B$20))</f>
        <v/>
      </c>
      <c r="CE149">
        <f>IF(ISNA(CB149),NA(),INDEX(Capability!$J$5:$J$54,$B$20))</f>
        <v/>
      </c>
      <c r="CF149">
        <f>IF(ISNA(CB149),NA(),INDEX(Capability!$L$5:$L$54,$B$20))</f>
        <v/>
      </c>
      <c r="CG149">
        <f>IF(OR(ISNA(CC149),ISNA(CC148)),NA(),ABS(CC149-CC148))</f>
        <v/>
      </c>
      <c r="CH149">
        <f>IF(ISNA(CB149),NA(),INDEX(Capability!$N$5:$N$54,$B$20))</f>
        <v/>
      </c>
      <c r="CI149">
        <f>IF(ISNA(CB149),NA(),IF(OR(INDEX(Capability!$Q$5:$Q$54,$B$20)="",Settings!$F$7&lt;&gt;"Y"),NA(),INDEX(Capability!$Q$5:$Q$54,$B$20)))</f>
        <v/>
      </c>
      <c r="CJ149">
        <f>IF(ISNA(CB149),NA(),IF(OR(INDEX(Capability!$P$5:$P$54,$B$20)="",Settings!$F$7&lt;&gt;"Y"),NA(),INDEX(Capability!$P$5:$P$54,$B$20)))</f>
        <v/>
      </c>
      <c r="CP149">
        <f>IF((CS$1+145)&gt;CQ$1,NA(),(CS$1+145)-4)</f>
        <v/>
      </c>
      <c r="CQ149">
        <f>IF((CS$1+145)&gt;CQ$1,NA(),INDEX('Data Entry'!$H$5:$BE$10004,(CS$1+145)-4,$B$21))</f>
        <v/>
      </c>
      <c r="CR149">
        <f>IF(ISNA(CP149),NA(),INDEX(Capability!$K$5:$K$54,$B$21))</f>
        <v/>
      </c>
      <c r="CS149">
        <f>IF(ISNA(CP149),NA(),INDEX(Capability!$J$5:$J$54,$B$21))</f>
        <v/>
      </c>
      <c r="CT149">
        <f>IF(ISNA(CP149),NA(),INDEX(Capability!$L$5:$L$54,$B$21))</f>
        <v/>
      </c>
      <c r="CU149">
        <f>IF(OR(ISNA(CQ149),ISNA(CQ148)),NA(),ABS(CQ149-CQ148))</f>
        <v/>
      </c>
      <c r="CV149">
        <f>IF(ISNA(CP149),NA(),INDEX(Capability!$N$5:$N$54,$B$21))</f>
        <v/>
      </c>
      <c r="CW149">
        <f>IF(ISNA(CP149),NA(),IF(OR(INDEX(Capability!$Q$5:$Q$54,$B$21)="",Settings!$F$7&lt;&gt;"Y"),NA(),INDEX(Capability!$Q$5:$Q$54,$B$21)))</f>
        <v/>
      </c>
      <c r="CX149">
        <f>IF(ISNA(CP149),NA(),IF(OR(INDEX(Capability!$P$5:$P$54,$B$21)="",Settings!$F$7&lt;&gt;"Y"),NA(),INDEX(Capability!$P$5:$P$54,$B$21)))</f>
        <v/>
      </c>
      <c r="DD149">
        <f>IF((DG$1+145)&gt;DE$1,NA(),(DG$1+145)-4)</f>
        <v/>
      </c>
      <c r="DE149">
        <f>IF((DG$1+145)&gt;DE$1,NA(),INDEX('Data Entry'!$H$5:$BE$10004,(DG$1+145)-4,$B$22))</f>
        <v/>
      </c>
      <c r="DF149">
        <f>IF(ISNA(DD149),NA(),INDEX(Capability!$K$5:$K$54,$B$22))</f>
        <v/>
      </c>
      <c r="DG149">
        <f>IF(ISNA(DD149),NA(),INDEX(Capability!$J$5:$J$54,$B$22))</f>
        <v/>
      </c>
      <c r="DH149">
        <f>IF(ISNA(DD149),NA(),INDEX(Capability!$L$5:$L$54,$B$22))</f>
        <v/>
      </c>
      <c r="DI149">
        <f>IF(OR(ISNA(DE149),ISNA(DE148)),NA(),ABS(DE149-DE148))</f>
        <v/>
      </c>
      <c r="DJ149">
        <f>IF(ISNA(DD149),NA(),INDEX(Capability!$N$5:$N$54,$B$22))</f>
        <v/>
      </c>
      <c r="DK149">
        <f>IF(ISNA(DD149),NA(),IF(OR(INDEX(Capability!$Q$5:$Q$54,$B$22)="",Settings!$F$7&lt;&gt;"Y"),NA(),INDEX(Capability!$Q$5:$Q$54,$B$22)))</f>
        <v/>
      </c>
      <c r="DL149">
        <f>IF(ISNA(DD149),NA(),IF(OR(INDEX(Capability!$P$5:$P$54,$B$22)="",Settings!$F$7&lt;&gt;"Y"),NA(),INDEX(Capability!$P$5:$P$54,$B$22)))</f>
        <v/>
      </c>
      <c r="DR149">
        <f>IF((DU$1+145)&gt;DS$1,NA(),(DU$1+145)-4)</f>
        <v/>
      </c>
      <c r="DS149">
        <f>IF((DU$1+145)&gt;DS$1,NA(),INDEX('Data Entry'!$H$5:$BE$10004,(DU$1+145)-4,$B$23))</f>
        <v/>
      </c>
      <c r="DT149">
        <f>IF(ISNA(DR149),NA(),INDEX(Capability!$K$5:$K$54,$B$23))</f>
        <v/>
      </c>
      <c r="DU149">
        <f>IF(ISNA(DR149),NA(),INDEX(Capability!$J$5:$J$54,$B$23))</f>
        <v/>
      </c>
      <c r="DV149">
        <f>IF(ISNA(DR149),NA(),INDEX(Capability!$L$5:$L$54,$B$23))</f>
        <v/>
      </c>
      <c r="DW149">
        <f>IF(OR(ISNA(DS149),ISNA(DS148)),NA(),ABS(DS149-DS148))</f>
        <v/>
      </c>
      <c r="DX149">
        <f>IF(ISNA(DR149),NA(),INDEX(Capability!$N$5:$N$54,$B$23))</f>
        <v/>
      </c>
      <c r="DY149">
        <f>IF(ISNA(DR149),NA(),IF(OR(INDEX(Capability!$Q$5:$Q$54,$B$23)="",Settings!$F$7&lt;&gt;"Y"),NA(),INDEX(Capability!$Q$5:$Q$54,$B$23)))</f>
        <v/>
      </c>
      <c r="DZ149">
        <f>IF(ISNA(DR149),NA(),IF(OR(INDEX(Capability!$P$5:$P$54,$B$23)="",Settings!$F$7&lt;&gt;"Y"),NA(),INDEX(Capability!$P$5:$P$54,$B$23)))</f>
        <v/>
      </c>
    </row>
    <row r="150">
      <c r="A150" s="37" t="inlineStr">
        <is>
          <t>CONTROL</t>
        </is>
      </c>
      <c r="B150" s="28" t="n"/>
      <c r="CB150">
        <f>IF((CE$1+146)&gt;CC$1,NA(),(CE$1+146)-4)</f>
        <v/>
      </c>
      <c r="CC150">
        <f>IF((CE$1+146)&gt;CC$1,NA(),INDEX('Data Entry'!$H$5:$BE$10004,(CE$1+146)-4,$B$20))</f>
        <v/>
      </c>
      <c r="CD150">
        <f>IF(ISNA(CB150),NA(),INDEX(Capability!$K$5:$K$54,$B$20))</f>
        <v/>
      </c>
      <c r="CE150">
        <f>IF(ISNA(CB150),NA(),INDEX(Capability!$J$5:$J$54,$B$20))</f>
        <v/>
      </c>
      <c r="CF150">
        <f>IF(ISNA(CB150),NA(),INDEX(Capability!$L$5:$L$54,$B$20))</f>
        <v/>
      </c>
      <c r="CG150">
        <f>IF(OR(ISNA(CC150),ISNA(CC149)),NA(),ABS(CC150-CC149))</f>
        <v/>
      </c>
      <c r="CH150">
        <f>IF(ISNA(CB150),NA(),INDEX(Capability!$N$5:$N$54,$B$20))</f>
        <v/>
      </c>
      <c r="CI150">
        <f>IF(ISNA(CB150),NA(),IF(OR(INDEX(Capability!$Q$5:$Q$54,$B$20)="",Settings!$F$7&lt;&gt;"Y"),NA(),INDEX(Capability!$Q$5:$Q$54,$B$20)))</f>
        <v/>
      </c>
      <c r="CJ150">
        <f>IF(ISNA(CB150),NA(),IF(OR(INDEX(Capability!$P$5:$P$54,$B$20)="",Settings!$F$7&lt;&gt;"Y"),NA(),INDEX(Capability!$P$5:$P$54,$B$20)))</f>
        <v/>
      </c>
      <c r="CP150">
        <f>IF((CS$1+146)&gt;CQ$1,NA(),(CS$1+146)-4)</f>
        <v/>
      </c>
      <c r="CQ150">
        <f>IF((CS$1+146)&gt;CQ$1,NA(),INDEX('Data Entry'!$H$5:$BE$10004,(CS$1+146)-4,$B$21))</f>
        <v/>
      </c>
      <c r="CR150">
        <f>IF(ISNA(CP150),NA(),INDEX(Capability!$K$5:$K$54,$B$21))</f>
        <v/>
      </c>
      <c r="CS150">
        <f>IF(ISNA(CP150),NA(),INDEX(Capability!$J$5:$J$54,$B$21))</f>
        <v/>
      </c>
      <c r="CT150">
        <f>IF(ISNA(CP150),NA(),INDEX(Capability!$L$5:$L$54,$B$21))</f>
        <v/>
      </c>
      <c r="CU150">
        <f>IF(OR(ISNA(CQ150),ISNA(CQ149)),NA(),ABS(CQ150-CQ149))</f>
        <v/>
      </c>
      <c r="CV150">
        <f>IF(ISNA(CP150),NA(),INDEX(Capability!$N$5:$N$54,$B$21))</f>
        <v/>
      </c>
      <c r="CW150">
        <f>IF(ISNA(CP150),NA(),IF(OR(INDEX(Capability!$Q$5:$Q$54,$B$21)="",Settings!$F$7&lt;&gt;"Y"),NA(),INDEX(Capability!$Q$5:$Q$54,$B$21)))</f>
        <v/>
      </c>
      <c r="CX150">
        <f>IF(ISNA(CP150),NA(),IF(OR(INDEX(Capability!$P$5:$P$54,$B$21)="",Settings!$F$7&lt;&gt;"Y"),NA(),INDEX(Capability!$P$5:$P$54,$B$21)))</f>
        <v/>
      </c>
      <c r="DD150">
        <f>IF((DG$1+146)&gt;DE$1,NA(),(DG$1+146)-4)</f>
        <v/>
      </c>
      <c r="DE150">
        <f>IF((DG$1+146)&gt;DE$1,NA(),INDEX('Data Entry'!$H$5:$BE$10004,(DG$1+146)-4,$B$22))</f>
        <v/>
      </c>
      <c r="DF150">
        <f>IF(ISNA(DD150),NA(),INDEX(Capability!$K$5:$K$54,$B$22))</f>
        <v/>
      </c>
      <c r="DG150">
        <f>IF(ISNA(DD150),NA(),INDEX(Capability!$J$5:$J$54,$B$22))</f>
        <v/>
      </c>
      <c r="DH150">
        <f>IF(ISNA(DD150),NA(),INDEX(Capability!$L$5:$L$54,$B$22))</f>
        <v/>
      </c>
      <c r="DI150">
        <f>IF(OR(ISNA(DE150),ISNA(DE149)),NA(),ABS(DE150-DE149))</f>
        <v/>
      </c>
      <c r="DJ150">
        <f>IF(ISNA(DD150),NA(),INDEX(Capability!$N$5:$N$54,$B$22))</f>
        <v/>
      </c>
      <c r="DK150">
        <f>IF(ISNA(DD150),NA(),IF(OR(INDEX(Capability!$Q$5:$Q$54,$B$22)="",Settings!$F$7&lt;&gt;"Y"),NA(),INDEX(Capability!$Q$5:$Q$54,$B$22)))</f>
        <v/>
      </c>
      <c r="DL150">
        <f>IF(ISNA(DD150),NA(),IF(OR(INDEX(Capability!$P$5:$P$54,$B$22)="",Settings!$F$7&lt;&gt;"Y"),NA(),INDEX(Capability!$P$5:$P$54,$B$22)))</f>
        <v/>
      </c>
      <c r="DR150">
        <f>IF((DU$1+146)&gt;DS$1,NA(),(DU$1+146)-4)</f>
        <v/>
      </c>
      <c r="DS150">
        <f>IF((DU$1+146)&gt;DS$1,NA(),INDEX('Data Entry'!$H$5:$BE$10004,(DU$1+146)-4,$B$23))</f>
        <v/>
      </c>
      <c r="DT150">
        <f>IF(ISNA(DR150),NA(),INDEX(Capability!$K$5:$K$54,$B$23))</f>
        <v/>
      </c>
      <c r="DU150">
        <f>IF(ISNA(DR150),NA(),INDEX(Capability!$J$5:$J$54,$B$23))</f>
        <v/>
      </c>
      <c r="DV150">
        <f>IF(ISNA(DR150),NA(),INDEX(Capability!$L$5:$L$54,$B$23))</f>
        <v/>
      </c>
      <c r="DW150">
        <f>IF(OR(ISNA(DS150),ISNA(DS149)),NA(),ABS(DS150-DS149))</f>
        <v/>
      </c>
      <c r="DX150">
        <f>IF(ISNA(DR150),NA(),INDEX(Capability!$N$5:$N$54,$B$23))</f>
        <v/>
      </c>
      <c r="DY150">
        <f>IF(ISNA(DR150),NA(),IF(OR(INDEX(Capability!$Q$5:$Q$54,$B$23)="",Settings!$F$7&lt;&gt;"Y"),NA(),INDEX(Capability!$Q$5:$Q$54,$B$23)))</f>
        <v/>
      </c>
      <c r="DZ150">
        <f>IF(ISNA(DR150),NA(),IF(OR(INDEX(Capability!$P$5:$P$54,$B$23)="",Settings!$F$7&lt;&gt;"Y"),NA(),INDEX(Capability!$P$5:$P$54,$B$23)))</f>
        <v/>
      </c>
    </row>
    <row r="151">
      <c r="A151" s="35" t="inlineStr">
        <is>
          <t>UCL</t>
        </is>
      </c>
      <c r="B151" s="23">
        <f>INDEX(Capability!$J$5:$J$54,$B$23)</f>
        <v/>
      </c>
      <c r="CB151">
        <f>IF((CE$1+147)&gt;CC$1,NA(),(CE$1+147)-4)</f>
        <v/>
      </c>
      <c r="CC151">
        <f>IF((CE$1+147)&gt;CC$1,NA(),INDEX('Data Entry'!$H$5:$BE$10004,(CE$1+147)-4,$B$20))</f>
        <v/>
      </c>
      <c r="CD151">
        <f>IF(ISNA(CB151),NA(),INDEX(Capability!$K$5:$K$54,$B$20))</f>
        <v/>
      </c>
      <c r="CE151">
        <f>IF(ISNA(CB151),NA(),INDEX(Capability!$J$5:$J$54,$B$20))</f>
        <v/>
      </c>
      <c r="CF151">
        <f>IF(ISNA(CB151),NA(),INDEX(Capability!$L$5:$L$54,$B$20))</f>
        <v/>
      </c>
      <c r="CG151">
        <f>IF(OR(ISNA(CC151),ISNA(CC150)),NA(),ABS(CC151-CC150))</f>
        <v/>
      </c>
      <c r="CH151">
        <f>IF(ISNA(CB151),NA(),INDEX(Capability!$N$5:$N$54,$B$20))</f>
        <v/>
      </c>
      <c r="CI151">
        <f>IF(ISNA(CB151),NA(),IF(OR(INDEX(Capability!$Q$5:$Q$54,$B$20)="",Settings!$F$7&lt;&gt;"Y"),NA(),INDEX(Capability!$Q$5:$Q$54,$B$20)))</f>
        <v/>
      </c>
      <c r="CJ151">
        <f>IF(ISNA(CB151),NA(),IF(OR(INDEX(Capability!$P$5:$P$54,$B$20)="",Settings!$F$7&lt;&gt;"Y"),NA(),INDEX(Capability!$P$5:$P$54,$B$20)))</f>
        <v/>
      </c>
      <c r="CP151">
        <f>IF((CS$1+147)&gt;CQ$1,NA(),(CS$1+147)-4)</f>
        <v/>
      </c>
      <c r="CQ151">
        <f>IF((CS$1+147)&gt;CQ$1,NA(),INDEX('Data Entry'!$H$5:$BE$10004,(CS$1+147)-4,$B$21))</f>
        <v/>
      </c>
      <c r="CR151">
        <f>IF(ISNA(CP151),NA(),INDEX(Capability!$K$5:$K$54,$B$21))</f>
        <v/>
      </c>
      <c r="CS151">
        <f>IF(ISNA(CP151),NA(),INDEX(Capability!$J$5:$J$54,$B$21))</f>
        <v/>
      </c>
      <c r="CT151">
        <f>IF(ISNA(CP151),NA(),INDEX(Capability!$L$5:$L$54,$B$21))</f>
        <v/>
      </c>
      <c r="CU151">
        <f>IF(OR(ISNA(CQ151),ISNA(CQ150)),NA(),ABS(CQ151-CQ150))</f>
        <v/>
      </c>
      <c r="CV151">
        <f>IF(ISNA(CP151),NA(),INDEX(Capability!$N$5:$N$54,$B$21))</f>
        <v/>
      </c>
      <c r="CW151">
        <f>IF(ISNA(CP151),NA(),IF(OR(INDEX(Capability!$Q$5:$Q$54,$B$21)="",Settings!$F$7&lt;&gt;"Y"),NA(),INDEX(Capability!$Q$5:$Q$54,$B$21)))</f>
        <v/>
      </c>
      <c r="CX151">
        <f>IF(ISNA(CP151),NA(),IF(OR(INDEX(Capability!$P$5:$P$54,$B$21)="",Settings!$F$7&lt;&gt;"Y"),NA(),INDEX(Capability!$P$5:$P$54,$B$21)))</f>
        <v/>
      </c>
      <c r="DD151">
        <f>IF((DG$1+147)&gt;DE$1,NA(),(DG$1+147)-4)</f>
        <v/>
      </c>
      <c r="DE151">
        <f>IF((DG$1+147)&gt;DE$1,NA(),INDEX('Data Entry'!$H$5:$BE$10004,(DG$1+147)-4,$B$22))</f>
        <v/>
      </c>
      <c r="DF151">
        <f>IF(ISNA(DD151),NA(),INDEX(Capability!$K$5:$K$54,$B$22))</f>
        <v/>
      </c>
      <c r="DG151">
        <f>IF(ISNA(DD151),NA(),INDEX(Capability!$J$5:$J$54,$B$22))</f>
        <v/>
      </c>
      <c r="DH151">
        <f>IF(ISNA(DD151),NA(),INDEX(Capability!$L$5:$L$54,$B$22))</f>
        <v/>
      </c>
      <c r="DI151">
        <f>IF(OR(ISNA(DE151),ISNA(DE150)),NA(),ABS(DE151-DE150))</f>
        <v/>
      </c>
      <c r="DJ151">
        <f>IF(ISNA(DD151),NA(),INDEX(Capability!$N$5:$N$54,$B$22))</f>
        <v/>
      </c>
      <c r="DK151">
        <f>IF(ISNA(DD151),NA(),IF(OR(INDEX(Capability!$Q$5:$Q$54,$B$22)="",Settings!$F$7&lt;&gt;"Y"),NA(),INDEX(Capability!$Q$5:$Q$54,$B$22)))</f>
        <v/>
      </c>
      <c r="DL151">
        <f>IF(ISNA(DD151),NA(),IF(OR(INDEX(Capability!$P$5:$P$54,$B$22)="",Settings!$F$7&lt;&gt;"Y"),NA(),INDEX(Capability!$P$5:$P$54,$B$22)))</f>
        <v/>
      </c>
      <c r="DR151">
        <f>IF((DU$1+147)&gt;DS$1,NA(),(DU$1+147)-4)</f>
        <v/>
      </c>
      <c r="DS151">
        <f>IF((DU$1+147)&gt;DS$1,NA(),INDEX('Data Entry'!$H$5:$BE$10004,(DU$1+147)-4,$B$23))</f>
        <v/>
      </c>
      <c r="DT151">
        <f>IF(ISNA(DR151),NA(),INDEX(Capability!$K$5:$K$54,$B$23))</f>
        <v/>
      </c>
      <c r="DU151">
        <f>IF(ISNA(DR151),NA(),INDEX(Capability!$J$5:$J$54,$B$23))</f>
        <v/>
      </c>
      <c r="DV151">
        <f>IF(ISNA(DR151),NA(),INDEX(Capability!$L$5:$L$54,$B$23))</f>
        <v/>
      </c>
      <c r="DW151">
        <f>IF(OR(ISNA(DS151),ISNA(DS150)),NA(),ABS(DS151-DS150))</f>
        <v/>
      </c>
      <c r="DX151">
        <f>IF(ISNA(DR151),NA(),INDEX(Capability!$N$5:$N$54,$B$23))</f>
        <v/>
      </c>
      <c r="DY151">
        <f>IF(ISNA(DR151),NA(),IF(OR(INDEX(Capability!$Q$5:$Q$54,$B$23)="",Settings!$F$7&lt;&gt;"Y"),NA(),INDEX(Capability!$Q$5:$Q$54,$B$23)))</f>
        <v/>
      </c>
      <c r="DZ151">
        <f>IF(ISNA(DR151),NA(),IF(OR(INDEX(Capability!$P$5:$P$54,$B$23)="",Settings!$F$7&lt;&gt;"Y"),NA(),INDEX(Capability!$P$5:$P$54,$B$23)))</f>
        <v/>
      </c>
    </row>
    <row r="152">
      <c r="A152" s="35" t="inlineStr">
        <is>
          <t>CL</t>
        </is>
      </c>
      <c r="B152" s="23">
        <f>INDEX(Capability!$K$5:$K$54,$B$23)</f>
        <v/>
      </c>
      <c r="CB152">
        <f>IF((CE$1+148)&gt;CC$1,NA(),(CE$1+148)-4)</f>
        <v/>
      </c>
      <c r="CC152">
        <f>IF((CE$1+148)&gt;CC$1,NA(),INDEX('Data Entry'!$H$5:$BE$10004,(CE$1+148)-4,$B$20))</f>
        <v/>
      </c>
      <c r="CD152">
        <f>IF(ISNA(CB152),NA(),INDEX(Capability!$K$5:$K$54,$B$20))</f>
        <v/>
      </c>
      <c r="CE152">
        <f>IF(ISNA(CB152),NA(),INDEX(Capability!$J$5:$J$54,$B$20))</f>
        <v/>
      </c>
      <c r="CF152">
        <f>IF(ISNA(CB152),NA(),INDEX(Capability!$L$5:$L$54,$B$20))</f>
        <v/>
      </c>
      <c r="CG152">
        <f>IF(OR(ISNA(CC152),ISNA(CC151)),NA(),ABS(CC152-CC151))</f>
        <v/>
      </c>
      <c r="CH152">
        <f>IF(ISNA(CB152),NA(),INDEX(Capability!$N$5:$N$54,$B$20))</f>
        <v/>
      </c>
      <c r="CI152">
        <f>IF(ISNA(CB152),NA(),IF(OR(INDEX(Capability!$Q$5:$Q$54,$B$20)="",Settings!$F$7&lt;&gt;"Y"),NA(),INDEX(Capability!$Q$5:$Q$54,$B$20)))</f>
        <v/>
      </c>
      <c r="CJ152">
        <f>IF(ISNA(CB152),NA(),IF(OR(INDEX(Capability!$P$5:$P$54,$B$20)="",Settings!$F$7&lt;&gt;"Y"),NA(),INDEX(Capability!$P$5:$P$54,$B$20)))</f>
        <v/>
      </c>
      <c r="CP152">
        <f>IF((CS$1+148)&gt;CQ$1,NA(),(CS$1+148)-4)</f>
        <v/>
      </c>
      <c r="CQ152">
        <f>IF((CS$1+148)&gt;CQ$1,NA(),INDEX('Data Entry'!$H$5:$BE$10004,(CS$1+148)-4,$B$21))</f>
        <v/>
      </c>
      <c r="CR152">
        <f>IF(ISNA(CP152),NA(),INDEX(Capability!$K$5:$K$54,$B$21))</f>
        <v/>
      </c>
      <c r="CS152">
        <f>IF(ISNA(CP152),NA(),INDEX(Capability!$J$5:$J$54,$B$21))</f>
        <v/>
      </c>
      <c r="CT152">
        <f>IF(ISNA(CP152),NA(),INDEX(Capability!$L$5:$L$54,$B$21))</f>
        <v/>
      </c>
      <c r="CU152">
        <f>IF(OR(ISNA(CQ152),ISNA(CQ151)),NA(),ABS(CQ152-CQ151))</f>
        <v/>
      </c>
      <c r="CV152">
        <f>IF(ISNA(CP152),NA(),INDEX(Capability!$N$5:$N$54,$B$21))</f>
        <v/>
      </c>
      <c r="CW152">
        <f>IF(ISNA(CP152),NA(),IF(OR(INDEX(Capability!$Q$5:$Q$54,$B$21)="",Settings!$F$7&lt;&gt;"Y"),NA(),INDEX(Capability!$Q$5:$Q$54,$B$21)))</f>
        <v/>
      </c>
      <c r="CX152">
        <f>IF(ISNA(CP152),NA(),IF(OR(INDEX(Capability!$P$5:$P$54,$B$21)="",Settings!$F$7&lt;&gt;"Y"),NA(),INDEX(Capability!$P$5:$P$54,$B$21)))</f>
        <v/>
      </c>
      <c r="DD152">
        <f>IF((DG$1+148)&gt;DE$1,NA(),(DG$1+148)-4)</f>
        <v/>
      </c>
      <c r="DE152">
        <f>IF((DG$1+148)&gt;DE$1,NA(),INDEX('Data Entry'!$H$5:$BE$10004,(DG$1+148)-4,$B$22))</f>
        <v/>
      </c>
      <c r="DF152">
        <f>IF(ISNA(DD152),NA(),INDEX(Capability!$K$5:$K$54,$B$22))</f>
        <v/>
      </c>
      <c r="DG152">
        <f>IF(ISNA(DD152),NA(),INDEX(Capability!$J$5:$J$54,$B$22))</f>
        <v/>
      </c>
      <c r="DH152">
        <f>IF(ISNA(DD152),NA(),INDEX(Capability!$L$5:$L$54,$B$22))</f>
        <v/>
      </c>
      <c r="DI152">
        <f>IF(OR(ISNA(DE152),ISNA(DE151)),NA(),ABS(DE152-DE151))</f>
        <v/>
      </c>
      <c r="DJ152">
        <f>IF(ISNA(DD152),NA(),INDEX(Capability!$N$5:$N$54,$B$22))</f>
        <v/>
      </c>
      <c r="DK152">
        <f>IF(ISNA(DD152),NA(),IF(OR(INDEX(Capability!$Q$5:$Q$54,$B$22)="",Settings!$F$7&lt;&gt;"Y"),NA(),INDEX(Capability!$Q$5:$Q$54,$B$22)))</f>
        <v/>
      </c>
      <c r="DL152">
        <f>IF(ISNA(DD152),NA(),IF(OR(INDEX(Capability!$P$5:$P$54,$B$22)="",Settings!$F$7&lt;&gt;"Y"),NA(),INDEX(Capability!$P$5:$P$54,$B$22)))</f>
        <v/>
      </c>
      <c r="DR152">
        <f>IF((DU$1+148)&gt;DS$1,NA(),(DU$1+148)-4)</f>
        <v/>
      </c>
      <c r="DS152">
        <f>IF((DU$1+148)&gt;DS$1,NA(),INDEX('Data Entry'!$H$5:$BE$10004,(DU$1+148)-4,$B$23))</f>
        <v/>
      </c>
      <c r="DT152">
        <f>IF(ISNA(DR152),NA(),INDEX(Capability!$K$5:$K$54,$B$23))</f>
        <v/>
      </c>
      <c r="DU152">
        <f>IF(ISNA(DR152),NA(),INDEX(Capability!$J$5:$J$54,$B$23))</f>
        <v/>
      </c>
      <c r="DV152">
        <f>IF(ISNA(DR152),NA(),INDEX(Capability!$L$5:$L$54,$B$23))</f>
        <v/>
      </c>
      <c r="DW152">
        <f>IF(OR(ISNA(DS152),ISNA(DS151)),NA(),ABS(DS152-DS151))</f>
        <v/>
      </c>
      <c r="DX152">
        <f>IF(ISNA(DR152),NA(),INDEX(Capability!$N$5:$N$54,$B$23))</f>
        <v/>
      </c>
      <c r="DY152">
        <f>IF(ISNA(DR152),NA(),IF(OR(INDEX(Capability!$Q$5:$Q$54,$B$23)="",Settings!$F$7&lt;&gt;"Y"),NA(),INDEX(Capability!$Q$5:$Q$54,$B$23)))</f>
        <v/>
      </c>
      <c r="DZ152">
        <f>IF(ISNA(DR152),NA(),IF(OR(INDEX(Capability!$P$5:$P$54,$B$23)="",Settings!$F$7&lt;&gt;"Y"),NA(),INDEX(Capability!$P$5:$P$54,$B$23)))</f>
        <v/>
      </c>
    </row>
    <row r="153">
      <c r="A153" s="35" t="inlineStr">
        <is>
          <t>LCL</t>
        </is>
      </c>
      <c r="B153" s="23">
        <f>INDEX(Capability!$L$5:$L$54,$B$23)</f>
        <v/>
      </c>
      <c r="CB153">
        <f>IF((CE$1+149)&gt;CC$1,NA(),(CE$1+149)-4)</f>
        <v/>
      </c>
      <c r="CC153">
        <f>IF((CE$1+149)&gt;CC$1,NA(),INDEX('Data Entry'!$H$5:$BE$10004,(CE$1+149)-4,$B$20))</f>
        <v/>
      </c>
      <c r="CD153">
        <f>IF(ISNA(CB153),NA(),INDEX(Capability!$K$5:$K$54,$B$20))</f>
        <v/>
      </c>
      <c r="CE153">
        <f>IF(ISNA(CB153),NA(),INDEX(Capability!$J$5:$J$54,$B$20))</f>
        <v/>
      </c>
      <c r="CF153">
        <f>IF(ISNA(CB153),NA(),INDEX(Capability!$L$5:$L$54,$B$20))</f>
        <v/>
      </c>
      <c r="CG153">
        <f>IF(OR(ISNA(CC153),ISNA(CC152)),NA(),ABS(CC153-CC152))</f>
        <v/>
      </c>
      <c r="CH153">
        <f>IF(ISNA(CB153),NA(),INDEX(Capability!$N$5:$N$54,$B$20))</f>
        <v/>
      </c>
      <c r="CI153">
        <f>IF(ISNA(CB153),NA(),IF(OR(INDEX(Capability!$Q$5:$Q$54,$B$20)="",Settings!$F$7&lt;&gt;"Y"),NA(),INDEX(Capability!$Q$5:$Q$54,$B$20)))</f>
        <v/>
      </c>
      <c r="CJ153">
        <f>IF(ISNA(CB153),NA(),IF(OR(INDEX(Capability!$P$5:$P$54,$B$20)="",Settings!$F$7&lt;&gt;"Y"),NA(),INDEX(Capability!$P$5:$P$54,$B$20)))</f>
        <v/>
      </c>
      <c r="CP153">
        <f>IF((CS$1+149)&gt;CQ$1,NA(),(CS$1+149)-4)</f>
        <v/>
      </c>
      <c r="CQ153">
        <f>IF((CS$1+149)&gt;CQ$1,NA(),INDEX('Data Entry'!$H$5:$BE$10004,(CS$1+149)-4,$B$21))</f>
        <v/>
      </c>
      <c r="CR153">
        <f>IF(ISNA(CP153),NA(),INDEX(Capability!$K$5:$K$54,$B$21))</f>
        <v/>
      </c>
      <c r="CS153">
        <f>IF(ISNA(CP153),NA(),INDEX(Capability!$J$5:$J$54,$B$21))</f>
        <v/>
      </c>
      <c r="CT153">
        <f>IF(ISNA(CP153),NA(),INDEX(Capability!$L$5:$L$54,$B$21))</f>
        <v/>
      </c>
      <c r="CU153">
        <f>IF(OR(ISNA(CQ153),ISNA(CQ152)),NA(),ABS(CQ153-CQ152))</f>
        <v/>
      </c>
      <c r="CV153">
        <f>IF(ISNA(CP153),NA(),INDEX(Capability!$N$5:$N$54,$B$21))</f>
        <v/>
      </c>
      <c r="CW153">
        <f>IF(ISNA(CP153),NA(),IF(OR(INDEX(Capability!$Q$5:$Q$54,$B$21)="",Settings!$F$7&lt;&gt;"Y"),NA(),INDEX(Capability!$Q$5:$Q$54,$B$21)))</f>
        <v/>
      </c>
      <c r="CX153">
        <f>IF(ISNA(CP153),NA(),IF(OR(INDEX(Capability!$P$5:$P$54,$B$21)="",Settings!$F$7&lt;&gt;"Y"),NA(),INDEX(Capability!$P$5:$P$54,$B$21)))</f>
        <v/>
      </c>
      <c r="DD153">
        <f>IF((DG$1+149)&gt;DE$1,NA(),(DG$1+149)-4)</f>
        <v/>
      </c>
      <c r="DE153">
        <f>IF((DG$1+149)&gt;DE$1,NA(),INDEX('Data Entry'!$H$5:$BE$10004,(DG$1+149)-4,$B$22))</f>
        <v/>
      </c>
      <c r="DF153">
        <f>IF(ISNA(DD153),NA(),INDEX(Capability!$K$5:$K$54,$B$22))</f>
        <v/>
      </c>
      <c r="DG153">
        <f>IF(ISNA(DD153),NA(),INDEX(Capability!$J$5:$J$54,$B$22))</f>
        <v/>
      </c>
      <c r="DH153">
        <f>IF(ISNA(DD153),NA(),INDEX(Capability!$L$5:$L$54,$B$22))</f>
        <v/>
      </c>
      <c r="DI153">
        <f>IF(OR(ISNA(DE153),ISNA(DE152)),NA(),ABS(DE153-DE152))</f>
        <v/>
      </c>
      <c r="DJ153">
        <f>IF(ISNA(DD153),NA(),INDEX(Capability!$N$5:$N$54,$B$22))</f>
        <v/>
      </c>
      <c r="DK153">
        <f>IF(ISNA(DD153),NA(),IF(OR(INDEX(Capability!$Q$5:$Q$54,$B$22)="",Settings!$F$7&lt;&gt;"Y"),NA(),INDEX(Capability!$Q$5:$Q$54,$B$22)))</f>
        <v/>
      </c>
      <c r="DL153">
        <f>IF(ISNA(DD153),NA(),IF(OR(INDEX(Capability!$P$5:$P$54,$B$22)="",Settings!$F$7&lt;&gt;"Y"),NA(),INDEX(Capability!$P$5:$P$54,$B$22)))</f>
        <v/>
      </c>
      <c r="DR153">
        <f>IF((DU$1+149)&gt;DS$1,NA(),(DU$1+149)-4)</f>
        <v/>
      </c>
      <c r="DS153">
        <f>IF((DU$1+149)&gt;DS$1,NA(),INDEX('Data Entry'!$H$5:$BE$10004,(DU$1+149)-4,$B$23))</f>
        <v/>
      </c>
      <c r="DT153">
        <f>IF(ISNA(DR153),NA(),INDEX(Capability!$K$5:$K$54,$B$23))</f>
        <v/>
      </c>
      <c r="DU153">
        <f>IF(ISNA(DR153),NA(),INDEX(Capability!$J$5:$J$54,$B$23))</f>
        <v/>
      </c>
      <c r="DV153">
        <f>IF(ISNA(DR153),NA(),INDEX(Capability!$L$5:$L$54,$B$23))</f>
        <v/>
      </c>
      <c r="DW153">
        <f>IF(OR(ISNA(DS153),ISNA(DS152)),NA(),ABS(DS153-DS152))</f>
        <v/>
      </c>
      <c r="DX153">
        <f>IF(ISNA(DR153),NA(),INDEX(Capability!$N$5:$N$54,$B$23))</f>
        <v/>
      </c>
      <c r="DY153">
        <f>IF(ISNA(DR153),NA(),IF(OR(INDEX(Capability!$Q$5:$Q$54,$B$23)="",Settings!$F$7&lt;&gt;"Y"),NA(),INDEX(Capability!$Q$5:$Q$54,$B$23)))</f>
        <v/>
      </c>
      <c r="DZ153">
        <f>IF(ISNA(DR153),NA(),IF(OR(INDEX(Capability!$P$5:$P$54,$B$23)="",Settings!$F$7&lt;&gt;"Y"),NA(),INDEX(Capability!$P$5:$P$54,$B$23)))</f>
        <v/>
      </c>
    </row>
    <row r="154">
      <c r="A154" s="35" t="inlineStr">
        <is>
          <t>mR-bar</t>
        </is>
      </c>
      <c r="B154" s="23">
        <f>INDEX(Capability!$M$5:$M$54,$B$23)</f>
        <v/>
      </c>
      <c r="CB154">
        <f>IF((CE$1+150)&gt;CC$1,NA(),(CE$1+150)-4)</f>
        <v/>
      </c>
      <c r="CC154">
        <f>IF((CE$1+150)&gt;CC$1,NA(),INDEX('Data Entry'!$H$5:$BE$10004,(CE$1+150)-4,$B$20))</f>
        <v/>
      </c>
      <c r="CD154">
        <f>IF(ISNA(CB154),NA(),INDEX(Capability!$K$5:$K$54,$B$20))</f>
        <v/>
      </c>
      <c r="CE154">
        <f>IF(ISNA(CB154),NA(),INDEX(Capability!$J$5:$J$54,$B$20))</f>
        <v/>
      </c>
      <c r="CF154">
        <f>IF(ISNA(CB154),NA(),INDEX(Capability!$L$5:$L$54,$B$20))</f>
        <v/>
      </c>
      <c r="CG154">
        <f>IF(OR(ISNA(CC154),ISNA(CC153)),NA(),ABS(CC154-CC153))</f>
        <v/>
      </c>
      <c r="CH154">
        <f>IF(ISNA(CB154),NA(),INDEX(Capability!$N$5:$N$54,$B$20))</f>
        <v/>
      </c>
      <c r="CI154">
        <f>IF(ISNA(CB154),NA(),IF(OR(INDEX(Capability!$Q$5:$Q$54,$B$20)="",Settings!$F$7&lt;&gt;"Y"),NA(),INDEX(Capability!$Q$5:$Q$54,$B$20)))</f>
        <v/>
      </c>
      <c r="CJ154">
        <f>IF(ISNA(CB154),NA(),IF(OR(INDEX(Capability!$P$5:$P$54,$B$20)="",Settings!$F$7&lt;&gt;"Y"),NA(),INDEX(Capability!$P$5:$P$54,$B$20)))</f>
        <v/>
      </c>
      <c r="CP154">
        <f>IF((CS$1+150)&gt;CQ$1,NA(),(CS$1+150)-4)</f>
        <v/>
      </c>
      <c r="CQ154">
        <f>IF((CS$1+150)&gt;CQ$1,NA(),INDEX('Data Entry'!$H$5:$BE$10004,(CS$1+150)-4,$B$21))</f>
        <v/>
      </c>
      <c r="CR154">
        <f>IF(ISNA(CP154),NA(),INDEX(Capability!$K$5:$K$54,$B$21))</f>
        <v/>
      </c>
      <c r="CS154">
        <f>IF(ISNA(CP154),NA(),INDEX(Capability!$J$5:$J$54,$B$21))</f>
        <v/>
      </c>
      <c r="CT154">
        <f>IF(ISNA(CP154),NA(),INDEX(Capability!$L$5:$L$54,$B$21))</f>
        <v/>
      </c>
      <c r="CU154">
        <f>IF(OR(ISNA(CQ154),ISNA(CQ153)),NA(),ABS(CQ154-CQ153))</f>
        <v/>
      </c>
      <c r="CV154">
        <f>IF(ISNA(CP154),NA(),INDEX(Capability!$N$5:$N$54,$B$21))</f>
        <v/>
      </c>
      <c r="CW154">
        <f>IF(ISNA(CP154),NA(),IF(OR(INDEX(Capability!$Q$5:$Q$54,$B$21)="",Settings!$F$7&lt;&gt;"Y"),NA(),INDEX(Capability!$Q$5:$Q$54,$B$21)))</f>
        <v/>
      </c>
      <c r="CX154">
        <f>IF(ISNA(CP154),NA(),IF(OR(INDEX(Capability!$P$5:$P$54,$B$21)="",Settings!$F$7&lt;&gt;"Y"),NA(),INDEX(Capability!$P$5:$P$54,$B$21)))</f>
        <v/>
      </c>
      <c r="DD154">
        <f>IF((DG$1+150)&gt;DE$1,NA(),(DG$1+150)-4)</f>
        <v/>
      </c>
      <c r="DE154">
        <f>IF((DG$1+150)&gt;DE$1,NA(),INDEX('Data Entry'!$H$5:$BE$10004,(DG$1+150)-4,$B$22))</f>
        <v/>
      </c>
      <c r="DF154">
        <f>IF(ISNA(DD154),NA(),INDEX(Capability!$K$5:$K$54,$B$22))</f>
        <v/>
      </c>
      <c r="DG154">
        <f>IF(ISNA(DD154),NA(),INDEX(Capability!$J$5:$J$54,$B$22))</f>
        <v/>
      </c>
      <c r="DH154">
        <f>IF(ISNA(DD154),NA(),INDEX(Capability!$L$5:$L$54,$B$22))</f>
        <v/>
      </c>
      <c r="DI154">
        <f>IF(OR(ISNA(DE154),ISNA(DE153)),NA(),ABS(DE154-DE153))</f>
        <v/>
      </c>
      <c r="DJ154">
        <f>IF(ISNA(DD154),NA(),INDEX(Capability!$N$5:$N$54,$B$22))</f>
        <v/>
      </c>
      <c r="DK154">
        <f>IF(ISNA(DD154),NA(),IF(OR(INDEX(Capability!$Q$5:$Q$54,$B$22)="",Settings!$F$7&lt;&gt;"Y"),NA(),INDEX(Capability!$Q$5:$Q$54,$B$22)))</f>
        <v/>
      </c>
      <c r="DL154">
        <f>IF(ISNA(DD154),NA(),IF(OR(INDEX(Capability!$P$5:$P$54,$B$22)="",Settings!$F$7&lt;&gt;"Y"),NA(),INDEX(Capability!$P$5:$P$54,$B$22)))</f>
        <v/>
      </c>
      <c r="DR154">
        <f>IF((DU$1+150)&gt;DS$1,NA(),(DU$1+150)-4)</f>
        <v/>
      </c>
      <c r="DS154">
        <f>IF((DU$1+150)&gt;DS$1,NA(),INDEX('Data Entry'!$H$5:$BE$10004,(DU$1+150)-4,$B$23))</f>
        <v/>
      </c>
      <c r="DT154">
        <f>IF(ISNA(DR154),NA(),INDEX(Capability!$K$5:$K$54,$B$23))</f>
        <v/>
      </c>
      <c r="DU154">
        <f>IF(ISNA(DR154),NA(),INDEX(Capability!$J$5:$J$54,$B$23))</f>
        <v/>
      </c>
      <c r="DV154">
        <f>IF(ISNA(DR154),NA(),INDEX(Capability!$L$5:$L$54,$B$23))</f>
        <v/>
      </c>
      <c r="DW154">
        <f>IF(OR(ISNA(DS154),ISNA(DS153)),NA(),ABS(DS154-DS153))</f>
        <v/>
      </c>
      <c r="DX154">
        <f>IF(ISNA(DR154),NA(),INDEX(Capability!$N$5:$N$54,$B$23))</f>
        <v/>
      </c>
      <c r="DY154">
        <f>IF(ISNA(DR154),NA(),IF(OR(INDEX(Capability!$Q$5:$Q$54,$B$23)="",Settings!$F$7&lt;&gt;"Y"),NA(),INDEX(Capability!$Q$5:$Q$54,$B$23)))</f>
        <v/>
      </c>
      <c r="DZ154">
        <f>IF(ISNA(DR154),NA(),IF(OR(INDEX(Capability!$P$5:$P$54,$B$23)="",Settings!$F$7&lt;&gt;"Y"),NA(),INDEX(Capability!$P$5:$P$54,$B$23)))</f>
        <v/>
      </c>
    </row>
    <row r="155">
      <c r="A155" s="35" t="inlineStr">
        <is>
          <t>mR UCL</t>
        </is>
      </c>
      <c r="B155" s="23">
        <f>INDEX(Capability!$N$5:$N$54,$B$23)</f>
        <v/>
      </c>
      <c r="CB155">
        <f>IF((CE$1+151)&gt;CC$1,NA(),(CE$1+151)-4)</f>
        <v/>
      </c>
      <c r="CC155">
        <f>IF((CE$1+151)&gt;CC$1,NA(),INDEX('Data Entry'!$H$5:$BE$10004,(CE$1+151)-4,$B$20))</f>
        <v/>
      </c>
      <c r="CD155">
        <f>IF(ISNA(CB155),NA(),INDEX(Capability!$K$5:$K$54,$B$20))</f>
        <v/>
      </c>
      <c r="CE155">
        <f>IF(ISNA(CB155),NA(),INDEX(Capability!$J$5:$J$54,$B$20))</f>
        <v/>
      </c>
      <c r="CF155">
        <f>IF(ISNA(CB155),NA(),INDEX(Capability!$L$5:$L$54,$B$20))</f>
        <v/>
      </c>
      <c r="CG155">
        <f>IF(OR(ISNA(CC155),ISNA(CC154)),NA(),ABS(CC155-CC154))</f>
        <v/>
      </c>
      <c r="CH155">
        <f>IF(ISNA(CB155),NA(),INDEX(Capability!$N$5:$N$54,$B$20))</f>
        <v/>
      </c>
      <c r="CI155">
        <f>IF(ISNA(CB155),NA(),IF(OR(INDEX(Capability!$Q$5:$Q$54,$B$20)="",Settings!$F$7&lt;&gt;"Y"),NA(),INDEX(Capability!$Q$5:$Q$54,$B$20)))</f>
        <v/>
      </c>
      <c r="CJ155">
        <f>IF(ISNA(CB155),NA(),IF(OR(INDEX(Capability!$P$5:$P$54,$B$20)="",Settings!$F$7&lt;&gt;"Y"),NA(),INDEX(Capability!$P$5:$P$54,$B$20)))</f>
        <v/>
      </c>
      <c r="CP155">
        <f>IF((CS$1+151)&gt;CQ$1,NA(),(CS$1+151)-4)</f>
        <v/>
      </c>
      <c r="CQ155">
        <f>IF((CS$1+151)&gt;CQ$1,NA(),INDEX('Data Entry'!$H$5:$BE$10004,(CS$1+151)-4,$B$21))</f>
        <v/>
      </c>
      <c r="CR155">
        <f>IF(ISNA(CP155),NA(),INDEX(Capability!$K$5:$K$54,$B$21))</f>
        <v/>
      </c>
      <c r="CS155">
        <f>IF(ISNA(CP155),NA(),INDEX(Capability!$J$5:$J$54,$B$21))</f>
        <v/>
      </c>
      <c r="CT155">
        <f>IF(ISNA(CP155),NA(),INDEX(Capability!$L$5:$L$54,$B$21))</f>
        <v/>
      </c>
      <c r="CU155">
        <f>IF(OR(ISNA(CQ155),ISNA(CQ154)),NA(),ABS(CQ155-CQ154))</f>
        <v/>
      </c>
      <c r="CV155">
        <f>IF(ISNA(CP155),NA(),INDEX(Capability!$N$5:$N$54,$B$21))</f>
        <v/>
      </c>
      <c r="CW155">
        <f>IF(ISNA(CP155),NA(),IF(OR(INDEX(Capability!$Q$5:$Q$54,$B$21)="",Settings!$F$7&lt;&gt;"Y"),NA(),INDEX(Capability!$Q$5:$Q$54,$B$21)))</f>
        <v/>
      </c>
      <c r="CX155">
        <f>IF(ISNA(CP155),NA(),IF(OR(INDEX(Capability!$P$5:$P$54,$B$21)="",Settings!$F$7&lt;&gt;"Y"),NA(),INDEX(Capability!$P$5:$P$54,$B$21)))</f>
        <v/>
      </c>
      <c r="DD155">
        <f>IF((DG$1+151)&gt;DE$1,NA(),(DG$1+151)-4)</f>
        <v/>
      </c>
      <c r="DE155">
        <f>IF((DG$1+151)&gt;DE$1,NA(),INDEX('Data Entry'!$H$5:$BE$10004,(DG$1+151)-4,$B$22))</f>
        <v/>
      </c>
      <c r="DF155">
        <f>IF(ISNA(DD155),NA(),INDEX(Capability!$K$5:$K$54,$B$22))</f>
        <v/>
      </c>
      <c r="DG155">
        <f>IF(ISNA(DD155),NA(),INDEX(Capability!$J$5:$J$54,$B$22))</f>
        <v/>
      </c>
      <c r="DH155">
        <f>IF(ISNA(DD155),NA(),INDEX(Capability!$L$5:$L$54,$B$22))</f>
        <v/>
      </c>
      <c r="DI155">
        <f>IF(OR(ISNA(DE155),ISNA(DE154)),NA(),ABS(DE155-DE154))</f>
        <v/>
      </c>
      <c r="DJ155">
        <f>IF(ISNA(DD155),NA(),INDEX(Capability!$N$5:$N$54,$B$22))</f>
        <v/>
      </c>
      <c r="DK155">
        <f>IF(ISNA(DD155),NA(),IF(OR(INDEX(Capability!$Q$5:$Q$54,$B$22)="",Settings!$F$7&lt;&gt;"Y"),NA(),INDEX(Capability!$Q$5:$Q$54,$B$22)))</f>
        <v/>
      </c>
      <c r="DL155">
        <f>IF(ISNA(DD155),NA(),IF(OR(INDEX(Capability!$P$5:$P$54,$B$22)="",Settings!$F$7&lt;&gt;"Y"),NA(),INDEX(Capability!$P$5:$P$54,$B$22)))</f>
        <v/>
      </c>
      <c r="DR155">
        <f>IF((DU$1+151)&gt;DS$1,NA(),(DU$1+151)-4)</f>
        <v/>
      </c>
      <c r="DS155">
        <f>IF((DU$1+151)&gt;DS$1,NA(),INDEX('Data Entry'!$H$5:$BE$10004,(DU$1+151)-4,$B$23))</f>
        <v/>
      </c>
      <c r="DT155">
        <f>IF(ISNA(DR155),NA(),INDEX(Capability!$K$5:$K$54,$B$23))</f>
        <v/>
      </c>
      <c r="DU155">
        <f>IF(ISNA(DR155),NA(),INDEX(Capability!$J$5:$J$54,$B$23))</f>
        <v/>
      </c>
      <c r="DV155">
        <f>IF(ISNA(DR155),NA(),INDEX(Capability!$L$5:$L$54,$B$23))</f>
        <v/>
      </c>
      <c r="DW155">
        <f>IF(OR(ISNA(DS155),ISNA(DS154)),NA(),ABS(DS155-DS154))</f>
        <v/>
      </c>
      <c r="DX155">
        <f>IF(ISNA(DR155),NA(),INDEX(Capability!$N$5:$N$54,$B$23))</f>
        <v/>
      </c>
      <c r="DY155">
        <f>IF(ISNA(DR155),NA(),IF(OR(INDEX(Capability!$Q$5:$Q$54,$B$23)="",Settings!$F$7&lt;&gt;"Y"),NA(),INDEX(Capability!$Q$5:$Q$54,$B$23)))</f>
        <v/>
      </c>
      <c r="DZ155">
        <f>IF(ISNA(DR155),NA(),IF(OR(INDEX(Capability!$P$5:$P$54,$B$23)="",Settings!$F$7&lt;&gt;"Y"),NA(),INDEX(Capability!$P$5:$P$54,$B$23)))</f>
        <v/>
      </c>
    </row>
    <row r="156">
      <c r="A156" s="37" t="inlineStr">
        <is>
          <t>SPECIFICATION</t>
        </is>
      </c>
      <c r="B156" s="28" t="n"/>
      <c r="CB156">
        <f>IF((CE$1+152)&gt;CC$1,NA(),(CE$1+152)-4)</f>
        <v/>
      </c>
      <c r="CC156">
        <f>IF((CE$1+152)&gt;CC$1,NA(),INDEX('Data Entry'!$H$5:$BE$10004,(CE$1+152)-4,$B$20))</f>
        <v/>
      </c>
      <c r="CD156">
        <f>IF(ISNA(CB156),NA(),INDEX(Capability!$K$5:$K$54,$B$20))</f>
        <v/>
      </c>
      <c r="CE156">
        <f>IF(ISNA(CB156),NA(),INDEX(Capability!$J$5:$J$54,$B$20))</f>
        <v/>
      </c>
      <c r="CF156">
        <f>IF(ISNA(CB156),NA(),INDEX(Capability!$L$5:$L$54,$B$20))</f>
        <v/>
      </c>
      <c r="CG156">
        <f>IF(OR(ISNA(CC156),ISNA(CC155)),NA(),ABS(CC156-CC155))</f>
        <v/>
      </c>
      <c r="CH156">
        <f>IF(ISNA(CB156),NA(),INDEX(Capability!$N$5:$N$54,$B$20))</f>
        <v/>
      </c>
      <c r="CI156">
        <f>IF(ISNA(CB156),NA(),IF(OR(INDEX(Capability!$Q$5:$Q$54,$B$20)="",Settings!$F$7&lt;&gt;"Y"),NA(),INDEX(Capability!$Q$5:$Q$54,$B$20)))</f>
        <v/>
      </c>
      <c r="CJ156">
        <f>IF(ISNA(CB156),NA(),IF(OR(INDEX(Capability!$P$5:$P$54,$B$20)="",Settings!$F$7&lt;&gt;"Y"),NA(),INDEX(Capability!$P$5:$P$54,$B$20)))</f>
        <v/>
      </c>
      <c r="CP156">
        <f>IF((CS$1+152)&gt;CQ$1,NA(),(CS$1+152)-4)</f>
        <v/>
      </c>
      <c r="CQ156">
        <f>IF((CS$1+152)&gt;CQ$1,NA(),INDEX('Data Entry'!$H$5:$BE$10004,(CS$1+152)-4,$B$21))</f>
        <v/>
      </c>
      <c r="CR156">
        <f>IF(ISNA(CP156),NA(),INDEX(Capability!$K$5:$K$54,$B$21))</f>
        <v/>
      </c>
      <c r="CS156">
        <f>IF(ISNA(CP156),NA(),INDEX(Capability!$J$5:$J$54,$B$21))</f>
        <v/>
      </c>
      <c r="CT156">
        <f>IF(ISNA(CP156),NA(),INDEX(Capability!$L$5:$L$54,$B$21))</f>
        <v/>
      </c>
      <c r="CU156">
        <f>IF(OR(ISNA(CQ156),ISNA(CQ155)),NA(),ABS(CQ156-CQ155))</f>
        <v/>
      </c>
      <c r="CV156">
        <f>IF(ISNA(CP156),NA(),INDEX(Capability!$N$5:$N$54,$B$21))</f>
        <v/>
      </c>
      <c r="CW156">
        <f>IF(ISNA(CP156),NA(),IF(OR(INDEX(Capability!$Q$5:$Q$54,$B$21)="",Settings!$F$7&lt;&gt;"Y"),NA(),INDEX(Capability!$Q$5:$Q$54,$B$21)))</f>
        <v/>
      </c>
      <c r="CX156">
        <f>IF(ISNA(CP156),NA(),IF(OR(INDEX(Capability!$P$5:$P$54,$B$21)="",Settings!$F$7&lt;&gt;"Y"),NA(),INDEX(Capability!$P$5:$P$54,$B$21)))</f>
        <v/>
      </c>
      <c r="DD156">
        <f>IF((DG$1+152)&gt;DE$1,NA(),(DG$1+152)-4)</f>
        <v/>
      </c>
      <c r="DE156">
        <f>IF((DG$1+152)&gt;DE$1,NA(),INDEX('Data Entry'!$H$5:$BE$10004,(DG$1+152)-4,$B$22))</f>
        <v/>
      </c>
      <c r="DF156">
        <f>IF(ISNA(DD156),NA(),INDEX(Capability!$K$5:$K$54,$B$22))</f>
        <v/>
      </c>
      <c r="DG156">
        <f>IF(ISNA(DD156),NA(),INDEX(Capability!$J$5:$J$54,$B$22))</f>
        <v/>
      </c>
      <c r="DH156">
        <f>IF(ISNA(DD156),NA(),INDEX(Capability!$L$5:$L$54,$B$22))</f>
        <v/>
      </c>
      <c r="DI156">
        <f>IF(OR(ISNA(DE156),ISNA(DE155)),NA(),ABS(DE156-DE155))</f>
        <v/>
      </c>
      <c r="DJ156">
        <f>IF(ISNA(DD156),NA(),INDEX(Capability!$N$5:$N$54,$B$22))</f>
        <v/>
      </c>
      <c r="DK156">
        <f>IF(ISNA(DD156),NA(),IF(OR(INDEX(Capability!$Q$5:$Q$54,$B$22)="",Settings!$F$7&lt;&gt;"Y"),NA(),INDEX(Capability!$Q$5:$Q$54,$B$22)))</f>
        <v/>
      </c>
      <c r="DL156">
        <f>IF(ISNA(DD156),NA(),IF(OR(INDEX(Capability!$P$5:$P$54,$B$22)="",Settings!$F$7&lt;&gt;"Y"),NA(),INDEX(Capability!$P$5:$P$54,$B$22)))</f>
        <v/>
      </c>
      <c r="DR156">
        <f>IF((DU$1+152)&gt;DS$1,NA(),(DU$1+152)-4)</f>
        <v/>
      </c>
      <c r="DS156">
        <f>IF((DU$1+152)&gt;DS$1,NA(),INDEX('Data Entry'!$H$5:$BE$10004,(DU$1+152)-4,$B$23))</f>
        <v/>
      </c>
      <c r="DT156">
        <f>IF(ISNA(DR156),NA(),INDEX(Capability!$K$5:$K$54,$B$23))</f>
        <v/>
      </c>
      <c r="DU156">
        <f>IF(ISNA(DR156),NA(),INDEX(Capability!$J$5:$J$54,$B$23))</f>
        <v/>
      </c>
      <c r="DV156">
        <f>IF(ISNA(DR156),NA(),INDEX(Capability!$L$5:$L$54,$B$23))</f>
        <v/>
      </c>
      <c r="DW156">
        <f>IF(OR(ISNA(DS156),ISNA(DS155)),NA(),ABS(DS156-DS155))</f>
        <v/>
      </c>
      <c r="DX156">
        <f>IF(ISNA(DR156),NA(),INDEX(Capability!$N$5:$N$54,$B$23))</f>
        <v/>
      </c>
      <c r="DY156">
        <f>IF(ISNA(DR156),NA(),IF(OR(INDEX(Capability!$Q$5:$Q$54,$B$23)="",Settings!$F$7&lt;&gt;"Y"),NA(),INDEX(Capability!$Q$5:$Q$54,$B$23)))</f>
        <v/>
      </c>
      <c r="DZ156">
        <f>IF(ISNA(DR156),NA(),IF(OR(INDEX(Capability!$P$5:$P$54,$B$23)="",Settings!$F$7&lt;&gt;"Y"),NA(),INDEX(Capability!$P$5:$P$54,$B$23)))</f>
        <v/>
      </c>
    </row>
    <row r="157">
      <c r="A157" s="35" t="inlineStr">
        <is>
          <t>USL</t>
        </is>
      </c>
      <c r="B157" s="23">
        <f>INDEX(Capability!$Q$5:$Q$54,$B$23)</f>
        <v/>
      </c>
      <c r="CB157">
        <f>IF((CE$1+153)&gt;CC$1,NA(),(CE$1+153)-4)</f>
        <v/>
      </c>
      <c r="CC157">
        <f>IF((CE$1+153)&gt;CC$1,NA(),INDEX('Data Entry'!$H$5:$BE$10004,(CE$1+153)-4,$B$20))</f>
        <v/>
      </c>
      <c r="CD157">
        <f>IF(ISNA(CB157),NA(),INDEX(Capability!$K$5:$K$54,$B$20))</f>
        <v/>
      </c>
      <c r="CE157">
        <f>IF(ISNA(CB157),NA(),INDEX(Capability!$J$5:$J$54,$B$20))</f>
        <v/>
      </c>
      <c r="CF157">
        <f>IF(ISNA(CB157),NA(),INDEX(Capability!$L$5:$L$54,$B$20))</f>
        <v/>
      </c>
      <c r="CG157">
        <f>IF(OR(ISNA(CC157),ISNA(CC156)),NA(),ABS(CC157-CC156))</f>
        <v/>
      </c>
      <c r="CH157">
        <f>IF(ISNA(CB157),NA(),INDEX(Capability!$N$5:$N$54,$B$20))</f>
        <v/>
      </c>
      <c r="CI157">
        <f>IF(ISNA(CB157),NA(),IF(OR(INDEX(Capability!$Q$5:$Q$54,$B$20)="",Settings!$F$7&lt;&gt;"Y"),NA(),INDEX(Capability!$Q$5:$Q$54,$B$20)))</f>
        <v/>
      </c>
      <c r="CJ157">
        <f>IF(ISNA(CB157),NA(),IF(OR(INDEX(Capability!$P$5:$P$54,$B$20)="",Settings!$F$7&lt;&gt;"Y"),NA(),INDEX(Capability!$P$5:$P$54,$B$20)))</f>
        <v/>
      </c>
      <c r="CP157">
        <f>IF((CS$1+153)&gt;CQ$1,NA(),(CS$1+153)-4)</f>
        <v/>
      </c>
      <c r="CQ157">
        <f>IF((CS$1+153)&gt;CQ$1,NA(),INDEX('Data Entry'!$H$5:$BE$10004,(CS$1+153)-4,$B$21))</f>
        <v/>
      </c>
      <c r="CR157">
        <f>IF(ISNA(CP157),NA(),INDEX(Capability!$K$5:$K$54,$B$21))</f>
        <v/>
      </c>
      <c r="CS157">
        <f>IF(ISNA(CP157),NA(),INDEX(Capability!$J$5:$J$54,$B$21))</f>
        <v/>
      </c>
      <c r="CT157">
        <f>IF(ISNA(CP157),NA(),INDEX(Capability!$L$5:$L$54,$B$21))</f>
        <v/>
      </c>
      <c r="CU157">
        <f>IF(OR(ISNA(CQ157),ISNA(CQ156)),NA(),ABS(CQ157-CQ156))</f>
        <v/>
      </c>
      <c r="CV157">
        <f>IF(ISNA(CP157),NA(),INDEX(Capability!$N$5:$N$54,$B$21))</f>
        <v/>
      </c>
      <c r="CW157">
        <f>IF(ISNA(CP157),NA(),IF(OR(INDEX(Capability!$Q$5:$Q$54,$B$21)="",Settings!$F$7&lt;&gt;"Y"),NA(),INDEX(Capability!$Q$5:$Q$54,$B$21)))</f>
        <v/>
      </c>
      <c r="CX157">
        <f>IF(ISNA(CP157),NA(),IF(OR(INDEX(Capability!$P$5:$P$54,$B$21)="",Settings!$F$7&lt;&gt;"Y"),NA(),INDEX(Capability!$P$5:$P$54,$B$21)))</f>
        <v/>
      </c>
      <c r="DD157">
        <f>IF((DG$1+153)&gt;DE$1,NA(),(DG$1+153)-4)</f>
        <v/>
      </c>
      <c r="DE157">
        <f>IF((DG$1+153)&gt;DE$1,NA(),INDEX('Data Entry'!$H$5:$BE$10004,(DG$1+153)-4,$B$22))</f>
        <v/>
      </c>
      <c r="DF157">
        <f>IF(ISNA(DD157),NA(),INDEX(Capability!$K$5:$K$54,$B$22))</f>
        <v/>
      </c>
      <c r="DG157">
        <f>IF(ISNA(DD157),NA(),INDEX(Capability!$J$5:$J$54,$B$22))</f>
        <v/>
      </c>
      <c r="DH157">
        <f>IF(ISNA(DD157),NA(),INDEX(Capability!$L$5:$L$54,$B$22))</f>
        <v/>
      </c>
      <c r="DI157">
        <f>IF(OR(ISNA(DE157),ISNA(DE156)),NA(),ABS(DE157-DE156))</f>
        <v/>
      </c>
      <c r="DJ157">
        <f>IF(ISNA(DD157),NA(),INDEX(Capability!$N$5:$N$54,$B$22))</f>
        <v/>
      </c>
      <c r="DK157">
        <f>IF(ISNA(DD157),NA(),IF(OR(INDEX(Capability!$Q$5:$Q$54,$B$22)="",Settings!$F$7&lt;&gt;"Y"),NA(),INDEX(Capability!$Q$5:$Q$54,$B$22)))</f>
        <v/>
      </c>
      <c r="DL157">
        <f>IF(ISNA(DD157),NA(),IF(OR(INDEX(Capability!$P$5:$P$54,$B$22)="",Settings!$F$7&lt;&gt;"Y"),NA(),INDEX(Capability!$P$5:$P$54,$B$22)))</f>
        <v/>
      </c>
      <c r="DR157">
        <f>IF((DU$1+153)&gt;DS$1,NA(),(DU$1+153)-4)</f>
        <v/>
      </c>
      <c r="DS157">
        <f>IF((DU$1+153)&gt;DS$1,NA(),INDEX('Data Entry'!$H$5:$BE$10004,(DU$1+153)-4,$B$23))</f>
        <v/>
      </c>
      <c r="DT157">
        <f>IF(ISNA(DR157),NA(),INDEX(Capability!$K$5:$K$54,$B$23))</f>
        <v/>
      </c>
      <c r="DU157">
        <f>IF(ISNA(DR157),NA(),INDEX(Capability!$J$5:$J$54,$B$23))</f>
        <v/>
      </c>
      <c r="DV157">
        <f>IF(ISNA(DR157),NA(),INDEX(Capability!$L$5:$L$54,$B$23))</f>
        <v/>
      </c>
      <c r="DW157">
        <f>IF(OR(ISNA(DS157),ISNA(DS156)),NA(),ABS(DS157-DS156))</f>
        <v/>
      </c>
      <c r="DX157">
        <f>IF(ISNA(DR157),NA(),INDEX(Capability!$N$5:$N$54,$B$23))</f>
        <v/>
      </c>
      <c r="DY157">
        <f>IF(ISNA(DR157),NA(),IF(OR(INDEX(Capability!$Q$5:$Q$54,$B$23)="",Settings!$F$7&lt;&gt;"Y"),NA(),INDEX(Capability!$Q$5:$Q$54,$B$23)))</f>
        <v/>
      </c>
      <c r="DZ157">
        <f>IF(ISNA(DR157),NA(),IF(OR(INDEX(Capability!$P$5:$P$54,$B$23)="",Settings!$F$7&lt;&gt;"Y"),NA(),INDEX(Capability!$P$5:$P$54,$B$23)))</f>
        <v/>
      </c>
    </row>
    <row r="158">
      <c r="A158" s="35" t="inlineStr">
        <is>
          <t>Nominal</t>
        </is>
      </c>
      <c r="B158" s="23">
        <f>INDEX(Capability!$O$5:$O$54,$B$23)</f>
        <v/>
      </c>
      <c r="CB158">
        <f>IF((CE$1+154)&gt;CC$1,NA(),(CE$1+154)-4)</f>
        <v/>
      </c>
      <c r="CC158">
        <f>IF((CE$1+154)&gt;CC$1,NA(),INDEX('Data Entry'!$H$5:$BE$10004,(CE$1+154)-4,$B$20))</f>
        <v/>
      </c>
      <c r="CD158">
        <f>IF(ISNA(CB158),NA(),INDEX(Capability!$K$5:$K$54,$B$20))</f>
        <v/>
      </c>
      <c r="CE158">
        <f>IF(ISNA(CB158),NA(),INDEX(Capability!$J$5:$J$54,$B$20))</f>
        <v/>
      </c>
      <c r="CF158">
        <f>IF(ISNA(CB158),NA(),INDEX(Capability!$L$5:$L$54,$B$20))</f>
        <v/>
      </c>
      <c r="CG158">
        <f>IF(OR(ISNA(CC158),ISNA(CC157)),NA(),ABS(CC158-CC157))</f>
        <v/>
      </c>
      <c r="CH158">
        <f>IF(ISNA(CB158),NA(),INDEX(Capability!$N$5:$N$54,$B$20))</f>
        <v/>
      </c>
      <c r="CI158">
        <f>IF(ISNA(CB158),NA(),IF(OR(INDEX(Capability!$Q$5:$Q$54,$B$20)="",Settings!$F$7&lt;&gt;"Y"),NA(),INDEX(Capability!$Q$5:$Q$54,$B$20)))</f>
        <v/>
      </c>
      <c r="CJ158">
        <f>IF(ISNA(CB158),NA(),IF(OR(INDEX(Capability!$P$5:$P$54,$B$20)="",Settings!$F$7&lt;&gt;"Y"),NA(),INDEX(Capability!$P$5:$P$54,$B$20)))</f>
        <v/>
      </c>
      <c r="CP158">
        <f>IF((CS$1+154)&gt;CQ$1,NA(),(CS$1+154)-4)</f>
        <v/>
      </c>
      <c r="CQ158">
        <f>IF((CS$1+154)&gt;CQ$1,NA(),INDEX('Data Entry'!$H$5:$BE$10004,(CS$1+154)-4,$B$21))</f>
        <v/>
      </c>
      <c r="CR158">
        <f>IF(ISNA(CP158),NA(),INDEX(Capability!$K$5:$K$54,$B$21))</f>
        <v/>
      </c>
      <c r="CS158">
        <f>IF(ISNA(CP158),NA(),INDEX(Capability!$J$5:$J$54,$B$21))</f>
        <v/>
      </c>
      <c r="CT158">
        <f>IF(ISNA(CP158),NA(),INDEX(Capability!$L$5:$L$54,$B$21))</f>
        <v/>
      </c>
      <c r="CU158">
        <f>IF(OR(ISNA(CQ158),ISNA(CQ157)),NA(),ABS(CQ158-CQ157))</f>
        <v/>
      </c>
      <c r="CV158">
        <f>IF(ISNA(CP158),NA(),INDEX(Capability!$N$5:$N$54,$B$21))</f>
        <v/>
      </c>
      <c r="CW158">
        <f>IF(ISNA(CP158),NA(),IF(OR(INDEX(Capability!$Q$5:$Q$54,$B$21)="",Settings!$F$7&lt;&gt;"Y"),NA(),INDEX(Capability!$Q$5:$Q$54,$B$21)))</f>
        <v/>
      </c>
      <c r="CX158">
        <f>IF(ISNA(CP158),NA(),IF(OR(INDEX(Capability!$P$5:$P$54,$B$21)="",Settings!$F$7&lt;&gt;"Y"),NA(),INDEX(Capability!$P$5:$P$54,$B$21)))</f>
        <v/>
      </c>
      <c r="DD158">
        <f>IF((DG$1+154)&gt;DE$1,NA(),(DG$1+154)-4)</f>
        <v/>
      </c>
      <c r="DE158">
        <f>IF((DG$1+154)&gt;DE$1,NA(),INDEX('Data Entry'!$H$5:$BE$10004,(DG$1+154)-4,$B$22))</f>
        <v/>
      </c>
      <c r="DF158">
        <f>IF(ISNA(DD158),NA(),INDEX(Capability!$K$5:$K$54,$B$22))</f>
        <v/>
      </c>
      <c r="DG158">
        <f>IF(ISNA(DD158),NA(),INDEX(Capability!$J$5:$J$54,$B$22))</f>
        <v/>
      </c>
      <c r="DH158">
        <f>IF(ISNA(DD158),NA(),INDEX(Capability!$L$5:$L$54,$B$22))</f>
        <v/>
      </c>
      <c r="DI158">
        <f>IF(OR(ISNA(DE158),ISNA(DE157)),NA(),ABS(DE158-DE157))</f>
        <v/>
      </c>
      <c r="DJ158">
        <f>IF(ISNA(DD158),NA(),INDEX(Capability!$N$5:$N$54,$B$22))</f>
        <v/>
      </c>
      <c r="DK158">
        <f>IF(ISNA(DD158),NA(),IF(OR(INDEX(Capability!$Q$5:$Q$54,$B$22)="",Settings!$F$7&lt;&gt;"Y"),NA(),INDEX(Capability!$Q$5:$Q$54,$B$22)))</f>
        <v/>
      </c>
      <c r="DL158">
        <f>IF(ISNA(DD158),NA(),IF(OR(INDEX(Capability!$P$5:$P$54,$B$22)="",Settings!$F$7&lt;&gt;"Y"),NA(),INDEX(Capability!$P$5:$P$54,$B$22)))</f>
        <v/>
      </c>
      <c r="DR158">
        <f>IF((DU$1+154)&gt;DS$1,NA(),(DU$1+154)-4)</f>
        <v/>
      </c>
      <c r="DS158">
        <f>IF((DU$1+154)&gt;DS$1,NA(),INDEX('Data Entry'!$H$5:$BE$10004,(DU$1+154)-4,$B$23))</f>
        <v/>
      </c>
      <c r="DT158">
        <f>IF(ISNA(DR158),NA(),INDEX(Capability!$K$5:$K$54,$B$23))</f>
        <v/>
      </c>
      <c r="DU158">
        <f>IF(ISNA(DR158),NA(),INDEX(Capability!$J$5:$J$54,$B$23))</f>
        <v/>
      </c>
      <c r="DV158">
        <f>IF(ISNA(DR158),NA(),INDEX(Capability!$L$5:$L$54,$B$23))</f>
        <v/>
      </c>
      <c r="DW158">
        <f>IF(OR(ISNA(DS158),ISNA(DS157)),NA(),ABS(DS158-DS157))</f>
        <v/>
      </c>
      <c r="DX158">
        <f>IF(ISNA(DR158),NA(),INDEX(Capability!$N$5:$N$54,$B$23))</f>
        <v/>
      </c>
      <c r="DY158">
        <f>IF(ISNA(DR158),NA(),IF(OR(INDEX(Capability!$Q$5:$Q$54,$B$23)="",Settings!$F$7&lt;&gt;"Y"),NA(),INDEX(Capability!$Q$5:$Q$54,$B$23)))</f>
        <v/>
      </c>
      <c r="DZ158">
        <f>IF(ISNA(DR158),NA(),IF(OR(INDEX(Capability!$P$5:$P$54,$B$23)="",Settings!$F$7&lt;&gt;"Y"),NA(),INDEX(Capability!$P$5:$P$54,$B$23)))</f>
        <v/>
      </c>
    </row>
    <row r="159">
      <c r="A159" s="35" t="inlineStr">
        <is>
          <t>LSL</t>
        </is>
      </c>
      <c r="B159" s="23">
        <f>INDEX(Capability!$P$5:$P$54,$B$23)</f>
        <v/>
      </c>
      <c r="CB159">
        <f>IF((CE$1+155)&gt;CC$1,NA(),(CE$1+155)-4)</f>
        <v/>
      </c>
      <c r="CC159">
        <f>IF((CE$1+155)&gt;CC$1,NA(),INDEX('Data Entry'!$H$5:$BE$10004,(CE$1+155)-4,$B$20))</f>
        <v/>
      </c>
      <c r="CD159">
        <f>IF(ISNA(CB159),NA(),INDEX(Capability!$K$5:$K$54,$B$20))</f>
        <v/>
      </c>
      <c r="CE159">
        <f>IF(ISNA(CB159),NA(),INDEX(Capability!$J$5:$J$54,$B$20))</f>
        <v/>
      </c>
      <c r="CF159">
        <f>IF(ISNA(CB159),NA(),INDEX(Capability!$L$5:$L$54,$B$20))</f>
        <v/>
      </c>
      <c r="CG159">
        <f>IF(OR(ISNA(CC159),ISNA(CC158)),NA(),ABS(CC159-CC158))</f>
        <v/>
      </c>
      <c r="CH159">
        <f>IF(ISNA(CB159),NA(),INDEX(Capability!$N$5:$N$54,$B$20))</f>
        <v/>
      </c>
      <c r="CI159">
        <f>IF(ISNA(CB159),NA(),IF(OR(INDEX(Capability!$Q$5:$Q$54,$B$20)="",Settings!$F$7&lt;&gt;"Y"),NA(),INDEX(Capability!$Q$5:$Q$54,$B$20)))</f>
        <v/>
      </c>
      <c r="CJ159">
        <f>IF(ISNA(CB159),NA(),IF(OR(INDEX(Capability!$P$5:$P$54,$B$20)="",Settings!$F$7&lt;&gt;"Y"),NA(),INDEX(Capability!$P$5:$P$54,$B$20)))</f>
        <v/>
      </c>
      <c r="CP159">
        <f>IF((CS$1+155)&gt;CQ$1,NA(),(CS$1+155)-4)</f>
        <v/>
      </c>
      <c r="CQ159">
        <f>IF((CS$1+155)&gt;CQ$1,NA(),INDEX('Data Entry'!$H$5:$BE$10004,(CS$1+155)-4,$B$21))</f>
        <v/>
      </c>
      <c r="CR159">
        <f>IF(ISNA(CP159),NA(),INDEX(Capability!$K$5:$K$54,$B$21))</f>
        <v/>
      </c>
      <c r="CS159">
        <f>IF(ISNA(CP159),NA(),INDEX(Capability!$J$5:$J$54,$B$21))</f>
        <v/>
      </c>
      <c r="CT159">
        <f>IF(ISNA(CP159),NA(),INDEX(Capability!$L$5:$L$54,$B$21))</f>
        <v/>
      </c>
      <c r="CU159">
        <f>IF(OR(ISNA(CQ159),ISNA(CQ158)),NA(),ABS(CQ159-CQ158))</f>
        <v/>
      </c>
      <c r="CV159">
        <f>IF(ISNA(CP159),NA(),INDEX(Capability!$N$5:$N$54,$B$21))</f>
        <v/>
      </c>
      <c r="CW159">
        <f>IF(ISNA(CP159),NA(),IF(OR(INDEX(Capability!$Q$5:$Q$54,$B$21)="",Settings!$F$7&lt;&gt;"Y"),NA(),INDEX(Capability!$Q$5:$Q$54,$B$21)))</f>
        <v/>
      </c>
      <c r="CX159">
        <f>IF(ISNA(CP159),NA(),IF(OR(INDEX(Capability!$P$5:$P$54,$B$21)="",Settings!$F$7&lt;&gt;"Y"),NA(),INDEX(Capability!$P$5:$P$54,$B$21)))</f>
        <v/>
      </c>
      <c r="DD159">
        <f>IF((DG$1+155)&gt;DE$1,NA(),(DG$1+155)-4)</f>
        <v/>
      </c>
      <c r="DE159">
        <f>IF((DG$1+155)&gt;DE$1,NA(),INDEX('Data Entry'!$H$5:$BE$10004,(DG$1+155)-4,$B$22))</f>
        <v/>
      </c>
      <c r="DF159">
        <f>IF(ISNA(DD159),NA(),INDEX(Capability!$K$5:$K$54,$B$22))</f>
        <v/>
      </c>
      <c r="DG159">
        <f>IF(ISNA(DD159),NA(),INDEX(Capability!$J$5:$J$54,$B$22))</f>
        <v/>
      </c>
      <c r="DH159">
        <f>IF(ISNA(DD159),NA(),INDEX(Capability!$L$5:$L$54,$B$22))</f>
        <v/>
      </c>
      <c r="DI159">
        <f>IF(OR(ISNA(DE159),ISNA(DE158)),NA(),ABS(DE159-DE158))</f>
        <v/>
      </c>
      <c r="DJ159">
        <f>IF(ISNA(DD159),NA(),INDEX(Capability!$N$5:$N$54,$B$22))</f>
        <v/>
      </c>
      <c r="DK159">
        <f>IF(ISNA(DD159),NA(),IF(OR(INDEX(Capability!$Q$5:$Q$54,$B$22)="",Settings!$F$7&lt;&gt;"Y"),NA(),INDEX(Capability!$Q$5:$Q$54,$B$22)))</f>
        <v/>
      </c>
      <c r="DL159">
        <f>IF(ISNA(DD159),NA(),IF(OR(INDEX(Capability!$P$5:$P$54,$B$22)="",Settings!$F$7&lt;&gt;"Y"),NA(),INDEX(Capability!$P$5:$P$54,$B$22)))</f>
        <v/>
      </c>
      <c r="DR159">
        <f>IF((DU$1+155)&gt;DS$1,NA(),(DU$1+155)-4)</f>
        <v/>
      </c>
      <c r="DS159">
        <f>IF((DU$1+155)&gt;DS$1,NA(),INDEX('Data Entry'!$H$5:$BE$10004,(DU$1+155)-4,$B$23))</f>
        <v/>
      </c>
      <c r="DT159">
        <f>IF(ISNA(DR159),NA(),INDEX(Capability!$K$5:$K$54,$B$23))</f>
        <v/>
      </c>
      <c r="DU159">
        <f>IF(ISNA(DR159),NA(),INDEX(Capability!$J$5:$J$54,$B$23))</f>
        <v/>
      </c>
      <c r="DV159">
        <f>IF(ISNA(DR159),NA(),INDEX(Capability!$L$5:$L$54,$B$23))</f>
        <v/>
      </c>
      <c r="DW159">
        <f>IF(OR(ISNA(DS159),ISNA(DS158)),NA(),ABS(DS159-DS158))</f>
        <v/>
      </c>
      <c r="DX159">
        <f>IF(ISNA(DR159),NA(),INDEX(Capability!$N$5:$N$54,$B$23))</f>
        <v/>
      </c>
      <c r="DY159">
        <f>IF(ISNA(DR159),NA(),IF(OR(INDEX(Capability!$Q$5:$Q$54,$B$23)="",Settings!$F$7&lt;&gt;"Y"),NA(),INDEX(Capability!$Q$5:$Q$54,$B$23)))</f>
        <v/>
      </c>
      <c r="DZ159">
        <f>IF(ISNA(DR159),NA(),IF(OR(INDEX(Capability!$P$5:$P$54,$B$23)="",Settings!$F$7&lt;&gt;"Y"),NA(),INDEX(Capability!$P$5:$P$54,$B$23)))</f>
        <v/>
      </c>
    </row>
    <row r="160">
      <c r="A160" s="37" t="inlineStr">
        <is>
          <t>CAPABILITY</t>
        </is>
      </c>
      <c r="B160" s="28" t="n"/>
      <c r="CB160">
        <f>IF((CE$1+156)&gt;CC$1,NA(),(CE$1+156)-4)</f>
        <v/>
      </c>
      <c r="CC160">
        <f>IF((CE$1+156)&gt;CC$1,NA(),INDEX('Data Entry'!$H$5:$BE$10004,(CE$1+156)-4,$B$20))</f>
        <v/>
      </c>
      <c r="CD160">
        <f>IF(ISNA(CB160),NA(),INDEX(Capability!$K$5:$K$54,$B$20))</f>
        <v/>
      </c>
      <c r="CE160">
        <f>IF(ISNA(CB160),NA(),INDEX(Capability!$J$5:$J$54,$B$20))</f>
        <v/>
      </c>
      <c r="CF160">
        <f>IF(ISNA(CB160),NA(),INDEX(Capability!$L$5:$L$54,$B$20))</f>
        <v/>
      </c>
      <c r="CG160">
        <f>IF(OR(ISNA(CC160),ISNA(CC159)),NA(),ABS(CC160-CC159))</f>
        <v/>
      </c>
      <c r="CH160">
        <f>IF(ISNA(CB160),NA(),INDEX(Capability!$N$5:$N$54,$B$20))</f>
        <v/>
      </c>
      <c r="CI160">
        <f>IF(ISNA(CB160),NA(),IF(OR(INDEX(Capability!$Q$5:$Q$54,$B$20)="",Settings!$F$7&lt;&gt;"Y"),NA(),INDEX(Capability!$Q$5:$Q$54,$B$20)))</f>
        <v/>
      </c>
      <c r="CJ160">
        <f>IF(ISNA(CB160),NA(),IF(OR(INDEX(Capability!$P$5:$P$54,$B$20)="",Settings!$F$7&lt;&gt;"Y"),NA(),INDEX(Capability!$P$5:$P$54,$B$20)))</f>
        <v/>
      </c>
      <c r="CP160">
        <f>IF((CS$1+156)&gt;CQ$1,NA(),(CS$1+156)-4)</f>
        <v/>
      </c>
      <c r="CQ160">
        <f>IF((CS$1+156)&gt;CQ$1,NA(),INDEX('Data Entry'!$H$5:$BE$10004,(CS$1+156)-4,$B$21))</f>
        <v/>
      </c>
      <c r="CR160">
        <f>IF(ISNA(CP160),NA(),INDEX(Capability!$K$5:$K$54,$B$21))</f>
        <v/>
      </c>
      <c r="CS160">
        <f>IF(ISNA(CP160),NA(),INDEX(Capability!$J$5:$J$54,$B$21))</f>
        <v/>
      </c>
      <c r="CT160">
        <f>IF(ISNA(CP160),NA(),INDEX(Capability!$L$5:$L$54,$B$21))</f>
        <v/>
      </c>
      <c r="CU160">
        <f>IF(OR(ISNA(CQ160),ISNA(CQ159)),NA(),ABS(CQ160-CQ159))</f>
        <v/>
      </c>
      <c r="CV160">
        <f>IF(ISNA(CP160),NA(),INDEX(Capability!$N$5:$N$54,$B$21))</f>
        <v/>
      </c>
      <c r="CW160">
        <f>IF(ISNA(CP160),NA(),IF(OR(INDEX(Capability!$Q$5:$Q$54,$B$21)="",Settings!$F$7&lt;&gt;"Y"),NA(),INDEX(Capability!$Q$5:$Q$54,$B$21)))</f>
        <v/>
      </c>
      <c r="CX160">
        <f>IF(ISNA(CP160),NA(),IF(OR(INDEX(Capability!$P$5:$P$54,$B$21)="",Settings!$F$7&lt;&gt;"Y"),NA(),INDEX(Capability!$P$5:$P$54,$B$21)))</f>
        <v/>
      </c>
      <c r="DD160">
        <f>IF((DG$1+156)&gt;DE$1,NA(),(DG$1+156)-4)</f>
        <v/>
      </c>
      <c r="DE160">
        <f>IF((DG$1+156)&gt;DE$1,NA(),INDEX('Data Entry'!$H$5:$BE$10004,(DG$1+156)-4,$B$22))</f>
        <v/>
      </c>
      <c r="DF160">
        <f>IF(ISNA(DD160),NA(),INDEX(Capability!$K$5:$K$54,$B$22))</f>
        <v/>
      </c>
      <c r="DG160">
        <f>IF(ISNA(DD160),NA(),INDEX(Capability!$J$5:$J$54,$B$22))</f>
        <v/>
      </c>
      <c r="DH160">
        <f>IF(ISNA(DD160),NA(),INDEX(Capability!$L$5:$L$54,$B$22))</f>
        <v/>
      </c>
      <c r="DI160">
        <f>IF(OR(ISNA(DE160),ISNA(DE159)),NA(),ABS(DE160-DE159))</f>
        <v/>
      </c>
      <c r="DJ160">
        <f>IF(ISNA(DD160),NA(),INDEX(Capability!$N$5:$N$54,$B$22))</f>
        <v/>
      </c>
      <c r="DK160">
        <f>IF(ISNA(DD160),NA(),IF(OR(INDEX(Capability!$Q$5:$Q$54,$B$22)="",Settings!$F$7&lt;&gt;"Y"),NA(),INDEX(Capability!$Q$5:$Q$54,$B$22)))</f>
        <v/>
      </c>
      <c r="DL160">
        <f>IF(ISNA(DD160),NA(),IF(OR(INDEX(Capability!$P$5:$P$54,$B$22)="",Settings!$F$7&lt;&gt;"Y"),NA(),INDEX(Capability!$P$5:$P$54,$B$22)))</f>
        <v/>
      </c>
      <c r="DR160">
        <f>IF((DU$1+156)&gt;DS$1,NA(),(DU$1+156)-4)</f>
        <v/>
      </c>
      <c r="DS160">
        <f>IF((DU$1+156)&gt;DS$1,NA(),INDEX('Data Entry'!$H$5:$BE$10004,(DU$1+156)-4,$B$23))</f>
        <v/>
      </c>
      <c r="DT160">
        <f>IF(ISNA(DR160),NA(),INDEX(Capability!$K$5:$K$54,$B$23))</f>
        <v/>
      </c>
      <c r="DU160">
        <f>IF(ISNA(DR160),NA(),INDEX(Capability!$J$5:$J$54,$B$23))</f>
        <v/>
      </c>
      <c r="DV160">
        <f>IF(ISNA(DR160),NA(),INDEX(Capability!$L$5:$L$54,$B$23))</f>
        <v/>
      </c>
      <c r="DW160">
        <f>IF(OR(ISNA(DS160),ISNA(DS159)),NA(),ABS(DS160-DS159))</f>
        <v/>
      </c>
      <c r="DX160">
        <f>IF(ISNA(DR160),NA(),INDEX(Capability!$N$5:$N$54,$B$23))</f>
        <v/>
      </c>
      <c r="DY160">
        <f>IF(ISNA(DR160),NA(),IF(OR(INDEX(Capability!$Q$5:$Q$54,$B$23)="",Settings!$F$7&lt;&gt;"Y"),NA(),INDEX(Capability!$Q$5:$Q$54,$B$23)))</f>
        <v/>
      </c>
      <c r="DZ160">
        <f>IF(ISNA(DR160),NA(),IF(OR(INDEX(Capability!$P$5:$P$54,$B$23)="",Settings!$F$7&lt;&gt;"Y"),NA(),INDEX(Capability!$P$5:$P$54,$B$23)))</f>
        <v/>
      </c>
    </row>
    <row r="161">
      <c r="A161" s="35" t="inlineStr">
        <is>
          <t>Cp</t>
        </is>
      </c>
      <c r="B161" s="38">
        <f>INDEX(Capability!$S$5:$S$54,$B$23)</f>
        <v/>
      </c>
      <c r="CB161">
        <f>IF((CE$1+157)&gt;CC$1,NA(),(CE$1+157)-4)</f>
        <v/>
      </c>
      <c r="CC161">
        <f>IF((CE$1+157)&gt;CC$1,NA(),INDEX('Data Entry'!$H$5:$BE$10004,(CE$1+157)-4,$B$20))</f>
        <v/>
      </c>
      <c r="CD161">
        <f>IF(ISNA(CB161),NA(),INDEX(Capability!$K$5:$K$54,$B$20))</f>
        <v/>
      </c>
      <c r="CE161">
        <f>IF(ISNA(CB161),NA(),INDEX(Capability!$J$5:$J$54,$B$20))</f>
        <v/>
      </c>
      <c r="CF161">
        <f>IF(ISNA(CB161),NA(),INDEX(Capability!$L$5:$L$54,$B$20))</f>
        <v/>
      </c>
      <c r="CG161">
        <f>IF(OR(ISNA(CC161),ISNA(CC160)),NA(),ABS(CC161-CC160))</f>
        <v/>
      </c>
      <c r="CH161">
        <f>IF(ISNA(CB161),NA(),INDEX(Capability!$N$5:$N$54,$B$20))</f>
        <v/>
      </c>
      <c r="CI161">
        <f>IF(ISNA(CB161),NA(),IF(OR(INDEX(Capability!$Q$5:$Q$54,$B$20)="",Settings!$F$7&lt;&gt;"Y"),NA(),INDEX(Capability!$Q$5:$Q$54,$B$20)))</f>
        <v/>
      </c>
      <c r="CJ161">
        <f>IF(ISNA(CB161),NA(),IF(OR(INDEX(Capability!$P$5:$P$54,$B$20)="",Settings!$F$7&lt;&gt;"Y"),NA(),INDEX(Capability!$P$5:$P$54,$B$20)))</f>
        <v/>
      </c>
      <c r="CP161">
        <f>IF((CS$1+157)&gt;CQ$1,NA(),(CS$1+157)-4)</f>
        <v/>
      </c>
      <c r="CQ161">
        <f>IF((CS$1+157)&gt;CQ$1,NA(),INDEX('Data Entry'!$H$5:$BE$10004,(CS$1+157)-4,$B$21))</f>
        <v/>
      </c>
      <c r="CR161">
        <f>IF(ISNA(CP161),NA(),INDEX(Capability!$K$5:$K$54,$B$21))</f>
        <v/>
      </c>
      <c r="CS161">
        <f>IF(ISNA(CP161),NA(),INDEX(Capability!$J$5:$J$54,$B$21))</f>
        <v/>
      </c>
      <c r="CT161">
        <f>IF(ISNA(CP161),NA(),INDEX(Capability!$L$5:$L$54,$B$21))</f>
        <v/>
      </c>
      <c r="CU161">
        <f>IF(OR(ISNA(CQ161),ISNA(CQ160)),NA(),ABS(CQ161-CQ160))</f>
        <v/>
      </c>
      <c r="CV161">
        <f>IF(ISNA(CP161),NA(),INDEX(Capability!$N$5:$N$54,$B$21))</f>
        <v/>
      </c>
      <c r="CW161">
        <f>IF(ISNA(CP161),NA(),IF(OR(INDEX(Capability!$Q$5:$Q$54,$B$21)="",Settings!$F$7&lt;&gt;"Y"),NA(),INDEX(Capability!$Q$5:$Q$54,$B$21)))</f>
        <v/>
      </c>
      <c r="CX161">
        <f>IF(ISNA(CP161),NA(),IF(OR(INDEX(Capability!$P$5:$P$54,$B$21)="",Settings!$F$7&lt;&gt;"Y"),NA(),INDEX(Capability!$P$5:$P$54,$B$21)))</f>
        <v/>
      </c>
      <c r="DD161">
        <f>IF((DG$1+157)&gt;DE$1,NA(),(DG$1+157)-4)</f>
        <v/>
      </c>
      <c r="DE161">
        <f>IF((DG$1+157)&gt;DE$1,NA(),INDEX('Data Entry'!$H$5:$BE$10004,(DG$1+157)-4,$B$22))</f>
        <v/>
      </c>
      <c r="DF161">
        <f>IF(ISNA(DD161),NA(),INDEX(Capability!$K$5:$K$54,$B$22))</f>
        <v/>
      </c>
      <c r="DG161">
        <f>IF(ISNA(DD161),NA(),INDEX(Capability!$J$5:$J$54,$B$22))</f>
        <v/>
      </c>
      <c r="DH161">
        <f>IF(ISNA(DD161),NA(),INDEX(Capability!$L$5:$L$54,$B$22))</f>
        <v/>
      </c>
      <c r="DI161">
        <f>IF(OR(ISNA(DE161),ISNA(DE160)),NA(),ABS(DE161-DE160))</f>
        <v/>
      </c>
      <c r="DJ161">
        <f>IF(ISNA(DD161),NA(),INDEX(Capability!$N$5:$N$54,$B$22))</f>
        <v/>
      </c>
      <c r="DK161">
        <f>IF(ISNA(DD161),NA(),IF(OR(INDEX(Capability!$Q$5:$Q$54,$B$22)="",Settings!$F$7&lt;&gt;"Y"),NA(),INDEX(Capability!$Q$5:$Q$54,$B$22)))</f>
        <v/>
      </c>
      <c r="DL161">
        <f>IF(ISNA(DD161),NA(),IF(OR(INDEX(Capability!$P$5:$P$54,$B$22)="",Settings!$F$7&lt;&gt;"Y"),NA(),INDEX(Capability!$P$5:$P$54,$B$22)))</f>
        <v/>
      </c>
      <c r="DR161">
        <f>IF((DU$1+157)&gt;DS$1,NA(),(DU$1+157)-4)</f>
        <v/>
      </c>
      <c r="DS161">
        <f>IF((DU$1+157)&gt;DS$1,NA(),INDEX('Data Entry'!$H$5:$BE$10004,(DU$1+157)-4,$B$23))</f>
        <v/>
      </c>
      <c r="DT161">
        <f>IF(ISNA(DR161),NA(),INDEX(Capability!$K$5:$K$54,$B$23))</f>
        <v/>
      </c>
      <c r="DU161">
        <f>IF(ISNA(DR161),NA(),INDEX(Capability!$J$5:$J$54,$B$23))</f>
        <v/>
      </c>
      <c r="DV161">
        <f>IF(ISNA(DR161),NA(),INDEX(Capability!$L$5:$L$54,$B$23))</f>
        <v/>
      </c>
      <c r="DW161">
        <f>IF(OR(ISNA(DS161),ISNA(DS160)),NA(),ABS(DS161-DS160))</f>
        <v/>
      </c>
      <c r="DX161">
        <f>IF(ISNA(DR161),NA(),INDEX(Capability!$N$5:$N$54,$B$23))</f>
        <v/>
      </c>
      <c r="DY161">
        <f>IF(ISNA(DR161),NA(),IF(OR(INDEX(Capability!$Q$5:$Q$54,$B$23)="",Settings!$F$7&lt;&gt;"Y"),NA(),INDEX(Capability!$Q$5:$Q$54,$B$23)))</f>
        <v/>
      </c>
      <c r="DZ161">
        <f>IF(ISNA(DR161),NA(),IF(OR(INDEX(Capability!$P$5:$P$54,$B$23)="",Settings!$F$7&lt;&gt;"Y"),NA(),INDEX(Capability!$P$5:$P$54,$B$23)))</f>
        <v/>
      </c>
    </row>
    <row r="162">
      <c r="A162" s="35" t="inlineStr">
        <is>
          <t>Cpk</t>
        </is>
      </c>
      <c r="B162" s="38">
        <f>INDEX(Capability!$T$5:$T$54,$B$23)</f>
        <v/>
      </c>
      <c r="CB162">
        <f>IF((CE$1+158)&gt;CC$1,NA(),(CE$1+158)-4)</f>
        <v/>
      </c>
      <c r="CC162">
        <f>IF((CE$1+158)&gt;CC$1,NA(),INDEX('Data Entry'!$H$5:$BE$10004,(CE$1+158)-4,$B$20))</f>
        <v/>
      </c>
      <c r="CD162">
        <f>IF(ISNA(CB162),NA(),INDEX(Capability!$K$5:$K$54,$B$20))</f>
        <v/>
      </c>
      <c r="CE162">
        <f>IF(ISNA(CB162),NA(),INDEX(Capability!$J$5:$J$54,$B$20))</f>
        <v/>
      </c>
      <c r="CF162">
        <f>IF(ISNA(CB162),NA(),INDEX(Capability!$L$5:$L$54,$B$20))</f>
        <v/>
      </c>
      <c r="CG162">
        <f>IF(OR(ISNA(CC162),ISNA(CC161)),NA(),ABS(CC162-CC161))</f>
        <v/>
      </c>
      <c r="CH162">
        <f>IF(ISNA(CB162),NA(),INDEX(Capability!$N$5:$N$54,$B$20))</f>
        <v/>
      </c>
      <c r="CI162">
        <f>IF(ISNA(CB162),NA(),IF(OR(INDEX(Capability!$Q$5:$Q$54,$B$20)="",Settings!$F$7&lt;&gt;"Y"),NA(),INDEX(Capability!$Q$5:$Q$54,$B$20)))</f>
        <v/>
      </c>
      <c r="CJ162">
        <f>IF(ISNA(CB162),NA(),IF(OR(INDEX(Capability!$P$5:$P$54,$B$20)="",Settings!$F$7&lt;&gt;"Y"),NA(),INDEX(Capability!$P$5:$P$54,$B$20)))</f>
        <v/>
      </c>
      <c r="CP162">
        <f>IF((CS$1+158)&gt;CQ$1,NA(),(CS$1+158)-4)</f>
        <v/>
      </c>
      <c r="CQ162">
        <f>IF((CS$1+158)&gt;CQ$1,NA(),INDEX('Data Entry'!$H$5:$BE$10004,(CS$1+158)-4,$B$21))</f>
        <v/>
      </c>
      <c r="CR162">
        <f>IF(ISNA(CP162),NA(),INDEX(Capability!$K$5:$K$54,$B$21))</f>
        <v/>
      </c>
      <c r="CS162">
        <f>IF(ISNA(CP162),NA(),INDEX(Capability!$J$5:$J$54,$B$21))</f>
        <v/>
      </c>
      <c r="CT162">
        <f>IF(ISNA(CP162),NA(),INDEX(Capability!$L$5:$L$54,$B$21))</f>
        <v/>
      </c>
      <c r="CU162">
        <f>IF(OR(ISNA(CQ162),ISNA(CQ161)),NA(),ABS(CQ162-CQ161))</f>
        <v/>
      </c>
      <c r="CV162">
        <f>IF(ISNA(CP162),NA(),INDEX(Capability!$N$5:$N$54,$B$21))</f>
        <v/>
      </c>
      <c r="CW162">
        <f>IF(ISNA(CP162),NA(),IF(OR(INDEX(Capability!$Q$5:$Q$54,$B$21)="",Settings!$F$7&lt;&gt;"Y"),NA(),INDEX(Capability!$Q$5:$Q$54,$B$21)))</f>
        <v/>
      </c>
      <c r="CX162">
        <f>IF(ISNA(CP162),NA(),IF(OR(INDEX(Capability!$P$5:$P$54,$B$21)="",Settings!$F$7&lt;&gt;"Y"),NA(),INDEX(Capability!$P$5:$P$54,$B$21)))</f>
        <v/>
      </c>
      <c r="DD162">
        <f>IF((DG$1+158)&gt;DE$1,NA(),(DG$1+158)-4)</f>
        <v/>
      </c>
      <c r="DE162">
        <f>IF((DG$1+158)&gt;DE$1,NA(),INDEX('Data Entry'!$H$5:$BE$10004,(DG$1+158)-4,$B$22))</f>
        <v/>
      </c>
      <c r="DF162">
        <f>IF(ISNA(DD162),NA(),INDEX(Capability!$K$5:$K$54,$B$22))</f>
        <v/>
      </c>
      <c r="DG162">
        <f>IF(ISNA(DD162),NA(),INDEX(Capability!$J$5:$J$54,$B$22))</f>
        <v/>
      </c>
      <c r="DH162">
        <f>IF(ISNA(DD162),NA(),INDEX(Capability!$L$5:$L$54,$B$22))</f>
        <v/>
      </c>
      <c r="DI162">
        <f>IF(OR(ISNA(DE162),ISNA(DE161)),NA(),ABS(DE162-DE161))</f>
        <v/>
      </c>
      <c r="DJ162">
        <f>IF(ISNA(DD162),NA(),INDEX(Capability!$N$5:$N$54,$B$22))</f>
        <v/>
      </c>
      <c r="DK162">
        <f>IF(ISNA(DD162),NA(),IF(OR(INDEX(Capability!$Q$5:$Q$54,$B$22)="",Settings!$F$7&lt;&gt;"Y"),NA(),INDEX(Capability!$Q$5:$Q$54,$B$22)))</f>
        <v/>
      </c>
      <c r="DL162">
        <f>IF(ISNA(DD162),NA(),IF(OR(INDEX(Capability!$P$5:$P$54,$B$22)="",Settings!$F$7&lt;&gt;"Y"),NA(),INDEX(Capability!$P$5:$P$54,$B$22)))</f>
        <v/>
      </c>
      <c r="DR162">
        <f>IF((DU$1+158)&gt;DS$1,NA(),(DU$1+158)-4)</f>
        <v/>
      </c>
      <c r="DS162">
        <f>IF((DU$1+158)&gt;DS$1,NA(),INDEX('Data Entry'!$H$5:$BE$10004,(DU$1+158)-4,$B$23))</f>
        <v/>
      </c>
      <c r="DT162">
        <f>IF(ISNA(DR162),NA(),INDEX(Capability!$K$5:$K$54,$B$23))</f>
        <v/>
      </c>
      <c r="DU162">
        <f>IF(ISNA(DR162),NA(),INDEX(Capability!$J$5:$J$54,$B$23))</f>
        <v/>
      </c>
      <c r="DV162">
        <f>IF(ISNA(DR162),NA(),INDEX(Capability!$L$5:$L$54,$B$23))</f>
        <v/>
      </c>
      <c r="DW162">
        <f>IF(OR(ISNA(DS162),ISNA(DS161)),NA(),ABS(DS162-DS161))</f>
        <v/>
      </c>
      <c r="DX162">
        <f>IF(ISNA(DR162),NA(),INDEX(Capability!$N$5:$N$54,$B$23))</f>
        <v/>
      </c>
      <c r="DY162">
        <f>IF(ISNA(DR162),NA(),IF(OR(INDEX(Capability!$Q$5:$Q$54,$B$23)="",Settings!$F$7&lt;&gt;"Y"),NA(),INDEX(Capability!$Q$5:$Q$54,$B$23)))</f>
        <v/>
      </c>
      <c r="DZ162">
        <f>IF(ISNA(DR162),NA(),IF(OR(INDEX(Capability!$P$5:$P$54,$B$23)="",Settings!$F$7&lt;&gt;"Y"),NA(),INDEX(Capability!$P$5:$P$54,$B$23)))</f>
        <v/>
      </c>
    </row>
    <row r="163">
      <c r="A163" s="35" t="inlineStr">
        <is>
          <t>Pp</t>
        </is>
      </c>
      <c r="B163" s="38">
        <f>INDEX(Capability!$U$5:$U$54,$B$23)</f>
        <v/>
      </c>
      <c r="CB163">
        <f>IF((CE$1+159)&gt;CC$1,NA(),(CE$1+159)-4)</f>
        <v/>
      </c>
      <c r="CC163">
        <f>IF((CE$1+159)&gt;CC$1,NA(),INDEX('Data Entry'!$H$5:$BE$10004,(CE$1+159)-4,$B$20))</f>
        <v/>
      </c>
      <c r="CD163">
        <f>IF(ISNA(CB163),NA(),INDEX(Capability!$K$5:$K$54,$B$20))</f>
        <v/>
      </c>
      <c r="CE163">
        <f>IF(ISNA(CB163),NA(),INDEX(Capability!$J$5:$J$54,$B$20))</f>
        <v/>
      </c>
      <c r="CF163">
        <f>IF(ISNA(CB163),NA(),INDEX(Capability!$L$5:$L$54,$B$20))</f>
        <v/>
      </c>
      <c r="CG163">
        <f>IF(OR(ISNA(CC163),ISNA(CC162)),NA(),ABS(CC163-CC162))</f>
        <v/>
      </c>
      <c r="CH163">
        <f>IF(ISNA(CB163),NA(),INDEX(Capability!$N$5:$N$54,$B$20))</f>
        <v/>
      </c>
      <c r="CI163">
        <f>IF(ISNA(CB163),NA(),IF(OR(INDEX(Capability!$Q$5:$Q$54,$B$20)="",Settings!$F$7&lt;&gt;"Y"),NA(),INDEX(Capability!$Q$5:$Q$54,$B$20)))</f>
        <v/>
      </c>
      <c r="CJ163">
        <f>IF(ISNA(CB163),NA(),IF(OR(INDEX(Capability!$P$5:$P$54,$B$20)="",Settings!$F$7&lt;&gt;"Y"),NA(),INDEX(Capability!$P$5:$P$54,$B$20)))</f>
        <v/>
      </c>
      <c r="CP163">
        <f>IF((CS$1+159)&gt;CQ$1,NA(),(CS$1+159)-4)</f>
        <v/>
      </c>
      <c r="CQ163">
        <f>IF((CS$1+159)&gt;CQ$1,NA(),INDEX('Data Entry'!$H$5:$BE$10004,(CS$1+159)-4,$B$21))</f>
        <v/>
      </c>
      <c r="CR163">
        <f>IF(ISNA(CP163),NA(),INDEX(Capability!$K$5:$K$54,$B$21))</f>
        <v/>
      </c>
      <c r="CS163">
        <f>IF(ISNA(CP163),NA(),INDEX(Capability!$J$5:$J$54,$B$21))</f>
        <v/>
      </c>
      <c r="CT163">
        <f>IF(ISNA(CP163),NA(),INDEX(Capability!$L$5:$L$54,$B$21))</f>
        <v/>
      </c>
      <c r="CU163">
        <f>IF(OR(ISNA(CQ163),ISNA(CQ162)),NA(),ABS(CQ163-CQ162))</f>
        <v/>
      </c>
      <c r="CV163">
        <f>IF(ISNA(CP163),NA(),INDEX(Capability!$N$5:$N$54,$B$21))</f>
        <v/>
      </c>
      <c r="CW163">
        <f>IF(ISNA(CP163),NA(),IF(OR(INDEX(Capability!$Q$5:$Q$54,$B$21)="",Settings!$F$7&lt;&gt;"Y"),NA(),INDEX(Capability!$Q$5:$Q$54,$B$21)))</f>
        <v/>
      </c>
      <c r="CX163">
        <f>IF(ISNA(CP163),NA(),IF(OR(INDEX(Capability!$P$5:$P$54,$B$21)="",Settings!$F$7&lt;&gt;"Y"),NA(),INDEX(Capability!$P$5:$P$54,$B$21)))</f>
        <v/>
      </c>
      <c r="DD163">
        <f>IF((DG$1+159)&gt;DE$1,NA(),(DG$1+159)-4)</f>
        <v/>
      </c>
      <c r="DE163">
        <f>IF((DG$1+159)&gt;DE$1,NA(),INDEX('Data Entry'!$H$5:$BE$10004,(DG$1+159)-4,$B$22))</f>
        <v/>
      </c>
      <c r="DF163">
        <f>IF(ISNA(DD163),NA(),INDEX(Capability!$K$5:$K$54,$B$22))</f>
        <v/>
      </c>
      <c r="DG163">
        <f>IF(ISNA(DD163),NA(),INDEX(Capability!$J$5:$J$54,$B$22))</f>
        <v/>
      </c>
      <c r="DH163">
        <f>IF(ISNA(DD163),NA(),INDEX(Capability!$L$5:$L$54,$B$22))</f>
        <v/>
      </c>
      <c r="DI163">
        <f>IF(OR(ISNA(DE163),ISNA(DE162)),NA(),ABS(DE163-DE162))</f>
        <v/>
      </c>
      <c r="DJ163">
        <f>IF(ISNA(DD163),NA(),INDEX(Capability!$N$5:$N$54,$B$22))</f>
        <v/>
      </c>
      <c r="DK163">
        <f>IF(ISNA(DD163),NA(),IF(OR(INDEX(Capability!$Q$5:$Q$54,$B$22)="",Settings!$F$7&lt;&gt;"Y"),NA(),INDEX(Capability!$Q$5:$Q$54,$B$22)))</f>
        <v/>
      </c>
      <c r="DL163">
        <f>IF(ISNA(DD163),NA(),IF(OR(INDEX(Capability!$P$5:$P$54,$B$22)="",Settings!$F$7&lt;&gt;"Y"),NA(),INDEX(Capability!$P$5:$P$54,$B$22)))</f>
        <v/>
      </c>
      <c r="DR163">
        <f>IF((DU$1+159)&gt;DS$1,NA(),(DU$1+159)-4)</f>
        <v/>
      </c>
      <c r="DS163">
        <f>IF((DU$1+159)&gt;DS$1,NA(),INDEX('Data Entry'!$H$5:$BE$10004,(DU$1+159)-4,$B$23))</f>
        <v/>
      </c>
      <c r="DT163">
        <f>IF(ISNA(DR163),NA(),INDEX(Capability!$K$5:$K$54,$B$23))</f>
        <v/>
      </c>
      <c r="DU163">
        <f>IF(ISNA(DR163),NA(),INDEX(Capability!$J$5:$J$54,$B$23))</f>
        <v/>
      </c>
      <c r="DV163">
        <f>IF(ISNA(DR163),NA(),INDEX(Capability!$L$5:$L$54,$B$23))</f>
        <v/>
      </c>
      <c r="DW163">
        <f>IF(OR(ISNA(DS163),ISNA(DS162)),NA(),ABS(DS163-DS162))</f>
        <v/>
      </c>
      <c r="DX163">
        <f>IF(ISNA(DR163),NA(),INDEX(Capability!$N$5:$N$54,$B$23))</f>
        <v/>
      </c>
      <c r="DY163">
        <f>IF(ISNA(DR163),NA(),IF(OR(INDEX(Capability!$Q$5:$Q$54,$B$23)="",Settings!$F$7&lt;&gt;"Y"),NA(),INDEX(Capability!$Q$5:$Q$54,$B$23)))</f>
        <v/>
      </c>
      <c r="DZ163">
        <f>IF(ISNA(DR163),NA(),IF(OR(INDEX(Capability!$P$5:$P$54,$B$23)="",Settings!$F$7&lt;&gt;"Y"),NA(),INDEX(Capability!$P$5:$P$54,$B$23)))</f>
        <v/>
      </c>
    </row>
    <row r="164">
      <c r="A164" s="35" t="inlineStr">
        <is>
          <t>Ppk</t>
        </is>
      </c>
      <c r="B164" s="38">
        <f>INDEX(Capability!$V$5:$V$54,$B$23)</f>
        <v/>
      </c>
      <c r="CB164">
        <f>IF((CE$1+160)&gt;CC$1,NA(),(CE$1+160)-4)</f>
        <v/>
      </c>
      <c r="CC164">
        <f>IF((CE$1+160)&gt;CC$1,NA(),INDEX('Data Entry'!$H$5:$BE$10004,(CE$1+160)-4,$B$20))</f>
        <v/>
      </c>
      <c r="CD164">
        <f>IF(ISNA(CB164),NA(),INDEX(Capability!$K$5:$K$54,$B$20))</f>
        <v/>
      </c>
      <c r="CE164">
        <f>IF(ISNA(CB164),NA(),INDEX(Capability!$J$5:$J$54,$B$20))</f>
        <v/>
      </c>
      <c r="CF164">
        <f>IF(ISNA(CB164),NA(),INDEX(Capability!$L$5:$L$54,$B$20))</f>
        <v/>
      </c>
      <c r="CG164">
        <f>IF(OR(ISNA(CC164),ISNA(CC163)),NA(),ABS(CC164-CC163))</f>
        <v/>
      </c>
      <c r="CH164">
        <f>IF(ISNA(CB164),NA(),INDEX(Capability!$N$5:$N$54,$B$20))</f>
        <v/>
      </c>
      <c r="CI164">
        <f>IF(ISNA(CB164),NA(),IF(OR(INDEX(Capability!$Q$5:$Q$54,$B$20)="",Settings!$F$7&lt;&gt;"Y"),NA(),INDEX(Capability!$Q$5:$Q$54,$B$20)))</f>
        <v/>
      </c>
      <c r="CJ164">
        <f>IF(ISNA(CB164),NA(),IF(OR(INDEX(Capability!$P$5:$P$54,$B$20)="",Settings!$F$7&lt;&gt;"Y"),NA(),INDEX(Capability!$P$5:$P$54,$B$20)))</f>
        <v/>
      </c>
      <c r="CP164">
        <f>IF((CS$1+160)&gt;CQ$1,NA(),(CS$1+160)-4)</f>
        <v/>
      </c>
      <c r="CQ164">
        <f>IF((CS$1+160)&gt;CQ$1,NA(),INDEX('Data Entry'!$H$5:$BE$10004,(CS$1+160)-4,$B$21))</f>
        <v/>
      </c>
      <c r="CR164">
        <f>IF(ISNA(CP164),NA(),INDEX(Capability!$K$5:$K$54,$B$21))</f>
        <v/>
      </c>
      <c r="CS164">
        <f>IF(ISNA(CP164),NA(),INDEX(Capability!$J$5:$J$54,$B$21))</f>
        <v/>
      </c>
      <c r="CT164">
        <f>IF(ISNA(CP164),NA(),INDEX(Capability!$L$5:$L$54,$B$21))</f>
        <v/>
      </c>
      <c r="CU164">
        <f>IF(OR(ISNA(CQ164),ISNA(CQ163)),NA(),ABS(CQ164-CQ163))</f>
        <v/>
      </c>
      <c r="CV164">
        <f>IF(ISNA(CP164),NA(),INDEX(Capability!$N$5:$N$54,$B$21))</f>
        <v/>
      </c>
      <c r="CW164">
        <f>IF(ISNA(CP164),NA(),IF(OR(INDEX(Capability!$Q$5:$Q$54,$B$21)="",Settings!$F$7&lt;&gt;"Y"),NA(),INDEX(Capability!$Q$5:$Q$54,$B$21)))</f>
        <v/>
      </c>
      <c r="CX164">
        <f>IF(ISNA(CP164),NA(),IF(OR(INDEX(Capability!$P$5:$P$54,$B$21)="",Settings!$F$7&lt;&gt;"Y"),NA(),INDEX(Capability!$P$5:$P$54,$B$21)))</f>
        <v/>
      </c>
      <c r="DD164">
        <f>IF((DG$1+160)&gt;DE$1,NA(),(DG$1+160)-4)</f>
        <v/>
      </c>
      <c r="DE164">
        <f>IF((DG$1+160)&gt;DE$1,NA(),INDEX('Data Entry'!$H$5:$BE$10004,(DG$1+160)-4,$B$22))</f>
        <v/>
      </c>
      <c r="DF164">
        <f>IF(ISNA(DD164),NA(),INDEX(Capability!$K$5:$K$54,$B$22))</f>
        <v/>
      </c>
      <c r="DG164">
        <f>IF(ISNA(DD164),NA(),INDEX(Capability!$J$5:$J$54,$B$22))</f>
        <v/>
      </c>
      <c r="DH164">
        <f>IF(ISNA(DD164),NA(),INDEX(Capability!$L$5:$L$54,$B$22))</f>
        <v/>
      </c>
      <c r="DI164">
        <f>IF(OR(ISNA(DE164),ISNA(DE163)),NA(),ABS(DE164-DE163))</f>
        <v/>
      </c>
      <c r="DJ164">
        <f>IF(ISNA(DD164),NA(),INDEX(Capability!$N$5:$N$54,$B$22))</f>
        <v/>
      </c>
      <c r="DK164">
        <f>IF(ISNA(DD164),NA(),IF(OR(INDEX(Capability!$Q$5:$Q$54,$B$22)="",Settings!$F$7&lt;&gt;"Y"),NA(),INDEX(Capability!$Q$5:$Q$54,$B$22)))</f>
        <v/>
      </c>
      <c r="DL164">
        <f>IF(ISNA(DD164),NA(),IF(OR(INDEX(Capability!$P$5:$P$54,$B$22)="",Settings!$F$7&lt;&gt;"Y"),NA(),INDEX(Capability!$P$5:$P$54,$B$22)))</f>
        <v/>
      </c>
      <c r="DR164">
        <f>IF((DU$1+160)&gt;DS$1,NA(),(DU$1+160)-4)</f>
        <v/>
      </c>
      <c r="DS164">
        <f>IF((DU$1+160)&gt;DS$1,NA(),INDEX('Data Entry'!$H$5:$BE$10004,(DU$1+160)-4,$B$23))</f>
        <v/>
      </c>
      <c r="DT164">
        <f>IF(ISNA(DR164),NA(),INDEX(Capability!$K$5:$K$54,$B$23))</f>
        <v/>
      </c>
      <c r="DU164">
        <f>IF(ISNA(DR164),NA(),INDEX(Capability!$J$5:$J$54,$B$23))</f>
        <v/>
      </c>
      <c r="DV164">
        <f>IF(ISNA(DR164),NA(),INDEX(Capability!$L$5:$L$54,$B$23))</f>
        <v/>
      </c>
      <c r="DW164">
        <f>IF(OR(ISNA(DS164),ISNA(DS163)),NA(),ABS(DS164-DS163))</f>
        <v/>
      </c>
      <c r="DX164">
        <f>IF(ISNA(DR164),NA(),INDEX(Capability!$N$5:$N$54,$B$23))</f>
        <v/>
      </c>
      <c r="DY164">
        <f>IF(ISNA(DR164),NA(),IF(OR(INDEX(Capability!$Q$5:$Q$54,$B$23)="",Settings!$F$7&lt;&gt;"Y"),NA(),INDEX(Capability!$Q$5:$Q$54,$B$23)))</f>
        <v/>
      </c>
      <c r="DZ164">
        <f>IF(ISNA(DR164),NA(),IF(OR(INDEX(Capability!$P$5:$P$54,$B$23)="",Settings!$F$7&lt;&gt;"Y"),NA(),INDEX(Capability!$P$5:$P$54,$B$23)))</f>
        <v/>
      </c>
    </row>
    <row r="165">
      <c r="A165" s="35" t="inlineStr">
        <is>
          <t>In control?</t>
        </is>
      </c>
      <c r="B165" s="36">
        <f>INDEX(Capability!$W$5:$W$54,$B$23)</f>
        <v/>
      </c>
      <c r="CB165">
        <f>IF((CE$1+161)&gt;CC$1,NA(),(CE$1+161)-4)</f>
        <v/>
      </c>
      <c r="CC165">
        <f>IF((CE$1+161)&gt;CC$1,NA(),INDEX('Data Entry'!$H$5:$BE$10004,(CE$1+161)-4,$B$20))</f>
        <v/>
      </c>
      <c r="CD165">
        <f>IF(ISNA(CB165),NA(),INDEX(Capability!$K$5:$K$54,$B$20))</f>
        <v/>
      </c>
      <c r="CE165">
        <f>IF(ISNA(CB165),NA(),INDEX(Capability!$J$5:$J$54,$B$20))</f>
        <v/>
      </c>
      <c r="CF165">
        <f>IF(ISNA(CB165),NA(),INDEX(Capability!$L$5:$L$54,$B$20))</f>
        <v/>
      </c>
      <c r="CG165">
        <f>IF(OR(ISNA(CC165),ISNA(CC164)),NA(),ABS(CC165-CC164))</f>
        <v/>
      </c>
      <c r="CH165">
        <f>IF(ISNA(CB165),NA(),INDEX(Capability!$N$5:$N$54,$B$20))</f>
        <v/>
      </c>
      <c r="CI165">
        <f>IF(ISNA(CB165),NA(),IF(OR(INDEX(Capability!$Q$5:$Q$54,$B$20)="",Settings!$F$7&lt;&gt;"Y"),NA(),INDEX(Capability!$Q$5:$Q$54,$B$20)))</f>
        <v/>
      </c>
      <c r="CJ165">
        <f>IF(ISNA(CB165),NA(),IF(OR(INDEX(Capability!$P$5:$P$54,$B$20)="",Settings!$F$7&lt;&gt;"Y"),NA(),INDEX(Capability!$P$5:$P$54,$B$20)))</f>
        <v/>
      </c>
      <c r="CP165">
        <f>IF((CS$1+161)&gt;CQ$1,NA(),(CS$1+161)-4)</f>
        <v/>
      </c>
      <c r="CQ165">
        <f>IF((CS$1+161)&gt;CQ$1,NA(),INDEX('Data Entry'!$H$5:$BE$10004,(CS$1+161)-4,$B$21))</f>
        <v/>
      </c>
      <c r="CR165">
        <f>IF(ISNA(CP165),NA(),INDEX(Capability!$K$5:$K$54,$B$21))</f>
        <v/>
      </c>
      <c r="CS165">
        <f>IF(ISNA(CP165),NA(),INDEX(Capability!$J$5:$J$54,$B$21))</f>
        <v/>
      </c>
      <c r="CT165">
        <f>IF(ISNA(CP165),NA(),INDEX(Capability!$L$5:$L$54,$B$21))</f>
        <v/>
      </c>
      <c r="CU165">
        <f>IF(OR(ISNA(CQ165),ISNA(CQ164)),NA(),ABS(CQ165-CQ164))</f>
        <v/>
      </c>
      <c r="CV165">
        <f>IF(ISNA(CP165),NA(),INDEX(Capability!$N$5:$N$54,$B$21))</f>
        <v/>
      </c>
      <c r="CW165">
        <f>IF(ISNA(CP165),NA(),IF(OR(INDEX(Capability!$Q$5:$Q$54,$B$21)="",Settings!$F$7&lt;&gt;"Y"),NA(),INDEX(Capability!$Q$5:$Q$54,$B$21)))</f>
        <v/>
      </c>
      <c r="CX165">
        <f>IF(ISNA(CP165),NA(),IF(OR(INDEX(Capability!$P$5:$P$54,$B$21)="",Settings!$F$7&lt;&gt;"Y"),NA(),INDEX(Capability!$P$5:$P$54,$B$21)))</f>
        <v/>
      </c>
      <c r="DD165">
        <f>IF((DG$1+161)&gt;DE$1,NA(),(DG$1+161)-4)</f>
        <v/>
      </c>
      <c r="DE165">
        <f>IF((DG$1+161)&gt;DE$1,NA(),INDEX('Data Entry'!$H$5:$BE$10004,(DG$1+161)-4,$B$22))</f>
        <v/>
      </c>
      <c r="DF165">
        <f>IF(ISNA(DD165),NA(),INDEX(Capability!$K$5:$K$54,$B$22))</f>
        <v/>
      </c>
      <c r="DG165">
        <f>IF(ISNA(DD165),NA(),INDEX(Capability!$J$5:$J$54,$B$22))</f>
        <v/>
      </c>
      <c r="DH165">
        <f>IF(ISNA(DD165),NA(),INDEX(Capability!$L$5:$L$54,$B$22))</f>
        <v/>
      </c>
      <c r="DI165">
        <f>IF(OR(ISNA(DE165),ISNA(DE164)),NA(),ABS(DE165-DE164))</f>
        <v/>
      </c>
      <c r="DJ165">
        <f>IF(ISNA(DD165),NA(),INDEX(Capability!$N$5:$N$54,$B$22))</f>
        <v/>
      </c>
      <c r="DK165">
        <f>IF(ISNA(DD165),NA(),IF(OR(INDEX(Capability!$Q$5:$Q$54,$B$22)="",Settings!$F$7&lt;&gt;"Y"),NA(),INDEX(Capability!$Q$5:$Q$54,$B$22)))</f>
        <v/>
      </c>
      <c r="DL165">
        <f>IF(ISNA(DD165),NA(),IF(OR(INDEX(Capability!$P$5:$P$54,$B$22)="",Settings!$F$7&lt;&gt;"Y"),NA(),INDEX(Capability!$P$5:$P$54,$B$22)))</f>
        <v/>
      </c>
      <c r="DR165">
        <f>IF((DU$1+161)&gt;DS$1,NA(),(DU$1+161)-4)</f>
        <v/>
      </c>
      <c r="DS165">
        <f>IF((DU$1+161)&gt;DS$1,NA(),INDEX('Data Entry'!$H$5:$BE$10004,(DU$1+161)-4,$B$23))</f>
        <v/>
      </c>
      <c r="DT165">
        <f>IF(ISNA(DR165),NA(),INDEX(Capability!$K$5:$K$54,$B$23))</f>
        <v/>
      </c>
      <c r="DU165">
        <f>IF(ISNA(DR165),NA(),INDEX(Capability!$J$5:$J$54,$B$23))</f>
        <v/>
      </c>
      <c r="DV165">
        <f>IF(ISNA(DR165),NA(),INDEX(Capability!$L$5:$L$54,$B$23))</f>
        <v/>
      </c>
      <c r="DW165">
        <f>IF(OR(ISNA(DS165),ISNA(DS164)),NA(),ABS(DS165-DS164))</f>
        <v/>
      </c>
      <c r="DX165">
        <f>IF(ISNA(DR165),NA(),INDEX(Capability!$N$5:$N$54,$B$23))</f>
        <v/>
      </c>
      <c r="DY165">
        <f>IF(ISNA(DR165),NA(),IF(OR(INDEX(Capability!$Q$5:$Q$54,$B$23)="",Settings!$F$7&lt;&gt;"Y"),NA(),INDEX(Capability!$Q$5:$Q$54,$B$23)))</f>
        <v/>
      </c>
      <c r="DZ165">
        <f>IF(ISNA(DR165),NA(),IF(OR(INDEX(Capability!$P$5:$P$54,$B$23)="",Settings!$F$7&lt;&gt;"Y"),NA(),INDEX(Capability!$P$5:$P$54,$B$23)))</f>
        <v/>
      </c>
    </row>
    <row r="166">
      <c r="A166" s="35" t="inlineStr">
        <is>
          <t>In spec?</t>
        </is>
      </c>
      <c r="B166" s="36">
        <f>INDEX(Capability!$X$5:$X$54,$B$23)</f>
        <v/>
      </c>
      <c r="CB166">
        <f>IF((CE$1+162)&gt;CC$1,NA(),(CE$1+162)-4)</f>
        <v/>
      </c>
      <c r="CC166">
        <f>IF((CE$1+162)&gt;CC$1,NA(),INDEX('Data Entry'!$H$5:$BE$10004,(CE$1+162)-4,$B$20))</f>
        <v/>
      </c>
      <c r="CD166">
        <f>IF(ISNA(CB166),NA(),INDEX(Capability!$K$5:$K$54,$B$20))</f>
        <v/>
      </c>
      <c r="CE166">
        <f>IF(ISNA(CB166),NA(),INDEX(Capability!$J$5:$J$54,$B$20))</f>
        <v/>
      </c>
      <c r="CF166">
        <f>IF(ISNA(CB166),NA(),INDEX(Capability!$L$5:$L$54,$B$20))</f>
        <v/>
      </c>
      <c r="CG166">
        <f>IF(OR(ISNA(CC166),ISNA(CC165)),NA(),ABS(CC166-CC165))</f>
        <v/>
      </c>
      <c r="CH166">
        <f>IF(ISNA(CB166),NA(),INDEX(Capability!$N$5:$N$54,$B$20))</f>
        <v/>
      </c>
      <c r="CI166">
        <f>IF(ISNA(CB166),NA(),IF(OR(INDEX(Capability!$Q$5:$Q$54,$B$20)="",Settings!$F$7&lt;&gt;"Y"),NA(),INDEX(Capability!$Q$5:$Q$54,$B$20)))</f>
        <v/>
      </c>
      <c r="CJ166">
        <f>IF(ISNA(CB166),NA(),IF(OR(INDEX(Capability!$P$5:$P$54,$B$20)="",Settings!$F$7&lt;&gt;"Y"),NA(),INDEX(Capability!$P$5:$P$54,$B$20)))</f>
        <v/>
      </c>
      <c r="CP166">
        <f>IF((CS$1+162)&gt;CQ$1,NA(),(CS$1+162)-4)</f>
        <v/>
      </c>
      <c r="CQ166">
        <f>IF((CS$1+162)&gt;CQ$1,NA(),INDEX('Data Entry'!$H$5:$BE$10004,(CS$1+162)-4,$B$21))</f>
        <v/>
      </c>
      <c r="CR166">
        <f>IF(ISNA(CP166),NA(),INDEX(Capability!$K$5:$K$54,$B$21))</f>
        <v/>
      </c>
      <c r="CS166">
        <f>IF(ISNA(CP166),NA(),INDEX(Capability!$J$5:$J$54,$B$21))</f>
        <v/>
      </c>
      <c r="CT166">
        <f>IF(ISNA(CP166),NA(),INDEX(Capability!$L$5:$L$54,$B$21))</f>
        <v/>
      </c>
      <c r="CU166">
        <f>IF(OR(ISNA(CQ166),ISNA(CQ165)),NA(),ABS(CQ166-CQ165))</f>
        <v/>
      </c>
      <c r="CV166">
        <f>IF(ISNA(CP166),NA(),INDEX(Capability!$N$5:$N$54,$B$21))</f>
        <v/>
      </c>
      <c r="CW166">
        <f>IF(ISNA(CP166),NA(),IF(OR(INDEX(Capability!$Q$5:$Q$54,$B$21)="",Settings!$F$7&lt;&gt;"Y"),NA(),INDEX(Capability!$Q$5:$Q$54,$B$21)))</f>
        <v/>
      </c>
      <c r="CX166">
        <f>IF(ISNA(CP166),NA(),IF(OR(INDEX(Capability!$P$5:$P$54,$B$21)="",Settings!$F$7&lt;&gt;"Y"),NA(),INDEX(Capability!$P$5:$P$54,$B$21)))</f>
        <v/>
      </c>
      <c r="DD166">
        <f>IF((DG$1+162)&gt;DE$1,NA(),(DG$1+162)-4)</f>
        <v/>
      </c>
      <c r="DE166">
        <f>IF((DG$1+162)&gt;DE$1,NA(),INDEX('Data Entry'!$H$5:$BE$10004,(DG$1+162)-4,$B$22))</f>
        <v/>
      </c>
      <c r="DF166">
        <f>IF(ISNA(DD166),NA(),INDEX(Capability!$K$5:$K$54,$B$22))</f>
        <v/>
      </c>
      <c r="DG166">
        <f>IF(ISNA(DD166),NA(),INDEX(Capability!$J$5:$J$54,$B$22))</f>
        <v/>
      </c>
      <c r="DH166">
        <f>IF(ISNA(DD166),NA(),INDEX(Capability!$L$5:$L$54,$B$22))</f>
        <v/>
      </c>
      <c r="DI166">
        <f>IF(OR(ISNA(DE166),ISNA(DE165)),NA(),ABS(DE166-DE165))</f>
        <v/>
      </c>
      <c r="DJ166">
        <f>IF(ISNA(DD166),NA(),INDEX(Capability!$N$5:$N$54,$B$22))</f>
        <v/>
      </c>
      <c r="DK166">
        <f>IF(ISNA(DD166),NA(),IF(OR(INDEX(Capability!$Q$5:$Q$54,$B$22)="",Settings!$F$7&lt;&gt;"Y"),NA(),INDEX(Capability!$Q$5:$Q$54,$B$22)))</f>
        <v/>
      </c>
      <c r="DL166">
        <f>IF(ISNA(DD166),NA(),IF(OR(INDEX(Capability!$P$5:$P$54,$B$22)="",Settings!$F$7&lt;&gt;"Y"),NA(),INDEX(Capability!$P$5:$P$54,$B$22)))</f>
        <v/>
      </c>
      <c r="DR166">
        <f>IF((DU$1+162)&gt;DS$1,NA(),(DU$1+162)-4)</f>
        <v/>
      </c>
      <c r="DS166">
        <f>IF((DU$1+162)&gt;DS$1,NA(),INDEX('Data Entry'!$H$5:$BE$10004,(DU$1+162)-4,$B$23))</f>
        <v/>
      </c>
      <c r="DT166">
        <f>IF(ISNA(DR166),NA(),INDEX(Capability!$K$5:$K$54,$B$23))</f>
        <v/>
      </c>
      <c r="DU166">
        <f>IF(ISNA(DR166),NA(),INDEX(Capability!$J$5:$J$54,$B$23))</f>
        <v/>
      </c>
      <c r="DV166">
        <f>IF(ISNA(DR166),NA(),INDEX(Capability!$L$5:$L$54,$B$23))</f>
        <v/>
      </c>
      <c r="DW166">
        <f>IF(OR(ISNA(DS166),ISNA(DS165)),NA(),ABS(DS166-DS165))</f>
        <v/>
      </c>
      <c r="DX166">
        <f>IF(ISNA(DR166),NA(),INDEX(Capability!$N$5:$N$54,$B$23))</f>
        <v/>
      </c>
      <c r="DY166">
        <f>IF(ISNA(DR166),NA(),IF(OR(INDEX(Capability!$Q$5:$Q$54,$B$23)="",Settings!$F$7&lt;&gt;"Y"),NA(),INDEX(Capability!$Q$5:$Q$54,$B$23)))</f>
        <v/>
      </c>
      <c r="DZ166">
        <f>IF(ISNA(DR166),NA(),IF(OR(INDEX(Capability!$P$5:$P$54,$B$23)="",Settings!$F$7&lt;&gt;"Y"),NA(),INDEX(Capability!$P$5:$P$54,$B$23)))</f>
        <v/>
      </c>
    </row>
    <row r="167">
      <c r="A167" s="35" t="inlineStr">
        <is>
          <t>Verdict</t>
        </is>
      </c>
      <c r="B167" s="36">
        <f>INDEX(Capability!$Y$5:$Y$54,$B$23)</f>
        <v/>
      </c>
      <c r="CB167">
        <f>IF((CE$1+163)&gt;CC$1,NA(),(CE$1+163)-4)</f>
        <v/>
      </c>
      <c r="CC167">
        <f>IF((CE$1+163)&gt;CC$1,NA(),INDEX('Data Entry'!$H$5:$BE$10004,(CE$1+163)-4,$B$20))</f>
        <v/>
      </c>
      <c r="CD167">
        <f>IF(ISNA(CB167),NA(),INDEX(Capability!$K$5:$K$54,$B$20))</f>
        <v/>
      </c>
      <c r="CE167">
        <f>IF(ISNA(CB167),NA(),INDEX(Capability!$J$5:$J$54,$B$20))</f>
        <v/>
      </c>
      <c r="CF167">
        <f>IF(ISNA(CB167),NA(),INDEX(Capability!$L$5:$L$54,$B$20))</f>
        <v/>
      </c>
      <c r="CG167">
        <f>IF(OR(ISNA(CC167),ISNA(CC166)),NA(),ABS(CC167-CC166))</f>
        <v/>
      </c>
      <c r="CH167">
        <f>IF(ISNA(CB167),NA(),INDEX(Capability!$N$5:$N$54,$B$20))</f>
        <v/>
      </c>
      <c r="CI167">
        <f>IF(ISNA(CB167),NA(),IF(OR(INDEX(Capability!$Q$5:$Q$54,$B$20)="",Settings!$F$7&lt;&gt;"Y"),NA(),INDEX(Capability!$Q$5:$Q$54,$B$20)))</f>
        <v/>
      </c>
      <c r="CJ167">
        <f>IF(ISNA(CB167),NA(),IF(OR(INDEX(Capability!$P$5:$P$54,$B$20)="",Settings!$F$7&lt;&gt;"Y"),NA(),INDEX(Capability!$P$5:$P$54,$B$20)))</f>
        <v/>
      </c>
      <c r="CP167">
        <f>IF((CS$1+163)&gt;CQ$1,NA(),(CS$1+163)-4)</f>
        <v/>
      </c>
      <c r="CQ167">
        <f>IF((CS$1+163)&gt;CQ$1,NA(),INDEX('Data Entry'!$H$5:$BE$10004,(CS$1+163)-4,$B$21))</f>
        <v/>
      </c>
      <c r="CR167">
        <f>IF(ISNA(CP167),NA(),INDEX(Capability!$K$5:$K$54,$B$21))</f>
        <v/>
      </c>
      <c r="CS167">
        <f>IF(ISNA(CP167),NA(),INDEX(Capability!$J$5:$J$54,$B$21))</f>
        <v/>
      </c>
      <c r="CT167">
        <f>IF(ISNA(CP167),NA(),INDEX(Capability!$L$5:$L$54,$B$21))</f>
        <v/>
      </c>
      <c r="CU167">
        <f>IF(OR(ISNA(CQ167),ISNA(CQ166)),NA(),ABS(CQ167-CQ166))</f>
        <v/>
      </c>
      <c r="CV167">
        <f>IF(ISNA(CP167),NA(),INDEX(Capability!$N$5:$N$54,$B$21))</f>
        <v/>
      </c>
      <c r="CW167">
        <f>IF(ISNA(CP167),NA(),IF(OR(INDEX(Capability!$Q$5:$Q$54,$B$21)="",Settings!$F$7&lt;&gt;"Y"),NA(),INDEX(Capability!$Q$5:$Q$54,$B$21)))</f>
        <v/>
      </c>
      <c r="CX167">
        <f>IF(ISNA(CP167),NA(),IF(OR(INDEX(Capability!$P$5:$P$54,$B$21)="",Settings!$F$7&lt;&gt;"Y"),NA(),INDEX(Capability!$P$5:$P$54,$B$21)))</f>
        <v/>
      </c>
      <c r="DD167">
        <f>IF((DG$1+163)&gt;DE$1,NA(),(DG$1+163)-4)</f>
        <v/>
      </c>
      <c r="DE167">
        <f>IF((DG$1+163)&gt;DE$1,NA(),INDEX('Data Entry'!$H$5:$BE$10004,(DG$1+163)-4,$B$22))</f>
        <v/>
      </c>
      <c r="DF167">
        <f>IF(ISNA(DD167),NA(),INDEX(Capability!$K$5:$K$54,$B$22))</f>
        <v/>
      </c>
      <c r="DG167">
        <f>IF(ISNA(DD167),NA(),INDEX(Capability!$J$5:$J$54,$B$22))</f>
        <v/>
      </c>
      <c r="DH167">
        <f>IF(ISNA(DD167),NA(),INDEX(Capability!$L$5:$L$54,$B$22))</f>
        <v/>
      </c>
      <c r="DI167">
        <f>IF(OR(ISNA(DE167),ISNA(DE166)),NA(),ABS(DE167-DE166))</f>
        <v/>
      </c>
      <c r="DJ167">
        <f>IF(ISNA(DD167),NA(),INDEX(Capability!$N$5:$N$54,$B$22))</f>
        <v/>
      </c>
      <c r="DK167">
        <f>IF(ISNA(DD167),NA(),IF(OR(INDEX(Capability!$Q$5:$Q$54,$B$22)="",Settings!$F$7&lt;&gt;"Y"),NA(),INDEX(Capability!$Q$5:$Q$54,$B$22)))</f>
        <v/>
      </c>
      <c r="DL167">
        <f>IF(ISNA(DD167),NA(),IF(OR(INDEX(Capability!$P$5:$P$54,$B$22)="",Settings!$F$7&lt;&gt;"Y"),NA(),INDEX(Capability!$P$5:$P$54,$B$22)))</f>
        <v/>
      </c>
      <c r="DR167">
        <f>IF((DU$1+163)&gt;DS$1,NA(),(DU$1+163)-4)</f>
        <v/>
      </c>
      <c r="DS167">
        <f>IF((DU$1+163)&gt;DS$1,NA(),INDEX('Data Entry'!$H$5:$BE$10004,(DU$1+163)-4,$B$23))</f>
        <v/>
      </c>
      <c r="DT167">
        <f>IF(ISNA(DR167),NA(),INDEX(Capability!$K$5:$K$54,$B$23))</f>
        <v/>
      </c>
      <c r="DU167">
        <f>IF(ISNA(DR167),NA(),INDEX(Capability!$J$5:$J$54,$B$23))</f>
        <v/>
      </c>
      <c r="DV167">
        <f>IF(ISNA(DR167),NA(),INDEX(Capability!$L$5:$L$54,$B$23))</f>
        <v/>
      </c>
      <c r="DW167">
        <f>IF(OR(ISNA(DS167),ISNA(DS166)),NA(),ABS(DS167-DS166))</f>
        <v/>
      </c>
      <c r="DX167">
        <f>IF(ISNA(DR167),NA(),INDEX(Capability!$N$5:$N$54,$B$23))</f>
        <v/>
      </c>
      <c r="DY167">
        <f>IF(ISNA(DR167),NA(),IF(OR(INDEX(Capability!$Q$5:$Q$54,$B$23)="",Settings!$F$7&lt;&gt;"Y"),NA(),INDEX(Capability!$Q$5:$Q$54,$B$23)))</f>
        <v/>
      </c>
      <c r="DZ167">
        <f>IF(ISNA(DR167),NA(),IF(OR(INDEX(Capability!$P$5:$P$54,$B$23)="",Settings!$F$7&lt;&gt;"Y"),NA(),INDEX(Capability!$P$5:$P$54,$B$23)))</f>
        <v/>
      </c>
    </row>
    <row r="168">
      <c r="CB168">
        <f>IF((CE$1+164)&gt;CC$1,NA(),(CE$1+164)-4)</f>
        <v/>
      </c>
      <c r="CC168">
        <f>IF((CE$1+164)&gt;CC$1,NA(),INDEX('Data Entry'!$H$5:$BE$10004,(CE$1+164)-4,$B$20))</f>
        <v/>
      </c>
      <c r="CD168">
        <f>IF(ISNA(CB168),NA(),INDEX(Capability!$K$5:$K$54,$B$20))</f>
        <v/>
      </c>
      <c r="CE168">
        <f>IF(ISNA(CB168),NA(),INDEX(Capability!$J$5:$J$54,$B$20))</f>
        <v/>
      </c>
      <c r="CF168">
        <f>IF(ISNA(CB168),NA(),INDEX(Capability!$L$5:$L$54,$B$20))</f>
        <v/>
      </c>
      <c r="CG168">
        <f>IF(OR(ISNA(CC168),ISNA(CC167)),NA(),ABS(CC168-CC167))</f>
        <v/>
      </c>
      <c r="CH168">
        <f>IF(ISNA(CB168),NA(),INDEX(Capability!$N$5:$N$54,$B$20))</f>
        <v/>
      </c>
      <c r="CI168">
        <f>IF(ISNA(CB168),NA(),IF(OR(INDEX(Capability!$Q$5:$Q$54,$B$20)="",Settings!$F$7&lt;&gt;"Y"),NA(),INDEX(Capability!$Q$5:$Q$54,$B$20)))</f>
        <v/>
      </c>
      <c r="CJ168">
        <f>IF(ISNA(CB168),NA(),IF(OR(INDEX(Capability!$P$5:$P$54,$B$20)="",Settings!$F$7&lt;&gt;"Y"),NA(),INDEX(Capability!$P$5:$P$54,$B$20)))</f>
        <v/>
      </c>
      <c r="CP168">
        <f>IF((CS$1+164)&gt;CQ$1,NA(),(CS$1+164)-4)</f>
        <v/>
      </c>
      <c r="CQ168">
        <f>IF((CS$1+164)&gt;CQ$1,NA(),INDEX('Data Entry'!$H$5:$BE$10004,(CS$1+164)-4,$B$21))</f>
        <v/>
      </c>
      <c r="CR168">
        <f>IF(ISNA(CP168),NA(),INDEX(Capability!$K$5:$K$54,$B$21))</f>
        <v/>
      </c>
      <c r="CS168">
        <f>IF(ISNA(CP168),NA(),INDEX(Capability!$J$5:$J$54,$B$21))</f>
        <v/>
      </c>
      <c r="CT168">
        <f>IF(ISNA(CP168),NA(),INDEX(Capability!$L$5:$L$54,$B$21))</f>
        <v/>
      </c>
      <c r="CU168">
        <f>IF(OR(ISNA(CQ168),ISNA(CQ167)),NA(),ABS(CQ168-CQ167))</f>
        <v/>
      </c>
      <c r="CV168">
        <f>IF(ISNA(CP168),NA(),INDEX(Capability!$N$5:$N$54,$B$21))</f>
        <v/>
      </c>
      <c r="CW168">
        <f>IF(ISNA(CP168),NA(),IF(OR(INDEX(Capability!$Q$5:$Q$54,$B$21)="",Settings!$F$7&lt;&gt;"Y"),NA(),INDEX(Capability!$Q$5:$Q$54,$B$21)))</f>
        <v/>
      </c>
      <c r="CX168">
        <f>IF(ISNA(CP168),NA(),IF(OR(INDEX(Capability!$P$5:$P$54,$B$21)="",Settings!$F$7&lt;&gt;"Y"),NA(),INDEX(Capability!$P$5:$P$54,$B$21)))</f>
        <v/>
      </c>
      <c r="DD168">
        <f>IF((DG$1+164)&gt;DE$1,NA(),(DG$1+164)-4)</f>
        <v/>
      </c>
      <c r="DE168">
        <f>IF((DG$1+164)&gt;DE$1,NA(),INDEX('Data Entry'!$H$5:$BE$10004,(DG$1+164)-4,$B$22))</f>
        <v/>
      </c>
      <c r="DF168">
        <f>IF(ISNA(DD168),NA(),INDEX(Capability!$K$5:$K$54,$B$22))</f>
        <v/>
      </c>
      <c r="DG168">
        <f>IF(ISNA(DD168),NA(),INDEX(Capability!$J$5:$J$54,$B$22))</f>
        <v/>
      </c>
      <c r="DH168">
        <f>IF(ISNA(DD168),NA(),INDEX(Capability!$L$5:$L$54,$B$22))</f>
        <v/>
      </c>
      <c r="DI168">
        <f>IF(OR(ISNA(DE168),ISNA(DE167)),NA(),ABS(DE168-DE167))</f>
        <v/>
      </c>
      <c r="DJ168">
        <f>IF(ISNA(DD168),NA(),INDEX(Capability!$N$5:$N$54,$B$22))</f>
        <v/>
      </c>
      <c r="DK168">
        <f>IF(ISNA(DD168),NA(),IF(OR(INDEX(Capability!$Q$5:$Q$54,$B$22)="",Settings!$F$7&lt;&gt;"Y"),NA(),INDEX(Capability!$Q$5:$Q$54,$B$22)))</f>
        <v/>
      </c>
      <c r="DL168">
        <f>IF(ISNA(DD168),NA(),IF(OR(INDEX(Capability!$P$5:$P$54,$B$22)="",Settings!$F$7&lt;&gt;"Y"),NA(),INDEX(Capability!$P$5:$P$54,$B$22)))</f>
        <v/>
      </c>
      <c r="DR168">
        <f>IF((DU$1+164)&gt;DS$1,NA(),(DU$1+164)-4)</f>
        <v/>
      </c>
      <c r="DS168">
        <f>IF((DU$1+164)&gt;DS$1,NA(),INDEX('Data Entry'!$H$5:$BE$10004,(DU$1+164)-4,$B$23))</f>
        <v/>
      </c>
      <c r="DT168">
        <f>IF(ISNA(DR168),NA(),INDEX(Capability!$K$5:$K$54,$B$23))</f>
        <v/>
      </c>
      <c r="DU168">
        <f>IF(ISNA(DR168),NA(),INDEX(Capability!$J$5:$J$54,$B$23))</f>
        <v/>
      </c>
      <c r="DV168">
        <f>IF(ISNA(DR168),NA(),INDEX(Capability!$L$5:$L$54,$B$23))</f>
        <v/>
      </c>
      <c r="DW168">
        <f>IF(OR(ISNA(DS168),ISNA(DS167)),NA(),ABS(DS168-DS167))</f>
        <v/>
      </c>
      <c r="DX168">
        <f>IF(ISNA(DR168),NA(),INDEX(Capability!$N$5:$N$54,$B$23))</f>
        <v/>
      </c>
      <c r="DY168">
        <f>IF(ISNA(DR168),NA(),IF(OR(INDEX(Capability!$Q$5:$Q$54,$B$23)="",Settings!$F$7&lt;&gt;"Y"),NA(),INDEX(Capability!$Q$5:$Q$54,$B$23)))</f>
        <v/>
      </c>
      <c r="DZ168">
        <f>IF(ISNA(DR168),NA(),IF(OR(INDEX(Capability!$P$5:$P$54,$B$23)="",Settings!$F$7&lt;&gt;"Y"),NA(),INDEX(Capability!$P$5:$P$54,$B$23)))</f>
        <v/>
      </c>
    </row>
    <row r="169">
      <c r="CB169">
        <f>IF((CE$1+165)&gt;CC$1,NA(),(CE$1+165)-4)</f>
        <v/>
      </c>
      <c r="CC169">
        <f>IF((CE$1+165)&gt;CC$1,NA(),INDEX('Data Entry'!$H$5:$BE$10004,(CE$1+165)-4,$B$20))</f>
        <v/>
      </c>
      <c r="CD169">
        <f>IF(ISNA(CB169),NA(),INDEX(Capability!$K$5:$K$54,$B$20))</f>
        <v/>
      </c>
      <c r="CE169">
        <f>IF(ISNA(CB169),NA(),INDEX(Capability!$J$5:$J$54,$B$20))</f>
        <v/>
      </c>
      <c r="CF169">
        <f>IF(ISNA(CB169),NA(),INDEX(Capability!$L$5:$L$54,$B$20))</f>
        <v/>
      </c>
      <c r="CG169">
        <f>IF(OR(ISNA(CC169),ISNA(CC168)),NA(),ABS(CC169-CC168))</f>
        <v/>
      </c>
      <c r="CH169">
        <f>IF(ISNA(CB169),NA(),INDEX(Capability!$N$5:$N$54,$B$20))</f>
        <v/>
      </c>
      <c r="CI169">
        <f>IF(ISNA(CB169),NA(),IF(OR(INDEX(Capability!$Q$5:$Q$54,$B$20)="",Settings!$F$7&lt;&gt;"Y"),NA(),INDEX(Capability!$Q$5:$Q$54,$B$20)))</f>
        <v/>
      </c>
      <c r="CJ169">
        <f>IF(ISNA(CB169),NA(),IF(OR(INDEX(Capability!$P$5:$P$54,$B$20)="",Settings!$F$7&lt;&gt;"Y"),NA(),INDEX(Capability!$P$5:$P$54,$B$20)))</f>
        <v/>
      </c>
      <c r="CP169">
        <f>IF((CS$1+165)&gt;CQ$1,NA(),(CS$1+165)-4)</f>
        <v/>
      </c>
      <c r="CQ169">
        <f>IF((CS$1+165)&gt;CQ$1,NA(),INDEX('Data Entry'!$H$5:$BE$10004,(CS$1+165)-4,$B$21))</f>
        <v/>
      </c>
      <c r="CR169">
        <f>IF(ISNA(CP169),NA(),INDEX(Capability!$K$5:$K$54,$B$21))</f>
        <v/>
      </c>
      <c r="CS169">
        <f>IF(ISNA(CP169),NA(),INDEX(Capability!$J$5:$J$54,$B$21))</f>
        <v/>
      </c>
      <c r="CT169">
        <f>IF(ISNA(CP169),NA(),INDEX(Capability!$L$5:$L$54,$B$21))</f>
        <v/>
      </c>
      <c r="CU169">
        <f>IF(OR(ISNA(CQ169),ISNA(CQ168)),NA(),ABS(CQ169-CQ168))</f>
        <v/>
      </c>
      <c r="CV169">
        <f>IF(ISNA(CP169),NA(),INDEX(Capability!$N$5:$N$54,$B$21))</f>
        <v/>
      </c>
      <c r="CW169">
        <f>IF(ISNA(CP169),NA(),IF(OR(INDEX(Capability!$Q$5:$Q$54,$B$21)="",Settings!$F$7&lt;&gt;"Y"),NA(),INDEX(Capability!$Q$5:$Q$54,$B$21)))</f>
        <v/>
      </c>
      <c r="CX169">
        <f>IF(ISNA(CP169),NA(),IF(OR(INDEX(Capability!$P$5:$P$54,$B$21)="",Settings!$F$7&lt;&gt;"Y"),NA(),INDEX(Capability!$P$5:$P$54,$B$21)))</f>
        <v/>
      </c>
      <c r="DD169">
        <f>IF((DG$1+165)&gt;DE$1,NA(),(DG$1+165)-4)</f>
        <v/>
      </c>
      <c r="DE169">
        <f>IF((DG$1+165)&gt;DE$1,NA(),INDEX('Data Entry'!$H$5:$BE$10004,(DG$1+165)-4,$B$22))</f>
        <v/>
      </c>
      <c r="DF169">
        <f>IF(ISNA(DD169),NA(),INDEX(Capability!$K$5:$K$54,$B$22))</f>
        <v/>
      </c>
      <c r="DG169">
        <f>IF(ISNA(DD169),NA(),INDEX(Capability!$J$5:$J$54,$B$22))</f>
        <v/>
      </c>
      <c r="DH169">
        <f>IF(ISNA(DD169),NA(),INDEX(Capability!$L$5:$L$54,$B$22))</f>
        <v/>
      </c>
      <c r="DI169">
        <f>IF(OR(ISNA(DE169),ISNA(DE168)),NA(),ABS(DE169-DE168))</f>
        <v/>
      </c>
      <c r="DJ169">
        <f>IF(ISNA(DD169),NA(),INDEX(Capability!$N$5:$N$54,$B$22))</f>
        <v/>
      </c>
      <c r="DK169">
        <f>IF(ISNA(DD169),NA(),IF(OR(INDEX(Capability!$Q$5:$Q$54,$B$22)="",Settings!$F$7&lt;&gt;"Y"),NA(),INDEX(Capability!$Q$5:$Q$54,$B$22)))</f>
        <v/>
      </c>
      <c r="DL169">
        <f>IF(ISNA(DD169),NA(),IF(OR(INDEX(Capability!$P$5:$P$54,$B$22)="",Settings!$F$7&lt;&gt;"Y"),NA(),INDEX(Capability!$P$5:$P$54,$B$22)))</f>
        <v/>
      </c>
      <c r="DR169">
        <f>IF((DU$1+165)&gt;DS$1,NA(),(DU$1+165)-4)</f>
        <v/>
      </c>
      <c r="DS169">
        <f>IF((DU$1+165)&gt;DS$1,NA(),INDEX('Data Entry'!$H$5:$BE$10004,(DU$1+165)-4,$B$23))</f>
        <v/>
      </c>
      <c r="DT169">
        <f>IF(ISNA(DR169),NA(),INDEX(Capability!$K$5:$K$54,$B$23))</f>
        <v/>
      </c>
      <c r="DU169">
        <f>IF(ISNA(DR169),NA(),INDEX(Capability!$J$5:$J$54,$B$23))</f>
        <v/>
      </c>
      <c r="DV169">
        <f>IF(ISNA(DR169),NA(),INDEX(Capability!$L$5:$L$54,$B$23))</f>
        <v/>
      </c>
      <c r="DW169">
        <f>IF(OR(ISNA(DS169),ISNA(DS168)),NA(),ABS(DS169-DS168))</f>
        <v/>
      </c>
      <c r="DX169">
        <f>IF(ISNA(DR169),NA(),INDEX(Capability!$N$5:$N$54,$B$23))</f>
        <v/>
      </c>
      <c r="DY169">
        <f>IF(ISNA(DR169),NA(),IF(OR(INDEX(Capability!$Q$5:$Q$54,$B$23)="",Settings!$F$7&lt;&gt;"Y"),NA(),INDEX(Capability!$Q$5:$Q$54,$B$23)))</f>
        <v/>
      </c>
      <c r="DZ169">
        <f>IF(ISNA(DR169),NA(),IF(OR(INDEX(Capability!$P$5:$P$54,$B$23)="",Settings!$F$7&lt;&gt;"Y"),NA(),INDEX(Capability!$P$5:$P$54,$B$23)))</f>
        <v/>
      </c>
    </row>
    <row r="170">
      <c r="CB170">
        <f>IF((CE$1+166)&gt;CC$1,NA(),(CE$1+166)-4)</f>
        <v/>
      </c>
      <c r="CC170">
        <f>IF((CE$1+166)&gt;CC$1,NA(),INDEX('Data Entry'!$H$5:$BE$10004,(CE$1+166)-4,$B$20))</f>
        <v/>
      </c>
      <c r="CD170">
        <f>IF(ISNA(CB170),NA(),INDEX(Capability!$K$5:$K$54,$B$20))</f>
        <v/>
      </c>
      <c r="CE170">
        <f>IF(ISNA(CB170),NA(),INDEX(Capability!$J$5:$J$54,$B$20))</f>
        <v/>
      </c>
      <c r="CF170">
        <f>IF(ISNA(CB170),NA(),INDEX(Capability!$L$5:$L$54,$B$20))</f>
        <v/>
      </c>
      <c r="CG170">
        <f>IF(OR(ISNA(CC170),ISNA(CC169)),NA(),ABS(CC170-CC169))</f>
        <v/>
      </c>
      <c r="CH170">
        <f>IF(ISNA(CB170),NA(),INDEX(Capability!$N$5:$N$54,$B$20))</f>
        <v/>
      </c>
      <c r="CI170">
        <f>IF(ISNA(CB170),NA(),IF(OR(INDEX(Capability!$Q$5:$Q$54,$B$20)="",Settings!$F$7&lt;&gt;"Y"),NA(),INDEX(Capability!$Q$5:$Q$54,$B$20)))</f>
        <v/>
      </c>
      <c r="CJ170">
        <f>IF(ISNA(CB170),NA(),IF(OR(INDEX(Capability!$P$5:$P$54,$B$20)="",Settings!$F$7&lt;&gt;"Y"),NA(),INDEX(Capability!$P$5:$P$54,$B$20)))</f>
        <v/>
      </c>
      <c r="CP170">
        <f>IF((CS$1+166)&gt;CQ$1,NA(),(CS$1+166)-4)</f>
        <v/>
      </c>
      <c r="CQ170">
        <f>IF((CS$1+166)&gt;CQ$1,NA(),INDEX('Data Entry'!$H$5:$BE$10004,(CS$1+166)-4,$B$21))</f>
        <v/>
      </c>
      <c r="CR170">
        <f>IF(ISNA(CP170),NA(),INDEX(Capability!$K$5:$K$54,$B$21))</f>
        <v/>
      </c>
      <c r="CS170">
        <f>IF(ISNA(CP170),NA(),INDEX(Capability!$J$5:$J$54,$B$21))</f>
        <v/>
      </c>
      <c r="CT170">
        <f>IF(ISNA(CP170),NA(),INDEX(Capability!$L$5:$L$54,$B$21))</f>
        <v/>
      </c>
      <c r="CU170">
        <f>IF(OR(ISNA(CQ170),ISNA(CQ169)),NA(),ABS(CQ170-CQ169))</f>
        <v/>
      </c>
      <c r="CV170">
        <f>IF(ISNA(CP170),NA(),INDEX(Capability!$N$5:$N$54,$B$21))</f>
        <v/>
      </c>
      <c r="CW170">
        <f>IF(ISNA(CP170),NA(),IF(OR(INDEX(Capability!$Q$5:$Q$54,$B$21)="",Settings!$F$7&lt;&gt;"Y"),NA(),INDEX(Capability!$Q$5:$Q$54,$B$21)))</f>
        <v/>
      </c>
      <c r="CX170">
        <f>IF(ISNA(CP170),NA(),IF(OR(INDEX(Capability!$P$5:$P$54,$B$21)="",Settings!$F$7&lt;&gt;"Y"),NA(),INDEX(Capability!$P$5:$P$54,$B$21)))</f>
        <v/>
      </c>
      <c r="DD170">
        <f>IF((DG$1+166)&gt;DE$1,NA(),(DG$1+166)-4)</f>
        <v/>
      </c>
      <c r="DE170">
        <f>IF((DG$1+166)&gt;DE$1,NA(),INDEX('Data Entry'!$H$5:$BE$10004,(DG$1+166)-4,$B$22))</f>
        <v/>
      </c>
      <c r="DF170">
        <f>IF(ISNA(DD170),NA(),INDEX(Capability!$K$5:$K$54,$B$22))</f>
        <v/>
      </c>
      <c r="DG170">
        <f>IF(ISNA(DD170),NA(),INDEX(Capability!$J$5:$J$54,$B$22))</f>
        <v/>
      </c>
      <c r="DH170">
        <f>IF(ISNA(DD170),NA(),INDEX(Capability!$L$5:$L$54,$B$22))</f>
        <v/>
      </c>
      <c r="DI170">
        <f>IF(OR(ISNA(DE170),ISNA(DE169)),NA(),ABS(DE170-DE169))</f>
        <v/>
      </c>
      <c r="DJ170">
        <f>IF(ISNA(DD170),NA(),INDEX(Capability!$N$5:$N$54,$B$22))</f>
        <v/>
      </c>
      <c r="DK170">
        <f>IF(ISNA(DD170),NA(),IF(OR(INDEX(Capability!$Q$5:$Q$54,$B$22)="",Settings!$F$7&lt;&gt;"Y"),NA(),INDEX(Capability!$Q$5:$Q$54,$B$22)))</f>
        <v/>
      </c>
      <c r="DL170">
        <f>IF(ISNA(DD170),NA(),IF(OR(INDEX(Capability!$P$5:$P$54,$B$22)="",Settings!$F$7&lt;&gt;"Y"),NA(),INDEX(Capability!$P$5:$P$54,$B$22)))</f>
        <v/>
      </c>
      <c r="DR170">
        <f>IF((DU$1+166)&gt;DS$1,NA(),(DU$1+166)-4)</f>
        <v/>
      </c>
      <c r="DS170">
        <f>IF((DU$1+166)&gt;DS$1,NA(),INDEX('Data Entry'!$H$5:$BE$10004,(DU$1+166)-4,$B$23))</f>
        <v/>
      </c>
      <c r="DT170">
        <f>IF(ISNA(DR170),NA(),INDEX(Capability!$K$5:$K$54,$B$23))</f>
        <v/>
      </c>
      <c r="DU170">
        <f>IF(ISNA(DR170),NA(),INDEX(Capability!$J$5:$J$54,$B$23))</f>
        <v/>
      </c>
      <c r="DV170">
        <f>IF(ISNA(DR170),NA(),INDEX(Capability!$L$5:$L$54,$B$23))</f>
        <v/>
      </c>
      <c r="DW170">
        <f>IF(OR(ISNA(DS170),ISNA(DS169)),NA(),ABS(DS170-DS169))</f>
        <v/>
      </c>
      <c r="DX170">
        <f>IF(ISNA(DR170),NA(),INDEX(Capability!$N$5:$N$54,$B$23))</f>
        <v/>
      </c>
      <c r="DY170">
        <f>IF(ISNA(DR170),NA(),IF(OR(INDEX(Capability!$Q$5:$Q$54,$B$23)="",Settings!$F$7&lt;&gt;"Y"),NA(),INDEX(Capability!$Q$5:$Q$54,$B$23)))</f>
        <v/>
      </c>
      <c r="DZ170">
        <f>IF(ISNA(DR170),NA(),IF(OR(INDEX(Capability!$P$5:$P$54,$B$23)="",Settings!$F$7&lt;&gt;"Y"),NA(),INDEX(Capability!$P$5:$P$54,$B$23)))</f>
        <v/>
      </c>
    </row>
    <row r="171">
      <c r="CB171">
        <f>IF((CE$1+167)&gt;CC$1,NA(),(CE$1+167)-4)</f>
        <v/>
      </c>
      <c r="CC171">
        <f>IF((CE$1+167)&gt;CC$1,NA(),INDEX('Data Entry'!$H$5:$BE$10004,(CE$1+167)-4,$B$20))</f>
        <v/>
      </c>
      <c r="CD171">
        <f>IF(ISNA(CB171),NA(),INDEX(Capability!$K$5:$K$54,$B$20))</f>
        <v/>
      </c>
      <c r="CE171">
        <f>IF(ISNA(CB171),NA(),INDEX(Capability!$J$5:$J$54,$B$20))</f>
        <v/>
      </c>
      <c r="CF171">
        <f>IF(ISNA(CB171),NA(),INDEX(Capability!$L$5:$L$54,$B$20))</f>
        <v/>
      </c>
      <c r="CG171">
        <f>IF(OR(ISNA(CC171),ISNA(CC170)),NA(),ABS(CC171-CC170))</f>
        <v/>
      </c>
      <c r="CH171">
        <f>IF(ISNA(CB171),NA(),INDEX(Capability!$N$5:$N$54,$B$20))</f>
        <v/>
      </c>
      <c r="CI171">
        <f>IF(ISNA(CB171),NA(),IF(OR(INDEX(Capability!$Q$5:$Q$54,$B$20)="",Settings!$F$7&lt;&gt;"Y"),NA(),INDEX(Capability!$Q$5:$Q$54,$B$20)))</f>
        <v/>
      </c>
      <c r="CJ171">
        <f>IF(ISNA(CB171),NA(),IF(OR(INDEX(Capability!$P$5:$P$54,$B$20)="",Settings!$F$7&lt;&gt;"Y"),NA(),INDEX(Capability!$P$5:$P$54,$B$20)))</f>
        <v/>
      </c>
      <c r="CP171">
        <f>IF((CS$1+167)&gt;CQ$1,NA(),(CS$1+167)-4)</f>
        <v/>
      </c>
      <c r="CQ171">
        <f>IF((CS$1+167)&gt;CQ$1,NA(),INDEX('Data Entry'!$H$5:$BE$10004,(CS$1+167)-4,$B$21))</f>
        <v/>
      </c>
      <c r="CR171">
        <f>IF(ISNA(CP171),NA(),INDEX(Capability!$K$5:$K$54,$B$21))</f>
        <v/>
      </c>
      <c r="CS171">
        <f>IF(ISNA(CP171),NA(),INDEX(Capability!$J$5:$J$54,$B$21))</f>
        <v/>
      </c>
      <c r="CT171">
        <f>IF(ISNA(CP171),NA(),INDEX(Capability!$L$5:$L$54,$B$21))</f>
        <v/>
      </c>
      <c r="CU171">
        <f>IF(OR(ISNA(CQ171),ISNA(CQ170)),NA(),ABS(CQ171-CQ170))</f>
        <v/>
      </c>
      <c r="CV171">
        <f>IF(ISNA(CP171),NA(),INDEX(Capability!$N$5:$N$54,$B$21))</f>
        <v/>
      </c>
      <c r="CW171">
        <f>IF(ISNA(CP171),NA(),IF(OR(INDEX(Capability!$Q$5:$Q$54,$B$21)="",Settings!$F$7&lt;&gt;"Y"),NA(),INDEX(Capability!$Q$5:$Q$54,$B$21)))</f>
        <v/>
      </c>
      <c r="CX171">
        <f>IF(ISNA(CP171),NA(),IF(OR(INDEX(Capability!$P$5:$P$54,$B$21)="",Settings!$F$7&lt;&gt;"Y"),NA(),INDEX(Capability!$P$5:$P$54,$B$21)))</f>
        <v/>
      </c>
      <c r="DD171">
        <f>IF((DG$1+167)&gt;DE$1,NA(),(DG$1+167)-4)</f>
        <v/>
      </c>
      <c r="DE171">
        <f>IF((DG$1+167)&gt;DE$1,NA(),INDEX('Data Entry'!$H$5:$BE$10004,(DG$1+167)-4,$B$22))</f>
        <v/>
      </c>
      <c r="DF171">
        <f>IF(ISNA(DD171),NA(),INDEX(Capability!$K$5:$K$54,$B$22))</f>
        <v/>
      </c>
      <c r="DG171">
        <f>IF(ISNA(DD171),NA(),INDEX(Capability!$J$5:$J$54,$B$22))</f>
        <v/>
      </c>
      <c r="DH171">
        <f>IF(ISNA(DD171),NA(),INDEX(Capability!$L$5:$L$54,$B$22))</f>
        <v/>
      </c>
      <c r="DI171">
        <f>IF(OR(ISNA(DE171),ISNA(DE170)),NA(),ABS(DE171-DE170))</f>
        <v/>
      </c>
      <c r="DJ171">
        <f>IF(ISNA(DD171),NA(),INDEX(Capability!$N$5:$N$54,$B$22))</f>
        <v/>
      </c>
      <c r="DK171">
        <f>IF(ISNA(DD171),NA(),IF(OR(INDEX(Capability!$Q$5:$Q$54,$B$22)="",Settings!$F$7&lt;&gt;"Y"),NA(),INDEX(Capability!$Q$5:$Q$54,$B$22)))</f>
        <v/>
      </c>
      <c r="DL171">
        <f>IF(ISNA(DD171),NA(),IF(OR(INDEX(Capability!$P$5:$P$54,$B$22)="",Settings!$F$7&lt;&gt;"Y"),NA(),INDEX(Capability!$P$5:$P$54,$B$22)))</f>
        <v/>
      </c>
      <c r="DR171">
        <f>IF((DU$1+167)&gt;DS$1,NA(),(DU$1+167)-4)</f>
        <v/>
      </c>
      <c r="DS171">
        <f>IF((DU$1+167)&gt;DS$1,NA(),INDEX('Data Entry'!$H$5:$BE$10004,(DU$1+167)-4,$B$23))</f>
        <v/>
      </c>
      <c r="DT171">
        <f>IF(ISNA(DR171),NA(),INDEX(Capability!$K$5:$K$54,$B$23))</f>
        <v/>
      </c>
      <c r="DU171">
        <f>IF(ISNA(DR171),NA(),INDEX(Capability!$J$5:$J$54,$B$23))</f>
        <v/>
      </c>
      <c r="DV171">
        <f>IF(ISNA(DR171),NA(),INDEX(Capability!$L$5:$L$54,$B$23))</f>
        <v/>
      </c>
      <c r="DW171">
        <f>IF(OR(ISNA(DS171),ISNA(DS170)),NA(),ABS(DS171-DS170))</f>
        <v/>
      </c>
      <c r="DX171">
        <f>IF(ISNA(DR171),NA(),INDEX(Capability!$N$5:$N$54,$B$23))</f>
        <v/>
      </c>
      <c r="DY171">
        <f>IF(ISNA(DR171),NA(),IF(OR(INDEX(Capability!$Q$5:$Q$54,$B$23)="",Settings!$F$7&lt;&gt;"Y"),NA(),INDEX(Capability!$Q$5:$Q$54,$B$23)))</f>
        <v/>
      </c>
      <c r="DZ171">
        <f>IF(ISNA(DR171),NA(),IF(OR(INDEX(Capability!$P$5:$P$54,$B$23)="",Settings!$F$7&lt;&gt;"Y"),NA(),INDEX(Capability!$P$5:$P$54,$B$23)))</f>
        <v/>
      </c>
    </row>
    <row r="172">
      <c r="CB172">
        <f>IF((CE$1+168)&gt;CC$1,NA(),(CE$1+168)-4)</f>
        <v/>
      </c>
      <c r="CC172">
        <f>IF((CE$1+168)&gt;CC$1,NA(),INDEX('Data Entry'!$H$5:$BE$10004,(CE$1+168)-4,$B$20))</f>
        <v/>
      </c>
      <c r="CD172">
        <f>IF(ISNA(CB172),NA(),INDEX(Capability!$K$5:$K$54,$B$20))</f>
        <v/>
      </c>
      <c r="CE172">
        <f>IF(ISNA(CB172),NA(),INDEX(Capability!$J$5:$J$54,$B$20))</f>
        <v/>
      </c>
      <c r="CF172">
        <f>IF(ISNA(CB172),NA(),INDEX(Capability!$L$5:$L$54,$B$20))</f>
        <v/>
      </c>
      <c r="CG172">
        <f>IF(OR(ISNA(CC172),ISNA(CC171)),NA(),ABS(CC172-CC171))</f>
        <v/>
      </c>
      <c r="CH172">
        <f>IF(ISNA(CB172),NA(),INDEX(Capability!$N$5:$N$54,$B$20))</f>
        <v/>
      </c>
      <c r="CI172">
        <f>IF(ISNA(CB172),NA(),IF(OR(INDEX(Capability!$Q$5:$Q$54,$B$20)="",Settings!$F$7&lt;&gt;"Y"),NA(),INDEX(Capability!$Q$5:$Q$54,$B$20)))</f>
        <v/>
      </c>
      <c r="CJ172">
        <f>IF(ISNA(CB172),NA(),IF(OR(INDEX(Capability!$P$5:$P$54,$B$20)="",Settings!$F$7&lt;&gt;"Y"),NA(),INDEX(Capability!$P$5:$P$54,$B$20)))</f>
        <v/>
      </c>
      <c r="CP172">
        <f>IF((CS$1+168)&gt;CQ$1,NA(),(CS$1+168)-4)</f>
        <v/>
      </c>
      <c r="CQ172">
        <f>IF((CS$1+168)&gt;CQ$1,NA(),INDEX('Data Entry'!$H$5:$BE$10004,(CS$1+168)-4,$B$21))</f>
        <v/>
      </c>
      <c r="CR172">
        <f>IF(ISNA(CP172),NA(),INDEX(Capability!$K$5:$K$54,$B$21))</f>
        <v/>
      </c>
      <c r="CS172">
        <f>IF(ISNA(CP172),NA(),INDEX(Capability!$J$5:$J$54,$B$21))</f>
        <v/>
      </c>
      <c r="CT172">
        <f>IF(ISNA(CP172),NA(),INDEX(Capability!$L$5:$L$54,$B$21))</f>
        <v/>
      </c>
      <c r="CU172">
        <f>IF(OR(ISNA(CQ172),ISNA(CQ171)),NA(),ABS(CQ172-CQ171))</f>
        <v/>
      </c>
      <c r="CV172">
        <f>IF(ISNA(CP172),NA(),INDEX(Capability!$N$5:$N$54,$B$21))</f>
        <v/>
      </c>
      <c r="CW172">
        <f>IF(ISNA(CP172),NA(),IF(OR(INDEX(Capability!$Q$5:$Q$54,$B$21)="",Settings!$F$7&lt;&gt;"Y"),NA(),INDEX(Capability!$Q$5:$Q$54,$B$21)))</f>
        <v/>
      </c>
      <c r="CX172">
        <f>IF(ISNA(CP172),NA(),IF(OR(INDEX(Capability!$P$5:$P$54,$B$21)="",Settings!$F$7&lt;&gt;"Y"),NA(),INDEX(Capability!$P$5:$P$54,$B$21)))</f>
        <v/>
      </c>
      <c r="DD172">
        <f>IF((DG$1+168)&gt;DE$1,NA(),(DG$1+168)-4)</f>
        <v/>
      </c>
      <c r="DE172">
        <f>IF((DG$1+168)&gt;DE$1,NA(),INDEX('Data Entry'!$H$5:$BE$10004,(DG$1+168)-4,$B$22))</f>
        <v/>
      </c>
      <c r="DF172">
        <f>IF(ISNA(DD172),NA(),INDEX(Capability!$K$5:$K$54,$B$22))</f>
        <v/>
      </c>
      <c r="DG172">
        <f>IF(ISNA(DD172),NA(),INDEX(Capability!$J$5:$J$54,$B$22))</f>
        <v/>
      </c>
      <c r="DH172">
        <f>IF(ISNA(DD172),NA(),INDEX(Capability!$L$5:$L$54,$B$22))</f>
        <v/>
      </c>
      <c r="DI172">
        <f>IF(OR(ISNA(DE172),ISNA(DE171)),NA(),ABS(DE172-DE171))</f>
        <v/>
      </c>
      <c r="DJ172">
        <f>IF(ISNA(DD172),NA(),INDEX(Capability!$N$5:$N$54,$B$22))</f>
        <v/>
      </c>
      <c r="DK172">
        <f>IF(ISNA(DD172),NA(),IF(OR(INDEX(Capability!$Q$5:$Q$54,$B$22)="",Settings!$F$7&lt;&gt;"Y"),NA(),INDEX(Capability!$Q$5:$Q$54,$B$22)))</f>
        <v/>
      </c>
      <c r="DL172">
        <f>IF(ISNA(DD172),NA(),IF(OR(INDEX(Capability!$P$5:$P$54,$B$22)="",Settings!$F$7&lt;&gt;"Y"),NA(),INDEX(Capability!$P$5:$P$54,$B$22)))</f>
        <v/>
      </c>
      <c r="DR172">
        <f>IF((DU$1+168)&gt;DS$1,NA(),(DU$1+168)-4)</f>
        <v/>
      </c>
      <c r="DS172">
        <f>IF((DU$1+168)&gt;DS$1,NA(),INDEX('Data Entry'!$H$5:$BE$10004,(DU$1+168)-4,$B$23))</f>
        <v/>
      </c>
      <c r="DT172">
        <f>IF(ISNA(DR172),NA(),INDEX(Capability!$K$5:$K$54,$B$23))</f>
        <v/>
      </c>
      <c r="DU172">
        <f>IF(ISNA(DR172),NA(),INDEX(Capability!$J$5:$J$54,$B$23))</f>
        <v/>
      </c>
      <c r="DV172">
        <f>IF(ISNA(DR172),NA(),INDEX(Capability!$L$5:$L$54,$B$23))</f>
        <v/>
      </c>
      <c r="DW172">
        <f>IF(OR(ISNA(DS172),ISNA(DS171)),NA(),ABS(DS172-DS171))</f>
        <v/>
      </c>
      <c r="DX172">
        <f>IF(ISNA(DR172),NA(),INDEX(Capability!$N$5:$N$54,$B$23))</f>
        <v/>
      </c>
      <c r="DY172">
        <f>IF(ISNA(DR172),NA(),IF(OR(INDEX(Capability!$Q$5:$Q$54,$B$23)="",Settings!$F$7&lt;&gt;"Y"),NA(),INDEX(Capability!$Q$5:$Q$54,$B$23)))</f>
        <v/>
      </c>
      <c r="DZ172">
        <f>IF(ISNA(DR172),NA(),IF(OR(INDEX(Capability!$P$5:$P$54,$B$23)="",Settings!$F$7&lt;&gt;"Y"),NA(),INDEX(Capability!$P$5:$P$54,$B$23)))</f>
        <v/>
      </c>
    </row>
    <row r="173">
      <c r="CB173">
        <f>IF((CE$1+169)&gt;CC$1,NA(),(CE$1+169)-4)</f>
        <v/>
      </c>
      <c r="CC173">
        <f>IF((CE$1+169)&gt;CC$1,NA(),INDEX('Data Entry'!$H$5:$BE$10004,(CE$1+169)-4,$B$20))</f>
        <v/>
      </c>
      <c r="CD173">
        <f>IF(ISNA(CB173),NA(),INDEX(Capability!$K$5:$K$54,$B$20))</f>
        <v/>
      </c>
      <c r="CE173">
        <f>IF(ISNA(CB173),NA(),INDEX(Capability!$J$5:$J$54,$B$20))</f>
        <v/>
      </c>
      <c r="CF173">
        <f>IF(ISNA(CB173),NA(),INDEX(Capability!$L$5:$L$54,$B$20))</f>
        <v/>
      </c>
      <c r="CG173">
        <f>IF(OR(ISNA(CC173),ISNA(CC172)),NA(),ABS(CC173-CC172))</f>
        <v/>
      </c>
      <c r="CH173">
        <f>IF(ISNA(CB173),NA(),INDEX(Capability!$N$5:$N$54,$B$20))</f>
        <v/>
      </c>
      <c r="CI173">
        <f>IF(ISNA(CB173),NA(),IF(OR(INDEX(Capability!$Q$5:$Q$54,$B$20)="",Settings!$F$7&lt;&gt;"Y"),NA(),INDEX(Capability!$Q$5:$Q$54,$B$20)))</f>
        <v/>
      </c>
      <c r="CJ173">
        <f>IF(ISNA(CB173),NA(),IF(OR(INDEX(Capability!$P$5:$P$54,$B$20)="",Settings!$F$7&lt;&gt;"Y"),NA(),INDEX(Capability!$P$5:$P$54,$B$20)))</f>
        <v/>
      </c>
      <c r="CP173">
        <f>IF((CS$1+169)&gt;CQ$1,NA(),(CS$1+169)-4)</f>
        <v/>
      </c>
      <c r="CQ173">
        <f>IF((CS$1+169)&gt;CQ$1,NA(),INDEX('Data Entry'!$H$5:$BE$10004,(CS$1+169)-4,$B$21))</f>
        <v/>
      </c>
      <c r="CR173">
        <f>IF(ISNA(CP173),NA(),INDEX(Capability!$K$5:$K$54,$B$21))</f>
        <v/>
      </c>
      <c r="CS173">
        <f>IF(ISNA(CP173),NA(),INDEX(Capability!$J$5:$J$54,$B$21))</f>
        <v/>
      </c>
      <c r="CT173">
        <f>IF(ISNA(CP173),NA(),INDEX(Capability!$L$5:$L$54,$B$21))</f>
        <v/>
      </c>
      <c r="CU173">
        <f>IF(OR(ISNA(CQ173),ISNA(CQ172)),NA(),ABS(CQ173-CQ172))</f>
        <v/>
      </c>
      <c r="CV173">
        <f>IF(ISNA(CP173),NA(),INDEX(Capability!$N$5:$N$54,$B$21))</f>
        <v/>
      </c>
      <c r="CW173">
        <f>IF(ISNA(CP173),NA(),IF(OR(INDEX(Capability!$Q$5:$Q$54,$B$21)="",Settings!$F$7&lt;&gt;"Y"),NA(),INDEX(Capability!$Q$5:$Q$54,$B$21)))</f>
        <v/>
      </c>
      <c r="CX173">
        <f>IF(ISNA(CP173),NA(),IF(OR(INDEX(Capability!$P$5:$P$54,$B$21)="",Settings!$F$7&lt;&gt;"Y"),NA(),INDEX(Capability!$P$5:$P$54,$B$21)))</f>
        <v/>
      </c>
      <c r="DD173">
        <f>IF((DG$1+169)&gt;DE$1,NA(),(DG$1+169)-4)</f>
        <v/>
      </c>
      <c r="DE173">
        <f>IF((DG$1+169)&gt;DE$1,NA(),INDEX('Data Entry'!$H$5:$BE$10004,(DG$1+169)-4,$B$22))</f>
        <v/>
      </c>
      <c r="DF173">
        <f>IF(ISNA(DD173),NA(),INDEX(Capability!$K$5:$K$54,$B$22))</f>
        <v/>
      </c>
      <c r="DG173">
        <f>IF(ISNA(DD173),NA(),INDEX(Capability!$J$5:$J$54,$B$22))</f>
        <v/>
      </c>
      <c r="DH173">
        <f>IF(ISNA(DD173),NA(),INDEX(Capability!$L$5:$L$54,$B$22))</f>
        <v/>
      </c>
      <c r="DI173">
        <f>IF(OR(ISNA(DE173),ISNA(DE172)),NA(),ABS(DE173-DE172))</f>
        <v/>
      </c>
      <c r="DJ173">
        <f>IF(ISNA(DD173),NA(),INDEX(Capability!$N$5:$N$54,$B$22))</f>
        <v/>
      </c>
      <c r="DK173">
        <f>IF(ISNA(DD173),NA(),IF(OR(INDEX(Capability!$Q$5:$Q$54,$B$22)="",Settings!$F$7&lt;&gt;"Y"),NA(),INDEX(Capability!$Q$5:$Q$54,$B$22)))</f>
        <v/>
      </c>
      <c r="DL173">
        <f>IF(ISNA(DD173),NA(),IF(OR(INDEX(Capability!$P$5:$P$54,$B$22)="",Settings!$F$7&lt;&gt;"Y"),NA(),INDEX(Capability!$P$5:$P$54,$B$22)))</f>
        <v/>
      </c>
      <c r="DR173">
        <f>IF((DU$1+169)&gt;DS$1,NA(),(DU$1+169)-4)</f>
        <v/>
      </c>
      <c r="DS173">
        <f>IF((DU$1+169)&gt;DS$1,NA(),INDEX('Data Entry'!$H$5:$BE$10004,(DU$1+169)-4,$B$23))</f>
        <v/>
      </c>
      <c r="DT173">
        <f>IF(ISNA(DR173),NA(),INDEX(Capability!$K$5:$K$54,$B$23))</f>
        <v/>
      </c>
      <c r="DU173">
        <f>IF(ISNA(DR173),NA(),INDEX(Capability!$J$5:$J$54,$B$23))</f>
        <v/>
      </c>
      <c r="DV173">
        <f>IF(ISNA(DR173),NA(),INDEX(Capability!$L$5:$L$54,$B$23))</f>
        <v/>
      </c>
      <c r="DW173">
        <f>IF(OR(ISNA(DS173),ISNA(DS172)),NA(),ABS(DS173-DS172))</f>
        <v/>
      </c>
      <c r="DX173">
        <f>IF(ISNA(DR173),NA(),INDEX(Capability!$N$5:$N$54,$B$23))</f>
        <v/>
      </c>
      <c r="DY173">
        <f>IF(ISNA(DR173),NA(),IF(OR(INDEX(Capability!$Q$5:$Q$54,$B$23)="",Settings!$F$7&lt;&gt;"Y"),NA(),INDEX(Capability!$Q$5:$Q$54,$B$23)))</f>
        <v/>
      </c>
      <c r="DZ173">
        <f>IF(ISNA(DR173),NA(),IF(OR(INDEX(Capability!$P$5:$P$54,$B$23)="",Settings!$F$7&lt;&gt;"Y"),NA(),INDEX(Capability!$P$5:$P$54,$B$23)))</f>
        <v/>
      </c>
    </row>
    <row r="174">
      <c r="CB174">
        <f>IF((CE$1+170)&gt;CC$1,NA(),(CE$1+170)-4)</f>
        <v/>
      </c>
      <c r="CC174">
        <f>IF((CE$1+170)&gt;CC$1,NA(),INDEX('Data Entry'!$H$5:$BE$10004,(CE$1+170)-4,$B$20))</f>
        <v/>
      </c>
      <c r="CD174">
        <f>IF(ISNA(CB174),NA(),INDEX(Capability!$K$5:$K$54,$B$20))</f>
        <v/>
      </c>
      <c r="CE174">
        <f>IF(ISNA(CB174),NA(),INDEX(Capability!$J$5:$J$54,$B$20))</f>
        <v/>
      </c>
      <c r="CF174">
        <f>IF(ISNA(CB174),NA(),INDEX(Capability!$L$5:$L$54,$B$20))</f>
        <v/>
      </c>
      <c r="CG174">
        <f>IF(OR(ISNA(CC174),ISNA(CC173)),NA(),ABS(CC174-CC173))</f>
        <v/>
      </c>
      <c r="CH174">
        <f>IF(ISNA(CB174),NA(),INDEX(Capability!$N$5:$N$54,$B$20))</f>
        <v/>
      </c>
      <c r="CI174">
        <f>IF(ISNA(CB174),NA(),IF(OR(INDEX(Capability!$Q$5:$Q$54,$B$20)="",Settings!$F$7&lt;&gt;"Y"),NA(),INDEX(Capability!$Q$5:$Q$54,$B$20)))</f>
        <v/>
      </c>
      <c r="CJ174">
        <f>IF(ISNA(CB174),NA(),IF(OR(INDEX(Capability!$P$5:$P$54,$B$20)="",Settings!$F$7&lt;&gt;"Y"),NA(),INDEX(Capability!$P$5:$P$54,$B$20)))</f>
        <v/>
      </c>
      <c r="CP174">
        <f>IF((CS$1+170)&gt;CQ$1,NA(),(CS$1+170)-4)</f>
        <v/>
      </c>
      <c r="CQ174">
        <f>IF((CS$1+170)&gt;CQ$1,NA(),INDEX('Data Entry'!$H$5:$BE$10004,(CS$1+170)-4,$B$21))</f>
        <v/>
      </c>
      <c r="CR174">
        <f>IF(ISNA(CP174),NA(),INDEX(Capability!$K$5:$K$54,$B$21))</f>
        <v/>
      </c>
      <c r="CS174">
        <f>IF(ISNA(CP174),NA(),INDEX(Capability!$J$5:$J$54,$B$21))</f>
        <v/>
      </c>
      <c r="CT174">
        <f>IF(ISNA(CP174),NA(),INDEX(Capability!$L$5:$L$54,$B$21))</f>
        <v/>
      </c>
      <c r="CU174">
        <f>IF(OR(ISNA(CQ174),ISNA(CQ173)),NA(),ABS(CQ174-CQ173))</f>
        <v/>
      </c>
      <c r="CV174">
        <f>IF(ISNA(CP174),NA(),INDEX(Capability!$N$5:$N$54,$B$21))</f>
        <v/>
      </c>
      <c r="CW174">
        <f>IF(ISNA(CP174),NA(),IF(OR(INDEX(Capability!$Q$5:$Q$54,$B$21)="",Settings!$F$7&lt;&gt;"Y"),NA(),INDEX(Capability!$Q$5:$Q$54,$B$21)))</f>
        <v/>
      </c>
      <c r="CX174">
        <f>IF(ISNA(CP174),NA(),IF(OR(INDEX(Capability!$P$5:$P$54,$B$21)="",Settings!$F$7&lt;&gt;"Y"),NA(),INDEX(Capability!$P$5:$P$54,$B$21)))</f>
        <v/>
      </c>
      <c r="DD174">
        <f>IF((DG$1+170)&gt;DE$1,NA(),(DG$1+170)-4)</f>
        <v/>
      </c>
      <c r="DE174">
        <f>IF((DG$1+170)&gt;DE$1,NA(),INDEX('Data Entry'!$H$5:$BE$10004,(DG$1+170)-4,$B$22))</f>
        <v/>
      </c>
      <c r="DF174">
        <f>IF(ISNA(DD174),NA(),INDEX(Capability!$K$5:$K$54,$B$22))</f>
        <v/>
      </c>
      <c r="DG174">
        <f>IF(ISNA(DD174),NA(),INDEX(Capability!$J$5:$J$54,$B$22))</f>
        <v/>
      </c>
      <c r="DH174">
        <f>IF(ISNA(DD174),NA(),INDEX(Capability!$L$5:$L$54,$B$22))</f>
        <v/>
      </c>
      <c r="DI174">
        <f>IF(OR(ISNA(DE174),ISNA(DE173)),NA(),ABS(DE174-DE173))</f>
        <v/>
      </c>
      <c r="DJ174">
        <f>IF(ISNA(DD174),NA(),INDEX(Capability!$N$5:$N$54,$B$22))</f>
        <v/>
      </c>
      <c r="DK174">
        <f>IF(ISNA(DD174),NA(),IF(OR(INDEX(Capability!$Q$5:$Q$54,$B$22)="",Settings!$F$7&lt;&gt;"Y"),NA(),INDEX(Capability!$Q$5:$Q$54,$B$22)))</f>
        <v/>
      </c>
      <c r="DL174">
        <f>IF(ISNA(DD174),NA(),IF(OR(INDEX(Capability!$P$5:$P$54,$B$22)="",Settings!$F$7&lt;&gt;"Y"),NA(),INDEX(Capability!$P$5:$P$54,$B$22)))</f>
        <v/>
      </c>
      <c r="DR174">
        <f>IF((DU$1+170)&gt;DS$1,NA(),(DU$1+170)-4)</f>
        <v/>
      </c>
      <c r="DS174">
        <f>IF((DU$1+170)&gt;DS$1,NA(),INDEX('Data Entry'!$H$5:$BE$10004,(DU$1+170)-4,$B$23))</f>
        <v/>
      </c>
      <c r="DT174">
        <f>IF(ISNA(DR174),NA(),INDEX(Capability!$K$5:$K$54,$B$23))</f>
        <v/>
      </c>
      <c r="DU174">
        <f>IF(ISNA(DR174),NA(),INDEX(Capability!$J$5:$J$54,$B$23))</f>
        <v/>
      </c>
      <c r="DV174">
        <f>IF(ISNA(DR174),NA(),INDEX(Capability!$L$5:$L$54,$B$23))</f>
        <v/>
      </c>
      <c r="DW174">
        <f>IF(OR(ISNA(DS174),ISNA(DS173)),NA(),ABS(DS174-DS173))</f>
        <v/>
      </c>
      <c r="DX174">
        <f>IF(ISNA(DR174),NA(),INDEX(Capability!$N$5:$N$54,$B$23))</f>
        <v/>
      </c>
      <c r="DY174">
        <f>IF(ISNA(DR174),NA(),IF(OR(INDEX(Capability!$Q$5:$Q$54,$B$23)="",Settings!$F$7&lt;&gt;"Y"),NA(),INDEX(Capability!$Q$5:$Q$54,$B$23)))</f>
        <v/>
      </c>
      <c r="DZ174">
        <f>IF(ISNA(DR174),NA(),IF(OR(INDEX(Capability!$P$5:$P$54,$B$23)="",Settings!$F$7&lt;&gt;"Y"),NA(),INDEX(Capability!$P$5:$P$54,$B$23)))</f>
        <v/>
      </c>
    </row>
    <row r="175">
      <c r="CB175">
        <f>IF((CE$1+171)&gt;CC$1,NA(),(CE$1+171)-4)</f>
        <v/>
      </c>
      <c r="CC175">
        <f>IF((CE$1+171)&gt;CC$1,NA(),INDEX('Data Entry'!$H$5:$BE$10004,(CE$1+171)-4,$B$20))</f>
        <v/>
      </c>
      <c r="CD175">
        <f>IF(ISNA(CB175),NA(),INDEX(Capability!$K$5:$K$54,$B$20))</f>
        <v/>
      </c>
      <c r="CE175">
        <f>IF(ISNA(CB175),NA(),INDEX(Capability!$J$5:$J$54,$B$20))</f>
        <v/>
      </c>
      <c r="CF175">
        <f>IF(ISNA(CB175),NA(),INDEX(Capability!$L$5:$L$54,$B$20))</f>
        <v/>
      </c>
      <c r="CG175">
        <f>IF(OR(ISNA(CC175),ISNA(CC174)),NA(),ABS(CC175-CC174))</f>
        <v/>
      </c>
      <c r="CH175">
        <f>IF(ISNA(CB175),NA(),INDEX(Capability!$N$5:$N$54,$B$20))</f>
        <v/>
      </c>
      <c r="CI175">
        <f>IF(ISNA(CB175),NA(),IF(OR(INDEX(Capability!$Q$5:$Q$54,$B$20)="",Settings!$F$7&lt;&gt;"Y"),NA(),INDEX(Capability!$Q$5:$Q$54,$B$20)))</f>
        <v/>
      </c>
      <c r="CJ175">
        <f>IF(ISNA(CB175),NA(),IF(OR(INDEX(Capability!$P$5:$P$54,$B$20)="",Settings!$F$7&lt;&gt;"Y"),NA(),INDEX(Capability!$P$5:$P$54,$B$20)))</f>
        <v/>
      </c>
      <c r="CP175">
        <f>IF((CS$1+171)&gt;CQ$1,NA(),(CS$1+171)-4)</f>
        <v/>
      </c>
      <c r="CQ175">
        <f>IF((CS$1+171)&gt;CQ$1,NA(),INDEX('Data Entry'!$H$5:$BE$10004,(CS$1+171)-4,$B$21))</f>
        <v/>
      </c>
      <c r="CR175">
        <f>IF(ISNA(CP175),NA(),INDEX(Capability!$K$5:$K$54,$B$21))</f>
        <v/>
      </c>
      <c r="CS175">
        <f>IF(ISNA(CP175),NA(),INDEX(Capability!$J$5:$J$54,$B$21))</f>
        <v/>
      </c>
      <c r="CT175">
        <f>IF(ISNA(CP175),NA(),INDEX(Capability!$L$5:$L$54,$B$21))</f>
        <v/>
      </c>
      <c r="CU175">
        <f>IF(OR(ISNA(CQ175),ISNA(CQ174)),NA(),ABS(CQ175-CQ174))</f>
        <v/>
      </c>
      <c r="CV175">
        <f>IF(ISNA(CP175),NA(),INDEX(Capability!$N$5:$N$54,$B$21))</f>
        <v/>
      </c>
      <c r="CW175">
        <f>IF(ISNA(CP175),NA(),IF(OR(INDEX(Capability!$Q$5:$Q$54,$B$21)="",Settings!$F$7&lt;&gt;"Y"),NA(),INDEX(Capability!$Q$5:$Q$54,$B$21)))</f>
        <v/>
      </c>
      <c r="CX175">
        <f>IF(ISNA(CP175),NA(),IF(OR(INDEX(Capability!$P$5:$P$54,$B$21)="",Settings!$F$7&lt;&gt;"Y"),NA(),INDEX(Capability!$P$5:$P$54,$B$21)))</f>
        <v/>
      </c>
      <c r="DD175">
        <f>IF((DG$1+171)&gt;DE$1,NA(),(DG$1+171)-4)</f>
        <v/>
      </c>
      <c r="DE175">
        <f>IF((DG$1+171)&gt;DE$1,NA(),INDEX('Data Entry'!$H$5:$BE$10004,(DG$1+171)-4,$B$22))</f>
        <v/>
      </c>
      <c r="DF175">
        <f>IF(ISNA(DD175),NA(),INDEX(Capability!$K$5:$K$54,$B$22))</f>
        <v/>
      </c>
      <c r="DG175">
        <f>IF(ISNA(DD175),NA(),INDEX(Capability!$J$5:$J$54,$B$22))</f>
        <v/>
      </c>
      <c r="DH175">
        <f>IF(ISNA(DD175),NA(),INDEX(Capability!$L$5:$L$54,$B$22))</f>
        <v/>
      </c>
      <c r="DI175">
        <f>IF(OR(ISNA(DE175),ISNA(DE174)),NA(),ABS(DE175-DE174))</f>
        <v/>
      </c>
      <c r="DJ175">
        <f>IF(ISNA(DD175),NA(),INDEX(Capability!$N$5:$N$54,$B$22))</f>
        <v/>
      </c>
      <c r="DK175">
        <f>IF(ISNA(DD175),NA(),IF(OR(INDEX(Capability!$Q$5:$Q$54,$B$22)="",Settings!$F$7&lt;&gt;"Y"),NA(),INDEX(Capability!$Q$5:$Q$54,$B$22)))</f>
        <v/>
      </c>
      <c r="DL175">
        <f>IF(ISNA(DD175),NA(),IF(OR(INDEX(Capability!$P$5:$P$54,$B$22)="",Settings!$F$7&lt;&gt;"Y"),NA(),INDEX(Capability!$P$5:$P$54,$B$22)))</f>
        <v/>
      </c>
      <c r="DR175">
        <f>IF((DU$1+171)&gt;DS$1,NA(),(DU$1+171)-4)</f>
        <v/>
      </c>
      <c r="DS175">
        <f>IF((DU$1+171)&gt;DS$1,NA(),INDEX('Data Entry'!$H$5:$BE$10004,(DU$1+171)-4,$B$23))</f>
        <v/>
      </c>
      <c r="DT175">
        <f>IF(ISNA(DR175),NA(),INDEX(Capability!$K$5:$K$54,$B$23))</f>
        <v/>
      </c>
      <c r="DU175">
        <f>IF(ISNA(DR175),NA(),INDEX(Capability!$J$5:$J$54,$B$23))</f>
        <v/>
      </c>
      <c r="DV175">
        <f>IF(ISNA(DR175),NA(),INDEX(Capability!$L$5:$L$54,$B$23))</f>
        <v/>
      </c>
      <c r="DW175">
        <f>IF(OR(ISNA(DS175),ISNA(DS174)),NA(),ABS(DS175-DS174))</f>
        <v/>
      </c>
      <c r="DX175">
        <f>IF(ISNA(DR175),NA(),INDEX(Capability!$N$5:$N$54,$B$23))</f>
        <v/>
      </c>
      <c r="DY175">
        <f>IF(ISNA(DR175),NA(),IF(OR(INDEX(Capability!$Q$5:$Q$54,$B$23)="",Settings!$F$7&lt;&gt;"Y"),NA(),INDEX(Capability!$Q$5:$Q$54,$B$23)))</f>
        <v/>
      </c>
      <c r="DZ175">
        <f>IF(ISNA(DR175),NA(),IF(OR(INDEX(Capability!$P$5:$P$54,$B$23)="",Settings!$F$7&lt;&gt;"Y"),NA(),INDEX(Capability!$P$5:$P$54,$B$23)))</f>
        <v/>
      </c>
    </row>
    <row r="176">
      <c r="CB176">
        <f>IF((CE$1+172)&gt;CC$1,NA(),(CE$1+172)-4)</f>
        <v/>
      </c>
      <c r="CC176">
        <f>IF((CE$1+172)&gt;CC$1,NA(),INDEX('Data Entry'!$H$5:$BE$10004,(CE$1+172)-4,$B$20))</f>
        <v/>
      </c>
      <c r="CD176">
        <f>IF(ISNA(CB176),NA(),INDEX(Capability!$K$5:$K$54,$B$20))</f>
        <v/>
      </c>
      <c r="CE176">
        <f>IF(ISNA(CB176),NA(),INDEX(Capability!$J$5:$J$54,$B$20))</f>
        <v/>
      </c>
      <c r="CF176">
        <f>IF(ISNA(CB176),NA(),INDEX(Capability!$L$5:$L$54,$B$20))</f>
        <v/>
      </c>
      <c r="CG176">
        <f>IF(OR(ISNA(CC176),ISNA(CC175)),NA(),ABS(CC176-CC175))</f>
        <v/>
      </c>
      <c r="CH176">
        <f>IF(ISNA(CB176),NA(),INDEX(Capability!$N$5:$N$54,$B$20))</f>
        <v/>
      </c>
      <c r="CI176">
        <f>IF(ISNA(CB176),NA(),IF(OR(INDEX(Capability!$Q$5:$Q$54,$B$20)="",Settings!$F$7&lt;&gt;"Y"),NA(),INDEX(Capability!$Q$5:$Q$54,$B$20)))</f>
        <v/>
      </c>
      <c r="CJ176">
        <f>IF(ISNA(CB176),NA(),IF(OR(INDEX(Capability!$P$5:$P$54,$B$20)="",Settings!$F$7&lt;&gt;"Y"),NA(),INDEX(Capability!$P$5:$P$54,$B$20)))</f>
        <v/>
      </c>
      <c r="CP176">
        <f>IF((CS$1+172)&gt;CQ$1,NA(),(CS$1+172)-4)</f>
        <v/>
      </c>
      <c r="CQ176">
        <f>IF((CS$1+172)&gt;CQ$1,NA(),INDEX('Data Entry'!$H$5:$BE$10004,(CS$1+172)-4,$B$21))</f>
        <v/>
      </c>
      <c r="CR176">
        <f>IF(ISNA(CP176),NA(),INDEX(Capability!$K$5:$K$54,$B$21))</f>
        <v/>
      </c>
      <c r="CS176">
        <f>IF(ISNA(CP176),NA(),INDEX(Capability!$J$5:$J$54,$B$21))</f>
        <v/>
      </c>
      <c r="CT176">
        <f>IF(ISNA(CP176),NA(),INDEX(Capability!$L$5:$L$54,$B$21))</f>
        <v/>
      </c>
      <c r="CU176">
        <f>IF(OR(ISNA(CQ176),ISNA(CQ175)),NA(),ABS(CQ176-CQ175))</f>
        <v/>
      </c>
      <c r="CV176">
        <f>IF(ISNA(CP176),NA(),INDEX(Capability!$N$5:$N$54,$B$21))</f>
        <v/>
      </c>
      <c r="CW176">
        <f>IF(ISNA(CP176),NA(),IF(OR(INDEX(Capability!$Q$5:$Q$54,$B$21)="",Settings!$F$7&lt;&gt;"Y"),NA(),INDEX(Capability!$Q$5:$Q$54,$B$21)))</f>
        <v/>
      </c>
      <c r="CX176">
        <f>IF(ISNA(CP176),NA(),IF(OR(INDEX(Capability!$P$5:$P$54,$B$21)="",Settings!$F$7&lt;&gt;"Y"),NA(),INDEX(Capability!$P$5:$P$54,$B$21)))</f>
        <v/>
      </c>
      <c r="DD176">
        <f>IF((DG$1+172)&gt;DE$1,NA(),(DG$1+172)-4)</f>
        <v/>
      </c>
      <c r="DE176">
        <f>IF((DG$1+172)&gt;DE$1,NA(),INDEX('Data Entry'!$H$5:$BE$10004,(DG$1+172)-4,$B$22))</f>
        <v/>
      </c>
      <c r="DF176">
        <f>IF(ISNA(DD176),NA(),INDEX(Capability!$K$5:$K$54,$B$22))</f>
        <v/>
      </c>
      <c r="DG176">
        <f>IF(ISNA(DD176),NA(),INDEX(Capability!$J$5:$J$54,$B$22))</f>
        <v/>
      </c>
      <c r="DH176">
        <f>IF(ISNA(DD176),NA(),INDEX(Capability!$L$5:$L$54,$B$22))</f>
        <v/>
      </c>
      <c r="DI176">
        <f>IF(OR(ISNA(DE176),ISNA(DE175)),NA(),ABS(DE176-DE175))</f>
        <v/>
      </c>
      <c r="DJ176">
        <f>IF(ISNA(DD176),NA(),INDEX(Capability!$N$5:$N$54,$B$22))</f>
        <v/>
      </c>
      <c r="DK176">
        <f>IF(ISNA(DD176),NA(),IF(OR(INDEX(Capability!$Q$5:$Q$54,$B$22)="",Settings!$F$7&lt;&gt;"Y"),NA(),INDEX(Capability!$Q$5:$Q$54,$B$22)))</f>
        <v/>
      </c>
      <c r="DL176">
        <f>IF(ISNA(DD176),NA(),IF(OR(INDEX(Capability!$P$5:$P$54,$B$22)="",Settings!$F$7&lt;&gt;"Y"),NA(),INDEX(Capability!$P$5:$P$54,$B$22)))</f>
        <v/>
      </c>
      <c r="DR176">
        <f>IF((DU$1+172)&gt;DS$1,NA(),(DU$1+172)-4)</f>
        <v/>
      </c>
      <c r="DS176">
        <f>IF((DU$1+172)&gt;DS$1,NA(),INDEX('Data Entry'!$H$5:$BE$10004,(DU$1+172)-4,$B$23))</f>
        <v/>
      </c>
      <c r="DT176">
        <f>IF(ISNA(DR176),NA(),INDEX(Capability!$K$5:$K$54,$B$23))</f>
        <v/>
      </c>
      <c r="DU176">
        <f>IF(ISNA(DR176),NA(),INDEX(Capability!$J$5:$J$54,$B$23))</f>
        <v/>
      </c>
      <c r="DV176">
        <f>IF(ISNA(DR176),NA(),INDEX(Capability!$L$5:$L$54,$B$23))</f>
        <v/>
      </c>
      <c r="DW176">
        <f>IF(OR(ISNA(DS176),ISNA(DS175)),NA(),ABS(DS176-DS175))</f>
        <v/>
      </c>
      <c r="DX176">
        <f>IF(ISNA(DR176),NA(),INDEX(Capability!$N$5:$N$54,$B$23))</f>
        <v/>
      </c>
      <c r="DY176">
        <f>IF(ISNA(DR176),NA(),IF(OR(INDEX(Capability!$Q$5:$Q$54,$B$23)="",Settings!$F$7&lt;&gt;"Y"),NA(),INDEX(Capability!$Q$5:$Q$54,$B$23)))</f>
        <v/>
      </c>
      <c r="DZ176">
        <f>IF(ISNA(DR176),NA(),IF(OR(INDEX(Capability!$P$5:$P$54,$B$23)="",Settings!$F$7&lt;&gt;"Y"),NA(),INDEX(Capability!$P$5:$P$54,$B$23)))</f>
        <v/>
      </c>
    </row>
    <row r="177">
      <c r="CB177">
        <f>IF((CE$1+173)&gt;CC$1,NA(),(CE$1+173)-4)</f>
        <v/>
      </c>
      <c r="CC177">
        <f>IF((CE$1+173)&gt;CC$1,NA(),INDEX('Data Entry'!$H$5:$BE$10004,(CE$1+173)-4,$B$20))</f>
        <v/>
      </c>
      <c r="CD177">
        <f>IF(ISNA(CB177),NA(),INDEX(Capability!$K$5:$K$54,$B$20))</f>
        <v/>
      </c>
      <c r="CE177">
        <f>IF(ISNA(CB177),NA(),INDEX(Capability!$J$5:$J$54,$B$20))</f>
        <v/>
      </c>
      <c r="CF177">
        <f>IF(ISNA(CB177),NA(),INDEX(Capability!$L$5:$L$54,$B$20))</f>
        <v/>
      </c>
      <c r="CG177">
        <f>IF(OR(ISNA(CC177),ISNA(CC176)),NA(),ABS(CC177-CC176))</f>
        <v/>
      </c>
      <c r="CH177">
        <f>IF(ISNA(CB177),NA(),INDEX(Capability!$N$5:$N$54,$B$20))</f>
        <v/>
      </c>
      <c r="CI177">
        <f>IF(ISNA(CB177),NA(),IF(OR(INDEX(Capability!$Q$5:$Q$54,$B$20)="",Settings!$F$7&lt;&gt;"Y"),NA(),INDEX(Capability!$Q$5:$Q$54,$B$20)))</f>
        <v/>
      </c>
      <c r="CJ177">
        <f>IF(ISNA(CB177),NA(),IF(OR(INDEX(Capability!$P$5:$P$54,$B$20)="",Settings!$F$7&lt;&gt;"Y"),NA(),INDEX(Capability!$P$5:$P$54,$B$20)))</f>
        <v/>
      </c>
      <c r="CP177">
        <f>IF((CS$1+173)&gt;CQ$1,NA(),(CS$1+173)-4)</f>
        <v/>
      </c>
      <c r="CQ177">
        <f>IF((CS$1+173)&gt;CQ$1,NA(),INDEX('Data Entry'!$H$5:$BE$10004,(CS$1+173)-4,$B$21))</f>
        <v/>
      </c>
      <c r="CR177">
        <f>IF(ISNA(CP177),NA(),INDEX(Capability!$K$5:$K$54,$B$21))</f>
        <v/>
      </c>
      <c r="CS177">
        <f>IF(ISNA(CP177),NA(),INDEX(Capability!$J$5:$J$54,$B$21))</f>
        <v/>
      </c>
      <c r="CT177">
        <f>IF(ISNA(CP177),NA(),INDEX(Capability!$L$5:$L$54,$B$21))</f>
        <v/>
      </c>
      <c r="CU177">
        <f>IF(OR(ISNA(CQ177),ISNA(CQ176)),NA(),ABS(CQ177-CQ176))</f>
        <v/>
      </c>
      <c r="CV177">
        <f>IF(ISNA(CP177),NA(),INDEX(Capability!$N$5:$N$54,$B$21))</f>
        <v/>
      </c>
      <c r="CW177">
        <f>IF(ISNA(CP177),NA(),IF(OR(INDEX(Capability!$Q$5:$Q$54,$B$21)="",Settings!$F$7&lt;&gt;"Y"),NA(),INDEX(Capability!$Q$5:$Q$54,$B$21)))</f>
        <v/>
      </c>
      <c r="CX177">
        <f>IF(ISNA(CP177),NA(),IF(OR(INDEX(Capability!$P$5:$P$54,$B$21)="",Settings!$F$7&lt;&gt;"Y"),NA(),INDEX(Capability!$P$5:$P$54,$B$21)))</f>
        <v/>
      </c>
      <c r="DD177">
        <f>IF((DG$1+173)&gt;DE$1,NA(),(DG$1+173)-4)</f>
        <v/>
      </c>
      <c r="DE177">
        <f>IF((DG$1+173)&gt;DE$1,NA(),INDEX('Data Entry'!$H$5:$BE$10004,(DG$1+173)-4,$B$22))</f>
        <v/>
      </c>
      <c r="DF177">
        <f>IF(ISNA(DD177),NA(),INDEX(Capability!$K$5:$K$54,$B$22))</f>
        <v/>
      </c>
      <c r="DG177">
        <f>IF(ISNA(DD177),NA(),INDEX(Capability!$J$5:$J$54,$B$22))</f>
        <v/>
      </c>
      <c r="DH177">
        <f>IF(ISNA(DD177),NA(),INDEX(Capability!$L$5:$L$54,$B$22))</f>
        <v/>
      </c>
      <c r="DI177">
        <f>IF(OR(ISNA(DE177),ISNA(DE176)),NA(),ABS(DE177-DE176))</f>
        <v/>
      </c>
      <c r="DJ177">
        <f>IF(ISNA(DD177),NA(),INDEX(Capability!$N$5:$N$54,$B$22))</f>
        <v/>
      </c>
      <c r="DK177">
        <f>IF(ISNA(DD177),NA(),IF(OR(INDEX(Capability!$Q$5:$Q$54,$B$22)="",Settings!$F$7&lt;&gt;"Y"),NA(),INDEX(Capability!$Q$5:$Q$54,$B$22)))</f>
        <v/>
      </c>
      <c r="DL177">
        <f>IF(ISNA(DD177),NA(),IF(OR(INDEX(Capability!$P$5:$P$54,$B$22)="",Settings!$F$7&lt;&gt;"Y"),NA(),INDEX(Capability!$P$5:$P$54,$B$22)))</f>
        <v/>
      </c>
      <c r="DR177">
        <f>IF((DU$1+173)&gt;DS$1,NA(),(DU$1+173)-4)</f>
        <v/>
      </c>
      <c r="DS177">
        <f>IF((DU$1+173)&gt;DS$1,NA(),INDEX('Data Entry'!$H$5:$BE$10004,(DU$1+173)-4,$B$23))</f>
        <v/>
      </c>
      <c r="DT177">
        <f>IF(ISNA(DR177),NA(),INDEX(Capability!$K$5:$K$54,$B$23))</f>
        <v/>
      </c>
      <c r="DU177">
        <f>IF(ISNA(DR177),NA(),INDEX(Capability!$J$5:$J$54,$B$23))</f>
        <v/>
      </c>
      <c r="DV177">
        <f>IF(ISNA(DR177),NA(),INDEX(Capability!$L$5:$L$54,$B$23))</f>
        <v/>
      </c>
      <c r="DW177">
        <f>IF(OR(ISNA(DS177),ISNA(DS176)),NA(),ABS(DS177-DS176))</f>
        <v/>
      </c>
      <c r="DX177">
        <f>IF(ISNA(DR177),NA(),INDEX(Capability!$N$5:$N$54,$B$23))</f>
        <v/>
      </c>
      <c r="DY177">
        <f>IF(ISNA(DR177),NA(),IF(OR(INDEX(Capability!$Q$5:$Q$54,$B$23)="",Settings!$F$7&lt;&gt;"Y"),NA(),INDEX(Capability!$Q$5:$Q$54,$B$23)))</f>
        <v/>
      </c>
      <c r="DZ177">
        <f>IF(ISNA(DR177),NA(),IF(OR(INDEX(Capability!$P$5:$P$54,$B$23)="",Settings!$F$7&lt;&gt;"Y"),NA(),INDEX(Capability!$P$5:$P$54,$B$23)))</f>
        <v/>
      </c>
    </row>
    <row r="178">
      <c r="CB178">
        <f>IF((CE$1+174)&gt;CC$1,NA(),(CE$1+174)-4)</f>
        <v/>
      </c>
      <c r="CC178">
        <f>IF((CE$1+174)&gt;CC$1,NA(),INDEX('Data Entry'!$H$5:$BE$10004,(CE$1+174)-4,$B$20))</f>
        <v/>
      </c>
      <c r="CD178">
        <f>IF(ISNA(CB178),NA(),INDEX(Capability!$K$5:$K$54,$B$20))</f>
        <v/>
      </c>
      <c r="CE178">
        <f>IF(ISNA(CB178),NA(),INDEX(Capability!$J$5:$J$54,$B$20))</f>
        <v/>
      </c>
      <c r="CF178">
        <f>IF(ISNA(CB178),NA(),INDEX(Capability!$L$5:$L$54,$B$20))</f>
        <v/>
      </c>
      <c r="CG178">
        <f>IF(OR(ISNA(CC178),ISNA(CC177)),NA(),ABS(CC178-CC177))</f>
        <v/>
      </c>
      <c r="CH178">
        <f>IF(ISNA(CB178),NA(),INDEX(Capability!$N$5:$N$54,$B$20))</f>
        <v/>
      </c>
      <c r="CI178">
        <f>IF(ISNA(CB178),NA(),IF(OR(INDEX(Capability!$Q$5:$Q$54,$B$20)="",Settings!$F$7&lt;&gt;"Y"),NA(),INDEX(Capability!$Q$5:$Q$54,$B$20)))</f>
        <v/>
      </c>
      <c r="CJ178">
        <f>IF(ISNA(CB178),NA(),IF(OR(INDEX(Capability!$P$5:$P$54,$B$20)="",Settings!$F$7&lt;&gt;"Y"),NA(),INDEX(Capability!$P$5:$P$54,$B$20)))</f>
        <v/>
      </c>
      <c r="CP178">
        <f>IF((CS$1+174)&gt;CQ$1,NA(),(CS$1+174)-4)</f>
        <v/>
      </c>
      <c r="CQ178">
        <f>IF((CS$1+174)&gt;CQ$1,NA(),INDEX('Data Entry'!$H$5:$BE$10004,(CS$1+174)-4,$B$21))</f>
        <v/>
      </c>
      <c r="CR178">
        <f>IF(ISNA(CP178),NA(),INDEX(Capability!$K$5:$K$54,$B$21))</f>
        <v/>
      </c>
      <c r="CS178">
        <f>IF(ISNA(CP178),NA(),INDEX(Capability!$J$5:$J$54,$B$21))</f>
        <v/>
      </c>
      <c r="CT178">
        <f>IF(ISNA(CP178),NA(),INDEX(Capability!$L$5:$L$54,$B$21))</f>
        <v/>
      </c>
      <c r="CU178">
        <f>IF(OR(ISNA(CQ178),ISNA(CQ177)),NA(),ABS(CQ178-CQ177))</f>
        <v/>
      </c>
      <c r="CV178">
        <f>IF(ISNA(CP178),NA(),INDEX(Capability!$N$5:$N$54,$B$21))</f>
        <v/>
      </c>
      <c r="CW178">
        <f>IF(ISNA(CP178),NA(),IF(OR(INDEX(Capability!$Q$5:$Q$54,$B$21)="",Settings!$F$7&lt;&gt;"Y"),NA(),INDEX(Capability!$Q$5:$Q$54,$B$21)))</f>
        <v/>
      </c>
      <c r="CX178">
        <f>IF(ISNA(CP178),NA(),IF(OR(INDEX(Capability!$P$5:$P$54,$B$21)="",Settings!$F$7&lt;&gt;"Y"),NA(),INDEX(Capability!$P$5:$P$54,$B$21)))</f>
        <v/>
      </c>
      <c r="DD178">
        <f>IF((DG$1+174)&gt;DE$1,NA(),(DG$1+174)-4)</f>
        <v/>
      </c>
      <c r="DE178">
        <f>IF((DG$1+174)&gt;DE$1,NA(),INDEX('Data Entry'!$H$5:$BE$10004,(DG$1+174)-4,$B$22))</f>
        <v/>
      </c>
      <c r="DF178">
        <f>IF(ISNA(DD178),NA(),INDEX(Capability!$K$5:$K$54,$B$22))</f>
        <v/>
      </c>
      <c r="DG178">
        <f>IF(ISNA(DD178),NA(),INDEX(Capability!$J$5:$J$54,$B$22))</f>
        <v/>
      </c>
      <c r="DH178">
        <f>IF(ISNA(DD178),NA(),INDEX(Capability!$L$5:$L$54,$B$22))</f>
        <v/>
      </c>
      <c r="DI178">
        <f>IF(OR(ISNA(DE178),ISNA(DE177)),NA(),ABS(DE178-DE177))</f>
        <v/>
      </c>
      <c r="DJ178">
        <f>IF(ISNA(DD178),NA(),INDEX(Capability!$N$5:$N$54,$B$22))</f>
        <v/>
      </c>
      <c r="DK178">
        <f>IF(ISNA(DD178),NA(),IF(OR(INDEX(Capability!$Q$5:$Q$54,$B$22)="",Settings!$F$7&lt;&gt;"Y"),NA(),INDEX(Capability!$Q$5:$Q$54,$B$22)))</f>
        <v/>
      </c>
      <c r="DL178">
        <f>IF(ISNA(DD178),NA(),IF(OR(INDEX(Capability!$P$5:$P$54,$B$22)="",Settings!$F$7&lt;&gt;"Y"),NA(),INDEX(Capability!$P$5:$P$54,$B$22)))</f>
        <v/>
      </c>
      <c r="DR178">
        <f>IF((DU$1+174)&gt;DS$1,NA(),(DU$1+174)-4)</f>
        <v/>
      </c>
      <c r="DS178">
        <f>IF((DU$1+174)&gt;DS$1,NA(),INDEX('Data Entry'!$H$5:$BE$10004,(DU$1+174)-4,$B$23))</f>
        <v/>
      </c>
      <c r="DT178">
        <f>IF(ISNA(DR178),NA(),INDEX(Capability!$K$5:$K$54,$B$23))</f>
        <v/>
      </c>
      <c r="DU178">
        <f>IF(ISNA(DR178),NA(),INDEX(Capability!$J$5:$J$54,$B$23))</f>
        <v/>
      </c>
      <c r="DV178">
        <f>IF(ISNA(DR178),NA(),INDEX(Capability!$L$5:$L$54,$B$23))</f>
        <v/>
      </c>
      <c r="DW178">
        <f>IF(OR(ISNA(DS178),ISNA(DS177)),NA(),ABS(DS178-DS177))</f>
        <v/>
      </c>
      <c r="DX178">
        <f>IF(ISNA(DR178),NA(),INDEX(Capability!$N$5:$N$54,$B$23))</f>
        <v/>
      </c>
      <c r="DY178">
        <f>IF(ISNA(DR178),NA(),IF(OR(INDEX(Capability!$Q$5:$Q$54,$B$23)="",Settings!$F$7&lt;&gt;"Y"),NA(),INDEX(Capability!$Q$5:$Q$54,$B$23)))</f>
        <v/>
      </c>
      <c r="DZ178">
        <f>IF(ISNA(DR178),NA(),IF(OR(INDEX(Capability!$P$5:$P$54,$B$23)="",Settings!$F$7&lt;&gt;"Y"),NA(),INDEX(Capability!$P$5:$P$54,$B$23)))</f>
        <v/>
      </c>
    </row>
    <row r="179">
      <c r="CB179">
        <f>IF((CE$1+175)&gt;CC$1,NA(),(CE$1+175)-4)</f>
        <v/>
      </c>
      <c r="CC179">
        <f>IF((CE$1+175)&gt;CC$1,NA(),INDEX('Data Entry'!$H$5:$BE$10004,(CE$1+175)-4,$B$20))</f>
        <v/>
      </c>
      <c r="CD179">
        <f>IF(ISNA(CB179),NA(),INDEX(Capability!$K$5:$K$54,$B$20))</f>
        <v/>
      </c>
      <c r="CE179">
        <f>IF(ISNA(CB179),NA(),INDEX(Capability!$J$5:$J$54,$B$20))</f>
        <v/>
      </c>
      <c r="CF179">
        <f>IF(ISNA(CB179),NA(),INDEX(Capability!$L$5:$L$54,$B$20))</f>
        <v/>
      </c>
      <c r="CG179">
        <f>IF(OR(ISNA(CC179),ISNA(CC178)),NA(),ABS(CC179-CC178))</f>
        <v/>
      </c>
      <c r="CH179">
        <f>IF(ISNA(CB179),NA(),INDEX(Capability!$N$5:$N$54,$B$20))</f>
        <v/>
      </c>
      <c r="CI179">
        <f>IF(ISNA(CB179),NA(),IF(OR(INDEX(Capability!$Q$5:$Q$54,$B$20)="",Settings!$F$7&lt;&gt;"Y"),NA(),INDEX(Capability!$Q$5:$Q$54,$B$20)))</f>
        <v/>
      </c>
      <c r="CJ179">
        <f>IF(ISNA(CB179),NA(),IF(OR(INDEX(Capability!$P$5:$P$54,$B$20)="",Settings!$F$7&lt;&gt;"Y"),NA(),INDEX(Capability!$P$5:$P$54,$B$20)))</f>
        <v/>
      </c>
      <c r="CP179">
        <f>IF((CS$1+175)&gt;CQ$1,NA(),(CS$1+175)-4)</f>
        <v/>
      </c>
      <c r="CQ179">
        <f>IF((CS$1+175)&gt;CQ$1,NA(),INDEX('Data Entry'!$H$5:$BE$10004,(CS$1+175)-4,$B$21))</f>
        <v/>
      </c>
      <c r="CR179">
        <f>IF(ISNA(CP179),NA(),INDEX(Capability!$K$5:$K$54,$B$21))</f>
        <v/>
      </c>
      <c r="CS179">
        <f>IF(ISNA(CP179),NA(),INDEX(Capability!$J$5:$J$54,$B$21))</f>
        <v/>
      </c>
      <c r="CT179">
        <f>IF(ISNA(CP179),NA(),INDEX(Capability!$L$5:$L$54,$B$21))</f>
        <v/>
      </c>
      <c r="CU179">
        <f>IF(OR(ISNA(CQ179),ISNA(CQ178)),NA(),ABS(CQ179-CQ178))</f>
        <v/>
      </c>
      <c r="CV179">
        <f>IF(ISNA(CP179),NA(),INDEX(Capability!$N$5:$N$54,$B$21))</f>
        <v/>
      </c>
      <c r="CW179">
        <f>IF(ISNA(CP179),NA(),IF(OR(INDEX(Capability!$Q$5:$Q$54,$B$21)="",Settings!$F$7&lt;&gt;"Y"),NA(),INDEX(Capability!$Q$5:$Q$54,$B$21)))</f>
        <v/>
      </c>
      <c r="CX179">
        <f>IF(ISNA(CP179),NA(),IF(OR(INDEX(Capability!$P$5:$P$54,$B$21)="",Settings!$F$7&lt;&gt;"Y"),NA(),INDEX(Capability!$P$5:$P$54,$B$21)))</f>
        <v/>
      </c>
      <c r="DD179">
        <f>IF((DG$1+175)&gt;DE$1,NA(),(DG$1+175)-4)</f>
        <v/>
      </c>
      <c r="DE179">
        <f>IF((DG$1+175)&gt;DE$1,NA(),INDEX('Data Entry'!$H$5:$BE$10004,(DG$1+175)-4,$B$22))</f>
        <v/>
      </c>
      <c r="DF179">
        <f>IF(ISNA(DD179),NA(),INDEX(Capability!$K$5:$K$54,$B$22))</f>
        <v/>
      </c>
      <c r="DG179">
        <f>IF(ISNA(DD179),NA(),INDEX(Capability!$J$5:$J$54,$B$22))</f>
        <v/>
      </c>
      <c r="DH179">
        <f>IF(ISNA(DD179),NA(),INDEX(Capability!$L$5:$L$54,$B$22))</f>
        <v/>
      </c>
      <c r="DI179">
        <f>IF(OR(ISNA(DE179),ISNA(DE178)),NA(),ABS(DE179-DE178))</f>
        <v/>
      </c>
      <c r="DJ179">
        <f>IF(ISNA(DD179),NA(),INDEX(Capability!$N$5:$N$54,$B$22))</f>
        <v/>
      </c>
      <c r="DK179">
        <f>IF(ISNA(DD179),NA(),IF(OR(INDEX(Capability!$Q$5:$Q$54,$B$22)="",Settings!$F$7&lt;&gt;"Y"),NA(),INDEX(Capability!$Q$5:$Q$54,$B$22)))</f>
        <v/>
      </c>
      <c r="DL179">
        <f>IF(ISNA(DD179),NA(),IF(OR(INDEX(Capability!$P$5:$P$54,$B$22)="",Settings!$F$7&lt;&gt;"Y"),NA(),INDEX(Capability!$P$5:$P$54,$B$22)))</f>
        <v/>
      </c>
      <c r="DR179">
        <f>IF((DU$1+175)&gt;DS$1,NA(),(DU$1+175)-4)</f>
        <v/>
      </c>
      <c r="DS179">
        <f>IF((DU$1+175)&gt;DS$1,NA(),INDEX('Data Entry'!$H$5:$BE$10004,(DU$1+175)-4,$B$23))</f>
        <v/>
      </c>
      <c r="DT179">
        <f>IF(ISNA(DR179),NA(),INDEX(Capability!$K$5:$K$54,$B$23))</f>
        <v/>
      </c>
      <c r="DU179">
        <f>IF(ISNA(DR179),NA(),INDEX(Capability!$J$5:$J$54,$B$23))</f>
        <v/>
      </c>
      <c r="DV179">
        <f>IF(ISNA(DR179),NA(),INDEX(Capability!$L$5:$L$54,$B$23))</f>
        <v/>
      </c>
      <c r="DW179">
        <f>IF(OR(ISNA(DS179),ISNA(DS178)),NA(),ABS(DS179-DS178))</f>
        <v/>
      </c>
      <c r="DX179">
        <f>IF(ISNA(DR179),NA(),INDEX(Capability!$N$5:$N$54,$B$23))</f>
        <v/>
      </c>
      <c r="DY179">
        <f>IF(ISNA(DR179),NA(),IF(OR(INDEX(Capability!$Q$5:$Q$54,$B$23)="",Settings!$F$7&lt;&gt;"Y"),NA(),INDEX(Capability!$Q$5:$Q$54,$B$23)))</f>
        <v/>
      </c>
      <c r="DZ179">
        <f>IF(ISNA(DR179),NA(),IF(OR(INDEX(Capability!$P$5:$P$54,$B$23)="",Settings!$F$7&lt;&gt;"Y"),NA(),INDEX(Capability!$P$5:$P$54,$B$23)))</f>
        <v/>
      </c>
    </row>
    <row r="180">
      <c r="CB180">
        <f>IF((CE$1+176)&gt;CC$1,NA(),(CE$1+176)-4)</f>
        <v/>
      </c>
      <c r="CC180">
        <f>IF((CE$1+176)&gt;CC$1,NA(),INDEX('Data Entry'!$H$5:$BE$10004,(CE$1+176)-4,$B$20))</f>
        <v/>
      </c>
      <c r="CD180">
        <f>IF(ISNA(CB180),NA(),INDEX(Capability!$K$5:$K$54,$B$20))</f>
        <v/>
      </c>
      <c r="CE180">
        <f>IF(ISNA(CB180),NA(),INDEX(Capability!$J$5:$J$54,$B$20))</f>
        <v/>
      </c>
      <c r="CF180">
        <f>IF(ISNA(CB180),NA(),INDEX(Capability!$L$5:$L$54,$B$20))</f>
        <v/>
      </c>
      <c r="CG180">
        <f>IF(OR(ISNA(CC180),ISNA(CC179)),NA(),ABS(CC180-CC179))</f>
        <v/>
      </c>
      <c r="CH180">
        <f>IF(ISNA(CB180),NA(),INDEX(Capability!$N$5:$N$54,$B$20))</f>
        <v/>
      </c>
      <c r="CI180">
        <f>IF(ISNA(CB180),NA(),IF(OR(INDEX(Capability!$Q$5:$Q$54,$B$20)="",Settings!$F$7&lt;&gt;"Y"),NA(),INDEX(Capability!$Q$5:$Q$54,$B$20)))</f>
        <v/>
      </c>
      <c r="CJ180">
        <f>IF(ISNA(CB180),NA(),IF(OR(INDEX(Capability!$P$5:$P$54,$B$20)="",Settings!$F$7&lt;&gt;"Y"),NA(),INDEX(Capability!$P$5:$P$54,$B$20)))</f>
        <v/>
      </c>
      <c r="CP180">
        <f>IF((CS$1+176)&gt;CQ$1,NA(),(CS$1+176)-4)</f>
        <v/>
      </c>
      <c r="CQ180">
        <f>IF((CS$1+176)&gt;CQ$1,NA(),INDEX('Data Entry'!$H$5:$BE$10004,(CS$1+176)-4,$B$21))</f>
        <v/>
      </c>
      <c r="CR180">
        <f>IF(ISNA(CP180),NA(),INDEX(Capability!$K$5:$K$54,$B$21))</f>
        <v/>
      </c>
      <c r="CS180">
        <f>IF(ISNA(CP180),NA(),INDEX(Capability!$J$5:$J$54,$B$21))</f>
        <v/>
      </c>
      <c r="CT180">
        <f>IF(ISNA(CP180),NA(),INDEX(Capability!$L$5:$L$54,$B$21))</f>
        <v/>
      </c>
      <c r="CU180">
        <f>IF(OR(ISNA(CQ180),ISNA(CQ179)),NA(),ABS(CQ180-CQ179))</f>
        <v/>
      </c>
      <c r="CV180">
        <f>IF(ISNA(CP180),NA(),INDEX(Capability!$N$5:$N$54,$B$21))</f>
        <v/>
      </c>
      <c r="CW180">
        <f>IF(ISNA(CP180),NA(),IF(OR(INDEX(Capability!$Q$5:$Q$54,$B$21)="",Settings!$F$7&lt;&gt;"Y"),NA(),INDEX(Capability!$Q$5:$Q$54,$B$21)))</f>
        <v/>
      </c>
      <c r="CX180">
        <f>IF(ISNA(CP180),NA(),IF(OR(INDEX(Capability!$P$5:$P$54,$B$21)="",Settings!$F$7&lt;&gt;"Y"),NA(),INDEX(Capability!$P$5:$P$54,$B$21)))</f>
        <v/>
      </c>
      <c r="DD180">
        <f>IF((DG$1+176)&gt;DE$1,NA(),(DG$1+176)-4)</f>
        <v/>
      </c>
      <c r="DE180">
        <f>IF((DG$1+176)&gt;DE$1,NA(),INDEX('Data Entry'!$H$5:$BE$10004,(DG$1+176)-4,$B$22))</f>
        <v/>
      </c>
      <c r="DF180">
        <f>IF(ISNA(DD180),NA(),INDEX(Capability!$K$5:$K$54,$B$22))</f>
        <v/>
      </c>
      <c r="DG180">
        <f>IF(ISNA(DD180),NA(),INDEX(Capability!$J$5:$J$54,$B$22))</f>
        <v/>
      </c>
      <c r="DH180">
        <f>IF(ISNA(DD180),NA(),INDEX(Capability!$L$5:$L$54,$B$22))</f>
        <v/>
      </c>
      <c r="DI180">
        <f>IF(OR(ISNA(DE180),ISNA(DE179)),NA(),ABS(DE180-DE179))</f>
        <v/>
      </c>
      <c r="DJ180">
        <f>IF(ISNA(DD180),NA(),INDEX(Capability!$N$5:$N$54,$B$22))</f>
        <v/>
      </c>
      <c r="DK180">
        <f>IF(ISNA(DD180),NA(),IF(OR(INDEX(Capability!$Q$5:$Q$54,$B$22)="",Settings!$F$7&lt;&gt;"Y"),NA(),INDEX(Capability!$Q$5:$Q$54,$B$22)))</f>
        <v/>
      </c>
      <c r="DL180">
        <f>IF(ISNA(DD180),NA(),IF(OR(INDEX(Capability!$P$5:$P$54,$B$22)="",Settings!$F$7&lt;&gt;"Y"),NA(),INDEX(Capability!$P$5:$P$54,$B$22)))</f>
        <v/>
      </c>
      <c r="DR180">
        <f>IF((DU$1+176)&gt;DS$1,NA(),(DU$1+176)-4)</f>
        <v/>
      </c>
      <c r="DS180">
        <f>IF((DU$1+176)&gt;DS$1,NA(),INDEX('Data Entry'!$H$5:$BE$10004,(DU$1+176)-4,$B$23))</f>
        <v/>
      </c>
      <c r="DT180">
        <f>IF(ISNA(DR180),NA(),INDEX(Capability!$K$5:$K$54,$B$23))</f>
        <v/>
      </c>
      <c r="DU180">
        <f>IF(ISNA(DR180),NA(),INDEX(Capability!$J$5:$J$54,$B$23))</f>
        <v/>
      </c>
      <c r="DV180">
        <f>IF(ISNA(DR180),NA(),INDEX(Capability!$L$5:$L$54,$B$23))</f>
        <v/>
      </c>
      <c r="DW180">
        <f>IF(OR(ISNA(DS180),ISNA(DS179)),NA(),ABS(DS180-DS179))</f>
        <v/>
      </c>
      <c r="DX180">
        <f>IF(ISNA(DR180),NA(),INDEX(Capability!$N$5:$N$54,$B$23))</f>
        <v/>
      </c>
      <c r="DY180">
        <f>IF(ISNA(DR180),NA(),IF(OR(INDEX(Capability!$Q$5:$Q$54,$B$23)="",Settings!$F$7&lt;&gt;"Y"),NA(),INDEX(Capability!$Q$5:$Q$54,$B$23)))</f>
        <v/>
      </c>
      <c r="DZ180">
        <f>IF(ISNA(DR180),NA(),IF(OR(INDEX(Capability!$P$5:$P$54,$B$23)="",Settings!$F$7&lt;&gt;"Y"),NA(),INDEX(Capability!$P$5:$P$54,$B$23)))</f>
        <v/>
      </c>
    </row>
    <row r="181">
      <c r="CB181">
        <f>IF((CE$1+177)&gt;CC$1,NA(),(CE$1+177)-4)</f>
        <v/>
      </c>
      <c r="CC181">
        <f>IF((CE$1+177)&gt;CC$1,NA(),INDEX('Data Entry'!$H$5:$BE$10004,(CE$1+177)-4,$B$20))</f>
        <v/>
      </c>
      <c r="CD181">
        <f>IF(ISNA(CB181),NA(),INDEX(Capability!$K$5:$K$54,$B$20))</f>
        <v/>
      </c>
      <c r="CE181">
        <f>IF(ISNA(CB181),NA(),INDEX(Capability!$J$5:$J$54,$B$20))</f>
        <v/>
      </c>
      <c r="CF181">
        <f>IF(ISNA(CB181),NA(),INDEX(Capability!$L$5:$L$54,$B$20))</f>
        <v/>
      </c>
      <c r="CG181">
        <f>IF(OR(ISNA(CC181),ISNA(CC180)),NA(),ABS(CC181-CC180))</f>
        <v/>
      </c>
      <c r="CH181">
        <f>IF(ISNA(CB181),NA(),INDEX(Capability!$N$5:$N$54,$B$20))</f>
        <v/>
      </c>
      <c r="CI181">
        <f>IF(ISNA(CB181),NA(),IF(OR(INDEX(Capability!$Q$5:$Q$54,$B$20)="",Settings!$F$7&lt;&gt;"Y"),NA(),INDEX(Capability!$Q$5:$Q$54,$B$20)))</f>
        <v/>
      </c>
      <c r="CJ181">
        <f>IF(ISNA(CB181),NA(),IF(OR(INDEX(Capability!$P$5:$P$54,$B$20)="",Settings!$F$7&lt;&gt;"Y"),NA(),INDEX(Capability!$P$5:$P$54,$B$20)))</f>
        <v/>
      </c>
      <c r="CP181">
        <f>IF((CS$1+177)&gt;CQ$1,NA(),(CS$1+177)-4)</f>
        <v/>
      </c>
      <c r="CQ181">
        <f>IF((CS$1+177)&gt;CQ$1,NA(),INDEX('Data Entry'!$H$5:$BE$10004,(CS$1+177)-4,$B$21))</f>
        <v/>
      </c>
      <c r="CR181">
        <f>IF(ISNA(CP181),NA(),INDEX(Capability!$K$5:$K$54,$B$21))</f>
        <v/>
      </c>
      <c r="CS181">
        <f>IF(ISNA(CP181),NA(),INDEX(Capability!$J$5:$J$54,$B$21))</f>
        <v/>
      </c>
      <c r="CT181">
        <f>IF(ISNA(CP181),NA(),INDEX(Capability!$L$5:$L$54,$B$21))</f>
        <v/>
      </c>
      <c r="CU181">
        <f>IF(OR(ISNA(CQ181),ISNA(CQ180)),NA(),ABS(CQ181-CQ180))</f>
        <v/>
      </c>
      <c r="CV181">
        <f>IF(ISNA(CP181),NA(),INDEX(Capability!$N$5:$N$54,$B$21))</f>
        <v/>
      </c>
      <c r="CW181">
        <f>IF(ISNA(CP181),NA(),IF(OR(INDEX(Capability!$Q$5:$Q$54,$B$21)="",Settings!$F$7&lt;&gt;"Y"),NA(),INDEX(Capability!$Q$5:$Q$54,$B$21)))</f>
        <v/>
      </c>
      <c r="CX181">
        <f>IF(ISNA(CP181),NA(),IF(OR(INDEX(Capability!$P$5:$P$54,$B$21)="",Settings!$F$7&lt;&gt;"Y"),NA(),INDEX(Capability!$P$5:$P$54,$B$21)))</f>
        <v/>
      </c>
      <c r="DD181">
        <f>IF((DG$1+177)&gt;DE$1,NA(),(DG$1+177)-4)</f>
        <v/>
      </c>
      <c r="DE181">
        <f>IF((DG$1+177)&gt;DE$1,NA(),INDEX('Data Entry'!$H$5:$BE$10004,(DG$1+177)-4,$B$22))</f>
        <v/>
      </c>
      <c r="DF181">
        <f>IF(ISNA(DD181),NA(),INDEX(Capability!$K$5:$K$54,$B$22))</f>
        <v/>
      </c>
      <c r="DG181">
        <f>IF(ISNA(DD181),NA(),INDEX(Capability!$J$5:$J$54,$B$22))</f>
        <v/>
      </c>
      <c r="DH181">
        <f>IF(ISNA(DD181),NA(),INDEX(Capability!$L$5:$L$54,$B$22))</f>
        <v/>
      </c>
      <c r="DI181">
        <f>IF(OR(ISNA(DE181),ISNA(DE180)),NA(),ABS(DE181-DE180))</f>
        <v/>
      </c>
      <c r="DJ181">
        <f>IF(ISNA(DD181),NA(),INDEX(Capability!$N$5:$N$54,$B$22))</f>
        <v/>
      </c>
      <c r="DK181">
        <f>IF(ISNA(DD181),NA(),IF(OR(INDEX(Capability!$Q$5:$Q$54,$B$22)="",Settings!$F$7&lt;&gt;"Y"),NA(),INDEX(Capability!$Q$5:$Q$54,$B$22)))</f>
        <v/>
      </c>
      <c r="DL181">
        <f>IF(ISNA(DD181),NA(),IF(OR(INDEX(Capability!$P$5:$P$54,$B$22)="",Settings!$F$7&lt;&gt;"Y"),NA(),INDEX(Capability!$P$5:$P$54,$B$22)))</f>
        <v/>
      </c>
      <c r="DR181">
        <f>IF((DU$1+177)&gt;DS$1,NA(),(DU$1+177)-4)</f>
        <v/>
      </c>
      <c r="DS181">
        <f>IF((DU$1+177)&gt;DS$1,NA(),INDEX('Data Entry'!$H$5:$BE$10004,(DU$1+177)-4,$B$23))</f>
        <v/>
      </c>
      <c r="DT181">
        <f>IF(ISNA(DR181),NA(),INDEX(Capability!$K$5:$K$54,$B$23))</f>
        <v/>
      </c>
      <c r="DU181">
        <f>IF(ISNA(DR181),NA(),INDEX(Capability!$J$5:$J$54,$B$23))</f>
        <v/>
      </c>
      <c r="DV181">
        <f>IF(ISNA(DR181),NA(),INDEX(Capability!$L$5:$L$54,$B$23))</f>
        <v/>
      </c>
      <c r="DW181">
        <f>IF(OR(ISNA(DS181),ISNA(DS180)),NA(),ABS(DS181-DS180))</f>
        <v/>
      </c>
      <c r="DX181">
        <f>IF(ISNA(DR181),NA(),INDEX(Capability!$N$5:$N$54,$B$23))</f>
        <v/>
      </c>
      <c r="DY181">
        <f>IF(ISNA(DR181),NA(),IF(OR(INDEX(Capability!$Q$5:$Q$54,$B$23)="",Settings!$F$7&lt;&gt;"Y"),NA(),INDEX(Capability!$Q$5:$Q$54,$B$23)))</f>
        <v/>
      </c>
      <c r="DZ181">
        <f>IF(ISNA(DR181),NA(),IF(OR(INDEX(Capability!$P$5:$P$54,$B$23)="",Settings!$F$7&lt;&gt;"Y"),NA(),INDEX(Capability!$P$5:$P$54,$B$23)))</f>
        <v/>
      </c>
    </row>
    <row r="182">
      <c r="CB182">
        <f>IF((CE$1+178)&gt;CC$1,NA(),(CE$1+178)-4)</f>
        <v/>
      </c>
      <c r="CC182">
        <f>IF((CE$1+178)&gt;CC$1,NA(),INDEX('Data Entry'!$H$5:$BE$10004,(CE$1+178)-4,$B$20))</f>
        <v/>
      </c>
      <c r="CD182">
        <f>IF(ISNA(CB182),NA(),INDEX(Capability!$K$5:$K$54,$B$20))</f>
        <v/>
      </c>
      <c r="CE182">
        <f>IF(ISNA(CB182),NA(),INDEX(Capability!$J$5:$J$54,$B$20))</f>
        <v/>
      </c>
      <c r="CF182">
        <f>IF(ISNA(CB182),NA(),INDEX(Capability!$L$5:$L$54,$B$20))</f>
        <v/>
      </c>
      <c r="CG182">
        <f>IF(OR(ISNA(CC182),ISNA(CC181)),NA(),ABS(CC182-CC181))</f>
        <v/>
      </c>
      <c r="CH182">
        <f>IF(ISNA(CB182),NA(),INDEX(Capability!$N$5:$N$54,$B$20))</f>
        <v/>
      </c>
      <c r="CI182">
        <f>IF(ISNA(CB182),NA(),IF(OR(INDEX(Capability!$Q$5:$Q$54,$B$20)="",Settings!$F$7&lt;&gt;"Y"),NA(),INDEX(Capability!$Q$5:$Q$54,$B$20)))</f>
        <v/>
      </c>
      <c r="CJ182">
        <f>IF(ISNA(CB182),NA(),IF(OR(INDEX(Capability!$P$5:$P$54,$B$20)="",Settings!$F$7&lt;&gt;"Y"),NA(),INDEX(Capability!$P$5:$P$54,$B$20)))</f>
        <v/>
      </c>
      <c r="CP182">
        <f>IF((CS$1+178)&gt;CQ$1,NA(),(CS$1+178)-4)</f>
        <v/>
      </c>
      <c r="CQ182">
        <f>IF((CS$1+178)&gt;CQ$1,NA(),INDEX('Data Entry'!$H$5:$BE$10004,(CS$1+178)-4,$B$21))</f>
        <v/>
      </c>
      <c r="CR182">
        <f>IF(ISNA(CP182),NA(),INDEX(Capability!$K$5:$K$54,$B$21))</f>
        <v/>
      </c>
      <c r="CS182">
        <f>IF(ISNA(CP182),NA(),INDEX(Capability!$J$5:$J$54,$B$21))</f>
        <v/>
      </c>
      <c r="CT182">
        <f>IF(ISNA(CP182),NA(),INDEX(Capability!$L$5:$L$54,$B$21))</f>
        <v/>
      </c>
      <c r="CU182">
        <f>IF(OR(ISNA(CQ182),ISNA(CQ181)),NA(),ABS(CQ182-CQ181))</f>
        <v/>
      </c>
      <c r="CV182">
        <f>IF(ISNA(CP182),NA(),INDEX(Capability!$N$5:$N$54,$B$21))</f>
        <v/>
      </c>
      <c r="CW182">
        <f>IF(ISNA(CP182),NA(),IF(OR(INDEX(Capability!$Q$5:$Q$54,$B$21)="",Settings!$F$7&lt;&gt;"Y"),NA(),INDEX(Capability!$Q$5:$Q$54,$B$21)))</f>
        <v/>
      </c>
      <c r="CX182">
        <f>IF(ISNA(CP182),NA(),IF(OR(INDEX(Capability!$P$5:$P$54,$B$21)="",Settings!$F$7&lt;&gt;"Y"),NA(),INDEX(Capability!$P$5:$P$54,$B$21)))</f>
        <v/>
      </c>
      <c r="DD182">
        <f>IF((DG$1+178)&gt;DE$1,NA(),(DG$1+178)-4)</f>
        <v/>
      </c>
      <c r="DE182">
        <f>IF((DG$1+178)&gt;DE$1,NA(),INDEX('Data Entry'!$H$5:$BE$10004,(DG$1+178)-4,$B$22))</f>
        <v/>
      </c>
      <c r="DF182">
        <f>IF(ISNA(DD182),NA(),INDEX(Capability!$K$5:$K$54,$B$22))</f>
        <v/>
      </c>
      <c r="DG182">
        <f>IF(ISNA(DD182),NA(),INDEX(Capability!$J$5:$J$54,$B$22))</f>
        <v/>
      </c>
      <c r="DH182">
        <f>IF(ISNA(DD182),NA(),INDEX(Capability!$L$5:$L$54,$B$22))</f>
        <v/>
      </c>
      <c r="DI182">
        <f>IF(OR(ISNA(DE182),ISNA(DE181)),NA(),ABS(DE182-DE181))</f>
        <v/>
      </c>
      <c r="DJ182">
        <f>IF(ISNA(DD182),NA(),INDEX(Capability!$N$5:$N$54,$B$22))</f>
        <v/>
      </c>
      <c r="DK182">
        <f>IF(ISNA(DD182),NA(),IF(OR(INDEX(Capability!$Q$5:$Q$54,$B$22)="",Settings!$F$7&lt;&gt;"Y"),NA(),INDEX(Capability!$Q$5:$Q$54,$B$22)))</f>
        <v/>
      </c>
      <c r="DL182">
        <f>IF(ISNA(DD182),NA(),IF(OR(INDEX(Capability!$P$5:$P$54,$B$22)="",Settings!$F$7&lt;&gt;"Y"),NA(),INDEX(Capability!$P$5:$P$54,$B$22)))</f>
        <v/>
      </c>
      <c r="DR182">
        <f>IF((DU$1+178)&gt;DS$1,NA(),(DU$1+178)-4)</f>
        <v/>
      </c>
      <c r="DS182">
        <f>IF((DU$1+178)&gt;DS$1,NA(),INDEX('Data Entry'!$H$5:$BE$10004,(DU$1+178)-4,$B$23))</f>
        <v/>
      </c>
      <c r="DT182">
        <f>IF(ISNA(DR182),NA(),INDEX(Capability!$K$5:$K$54,$B$23))</f>
        <v/>
      </c>
      <c r="DU182">
        <f>IF(ISNA(DR182),NA(),INDEX(Capability!$J$5:$J$54,$B$23))</f>
        <v/>
      </c>
      <c r="DV182">
        <f>IF(ISNA(DR182),NA(),INDEX(Capability!$L$5:$L$54,$B$23))</f>
        <v/>
      </c>
      <c r="DW182">
        <f>IF(OR(ISNA(DS182),ISNA(DS181)),NA(),ABS(DS182-DS181))</f>
        <v/>
      </c>
      <c r="DX182">
        <f>IF(ISNA(DR182),NA(),INDEX(Capability!$N$5:$N$54,$B$23))</f>
        <v/>
      </c>
      <c r="DY182">
        <f>IF(ISNA(DR182),NA(),IF(OR(INDEX(Capability!$Q$5:$Q$54,$B$23)="",Settings!$F$7&lt;&gt;"Y"),NA(),INDEX(Capability!$Q$5:$Q$54,$B$23)))</f>
        <v/>
      </c>
      <c r="DZ182">
        <f>IF(ISNA(DR182),NA(),IF(OR(INDEX(Capability!$P$5:$P$54,$B$23)="",Settings!$F$7&lt;&gt;"Y"),NA(),INDEX(Capability!$P$5:$P$54,$B$23)))</f>
        <v/>
      </c>
    </row>
    <row r="183">
      <c r="CB183">
        <f>IF((CE$1+179)&gt;CC$1,NA(),(CE$1+179)-4)</f>
        <v/>
      </c>
      <c r="CC183">
        <f>IF((CE$1+179)&gt;CC$1,NA(),INDEX('Data Entry'!$H$5:$BE$10004,(CE$1+179)-4,$B$20))</f>
        <v/>
      </c>
      <c r="CD183">
        <f>IF(ISNA(CB183),NA(),INDEX(Capability!$K$5:$K$54,$B$20))</f>
        <v/>
      </c>
      <c r="CE183">
        <f>IF(ISNA(CB183),NA(),INDEX(Capability!$J$5:$J$54,$B$20))</f>
        <v/>
      </c>
      <c r="CF183">
        <f>IF(ISNA(CB183),NA(),INDEX(Capability!$L$5:$L$54,$B$20))</f>
        <v/>
      </c>
      <c r="CG183">
        <f>IF(OR(ISNA(CC183),ISNA(CC182)),NA(),ABS(CC183-CC182))</f>
        <v/>
      </c>
      <c r="CH183">
        <f>IF(ISNA(CB183),NA(),INDEX(Capability!$N$5:$N$54,$B$20))</f>
        <v/>
      </c>
      <c r="CI183">
        <f>IF(ISNA(CB183),NA(),IF(OR(INDEX(Capability!$Q$5:$Q$54,$B$20)="",Settings!$F$7&lt;&gt;"Y"),NA(),INDEX(Capability!$Q$5:$Q$54,$B$20)))</f>
        <v/>
      </c>
      <c r="CJ183">
        <f>IF(ISNA(CB183),NA(),IF(OR(INDEX(Capability!$P$5:$P$54,$B$20)="",Settings!$F$7&lt;&gt;"Y"),NA(),INDEX(Capability!$P$5:$P$54,$B$20)))</f>
        <v/>
      </c>
      <c r="CP183">
        <f>IF((CS$1+179)&gt;CQ$1,NA(),(CS$1+179)-4)</f>
        <v/>
      </c>
      <c r="CQ183">
        <f>IF((CS$1+179)&gt;CQ$1,NA(),INDEX('Data Entry'!$H$5:$BE$10004,(CS$1+179)-4,$B$21))</f>
        <v/>
      </c>
      <c r="CR183">
        <f>IF(ISNA(CP183),NA(),INDEX(Capability!$K$5:$K$54,$B$21))</f>
        <v/>
      </c>
      <c r="CS183">
        <f>IF(ISNA(CP183),NA(),INDEX(Capability!$J$5:$J$54,$B$21))</f>
        <v/>
      </c>
      <c r="CT183">
        <f>IF(ISNA(CP183),NA(),INDEX(Capability!$L$5:$L$54,$B$21))</f>
        <v/>
      </c>
      <c r="CU183">
        <f>IF(OR(ISNA(CQ183),ISNA(CQ182)),NA(),ABS(CQ183-CQ182))</f>
        <v/>
      </c>
      <c r="CV183">
        <f>IF(ISNA(CP183),NA(),INDEX(Capability!$N$5:$N$54,$B$21))</f>
        <v/>
      </c>
      <c r="CW183">
        <f>IF(ISNA(CP183),NA(),IF(OR(INDEX(Capability!$Q$5:$Q$54,$B$21)="",Settings!$F$7&lt;&gt;"Y"),NA(),INDEX(Capability!$Q$5:$Q$54,$B$21)))</f>
        <v/>
      </c>
      <c r="CX183">
        <f>IF(ISNA(CP183),NA(),IF(OR(INDEX(Capability!$P$5:$P$54,$B$21)="",Settings!$F$7&lt;&gt;"Y"),NA(),INDEX(Capability!$P$5:$P$54,$B$21)))</f>
        <v/>
      </c>
      <c r="DD183">
        <f>IF((DG$1+179)&gt;DE$1,NA(),(DG$1+179)-4)</f>
        <v/>
      </c>
      <c r="DE183">
        <f>IF((DG$1+179)&gt;DE$1,NA(),INDEX('Data Entry'!$H$5:$BE$10004,(DG$1+179)-4,$B$22))</f>
        <v/>
      </c>
      <c r="DF183">
        <f>IF(ISNA(DD183),NA(),INDEX(Capability!$K$5:$K$54,$B$22))</f>
        <v/>
      </c>
      <c r="DG183">
        <f>IF(ISNA(DD183),NA(),INDEX(Capability!$J$5:$J$54,$B$22))</f>
        <v/>
      </c>
      <c r="DH183">
        <f>IF(ISNA(DD183),NA(),INDEX(Capability!$L$5:$L$54,$B$22))</f>
        <v/>
      </c>
      <c r="DI183">
        <f>IF(OR(ISNA(DE183),ISNA(DE182)),NA(),ABS(DE183-DE182))</f>
        <v/>
      </c>
      <c r="DJ183">
        <f>IF(ISNA(DD183),NA(),INDEX(Capability!$N$5:$N$54,$B$22))</f>
        <v/>
      </c>
      <c r="DK183">
        <f>IF(ISNA(DD183),NA(),IF(OR(INDEX(Capability!$Q$5:$Q$54,$B$22)="",Settings!$F$7&lt;&gt;"Y"),NA(),INDEX(Capability!$Q$5:$Q$54,$B$22)))</f>
        <v/>
      </c>
      <c r="DL183">
        <f>IF(ISNA(DD183),NA(),IF(OR(INDEX(Capability!$P$5:$P$54,$B$22)="",Settings!$F$7&lt;&gt;"Y"),NA(),INDEX(Capability!$P$5:$P$54,$B$22)))</f>
        <v/>
      </c>
      <c r="DR183">
        <f>IF((DU$1+179)&gt;DS$1,NA(),(DU$1+179)-4)</f>
        <v/>
      </c>
      <c r="DS183">
        <f>IF((DU$1+179)&gt;DS$1,NA(),INDEX('Data Entry'!$H$5:$BE$10004,(DU$1+179)-4,$B$23))</f>
        <v/>
      </c>
      <c r="DT183">
        <f>IF(ISNA(DR183),NA(),INDEX(Capability!$K$5:$K$54,$B$23))</f>
        <v/>
      </c>
      <c r="DU183">
        <f>IF(ISNA(DR183),NA(),INDEX(Capability!$J$5:$J$54,$B$23))</f>
        <v/>
      </c>
      <c r="DV183">
        <f>IF(ISNA(DR183),NA(),INDEX(Capability!$L$5:$L$54,$B$23))</f>
        <v/>
      </c>
      <c r="DW183">
        <f>IF(OR(ISNA(DS183),ISNA(DS182)),NA(),ABS(DS183-DS182))</f>
        <v/>
      </c>
      <c r="DX183">
        <f>IF(ISNA(DR183),NA(),INDEX(Capability!$N$5:$N$54,$B$23))</f>
        <v/>
      </c>
      <c r="DY183">
        <f>IF(ISNA(DR183),NA(),IF(OR(INDEX(Capability!$Q$5:$Q$54,$B$23)="",Settings!$F$7&lt;&gt;"Y"),NA(),INDEX(Capability!$Q$5:$Q$54,$B$23)))</f>
        <v/>
      </c>
      <c r="DZ183">
        <f>IF(ISNA(DR183),NA(),IF(OR(INDEX(Capability!$P$5:$P$54,$B$23)="",Settings!$F$7&lt;&gt;"Y"),NA(),INDEX(Capability!$P$5:$P$54,$B$23)))</f>
        <v/>
      </c>
    </row>
    <row r="184">
      <c r="CB184">
        <f>IF((CE$1+180)&gt;CC$1,NA(),(CE$1+180)-4)</f>
        <v/>
      </c>
      <c r="CC184">
        <f>IF((CE$1+180)&gt;CC$1,NA(),INDEX('Data Entry'!$H$5:$BE$10004,(CE$1+180)-4,$B$20))</f>
        <v/>
      </c>
      <c r="CD184">
        <f>IF(ISNA(CB184),NA(),INDEX(Capability!$K$5:$K$54,$B$20))</f>
        <v/>
      </c>
      <c r="CE184">
        <f>IF(ISNA(CB184),NA(),INDEX(Capability!$J$5:$J$54,$B$20))</f>
        <v/>
      </c>
      <c r="CF184">
        <f>IF(ISNA(CB184),NA(),INDEX(Capability!$L$5:$L$54,$B$20))</f>
        <v/>
      </c>
      <c r="CG184">
        <f>IF(OR(ISNA(CC184),ISNA(CC183)),NA(),ABS(CC184-CC183))</f>
        <v/>
      </c>
      <c r="CH184">
        <f>IF(ISNA(CB184),NA(),INDEX(Capability!$N$5:$N$54,$B$20))</f>
        <v/>
      </c>
      <c r="CI184">
        <f>IF(ISNA(CB184),NA(),IF(OR(INDEX(Capability!$Q$5:$Q$54,$B$20)="",Settings!$F$7&lt;&gt;"Y"),NA(),INDEX(Capability!$Q$5:$Q$54,$B$20)))</f>
        <v/>
      </c>
      <c r="CJ184">
        <f>IF(ISNA(CB184),NA(),IF(OR(INDEX(Capability!$P$5:$P$54,$B$20)="",Settings!$F$7&lt;&gt;"Y"),NA(),INDEX(Capability!$P$5:$P$54,$B$20)))</f>
        <v/>
      </c>
      <c r="CP184">
        <f>IF((CS$1+180)&gt;CQ$1,NA(),(CS$1+180)-4)</f>
        <v/>
      </c>
      <c r="CQ184">
        <f>IF((CS$1+180)&gt;CQ$1,NA(),INDEX('Data Entry'!$H$5:$BE$10004,(CS$1+180)-4,$B$21))</f>
        <v/>
      </c>
      <c r="CR184">
        <f>IF(ISNA(CP184),NA(),INDEX(Capability!$K$5:$K$54,$B$21))</f>
        <v/>
      </c>
      <c r="CS184">
        <f>IF(ISNA(CP184),NA(),INDEX(Capability!$J$5:$J$54,$B$21))</f>
        <v/>
      </c>
      <c r="CT184">
        <f>IF(ISNA(CP184),NA(),INDEX(Capability!$L$5:$L$54,$B$21))</f>
        <v/>
      </c>
      <c r="CU184">
        <f>IF(OR(ISNA(CQ184),ISNA(CQ183)),NA(),ABS(CQ184-CQ183))</f>
        <v/>
      </c>
      <c r="CV184">
        <f>IF(ISNA(CP184),NA(),INDEX(Capability!$N$5:$N$54,$B$21))</f>
        <v/>
      </c>
      <c r="CW184">
        <f>IF(ISNA(CP184),NA(),IF(OR(INDEX(Capability!$Q$5:$Q$54,$B$21)="",Settings!$F$7&lt;&gt;"Y"),NA(),INDEX(Capability!$Q$5:$Q$54,$B$21)))</f>
        <v/>
      </c>
      <c r="CX184">
        <f>IF(ISNA(CP184),NA(),IF(OR(INDEX(Capability!$P$5:$P$54,$B$21)="",Settings!$F$7&lt;&gt;"Y"),NA(),INDEX(Capability!$P$5:$P$54,$B$21)))</f>
        <v/>
      </c>
      <c r="DD184">
        <f>IF((DG$1+180)&gt;DE$1,NA(),(DG$1+180)-4)</f>
        <v/>
      </c>
      <c r="DE184">
        <f>IF((DG$1+180)&gt;DE$1,NA(),INDEX('Data Entry'!$H$5:$BE$10004,(DG$1+180)-4,$B$22))</f>
        <v/>
      </c>
      <c r="DF184">
        <f>IF(ISNA(DD184),NA(),INDEX(Capability!$K$5:$K$54,$B$22))</f>
        <v/>
      </c>
      <c r="DG184">
        <f>IF(ISNA(DD184),NA(),INDEX(Capability!$J$5:$J$54,$B$22))</f>
        <v/>
      </c>
      <c r="DH184">
        <f>IF(ISNA(DD184),NA(),INDEX(Capability!$L$5:$L$54,$B$22))</f>
        <v/>
      </c>
      <c r="DI184">
        <f>IF(OR(ISNA(DE184),ISNA(DE183)),NA(),ABS(DE184-DE183))</f>
        <v/>
      </c>
      <c r="DJ184">
        <f>IF(ISNA(DD184),NA(),INDEX(Capability!$N$5:$N$54,$B$22))</f>
        <v/>
      </c>
      <c r="DK184">
        <f>IF(ISNA(DD184),NA(),IF(OR(INDEX(Capability!$Q$5:$Q$54,$B$22)="",Settings!$F$7&lt;&gt;"Y"),NA(),INDEX(Capability!$Q$5:$Q$54,$B$22)))</f>
        <v/>
      </c>
      <c r="DL184">
        <f>IF(ISNA(DD184),NA(),IF(OR(INDEX(Capability!$P$5:$P$54,$B$22)="",Settings!$F$7&lt;&gt;"Y"),NA(),INDEX(Capability!$P$5:$P$54,$B$22)))</f>
        <v/>
      </c>
      <c r="DR184">
        <f>IF((DU$1+180)&gt;DS$1,NA(),(DU$1+180)-4)</f>
        <v/>
      </c>
      <c r="DS184">
        <f>IF((DU$1+180)&gt;DS$1,NA(),INDEX('Data Entry'!$H$5:$BE$10004,(DU$1+180)-4,$B$23))</f>
        <v/>
      </c>
      <c r="DT184">
        <f>IF(ISNA(DR184),NA(),INDEX(Capability!$K$5:$K$54,$B$23))</f>
        <v/>
      </c>
      <c r="DU184">
        <f>IF(ISNA(DR184),NA(),INDEX(Capability!$J$5:$J$54,$B$23))</f>
        <v/>
      </c>
      <c r="DV184">
        <f>IF(ISNA(DR184),NA(),INDEX(Capability!$L$5:$L$54,$B$23))</f>
        <v/>
      </c>
      <c r="DW184">
        <f>IF(OR(ISNA(DS184),ISNA(DS183)),NA(),ABS(DS184-DS183))</f>
        <v/>
      </c>
      <c r="DX184">
        <f>IF(ISNA(DR184),NA(),INDEX(Capability!$N$5:$N$54,$B$23))</f>
        <v/>
      </c>
      <c r="DY184">
        <f>IF(ISNA(DR184),NA(),IF(OR(INDEX(Capability!$Q$5:$Q$54,$B$23)="",Settings!$F$7&lt;&gt;"Y"),NA(),INDEX(Capability!$Q$5:$Q$54,$B$23)))</f>
        <v/>
      </c>
      <c r="DZ184">
        <f>IF(ISNA(DR184),NA(),IF(OR(INDEX(Capability!$P$5:$P$54,$B$23)="",Settings!$F$7&lt;&gt;"Y"),NA(),INDEX(Capability!$P$5:$P$54,$B$23)))</f>
        <v/>
      </c>
    </row>
    <row r="185">
      <c r="CB185">
        <f>IF((CE$1+181)&gt;CC$1,NA(),(CE$1+181)-4)</f>
        <v/>
      </c>
      <c r="CC185">
        <f>IF((CE$1+181)&gt;CC$1,NA(),INDEX('Data Entry'!$H$5:$BE$10004,(CE$1+181)-4,$B$20))</f>
        <v/>
      </c>
      <c r="CD185">
        <f>IF(ISNA(CB185),NA(),INDEX(Capability!$K$5:$K$54,$B$20))</f>
        <v/>
      </c>
      <c r="CE185">
        <f>IF(ISNA(CB185),NA(),INDEX(Capability!$J$5:$J$54,$B$20))</f>
        <v/>
      </c>
      <c r="CF185">
        <f>IF(ISNA(CB185),NA(),INDEX(Capability!$L$5:$L$54,$B$20))</f>
        <v/>
      </c>
      <c r="CG185">
        <f>IF(OR(ISNA(CC185),ISNA(CC184)),NA(),ABS(CC185-CC184))</f>
        <v/>
      </c>
      <c r="CH185">
        <f>IF(ISNA(CB185),NA(),INDEX(Capability!$N$5:$N$54,$B$20))</f>
        <v/>
      </c>
      <c r="CI185">
        <f>IF(ISNA(CB185),NA(),IF(OR(INDEX(Capability!$Q$5:$Q$54,$B$20)="",Settings!$F$7&lt;&gt;"Y"),NA(),INDEX(Capability!$Q$5:$Q$54,$B$20)))</f>
        <v/>
      </c>
      <c r="CJ185">
        <f>IF(ISNA(CB185),NA(),IF(OR(INDEX(Capability!$P$5:$P$54,$B$20)="",Settings!$F$7&lt;&gt;"Y"),NA(),INDEX(Capability!$P$5:$P$54,$B$20)))</f>
        <v/>
      </c>
      <c r="CP185">
        <f>IF((CS$1+181)&gt;CQ$1,NA(),(CS$1+181)-4)</f>
        <v/>
      </c>
      <c r="CQ185">
        <f>IF((CS$1+181)&gt;CQ$1,NA(),INDEX('Data Entry'!$H$5:$BE$10004,(CS$1+181)-4,$B$21))</f>
        <v/>
      </c>
      <c r="CR185">
        <f>IF(ISNA(CP185),NA(),INDEX(Capability!$K$5:$K$54,$B$21))</f>
        <v/>
      </c>
      <c r="CS185">
        <f>IF(ISNA(CP185),NA(),INDEX(Capability!$J$5:$J$54,$B$21))</f>
        <v/>
      </c>
      <c r="CT185">
        <f>IF(ISNA(CP185),NA(),INDEX(Capability!$L$5:$L$54,$B$21))</f>
        <v/>
      </c>
      <c r="CU185">
        <f>IF(OR(ISNA(CQ185),ISNA(CQ184)),NA(),ABS(CQ185-CQ184))</f>
        <v/>
      </c>
      <c r="CV185">
        <f>IF(ISNA(CP185),NA(),INDEX(Capability!$N$5:$N$54,$B$21))</f>
        <v/>
      </c>
      <c r="CW185">
        <f>IF(ISNA(CP185),NA(),IF(OR(INDEX(Capability!$Q$5:$Q$54,$B$21)="",Settings!$F$7&lt;&gt;"Y"),NA(),INDEX(Capability!$Q$5:$Q$54,$B$21)))</f>
        <v/>
      </c>
      <c r="CX185">
        <f>IF(ISNA(CP185),NA(),IF(OR(INDEX(Capability!$P$5:$P$54,$B$21)="",Settings!$F$7&lt;&gt;"Y"),NA(),INDEX(Capability!$P$5:$P$54,$B$21)))</f>
        <v/>
      </c>
      <c r="DD185">
        <f>IF((DG$1+181)&gt;DE$1,NA(),(DG$1+181)-4)</f>
        <v/>
      </c>
      <c r="DE185">
        <f>IF((DG$1+181)&gt;DE$1,NA(),INDEX('Data Entry'!$H$5:$BE$10004,(DG$1+181)-4,$B$22))</f>
        <v/>
      </c>
      <c r="DF185">
        <f>IF(ISNA(DD185),NA(),INDEX(Capability!$K$5:$K$54,$B$22))</f>
        <v/>
      </c>
      <c r="DG185">
        <f>IF(ISNA(DD185),NA(),INDEX(Capability!$J$5:$J$54,$B$22))</f>
        <v/>
      </c>
      <c r="DH185">
        <f>IF(ISNA(DD185),NA(),INDEX(Capability!$L$5:$L$54,$B$22))</f>
        <v/>
      </c>
      <c r="DI185">
        <f>IF(OR(ISNA(DE185),ISNA(DE184)),NA(),ABS(DE185-DE184))</f>
        <v/>
      </c>
      <c r="DJ185">
        <f>IF(ISNA(DD185),NA(),INDEX(Capability!$N$5:$N$54,$B$22))</f>
        <v/>
      </c>
      <c r="DK185">
        <f>IF(ISNA(DD185),NA(),IF(OR(INDEX(Capability!$Q$5:$Q$54,$B$22)="",Settings!$F$7&lt;&gt;"Y"),NA(),INDEX(Capability!$Q$5:$Q$54,$B$22)))</f>
        <v/>
      </c>
      <c r="DL185">
        <f>IF(ISNA(DD185),NA(),IF(OR(INDEX(Capability!$P$5:$P$54,$B$22)="",Settings!$F$7&lt;&gt;"Y"),NA(),INDEX(Capability!$P$5:$P$54,$B$22)))</f>
        <v/>
      </c>
      <c r="DR185">
        <f>IF((DU$1+181)&gt;DS$1,NA(),(DU$1+181)-4)</f>
        <v/>
      </c>
      <c r="DS185">
        <f>IF((DU$1+181)&gt;DS$1,NA(),INDEX('Data Entry'!$H$5:$BE$10004,(DU$1+181)-4,$B$23))</f>
        <v/>
      </c>
      <c r="DT185">
        <f>IF(ISNA(DR185),NA(),INDEX(Capability!$K$5:$K$54,$B$23))</f>
        <v/>
      </c>
      <c r="DU185">
        <f>IF(ISNA(DR185),NA(),INDEX(Capability!$J$5:$J$54,$B$23))</f>
        <v/>
      </c>
      <c r="DV185">
        <f>IF(ISNA(DR185),NA(),INDEX(Capability!$L$5:$L$54,$B$23))</f>
        <v/>
      </c>
      <c r="DW185">
        <f>IF(OR(ISNA(DS185),ISNA(DS184)),NA(),ABS(DS185-DS184))</f>
        <v/>
      </c>
      <c r="DX185">
        <f>IF(ISNA(DR185),NA(),INDEX(Capability!$N$5:$N$54,$B$23))</f>
        <v/>
      </c>
      <c r="DY185">
        <f>IF(ISNA(DR185),NA(),IF(OR(INDEX(Capability!$Q$5:$Q$54,$B$23)="",Settings!$F$7&lt;&gt;"Y"),NA(),INDEX(Capability!$Q$5:$Q$54,$B$23)))</f>
        <v/>
      </c>
      <c r="DZ185">
        <f>IF(ISNA(DR185),NA(),IF(OR(INDEX(Capability!$P$5:$P$54,$B$23)="",Settings!$F$7&lt;&gt;"Y"),NA(),INDEX(Capability!$P$5:$P$54,$B$23)))</f>
        <v/>
      </c>
    </row>
    <row r="186">
      <c r="CB186">
        <f>IF((CE$1+182)&gt;CC$1,NA(),(CE$1+182)-4)</f>
        <v/>
      </c>
      <c r="CC186">
        <f>IF((CE$1+182)&gt;CC$1,NA(),INDEX('Data Entry'!$H$5:$BE$10004,(CE$1+182)-4,$B$20))</f>
        <v/>
      </c>
      <c r="CD186">
        <f>IF(ISNA(CB186),NA(),INDEX(Capability!$K$5:$K$54,$B$20))</f>
        <v/>
      </c>
      <c r="CE186">
        <f>IF(ISNA(CB186),NA(),INDEX(Capability!$J$5:$J$54,$B$20))</f>
        <v/>
      </c>
      <c r="CF186">
        <f>IF(ISNA(CB186),NA(),INDEX(Capability!$L$5:$L$54,$B$20))</f>
        <v/>
      </c>
      <c r="CG186">
        <f>IF(OR(ISNA(CC186),ISNA(CC185)),NA(),ABS(CC186-CC185))</f>
        <v/>
      </c>
      <c r="CH186">
        <f>IF(ISNA(CB186),NA(),INDEX(Capability!$N$5:$N$54,$B$20))</f>
        <v/>
      </c>
      <c r="CI186">
        <f>IF(ISNA(CB186),NA(),IF(OR(INDEX(Capability!$Q$5:$Q$54,$B$20)="",Settings!$F$7&lt;&gt;"Y"),NA(),INDEX(Capability!$Q$5:$Q$54,$B$20)))</f>
        <v/>
      </c>
      <c r="CJ186">
        <f>IF(ISNA(CB186),NA(),IF(OR(INDEX(Capability!$P$5:$P$54,$B$20)="",Settings!$F$7&lt;&gt;"Y"),NA(),INDEX(Capability!$P$5:$P$54,$B$20)))</f>
        <v/>
      </c>
      <c r="CP186">
        <f>IF((CS$1+182)&gt;CQ$1,NA(),(CS$1+182)-4)</f>
        <v/>
      </c>
      <c r="CQ186">
        <f>IF((CS$1+182)&gt;CQ$1,NA(),INDEX('Data Entry'!$H$5:$BE$10004,(CS$1+182)-4,$B$21))</f>
        <v/>
      </c>
      <c r="CR186">
        <f>IF(ISNA(CP186),NA(),INDEX(Capability!$K$5:$K$54,$B$21))</f>
        <v/>
      </c>
      <c r="CS186">
        <f>IF(ISNA(CP186),NA(),INDEX(Capability!$J$5:$J$54,$B$21))</f>
        <v/>
      </c>
      <c r="CT186">
        <f>IF(ISNA(CP186),NA(),INDEX(Capability!$L$5:$L$54,$B$21))</f>
        <v/>
      </c>
      <c r="CU186">
        <f>IF(OR(ISNA(CQ186),ISNA(CQ185)),NA(),ABS(CQ186-CQ185))</f>
        <v/>
      </c>
      <c r="CV186">
        <f>IF(ISNA(CP186),NA(),INDEX(Capability!$N$5:$N$54,$B$21))</f>
        <v/>
      </c>
      <c r="CW186">
        <f>IF(ISNA(CP186),NA(),IF(OR(INDEX(Capability!$Q$5:$Q$54,$B$21)="",Settings!$F$7&lt;&gt;"Y"),NA(),INDEX(Capability!$Q$5:$Q$54,$B$21)))</f>
        <v/>
      </c>
      <c r="CX186">
        <f>IF(ISNA(CP186),NA(),IF(OR(INDEX(Capability!$P$5:$P$54,$B$21)="",Settings!$F$7&lt;&gt;"Y"),NA(),INDEX(Capability!$P$5:$P$54,$B$21)))</f>
        <v/>
      </c>
      <c r="DD186">
        <f>IF((DG$1+182)&gt;DE$1,NA(),(DG$1+182)-4)</f>
        <v/>
      </c>
      <c r="DE186">
        <f>IF((DG$1+182)&gt;DE$1,NA(),INDEX('Data Entry'!$H$5:$BE$10004,(DG$1+182)-4,$B$22))</f>
        <v/>
      </c>
      <c r="DF186">
        <f>IF(ISNA(DD186),NA(),INDEX(Capability!$K$5:$K$54,$B$22))</f>
        <v/>
      </c>
      <c r="DG186">
        <f>IF(ISNA(DD186),NA(),INDEX(Capability!$J$5:$J$54,$B$22))</f>
        <v/>
      </c>
      <c r="DH186">
        <f>IF(ISNA(DD186),NA(),INDEX(Capability!$L$5:$L$54,$B$22))</f>
        <v/>
      </c>
      <c r="DI186">
        <f>IF(OR(ISNA(DE186),ISNA(DE185)),NA(),ABS(DE186-DE185))</f>
        <v/>
      </c>
      <c r="DJ186">
        <f>IF(ISNA(DD186),NA(),INDEX(Capability!$N$5:$N$54,$B$22))</f>
        <v/>
      </c>
      <c r="DK186">
        <f>IF(ISNA(DD186),NA(),IF(OR(INDEX(Capability!$Q$5:$Q$54,$B$22)="",Settings!$F$7&lt;&gt;"Y"),NA(),INDEX(Capability!$Q$5:$Q$54,$B$22)))</f>
        <v/>
      </c>
      <c r="DL186">
        <f>IF(ISNA(DD186),NA(),IF(OR(INDEX(Capability!$P$5:$P$54,$B$22)="",Settings!$F$7&lt;&gt;"Y"),NA(),INDEX(Capability!$P$5:$P$54,$B$22)))</f>
        <v/>
      </c>
      <c r="DR186">
        <f>IF((DU$1+182)&gt;DS$1,NA(),(DU$1+182)-4)</f>
        <v/>
      </c>
      <c r="DS186">
        <f>IF((DU$1+182)&gt;DS$1,NA(),INDEX('Data Entry'!$H$5:$BE$10004,(DU$1+182)-4,$B$23))</f>
        <v/>
      </c>
      <c r="DT186">
        <f>IF(ISNA(DR186),NA(),INDEX(Capability!$K$5:$K$54,$B$23))</f>
        <v/>
      </c>
      <c r="DU186">
        <f>IF(ISNA(DR186),NA(),INDEX(Capability!$J$5:$J$54,$B$23))</f>
        <v/>
      </c>
      <c r="DV186">
        <f>IF(ISNA(DR186),NA(),INDEX(Capability!$L$5:$L$54,$B$23))</f>
        <v/>
      </c>
      <c r="DW186">
        <f>IF(OR(ISNA(DS186),ISNA(DS185)),NA(),ABS(DS186-DS185))</f>
        <v/>
      </c>
      <c r="DX186">
        <f>IF(ISNA(DR186),NA(),INDEX(Capability!$N$5:$N$54,$B$23))</f>
        <v/>
      </c>
      <c r="DY186">
        <f>IF(ISNA(DR186),NA(),IF(OR(INDEX(Capability!$Q$5:$Q$54,$B$23)="",Settings!$F$7&lt;&gt;"Y"),NA(),INDEX(Capability!$Q$5:$Q$54,$B$23)))</f>
        <v/>
      </c>
      <c r="DZ186">
        <f>IF(ISNA(DR186),NA(),IF(OR(INDEX(Capability!$P$5:$P$54,$B$23)="",Settings!$F$7&lt;&gt;"Y"),NA(),INDEX(Capability!$P$5:$P$54,$B$23)))</f>
        <v/>
      </c>
    </row>
    <row r="187">
      <c r="CB187">
        <f>IF((CE$1+183)&gt;CC$1,NA(),(CE$1+183)-4)</f>
        <v/>
      </c>
      <c r="CC187">
        <f>IF((CE$1+183)&gt;CC$1,NA(),INDEX('Data Entry'!$H$5:$BE$10004,(CE$1+183)-4,$B$20))</f>
        <v/>
      </c>
      <c r="CD187">
        <f>IF(ISNA(CB187),NA(),INDEX(Capability!$K$5:$K$54,$B$20))</f>
        <v/>
      </c>
      <c r="CE187">
        <f>IF(ISNA(CB187),NA(),INDEX(Capability!$J$5:$J$54,$B$20))</f>
        <v/>
      </c>
      <c r="CF187">
        <f>IF(ISNA(CB187),NA(),INDEX(Capability!$L$5:$L$54,$B$20))</f>
        <v/>
      </c>
      <c r="CG187">
        <f>IF(OR(ISNA(CC187),ISNA(CC186)),NA(),ABS(CC187-CC186))</f>
        <v/>
      </c>
      <c r="CH187">
        <f>IF(ISNA(CB187),NA(),INDEX(Capability!$N$5:$N$54,$B$20))</f>
        <v/>
      </c>
      <c r="CI187">
        <f>IF(ISNA(CB187),NA(),IF(OR(INDEX(Capability!$Q$5:$Q$54,$B$20)="",Settings!$F$7&lt;&gt;"Y"),NA(),INDEX(Capability!$Q$5:$Q$54,$B$20)))</f>
        <v/>
      </c>
      <c r="CJ187">
        <f>IF(ISNA(CB187),NA(),IF(OR(INDEX(Capability!$P$5:$P$54,$B$20)="",Settings!$F$7&lt;&gt;"Y"),NA(),INDEX(Capability!$P$5:$P$54,$B$20)))</f>
        <v/>
      </c>
      <c r="CP187">
        <f>IF((CS$1+183)&gt;CQ$1,NA(),(CS$1+183)-4)</f>
        <v/>
      </c>
      <c r="CQ187">
        <f>IF((CS$1+183)&gt;CQ$1,NA(),INDEX('Data Entry'!$H$5:$BE$10004,(CS$1+183)-4,$B$21))</f>
        <v/>
      </c>
      <c r="CR187">
        <f>IF(ISNA(CP187),NA(),INDEX(Capability!$K$5:$K$54,$B$21))</f>
        <v/>
      </c>
      <c r="CS187">
        <f>IF(ISNA(CP187),NA(),INDEX(Capability!$J$5:$J$54,$B$21))</f>
        <v/>
      </c>
      <c r="CT187">
        <f>IF(ISNA(CP187),NA(),INDEX(Capability!$L$5:$L$54,$B$21))</f>
        <v/>
      </c>
      <c r="CU187">
        <f>IF(OR(ISNA(CQ187),ISNA(CQ186)),NA(),ABS(CQ187-CQ186))</f>
        <v/>
      </c>
      <c r="CV187">
        <f>IF(ISNA(CP187),NA(),INDEX(Capability!$N$5:$N$54,$B$21))</f>
        <v/>
      </c>
      <c r="CW187">
        <f>IF(ISNA(CP187),NA(),IF(OR(INDEX(Capability!$Q$5:$Q$54,$B$21)="",Settings!$F$7&lt;&gt;"Y"),NA(),INDEX(Capability!$Q$5:$Q$54,$B$21)))</f>
        <v/>
      </c>
      <c r="CX187">
        <f>IF(ISNA(CP187),NA(),IF(OR(INDEX(Capability!$P$5:$P$54,$B$21)="",Settings!$F$7&lt;&gt;"Y"),NA(),INDEX(Capability!$P$5:$P$54,$B$21)))</f>
        <v/>
      </c>
      <c r="DD187">
        <f>IF((DG$1+183)&gt;DE$1,NA(),(DG$1+183)-4)</f>
        <v/>
      </c>
      <c r="DE187">
        <f>IF((DG$1+183)&gt;DE$1,NA(),INDEX('Data Entry'!$H$5:$BE$10004,(DG$1+183)-4,$B$22))</f>
        <v/>
      </c>
      <c r="DF187">
        <f>IF(ISNA(DD187),NA(),INDEX(Capability!$K$5:$K$54,$B$22))</f>
        <v/>
      </c>
      <c r="DG187">
        <f>IF(ISNA(DD187),NA(),INDEX(Capability!$J$5:$J$54,$B$22))</f>
        <v/>
      </c>
      <c r="DH187">
        <f>IF(ISNA(DD187),NA(),INDEX(Capability!$L$5:$L$54,$B$22))</f>
        <v/>
      </c>
      <c r="DI187">
        <f>IF(OR(ISNA(DE187),ISNA(DE186)),NA(),ABS(DE187-DE186))</f>
        <v/>
      </c>
      <c r="DJ187">
        <f>IF(ISNA(DD187),NA(),INDEX(Capability!$N$5:$N$54,$B$22))</f>
        <v/>
      </c>
      <c r="DK187">
        <f>IF(ISNA(DD187),NA(),IF(OR(INDEX(Capability!$Q$5:$Q$54,$B$22)="",Settings!$F$7&lt;&gt;"Y"),NA(),INDEX(Capability!$Q$5:$Q$54,$B$22)))</f>
        <v/>
      </c>
      <c r="DL187">
        <f>IF(ISNA(DD187),NA(),IF(OR(INDEX(Capability!$P$5:$P$54,$B$22)="",Settings!$F$7&lt;&gt;"Y"),NA(),INDEX(Capability!$P$5:$P$54,$B$22)))</f>
        <v/>
      </c>
      <c r="DR187">
        <f>IF((DU$1+183)&gt;DS$1,NA(),(DU$1+183)-4)</f>
        <v/>
      </c>
      <c r="DS187">
        <f>IF((DU$1+183)&gt;DS$1,NA(),INDEX('Data Entry'!$H$5:$BE$10004,(DU$1+183)-4,$B$23))</f>
        <v/>
      </c>
      <c r="DT187">
        <f>IF(ISNA(DR187),NA(),INDEX(Capability!$K$5:$K$54,$B$23))</f>
        <v/>
      </c>
      <c r="DU187">
        <f>IF(ISNA(DR187),NA(),INDEX(Capability!$J$5:$J$54,$B$23))</f>
        <v/>
      </c>
      <c r="DV187">
        <f>IF(ISNA(DR187),NA(),INDEX(Capability!$L$5:$L$54,$B$23))</f>
        <v/>
      </c>
      <c r="DW187">
        <f>IF(OR(ISNA(DS187),ISNA(DS186)),NA(),ABS(DS187-DS186))</f>
        <v/>
      </c>
      <c r="DX187">
        <f>IF(ISNA(DR187),NA(),INDEX(Capability!$N$5:$N$54,$B$23))</f>
        <v/>
      </c>
      <c r="DY187">
        <f>IF(ISNA(DR187),NA(),IF(OR(INDEX(Capability!$Q$5:$Q$54,$B$23)="",Settings!$F$7&lt;&gt;"Y"),NA(),INDEX(Capability!$Q$5:$Q$54,$B$23)))</f>
        <v/>
      </c>
      <c r="DZ187">
        <f>IF(ISNA(DR187),NA(),IF(OR(INDEX(Capability!$P$5:$P$54,$B$23)="",Settings!$F$7&lt;&gt;"Y"),NA(),INDEX(Capability!$P$5:$P$54,$B$23)))</f>
        <v/>
      </c>
    </row>
    <row r="188">
      <c r="CB188">
        <f>IF((CE$1+184)&gt;CC$1,NA(),(CE$1+184)-4)</f>
        <v/>
      </c>
      <c r="CC188">
        <f>IF((CE$1+184)&gt;CC$1,NA(),INDEX('Data Entry'!$H$5:$BE$10004,(CE$1+184)-4,$B$20))</f>
        <v/>
      </c>
      <c r="CD188">
        <f>IF(ISNA(CB188),NA(),INDEX(Capability!$K$5:$K$54,$B$20))</f>
        <v/>
      </c>
      <c r="CE188">
        <f>IF(ISNA(CB188),NA(),INDEX(Capability!$J$5:$J$54,$B$20))</f>
        <v/>
      </c>
      <c r="CF188">
        <f>IF(ISNA(CB188),NA(),INDEX(Capability!$L$5:$L$54,$B$20))</f>
        <v/>
      </c>
      <c r="CG188">
        <f>IF(OR(ISNA(CC188),ISNA(CC187)),NA(),ABS(CC188-CC187))</f>
        <v/>
      </c>
      <c r="CH188">
        <f>IF(ISNA(CB188),NA(),INDEX(Capability!$N$5:$N$54,$B$20))</f>
        <v/>
      </c>
      <c r="CI188">
        <f>IF(ISNA(CB188),NA(),IF(OR(INDEX(Capability!$Q$5:$Q$54,$B$20)="",Settings!$F$7&lt;&gt;"Y"),NA(),INDEX(Capability!$Q$5:$Q$54,$B$20)))</f>
        <v/>
      </c>
      <c r="CJ188">
        <f>IF(ISNA(CB188),NA(),IF(OR(INDEX(Capability!$P$5:$P$54,$B$20)="",Settings!$F$7&lt;&gt;"Y"),NA(),INDEX(Capability!$P$5:$P$54,$B$20)))</f>
        <v/>
      </c>
      <c r="CP188">
        <f>IF((CS$1+184)&gt;CQ$1,NA(),(CS$1+184)-4)</f>
        <v/>
      </c>
      <c r="CQ188">
        <f>IF((CS$1+184)&gt;CQ$1,NA(),INDEX('Data Entry'!$H$5:$BE$10004,(CS$1+184)-4,$B$21))</f>
        <v/>
      </c>
      <c r="CR188">
        <f>IF(ISNA(CP188),NA(),INDEX(Capability!$K$5:$K$54,$B$21))</f>
        <v/>
      </c>
      <c r="CS188">
        <f>IF(ISNA(CP188),NA(),INDEX(Capability!$J$5:$J$54,$B$21))</f>
        <v/>
      </c>
      <c r="CT188">
        <f>IF(ISNA(CP188),NA(),INDEX(Capability!$L$5:$L$54,$B$21))</f>
        <v/>
      </c>
      <c r="CU188">
        <f>IF(OR(ISNA(CQ188),ISNA(CQ187)),NA(),ABS(CQ188-CQ187))</f>
        <v/>
      </c>
      <c r="CV188">
        <f>IF(ISNA(CP188),NA(),INDEX(Capability!$N$5:$N$54,$B$21))</f>
        <v/>
      </c>
      <c r="CW188">
        <f>IF(ISNA(CP188),NA(),IF(OR(INDEX(Capability!$Q$5:$Q$54,$B$21)="",Settings!$F$7&lt;&gt;"Y"),NA(),INDEX(Capability!$Q$5:$Q$54,$B$21)))</f>
        <v/>
      </c>
      <c r="CX188">
        <f>IF(ISNA(CP188),NA(),IF(OR(INDEX(Capability!$P$5:$P$54,$B$21)="",Settings!$F$7&lt;&gt;"Y"),NA(),INDEX(Capability!$P$5:$P$54,$B$21)))</f>
        <v/>
      </c>
      <c r="DD188">
        <f>IF((DG$1+184)&gt;DE$1,NA(),(DG$1+184)-4)</f>
        <v/>
      </c>
      <c r="DE188">
        <f>IF((DG$1+184)&gt;DE$1,NA(),INDEX('Data Entry'!$H$5:$BE$10004,(DG$1+184)-4,$B$22))</f>
        <v/>
      </c>
      <c r="DF188">
        <f>IF(ISNA(DD188),NA(),INDEX(Capability!$K$5:$K$54,$B$22))</f>
        <v/>
      </c>
      <c r="DG188">
        <f>IF(ISNA(DD188),NA(),INDEX(Capability!$J$5:$J$54,$B$22))</f>
        <v/>
      </c>
      <c r="DH188">
        <f>IF(ISNA(DD188),NA(),INDEX(Capability!$L$5:$L$54,$B$22))</f>
        <v/>
      </c>
      <c r="DI188">
        <f>IF(OR(ISNA(DE188),ISNA(DE187)),NA(),ABS(DE188-DE187))</f>
        <v/>
      </c>
      <c r="DJ188">
        <f>IF(ISNA(DD188),NA(),INDEX(Capability!$N$5:$N$54,$B$22))</f>
        <v/>
      </c>
      <c r="DK188">
        <f>IF(ISNA(DD188),NA(),IF(OR(INDEX(Capability!$Q$5:$Q$54,$B$22)="",Settings!$F$7&lt;&gt;"Y"),NA(),INDEX(Capability!$Q$5:$Q$54,$B$22)))</f>
        <v/>
      </c>
      <c r="DL188">
        <f>IF(ISNA(DD188),NA(),IF(OR(INDEX(Capability!$P$5:$P$54,$B$22)="",Settings!$F$7&lt;&gt;"Y"),NA(),INDEX(Capability!$P$5:$P$54,$B$22)))</f>
        <v/>
      </c>
      <c r="DR188">
        <f>IF((DU$1+184)&gt;DS$1,NA(),(DU$1+184)-4)</f>
        <v/>
      </c>
      <c r="DS188">
        <f>IF((DU$1+184)&gt;DS$1,NA(),INDEX('Data Entry'!$H$5:$BE$10004,(DU$1+184)-4,$B$23))</f>
        <v/>
      </c>
      <c r="DT188">
        <f>IF(ISNA(DR188),NA(),INDEX(Capability!$K$5:$K$54,$B$23))</f>
        <v/>
      </c>
      <c r="DU188">
        <f>IF(ISNA(DR188),NA(),INDEX(Capability!$J$5:$J$54,$B$23))</f>
        <v/>
      </c>
      <c r="DV188">
        <f>IF(ISNA(DR188),NA(),INDEX(Capability!$L$5:$L$54,$B$23))</f>
        <v/>
      </c>
      <c r="DW188">
        <f>IF(OR(ISNA(DS188),ISNA(DS187)),NA(),ABS(DS188-DS187))</f>
        <v/>
      </c>
      <c r="DX188">
        <f>IF(ISNA(DR188),NA(),INDEX(Capability!$N$5:$N$54,$B$23))</f>
        <v/>
      </c>
      <c r="DY188">
        <f>IF(ISNA(DR188),NA(),IF(OR(INDEX(Capability!$Q$5:$Q$54,$B$23)="",Settings!$F$7&lt;&gt;"Y"),NA(),INDEX(Capability!$Q$5:$Q$54,$B$23)))</f>
        <v/>
      </c>
      <c r="DZ188">
        <f>IF(ISNA(DR188),NA(),IF(OR(INDEX(Capability!$P$5:$P$54,$B$23)="",Settings!$F$7&lt;&gt;"Y"),NA(),INDEX(Capability!$P$5:$P$54,$B$23)))</f>
        <v/>
      </c>
    </row>
    <row r="189">
      <c r="CB189">
        <f>IF((CE$1+185)&gt;CC$1,NA(),(CE$1+185)-4)</f>
        <v/>
      </c>
      <c r="CC189">
        <f>IF((CE$1+185)&gt;CC$1,NA(),INDEX('Data Entry'!$H$5:$BE$10004,(CE$1+185)-4,$B$20))</f>
        <v/>
      </c>
      <c r="CD189">
        <f>IF(ISNA(CB189),NA(),INDEX(Capability!$K$5:$K$54,$B$20))</f>
        <v/>
      </c>
      <c r="CE189">
        <f>IF(ISNA(CB189),NA(),INDEX(Capability!$J$5:$J$54,$B$20))</f>
        <v/>
      </c>
      <c r="CF189">
        <f>IF(ISNA(CB189),NA(),INDEX(Capability!$L$5:$L$54,$B$20))</f>
        <v/>
      </c>
      <c r="CG189">
        <f>IF(OR(ISNA(CC189),ISNA(CC188)),NA(),ABS(CC189-CC188))</f>
        <v/>
      </c>
      <c r="CH189">
        <f>IF(ISNA(CB189),NA(),INDEX(Capability!$N$5:$N$54,$B$20))</f>
        <v/>
      </c>
      <c r="CI189">
        <f>IF(ISNA(CB189),NA(),IF(OR(INDEX(Capability!$Q$5:$Q$54,$B$20)="",Settings!$F$7&lt;&gt;"Y"),NA(),INDEX(Capability!$Q$5:$Q$54,$B$20)))</f>
        <v/>
      </c>
      <c r="CJ189">
        <f>IF(ISNA(CB189),NA(),IF(OR(INDEX(Capability!$P$5:$P$54,$B$20)="",Settings!$F$7&lt;&gt;"Y"),NA(),INDEX(Capability!$P$5:$P$54,$B$20)))</f>
        <v/>
      </c>
      <c r="CP189">
        <f>IF((CS$1+185)&gt;CQ$1,NA(),(CS$1+185)-4)</f>
        <v/>
      </c>
      <c r="CQ189">
        <f>IF((CS$1+185)&gt;CQ$1,NA(),INDEX('Data Entry'!$H$5:$BE$10004,(CS$1+185)-4,$B$21))</f>
        <v/>
      </c>
      <c r="CR189">
        <f>IF(ISNA(CP189),NA(),INDEX(Capability!$K$5:$K$54,$B$21))</f>
        <v/>
      </c>
      <c r="CS189">
        <f>IF(ISNA(CP189),NA(),INDEX(Capability!$J$5:$J$54,$B$21))</f>
        <v/>
      </c>
      <c r="CT189">
        <f>IF(ISNA(CP189),NA(),INDEX(Capability!$L$5:$L$54,$B$21))</f>
        <v/>
      </c>
      <c r="CU189">
        <f>IF(OR(ISNA(CQ189),ISNA(CQ188)),NA(),ABS(CQ189-CQ188))</f>
        <v/>
      </c>
      <c r="CV189">
        <f>IF(ISNA(CP189),NA(),INDEX(Capability!$N$5:$N$54,$B$21))</f>
        <v/>
      </c>
      <c r="CW189">
        <f>IF(ISNA(CP189),NA(),IF(OR(INDEX(Capability!$Q$5:$Q$54,$B$21)="",Settings!$F$7&lt;&gt;"Y"),NA(),INDEX(Capability!$Q$5:$Q$54,$B$21)))</f>
        <v/>
      </c>
      <c r="CX189">
        <f>IF(ISNA(CP189),NA(),IF(OR(INDEX(Capability!$P$5:$P$54,$B$21)="",Settings!$F$7&lt;&gt;"Y"),NA(),INDEX(Capability!$P$5:$P$54,$B$21)))</f>
        <v/>
      </c>
      <c r="DD189">
        <f>IF((DG$1+185)&gt;DE$1,NA(),(DG$1+185)-4)</f>
        <v/>
      </c>
      <c r="DE189">
        <f>IF((DG$1+185)&gt;DE$1,NA(),INDEX('Data Entry'!$H$5:$BE$10004,(DG$1+185)-4,$B$22))</f>
        <v/>
      </c>
      <c r="DF189">
        <f>IF(ISNA(DD189),NA(),INDEX(Capability!$K$5:$K$54,$B$22))</f>
        <v/>
      </c>
      <c r="DG189">
        <f>IF(ISNA(DD189),NA(),INDEX(Capability!$J$5:$J$54,$B$22))</f>
        <v/>
      </c>
      <c r="DH189">
        <f>IF(ISNA(DD189),NA(),INDEX(Capability!$L$5:$L$54,$B$22))</f>
        <v/>
      </c>
      <c r="DI189">
        <f>IF(OR(ISNA(DE189),ISNA(DE188)),NA(),ABS(DE189-DE188))</f>
        <v/>
      </c>
      <c r="DJ189">
        <f>IF(ISNA(DD189),NA(),INDEX(Capability!$N$5:$N$54,$B$22))</f>
        <v/>
      </c>
      <c r="DK189">
        <f>IF(ISNA(DD189),NA(),IF(OR(INDEX(Capability!$Q$5:$Q$54,$B$22)="",Settings!$F$7&lt;&gt;"Y"),NA(),INDEX(Capability!$Q$5:$Q$54,$B$22)))</f>
        <v/>
      </c>
      <c r="DL189">
        <f>IF(ISNA(DD189),NA(),IF(OR(INDEX(Capability!$P$5:$P$54,$B$22)="",Settings!$F$7&lt;&gt;"Y"),NA(),INDEX(Capability!$P$5:$P$54,$B$22)))</f>
        <v/>
      </c>
      <c r="DR189">
        <f>IF((DU$1+185)&gt;DS$1,NA(),(DU$1+185)-4)</f>
        <v/>
      </c>
      <c r="DS189">
        <f>IF((DU$1+185)&gt;DS$1,NA(),INDEX('Data Entry'!$H$5:$BE$10004,(DU$1+185)-4,$B$23))</f>
        <v/>
      </c>
      <c r="DT189">
        <f>IF(ISNA(DR189),NA(),INDEX(Capability!$K$5:$K$54,$B$23))</f>
        <v/>
      </c>
      <c r="DU189">
        <f>IF(ISNA(DR189),NA(),INDEX(Capability!$J$5:$J$54,$B$23))</f>
        <v/>
      </c>
      <c r="DV189">
        <f>IF(ISNA(DR189),NA(),INDEX(Capability!$L$5:$L$54,$B$23))</f>
        <v/>
      </c>
      <c r="DW189">
        <f>IF(OR(ISNA(DS189),ISNA(DS188)),NA(),ABS(DS189-DS188))</f>
        <v/>
      </c>
      <c r="DX189">
        <f>IF(ISNA(DR189),NA(),INDEX(Capability!$N$5:$N$54,$B$23))</f>
        <v/>
      </c>
      <c r="DY189">
        <f>IF(ISNA(DR189),NA(),IF(OR(INDEX(Capability!$Q$5:$Q$54,$B$23)="",Settings!$F$7&lt;&gt;"Y"),NA(),INDEX(Capability!$Q$5:$Q$54,$B$23)))</f>
        <v/>
      </c>
      <c r="DZ189">
        <f>IF(ISNA(DR189),NA(),IF(OR(INDEX(Capability!$P$5:$P$54,$B$23)="",Settings!$F$7&lt;&gt;"Y"),NA(),INDEX(Capability!$P$5:$P$54,$B$23)))</f>
        <v/>
      </c>
    </row>
    <row r="190">
      <c r="CB190">
        <f>IF((CE$1+186)&gt;CC$1,NA(),(CE$1+186)-4)</f>
        <v/>
      </c>
      <c r="CC190">
        <f>IF((CE$1+186)&gt;CC$1,NA(),INDEX('Data Entry'!$H$5:$BE$10004,(CE$1+186)-4,$B$20))</f>
        <v/>
      </c>
      <c r="CD190">
        <f>IF(ISNA(CB190),NA(),INDEX(Capability!$K$5:$K$54,$B$20))</f>
        <v/>
      </c>
      <c r="CE190">
        <f>IF(ISNA(CB190),NA(),INDEX(Capability!$J$5:$J$54,$B$20))</f>
        <v/>
      </c>
      <c r="CF190">
        <f>IF(ISNA(CB190),NA(),INDEX(Capability!$L$5:$L$54,$B$20))</f>
        <v/>
      </c>
      <c r="CG190">
        <f>IF(OR(ISNA(CC190),ISNA(CC189)),NA(),ABS(CC190-CC189))</f>
        <v/>
      </c>
      <c r="CH190">
        <f>IF(ISNA(CB190),NA(),INDEX(Capability!$N$5:$N$54,$B$20))</f>
        <v/>
      </c>
      <c r="CI190">
        <f>IF(ISNA(CB190),NA(),IF(OR(INDEX(Capability!$Q$5:$Q$54,$B$20)="",Settings!$F$7&lt;&gt;"Y"),NA(),INDEX(Capability!$Q$5:$Q$54,$B$20)))</f>
        <v/>
      </c>
      <c r="CJ190">
        <f>IF(ISNA(CB190),NA(),IF(OR(INDEX(Capability!$P$5:$P$54,$B$20)="",Settings!$F$7&lt;&gt;"Y"),NA(),INDEX(Capability!$P$5:$P$54,$B$20)))</f>
        <v/>
      </c>
      <c r="CP190">
        <f>IF((CS$1+186)&gt;CQ$1,NA(),(CS$1+186)-4)</f>
        <v/>
      </c>
      <c r="CQ190">
        <f>IF((CS$1+186)&gt;CQ$1,NA(),INDEX('Data Entry'!$H$5:$BE$10004,(CS$1+186)-4,$B$21))</f>
        <v/>
      </c>
      <c r="CR190">
        <f>IF(ISNA(CP190),NA(),INDEX(Capability!$K$5:$K$54,$B$21))</f>
        <v/>
      </c>
      <c r="CS190">
        <f>IF(ISNA(CP190),NA(),INDEX(Capability!$J$5:$J$54,$B$21))</f>
        <v/>
      </c>
      <c r="CT190">
        <f>IF(ISNA(CP190),NA(),INDEX(Capability!$L$5:$L$54,$B$21))</f>
        <v/>
      </c>
      <c r="CU190">
        <f>IF(OR(ISNA(CQ190),ISNA(CQ189)),NA(),ABS(CQ190-CQ189))</f>
        <v/>
      </c>
      <c r="CV190">
        <f>IF(ISNA(CP190),NA(),INDEX(Capability!$N$5:$N$54,$B$21))</f>
        <v/>
      </c>
      <c r="CW190">
        <f>IF(ISNA(CP190),NA(),IF(OR(INDEX(Capability!$Q$5:$Q$54,$B$21)="",Settings!$F$7&lt;&gt;"Y"),NA(),INDEX(Capability!$Q$5:$Q$54,$B$21)))</f>
        <v/>
      </c>
      <c r="CX190">
        <f>IF(ISNA(CP190),NA(),IF(OR(INDEX(Capability!$P$5:$P$54,$B$21)="",Settings!$F$7&lt;&gt;"Y"),NA(),INDEX(Capability!$P$5:$P$54,$B$21)))</f>
        <v/>
      </c>
      <c r="DD190">
        <f>IF((DG$1+186)&gt;DE$1,NA(),(DG$1+186)-4)</f>
        <v/>
      </c>
      <c r="DE190">
        <f>IF((DG$1+186)&gt;DE$1,NA(),INDEX('Data Entry'!$H$5:$BE$10004,(DG$1+186)-4,$B$22))</f>
        <v/>
      </c>
      <c r="DF190">
        <f>IF(ISNA(DD190),NA(),INDEX(Capability!$K$5:$K$54,$B$22))</f>
        <v/>
      </c>
      <c r="DG190">
        <f>IF(ISNA(DD190),NA(),INDEX(Capability!$J$5:$J$54,$B$22))</f>
        <v/>
      </c>
      <c r="DH190">
        <f>IF(ISNA(DD190),NA(),INDEX(Capability!$L$5:$L$54,$B$22))</f>
        <v/>
      </c>
      <c r="DI190">
        <f>IF(OR(ISNA(DE190),ISNA(DE189)),NA(),ABS(DE190-DE189))</f>
        <v/>
      </c>
      <c r="DJ190">
        <f>IF(ISNA(DD190),NA(),INDEX(Capability!$N$5:$N$54,$B$22))</f>
        <v/>
      </c>
      <c r="DK190">
        <f>IF(ISNA(DD190),NA(),IF(OR(INDEX(Capability!$Q$5:$Q$54,$B$22)="",Settings!$F$7&lt;&gt;"Y"),NA(),INDEX(Capability!$Q$5:$Q$54,$B$22)))</f>
        <v/>
      </c>
      <c r="DL190">
        <f>IF(ISNA(DD190),NA(),IF(OR(INDEX(Capability!$P$5:$P$54,$B$22)="",Settings!$F$7&lt;&gt;"Y"),NA(),INDEX(Capability!$P$5:$P$54,$B$22)))</f>
        <v/>
      </c>
      <c r="DR190">
        <f>IF((DU$1+186)&gt;DS$1,NA(),(DU$1+186)-4)</f>
        <v/>
      </c>
      <c r="DS190">
        <f>IF((DU$1+186)&gt;DS$1,NA(),INDEX('Data Entry'!$H$5:$BE$10004,(DU$1+186)-4,$B$23))</f>
        <v/>
      </c>
      <c r="DT190">
        <f>IF(ISNA(DR190),NA(),INDEX(Capability!$K$5:$K$54,$B$23))</f>
        <v/>
      </c>
      <c r="DU190">
        <f>IF(ISNA(DR190),NA(),INDEX(Capability!$J$5:$J$54,$B$23))</f>
        <v/>
      </c>
      <c r="DV190">
        <f>IF(ISNA(DR190),NA(),INDEX(Capability!$L$5:$L$54,$B$23))</f>
        <v/>
      </c>
      <c r="DW190">
        <f>IF(OR(ISNA(DS190),ISNA(DS189)),NA(),ABS(DS190-DS189))</f>
        <v/>
      </c>
      <c r="DX190">
        <f>IF(ISNA(DR190),NA(),INDEX(Capability!$N$5:$N$54,$B$23))</f>
        <v/>
      </c>
      <c r="DY190">
        <f>IF(ISNA(DR190),NA(),IF(OR(INDEX(Capability!$Q$5:$Q$54,$B$23)="",Settings!$F$7&lt;&gt;"Y"),NA(),INDEX(Capability!$Q$5:$Q$54,$B$23)))</f>
        <v/>
      </c>
      <c r="DZ190">
        <f>IF(ISNA(DR190),NA(),IF(OR(INDEX(Capability!$P$5:$P$54,$B$23)="",Settings!$F$7&lt;&gt;"Y"),NA(),INDEX(Capability!$P$5:$P$54,$B$23)))</f>
        <v/>
      </c>
    </row>
    <row r="191">
      <c r="CB191">
        <f>IF((CE$1+187)&gt;CC$1,NA(),(CE$1+187)-4)</f>
        <v/>
      </c>
      <c r="CC191">
        <f>IF((CE$1+187)&gt;CC$1,NA(),INDEX('Data Entry'!$H$5:$BE$10004,(CE$1+187)-4,$B$20))</f>
        <v/>
      </c>
      <c r="CD191">
        <f>IF(ISNA(CB191),NA(),INDEX(Capability!$K$5:$K$54,$B$20))</f>
        <v/>
      </c>
      <c r="CE191">
        <f>IF(ISNA(CB191),NA(),INDEX(Capability!$J$5:$J$54,$B$20))</f>
        <v/>
      </c>
      <c r="CF191">
        <f>IF(ISNA(CB191),NA(),INDEX(Capability!$L$5:$L$54,$B$20))</f>
        <v/>
      </c>
      <c r="CG191">
        <f>IF(OR(ISNA(CC191),ISNA(CC190)),NA(),ABS(CC191-CC190))</f>
        <v/>
      </c>
      <c r="CH191">
        <f>IF(ISNA(CB191),NA(),INDEX(Capability!$N$5:$N$54,$B$20))</f>
        <v/>
      </c>
      <c r="CI191">
        <f>IF(ISNA(CB191),NA(),IF(OR(INDEX(Capability!$Q$5:$Q$54,$B$20)="",Settings!$F$7&lt;&gt;"Y"),NA(),INDEX(Capability!$Q$5:$Q$54,$B$20)))</f>
        <v/>
      </c>
      <c r="CJ191">
        <f>IF(ISNA(CB191),NA(),IF(OR(INDEX(Capability!$P$5:$P$54,$B$20)="",Settings!$F$7&lt;&gt;"Y"),NA(),INDEX(Capability!$P$5:$P$54,$B$20)))</f>
        <v/>
      </c>
      <c r="CP191">
        <f>IF((CS$1+187)&gt;CQ$1,NA(),(CS$1+187)-4)</f>
        <v/>
      </c>
      <c r="CQ191">
        <f>IF((CS$1+187)&gt;CQ$1,NA(),INDEX('Data Entry'!$H$5:$BE$10004,(CS$1+187)-4,$B$21))</f>
        <v/>
      </c>
      <c r="CR191">
        <f>IF(ISNA(CP191),NA(),INDEX(Capability!$K$5:$K$54,$B$21))</f>
        <v/>
      </c>
      <c r="CS191">
        <f>IF(ISNA(CP191),NA(),INDEX(Capability!$J$5:$J$54,$B$21))</f>
        <v/>
      </c>
      <c r="CT191">
        <f>IF(ISNA(CP191),NA(),INDEX(Capability!$L$5:$L$54,$B$21))</f>
        <v/>
      </c>
      <c r="CU191">
        <f>IF(OR(ISNA(CQ191),ISNA(CQ190)),NA(),ABS(CQ191-CQ190))</f>
        <v/>
      </c>
      <c r="CV191">
        <f>IF(ISNA(CP191),NA(),INDEX(Capability!$N$5:$N$54,$B$21))</f>
        <v/>
      </c>
      <c r="CW191">
        <f>IF(ISNA(CP191),NA(),IF(OR(INDEX(Capability!$Q$5:$Q$54,$B$21)="",Settings!$F$7&lt;&gt;"Y"),NA(),INDEX(Capability!$Q$5:$Q$54,$B$21)))</f>
        <v/>
      </c>
      <c r="CX191">
        <f>IF(ISNA(CP191),NA(),IF(OR(INDEX(Capability!$P$5:$P$54,$B$21)="",Settings!$F$7&lt;&gt;"Y"),NA(),INDEX(Capability!$P$5:$P$54,$B$21)))</f>
        <v/>
      </c>
      <c r="DD191">
        <f>IF((DG$1+187)&gt;DE$1,NA(),(DG$1+187)-4)</f>
        <v/>
      </c>
      <c r="DE191">
        <f>IF((DG$1+187)&gt;DE$1,NA(),INDEX('Data Entry'!$H$5:$BE$10004,(DG$1+187)-4,$B$22))</f>
        <v/>
      </c>
      <c r="DF191">
        <f>IF(ISNA(DD191),NA(),INDEX(Capability!$K$5:$K$54,$B$22))</f>
        <v/>
      </c>
      <c r="DG191">
        <f>IF(ISNA(DD191),NA(),INDEX(Capability!$J$5:$J$54,$B$22))</f>
        <v/>
      </c>
      <c r="DH191">
        <f>IF(ISNA(DD191),NA(),INDEX(Capability!$L$5:$L$54,$B$22))</f>
        <v/>
      </c>
      <c r="DI191">
        <f>IF(OR(ISNA(DE191),ISNA(DE190)),NA(),ABS(DE191-DE190))</f>
        <v/>
      </c>
      <c r="DJ191">
        <f>IF(ISNA(DD191),NA(),INDEX(Capability!$N$5:$N$54,$B$22))</f>
        <v/>
      </c>
      <c r="DK191">
        <f>IF(ISNA(DD191),NA(),IF(OR(INDEX(Capability!$Q$5:$Q$54,$B$22)="",Settings!$F$7&lt;&gt;"Y"),NA(),INDEX(Capability!$Q$5:$Q$54,$B$22)))</f>
        <v/>
      </c>
      <c r="DL191">
        <f>IF(ISNA(DD191),NA(),IF(OR(INDEX(Capability!$P$5:$P$54,$B$22)="",Settings!$F$7&lt;&gt;"Y"),NA(),INDEX(Capability!$P$5:$P$54,$B$22)))</f>
        <v/>
      </c>
      <c r="DR191">
        <f>IF((DU$1+187)&gt;DS$1,NA(),(DU$1+187)-4)</f>
        <v/>
      </c>
      <c r="DS191">
        <f>IF((DU$1+187)&gt;DS$1,NA(),INDEX('Data Entry'!$H$5:$BE$10004,(DU$1+187)-4,$B$23))</f>
        <v/>
      </c>
      <c r="DT191">
        <f>IF(ISNA(DR191),NA(),INDEX(Capability!$K$5:$K$54,$B$23))</f>
        <v/>
      </c>
      <c r="DU191">
        <f>IF(ISNA(DR191),NA(),INDEX(Capability!$J$5:$J$54,$B$23))</f>
        <v/>
      </c>
      <c r="DV191">
        <f>IF(ISNA(DR191),NA(),INDEX(Capability!$L$5:$L$54,$B$23))</f>
        <v/>
      </c>
      <c r="DW191">
        <f>IF(OR(ISNA(DS191),ISNA(DS190)),NA(),ABS(DS191-DS190))</f>
        <v/>
      </c>
      <c r="DX191">
        <f>IF(ISNA(DR191),NA(),INDEX(Capability!$N$5:$N$54,$B$23))</f>
        <v/>
      </c>
      <c r="DY191">
        <f>IF(ISNA(DR191),NA(),IF(OR(INDEX(Capability!$Q$5:$Q$54,$B$23)="",Settings!$F$7&lt;&gt;"Y"),NA(),INDEX(Capability!$Q$5:$Q$54,$B$23)))</f>
        <v/>
      </c>
      <c r="DZ191">
        <f>IF(ISNA(DR191),NA(),IF(OR(INDEX(Capability!$P$5:$P$54,$B$23)="",Settings!$F$7&lt;&gt;"Y"),NA(),INDEX(Capability!$P$5:$P$54,$B$23)))</f>
        <v/>
      </c>
    </row>
    <row r="192">
      <c r="CB192">
        <f>IF((CE$1+188)&gt;CC$1,NA(),(CE$1+188)-4)</f>
        <v/>
      </c>
      <c r="CC192">
        <f>IF((CE$1+188)&gt;CC$1,NA(),INDEX('Data Entry'!$H$5:$BE$10004,(CE$1+188)-4,$B$20))</f>
        <v/>
      </c>
      <c r="CD192">
        <f>IF(ISNA(CB192),NA(),INDEX(Capability!$K$5:$K$54,$B$20))</f>
        <v/>
      </c>
      <c r="CE192">
        <f>IF(ISNA(CB192),NA(),INDEX(Capability!$J$5:$J$54,$B$20))</f>
        <v/>
      </c>
      <c r="CF192">
        <f>IF(ISNA(CB192),NA(),INDEX(Capability!$L$5:$L$54,$B$20))</f>
        <v/>
      </c>
      <c r="CG192">
        <f>IF(OR(ISNA(CC192),ISNA(CC191)),NA(),ABS(CC192-CC191))</f>
        <v/>
      </c>
      <c r="CH192">
        <f>IF(ISNA(CB192),NA(),INDEX(Capability!$N$5:$N$54,$B$20))</f>
        <v/>
      </c>
      <c r="CI192">
        <f>IF(ISNA(CB192),NA(),IF(OR(INDEX(Capability!$Q$5:$Q$54,$B$20)="",Settings!$F$7&lt;&gt;"Y"),NA(),INDEX(Capability!$Q$5:$Q$54,$B$20)))</f>
        <v/>
      </c>
      <c r="CJ192">
        <f>IF(ISNA(CB192),NA(),IF(OR(INDEX(Capability!$P$5:$P$54,$B$20)="",Settings!$F$7&lt;&gt;"Y"),NA(),INDEX(Capability!$P$5:$P$54,$B$20)))</f>
        <v/>
      </c>
      <c r="CP192">
        <f>IF((CS$1+188)&gt;CQ$1,NA(),(CS$1+188)-4)</f>
        <v/>
      </c>
      <c r="CQ192">
        <f>IF((CS$1+188)&gt;CQ$1,NA(),INDEX('Data Entry'!$H$5:$BE$10004,(CS$1+188)-4,$B$21))</f>
        <v/>
      </c>
      <c r="CR192">
        <f>IF(ISNA(CP192),NA(),INDEX(Capability!$K$5:$K$54,$B$21))</f>
        <v/>
      </c>
      <c r="CS192">
        <f>IF(ISNA(CP192),NA(),INDEX(Capability!$J$5:$J$54,$B$21))</f>
        <v/>
      </c>
      <c r="CT192">
        <f>IF(ISNA(CP192),NA(),INDEX(Capability!$L$5:$L$54,$B$21))</f>
        <v/>
      </c>
      <c r="CU192">
        <f>IF(OR(ISNA(CQ192),ISNA(CQ191)),NA(),ABS(CQ192-CQ191))</f>
        <v/>
      </c>
      <c r="CV192">
        <f>IF(ISNA(CP192),NA(),INDEX(Capability!$N$5:$N$54,$B$21))</f>
        <v/>
      </c>
      <c r="CW192">
        <f>IF(ISNA(CP192),NA(),IF(OR(INDEX(Capability!$Q$5:$Q$54,$B$21)="",Settings!$F$7&lt;&gt;"Y"),NA(),INDEX(Capability!$Q$5:$Q$54,$B$21)))</f>
        <v/>
      </c>
      <c r="CX192">
        <f>IF(ISNA(CP192),NA(),IF(OR(INDEX(Capability!$P$5:$P$54,$B$21)="",Settings!$F$7&lt;&gt;"Y"),NA(),INDEX(Capability!$P$5:$P$54,$B$21)))</f>
        <v/>
      </c>
      <c r="DD192">
        <f>IF((DG$1+188)&gt;DE$1,NA(),(DG$1+188)-4)</f>
        <v/>
      </c>
      <c r="DE192">
        <f>IF((DG$1+188)&gt;DE$1,NA(),INDEX('Data Entry'!$H$5:$BE$10004,(DG$1+188)-4,$B$22))</f>
        <v/>
      </c>
      <c r="DF192">
        <f>IF(ISNA(DD192),NA(),INDEX(Capability!$K$5:$K$54,$B$22))</f>
        <v/>
      </c>
      <c r="DG192">
        <f>IF(ISNA(DD192),NA(),INDEX(Capability!$J$5:$J$54,$B$22))</f>
        <v/>
      </c>
      <c r="DH192">
        <f>IF(ISNA(DD192),NA(),INDEX(Capability!$L$5:$L$54,$B$22))</f>
        <v/>
      </c>
      <c r="DI192">
        <f>IF(OR(ISNA(DE192),ISNA(DE191)),NA(),ABS(DE192-DE191))</f>
        <v/>
      </c>
      <c r="DJ192">
        <f>IF(ISNA(DD192),NA(),INDEX(Capability!$N$5:$N$54,$B$22))</f>
        <v/>
      </c>
      <c r="DK192">
        <f>IF(ISNA(DD192),NA(),IF(OR(INDEX(Capability!$Q$5:$Q$54,$B$22)="",Settings!$F$7&lt;&gt;"Y"),NA(),INDEX(Capability!$Q$5:$Q$54,$B$22)))</f>
        <v/>
      </c>
      <c r="DL192">
        <f>IF(ISNA(DD192),NA(),IF(OR(INDEX(Capability!$P$5:$P$54,$B$22)="",Settings!$F$7&lt;&gt;"Y"),NA(),INDEX(Capability!$P$5:$P$54,$B$22)))</f>
        <v/>
      </c>
      <c r="DR192">
        <f>IF((DU$1+188)&gt;DS$1,NA(),(DU$1+188)-4)</f>
        <v/>
      </c>
      <c r="DS192">
        <f>IF((DU$1+188)&gt;DS$1,NA(),INDEX('Data Entry'!$H$5:$BE$10004,(DU$1+188)-4,$B$23))</f>
        <v/>
      </c>
      <c r="DT192">
        <f>IF(ISNA(DR192),NA(),INDEX(Capability!$K$5:$K$54,$B$23))</f>
        <v/>
      </c>
      <c r="DU192">
        <f>IF(ISNA(DR192),NA(),INDEX(Capability!$J$5:$J$54,$B$23))</f>
        <v/>
      </c>
      <c r="DV192">
        <f>IF(ISNA(DR192),NA(),INDEX(Capability!$L$5:$L$54,$B$23))</f>
        <v/>
      </c>
      <c r="DW192">
        <f>IF(OR(ISNA(DS192),ISNA(DS191)),NA(),ABS(DS192-DS191))</f>
        <v/>
      </c>
      <c r="DX192">
        <f>IF(ISNA(DR192),NA(),INDEX(Capability!$N$5:$N$54,$B$23))</f>
        <v/>
      </c>
      <c r="DY192">
        <f>IF(ISNA(DR192),NA(),IF(OR(INDEX(Capability!$Q$5:$Q$54,$B$23)="",Settings!$F$7&lt;&gt;"Y"),NA(),INDEX(Capability!$Q$5:$Q$54,$B$23)))</f>
        <v/>
      </c>
      <c r="DZ192">
        <f>IF(ISNA(DR192),NA(),IF(OR(INDEX(Capability!$P$5:$P$54,$B$23)="",Settings!$F$7&lt;&gt;"Y"),NA(),INDEX(Capability!$P$5:$P$54,$B$23)))</f>
        <v/>
      </c>
    </row>
    <row r="193">
      <c r="CB193">
        <f>IF((CE$1+189)&gt;CC$1,NA(),(CE$1+189)-4)</f>
        <v/>
      </c>
      <c r="CC193">
        <f>IF((CE$1+189)&gt;CC$1,NA(),INDEX('Data Entry'!$H$5:$BE$10004,(CE$1+189)-4,$B$20))</f>
        <v/>
      </c>
      <c r="CD193">
        <f>IF(ISNA(CB193),NA(),INDEX(Capability!$K$5:$K$54,$B$20))</f>
        <v/>
      </c>
      <c r="CE193">
        <f>IF(ISNA(CB193),NA(),INDEX(Capability!$J$5:$J$54,$B$20))</f>
        <v/>
      </c>
      <c r="CF193">
        <f>IF(ISNA(CB193),NA(),INDEX(Capability!$L$5:$L$54,$B$20))</f>
        <v/>
      </c>
      <c r="CG193">
        <f>IF(OR(ISNA(CC193),ISNA(CC192)),NA(),ABS(CC193-CC192))</f>
        <v/>
      </c>
      <c r="CH193">
        <f>IF(ISNA(CB193),NA(),INDEX(Capability!$N$5:$N$54,$B$20))</f>
        <v/>
      </c>
      <c r="CI193">
        <f>IF(ISNA(CB193),NA(),IF(OR(INDEX(Capability!$Q$5:$Q$54,$B$20)="",Settings!$F$7&lt;&gt;"Y"),NA(),INDEX(Capability!$Q$5:$Q$54,$B$20)))</f>
        <v/>
      </c>
      <c r="CJ193">
        <f>IF(ISNA(CB193),NA(),IF(OR(INDEX(Capability!$P$5:$P$54,$B$20)="",Settings!$F$7&lt;&gt;"Y"),NA(),INDEX(Capability!$P$5:$P$54,$B$20)))</f>
        <v/>
      </c>
      <c r="CP193">
        <f>IF((CS$1+189)&gt;CQ$1,NA(),(CS$1+189)-4)</f>
        <v/>
      </c>
      <c r="CQ193">
        <f>IF((CS$1+189)&gt;CQ$1,NA(),INDEX('Data Entry'!$H$5:$BE$10004,(CS$1+189)-4,$B$21))</f>
        <v/>
      </c>
      <c r="CR193">
        <f>IF(ISNA(CP193),NA(),INDEX(Capability!$K$5:$K$54,$B$21))</f>
        <v/>
      </c>
      <c r="CS193">
        <f>IF(ISNA(CP193),NA(),INDEX(Capability!$J$5:$J$54,$B$21))</f>
        <v/>
      </c>
      <c r="CT193">
        <f>IF(ISNA(CP193),NA(),INDEX(Capability!$L$5:$L$54,$B$21))</f>
        <v/>
      </c>
      <c r="CU193">
        <f>IF(OR(ISNA(CQ193),ISNA(CQ192)),NA(),ABS(CQ193-CQ192))</f>
        <v/>
      </c>
      <c r="CV193">
        <f>IF(ISNA(CP193),NA(),INDEX(Capability!$N$5:$N$54,$B$21))</f>
        <v/>
      </c>
      <c r="CW193">
        <f>IF(ISNA(CP193),NA(),IF(OR(INDEX(Capability!$Q$5:$Q$54,$B$21)="",Settings!$F$7&lt;&gt;"Y"),NA(),INDEX(Capability!$Q$5:$Q$54,$B$21)))</f>
        <v/>
      </c>
      <c r="CX193">
        <f>IF(ISNA(CP193),NA(),IF(OR(INDEX(Capability!$P$5:$P$54,$B$21)="",Settings!$F$7&lt;&gt;"Y"),NA(),INDEX(Capability!$P$5:$P$54,$B$21)))</f>
        <v/>
      </c>
      <c r="DD193">
        <f>IF((DG$1+189)&gt;DE$1,NA(),(DG$1+189)-4)</f>
        <v/>
      </c>
      <c r="DE193">
        <f>IF((DG$1+189)&gt;DE$1,NA(),INDEX('Data Entry'!$H$5:$BE$10004,(DG$1+189)-4,$B$22))</f>
        <v/>
      </c>
      <c r="DF193">
        <f>IF(ISNA(DD193),NA(),INDEX(Capability!$K$5:$K$54,$B$22))</f>
        <v/>
      </c>
      <c r="DG193">
        <f>IF(ISNA(DD193),NA(),INDEX(Capability!$J$5:$J$54,$B$22))</f>
        <v/>
      </c>
      <c r="DH193">
        <f>IF(ISNA(DD193),NA(),INDEX(Capability!$L$5:$L$54,$B$22))</f>
        <v/>
      </c>
      <c r="DI193">
        <f>IF(OR(ISNA(DE193),ISNA(DE192)),NA(),ABS(DE193-DE192))</f>
        <v/>
      </c>
      <c r="DJ193">
        <f>IF(ISNA(DD193),NA(),INDEX(Capability!$N$5:$N$54,$B$22))</f>
        <v/>
      </c>
      <c r="DK193">
        <f>IF(ISNA(DD193),NA(),IF(OR(INDEX(Capability!$Q$5:$Q$54,$B$22)="",Settings!$F$7&lt;&gt;"Y"),NA(),INDEX(Capability!$Q$5:$Q$54,$B$22)))</f>
        <v/>
      </c>
      <c r="DL193">
        <f>IF(ISNA(DD193),NA(),IF(OR(INDEX(Capability!$P$5:$P$54,$B$22)="",Settings!$F$7&lt;&gt;"Y"),NA(),INDEX(Capability!$P$5:$P$54,$B$22)))</f>
        <v/>
      </c>
      <c r="DR193">
        <f>IF((DU$1+189)&gt;DS$1,NA(),(DU$1+189)-4)</f>
        <v/>
      </c>
      <c r="DS193">
        <f>IF((DU$1+189)&gt;DS$1,NA(),INDEX('Data Entry'!$H$5:$BE$10004,(DU$1+189)-4,$B$23))</f>
        <v/>
      </c>
      <c r="DT193">
        <f>IF(ISNA(DR193),NA(),INDEX(Capability!$K$5:$K$54,$B$23))</f>
        <v/>
      </c>
      <c r="DU193">
        <f>IF(ISNA(DR193),NA(),INDEX(Capability!$J$5:$J$54,$B$23))</f>
        <v/>
      </c>
      <c r="DV193">
        <f>IF(ISNA(DR193),NA(),INDEX(Capability!$L$5:$L$54,$B$23))</f>
        <v/>
      </c>
      <c r="DW193">
        <f>IF(OR(ISNA(DS193),ISNA(DS192)),NA(),ABS(DS193-DS192))</f>
        <v/>
      </c>
      <c r="DX193">
        <f>IF(ISNA(DR193),NA(),INDEX(Capability!$N$5:$N$54,$B$23))</f>
        <v/>
      </c>
      <c r="DY193">
        <f>IF(ISNA(DR193),NA(),IF(OR(INDEX(Capability!$Q$5:$Q$54,$B$23)="",Settings!$F$7&lt;&gt;"Y"),NA(),INDEX(Capability!$Q$5:$Q$54,$B$23)))</f>
        <v/>
      </c>
      <c r="DZ193">
        <f>IF(ISNA(DR193),NA(),IF(OR(INDEX(Capability!$P$5:$P$54,$B$23)="",Settings!$F$7&lt;&gt;"Y"),NA(),INDEX(Capability!$P$5:$P$54,$B$23)))</f>
        <v/>
      </c>
    </row>
    <row r="194">
      <c r="CB194">
        <f>IF((CE$1+190)&gt;CC$1,NA(),(CE$1+190)-4)</f>
        <v/>
      </c>
      <c r="CC194">
        <f>IF((CE$1+190)&gt;CC$1,NA(),INDEX('Data Entry'!$H$5:$BE$10004,(CE$1+190)-4,$B$20))</f>
        <v/>
      </c>
      <c r="CD194">
        <f>IF(ISNA(CB194),NA(),INDEX(Capability!$K$5:$K$54,$B$20))</f>
        <v/>
      </c>
      <c r="CE194">
        <f>IF(ISNA(CB194),NA(),INDEX(Capability!$J$5:$J$54,$B$20))</f>
        <v/>
      </c>
      <c r="CF194">
        <f>IF(ISNA(CB194),NA(),INDEX(Capability!$L$5:$L$54,$B$20))</f>
        <v/>
      </c>
      <c r="CG194">
        <f>IF(OR(ISNA(CC194),ISNA(CC193)),NA(),ABS(CC194-CC193))</f>
        <v/>
      </c>
      <c r="CH194">
        <f>IF(ISNA(CB194),NA(),INDEX(Capability!$N$5:$N$54,$B$20))</f>
        <v/>
      </c>
      <c r="CI194">
        <f>IF(ISNA(CB194),NA(),IF(OR(INDEX(Capability!$Q$5:$Q$54,$B$20)="",Settings!$F$7&lt;&gt;"Y"),NA(),INDEX(Capability!$Q$5:$Q$54,$B$20)))</f>
        <v/>
      </c>
      <c r="CJ194">
        <f>IF(ISNA(CB194),NA(),IF(OR(INDEX(Capability!$P$5:$P$54,$B$20)="",Settings!$F$7&lt;&gt;"Y"),NA(),INDEX(Capability!$P$5:$P$54,$B$20)))</f>
        <v/>
      </c>
      <c r="CP194">
        <f>IF((CS$1+190)&gt;CQ$1,NA(),(CS$1+190)-4)</f>
        <v/>
      </c>
      <c r="CQ194">
        <f>IF((CS$1+190)&gt;CQ$1,NA(),INDEX('Data Entry'!$H$5:$BE$10004,(CS$1+190)-4,$B$21))</f>
        <v/>
      </c>
      <c r="CR194">
        <f>IF(ISNA(CP194),NA(),INDEX(Capability!$K$5:$K$54,$B$21))</f>
        <v/>
      </c>
      <c r="CS194">
        <f>IF(ISNA(CP194),NA(),INDEX(Capability!$J$5:$J$54,$B$21))</f>
        <v/>
      </c>
      <c r="CT194">
        <f>IF(ISNA(CP194),NA(),INDEX(Capability!$L$5:$L$54,$B$21))</f>
        <v/>
      </c>
      <c r="CU194">
        <f>IF(OR(ISNA(CQ194),ISNA(CQ193)),NA(),ABS(CQ194-CQ193))</f>
        <v/>
      </c>
      <c r="CV194">
        <f>IF(ISNA(CP194),NA(),INDEX(Capability!$N$5:$N$54,$B$21))</f>
        <v/>
      </c>
      <c r="CW194">
        <f>IF(ISNA(CP194),NA(),IF(OR(INDEX(Capability!$Q$5:$Q$54,$B$21)="",Settings!$F$7&lt;&gt;"Y"),NA(),INDEX(Capability!$Q$5:$Q$54,$B$21)))</f>
        <v/>
      </c>
      <c r="CX194">
        <f>IF(ISNA(CP194),NA(),IF(OR(INDEX(Capability!$P$5:$P$54,$B$21)="",Settings!$F$7&lt;&gt;"Y"),NA(),INDEX(Capability!$P$5:$P$54,$B$21)))</f>
        <v/>
      </c>
      <c r="DD194">
        <f>IF((DG$1+190)&gt;DE$1,NA(),(DG$1+190)-4)</f>
        <v/>
      </c>
      <c r="DE194">
        <f>IF((DG$1+190)&gt;DE$1,NA(),INDEX('Data Entry'!$H$5:$BE$10004,(DG$1+190)-4,$B$22))</f>
        <v/>
      </c>
      <c r="DF194">
        <f>IF(ISNA(DD194),NA(),INDEX(Capability!$K$5:$K$54,$B$22))</f>
        <v/>
      </c>
      <c r="DG194">
        <f>IF(ISNA(DD194),NA(),INDEX(Capability!$J$5:$J$54,$B$22))</f>
        <v/>
      </c>
      <c r="DH194">
        <f>IF(ISNA(DD194),NA(),INDEX(Capability!$L$5:$L$54,$B$22))</f>
        <v/>
      </c>
      <c r="DI194">
        <f>IF(OR(ISNA(DE194),ISNA(DE193)),NA(),ABS(DE194-DE193))</f>
        <v/>
      </c>
      <c r="DJ194">
        <f>IF(ISNA(DD194),NA(),INDEX(Capability!$N$5:$N$54,$B$22))</f>
        <v/>
      </c>
      <c r="DK194">
        <f>IF(ISNA(DD194),NA(),IF(OR(INDEX(Capability!$Q$5:$Q$54,$B$22)="",Settings!$F$7&lt;&gt;"Y"),NA(),INDEX(Capability!$Q$5:$Q$54,$B$22)))</f>
        <v/>
      </c>
      <c r="DL194">
        <f>IF(ISNA(DD194),NA(),IF(OR(INDEX(Capability!$P$5:$P$54,$B$22)="",Settings!$F$7&lt;&gt;"Y"),NA(),INDEX(Capability!$P$5:$P$54,$B$22)))</f>
        <v/>
      </c>
      <c r="DR194">
        <f>IF((DU$1+190)&gt;DS$1,NA(),(DU$1+190)-4)</f>
        <v/>
      </c>
      <c r="DS194">
        <f>IF((DU$1+190)&gt;DS$1,NA(),INDEX('Data Entry'!$H$5:$BE$10004,(DU$1+190)-4,$B$23))</f>
        <v/>
      </c>
      <c r="DT194">
        <f>IF(ISNA(DR194),NA(),INDEX(Capability!$K$5:$K$54,$B$23))</f>
        <v/>
      </c>
      <c r="DU194">
        <f>IF(ISNA(DR194),NA(),INDEX(Capability!$J$5:$J$54,$B$23))</f>
        <v/>
      </c>
      <c r="DV194">
        <f>IF(ISNA(DR194),NA(),INDEX(Capability!$L$5:$L$54,$B$23))</f>
        <v/>
      </c>
      <c r="DW194">
        <f>IF(OR(ISNA(DS194),ISNA(DS193)),NA(),ABS(DS194-DS193))</f>
        <v/>
      </c>
      <c r="DX194">
        <f>IF(ISNA(DR194),NA(),INDEX(Capability!$N$5:$N$54,$B$23))</f>
        <v/>
      </c>
      <c r="DY194">
        <f>IF(ISNA(DR194),NA(),IF(OR(INDEX(Capability!$Q$5:$Q$54,$B$23)="",Settings!$F$7&lt;&gt;"Y"),NA(),INDEX(Capability!$Q$5:$Q$54,$B$23)))</f>
        <v/>
      </c>
      <c r="DZ194">
        <f>IF(ISNA(DR194),NA(),IF(OR(INDEX(Capability!$P$5:$P$54,$B$23)="",Settings!$F$7&lt;&gt;"Y"),NA(),INDEX(Capability!$P$5:$P$54,$B$23)))</f>
        <v/>
      </c>
    </row>
    <row r="195">
      <c r="CB195">
        <f>IF((CE$1+191)&gt;CC$1,NA(),(CE$1+191)-4)</f>
        <v/>
      </c>
      <c r="CC195">
        <f>IF((CE$1+191)&gt;CC$1,NA(),INDEX('Data Entry'!$H$5:$BE$10004,(CE$1+191)-4,$B$20))</f>
        <v/>
      </c>
      <c r="CD195">
        <f>IF(ISNA(CB195),NA(),INDEX(Capability!$K$5:$K$54,$B$20))</f>
        <v/>
      </c>
      <c r="CE195">
        <f>IF(ISNA(CB195),NA(),INDEX(Capability!$J$5:$J$54,$B$20))</f>
        <v/>
      </c>
      <c r="CF195">
        <f>IF(ISNA(CB195),NA(),INDEX(Capability!$L$5:$L$54,$B$20))</f>
        <v/>
      </c>
      <c r="CG195">
        <f>IF(OR(ISNA(CC195),ISNA(CC194)),NA(),ABS(CC195-CC194))</f>
        <v/>
      </c>
      <c r="CH195">
        <f>IF(ISNA(CB195),NA(),INDEX(Capability!$N$5:$N$54,$B$20))</f>
        <v/>
      </c>
      <c r="CI195">
        <f>IF(ISNA(CB195),NA(),IF(OR(INDEX(Capability!$Q$5:$Q$54,$B$20)="",Settings!$F$7&lt;&gt;"Y"),NA(),INDEX(Capability!$Q$5:$Q$54,$B$20)))</f>
        <v/>
      </c>
      <c r="CJ195">
        <f>IF(ISNA(CB195),NA(),IF(OR(INDEX(Capability!$P$5:$P$54,$B$20)="",Settings!$F$7&lt;&gt;"Y"),NA(),INDEX(Capability!$P$5:$P$54,$B$20)))</f>
        <v/>
      </c>
      <c r="CP195">
        <f>IF((CS$1+191)&gt;CQ$1,NA(),(CS$1+191)-4)</f>
        <v/>
      </c>
      <c r="CQ195">
        <f>IF((CS$1+191)&gt;CQ$1,NA(),INDEX('Data Entry'!$H$5:$BE$10004,(CS$1+191)-4,$B$21))</f>
        <v/>
      </c>
      <c r="CR195">
        <f>IF(ISNA(CP195),NA(),INDEX(Capability!$K$5:$K$54,$B$21))</f>
        <v/>
      </c>
      <c r="CS195">
        <f>IF(ISNA(CP195),NA(),INDEX(Capability!$J$5:$J$54,$B$21))</f>
        <v/>
      </c>
      <c r="CT195">
        <f>IF(ISNA(CP195),NA(),INDEX(Capability!$L$5:$L$54,$B$21))</f>
        <v/>
      </c>
      <c r="CU195">
        <f>IF(OR(ISNA(CQ195),ISNA(CQ194)),NA(),ABS(CQ195-CQ194))</f>
        <v/>
      </c>
      <c r="CV195">
        <f>IF(ISNA(CP195),NA(),INDEX(Capability!$N$5:$N$54,$B$21))</f>
        <v/>
      </c>
      <c r="CW195">
        <f>IF(ISNA(CP195),NA(),IF(OR(INDEX(Capability!$Q$5:$Q$54,$B$21)="",Settings!$F$7&lt;&gt;"Y"),NA(),INDEX(Capability!$Q$5:$Q$54,$B$21)))</f>
        <v/>
      </c>
      <c r="CX195">
        <f>IF(ISNA(CP195),NA(),IF(OR(INDEX(Capability!$P$5:$P$54,$B$21)="",Settings!$F$7&lt;&gt;"Y"),NA(),INDEX(Capability!$P$5:$P$54,$B$21)))</f>
        <v/>
      </c>
      <c r="DD195">
        <f>IF((DG$1+191)&gt;DE$1,NA(),(DG$1+191)-4)</f>
        <v/>
      </c>
      <c r="DE195">
        <f>IF((DG$1+191)&gt;DE$1,NA(),INDEX('Data Entry'!$H$5:$BE$10004,(DG$1+191)-4,$B$22))</f>
        <v/>
      </c>
      <c r="DF195">
        <f>IF(ISNA(DD195),NA(),INDEX(Capability!$K$5:$K$54,$B$22))</f>
        <v/>
      </c>
      <c r="DG195">
        <f>IF(ISNA(DD195),NA(),INDEX(Capability!$J$5:$J$54,$B$22))</f>
        <v/>
      </c>
      <c r="DH195">
        <f>IF(ISNA(DD195),NA(),INDEX(Capability!$L$5:$L$54,$B$22))</f>
        <v/>
      </c>
      <c r="DI195">
        <f>IF(OR(ISNA(DE195),ISNA(DE194)),NA(),ABS(DE195-DE194))</f>
        <v/>
      </c>
      <c r="DJ195">
        <f>IF(ISNA(DD195),NA(),INDEX(Capability!$N$5:$N$54,$B$22))</f>
        <v/>
      </c>
      <c r="DK195">
        <f>IF(ISNA(DD195),NA(),IF(OR(INDEX(Capability!$Q$5:$Q$54,$B$22)="",Settings!$F$7&lt;&gt;"Y"),NA(),INDEX(Capability!$Q$5:$Q$54,$B$22)))</f>
        <v/>
      </c>
      <c r="DL195">
        <f>IF(ISNA(DD195),NA(),IF(OR(INDEX(Capability!$P$5:$P$54,$B$22)="",Settings!$F$7&lt;&gt;"Y"),NA(),INDEX(Capability!$P$5:$P$54,$B$22)))</f>
        <v/>
      </c>
      <c r="DR195">
        <f>IF((DU$1+191)&gt;DS$1,NA(),(DU$1+191)-4)</f>
        <v/>
      </c>
      <c r="DS195">
        <f>IF((DU$1+191)&gt;DS$1,NA(),INDEX('Data Entry'!$H$5:$BE$10004,(DU$1+191)-4,$B$23))</f>
        <v/>
      </c>
      <c r="DT195">
        <f>IF(ISNA(DR195),NA(),INDEX(Capability!$K$5:$K$54,$B$23))</f>
        <v/>
      </c>
      <c r="DU195">
        <f>IF(ISNA(DR195),NA(),INDEX(Capability!$J$5:$J$54,$B$23))</f>
        <v/>
      </c>
      <c r="DV195">
        <f>IF(ISNA(DR195),NA(),INDEX(Capability!$L$5:$L$54,$B$23))</f>
        <v/>
      </c>
      <c r="DW195">
        <f>IF(OR(ISNA(DS195),ISNA(DS194)),NA(),ABS(DS195-DS194))</f>
        <v/>
      </c>
      <c r="DX195">
        <f>IF(ISNA(DR195),NA(),INDEX(Capability!$N$5:$N$54,$B$23))</f>
        <v/>
      </c>
      <c r="DY195">
        <f>IF(ISNA(DR195),NA(),IF(OR(INDEX(Capability!$Q$5:$Q$54,$B$23)="",Settings!$F$7&lt;&gt;"Y"),NA(),INDEX(Capability!$Q$5:$Q$54,$B$23)))</f>
        <v/>
      </c>
      <c r="DZ195">
        <f>IF(ISNA(DR195),NA(),IF(OR(INDEX(Capability!$P$5:$P$54,$B$23)="",Settings!$F$7&lt;&gt;"Y"),NA(),INDEX(Capability!$P$5:$P$54,$B$23)))</f>
        <v/>
      </c>
    </row>
    <row r="196">
      <c r="CB196">
        <f>IF((CE$1+192)&gt;CC$1,NA(),(CE$1+192)-4)</f>
        <v/>
      </c>
      <c r="CC196">
        <f>IF((CE$1+192)&gt;CC$1,NA(),INDEX('Data Entry'!$H$5:$BE$10004,(CE$1+192)-4,$B$20))</f>
        <v/>
      </c>
      <c r="CD196">
        <f>IF(ISNA(CB196),NA(),INDEX(Capability!$K$5:$K$54,$B$20))</f>
        <v/>
      </c>
      <c r="CE196">
        <f>IF(ISNA(CB196),NA(),INDEX(Capability!$J$5:$J$54,$B$20))</f>
        <v/>
      </c>
      <c r="CF196">
        <f>IF(ISNA(CB196),NA(),INDEX(Capability!$L$5:$L$54,$B$20))</f>
        <v/>
      </c>
      <c r="CG196">
        <f>IF(OR(ISNA(CC196),ISNA(CC195)),NA(),ABS(CC196-CC195))</f>
        <v/>
      </c>
      <c r="CH196">
        <f>IF(ISNA(CB196),NA(),INDEX(Capability!$N$5:$N$54,$B$20))</f>
        <v/>
      </c>
      <c r="CI196">
        <f>IF(ISNA(CB196),NA(),IF(OR(INDEX(Capability!$Q$5:$Q$54,$B$20)="",Settings!$F$7&lt;&gt;"Y"),NA(),INDEX(Capability!$Q$5:$Q$54,$B$20)))</f>
        <v/>
      </c>
      <c r="CJ196">
        <f>IF(ISNA(CB196),NA(),IF(OR(INDEX(Capability!$P$5:$P$54,$B$20)="",Settings!$F$7&lt;&gt;"Y"),NA(),INDEX(Capability!$P$5:$P$54,$B$20)))</f>
        <v/>
      </c>
      <c r="CP196">
        <f>IF((CS$1+192)&gt;CQ$1,NA(),(CS$1+192)-4)</f>
        <v/>
      </c>
      <c r="CQ196">
        <f>IF((CS$1+192)&gt;CQ$1,NA(),INDEX('Data Entry'!$H$5:$BE$10004,(CS$1+192)-4,$B$21))</f>
        <v/>
      </c>
      <c r="CR196">
        <f>IF(ISNA(CP196),NA(),INDEX(Capability!$K$5:$K$54,$B$21))</f>
        <v/>
      </c>
      <c r="CS196">
        <f>IF(ISNA(CP196),NA(),INDEX(Capability!$J$5:$J$54,$B$21))</f>
        <v/>
      </c>
      <c r="CT196">
        <f>IF(ISNA(CP196),NA(),INDEX(Capability!$L$5:$L$54,$B$21))</f>
        <v/>
      </c>
      <c r="CU196">
        <f>IF(OR(ISNA(CQ196),ISNA(CQ195)),NA(),ABS(CQ196-CQ195))</f>
        <v/>
      </c>
      <c r="CV196">
        <f>IF(ISNA(CP196),NA(),INDEX(Capability!$N$5:$N$54,$B$21))</f>
        <v/>
      </c>
      <c r="CW196">
        <f>IF(ISNA(CP196),NA(),IF(OR(INDEX(Capability!$Q$5:$Q$54,$B$21)="",Settings!$F$7&lt;&gt;"Y"),NA(),INDEX(Capability!$Q$5:$Q$54,$B$21)))</f>
        <v/>
      </c>
      <c r="CX196">
        <f>IF(ISNA(CP196),NA(),IF(OR(INDEX(Capability!$P$5:$P$54,$B$21)="",Settings!$F$7&lt;&gt;"Y"),NA(),INDEX(Capability!$P$5:$P$54,$B$21)))</f>
        <v/>
      </c>
      <c r="DD196">
        <f>IF((DG$1+192)&gt;DE$1,NA(),(DG$1+192)-4)</f>
        <v/>
      </c>
      <c r="DE196">
        <f>IF((DG$1+192)&gt;DE$1,NA(),INDEX('Data Entry'!$H$5:$BE$10004,(DG$1+192)-4,$B$22))</f>
        <v/>
      </c>
      <c r="DF196">
        <f>IF(ISNA(DD196),NA(),INDEX(Capability!$K$5:$K$54,$B$22))</f>
        <v/>
      </c>
      <c r="DG196">
        <f>IF(ISNA(DD196),NA(),INDEX(Capability!$J$5:$J$54,$B$22))</f>
        <v/>
      </c>
      <c r="DH196">
        <f>IF(ISNA(DD196),NA(),INDEX(Capability!$L$5:$L$54,$B$22))</f>
        <v/>
      </c>
      <c r="DI196">
        <f>IF(OR(ISNA(DE196),ISNA(DE195)),NA(),ABS(DE196-DE195))</f>
        <v/>
      </c>
      <c r="DJ196">
        <f>IF(ISNA(DD196),NA(),INDEX(Capability!$N$5:$N$54,$B$22))</f>
        <v/>
      </c>
      <c r="DK196">
        <f>IF(ISNA(DD196),NA(),IF(OR(INDEX(Capability!$Q$5:$Q$54,$B$22)="",Settings!$F$7&lt;&gt;"Y"),NA(),INDEX(Capability!$Q$5:$Q$54,$B$22)))</f>
        <v/>
      </c>
      <c r="DL196">
        <f>IF(ISNA(DD196),NA(),IF(OR(INDEX(Capability!$P$5:$P$54,$B$22)="",Settings!$F$7&lt;&gt;"Y"),NA(),INDEX(Capability!$P$5:$P$54,$B$22)))</f>
        <v/>
      </c>
      <c r="DR196">
        <f>IF((DU$1+192)&gt;DS$1,NA(),(DU$1+192)-4)</f>
        <v/>
      </c>
      <c r="DS196">
        <f>IF((DU$1+192)&gt;DS$1,NA(),INDEX('Data Entry'!$H$5:$BE$10004,(DU$1+192)-4,$B$23))</f>
        <v/>
      </c>
      <c r="DT196">
        <f>IF(ISNA(DR196),NA(),INDEX(Capability!$K$5:$K$54,$B$23))</f>
        <v/>
      </c>
      <c r="DU196">
        <f>IF(ISNA(DR196),NA(),INDEX(Capability!$J$5:$J$54,$B$23))</f>
        <v/>
      </c>
      <c r="DV196">
        <f>IF(ISNA(DR196),NA(),INDEX(Capability!$L$5:$L$54,$B$23))</f>
        <v/>
      </c>
      <c r="DW196">
        <f>IF(OR(ISNA(DS196),ISNA(DS195)),NA(),ABS(DS196-DS195))</f>
        <v/>
      </c>
      <c r="DX196">
        <f>IF(ISNA(DR196),NA(),INDEX(Capability!$N$5:$N$54,$B$23))</f>
        <v/>
      </c>
      <c r="DY196">
        <f>IF(ISNA(DR196),NA(),IF(OR(INDEX(Capability!$Q$5:$Q$54,$B$23)="",Settings!$F$7&lt;&gt;"Y"),NA(),INDEX(Capability!$Q$5:$Q$54,$B$23)))</f>
        <v/>
      </c>
      <c r="DZ196">
        <f>IF(ISNA(DR196),NA(),IF(OR(INDEX(Capability!$P$5:$P$54,$B$23)="",Settings!$F$7&lt;&gt;"Y"),NA(),INDEX(Capability!$P$5:$P$54,$B$23)))</f>
        <v/>
      </c>
    </row>
    <row r="197">
      <c r="CB197">
        <f>IF((CE$1+193)&gt;CC$1,NA(),(CE$1+193)-4)</f>
        <v/>
      </c>
      <c r="CC197">
        <f>IF((CE$1+193)&gt;CC$1,NA(),INDEX('Data Entry'!$H$5:$BE$10004,(CE$1+193)-4,$B$20))</f>
        <v/>
      </c>
      <c r="CD197">
        <f>IF(ISNA(CB197),NA(),INDEX(Capability!$K$5:$K$54,$B$20))</f>
        <v/>
      </c>
      <c r="CE197">
        <f>IF(ISNA(CB197),NA(),INDEX(Capability!$J$5:$J$54,$B$20))</f>
        <v/>
      </c>
      <c r="CF197">
        <f>IF(ISNA(CB197),NA(),INDEX(Capability!$L$5:$L$54,$B$20))</f>
        <v/>
      </c>
      <c r="CG197">
        <f>IF(OR(ISNA(CC197),ISNA(CC196)),NA(),ABS(CC197-CC196))</f>
        <v/>
      </c>
      <c r="CH197">
        <f>IF(ISNA(CB197),NA(),INDEX(Capability!$N$5:$N$54,$B$20))</f>
        <v/>
      </c>
      <c r="CI197">
        <f>IF(ISNA(CB197),NA(),IF(OR(INDEX(Capability!$Q$5:$Q$54,$B$20)="",Settings!$F$7&lt;&gt;"Y"),NA(),INDEX(Capability!$Q$5:$Q$54,$B$20)))</f>
        <v/>
      </c>
      <c r="CJ197">
        <f>IF(ISNA(CB197),NA(),IF(OR(INDEX(Capability!$P$5:$P$54,$B$20)="",Settings!$F$7&lt;&gt;"Y"),NA(),INDEX(Capability!$P$5:$P$54,$B$20)))</f>
        <v/>
      </c>
      <c r="CP197">
        <f>IF((CS$1+193)&gt;CQ$1,NA(),(CS$1+193)-4)</f>
        <v/>
      </c>
      <c r="CQ197">
        <f>IF((CS$1+193)&gt;CQ$1,NA(),INDEX('Data Entry'!$H$5:$BE$10004,(CS$1+193)-4,$B$21))</f>
        <v/>
      </c>
      <c r="CR197">
        <f>IF(ISNA(CP197),NA(),INDEX(Capability!$K$5:$K$54,$B$21))</f>
        <v/>
      </c>
      <c r="CS197">
        <f>IF(ISNA(CP197),NA(),INDEX(Capability!$J$5:$J$54,$B$21))</f>
        <v/>
      </c>
      <c r="CT197">
        <f>IF(ISNA(CP197),NA(),INDEX(Capability!$L$5:$L$54,$B$21))</f>
        <v/>
      </c>
      <c r="CU197">
        <f>IF(OR(ISNA(CQ197),ISNA(CQ196)),NA(),ABS(CQ197-CQ196))</f>
        <v/>
      </c>
      <c r="CV197">
        <f>IF(ISNA(CP197),NA(),INDEX(Capability!$N$5:$N$54,$B$21))</f>
        <v/>
      </c>
      <c r="CW197">
        <f>IF(ISNA(CP197),NA(),IF(OR(INDEX(Capability!$Q$5:$Q$54,$B$21)="",Settings!$F$7&lt;&gt;"Y"),NA(),INDEX(Capability!$Q$5:$Q$54,$B$21)))</f>
        <v/>
      </c>
      <c r="CX197">
        <f>IF(ISNA(CP197),NA(),IF(OR(INDEX(Capability!$P$5:$P$54,$B$21)="",Settings!$F$7&lt;&gt;"Y"),NA(),INDEX(Capability!$P$5:$P$54,$B$21)))</f>
        <v/>
      </c>
      <c r="DD197">
        <f>IF((DG$1+193)&gt;DE$1,NA(),(DG$1+193)-4)</f>
        <v/>
      </c>
      <c r="DE197">
        <f>IF((DG$1+193)&gt;DE$1,NA(),INDEX('Data Entry'!$H$5:$BE$10004,(DG$1+193)-4,$B$22))</f>
        <v/>
      </c>
      <c r="DF197">
        <f>IF(ISNA(DD197),NA(),INDEX(Capability!$K$5:$K$54,$B$22))</f>
        <v/>
      </c>
      <c r="DG197">
        <f>IF(ISNA(DD197),NA(),INDEX(Capability!$J$5:$J$54,$B$22))</f>
        <v/>
      </c>
      <c r="DH197">
        <f>IF(ISNA(DD197),NA(),INDEX(Capability!$L$5:$L$54,$B$22))</f>
        <v/>
      </c>
      <c r="DI197">
        <f>IF(OR(ISNA(DE197),ISNA(DE196)),NA(),ABS(DE197-DE196))</f>
        <v/>
      </c>
      <c r="DJ197">
        <f>IF(ISNA(DD197),NA(),INDEX(Capability!$N$5:$N$54,$B$22))</f>
        <v/>
      </c>
      <c r="DK197">
        <f>IF(ISNA(DD197),NA(),IF(OR(INDEX(Capability!$Q$5:$Q$54,$B$22)="",Settings!$F$7&lt;&gt;"Y"),NA(),INDEX(Capability!$Q$5:$Q$54,$B$22)))</f>
        <v/>
      </c>
      <c r="DL197">
        <f>IF(ISNA(DD197),NA(),IF(OR(INDEX(Capability!$P$5:$P$54,$B$22)="",Settings!$F$7&lt;&gt;"Y"),NA(),INDEX(Capability!$P$5:$P$54,$B$22)))</f>
        <v/>
      </c>
      <c r="DR197">
        <f>IF((DU$1+193)&gt;DS$1,NA(),(DU$1+193)-4)</f>
        <v/>
      </c>
      <c r="DS197">
        <f>IF((DU$1+193)&gt;DS$1,NA(),INDEX('Data Entry'!$H$5:$BE$10004,(DU$1+193)-4,$B$23))</f>
        <v/>
      </c>
      <c r="DT197">
        <f>IF(ISNA(DR197),NA(),INDEX(Capability!$K$5:$K$54,$B$23))</f>
        <v/>
      </c>
      <c r="DU197">
        <f>IF(ISNA(DR197),NA(),INDEX(Capability!$J$5:$J$54,$B$23))</f>
        <v/>
      </c>
      <c r="DV197">
        <f>IF(ISNA(DR197),NA(),INDEX(Capability!$L$5:$L$54,$B$23))</f>
        <v/>
      </c>
      <c r="DW197">
        <f>IF(OR(ISNA(DS197),ISNA(DS196)),NA(),ABS(DS197-DS196))</f>
        <v/>
      </c>
      <c r="DX197">
        <f>IF(ISNA(DR197),NA(),INDEX(Capability!$N$5:$N$54,$B$23))</f>
        <v/>
      </c>
      <c r="DY197">
        <f>IF(ISNA(DR197),NA(),IF(OR(INDEX(Capability!$Q$5:$Q$54,$B$23)="",Settings!$F$7&lt;&gt;"Y"),NA(),INDEX(Capability!$Q$5:$Q$54,$B$23)))</f>
        <v/>
      </c>
      <c r="DZ197">
        <f>IF(ISNA(DR197),NA(),IF(OR(INDEX(Capability!$P$5:$P$54,$B$23)="",Settings!$F$7&lt;&gt;"Y"),NA(),INDEX(Capability!$P$5:$P$54,$B$23)))</f>
        <v/>
      </c>
    </row>
    <row r="198">
      <c r="CB198">
        <f>IF((CE$1+194)&gt;CC$1,NA(),(CE$1+194)-4)</f>
        <v/>
      </c>
      <c r="CC198">
        <f>IF((CE$1+194)&gt;CC$1,NA(),INDEX('Data Entry'!$H$5:$BE$10004,(CE$1+194)-4,$B$20))</f>
        <v/>
      </c>
      <c r="CD198">
        <f>IF(ISNA(CB198),NA(),INDEX(Capability!$K$5:$K$54,$B$20))</f>
        <v/>
      </c>
      <c r="CE198">
        <f>IF(ISNA(CB198),NA(),INDEX(Capability!$J$5:$J$54,$B$20))</f>
        <v/>
      </c>
      <c r="CF198">
        <f>IF(ISNA(CB198),NA(),INDEX(Capability!$L$5:$L$54,$B$20))</f>
        <v/>
      </c>
      <c r="CG198">
        <f>IF(OR(ISNA(CC198),ISNA(CC197)),NA(),ABS(CC198-CC197))</f>
        <v/>
      </c>
      <c r="CH198">
        <f>IF(ISNA(CB198),NA(),INDEX(Capability!$N$5:$N$54,$B$20))</f>
        <v/>
      </c>
      <c r="CI198">
        <f>IF(ISNA(CB198),NA(),IF(OR(INDEX(Capability!$Q$5:$Q$54,$B$20)="",Settings!$F$7&lt;&gt;"Y"),NA(),INDEX(Capability!$Q$5:$Q$54,$B$20)))</f>
        <v/>
      </c>
      <c r="CJ198">
        <f>IF(ISNA(CB198),NA(),IF(OR(INDEX(Capability!$P$5:$P$54,$B$20)="",Settings!$F$7&lt;&gt;"Y"),NA(),INDEX(Capability!$P$5:$P$54,$B$20)))</f>
        <v/>
      </c>
      <c r="CP198">
        <f>IF((CS$1+194)&gt;CQ$1,NA(),(CS$1+194)-4)</f>
        <v/>
      </c>
      <c r="CQ198">
        <f>IF((CS$1+194)&gt;CQ$1,NA(),INDEX('Data Entry'!$H$5:$BE$10004,(CS$1+194)-4,$B$21))</f>
        <v/>
      </c>
      <c r="CR198">
        <f>IF(ISNA(CP198),NA(),INDEX(Capability!$K$5:$K$54,$B$21))</f>
        <v/>
      </c>
      <c r="CS198">
        <f>IF(ISNA(CP198),NA(),INDEX(Capability!$J$5:$J$54,$B$21))</f>
        <v/>
      </c>
      <c r="CT198">
        <f>IF(ISNA(CP198),NA(),INDEX(Capability!$L$5:$L$54,$B$21))</f>
        <v/>
      </c>
      <c r="CU198">
        <f>IF(OR(ISNA(CQ198),ISNA(CQ197)),NA(),ABS(CQ198-CQ197))</f>
        <v/>
      </c>
      <c r="CV198">
        <f>IF(ISNA(CP198),NA(),INDEX(Capability!$N$5:$N$54,$B$21))</f>
        <v/>
      </c>
      <c r="CW198">
        <f>IF(ISNA(CP198),NA(),IF(OR(INDEX(Capability!$Q$5:$Q$54,$B$21)="",Settings!$F$7&lt;&gt;"Y"),NA(),INDEX(Capability!$Q$5:$Q$54,$B$21)))</f>
        <v/>
      </c>
      <c r="CX198">
        <f>IF(ISNA(CP198),NA(),IF(OR(INDEX(Capability!$P$5:$P$54,$B$21)="",Settings!$F$7&lt;&gt;"Y"),NA(),INDEX(Capability!$P$5:$P$54,$B$21)))</f>
        <v/>
      </c>
      <c r="DD198">
        <f>IF((DG$1+194)&gt;DE$1,NA(),(DG$1+194)-4)</f>
        <v/>
      </c>
      <c r="DE198">
        <f>IF((DG$1+194)&gt;DE$1,NA(),INDEX('Data Entry'!$H$5:$BE$10004,(DG$1+194)-4,$B$22))</f>
        <v/>
      </c>
      <c r="DF198">
        <f>IF(ISNA(DD198),NA(),INDEX(Capability!$K$5:$K$54,$B$22))</f>
        <v/>
      </c>
      <c r="DG198">
        <f>IF(ISNA(DD198),NA(),INDEX(Capability!$J$5:$J$54,$B$22))</f>
        <v/>
      </c>
      <c r="DH198">
        <f>IF(ISNA(DD198),NA(),INDEX(Capability!$L$5:$L$54,$B$22))</f>
        <v/>
      </c>
      <c r="DI198">
        <f>IF(OR(ISNA(DE198),ISNA(DE197)),NA(),ABS(DE198-DE197))</f>
        <v/>
      </c>
      <c r="DJ198">
        <f>IF(ISNA(DD198),NA(),INDEX(Capability!$N$5:$N$54,$B$22))</f>
        <v/>
      </c>
      <c r="DK198">
        <f>IF(ISNA(DD198),NA(),IF(OR(INDEX(Capability!$Q$5:$Q$54,$B$22)="",Settings!$F$7&lt;&gt;"Y"),NA(),INDEX(Capability!$Q$5:$Q$54,$B$22)))</f>
        <v/>
      </c>
      <c r="DL198">
        <f>IF(ISNA(DD198),NA(),IF(OR(INDEX(Capability!$P$5:$P$54,$B$22)="",Settings!$F$7&lt;&gt;"Y"),NA(),INDEX(Capability!$P$5:$P$54,$B$22)))</f>
        <v/>
      </c>
      <c r="DR198">
        <f>IF((DU$1+194)&gt;DS$1,NA(),(DU$1+194)-4)</f>
        <v/>
      </c>
      <c r="DS198">
        <f>IF((DU$1+194)&gt;DS$1,NA(),INDEX('Data Entry'!$H$5:$BE$10004,(DU$1+194)-4,$B$23))</f>
        <v/>
      </c>
      <c r="DT198">
        <f>IF(ISNA(DR198),NA(),INDEX(Capability!$K$5:$K$54,$B$23))</f>
        <v/>
      </c>
      <c r="DU198">
        <f>IF(ISNA(DR198),NA(),INDEX(Capability!$J$5:$J$54,$B$23))</f>
        <v/>
      </c>
      <c r="DV198">
        <f>IF(ISNA(DR198),NA(),INDEX(Capability!$L$5:$L$54,$B$23))</f>
        <v/>
      </c>
      <c r="DW198">
        <f>IF(OR(ISNA(DS198),ISNA(DS197)),NA(),ABS(DS198-DS197))</f>
        <v/>
      </c>
      <c r="DX198">
        <f>IF(ISNA(DR198),NA(),INDEX(Capability!$N$5:$N$54,$B$23))</f>
        <v/>
      </c>
      <c r="DY198">
        <f>IF(ISNA(DR198),NA(),IF(OR(INDEX(Capability!$Q$5:$Q$54,$B$23)="",Settings!$F$7&lt;&gt;"Y"),NA(),INDEX(Capability!$Q$5:$Q$54,$B$23)))</f>
        <v/>
      </c>
      <c r="DZ198">
        <f>IF(ISNA(DR198),NA(),IF(OR(INDEX(Capability!$P$5:$P$54,$B$23)="",Settings!$F$7&lt;&gt;"Y"),NA(),INDEX(Capability!$P$5:$P$54,$B$23)))</f>
        <v/>
      </c>
    </row>
    <row r="199">
      <c r="CB199">
        <f>IF((CE$1+195)&gt;CC$1,NA(),(CE$1+195)-4)</f>
        <v/>
      </c>
      <c r="CC199">
        <f>IF((CE$1+195)&gt;CC$1,NA(),INDEX('Data Entry'!$H$5:$BE$10004,(CE$1+195)-4,$B$20))</f>
        <v/>
      </c>
      <c r="CD199">
        <f>IF(ISNA(CB199),NA(),INDEX(Capability!$K$5:$K$54,$B$20))</f>
        <v/>
      </c>
      <c r="CE199">
        <f>IF(ISNA(CB199),NA(),INDEX(Capability!$J$5:$J$54,$B$20))</f>
        <v/>
      </c>
      <c r="CF199">
        <f>IF(ISNA(CB199),NA(),INDEX(Capability!$L$5:$L$54,$B$20))</f>
        <v/>
      </c>
      <c r="CG199">
        <f>IF(OR(ISNA(CC199),ISNA(CC198)),NA(),ABS(CC199-CC198))</f>
        <v/>
      </c>
      <c r="CH199">
        <f>IF(ISNA(CB199),NA(),INDEX(Capability!$N$5:$N$54,$B$20))</f>
        <v/>
      </c>
      <c r="CI199">
        <f>IF(ISNA(CB199),NA(),IF(OR(INDEX(Capability!$Q$5:$Q$54,$B$20)="",Settings!$F$7&lt;&gt;"Y"),NA(),INDEX(Capability!$Q$5:$Q$54,$B$20)))</f>
        <v/>
      </c>
      <c r="CJ199">
        <f>IF(ISNA(CB199),NA(),IF(OR(INDEX(Capability!$P$5:$P$54,$B$20)="",Settings!$F$7&lt;&gt;"Y"),NA(),INDEX(Capability!$P$5:$P$54,$B$20)))</f>
        <v/>
      </c>
      <c r="CP199">
        <f>IF((CS$1+195)&gt;CQ$1,NA(),(CS$1+195)-4)</f>
        <v/>
      </c>
      <c r="CQ199">
        <f>IF((CS$1+195)&gt;CQ$1,NA(),INDEX('Data Entry'!$H$5:$BE$10004,(CS$1+195)-4,$B$21))</f>
        <v/>
      </c>
      <c r="CR199">
        <f>IF(ISNA(CP199),NA(),INDEX(Capability!$K$5:$K$54,$B$21))</f>
        <v/>
      </c>
      <c r="CS199">
        <f>IF(ISNA(CP199),NA(),INDEX(Capability!$J$5:$J$54,$B$21))</f>
        <v/>
      </c>
      <c r="CT199">
        <f>IF(ISNA(CP199),NA(),INDEX(Capability!$L$5:$L$54,$B$21))</f>
        <v/>
      </c>
      <c r="CU199">
        <f>IF(OR(ISNA(CQ199),ISNA(CQ198)),NA(),ABS(CQ199-CQ198))</f>
        <v/>
      </c>
      <c r="CV199">
        <f>IF(ISNA(CP199),NA(),INDEX(Capability!$N$5:$N$54,$B$21))</f>
        <v/>
      </c>
      <c r="CW199">
        <f>IF(ISNA(CP199),NA(),IF(OR(INDEX(Capability!$Q$5:$Q$54,$B$21)="",Settings!$F$7&lt;&gt;"Y"),NA(),INDEX(Capability!$Q$5:$Q$54,$B$21)))</f>
        <v/>
      </c>
      <c r="CX199">
        <f>IF(ISNA(CP199),NA(),IF(OR(INDEX(Capability!$P$5:$P$54,$B$21)="",Settings!$F$7&lt;&gt;"Y"),NA(),INDEX(Capability!$P$5:$P$54,$B$21)))</f>
        <v/>
      </c>
      <c r="DD199">
        <f>IF((DG$1+195)&gt;DE$1,NA(),(DG$1+195)-4)</f>
        <v/>
      </c>
      <c r="DE199">
        <f>IF((DG$1+195)&gt;DE$1,NA(),INDEX('Data Entry'!$H$5:$BE$10004,(DG$1+195)-4,$B$22))</f>
        <v/>
      </c>
      <c r="DF199">
        <f>IF(ISNA(DD199),NA(),INDEX(Capability!$K$5:$K$54,$B$22))</f>
        <v/>
      </c>
      <c r="DG199">
        <f>IF(ISNA(DD199),NA(),INDEX(Capability!$J$5:$J$54,$B$22))</f>
        <v/>
      </c>
      <c r="DH199">
        <f>IF(ISNA(DD199),NA(),INDEX(Capability!$L$5:$L$54,$B$22))</f>
        <v/>
      </c>
      <c r="DI199">
        <f>IF(OR(ISNA(DE199),ISNA(DE198)),NA(),ABS(DE199-DE198))</f>
        <v/>
      </c>
      <c r="DJ199">
        <f>IF(ISNA(DD199),NA(),INDEX(Capability!$N$5:$N$54,$B$22))</f>
        <v/>
      </c>
      <c r="DK199">
        <f>IF(ISNA(DD199),NA(),IF(OR(INDEX(Capability!$Q$5:$Q$54,$B$22)="",Settings!$F$7&lt;&gt;"Y"),NA(),INDEX(Capability!$Q$5:$Q$54,$B$22)))</f>
        <v/>
      </c>
      <c r="DL199">
        <f>IF(ISNA(DD199),NA(),IF(OR(INDEX(Capability!$P$5:$P$54,$B$22)="",Settings!$F$7&lt;&gt;"Y"),NA(),INDEX(Capability!$P$5:$P$54,$B$22)))</f>
        <v/>
      </c>
      <c r="DR199">
        <f>IF((DU$1+195)&gt;DS$1,NA(),(DU$1+195)-4)</f>
        <v/>
      </c>
      <c r="DS199">
        <f>IF((DU$1+195)&gt;DS$1,NA(),INDEX('Data Entry'!$H$5:$BE$10004,(DU$1+195)-4,$B$23))</f>
        <v/>
      </c>
      <c r="DT199">
        <f>IF(ISNA(DR199),NA(),INDEX(Capability!$K$5:$K$54,$B$23))</f>
        <v/>
      </c>
      <c r="DU199">
        <f>IF(ISNA(DR199),NA(),INDEX(Capability!$J$5:$J$54,$B$23))</f>
        <v/>
      </c>
      <c r="DV199">
        <f>IF(ISNA(DR199),NA(),INDEX(Capability!$L$5:$L$54,$B$23))</f>
        <v/>
      </c>
      <c r="DW199">
        <f>IF(OR(ISNA(DS199),ISNA(DS198)),NA(),ABS(DS199-DS198))</f>
        <v/>
      </c>
      <c r="DX199">
        <f>IF(ISNA(DR199),NA(),INDEX(Capability!$N$5:$N$54,$B$23))</f>
        <v/>
      </c>
      <c r="DY199">
        <f>IF(ISNA(DR199),NA(),IF(OR(INDEX(Capability!$Q$5:$Q$54,$B$23)="",Settings!$F$7&lt;&gt;"Y"),NA(),INDEX(Capability!$Q$5:$Q$54,$B$23)))</f>
        <v/>
      </c>
      <c r="DZ199">
        <f>IF(ISNA(DR199),NA(),IF(OR(INDEX(Capability!$P$5:$P$54,$B$23)="",Settings!$F$7&lt;&gt;"Y"),NA(),INDEX(Capability!$P$5:$P$54,$B$23)))</f>
        <v/>
      </c>
    </row>
    <row r="200">
      <c r="CB200">
        <f>IF((CE$1+196)&gt;CC$1,NA(),(CE$1+196)-4)</f>
        <v/>
      </c>
      <c r="CC200">
        <f>IF((CE$1+196)&gt;CC$1,NA(),INDEX('Data Entry'!$H$5:$BE$10004,(CE$1+196)-4,$B$20))</f>
        <v/>
      </c>
      <c r="CD200">
        <f>IF(ISNA(CB200),NA(),INDEX(Capability!$K$5:$K$54,$B$20))</f>
        <v/>
      </c>
      <c r="CE200">
        <f>IF(ISNA(CB200),NA(),INDEX(Capability!$J$5:$J$54,$B$20))</f>
        <v/>
      </c>
      <c r="CF200">
        <f>IF(ISNA(CB200),NA(),INDEX(Capability!$L$5:$L$54,$B$20))</f>
        <v/>
      </c>
      <c r="CG200">
        <f>IF(OR(ISNA(CC200),ISNA(CC199)),NA(),ABS(CC200-CC199))</f>
        <v/>
      </c>
      <c r="CH200">
        <f>IF(ISNA(CB200),NA(),INDEX(Capability!$N$5:$N$54,$B$20))</f>
        <v/>
      </c>
      <c r="CI200">
        <f>IF(ISNA(CB200),NA(),IF(OR(INDEX(Capability!$Q$5:$Q$54,$B$20)="",Settings!$F$7&lt;&gt;"Y"),NA(),INDEX(Capability!$Q$5:$Q$54,$B$20)))</f>
        <v/>
      </c>
      <c r="CJ200">
        <f>IF(ISNA(CB200),NA(),IF(OR(INDEX(Capability!$P$5:$P$54,$B$20)="",Settings!$F$7&lt;&gt;"Y"),NA(),INDEX(Capability!$P$5:$P$54,$B$20)))</f>
        <v/>
      </c>
      <c r="CP200">
        <f>IF((CS$1+196)&gt;CQ$1,NA(),(CS$1+196)-4)</f>
        <v/>
      </c>
      <c r="CQ200">
        <f>IF((CS$1+196)&gt;CQ$1,NA(),INDEX('Data Entry'!$H$5:$BE$10004,(CS$1+196)-4,$B$21))</f>
        <v/>
      </c>
      <c r="CR200">
        <f>IF(ISNA(CP200),NA(),INDEX(Capability!$K$5:$K$54,$B$21))</f>
        <v/>
      </c>
      <c r="CS200">
        <f>IF(ISNA(CP200),NA(),INDEX(Capability!$J$5:$J$54,$B$21))</f>
        <v/>
      </c>
      <c r="CT200">
        <f>IF(ISNA(CP200),NA(),INDEX(Capability!$L$5:$L$54,$B$21))</f>
        <v/>
      </c>
      <c r="CU200">
        <f>IF(OR(ISNA(CQ200),ISNA(CQ199)),NA(),ABS(CQ200-CQ199))</f>
        <v/>
      </c>
      <c r="CV200">
        <f>IF(ISNA(CP200),NA(),INDEX(Capability!$N$5:$N$54,$B$21))</f>
        <v/>
      </c>
      <c r="CW200">
        <f>IF(ISNA(CP200),NA(),IF(OR(INDEX(Capability!$Q$5:$Q$54,$B$21)="",Settings!$F$7&lt;&gt;"Y"),NA(),INDEX(Capability!$Q$5:$Q$54,$B$21)))</f>
        <v/>
      </c>
      <c r="CX200">
        <f>IF(ISNA(CP200),NA(),IF(OR(INDEX(Capability!$P$5:$P$54,$B$21)="",Settings!$F$7&lt;&gt;"Y"),NA(),INDEX(Capability!$P$5:$P$54,$B$21)))</f>
        <v/>
      </c>
      <c r="DD200">
        <f>IF((DG$1+196)&gt;DE$1,NA(),(DG$1+196)-4)</f>
        <v/>
      </c>
      <c r="DE200">
        <f>IF((DG$1+196)&gt;DE$1,NA(),INDEX('Data Entry'!$H$5:$BE$10004,(DG$1+196)-4,$B$22))</f>
        <v/>
      </c>
      <c r="DF200">
        <f>IF(ISNA(DD200),NA(),INDEX(Capability!$K$5:$K$54,$B$22))</f>
        <v/>
      </c>
      <c r="DG200">
        <f>IF(ISNA(DD200),NA(),INDEX(Capability!$J$5:$J$54,$B$22))</f>
        <v/>
      </c>
      <c r="DH200">
        <f>IF(ISNA(DD200),NA(),INDEX(Capability!$L$5:$L$54,$B$22))</f>
        <v/>
      </c>
      <c r="DI200">
        <f>IF(OR(ISNA(DE200),ISNA(DE199)),NA(),ABS(DE200-DE199))</f>
        <v/>
      </c>
      <c r="DJ200">
        <f>IF(ISNA(DD200),NA(),INDEX(Capability!$N$5:$N$54,$B$22))</f>
        <v/>
      </c>
      <c r="DK200">
        <f>IF(ISNA(DD200),NA(),IF(OR(INDEX(Capability!$Q$5:$Q$54,$B$22)="",Settings!$F$7&lt;&gt;"Y"),NA(),INDEX(Capability!$Q$5:$Q$54,$B$22)))</f>
        <v/>
      </c>
      <c r="DL200">
        <f>IF(ISNA(DD200),NA(),IF(OR(INDEX(Capability!$P$5:$P$54,$B$22)="",Settings!$F$7&lt;&gt;"Y"),NA(),INDEX(Capability!$P$5:$P$54,$B$22)))</f>
        <v/>
      </c>
      <c r="DR200">
        <f>IF((DU$1+196)&gt;DS$1,NA(),(DU$1+196)-4)</f>
        <v/>
      </c>
      <c r="DS200">
        <f>IF((DU$1+196)&gt;DS$1,NA(),INDEX('Data Entry'!$H$5:$BE$10004,(DU$1+196)-4,$B$23))</f>
        <v/>
      </c>
      <c r="DT200">
        <f>IF(ISNA(DR200),NA(),INDEX(Capability!$K$5:$K$54,$B$23))</f>
        <v/>
      </c>
      <c r="DU200">
        <f>IF(ISNA(DR200),NA(),INDEX(Capability!$J$5:$J$54,$B$23))</f>
        <v/>
      </c>
      <c r="DV200">
        <f>IF(ISNA(DR200),NA(),INDEX(Capability!$L$5:$L$54,$B$23))</f>
        <v/>
      </c>
      <c r="DW200">
        <f>IF(OR(ISNA(DS200),ISNA(DS199)),NA(),ABS(DS200-DS199))</f>
        <v/>
      </c>
      <c r="DX200">
        <f>IF(ISNA(DR200),NA(),INDEX(Capability!$N$5:$N$54,$B$23))</f>
        <v/>
      </c>
      <c r="DY200">
        <f>IF(ISNA(DR200),NA(),IF(OR(INDEX(Capability!$Q$5:$Q$54,$B$23)="",Settings!$F$7&lt;&gt;"Y"),NA(),INDEX(Capability!$Q$5:$Q$54,$B$23)))</f>
        <v/>
      </c>
      <c r="DZ200">
        <f>IF(ISNA(DR200),NA(),IF(OR(INDEX(Capability!$P$5:$P$54,$B$23)="",Settings!$F$7&lt;&gt;"Y"),NA(),INDEX(Capability!$P$5:$P$54,$B$23)))</f>
        <v/>
      </c>
    </row>
    <row r="201">
      <c r="CB201">
        <f>IF((CE$1+197)&gt;CC$1,NA(),(CE$1+197)-4)</f>
        <v/>
      </c>
      <c r="CC201">
        <f>IF((CE$1+197)&gt;CC$1,NA(),INDEX('Data Entry'!$H$5:$BE$10004,(CE$1+197)-4,$B$20))</f>
        <v/>
      </c>
      <c r="CD201">
        <f>IF(ISNA(CB201),NA(),INDEX(Capability!$K$5:$K$54,$B$20))</f>
        <v/>
      </c>
      <c r="CE201">
        <f>IF(ISNA(CB201),NA(),INDEX(Capability!$J$5:$J$54,$B$20))</f>
        <v/>
      </c>
      <c r="CF201">
        <f>IF(ISNA(CB201),NA(),INDEX(Capability!$L$5:$L$54,$B$20))</f>
        <v/>
      </c>
      <c r="CG201">
        <f>IF(OR(ISNA(CC201),ISNA(CC200)),NA(),ABS(CC201-CC200))</f>
        <v/>
      </c>
      <c r="CH201">
        <f>IF(ISNA(CB201),NA(),INDEX(Capability!$N$5:$N$54,$B$20))</f>
        <v/>
      </c>
      <c r="CI201">
        <f>IF(ISNA(CB201),NA(),IF(OR(INDEX(Capability!$Q$5:$Q$54,$B$20)="",Settings!$F$7&lt;&gt;"Y"),NA(),INDEX(Capability!$Q$5:$Q$54,$B$20)))</f>
        <v/>
      </c>
      <c r="CJ201">
        <f>IF(ISNA(CB201),NA(),IF(OR(INDEX(Capability!$P$5:$P$54,$B$20)="",Settings!$F$7&lt;&gt;"Y"),NA(),INDEX(Capability!$P$5:$P$54,$B$20)))</f>
        <v/>
      </c>
      <c r="CP201">
        <f>IF((CS$1+197)&gt;CQ$1,NA(),(CS$1+197)-4)</f>
        <v/>
      </c>
      <c r="CQ201">
        <f>IF((CS$1+197)&gt;CQ$1,NA(),INDEX('Data Entry'!$H$5:$BE$10004,(CS$1+197)-4,$B$21))</f>
        <v/>
      </c>
      <c r="CR201">
        <f>IF(ISNA(CP201),NA(),INDEX(Capability!$K$5:$K$54,$B$21))</f>
        <v/>
      </c>
      <c r="CS201">
        <f>IF(ISNA(CP201),NA(),INDEX(Capability!$J$5:$J$54,$B$21))</f>
        <v/>
      </c>
      <c r="CT201">
        <f>IF(ISNA(CP201),NA(),INDEX(Capability!$L$5:$L$54,$B$21))</f>
        <v/>
      </c>
      <c r="CU201">
        <f>IF(OR(ISNA(CQ201),ISNA(CQ200)),NA(),ABS(CQ201-CQ200))</f>
        <v/>
      </c>
      <c r="CV201">
        <f>IF(ISNA(CP201),NA(),INDEX(Capability!$N$5:$N$54,$B$21))</f>
        <v/>
      </c>
      <c r="CW201">
        <f>IF(ISNA(CP201),NA(),IF(OR(INDEX(Capability!$Q$5:$Q$54,$B$21)="",Settings!$F$7&lt;&gt;"Y"),NA(),INDEX(Capability!$Q$5:$Q$54,$B$21)))</f>
        <v/>
      </c>
      <c r="CX201">
        <f>IF(ISNA(CP201),NA(),IF(OR(INDEX(Capability!$P$5:$P$54,$B$21)="",Settings!$F$7&lt;&gt;"Y"),NA(),INDEX(Capability!$P$5:$P$54,$B$21)))</f>
        <v/>
      </c>
      <c r="DD201">
        <f>IF((DG$1+197)&gt;DE$1,NA(),(DG$1+197)-4)</f>
        <v/>
      </c>
      <c r="DE201">
        <f>IF((DG$1+197)&gt;DE$1,NA(),INDEX('Data Entry'!$H$5:$BE$10004,(DG$1+197)-4,$B$22))</f>
        <v/>
      </c>
      <c r="DF201">
        <f>IF(ISNA(DD201),NA(),INDEX(Capability!$K$5:$K$54,$B$22))</f>
        <v/>
      </c>
      <c r="DG201">
        <f>IF(ISNA(DD201),NA(),INDEX(Capability!$J$5:$J$54,$B$22))</f>
        <v/>
      </c>
      <c r="DH201">
        <f>IF(ISNA(DD201),NA(),INDEX(Capability!$L$5:$L$54,$B$22))</f>
        <v/>
      </c>
      <c r="DI201">
        <f>IF(OR(ISNA(DE201),ISNA(DE200)),NA(),ABS(DE201-DE200))</f>
        <v/>
      </c>
      <c r="DJ201">
        <f>IF(ISNA(DD201),NA(),INDEX(Capability!$N$5:$N$54,$B$22))</f>
        <v/>
      </c>
      <c r="DK201">
        <f>IF(ISNA(DD201),NA(),IF(OR(INDEX(Capability!$Q$5:$Q$54,$B$22)="",Settings!$F$7&lt;&gt;"Y"),NA(),INDEX(Capability!$Q$5:$Q$54,$B$22)))</f>
        <v/>
      </c>
      <c r="DL201">
        <f>IF(ISNA(DD201),NA(),IF(OR(INDEX(Capability!$P$5:$P$54,$B$22)="",Settings!$F$7&lt;&gt;"Y"),NA(),INDEX(Capability!$P$5:$P$54,$B$22)))</f>
        <v/>
      </c>
      <c r="DR201">
        <f>IF((DU$1+197)&gt;DS$1,NA(),(DU$1+197)-4)</f>
        <v/>
      </c>
      <c r="DS201">
        <f>IF((DU$1+197)&gt;DS$1,NA(),INDEX('Data Entry'!$H$5:$BE$10004,(DU$1+197)-4,$B$23))</f>
        <v/>
      </c>
      <c r="DT201">
        <f>IF(ISNA(DR201),NA(),INDEX(Capability!$K$5:$K$54,$B$23))</f>
        <v/>
      </c>
      <c r="DU201">
        <f>IF(ISNA(DR201),NA(),INDEX(Capability!$J$5:$J$54,$B$23))</f>
        <v/>
      </c>
      <c r="DV201">
        <f>IF(ISNA(DR201),NA(),INDEX(Capability!$L$5:$L$54,$B$23))</f>
        <v/>
      </c>
      <c r="DW201">
        <f>IF(OR(ISNA(DS201),ISNA(DS200)),NA(),ABS(DS201-DS200))</f>
        <v/>
      </c>
      <c r="DX201">
        <f>IF(ISNA(DR201),NA(),INDEX(Capability!$N$5:$N$54,$B$23))</f>
        <v/>
      </c>
      <c r="DY201">
        <f>IF(ISNA(DR201),NA(),IF(OR(INDEX(Capability!$Q$5:$Q$54,$B$23)="",Settings!$F$7&lt;&gt;"Y"),NA(),INDEX(Capability!$Q$5:$Q$54,$B$23)))</f>
        <v/>
      </c>
      <c r="DZ201">
        <f>IF(ISNA(DR201),NA(),IF(OR(INDEX(Capability!$P$5:$P$54,$B$23)="",Settings!$F$7&lt;&gt;"Y"),NA(),INDEX(Capability!$P$5:$P$54,$B$23)))</f>
        <v/>
      </c>
    </row>
    <row r="202">
      <c r="CB202">
        <f>IF((CE$1+198)&gt;CC$1,NA(),(CE$1+198)-4)</f>
        <v/>
      </c>
      <c r="CC202">
        <f>IF((CE$1+198)&gt;CC$1,NA(),INDEX('Data Entry'!$H$5:$BE$10004,(CE$1+198)-4,$B$20))</f>
        <v/>
      </c>
      <c r="CD202">
        <f>IF(ISNA(CB202),NA(),INDEX(Capability!$K$5:$K$54,$B$20))</f>
        <v/>
      </c>
      <c r="CE202">
        <f>IF(ISNA(CB202),NA(),INDEX(Capability!$J$5:$J$54,$B$20))</f>
        <v/>
      </c>
      <c r="CF202">
        <f>IF(ISNA(CB202),NA(),INDEX(Capability!$L$5:$L$54,$B$20))</f>
        <v/>
      </c>
      <c r="CG202">
        <f>IF(OR(ISNA(CC202),ISNA(CC201)),NA(),ABS(CC202-CC201))</f>
        <v/>
      </c>
      <c r="CH202">
        <f>IF(ISNA(CB202),NA(),INDEX(Capability!$N$5:$N$54,$B$20))</f>
        <v/>
      </c>
      <c r="CI202">
        <f>IF(ISNA(CB202),NA(),IF(OR(INDEX(Capability!$Q$5:$Q$54,$B$20)="",Settings!$F$7&lt;&gt;"Y"),NA(),INDEX(Capability!$Q$5:$Q$54,$B$20)))</f>
        <v/>
      </c>
      <c r="CJ202">
        <f>IF(ISNA(CB202),NA(),IF(OR(INDEX(Capability!$P$5:$P$54,$B$20)="",Settings!$F$7&lt;&gt;"Y"),NA(),INDEX(Capability!$P$5:$P$54,$B$20)))</f>
        <v/>
      </c>
      <c r="CP202">
        <f>IF((CS$1+198)&gt;CQ$1,NA(),(CS$1+198)-4)</f>
        <v/>
      </c>
      <c r="CQ202">
        <f>IF((CS$1+198)&gt;CQ$1,NA(),INDEX('Data Entry'!$H$5:$BE$10004,(CS$1+198)-4,$B$21))</f>
        <v/>
      </c>
      <c r="CR202">
        <f>IF(ISNA(CP202),NA(),INDEX(Capability!$K$5:$K$54,$B$21))</f>
        <v/>
      </c>
      <c r="CS202">
        <f>IF(ISNA(CP202),NA(),INDEX(Capability!$J$5:$J$54,$B$21))</f>
        <v/>
      </c>
      <c r="CT202">
        <f>IF(ISNA(CP202),NA(),INDEX(Capability!$L$5:$L$54,$B$21))</f>
        <v/>
      </c>
      <c r="CU202">
        <f>IF(OR(ISNA(CQ202),ISNA(CQ201)),NA(),ABS(CQ202-CQ201))</f>
        <v/>
      </c>
      <c r="CV202">
        <f>IF(ISNA(CP202),NA(),INDEX(Capability!$N$5:$N$54,$B$21))</f>
        <v/>
      </c>
      <c r="CW202">
        <f>IF(ISNA(CP202),NA(),IF(OR(INDEX(Capability!$Q$5:$Q$54,$B$21)="",Settings!$F$7&lt;&gt;"Y"),NA(),INDEX(Capability!$Q$5:$Q$54,$B$21)))</f>
        <v/>
      </c>
      <c r="CX202">
        <f>IF(ISNA(CP202),NA(),IF(OR(INDEX(Capability!$P$5:$P$54,$B$21)="",Settings!$F$7&lt;&gt;"Y"),NA(),INDEX(Capability!$P$5:$P$54,$B$21)))</f>
        <v/>
      </c>
      <c r="DD202">
        <f>IF((DG$1+198)&gt;DE$1,NA(),(DG$1+198)-4)</f>
        <v/>
      </c>
      <c r="DE202">
        <f>IF((DG$1+198)&gt;DE$1,NA(),INDEX('Data Entry'!$H$5:$BE$10004,(DG$1+198)-4,$B$22))</f>
        <v/>
      </c>
      <c r="DF202">
        <f>IF(ISNA(DD202),NA(),INDEX(Capability!$K$5:$K$54,$B$22))</f>
        <v/>
      </c>
      <c r="DG202">
        <f>IF(ISNA(DD202),NA(),INDEX(Capability!$J$5:$J$54,$B$22))</f>
        <v/>
      </c>
      <c r="DH202">
        <f>IF(ISNA(DD202),NA(),INDEX(Capability!$L$5:$L$54,$B$22))</f>
        <v/>
      </c>
      <c r="DI202">
        <f>IF(OR(ISNA(DE202),ISNA(DE201)),NA(),ABS(DE202-DE201))</f>
        <v/>
      </c>
      <c r="DJ202">
        <f>IF(ISNA(DD202),NA(),INDEX(Capability!$N$5:$N$54,$B$22))</f>
        <v/>
      </c>
      <c r="DK202">
        <f>IF(ISNA(DD202),NA(),IF(OR(INDEX(Capability!$Q$5:$Q$54,$B$22)="",Settings!$F$7&lt;&gt;"Y"),NA(),INDEX(Capability!$Q$5:$Q$54,$B$22)))</f>
        <v/>
      </c>
      <c r="DL202">
        <f>IF(ISNA(DD202),NA(),IF(OR(INDEX(Capability!$P$5:$P$54,$B$22)="",Settings!$F$7&lt;&gt;"Y"),NA(),INDEX(Capability!$P$5:$P$54,$B$22)))</f>
        <v/>
      </c>
      <c r="DR202">
        <f>IF((DU$1+198)&gt;DS$1,NA(),(DU$1+198)-4)</f>
        <v/>
      </c>
      <c r="DS202">
        <f>IF((DU$1+198)&gt;DS$1,NA(),INDEX('Data Entry'!$H$5:$BE$10004,(DU$1+198)-4,$B$23))</f>
        <v/>
      </c>
      <c r="DT202">
        <f>IF(ISNA(DR202),NA(),INDEX(Capability!$K$5:$K$54,$B$23))</f>
        <v/>
      </c>
      <c r="DU202">
        <f>IF(ISNA(DR202),NA(),INDEX(Capability!$J$5:$J$54,$B$23))</f>
        <v/>
      </c>
      <c r="DV202">
        <f>IF(ISNA(DR202),NA(),INDEX(Capability!$L$5:$L$54,$B$23))</f>
        <v/>
      </c>
      <c r="DW202">
        <f>IF(OR(ISNA(DS202),ISNA(DS201)),NA(),ABS(DS202-DS201))</f>
        <v/>
      </c>
      <c r="DX202">
        <f>IF(ISNA(DR202),NA(),INDEX(Capability!$N$5:$N$54,$B$23))</f>
        <v/>
      </c>
      <c r="DY202">
        <f>IF(ISNA(DR202),NA(),IF(OR(INDEX(Capability!$Q$5:$Q$54,$B$23)="",Settings!$F$7&lt;&gt;"Y"),NA(),INDEX(Capability!$Q$5:$Q$54,$B$23)))</f>
        <v/>
      </c>
      <c r="DZ202">
        <f>IF(ISNA(DR202),NA(),IF(OR(INDEX(Capability!$P$5:$P$54,$B$23)="",Settings!$F$7&lt;&gt;"Y"),NA(),INDEX(Capability!$P$5:$P$54,$B$23)))</f>
        <v/>
      </c>
    </row>
    <row r="203">
      <c r="CB203">
        <f>IF((CE$1+199)&gt;CC$1,NA(),(CE$1+199)-4)</f>
        <v/>
      </c>
      <c r="CC203">
        <f>IF((CE$1+199)&gt;CC$1,NA(),INDEX('Data Entry'!$H$5:$BE$10004,(CE$1+199)-4,$B$20))</f>
        <v/>
      </c>
      <c r="CD203">
        <f>IF(ISNA(CB203),NA(),INDEX(Capability!$K$5:$K$54,$B$20))</f>
        <v/>
      </c>
      <c r="CE203">
        <f>IF(ISNA(CB203),NA(),INDEX(Capability!$J$5:$J$54,$B$20))</f>
        <v/>
      </c>
      <c r="CF203">
        <f>IF(ISNA(CB203),NA(),INDEX(Capability!$L$5:$L$54,$B$20))</f>
        <v/>
      </c>
      <c r="CG203">
        <f>IF(OR(ISNA(CC203),ISNA(CC202)),NA(),ABS(CC203-CC202))</f>
        <v/>
      </c>
      <c r="CH203">
        <f>IF(ISNA(CB203),NA(),INDEX(Capability!$N$5:$N$54,$B$20))</f>
        <v/>
      </c>
      <c r="CI203">
        <f>IF(ISNA(CB203),NA(),IF(OR(INDEX(Capability!$Q$5:$Q$54,$B$20)="",Settings!$F$7&lt;&gt;"Y"),NA(),INDEX(Capability!$Q$5:$Q$54,$B$20)))</f>
        <v/>
      </c>
      <c r="CJ203">
        <f>IF(ISNA(CB203),NA(),IF(OR(INDEX(Capability!$P$5:$P$54,$B$20)="",Settings!$F$7&lt;&gt;"Y"),NA(),INDEX(Capability!$P$5:$P$54,$B$20)))</f>
        <v/>
      </c>
      <c r="CP203">
        <f>IF((CS$1+199)&gt;CQ$1,NA(),(CS$1+199)-4)</f>
        <v/>
      </c>
      <c r="CQ203">
        <f>IF((CS$1+199)&gt;CQ$1,NA(),INDEX('Data Entry'!$H$5:$BE$10004,(CS$1+199)-4,$B$21))</f>
        <v/>
      </c>
      <c r="CR203">
        <f>IF(ISNA(CP203),NA(),INDEX(Capability!$K$5:$K$54,$B$21))</f>
        <v/>
      </c>
      <c r="CS203">
        <f>IF(ISNA(CP203),NA(),INDEX(Capability!$J$5:$J$54,$B$21))</f>
        <v/>
      </c>
      <c r="CT203">
        <f>IF(ISNA(CP203),NA(),INDEX(Capability!$L$5:$L$54,$B$21))</f>
        <v/>
      </c>
      <c r="CU203">
        <f>IF(OR(ISNA(CQ203),ISNA(CQ202)),NA(),ABS(CQ203-CQ202))</f>
        <v/>
      </c>
      <c r="CV203">
        <f>IF(ISNA(CP203),NA(),INDEX(Capability!$N$5:$N$54,$B$21))</f>
        <v/>
      </c>
      <c r="CW203">
        <f>IF(ISNA(CP203),NA(),IF(OR(INDEX(Capability!$Q$5:$Q$54,$B$21)="",Settings!$F$7&lt;&gt;"Y"),NA(),INDEX(Capability!$Q$5:$Q$54,$B$21)))</f>
        <v/>
      </c>
      <c r="CX203">
        <f>IF(ISNA(CP203),NA(),IF(OR(INDEX(Capability!$P$5:$P$54,$B$21)="",Settings!$F$7&lt;&gt;"Y"),NA(),INDEX(Capability!$P$5:$P$54,$B$21)))</f>
        <v/>
      </c>
      <c r="DD203">
        <f>IF((DG$1+199)&gt;DE$1,NA(),(DG$1+199)-4)</f>
        <v/>
      </c>
      <c r="DE203">
        <f>IF((DG$1+199)&gt;DE$1,NA(),INDEX('Data Entry'!$H$5:$BE$10004,(DG$1+199)-4,$B$22))</f>
        <v/>
      </c>
      <c r="DF203">
        <f>IF(ISNA(DD203),NA(),INDEX(Capability!$K$5:$K$54,$B$22))</f>
        <v/>
      </c>
      <c r="DG203">
        <f>IF(ISNA(DD203),NA(),INDEX(Capability!$J$5:$J$54,$B$22))</f>
        <v/>
      </c>
      <c r="DH203">
        <f>IF(ISNA(DD203),NA(),INDEX(Capability!$L$5:$L$54,$B$22))</f>
        <v/>
      </c>
      <c r="DI203">
        <f>IF(OR(ISNA(DE203),ISNA(DE202)),NA(),ABS(DE203-DE202))</f>
        <v/>
      </c>
      <c r="DJ203">
        <f>IF(ISNA(DD203),NA(),INDEX(Capability!$N$5:$N$54,$B$22))</f>
        <v/>
      </c>
      <c r="DK203">
        <f>IF(ISNA(DD203),NA(),IF(OR(INDEX(Capability!$Q$5:$Q$54,$B$22)="",Settings!$F$7&lt;&gt;"Y"),NA(),INDEX(Capability!$Q$5:$Q$54,$B$22)))</f>
        <v/>
      </c>
      <c r="DL203">
        <f>IF(ISNA(DD203),NA(),IF(OR(INDEX(Capability!$P$5:$P$54,$B$22)="",Settings!$F$7&lt;&gt;"Y"),NA(),INDEX(Capability!$P$5:$P$54,$B$22)))</f>
        <v/>
      </c>
      <c r="DR203">
        <f>IF((DU$1+199)&gt;DS$1,NA(),(DU$1+199)-4)</f>
        <v/>
      </c>
      <c r="DS203">
        <f>IF((DU$1+199)&gt;DS$1,NA(),INDEX('Data Entry'!$H$5:$BE$10004,(DU$1+199)-4,$B$23))</f>
        <v/>
      </c>
      <c r="DT203">
        <f>IF(ISNA(DR203),NA(),INDEX(Capability!$K$5:$K$54,$B$23))</f>
        <v/>
      </c>
      <c r="DU203">
        <f>IF(ISNA(DR203),NA(),INDEX(Capability!$J$5:$J$54,$B$23))</f>
        <v/>
      </c>
      <c r="DV203">
        <f>IF(ISNA(DR203),NA(),INDEX(Capability!$L$5:$L$54,$B$23))</f>
        <v/>
      </c>
      <c r="DW203">
        <f>IF(OR(ISNA(DS203),ISNA(DS202)),NA(),ABS(DS203-DS202))</f>
        <v/>
      </c>
      <c r="DX203">
        <f>IF(ISNA(DR203),NA(),INDEX(Capability!$N$5:$N$54,$B$23))</f>
        <v/>
      </c>
      <c r="DY203">
        <f>IF(ISNA(DR203),NA(),IF(OR(INDEX(Capability!$Q$5:$Q$54,$B$23)="",Settings!$F$7&lt;&gt;"Y"),NA(),INDEX(Capability!$Q$5:$Q$54,$B$23)))</f>
        <v/>
      </c>
      <c r="DZ203">
        <f>IF(ISNA(DR203),NA(),IF(OR(INDEX(Capability!$P$5:$P$54,$B$23)="",Settings!$F$7&lt;&gt;"Y"),NA(),INDEX(Capability!$P$5:$P$54,$B$23)))</f>
        <v/>
      </c>
    </row>
  </sheetData>
  <mergeCells count="23">
    <mergeCell ref="A92:B92"/>
    <mergeCell ref="A64:B64"/>
    <mergeCell ref="A60:B60"/>
    <mergeCell ref="A142:B142"/>
    <mergeCell ref="A138:B138"/>
    <mergeCell ref="A110:B110"/>
    <mergeCell ref="A124:B124"/>
    <mergeCell ref="A1:T1"/>
    <mergeCell ref="A78:B78"/>
    <mergeCell ref="A54:B54"/>
    <mergeCell ref="A128:B128"/>
    <mergeCell ref="A46:B46"/>
    <mergeCell ref="A74:B74"/>
    <mergeCell ref="A118:B118"/>
    <mergeCell ref="A86:B86"/>
    <mergeCell ref="A160:B160"/>
    <mergeCell ref="A42:B42"/>
    <mergeCell ref="A150:B150"/>
    <mergeCell ref="A106:B106"/>
    <mergeCell ref="A4:B4"/>
    <mergeCell ref="A96:B96"/>
    <mergeCell ref="A156:B156"/>
    <mergeCell ref="A19:B19"/>
  </mergeCells>
  <conditionalFormatting sqref="G28:G37">
    <cfRule type="cellIs" priority="1" operator="equal" dxfId="0">
      <formula>"OUT"</formula>
    </cfRule>
    <cfRule type="cellIs" priority="2" operator="equal" dxfId="1">
      <formula>"IN"</formula>
    </cfRule>
  </conditionalFormatting>
  <conditionalFormatting sqref="H28:H37">
    <cfRule type="cellIs" priority="3" operator="equal" dxfId="0">
      <formula>"FAIL"</formula>
    </cfRule>
    <cfRule type="cellIs" priority="4" operator="equal" dxfId="1">
      <formula>"PASS"</formula>
    </cfRule>
  </conditionalFormatting>
  <dataValidations count="1">
    <dataValidation sqref="B20:B23" showDropDown="0" showInputMessage="0" showErrorMessage="0" allowBlank="0" type="whole" operator="between">
      <formula1>1</formula1>
      <formula2>50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U20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" customWidth="1" min="3" max="3"/>
    <col hidden="1" outlineLevel="1" width="13" customWidth="1" min="60" max="74"/>
  </cols>
  <sheetData>
    <row r="1" ht="24" customHeight="1">
      <c r="A1" s="1" t="inlineStr">
        <is>
          <t>VISUAL SPC - FILTERED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BH1" s="13" t="inlineStr">
        <is>
          <t>Total</t>
        </is>
      </c>
      <c r="BI1" s="33">
        <f>MAX(_Calc!$C$5:$C$10004)</f>
        <v/>
      </c>
      <c r="BJ1" s="13" t="inlineStr">
        <is>
          <t>Start</t>
        </is>
      </c>
      <c r="BK1" s="33">
        <f>MAX(1,BI1-Settings!$F$5+1)</f>
        <v/>
      </c>
      <c r="BL1" s="13" t="inlineStr">
        <is>
          <t>Lo</t>
        </is>
      </c>
      <c r="BM1" s="33">
        <f>IF(OR($B$12="",$B$13="",((IF($B$26="",$B$13,MAX($B$13,$B$26)))-(IF($B$28="",$B$12,MIN($B$12,$B$28))))&lt;=0),"",(IF($B$28="",$B$12,MIN($B$12,$B$28)))-((IF($B$26="",$B$13,MAX($B$13,$B$26)))-(IF($B$28="",$B$12,MIN($B$12,$B$28))))*0.05)</f>
        <v/>
      </c>
      <c r="BN1" s="13" t="inlineStr">
        <is>
          <t>Width</t>
        </is>
      </c>
      <c r="BO1" s="33">
        <f>IF(OR(BM1="",BS1="",BS1&lt;=BM1),"",(BS1-BM1)/Settings!$F$6)</f>
        <v/>
      </c>
      <c r="BP1" s="13" t="inlineStr">
        <is>
          <t>MaxCnt</t>
        </is>
      </c>
      <c r="BQ1" s="33">
        <f>MAX(BR4:BR18)</f>
        <v/>
      </c>
      <c r="BR1" s="13" t="inlineStr">
        <is>
          <t>Hi</t>
        </is>
      </c>
      <c r="BS1" s="33">
        <f>IF(OR($B$12="",$B$13="",((IF($B$26="",$B$13,MAX($B$13,$B$26)))-(IF($B$28="",$B$12,MIN($B$12,$B$28))))&lt;=0),"",(IF($B$26="",$B$13,MAX($B$13,$B$26)))+((IF($B$26="",$B$13,MAX($B$13,$B$26)))-(IF($B$28="",$B$12,MIN($B$12,$B$28))))*0.05)</f>
        <v/>
      </c>
    </row>
    <row r="2">
      <c r="A2" s="3" t="inlineStr">
        <is>
          <t>Pick a feature and filters; every plot and statistic below follows the filtered subset. Leave a filter blank to include everything.</t>
        </is>
      </c>
    </row>
    <row r="3">
      <c r="A3" s="25" t="inlineStr">
        <is>
          <t>Feature #:</t>
        </is>
      </c>
      <c r="B3" s="11" t="n">
        <v>1</v>
      </c>
      <c r="C3" s="14">
        <f>IF(AND(B3&gt;=1,B3&lt;=50),INDEX(Settings!$B$17:$B$66,B3),"?")</f>
        <v/>
      </c>
      <c r="BH3" s="13" t="inlineStr">
        <is>
          <t>idx</t>
        </is>
      </c>
      <c r="BI3" s="13" t="inlineStr">
        <is>
          <t>X</t>
        </is>
      </c>
      <c r="BJ3" s="13" t="inlineStr">
        <is>
          <t>CL</t>
        </is>
      </c>
      <c r="BK3" s="13" t="inlineStr">
        <is>
          <t>UCL</t>
        </is>
      </c>
      <c r="BL3" s="13" t="inlineStr">
        <is>
          <t>LCL</t>
        </is>
      </c>
      <c r="BM3" s="13" t="inlineStr">
        <is>
          <t>mR</t>
        </is>
      </c>
      <c r="BN3" s="13" t="inlineStr">
        <is>
          <t>mR_UCL</t>
        </is>
      </c>
      <c r="BO3" s="13" t="inlineStr">
        <is>
          <t>USL</t>
        </is>
      </c>
      <c r="BP3" s="13" t="inlineStr">
        <is>
          <t>LSL</t>
        </is>
      </c>
      <c r="BQ3" s="13" t="inlineStr">
        <is>
          <t>Bin</t>
        </is>
      </c>
      <c r="BR3" s="13" t="inlineStr">
        <is>
          <t>Count</t>
        </is>
      </c>
      <c r="BS3" s="13" t="inlineStr">
        <is>
          <t>LSLmark</t>
        </is>
      </c>
      <c r="BT3" s="13" t="inlineStr">
        <is>
          <t>USLmark</t>
        </is>
      </c>
      <c r="BU3" s="13" t="inlineStr">
        <is>
          <t>SrcRow</t>
        </is>
      </c>
    </row>
    <row r="4">
      <c r="A4" s="25" t="inlineStr">
        <is>
          <t>Filters:</t>
        </is>
      </c>
      <c r="B4" s="13" t="inlineStr">
        <is>
          <t>Date from:</t>
        </is>
      </c>
      <c r="C4" s="11" t="n"/>
      <c r="D4" s="13" t="inlineStr">
        <is>
          <t>Date to:</t>
        </is>
      </c>
      <c r="E4" s="11" t="n"/>
      <c r="F4" s="13" t="inlineStr">
        <is>
          <t>Shift:</t>
        </is>
      </c>
      <c r="G4" s="11" t="n"/>
      <c r="H4" s="13" t="inlineStr">
        <is>
          <t>Operator:</t>
        </is>
      </c>
      <c r="I4" s="11" t="n"/>
      <c r="J4" s="13" t="inlineStr">
        <is>
          <t>Tool:</t>
        </is>
      </c>
      <c r="K4" s="11" t="n"/>
      <c r="L4" s="13" t="inlineStr">
        <is>
          <t>(blank = all;  dates as YYYY-MM-DD)</t>
        </is>
      </c>
      <c r="BH4">
        <f>IF(ISNA(BU4),NA(),(BK$1+0))</f>
        <v/>
      </c>
      <c r="BI4">
        <f>IF(ISNA(BU4),NA(),INDEX(_Calc!$D$5:$D$10004,BU4))</f>
        <v/>
      </c>
      <c r="BJ4">
        <f>IF(ISNA(BU4),NA(),IF($B$22="",NA(),$B$22))</f>
        <v/>
      </c>
      <c r="BK4">
        <f>IF(ISNA(BU4),NA(),IF($B$21="",NA(),$B$21))</f>
        <v/>
      </c>
      <c r="BL4">
        <f>IF(ISNA(BU4),NA(),IF($B$23="",NA(),$B$23))</f>
        <v/>
      </c>
      <c r="BM4">
        <f>IF(ISNA(BU4),NA(),IF(INDEX(_Calc!$F$5:$F$10004,BU4)="",NA(),INDEX(_Calc!$F$5:$F$10004,BU4)))</f>
        <v/>
      </c>
      <c r="BN4">
        <f>IF(ISNA(BU4),NA(),IF($B$24="",NA(),$B$24))</f>
        <v/>
      </c>
      <c r="BO4">
        <f>IF(ISNA(BU4),NA(),IF($B$26="",NA(),$B$26))</f>
        <v/>
      </c>
      <c r="BP4">
        <f>IF(ISNA(BU4),NA(),IF($B$28="",NA(),$B$28))</f>
        <v/>
      </c>
      <c r="BQ4">
        <f>IF(BO$1="","",ROUND(BM$1+BO$1*0.5,4))</f>
        <v/>
      </c>
      <c r="BR4">
        <f>IF(BO$1="","",COUNTIFS(_Calc!$D$5:$D$10004,"&gt;="&amp;(BM$1+BO$1*0),_Calc!$D$5:$D$10004,"&lt;"&amp;(BM$1+BO$1*1)))</f>
        <v/>
      </c>
      <c r="BS4">
        <f>IF(OR($B$28="",BO$1=""),NA(),IF(AND($B$28&gt;=(BM$1+BO$1*0),$B$28&lt;(BM$1+BO$1*1)),BQ$1*1.15,NA()))</f>
        <v/>
      </c>
      <c r="BT4">
        <f>IF(OR($B$26="",BO$1=""),NA(),IF(AND($B$26&gt;=(BM$1+BO$1*0),$B$26&lt;(BM$1+BO$1*1)),BQ$1*1.15,NA()))</f>
        <v/>
      </c>
      <c r="BU4">
        <f>IF((BK$1+0)&gt;BI$1,NA(),MATCH((BK$1+0),_Calc!$C$5:$C$10004,0))</f>
        <v/>
      </c>
    </row>
    <row r="5">
      <c r="BH5">
        <f>IF(ISNA(BU5),NA(),(BK$1+1))</f>
        <v/>
      </c>
      <c r="BI5">
        <f>IF(ISNA(BU5),NA(),INDEX(_Calc!$D$5:$D$10004,BU5))</f>
        <v/>
      </c>
      <c r="BJ5">
        <f>IF(ISNA(BU5),NA(),IF($B$22="",NA(),$B$22))</f>
        <v/>
      </c>
      <c r="BK5">
        <f>IF(ISNA(BU5),NA(),IF($B$21="",NA(),$B$21))</f>
        <v/>
      </c>
      <c r="BL5">
        <f>IF(ISNA(BU5),NA(),IF($B$23="",NA(),$B$23))</f>
        <v/>
      </c>
      <c r="BM5">
        <f>IF(ISNA(BU5),NA(),IF(INDEX(_Calc!$F$5:$F$10004,BU5)="",NA(),INDEX(_Calc!$F$5:$F$10004,BU5)))</f>
        <v/>
      </c>
      <c r="BN5">
        <f>IF(ISNA(BU5),NA(),IF($B$24="",NA(),$B$24))</f>
        <v/>
      </c>
      <c r="BO5">
        <f>IF(ISNA(BU5),NA(),IF($B$26="",NA(),$B$26))</f>
        <v/>
      </c>
      <c r="BP5">
        <f>IF(ISNA(BU5),NA(),IF($B$28="",NA(),$B$28))</f>
        <v/>
      </c>
      <c r="BQ5">
        <f>IF(BO$1="","",ROUND(BM$1+BO$1*1.5,4))</f>
        <v/>
      </c>
      <c r="BR5">
        <f>IF(BO$1="","",COUNTIFS(_Calc!$D$5:$D$10004,"&gt;="&amp;(BM$1+BO$1*1),_Calc!$D$5:$D$10004,"&lt;"&amp;(BM$1+BO$1*2)))</f>
        <v/>
      </c>
      <c r="BS5">
        <f>IF(OR($B$28="",BO$1=""),NA(),IF(AND($B$28&gt;=(BM$1+BO$1*1),$B$28&lt;(BM$1+BO$1*2)),BQ$1*1.15,NA()))</f>
        <v/>
      </c>
      <c r="BT5">
        <f>IF(OR($B$26="",BO$1=""),NA(),IF(AND($B$26&gt;=(BM$1+BO$1*1),$B$26&lt;(BM$1+BO$1*2)),BQ$1*1.15,NA()))</f>
        <v/>
      </c>
      <c r="BU5">
        <f>IF((BK$1+1)&gt;BI$1,NA(),MATCH((BK$1+1),_Calc!$C$5:$C$10004,0))</f>
        <v/>
      </c>
    </row>
    <row r="6">
      <c r="BH6">
        <f>IF(ISNA(BU6),NA(),(BK$1+2))</f>
        <v/>
      </c>
      <c r="BI6">
        <f>IF(ISNA(BU6),NA(),INDEX(_Calc!$D$5:$D$10004,BU6))</f>
        <v/>
      </c>
      <c r="BJ6">
        <f>IF(ISNA(BU6),NA(),IF($B$22="",NA(),$B$22))</f>
        <v/>
      </c>
      <c r="BK6">
        <f>IF(ISNA(BU6),NA(),IF($B$21="",NA(),$B$21))</f>
        <v/>
      </c>
      <c r="BL6">
        <f>IF(ISNA(BU6),NA(),IF($B$23="",NA(),$B$23))</f>
        <v/>
      </c>
      <c r="BM6">
        <f>IF(ISNA(BU6),NA(),IF(INDEX(_Calc!$F$5:$F$10004,BU6)="",NA(),INDEX(_Calc!$F$5:$F$10004,BU6)))</f>
        <v/>
      </c>
      <c r="BN6">
        <f>IF(ISNA(BU6),NA(),IF($B$24="",NA(),$B$24))</f>
        <v/>
      </c>
      <c r="BO6">
        <f>IF(ISNA(BU6),NA(),IF($B$26="",NA(),$B$26))</f>
        <v/>
      </c>
      <c r="BP6">
        <f>IF(ISNA(BU6),NA(),IF($B$28="",NA(),$B$28))</f>
        <v/>
      </c>
      <c r="BQ6">
        <f>IF(BO$1="","",ROUND(BM$1+BO$1*2.5,4))</f>
        <v/>
      </c>
      <c r="BR6">
        <f>IF(BO$1="","",COUNTIFS(_Calc!$D$5:$D$10004,"&gt;="&amp;(BM$1+BO$1*2),_Calc!$D$5:$D$10004,"&lt;"&amp;(BM$1+BO$1*3)))</f>
        <v/>
      </c>
      <c r="BS6">
        <f>IF(OR($B$28="",BO$1=""),NA(),IF(AND($B$28&gt;=(BM$1+BO$1*2),$B$28&lt;(BM$1+BO$1*3)),BQ$1*1.15,NA()))</f>
        <v/>
      </c>
      <c r="BT6">
        <f>IF(OR($B$26="",BO$1=""),NA(),IF(AND($B$26&gt;=(BM$1+BO$1*2),$B$26&lt;(BM$1+BO$1*3)),BQ$1*1.15,NA()))</f>
        <v/>
      </c>
      <c r="BU6">
        <f>IF((BK$1+2)&gt;BI$1,NA(),MATCH((BK$1+2),_Calc!$C$5:$C$10004,0))</f>
        <v/>
      </c>
    </row>
    <row r="7">
      <c r="BH7">
        <f>IF(ISNA(BU7),NA(),(BK$1+3))</f>
        <v/>
      </c>
      <c r="BI7">
        <f>IF(ISNA(BU7),NA(),INDEX(_Calc!$D$5:$D$10004,BU7))</f>
        <v/>
      </c>
      <c r="BJ7">
        <f>IF(ISNA(BU7),NA(),IF($B$22="",NA(),$B$22))</f>
        <v/>
      </c>
      <c r="BK7">
        <f>IF(ISNA(BU7),NA(),IF($B$21="",NA(),$B$21))</f>
        <v/>
      </c>
      <c r="BL7">
        <f>IF(ISNA(BU7),NA(),IF($B$23="",NA(),$B$23))</f>
        <v/>
      </c>
      <c r="BM7">
        <f>IF(ISNA(BU7),NA(),IF(INDEX(_Calc!$F$5:$F$10004,BU7)="",NA(),INDEX(_Calc!$F$5:$F$10004,BU7)))</f>
        <v/>
      </c>
      <c r="BN7">
        <f>IF(ISNA(BU7),NA(),IF($B$24="",NA(),$B$24))</f>
        <v/>
      </c>
      <c r="BO7">
        <f>IF(ISNA(BU7),NA(),IF($B$26="",NA(),$B$26))</f>
        <v/>
      </c>
      <c r="BP7">
        <f>IF(ISNA(BU7),NA(),IF($B$28="",NA(),$B$28))</f>
        <v/>
      </c>
      <c r="BQ7">
        <f>IF(BO$1="","",ROUND(BM$1+BO$1*3.5,4))</f>
        <v/>
      </c>
      <c r="BR7">
        <f>IF(BO$1="","",COUNTIFS(_Calc!$D$5:$D$10004,"&gt;="&amp;(BM$1+BO$1*3),_Calc!$D$5:$D$10004,"&lt;"&amp;(BM$1+BO$1*4)))</f>
        <v/>
      </c>
      <c r="BS7">
        <f>IF(OR($B$28="",BO$1=""),NA(),IF(AND($B$28&gt;=(BM$1+BO$1*3),$B$28&lt;(BM$1+BO$1*4)),BQ$1*1.15,NA()))</f>
        <v/>
      </c>
      <c r="BT7">
        <f>IF(OR($B$26="",BO$1=""),NA(),IF(AND($B$26&gt;=(BM$1+BO$1*3),$B$26&lt;(BM$1+BO$1*4)),BQ$1*1.15,NA()))</f>
        <v/>
      </c>
      <c r="BU7">
        <f>IF((BK$1+3)&gt;BI$1,NA(),MATCH((BK$1+3),_Calc!$C$5:$C$10004,0))</f>
        <v/>
      </c>
    </row>
    <row r="8">
      <c r="A8" s="35" t="inlineStr">
        <is>
          <t>Feature</t>
        </is>
      </c>
      <c r="B8" s="36">
        <f>IF(AND(B3&gt;=1,B3&lt;=50),INDEX(Settings!$B$17:$B$66,B3),"")</f>
        <v/>
      </c>
      <c r="BH8">
        <f>IF(ISNA(BU8),NA(),(BK$1+4))</f>
        <v/>
      </c>
      <c r="BI8">
        <f>IF(ISNA(BU8),NA(),INDEX(_Calc!$D$5:$D$10004,BU8))</f>
        <v/>
      </c>
      <c r="BJ8">
        <f>IF(ISNA(BU8),NA(),IF($B$22="",NA(),$B$22))</f>
        <v/>
      </c>
      <c r="BK8">
        <f>IF(ISNA(BU8),NA(),IF($B$21="",NA(),$B$21))</f>
        <v/>
      </c>
      <c r="BL8">
        <f>IF(ISNA(BU8),NA(),IF($B$23="",NA(),$B$23))</f>
        <v/>
      </c>
      <c r="BM8">
        <f>IF(ISNA(BU8),NA(),IF(INDEX(_Calc!$F$5:$F$10004,BU8)="",NA(),INDEX(_Calc!$F$5:$F$10004,BU8)))</f>
        <v/>
      </c>
      <c r="BN8">
        <f>IF(ISNA(BU8),NA(),IF($B$24="",NA(),$B$24))</f>
        <v/>
      </c>
      <c r="BO8">
        <f>IF(ISNA(BU8),NA(),IF($B$26="",NA(),$B$26))</f>
        <v/>
      </c>
      <c r="BP8">
        <f>IF(ISNA(BU8),NA(),IF($B$28="",NA(),$B$28))</f>
        <v/>
      </c>
      <c r="BQ8">
        <f>IF(BO$1="","",ROUND(BM$1+BO$1*4.5,4))</f>
        <v/>
      </c>
      <c r="BR8">
        <f>IF(BO$1="","",COUNTIFS(_Calc!$D$5:$D$10004,"&gt;="&amp;(BM$1+BO$1*4),_Calc!$D$5:$D$10004,"&lt;"&amp;(BM$1+BO$1*5)))</f>
        <v/>
      </c>
      <c r="BS8">
        <f>IF(OR($B$28="",BO$1=""),NA(),IF(AND($B$28&gt;=(BM$1+BO$1*4),$B$28&lt;(BM$1+BO$1*5)),BQ$1*1.15,NA()))</f>
        <v/>
      </c>
      <c r="BT8">
        <f>IF(OR($B$26="",BO$1=""),NA(),IF(AND($B$26&gt;=(BM$1+BO$1*4),$B$26&lt;(BM$1+BO$1*5)),BQ$1*1.15,NA()))</f>
        <v/>
      </c>
      <c r="BU8">
        <f>IF((BK$1+4)&gt;BI$1,NA(),MATCH((BK$1+4),_Calc!$C$5:$C$10004,0))</f>
        <v/>
      </c>
    </row>
    <row r="9">
      <c r="A9" s="35" t="inlineStr">
        <is>
          <t>Unit</t>
        </is>
      </c>
      <c r="B9" s="36">
        <f>INDEX(Settings!$F$17:$F$66,$B$3)</f>
        <v/>
      </c>
      <c r="BH9">
        <f>IF(ISNA(BU9),NA(),(BK$1+5))</f>
        <v/>
      </c>
      <c r="BI9">
        <f>IF(ISNA(BU9),NA(),INDEX(_Calc!$D$5:$D$10004,BU9))</f>
        <v/>
      </c>
      <c r="BJ9">
        <f>IF(ISNA(BU9),NA(),IF($B$22="",NA(),$B$22))</f>
        <v/>
      </c>
      <c r="BK9">
        <f>IF(ISNA(BU9),NA(),IF($B$21="",NA(),$B$21))</f>
        <v/>
      </c>
      <c r="BL9">
        <f>IF(ISNA(BU9),NA(),IF($B$23="",NA(),$B$23))</f>
        <v/>
      </c>
      <c r="BM9">
        <f>IF(ISNA(BU9),NA(),IF(INDEX(_Calc!$F$5:$F$10004,BU9)="",NA(),INDEX(_Calc!$F$5:$F$10004,BU9)))</f>
        <v/>
      </c>
      <c r="BN9">
        <f>IF(ISNA(BU9),NA(),IF($B$24="",NA(),$B$24))</f>
        <v/>
      </c>
      <c r="BO9">
        <f>IF(ISNA(BU9),NA(),IF($B$26="",NA(),$B$26))</f>
        <v/>
      </c>
      <c r="BP9">
        <f>IF(ISNA(BU9),NA(),IF($B$28="",NA(),$B$28))</f>
        <v/>
      </c>
      <c r="BQ9">
        <f>IF(BO$1="","",ROUND(BM$1+BO$1*5.5,4))</f>
        <v/>
      </c>
      <c r="BR9">
        <f>IF(BO$1="","",COUNTIFS(_Calc!$D$5:$D$10004,"&gt;="&amp;(BM$1+BO$1*5),_Calc!$D$5:$D$10004,"&lt;"&amp;(BM$1+BO$1*6)))</f>
        <v/>
      </c>
      <c r="BS9">
        <f>IF(OR($B$28="",BO$1=""),NA(),IF(AND($B$28&gt;=(BM$1+BO$1*5),$B$28&lt;(BM$1+BO$1*6)),BQ$1*1.15,NA()))</f>
        <v/>
      </c>
      <c r="BT9">
        <f>IF(OR($B$26="",BO$1=""),NA(),IF(AND($B$26&gt;=(BM$1+BO$1*5),$B$26&lt;(BM$1+BO$1*6)),BQ$1*1.15,NA()))</f>
        <v/>
      </c>
      <c r="BU9">
        <f>IF((BK$1+5)&gt;BI$1,NA(),MATCH((BK$1+5),_Calc!$C$5:$C$10004,0))</f>
        <v/>
      </c>
    </row>
    <row r="10">
      <c r="A10" s="37" t="inlineStr">
        <is>
          <t>FILTERED DATA RANGE</t>
        </is>
      </c>
      <c r="B10" s="28" t="n"/>
      <c r="BH10">
        <f>IF(ISNA(BU10),NA(),(BK$1+6))</f>
        <v/>
      </c>
      <c r="BI10">
        <f>IF(ISNA(BU10),NA(),INDEX(_Calc!$D$5:$D$10004,BU10))</f>
        <v/>
      </c>
      <c r="BJ10">
        <f>IF(ISNA(BU10),NA(),IF($B$22="",NA(),$B$22))</f>
        <v/>
      </c>
      <c r="BK10">
        <f>IF(ISNA(BU10),NA(),IF($B$21="",NA(),$B$21))</f>
        <v/>
      </c>
      <c r="BL10">
        <f>IF(ISNA(BU10),NA(),IF($B$23="",NA(),$B$23))</f>
        <v/>
      </c>
      <c r="BM10">
        <f>IF(ISNA(BU10),NA(),IF(INDEX(_Calc!$F$5:$F$10004,BU10)="",NA(),INDEX(_Calc!$F$5:$F$10004,BU10)))</f>
        <v/>
      </c>
      <c r="BN10">
        <f>IF(ISNA(BU10),NA(),IF($B$24="",NA(),$B$24))</f>
        <v/>
      </c>
      <c r="BO10">
        <f>IF(ISNA(BU10),NA(),IF($B$26="",NA(),$B$26))</f>
        <v/>
      </c>
      <c r="BP10">
        <f>IF(ISNA(BU10),NA(),IF($B$28="",NA(),$B$28))</f>
        <v/>
      </c>
      <c r="BQ10">
        <f>IF(BO$1="","",ROUND(BM$1+BO$1*6.5,4))</f>
        <v/>
      </c>
      <c r="BR10">
        <f>IF(BO$1="","",COUNTIFS(_Calc!$D$5:$D$10004,"&gt;="&amp;(BM$1+BO$1*6),_Calc!$D$5:$D$10004,"&lt;"&amp;(BM$1+BO$1*7)))</f>
        <v/>
      </c>
      <c r="BS10">
        <f>IF(OR($B$28="",BO$1=""),NA(),IF(AND($B$28&gt;=(BM$1+BO$1*6),$B$28&lt;(BM$1+BO$1*7)),BQ$1*1.15,NA()))</f>
        <v/>
      </c>
      <c r="BT10">
        <f>IF(OR($B$26="",BO$1=""),NA(),IF(AND($B$26&gt;=(BM$1+BO$1*6),$B$26&lt;(BM$1+BO$1*7)),BQ$1*1.15,NA()))</f>
        <v/>
      </c>
      <c r="BU10">
        <f>IF((BK$1+6)&gt;BI$1,NA(),MATCH((BK$1+6),_Calc!$C$5:$C$10004,0))</f>
        <v/>
      </c>
    </row>
    <row r="11">
      <c r="A11" s="35" t="inlineStr">
        <is>
          <t>Samples (n)</t>
        </is>
      </c>
      <c r="B11" s="22">
        <f>COUNT(_Calc!$D$5:$D$10004)</f>
        <v/>
      </c>
      <c r="BH11">
        <f>IF(ISNA(BU11),NA(),(BK$1+7))</f>
        <v/>
      </c>
      <c r="BI11">
        <f>IF(ISNA(BU11),NA(),INDEX(_Calc!$D$5:$D$10004,BU11))</f>
        <v/>
      </c>
      <c r="BJ11">
        <f>IF(ISNA(BU11),NA(),IF($B$22="",NA(),$B$22))</f>
        <v/>
      </c>
      <c r="BK11">
        <f>IF(ISNA(BU11),NA(),IF($B$21="",NA(),$B$21))</f>
        <v/>
      </c>
      <c r="BL11">
        <f>IF(ISNA(BU11),NA(),IF($B$23="",NA(),$B$23))</f>
        <v/>
      </c>
      <c r="BM11">
        <f>IF(ISNA(BU11),NA(),IF(INDEX(_Calc!$F$5:$F$10004,BU11)="",NA(),INDEX(_Calc!$F$5:$F$10004,BU11)))</f>
        <v/>
      </c>
      <c r="BN11">
        <f>IF(ISNA(BU11),NA(),IF($B$24="",NA(),$B$24))</f>
        <v/>
      </c>
      <c r="BO11">
        <f>IF(ISNA(BU11),NA(),IF($B$26="",NA(),$B$26))</f>
        <v/>
      </c>
      <c r="BP11">
        <f>IF(ISNA(BU11),NA(),IF($B$28="",NA(),$B$28))</f>
        <v/>
      </c>
      <c r="BQ11">
        <f>IF(BO$1="","",ROUND(BM$1+BO$1*7.5,4))</f>
        <v/>
      </c>
      <c r="BR11">
        <f>IF(BO$1="","",COUNTIFS(_Calc!$D$5:$D$10004,"&gt;="&amp;(BM$1+BO$1*7),_Calc!$D$5:$D$10004,"&lt;"&amp;(BM$1+BO$1*8)))</f>
        <v/>
      </c>
      <c r="BS11">
        <f>IF(OR($B$28="",BO$1=""),NA(),IF(AND($B$28&gt;=(BM$1+BO$1*7),$B$28&lt;(BM$1+BO$1*8)),BQ$1*1.15,NA()))</f>
        <v/>
      </c>
      <c r="BT11">
        <f>IF(OR($B$26="",BO$1=""),NA(),IF(AND($B$26&gt;=(BM$1+BO$1*7),$B$26&lt;(BM$1+BO$1*8)),BQ$1*1.15,NA()))</f>
        <v/>
      </c>
      <c r="BU11">
        <f>IF((BK$1+7)&gt;BI$1,NA(),MATCH((BK$1+7),_Calc!$C$5:$C$10004,0))</f>
        <v/>
      </c>
    </row>
    <row r="12">
      <c r="A12" s="35" t="inlineStr">
        <is>
          <t>Min</t>
        </is>
      </c>
      <c r="B12" s="23">
        <f>IF(COUNT(_Calc!$D$5:$D$10004)=0,"",MIN(_Calc!$D$5:$D$10004))</f>
        <v/>
      </c>
      <c r="BH12">
        <f>IF(ISNA(BU12),NA(),(BK$1+8))</f>
        <v/>
      </c>
      <c r="BI12">
        <f>IF(ISNA(BU12),NA(),INDEX(_Calc!$D$5:$D$10004,BU12))</f>
        <v/>
      </c>
      <c r="BJ12">
        <f>IF(ISNA(BU12),NA(),IF($B$22="",NA(),$B$22))</f>
        <v/>
      </c>
      <c r="BK12">
        <f>IF(ISNA(BU12),NA(),IF($B$21="",NA(),$B$21))</f>
        <v/>
      </c>
      <c r="BL12">
        <f>IF(ISNA(BU12),NA(),IF($B$23="",NA(),$B$23))</f>
        <v/>
      </c>
      <c r="BM12">
        <f>IF(ISNA(BU12),NA(),IF(INDEX(_Calc!$F$5:$F$10004,BU12)="",NA(),INDEX(_Calc!$F$5:$F$10004,BU12)))</f>
        <v/>
      </c>
      <c r="BN12">
        <f>IF(ISNA(BU12),NA(),IF($B$24="",NA(),$B$24))</f>
        <v/>
      </c>
      <c r="BO12">
        <f>IF(ISNA(BU12),NA(),IF($B$26="",NA(),$B$26))</f>
        <v/>
      </c>
      <c r="BP12">
        <f>IF(ISNA(BU12),NA(),IF($B$28="",NA(),$B$28))</f>
        <v/>
      </c>
      <c r="BQ12">
        <f>IF(BO$1="","",ROUND(BM$1+BO$1*8.5,4))</f>
        <v/>
      </c>
      <c r="BR12">
        <f>IF(BO$1="","",COUNTIFS(_Calc!$D$5:$D$10004,"&gt;="&amp;(BM$1+BO$1*8),_Calc!$D$5:$D$10004,"&lt;"&amp;(BM$1+BO$1*9)))</f>
        <v/>
      </c>
      <c r="BS12">
        <f>IF(OR($B$28="",BO$1=""),NA(),IF(AND($B$28&gt;=(BM$1+BO$1*8),$B$28&lt;(BM$1+BO$1*9)),BQ$1*1.15,NA()))</f>
        <v/>
      </c>
      <c r="BT12">
        <f>IF(OR($B$26="",BO$1=""),NA(),IF(AND($B$26&gt;=(BM$1+BO$1*8),$B$26&lt;(BM$1+BO$1*9)),BQ$1*1.15,NA()))</f>
        <v/>
      </c>
      <c r="BU12">
        <f>IF((BK$1+8)&gt;BI$1,NA(),MATCH((BK$1+8),_Calc!$C$5:$C$10004,0))</f>
        <v/>
      </c>
    </row>
    <row r="13">
      <c r="A13" s="35" t="inlineStr">
        <is>
          <t>Max</t>
        </is>
      </c>
      <c r="B13" s="23">
        <f>IF(COUNT(_Calc!$D$5:$D$10004)=0,"",MAX(_Calc!$D$5:$D$10004))</f>
        <v/>
      </c>
      <c r="BH13">
        <f>IF(ISNA(BU13),NA(),(BK$1+9))</f>
        <v/>
      </c>
      <c r="BI13">
        <f>IF(ISNA(BU13),NA(),INDEX(_Calc!$D$5:$D$10004,BU13))</f>
        <v/>
      </c>
      <c r="BJ13">
        <f>IF(ISNA(BU13),NA(),IF($B$22="",NA(),$B$22))</f>
        <v/>
      </c>
      <c r="BK13">
        <f>IF(ISNA(BU13),NA(),IF($B$21="",NA(),$B$21))</f>
        <v/>
      </c>
      <c r="BL13">
        <f>IF(ISNA(BU13),NA(),IF($B$23="",NA(),$B$23))</f>
        <v/>
      </c>
      <c r="BM13">
        <f>IF(ISNA(BU13),NA(),IF(INDEX(_Calc!$F$5:$F$10004,BU13)="",NA(),INDEX(_Calc!$F$5:$F$10004,BU13)))</f>
        <v/>
      </c>
      <c r="BN13">
        <f>IF(ISNA(BU13),NA(),IF($B$24="",NA(),$B$24))</f>
        <v/>
      </c>
      <c r="BO13">
        <f>IF(ISNA(BU13),NA(),IF($B$26="",NA(),$B$26))</f>
        <v/>
      </c>
      <c r="BP13">
        <f>IF(ISNA(BU13),NA(),IF($B$28="",NA(),$B$28))</f>
        <v/>
      </c>
      <c r="BQ13">
        <f>IF(BO$1="","",ROUND(BM$1+BO$1*9.5,4))</f>
        <v/>
      </c>
      <c r="BR13">
        <f>IF(BO$1="","",COUNTIFS(_Calc!$D$5:$D$10004,"&gt;="&amp;(BM$1+BO$1*9),_Calc!$D$5:$D$10004,"&lt;"&amp;(BM$1+BO$1*10)))</f>
        <v/>
      </c>
      <c r="BS13">
        <f>IF(OR($B$28="",BO$1=""),NA(),IF(AND($B$28&gt;=(BM$1+BO$1*9),$B$28&lt;(BM$1+BO$1*10)),BQ$1*1.15,NA()))</f>
        <v/>
      </c>
      <c r="BT13">
        <f>IF(OR($B$26="",BO$1=""),NA(),IF(AND($B$26&gt;=(BM$1+BO$1*9),$B$26&lt;(BM$1+BO$1*10)),BQ$1*1.15,NA()))</f>
        <v/>
      </c>
      <c r="BU13">
        <f>IF((BK$1+9)&gt;BI$1,NA(),MATCH((BK$1+9),_Calc!$C$5:$C$10004,0))</f>
        <v/>
      </c>
    </row>
    <row r="14">
      <c r="A14" s="35" t="inlineStr">
        <is>
          <t>Range</t>
        </is>
      </c>
      <c r="B14" s="23">
        <f>IF(COUNT(_Calc!$D$5:$D$10004)=0,"",MAX(_Calc!$D$5:$D$10004)-MIN(_Calc!$D$5:$D$10004))</f>
        <v/>
      </c>
      <c r="BH14">
        <f>IF(ISNA(BU14),NA(),(BK$1+10))</f>
        <v/>
      </c>
      <c r="BI14">
        <f>IF(ISNA(BU14),NA(),INDEX(_Calc!$D$5:$D$10004,BU14))</f>
        <v/>
      </c>
      <c r="BJ14">
        <f>IF(ISNA(BU14),NA(),IF($B$22="",NA(),$B$22))</f>
        <v/>
      </c>
      <c r="BK14">
        <f>IF(ISNA(BU14),NA(),IF($B$21="",NA(),$B$21))</f>
        <v/>
      </c>
      <c r="BL14">
        <f>IF(ISNA(BU14),NA(),IF($B$23="",NA(),$B$23))</f>
        <v/>
      </c>
      <c r="BM14">
        <f>IF(ISNA(BU14),NA(),IF(INDEX(_Calc!$F$5:$F$10004,BU14)="",NA(),INDEX(_Calc!$F$5:$F$10004,BU14)))</f>
        <v/>
      </c>
      <c r="BN14">
        <f>IF(ISNA(BU14),NA(),IF($B$24="",NA(),$B$24))</f>
        <v/>
      </c>
      <c r="BO14">
        <f>IF(ISNA(BU14),NA(),IF($B$26="",NA(),$B$26))</f>
        <v/>
      </c>
      <c r="BP14">
        <f>IF(ISNA(BU14),NA(),IF($B$28="",NA(),$B$28))</f>
        <v/>
      </c>
      <c r="BQ14">
        <f>IF(BO$1="","",ROUND(BM$1+BO$1*10.5,4))</f>
        <v/>
      </c>
      <c r="BR14">
        <f>IF(BO$1="","",COUNTIFS(_Calc!$D$5:$D$10004,"&gt;="&amp;(BM$1+BO$1*10),_Calc!$D$5:$D$10004,"&lt;"&amp;(BM$1+BO$1*11)))</f>
        <v/>
      </c>
      <c r="BS14">
        <f>IF(OR($B$28="",BO$1=""),NA(),IF(AND($B$28&gt;=(BM$1+BO$1*10),$B$28&lt;(BM$1+BO$1*11)),BQ$1*1.15,NA()))</f>
        <v/>
      </c>
      <c r="BT14">
        <f>IF(OR($B$26="",BO$1=""),NA(),IF(AND($B$26&gt;=(BM$1+BO$1*10),$B$26&lt;(BM$1+BO$1*11)),BQ$1*1.15,NA()))</f>
        <v/>
      </c>
      <c r="BU14">
        <f>IF((BK$1+10)&gt;BI$1,NA(),MATCH((BK$1+10),_Calc!$C$5:$C$10004,0))</f>
        <v/>
      </c>
    </row>
    <row r="15">
      <c r="A15" s="35" t="inlineStr">
        <is>
          <t>Mean</t>
        </is>
      </c>
      <c r="B15" s="23">
        <f>IF(COUNT(_Calc!$D$5:$D$10004)=0,"",AVERAGE(_Calc!$D$5:$D$10004))</f>
        <v/>
      </c>
      <c r="BH15">
        <f>IF(ISNA(BU15),NA(),(BK$1+11))</f>
        <v/>
      </c>
      <c r="BI15">
        <f>IF(ISNA(BU15),NA(),INDEX(_Calc!$D$5:$D$10004,BU15))</f>
        <v/>
      </c>
      <c r="BJ15">
        <f>IF(ISNA(BU15),NA(),IF($B$22="",NA(),$B$22))</f>
        <v/>
      </c>
      <c r="BK15">
        <f>IF(ISNA(BU15),NA(),IF($B$21="",NA(),$B$21))</f>
        <v/>
      </c>
      <c r="BL15">
        <f>IF(ISNA(BU15),NA(),IF($B$23="",NA(),$B$23))</f>
        <v/>
      </c>
      <c r="BM15">
        <f>IF(ISNA(BU15),NA(),IF(INDEX(_Calc!$F$5:$F$10004,BU15)="",NA(),INDEX(_Calc!$F$5:$F$10004,BU15)))</f>
        <v/>
      </c>
      <c r="BN15">
        <f>IF(ISNA(BU15),NA(),IF($B$24="",NA(),$B$24))</f>
        <v/>
      </c>
      <c r="BO15">
        <f>IF(ISNA(BU15),NA(),IF($B$26="",NA(),$B$26))</f>
        <v/>
      </c>
      <c r="BP15">
        <f>IF(ISNA(BU15),NA(),IF($B$28="",NA(),$B$28))</f>
        <v/>
      </c>
      <c r="BQ15">
        <f>IF(BO$1="","",ROUND(BM$1+BO$1*11.5,4))</f>
        <v/>
      </c>
      <c r="BR15">
        <f>IF(BO$1="","",COUNTIFS(_Calc!$D$5:$D$10004,"&gt;="&amp;(BM$1+BO$1*11),_Calc!$D$5:$D$10004,"&lt;"&amp;(BM$1+BO$1*12)))</f>
        <v/>
      </c>
      <c r="BS15">
        <f>IF(OR($B$28="",BO$1=""),NA(),IF(AND($B$28&gt;=(BM$1+BO$1*11),$B$28&lt;(BM$1+BO$1*12)),BQ$1*1.15,NA()))</f>
        <v/>
      </c>
      <c r="BT15">
        <f>IF(OR($B$26="",BO$1=""),NA(),IF(AND($B$26&gt;=(BM$1+BO$1*11),$B$26&lt;(BM$1+BO$1*12)),BQ$1*1.15,NA()))</f>
        <v/>
      </c>
      <c r="BU15">
        <f>IF((BK$1+11)&gt;BI$1,NA(),MATCH((BK$1+11),_Calc!$C$5:$C$10004,0))</f>
        <v/>
      </c>
    </row>
    <row r="16">
      <c r="A16" s="35" t="inlineStr">
        <is>
          <t>Median</t>
        </is>
      </c>
      <c r="B16" s="23">
        <f>IF(COUNT(_Calc!$D$5:$D$10004)=0,"",MEDIAN(_Calc!$D$5:$D$10004))</f>
        <v/>
      </c>
      <c r="BH16">
        <f>IF(ISNA(BU16),NA(),(BK$1+12))</f>
        <v/>
      </c>
      <c r="BI16">
        <f>IF(ISNA(BU16),NA(),INDEX(_Calc!$D$5:$D$10004,BU16))</f>
        <v/>
      </c>
      <c r="BJ16">
        <f>IF(ISNA(BU16),NA(),IF($B$22="",NA(),$B$22))</f>
        <v/>
      </c>
      <c r="BK16">
        <f>IF(ISNA(BU16),NA(),IF($B$21="",NA(),$B$21))</f>
        <v/>
      </c>
      <c r="BL16">
        <f>IF(ISNA(BU16),NA(),IF($B$23="",NA(),$B$23))</f>
        <v/>
      </c>
      <c r="BM16">
        <f>IF(ISNA(BU16),NA(),IF(INDEX(_Calc!$F$5:$F$10004,BU16)="",NA(),INDEX(_Calc!$F$5:$F$10004,BU16)))</f>
        <v/>
      </c>
      <c r="BN16">
        <f>IF(ISNA(BU16),NA(),IF($B$24="",NA(),$B$24))</f>
        <v/>
      </c>
      <c r="BO16">
        <f>IF(ISNA(BU16),NA(),IF($B$26="",NA(),$B$26))</f>
        <v/>
      </c>
      <c r="BP16">
        <f>IF(ISNA(BU16),NA(),IF($B$28="",NA(),$B$28))</f>
        <v/>
      </c>
      <c r="BQ16">
        <f>IF(BO$1="","",ROUND(BM$1+BO$1*12.5,4))</f>
        <v/>
      </c>
      <c r="BR16">
        <f>IF(BO$1="","",COUNTIFS(_Calc!$D$5:$D$10004,"&gt;="&amp;(BM$1+BO$1*12),_Calc!$D$5:$D$10004,"&lt;"&amp;(BM$1+BO$1*13)))</f>
        <v/>
      </c>
      <c r="BS16">
        <f>IF(OR($B$28="",BO$1=""),NA(),IF(AND($B$28&gt;=(BM$1+BO$1*12),$B$28&lt;(BM$1+BO$1*13)),BQ$1*1.15,NA()))</f>
        <v/>
      </c>
      <c r="BT16">
        <f>IF(OR($B$26="",BO$1=""),NA(),IF(AND($B$26&gt;=(BM$1+BO$1*12),$B$26&lt;(BM$1+BO$1*13)),BQ$1*1.15,NA()))</f>
        <v/>
      </c>
      <c r="BU16">
        <f>IF((BK$1+12)&gt;BI$1,NA(),MATCH((BK$1+12),_Calc!$C$5:$C$10004,0))</f>
        <v/>
      </c>
    </row>
    <row r="17">
      <c r="A17" s="35" t="inlineStr">
        <is>
          <t>Std Dev (overall)</t>
        </is>
      </c>
      <c r="B17" s="23">
        <f>IF(COUNT(_Calc!$D$5:$D$10004)&lt;2,"",STDEV(_Calc!$D$5:$D$10004))</f>
        <v/>
      </c>
      <c r="BH17">
        <f>IF(ISNA(BU17),NA(),(BK$1+13))</f>
        <v/>
      </c>
      <c r="BI17">
        <f>IF(ISNA(BU17),NA(),INDEX(_Calc!$D$5:$D$10004,BU17))</f>
        <v/>
      </c>
      <c r="BJ17">
        <f>IF(ISNA(BU17),NA(),IF($B$22="",NA(),$B$22))</f>
        <v/>
      </c>
      <c r="BK17">
        <f>IF(ISNA(BU17),NA(),IF($B$21="",NA(),$B$21))</f>
        <v/>
      </c>
      <c r="BL17">
        <f>IF(ISNA(BU17),NA(),IF($B$23="",NA(),$B$23))</f>
        <v/>
      </c>
      <c r="BM17">
        <f>IF(ISNA(BU17),NA(),IF(INDEX(_Calc!$F$5:$F$10004,BU17)="",NA(),INDEX(_Calc!$F$5:$F$10004,BU17)))</f>
        <v/>
      </c>
      <c r="BN17">
        <f>IF(ISNA(BU17),NA(),IF($B$24="",NA(),$B$24))</f>
        <v/>
      </c>
      <c r="BO17">
        <f>IF(ISNA(BU17),NA(),IF($B$26="",NA(),$B$26))</f>
        <v/>
      </c>
      <c r="BP17">
        <f>IF(ISNA(BU17),NA(),IF($B$28="",NA(),$B$28))</f>
        <v/>
      </c>
      <c r="BQ17">
        <f>IF(BO$1="","",ROUND(BM$1+BO$1*13.5,4))</f>
        <v/>
      </c>
      <c r="BR17">
        <f>IF(BO$1="","",COUNTIFS(_Calc!$D$5:$D$10004,"&gt;="&amp;(BM$1+BO$1*13),_Calc!$D$5:$D$10004,"&lt;"&amp;(BM$1+BO$1*14)))</f>
        <v/>
      </c>
      <c r="BS17">
        <f>IF(OR($B$28="",BO$1=""),NA(),IF(AND($B$28&gt;=(BM$1+BO$1*13),$B$28&lt;(BM$1+BO$1*14)),BQ$1*1.15,NA()))</f>
        <v/>
      </c>
      <c r="BT17">
        <f>IF(OR($B$26="",BO$1=""),NA(),IF(AND($B$26&gt;=(BM$1+BO$1*13),$B$26&lt;(BM$1+BO$1*14)),BQ$1*1.15,NA()))</f>
        <v/>
      </c>
      <c r="BU17">
        <f>IF((BK$1+13)&gt;BI$1,NA(),MATCH((BK$1+13),_Calc!$C$5:$C$10004,0))</f>
        <v/>
      </c>
    </row>
    <row r="18">
      <c r="A18" s="35" t="inlineStr">
        <is>
          <t>mR-bar</t>
        </is>
      </c>
      <c r="B18" s="23">
        <f>IF(COUNT(_Calc!$F$5:$F$10004)=0,"",AVERAGE(_Calc!$F$5:$F$10004))</f>
        <v/>
      </c>
      <c r="BH18">
        <f>IF(ISNA(BU18),NA(),(BK$1+14))</f>
        <v/>
      </c>
      <c r="BI18">
        <f>IF(ISNA(BU18),NA(),INDEX(_Calc!$D$5:$D$10004,BU18))</f>
        <v/>
      </c>
      <c r="BJ18">
        <f>IF(ISNA(BU18),NA(),IF($B$22="",NA(),$B$22))</f>
        <v/>
      </c>
      <c r="BK18">
        <f>IF(ISNA(BU18),NA(),IF($B$21="",NA(),$B$21))</f>
        <v/>
      </c>
      <c r="BL18">
        <f>IF(ISNA(BU18),NA(),IF($B$23="",NA(),$B$23))</f>
        <v/>
      </c>
      <c r="BM18">
        <f>IF(ISNA(BU18),NA(),IF(INDEX(_Calc!$F$5:$F$10004,BU18)="",NA(),INDEX(_Calc!$F$5:$F$10004,BU18)))</f>
        <v/>
      </c>
      <c r="BN18">
        <f>IF(ISNA(BU18),NA(),IF($B$24="",NA(),$B$24))</f>
        <v/>
      </c>
      <c r="BO18">
        <f>IF(ISNA(BU18),NA(),IF($B$26="",NA(),$B$26))</f>
        <v/>
      </c>
      <c r="BP18">
        <f>IF(ISNA(BU18),NA(),IF($B$28="",NA(),$B$28))</f>
        <v/>
      </c>
      <c r="BQ18">
        <f>IF(BO$1="","",ROUND(BM$1+BO$1*14.5,4))</f>
        <v/>
      </c>
      <c r="BR18">
        <f>IF(BO$1="","",COUNTIFS(_Calc!$D$5:$D$10004,"&gt;="&amp;(BM$1+BO$1*14),_Calc!$D$5:$D$10004,"&lt;="&amp;(BM$1+BO$1*15)))</f>
        <v/>
      </c>
      <c r="BS18">
        <f>IF(OR($B$28="",BO$1=""),NA(),IF(AND($B$28&gt;=(BM$1+BO$1*14),$B$28&lt;(BM$1+BO$1*15)),BQ$1*1.15,NA()))</f>
        <v/>
      </c>
      <c r="BT18">
        <f>IF(OR($B$26="",BO$1=""),NA(),IF(AND($B$26&gt;=(BM$1+BO$1*14),$B$26&lt;(BM$1+BO$1*15)),BQ$1*1.15,NA()))</f>
        <v/>
      </c>
      <c r="BU18">
        <f>IF((BK$1+14)&gt;BI$1,NA(),MATCH((BK$1+14),_Calc!$C$5:$C$10004,0))</f>
        <v/>
      </c>
    </row>
    <row r="19">
      <c r="A19" s="35" t="inlineStr">
        <is>
          <t>Sigma (within)</t>
        </is>
      </c>
      <c r="B19" s="23">
        <f>IF($B$18="","",$B$18/1.128)</f>
        <v/>
      </c>
      <c r="BH19">
        <f>IF(ISNA(BU19),NA(),(BK$1+15))</f>
        <v/>
      </c>
      <c r="BI19">
        <f>IF(ISNA(BU19),NA(),INDEX(_Calc!$D$5:$D$10004,BU19))</f>
        <v/>
      </c>
      <c r="BJ19">
        <f>IF(ISNA(BU19),NA(),IF($B$22="",NA(),$B$22))</f>
        <v/>
      </c>
      <c r="BK19">
        <f>IF(ISNA(BU19),NA(),IF($B$21="",NA(),$B$21))</f>
        <v/>
      </c>
      <c r="BL19">
        <f>IF(ISNA(BU19),NA(),IF($B$23="",NA(),$B$23))</f>
        <v/>
      </c>
      <c r="BM19">
        <f>IF(ISNA(BU19),NA(),IF(INDEX(_Calc!$F$5:$F$10004,BU19)="",NA(),INDEX(_Calc!$F$5:$F$10004,BU19)))</f>
        <v/>
      </c>
      <c r="BN19">
        <f>IF(ISNA(BU19),NA(),IF($B$24="",NA(),$B$24))</f>
        <v/>
      </c>
      <c r="BO19">
        <f>IF(ISNA(BU19),NA(),IF($B$26="",NA(),$B$26))</f>
        <v/>
      </c>
      <c r="BP19">
        <f>IF(ISNA(BU19),NA(),IF($B$28="",NA(),$B$28))</f>
        <v/>
      </c>
      <c r="BU19">
        <f>IF((BK$1+15)&gt;BI$1,NA(),MATCH((BK$1+15),_Calc!$C$5:$C$10004,0))</f>
        <v/>
      </c>
    </row>
    <row r="20">
      <c r="A20" s="37" t="inlineStr">
        <is>
          <t>CONTROL (filtered)</t>
        </is>
      </c>
      <c r="B20" s="28" t="n"/>
      <c r="BH20">
        <f>IF(ISNA(BU20),NA(),(BK$1+16))</f>
        <v/>
      </c>
      <c r="BI20">
        <f>IF(ISNA(BU20),NA(),INDEX(_Calc!$D$5:$D$10004,BU20))</f>
        <v/>
      </c>
      <c r="BJ20">
        <f>IF(ISNA(BU20),NA(),IF($B$22="",NA(),$B$22))</f>
        <v/>
      </c>
      <c r="BK20">
        <f>IF(ISNA(BU20),NA(),IF($B$21="",NA(),$B$21))</f>
        <v/>
      </c>
      <c r="BL20">
        <f>IF(ISNA(BU20),NA(),IF($B$23="",NA(),$B$23))</f>
        <v/>
      </c>
      <c r="BM20">
        <f>IF(ISNA(BU20),NA(),IF(INDEX(_Calc!$F$5:$F$10004,BU20)="",NA(),INDEX(_Calc!$F$5:$F$10004,BU20)))</f>
        <v/>
      </c>
      <c r="BN20">
        <f>IF(ISNA(BU20),NA(),IF($B$24="",NA(),$B$24))</f>
        <v/>
      </c>
      <c r="BO20">
        <f>IF(ISNA(BU20),NA(),IF($B$26="",NA(),$B$26))</f>
        <v/>
      </c>
      <c r="BP20">
        <f>IF(ISNA(BU20),NA(),IF($B$28="",NA(),$B$28))</f>
        <v/>
      </c>
      <c r="BU20">
        <f>IF((BK$1+16)&gt;BI$1,NA(),MATCH((BK$1+16),_Calc!$C$5:$C$10004,0))</f>
        <v/>
      </c>
    </row>
    <row r="21">
      <c r="A21" s="35" t="inlineStr">
        <is>
          <t>UCL</t>
        </is>
      </c>
      <c r="B21" s="23">
        <f>IF($B$18="","",$B$15+2.66*$B$18)</f>
        <v/>
      </c>
      <c r="BH21">
        <f>IF(ISNA(BU21),NA(),(BK$1+17))</f>
        <v/>
      </c>
      <c r="BI21">
        <f>IF(ISNA(BU21),NA(),INDEX(_Calc!$D$5:$D$10004,BU21))</f>
        <v/>
      </c>
      <c r="BJ21">
        <f>IF(ISNA(BU21),NA(),IF($B$22="",NA(),$B$22))</f>
        <v/>
      </c>
      <c r="BK21">
        <f>IF(ISNA(BU21),NA(),IF($B$21="",NA(),$B$21))</f>
        <v/>
      </c>
      <c r="BL21">
        <f>IF(ISNA(BU21),NA(),IF($B$23="",NA(),$B$23))</f>
        <v/>
      </c>
      <c r="BM21">
        <f>IF(ISNA(BU21),NA(),IF(INDEX(_Calc!$F$5:$F$10004,BU21)="",NA(),INDEX(_Calc!$F$5:$F$10004,BU21)))</f>
        <v/>
      </c>
      <c r="BN21">
        <f>IF(ISNA(BU21),NA(),IF($B$24="",NA(),$B$24))</f>
        <v/>
      </c>
      <c r="BO21">
        <f>IF(ISNA(BU21),NA(),IF($B$26="",NA(),$B$26))</f>
        <v/>
      </c>
      <c r="BP21">
        <f>IF(ISNA(BU21),NA(),IF($B$28="",NA(),$B$28))</f>
        <v/>
      </c>
      <c r="BU21">
        <f>IF((BK$1+17)&gt;BI$1,NA(),MATCH((BK$1+17),_Calc!$C$5:$C$10004,0))</f>
        <v/>
      </c>
    </row>
    <row r="22">
      <c r="A22" s="35" t="inlineStr">
        <is>
          <t>CL</t>
        </is>
      </c>
      <c r="B22" s="23">
        <f>IF($B$15="","",$B$15)</f>
        <v/>
      </c>
      <c r="BH22">
        <f>IF(ISNA(BU22),NA(),(BK$1+18))</f>
        <v/>
      </c>
      <c r="BI22">
        <f>IF(ISNA(BU22),NA(),INDEX(_Calc!$D$5:$D$10004,BU22))</f>
        <v/>
      </c>
      <c r="BJ22">
        <f>IF(ISNA(BU22),NA(),IF($B$22="",NA(),$B$22))</f>
        <v/>
      </c>
      <c r="BK22">
        <f>IF(ISNA(BU22),NA(),IF($B$21="",NA(),$B$21))</f>
        <v/>
      </c>
      <c r="BL22">
        <f>IF(ISNA(BU22),NA(),IF($B$23="",NA(),$B$23))</f>
        <v/>
      </c>
      <c r="BM22">
        <f>IF(ISNA(BU22),NA(),IF(INDEX(_Calc!$F$5:$F$10004,BU22)="",NA(),INDEX(_Calc!$F$5:$F$10004,BU22)))</f>
        <v/>
      </c>
      <c r="BN22">
        <f>IF(ISNA(BU22),NA(),IF($B$24="",NA(),$B$24))</f>
        <v/>
      </c>
      <c r="BO22">
        <f>IF(ISNA(BU22),NA(),IF($B$26="",NA(),$B$26))</f>
        <v/>
      </c>
      <c r="BP22">
        <f>IF(ISNA(BU22),NA(),IF($B$28="",NA(),$B$28))</f>
        <v/>
      </c>
      <c r="BU22">
        <f>IF((BK$1+18)&gt;BI$1,NA(),MATCH((BK$1+18),_Calc!$C$5:$C$10004,0))</f>
        <v/>
      </c>
    </row>
    <row r="23">
      <c r="A23" s="35" t="inlineStr">
        <is>
          <t>LCL</t>
        </is>
      </c>
      <c r="B23" s="23">
        <f>IF($B$18="","",$B$15-2.66*$B$18)</f>
        <v/>
      </c>
      <c r="BH23">
        <f>IF(ISNA(BU23),NA(),(BK$1+19))</f>
        <v/>
      </c>
      <c r="BI23">
        <f>IF(ISNA(BU23),NA(),INDEX(_Calc!$D$5:$D$10004,BU23))</f>
        <v/>
      </c>
      <c r="BJ23">
        <f>IF(ISNA(BU23),NA(),IF($B$22="",NA(),$B$22))</f>
        <v/>
      </c>
      <c r="BK23">
        <f>IF(ISNA(BU23),NA(),IF($B$21="",NA(),$B$21))</f>
        <v/>
      </c>
      <c r="BL23">
        <f>IF(ISNA(BU23),NA(),IF($B$23="",NA(),$B$23))</f>
        <v/>
      </c>
      <c r="BM23">
        <f>IF(ISNA(BU23),NA(),IF(INDEX(_Calc!$F$5:$F$10004,BU23)="",NA(),INDEX(_Calc!$F$5:$F$10004,BU23)))</f>
        <v/>
      </c>
      <c r="BN23">
        <f>IF(ISNA(BU23),NA(),IF($B$24="",NA(),$B$24))</f>
        <v/>
      </c>
      <c r="BO23">
        <f>IF(ISNA(BU23),NA(),IF($B$26="",NA(),$B$26))</f>
        <v/>
      </c>
      <c r="BP23">
        <f>IF(ISNA(BU23),NA(),IF($B$28="",NA(),$B$28))</f>
        <v/>
      </c>
      <c r="BU23">
        <f>IF((BK$1+19)&gt;BI$1,NA(),MATCH((BK$1+19),_Calc!$C$5:$C$10004,0))</f>
        <v/>
      </c>
    </row>
    <row r="24">
      <c r="A24" s="35" t="inlineStr">
        <is>
          <t>mR UCL</t>
        </is>
      </c>
      <c r="B24" s="23">
        <f>IF($B$18="","",3.267*$B$18)</f>
        <v/>
      </c>
      <c r="BH24">
        <f>IF(ISNA(BU24),NA(),(BK$1+20))</f>
        <v/>
      </c>
      <c r="BI24">
        <f>IF(ISNA(BU24),NA(),INDEX(_Calc!$D$5:$D$10004,BU24))</f>
        <v/>
      </c>
      <c r="BJ24">
        <f>IF(ISNA(BU24),NA(),IF($B$22="",NA(),$B$22))</f>
        <v/>
      </c>
      <c r="BK24">
        <f>IF(ISNA(BU24),NA(),IF($B$21="",NA(),$B$21))</f>
        <v/>
      </c>
      <c r="BL24">
        <f>IF(ISNA(BU24),NA(),IF($B$23="",NA(),$B$23))</f>
        <v/>
      </c>
      <c r="BM24">
        <f>IF(ISNA(BU24),NA(),IF(INDEX(_Calc!$F$5:$F$10004,BU24)="",NA(),INDEX(_Calc!$F$5:$F$10004,BU24)))</f>
        <v/>
      </c>
      <c r="BN24">
        <f>IF(ISNA(BU24),NA(),IF($B$24="",NA(),$B$24))</f>
        <v/>
      </c>
      <c r="BO24">
        <f>IF(ISNA(BU24),NA(),IF($B$26="",NA(),$B$26))</f>
        <v/>
      </c>
      <c r="BP24">
        <f>IF(ISNA(BU24),NA(),IF($B$28="",NA(),$B$28))</f>
        <v/>
      </c>
      <c r="BU24">
        <f>IF((BK$1+20)&gt;BI$1,NA(),MATCH((BK$1+20),_Calc!$C$5:$C$10004,0))</f>
        <v/>
      </c>
    </row>
    <row r="25">
      <c r="A25" s="37" t="inlineStr">
        <is>
          <t>SPECIFICATION</t>
        </is>
      </c>
      <c r="B25" s="28" t="n"/>
      <c r="BH25">
        <f>IF(ISNA(BU25),NA(),(BK$1+21))</f>
        <v/>
      </c>
      <c r="BI25">
        <f>IF(ISNA(BU25),NA(),INDEX(_Calc!$D$5:$D$10004,BU25))</f>
        <v/>
      </c>
      <c r="BJ25">
        <f>IF(ISNA(BU25),NA(),IF($B$22="",NA(),$B$22))</f>
        <v/>
      </c>
      <c r="BK25">
        <f>IF(ISNA(BU25),NA(),IF($B$21="",NA(),$B$21))</f>
        <v/>
      </c>
      <c r="BL25">
        <f>IF(ISNA(BU25),NA(),IF($B$23="",NA(),$B$23))</f>
        <v/>
      </c>
      <c r="BM25">
        <f>IF(ISNA(BU25),NA(),IF(INDEX(_Calc!$F$5:$F$10004,BU25)="",NA(),INDEX(_Calc!$F$5:$F$10004,BU25)))</f>
        <v/>
      </c>
      <c r="BN25">
        <f>IF(ISNA(BU25),NA(),IF($B$24="",NA(),$B$24))</f>
        <v/>
      </c>
      <c r="BO25">
        <f>IF(ISNA(BU25),NA(),IF($B$26="",NA(),$B$26))</f>
        <v/>
      </c>
      <c r="BP25">
        <f>IF(ISNA(BU25),NA(),IF($B$28="",NA(),$B$28))</f>
        <v/>
      </c>
      <c r="BU25">
        <f>IF((BK$1+21)&gt;BI$1,NA(),MATCH((BK$1+21),_Calc!$C$5:$C$10004,0))</f>
        <v/>
      </c>
    </row>
    <row r="26">
      <c r="A26" s="35" t="inlineStr">
        <is>
          <t>USL</t>
        </is>
      </c>
      <c r="B26" s="23">
        <f>INDEX(Capability!$Q$5:$Q$54,$B$3)</f>
        <v/>
      </c>
      <c r="BH26">
        <f>IF(ISNA(BU26),NA(),(BK$1+22))</f>
        <v/>
      </c>
      <c r="BI26">
        <f>IF(ISNA(BU26),NA(),INDEX(_Calc!$D$5:$D$10004,BU26))</f>
        <v/>
      </c>
      <c r="BJ26">
        <f>IF(ISNA(BU26),NA(),IF($B$22="",NA(),$B$22))</f>
        <v/>
      </c>
      <c r="BK26">
        <f>IF(ISNA(BU26),NA(),IF($B$21="",NA(),$B$21))</f>
        <v/>
      </c>
      <c r="BL26">
        <f>IF(ISNA(BU26),NA(),IF($B$23="",NA(),$B$23))</f>
        <v/>
      </c>
      <c r="BM26">
        <f>IF(ISNA(BU26),NA(),IF(INDEX(_Calc!$F$5:$F$10004,BU26)="",NA(),INDEX(_Calc!$F$5:$F$10004,BU26)))</f>
        <v/>
      </c>
      <c r="BN26">
        <f>IF(ISNA(BU26),NA(),IF($B$24="",NA(),$B$24))</f>
        <v/>
      </c>
      <c r="BO26">
        <f>IF(ISNA(BU26),NA(),IF($B$26="",NA(),$B$26))</f>
        <v/>
      </c>
      <c r="BP26">
        <f>IF(ISNA(BU26),NA(),IF($B$28="",NA(),$B$28))</f>
        <v/>
      </c>
      <c r="BU26">
        <f>IF((BK$1+22)&gt;BI$1,NA(),MATCH((BK$1+22),_Calc!$C$5:$C$10004,0))</f>
        <v/>
      </c>
    </row>
    <row r="27">
      <c r="A27" s="35" t="inlineStr">
        <is>
          <t>Nominal</t>
        </is>
      </c>
      <c r="B27" s="23">
        <f>INDEX(Capability!$O$5:$O$54,$B$3)</f>
        <v/>
      </c>
      <c r="BH27">
        <f>IF(ISNA(BU27),NA(),(BK$1+23))</f>
        <v/>
      </c>
      <c r="BI27">
        <f>IF(ISNA(BU27),NA(),INDEX(_Calc!$D$5:$D$10004,BU27))</f>
        <v/>
      </c>
      <c r="BJ27">
        <f>IF(ISNA(BU27),NA(),IF($B$22="",NA(),$B$22))</f>
        <v/>
      </c>
      <c r="BK27">
        <f>IF(ISNA(BU27),NA(),IF($B$21="",NA(),$B$21))</f>
        <v/>
      </c>
      <c r="BL27">
        <f>IF(ISNA(BU27),NA(),IF($B$23="",NA(),$B$23))</f>
        <v/>
      </c>
      <c r="BM27">
        <f>IF(ISNA(BU27),NA(),IF(INDEX(_Calc!$F$5:$F$10004,BU27)="",NA(),INDEX(_Calc!$F$5:$F$10004,BU27)))</f>
        <v/>
      </c>
      <c r="BN27">
        <f>IF(ISNA(BU27),NA(),IF($B$24="",NA(),$B$24))</f>
        <v/>
      </c>
      <c r="BO27">
        <f>IF(ISNA(BU27),NA(),IF($B$26="",NA(),$B$26))</f>
        <v/>
      </c>
      <c r="BP27">
        <f>IF(ISNA(BU27),NA(),IF($B$28="",NA(),$B$28))</f>
        <v/>
      </c>
      <c r="BU27">
        <f>IF((BK$1+23)&gt;BI$1,NA(),MATCH((BK$1+23),_Calc!$C$5:$C$10004,0))</f>
        <v/>
      </c>
    </row>
    <row r="28">
      <c r="A28" s="35" t="inlineStr">
        <is>
          <t>LSL</t>
        </is>
      </c>
      <c r="B28" s="23">
        <f>INDEX(Capability!$P$5:$P$54,$B$3)</f>
        <v/>
      </c>
      <c r="BH28">
        <f>IF(ISNA(BU28),NA(),(BK$1+24))</f>
        <v/>
      </c>
      <c r="BI28">
        <f>IF(ISNA(BU28),NA(),INDEX(_Calc!$D$5:$D$10004,BU28))</f>
        <v/>
      </c>
      <c r="BJ28">
        <f>IF(ISNA(BU28),NA(),IF($B$22="",NA(),$B$22))</f>
        <v/>
      </c>
      <c r="BK28">
        <f>IF(ISNA(BU28),NA(),IF($B$21="",NA(),$B$21))</f>
        <v/>
      </c>
      <c r="BL28">
        <f>IF(ISNA(BU28),NA(),IF($B$23="",NA(),$B$23))</f>
        <v/>
      </c>
      <c r="BM28">
        <f>IF(ISNA(BU28),NA(),IF(INDEX(_Calc!$F$5:$F$10004,BU28)="",NA(),INDEX(_Calc!$F$5:$F$10004,BU28)))</f>
        <v/>
      </c>
      <c r="BN28">
        <f>IF(ISNA(BU28),NA(),IF($B$24="",NA(),$B$24))</f>
        <v/>
      </c>
      <c r="BO28">
        <f>IF(ISNA(BU28),NA(),IF($B$26="",NA(),$B$26))</f>
        <v/>
      </c>
      <c r="BP28">
        <f>IF(ISNA(BU28),NA(),IF($B$28="",NA(),$B$28))</f>
        <v/>
      </c>
      <c r="BU28">
        <f>IF((BK$1+24)&gt;BI$1,NA(),MATCH((BK$1+24),_Calc!$C$5:$C$10004,0))</f>
        <v/>
      </c>
    </row>
    <row r="29">
      <c r="A29" s="37" t="inlineStr">
        <is>
          <t>CAPABILITY (filtered)</t>
        </is>
      </c>
      <c r="B29" s="28" t="n"/>
      <c r="BH29">
        <f>IF(ISNA(BU29),NA(),(BK$1+25))</f>
        <v/>
      </c>
      <c r="BI29">
        <f>IF(ISNA(BU29),NA(),INDEX(_Calc!$D$5:$D$10004,BU29))</f>
        <v/>
      </c>
      <c r="BJ29">
        <f>IF(ISNA(BU29),NA(),IF($B$22="",NA(),$B$22))</f>
        <v/>
      </c>
      <c r="BK29">
        <f>IF(ISNA(BU29),NA(),IF($B$21="",NA(),$B$21))</f>
        <v/>
      </c>
      <c r="BL29">
        <f>IF(ISNA(BU29),NA(),IF($B$23="",NA(),$B$23))</f>
        <v/>
      </c>
      <c r="BM29">
        <f>IF(ISNA(BU29),NA(),IF(INDEX(_Calc!$F$5:$F$10004,BU29)="",NA(),INDEX(_Calc!$F$5:$F$10004,BU29)))</f>
        <v/>
      </c>
      <c r="BN29">
        <f>IF(ISNA(BU29),NA(),IF($B$24="",NA(),$B$24))</f>
        <v/>
      </c>
      <c r="BO29">
        <f>IF(ISNA(BU29),NA(),IF($B$26="",NA(),$B$26))</f>
        <v/>
      </c>
      <c r="BP29">
        <f>IF(ISNA(BU29),NA(),IF($B$28="",NA(),$B$28))</f>
        <v/>
      </c>
      <c r="BU29">
        <f>IF((BK$1+25)&gt;BI$1,NA(),MATCH((BK$1+25),_Calc!$C$5:$C$10004,0))</f>
        <v/>
      </c>
    </row>
    <row r="30">
      <c r="A30" s="35" t="inlineStr">
        <is>
          <t>Cp</t>
        </is>
      </c>
      <c r="B30" s="38">
        <f>IF(OR(OR($B$26="",$B$28=""),$B$19="",$B$19=0),"",($B$26-$B$28)/(6*$B$19))</f>
        <v/>
      </c>
      <c r="BH30">
        <f>IF(ISNA(BU30),NA(),(BK$1+26))</f>
        <v/>
      </c>
      <c r="BI30">
        <f>IF(ISNA(BU30),NA(),INDEX(_Calc!$D$5:$D$10004,BU30))</f>
        <v/>
      </c>
      <c r="BJ30">
        <f>IF(ISNA(BU30),NA(),IF($B$22="",NA(),$B$22))</f>
        <v/>
      </c>
      <c r="BK30">
        <f>IF(ISNA(BU30),NA(),IF($B$21="",NA(),$B$21))</f>
        <v/>
      </c>
      <c r="BL30">
        <f>IF(ISNA(BU30),NA(),IF($B$23="",NA(),$B$23))</f>
        <v/>
      </c>
      <c r="BM30">
        <f>IF(ISNA(BU30),NA(),IF(INDEX(_Calc!$F$5:$F$10004,BU30)="",NA(),INDEX(_Calc!$F$5:$F$10004,BU30)))</f>
        <v/>
      </c>
      <c r="BN30">
        <f>IF(ISNA(BU30),NA(),IF($B$24="",NA(),$B$24))</f>
        <v/>
      </c>
      <c r="BO30">
        <f>IF(ISNA(BU30),NA(),IF($B$26="",NA(),$B$26))</f>
        <v/>
      </c>
      <c r="BP30">
        <f>IF(ISNA(BU30),NA(),IF($B$28="",NA(),$B$28))</f>
        <v/>
      </c>
      <c r="BU30">
        <f>IF((BK$1+26)&gt;BI$1,NA(),MATCH((BK$1+26),_Calc!$C$5:$C$10004,0))</f>
        <v/>
      </c>
    </row>
    <row r="31">
      <c r="A31" s="35" t="inlineStr">
        <is>
          <t>Cpk</t>
        </is>
      </c>
      <c r="B31" s="38">
        <f>IF(OR(OR($B$26="",$B$28=""),$B$19="",$B$19=0),"",MIN($B$26-$B$15,$B$15-$B$28)/(3*$B$19))</f>
        <v/>
      </c>
      <c r="BH31">
        <f>IF(ISNA(BU31),NA(),(BK$1+27))</f>
        <v/>
      </c>
      <c r="BI31">
        <f>IF(ISNA(BU31),NA(),INDEX(_Calc!$D$5:$D$10004,BU31))</f>
        <v/>
      </c>
      <c r="BJ31">
        <f>IF(ISNA(BU31),NA(),IF($B$22="",NA(),$B$22))</f>
        <v/>
      </c>
      <c r="BK31">
        <f>IF(ISNA(BU31),NA(),IF($B$21="",NA(),$B$21))</f>
        <v/>
      </c>
      <c r="BL31">
        <f>IF(ISNA(BU31),NA(),IF($B$23="",NA(),$B$23))</f>
        <v/>
      </c>
      <c r="BM31">
        <f>IF(ISNA(BU31),NA(),IF(INDEX(_Calc!$F$5:$F$10004,BU31)="",NA(),INDEX(_Calc!$F$5:$F$10004,BU31)))</f>
        <v/>
      </c>
      <c r="BN31">
        <f>IF(ISNA(BU31),NA(),IF($B$24="",NA(),$B$24))</f>
        <v/>
      </c>
      <c r="BO31">
        <f>IF(ISNA(BU31),NA(),IF($B$26="",NA(),$B$26))</f>
        <v/>
      </c>
      <c r="BP31">
        <f>IF(ISNA(BU31),NA(),IF($B$28="",NA(),$B$28))</f>
        <v/>
      </c>
      <c r="BU31">
        <f>IF((BK$1+27)&gt;BI$1,NA(),MATCH((BK$1+27),_Calc!$C$5:$C$10004,0))</f>
        <v/>
      </c>
    </row>
    <row r="32">
      <c r="A32" s="35" t="inlineStr">
        <is>
          <t>Pp</t>
        </is>
      </c>
      <c r="B32" s="38">
        <f>IF(OR(OR($B$26="",$B$28=""),$B$17="",$B$17=0),"",($B$26-$B$28)/(6*$B$17))</f>
        <v/>
      </c>
      <c r="BH32">
        <f>IF(ISNA(BU32),NA(),(BK$1+28))</f>
        <v/>
      </c>
      <c r="BI32">
        <f>IF(ISNA(BU32),NA(),INDEX(_Calc!$D$5:$D$10004,BU32))</f>
        <v/>
      </c>
      <c r="BJ32">
        <f>IF(ISNA(BU32),NA(),IF($B$22="",NA(),$B$22))</f>
        <v/>
      </c>
      <c r="BK32">
        <f>IF(ISNA(BU32),NA(),IF($B$21="",NA(),$B$21))</f>
        <v/>
      </c>
      <c r="BL32">
        <f>IF(ISNA(BU32),NA(),IF($B$23="",NA(),$B$23))</f>
        <v/>
      </c>
      <c r="BM32">
        <f>IF(ISNA(BU32),NA(),IF(INDEX(_Calc!$F$5:$F$10004,BU32)="",NA(),INDEX(_Calc!$F$5:$F$10004,BU32)))</f>
        <v/>
      </c>
      <c r="BN32">
        <f>IF(ISNA(BU32),NA(),IF($B$24="",NA(),$B$24))</f>
        <v/>
      </c>
      <c r="BO32">
        <f>IF(ISNA(BU32),NA(),IF($B$26="",NA(),$B$26))</f>
        <v/>
      </c>
      <c r="BP32">
        <f>IF(ISNA(BU32),NA(),IF($B$28="",NA(),$B$28))</f>
        <v/>
      </c>
      <c r="BU32">
        <f>IF((BK$1+28)&gt;BI$1,NA(),MATCH((BK$1+28),_Calc!$C$5:$C$10004,0))</f>
        <v/>
      </c>
    </row>
    <row r="33">
      <c r="A33" s="35" t="inlineStr">
        <is>
          <t>Ppk</t>
        </is>
      </c>
      <c r="B33" s="38">
        <f>IF(OR(OR($B$26="",$B$28=""),$B$17="",$B$17=0),"",MIN($B$26-$B$15,$B$15-$B$28)/(3*$B$17))</f>
        <v/>
      </c>
      <c r="BH33">
        <f>IF(ISNA(BU33),NA(),(BK$1+29))</f>
        <v/>
      </c>
      <c r="BI33">
        <f>IF(ISNA(BU33),NA(),INDEX(_Calc!$D$5:$D$10004,BU33))</f>
        <v/>
      </c>
      <c r="BJ33">
        <f>IF(ISNA(BU33),NA(),IF($B$22="",NA(),$B$22))</f>
        <v/>
      </c>
      <c r="BK33">
        <f>IF(ISNA(BU33),NA(),IF($B$21="",NA(),$B$21))</f>
        <v/>
      </c>
      <c r="BL33">
        <f>IF(ISNA(BU33),NA(),IF($B$23="",NA(),$B$23))</f>
        <v/>
      </c>
      <c r="BM33">
        <f>IF(ISNA(BU33),NA(),IF(INDEX(_Calc!$F$5:$F$10004,BU33)="",NA(),INDEX(_Calc!$F$5:$F$10004,BU33)))</f>
        <v/>
      </c>
      <c r="BN33">
        <f>IF(ISNA(BU33),NA(),IF($B$24="",NA(),$B$24))</f>
        <v/>
      </c>
      <c r="BO33">
        <f>IF(ISNA(BU33),NA(),IF($B$26="",NA(),$B$26))</f>
        <v/>
      </c>
      <c r="BP33">
        <f>IF(ISNA(BU33),NA(),IF($B$28="",NA(),$B$28))</f>
        <v/>
      </c>
      <c r="BU33">
        <f>IF((BK$1+29)&gt;BI$1,NA(),MATCH((BK$1+29),_Calc!$C$5:$C$10004,0))</f>
        <v/>
      </c>
    </row>
    <row r="34">
      <c r="BH34">
        <f>IF(ISNA(BU34),NA(),(BK$1+30))</f>
        <v/>
      </c>
      <c r="BI34">
        <f>IF(ISNA(BU34),NA(),INDEX(_Calc!$D$5:$D$10004,BU34))</f>
        <v/>
      </c>
      <c r="BJ34">
        <f>IF(ISNA(BU34),NA(),IF($B$22="",NA(),$B$22))</f>
        <v/>
      </c>
      <c r="BK34">
        <f>IF(ISNA(BU34),NA(),IF($B$21="",NA(),$B$21))</f>
        <v/>
      </c>
      <c r="BL34">
        <f>IF(ISNA(BU34),NA(),IF($B$23="",NA(),$B$23))</f>
        <v/>
      </c>
      <c r="BM34">
        <f>IF(ISNA(BU34),NA(),IF(INDEX(_Calc!$F$5:$F$10004,BU34)="",NA(),INDEX(_Calc!$F$5:$F$10004,BU34)))</f>
        <v/>
      </c>
      <c r="BN34">
        <f>IF(ISNA(BU34),NA(),IF($B$24="",NA(),$B$24))</f>
        <v/>
      </c>
      <c r="BO34">
        <f>IF(ISNA(BU34),NA(),IF($B$26="",NA(),$B$26))</f>
        <v/>
      </c>
      <c r="BP34">
        <f>IF(ISNA(BU34),NA(),IF($B$28="",NA(),$B$28))</f>
        <v/>
      </c>
      <c r="BU34">
        <f>IF((BK$1+30)&gt;BI$1,NA(),MATCH((BK$1+30),_Calc!$C$5:$C$10004,0))</f>
        <v/>
      </c>
    </row>
    <row r="35">
      <c r="BH35">
        <f>IF(ISNA(BU35),NA(),(BK$1+31))</f>
        <v/>
      </c>
      <c r="BI35">
        <f>IF(ISNA(BU35),NA(),INDEX(_Calc!$D$5:$D$10004,BU35))</f>
        <v/>
      </c>
      <c r="BJ35">
        <f>IF(ISNA(BU35),NA(),IF($B$22="",NA(),$B$22))</f>
        <v/>
      </c>
      <c r="BK35">
        <f>IF(ISNA(BU35),NA(),IF($B$21="",NA(),$B$21))</f>
        <v/>
      </c>
      <c r="BL35">
        <f>IF(ISNA(BU35),NA(),IF($B$23="",NA(),$B$23))</f>
        <v/>
      </c>
      <c r="BM35">
        <f>IF(ISNA(BU35),NA(),IF(INDEX(_Calc!$F$5:$F$10004,BU35)="",NA(),INDEX(_Calc!$F$5:$F$10004,BU35)))</f>
        <v/>
      </c>
      <c r="BN35">
        <f>IF(ISNA(BU35),NA(),IF($B$24="",NA(),$B$24))</f>
        <v/>
      </c>
      <c r="BO35">
        <f>IF(ISNA(BU35),NA(),IF($B$26="",NA(),$B$26))</f>
        <v/>
      </c>
      <c r="BP35">
        <f>IF(ISNA(BU35),NA(),IF($B$28="",NA(),$B$28))</f>
        <v/>
      </c>
      <c r="BU35">
        <f>IF((BK$1+31)&gt;BI$1,NA(),MATCH((BK$1+31),_Calc!$C$5:$C$10004,0))</f>
        <v/>
      </c>
    </row>
    <row r="36">
      <c r="BH36">
        <f>IF(ISNA(BU36),NA(),(BK$1+32))</f>
        <v/>
      </c>
      <c r="BI36">
        <f>IF(ISNA(BU36),NA(),INDEX(_Calc!$D$5:$D$10004,BU36))</f>
        <v/>
      </c>
      <c r="BJ36">
        <f>IF(ISNA(BU36),NA(),IF($B$22="",NA(),$B$22))</f>
        <v/>
      </c>
      <c r="BK36">
        <f>IF(ISNA(BU36),NA(),IF($B$21="",NA(),$B$21))</f>
        <v/>
      </c>
      <c r="BL36">
        <f>IF(ISNA(BU36),NA(),IF($B$23="",NA(),$B$23))</f>
        <v/>
      </c>
      <c r="BM36">
        <f>IF(ISNA(BU36),NA(),IF(INDEX(_Calc!$F$5:$F$10004,BU36)="",NA(),INDEX(_Calc!$F$5:$F$10004,BU36)))</f>
        <v/>
      </c>
      <c r="BN36">
        <f>IF(ISNA(BU36),NA(),IF($B$24="",NA(),$B$24))</f>
        <v/>
      </c>
      <c r="BO36">
        <f>IF(ISNA(BU36),NA(),IF($B$26="",NA(),$B$26))</f>
        <v/>
      </c>
      <c r="BP36">
        <f>IF(ISNA(BU36),NA(),IF($B$28="",NA(),$B$28))</f>
        <v/>
      </c>
      <c r="BU36">
        <f>IF((BK$1+32)&gt;BI$1,NA(),MATCH((BK$1+32),_Calc!$C$5:$C$10004,0))</f>
        <v/>
      </c>
    </row>
    <row r="37">
      <c r="BH37">
        <f>IF(ISNA(BU37),NA(),(BK$1+33))</f>
        <v/>
      </c>
      <c r="BI37">
        <f>IF(ISNA(BU37),NA(),INDEX(_Calc!$D$5:$D$10004,BU37))</f>
        <v/>
      </c>
      <c r="BJ37">
        <f>IF(ISNA(BU37),NA(),IF($B$22="",NA(),$B$22))</f>
        <v/>
      </c>
      <c r="BK37">
        <f>IF(ISNA(BU37),NA(),IF($B$21="",NA(),$B$21))</f>
        <v/>
      </c>
      <c r="BL37">
        <f>IF(ISNA(BU37),NA(),IF($B$23="",NA(),$B$23))</f>
        <v/>
      </c>
      <c r="BM37">
        <f>IF(ISNA(BU37),NA(),IF(INDEX(_Calc!$F$5:$F$10004,BU37)="",NA(),INDEX(_Calc!$F$5:$F$10004,BU37)))</f>
        <v/>
      </c>
      <c r="BN37">
        <f>IF(ISNA(BU37),NA(),IF($B$24="",NA(),$B$24))</f>
        <v/>
      </c>
      <c r="BO37">
        <f>IF(ISNA(BU37),NA(),IF($B$26="",NA(),$B$26))</f>
        <v/>
      </c>
      <c r="BP37">
        <f>IF(ISNA(BU37),NA(),IF($B$28="",NA(),$B$28))</f>
        <v/>
      </c>
      <c r="BU37">
        <f>IF((BK$1+33)&gt;BI$1,NA(),MATCH((BK$1+33),_Calc!$C$5:$C$10004,0))</f>
        <v/>
      </c>
    </row>
    <row r="38">
      <c r="BH38">
        <f>IF(ISNA(BU38),NA(),(BK$1+34))</f>
        <v/>
      </c>
      <c r="BI38">
        <f>IF(ISNA(BU38),NA(),INDEX(_Calc!$D$5:$D$10004,BU38))</f>
        <v/>
      </c>
      <c r="BJ38">
        <f>IF(ISNA(BU38),NA(),IF($B$22="",NA(),$B$22))</f>
        <v/>
      </c>
      <c r="BK38">
        <f>IF(ISNA(BU38),NA(),IF($B$21="",NA(),$B$21))</f>
        <v/>
      </c>
      <c r="BL38">
        <f>IF(ISNA(BU38),NA(),IF($B$23="",NA(),$B$23))</f>
        <v/>
      </c>
      <c r="BM38">
        <f>IF(ISNA(BU38),NA(),IF(INDEX(_Calc!$F$5:$F$10004,BU38)="",NA(),INDEX(_Calc!$F$5:$F$10004,BU38)))</f>
        <v/>
      </c>
      <c r="BN38">
        <f>IF(ISNA(BU38),NA(),IF($B$24="",NA(),$B$24))</f>
        <v/>
      </c>
      <c r="BO38">
        <f>IF(ISNA(BU38),NA(),IF($B$26="",NA(),$B$26))</f>
        <v/>
      </c>
      <c r="BP38">
        <f>IF(ISNA(BU38),NA(),IF($B$28="",NA(),$B$28))</f>
        <v/>
      </c>
      <c r="BU38">
        <f>IF((BK$1+34)&gt;BI$1,NA(),MATCH((BK$1+34),_Calc!$C$5:$C$10004,0))</f>
        <v/>
      </c>
    </row>
    <row r="39">
      <c r="BH39">
        <f>IF(ISNA(BU39),NA(),(BK$1+35))</f>
        <v/>
      </c>
      <c r="BI39">
        <f>IF(ISNA(BU39),NA(),INDEX(_Calc!$D$5:$D$10004,BU39))</f>
        <v/>
      </c>
      <c r="BJ39">
        <f>IF(ISNA(BU39),NA(),IF($B$22="",NA(),$B$22))</f>
        <v/>
      </c>
      <c r="BK39">
        <f>IF(ISNA(BU39),NA(),IF($B$21="",NA(),$B$21))</f>
        <v/>
      </c>
      <c r="BL39">
        <f>IF(ISNA(BU39),NA(),IF($B$23="",NA(),$B$23))</f>
        <v/>
      </c>
      <c r="BM39">
        <f>IF(ISNA(BU39),NA(),IF(INDEX(_Calc!$F$5:$F$10004,BU39)="",NA(),INDEX(_Calc!$F$5:$F$10004,BU39)))</f>
        <v/>
      </c>
      <c r="BN39">
        <f>IF(ISNA(BU39),NA(),IF($B$24="",NA(),$B$24))</f>
        <v/>
      </c>
      <c r="BO39">
        <f>IF(ISNA(BU39),NA(),IF($B$26="",NA(),$B$26))</f>
        <v/>
      </c>
      <c r="BP39">
        <f>IF(ISNA(BU39),NA(),IF($B$28="",NA(),$B$28))</f>
        <v/>
      </c>
      <c r="BU39">
        <f>IF((BK$1+35)&gt;BI$1,NA(),MATCH((BK$1+35),_Calc!$C$5:$C$10004,0))</f>
        <v/>
      </c>
    </row>
    <row r="40">
      <c r="BH40">
        <f>IF(ISNA(BU40),NA(),(BK$1+36))</f>
        <v/>
      </c>
      <c r="BI40">
        <f>IF(ISNA(BU40),NA(),INDEX(_Calc!$D$5:$D$10004,BU40))</f>
        <v/>
      </c>
      <c r="BJ40">
        <f>IF(ISNA(BU40),NA(),IF($B$22="",NA(),$B$22))</f>
        <v/>
      </c>
      <c r="BK40">
        <f>IF(ISNA(BU40),NA(),IF($B$21="",NA(),$B$21))</f>
        <v/>
      </c>
      <c r="BL40">
        <f>IF(ISNA(BU40),NA(),IF($B$23="",NA(),$B$23))</f>
        <v/>
      </c>
      <c r="BM40">
        <f>IF(ISNA(BU40),NA(),IF(INDEX(_Calc!$F$5:$F$10004,BU40)="",NA(),INDEX(_Calc!$F$5:$F$10004,BU40)))</f>
        <v/>
      </c>
      <c r="BN40">
        <f>IF(ISNA(BU40),NA(),IF($B$24="",NA(),$B$24))</f>
        <v/>
      </c>
      <c r="BO40">
        <f>IF(ISNA(BU40),NA(),IF($B$26="",NA(),$B$26))</f>
        <v/>
      </c>
      <c r="BP40">
        <f>IF(ISNA(BU40),NA(),IF($B$28="",NA(),$B$28))</f>
        <v/>
      </c>
      <c r="BU40">
        <f>IF((BK$1+36)&gt;BI$1,NA(),MATCH((BK$1+36),_Calc!$C$5:$C$10004,0))</f>
        <v/>
      </c>
    </row>
    <row r="41">
      <c r="BH41">
        <f>IF(ISNA(BU41),NA(),(BK$1+37))</f>
        <v/>
      </c>
      <c r="BI41">
        <f>IF(ISNA(BU41),NA(),INDEX(_Calc!$D$5:$D$10004,BU41))</f>
        <v/>
      </c>
      <c r="BJ41">
        <f>IF(ISNA(BU41),NA(),IF($B$22="",NA(),$B$22))</f>
        <v/>
      </c>
      <c r="BK41">
        <f>IF(ISNA(BU41),NA(),IF($B$21="",NA(),$B$21))</f>
        <v/>
      </c>
      <c r="BL41">
        <f>IF(ISNA(BU41),NA(),IF($B$23="",NA(),$B$23))</f>
        <v/>
      </c>
      <c r="BM41">
        <f>IF(ISNA(BU41),NA(),IF(INDEX(_Calc!$F$5:$F$10004,BU41)="",NA(),INDEX(_Calc!$F$5:$F$10004,BU41)))</f>
        <v/>
      </c>
      <c r="BN41">
        <f>IF(ISNA(BU41),NA(),IF($B$24="",NA(),$B$24))</f>
        <v/>
      </c>
      <c r="BO41">
        <f>IF(ISNA(BU41),NA(),IF($B$26="",NA(),$B$26))</f>
        <v/>
      </c>
      <c r="BP41">
        <f>IF(ISNA(BU41),NA(),IF($B$28="",NA(),$B$28))</f>
        <v/>
      </c>
      <c r="BU41">
        <f>IF((BK$1+37)&gt;BI$1,NA(),MATCH((BK$1+37),_Calc!$C$5:$C$10004,0))</f>
        <v/>
      </c>
    </row>
    <row r="42">
      <c r="BH42">
        <f>IF(ISNA(BU42),NA(),(BK$1+38))</f>
        <v/>
      </c>
      <c r="BI42">
        <f>IF(ISNA(BU42),NA(),INDEX(_Calc!$D$5:$D$10004,BU42))</f>
        <v/>
      </c>
      <c r="BJ42">
        <f>IF(ISNA(BU42),NA(),IF($B$22="",NA(),$B$22))</f>
        <v/>
      </c>
      <c r="BK42">
        <f>IF(ISNA(BU42),NA(),IF($B$21="",NA(),$B$21))</f>
        <v/>
      </c>
      <c r="BL42">
        <f>IF(ISNA(BU42),NA(),IF($B$23="",NA(),$B$23))</f>
        <v/>
      </c>
      <c r="BM42">
        <f>IF(ISNA(BU42),NA(),IF(INDEX(_Calc!$F$5:$F$10004,BU42)="",NA(),INDEX(_Calc!$F$5:$F$10004,BU42)))</f>
        <v/>
      </c>
      <c r="BN42">
        <f>IF(ISNA(BU42),NA(),IF($B$24="",NA(),$B$24))</f>
        <v/>
      </c>
      <c r="BO42">
        <f>IF(ISNA(BU42),NA(),IF($B$26="",NA(),$B$26))</f>
        <v/>
      </c>
      <c r="BP42">
        <f>IF(ISNA(BU42),NA(),IF($B$28="",NA(),$B$28))</f>
        <v/>
      </c>
      <c r="BU42">
        <f>IF((BK$1+38)&gt;BI$1,NA(),MATCH((BK$1+38),_Calc!$C$5:$C$10004,0))</f>
        <v/>
      </c>
    </row>
    <row r="43">
      <c r="BH43">
        <f>IF(ISNA(BU43),NA(),(BK$1+39))</f>
        <v/>
      </c>
      <c r="BI43">
        <f>IF(ISNA(BU43),NA(),INDEX(_Calc!$D$5:$D$10004,BU43))</f>
        <v/>
      </c>
      <c r="BJ43">
        <f>IF(ISNA(BU43),NA(),IF($B$22="",NA(),$B$22))</f>
        <v/>
      </c>
      <c r="BK43">
        <f>IF(ISNA(BU43),NA(),IF($B$21="",NA(),$B$21))</f>
        <v/>
      </c>
      <c r="BL43">
        <f>IF(ISNA(BU43),NA(),IF($B$23="",NA(),$B$23))</f>
        <v/>
      </c>
      <c r="BM43">
        <f>IF(ISNA(BU43),NA(),IF(INDEX(_Calc!$F$5:$F$10004,BU43)="",NA(),INDEX(_Calc!$F$5:$F$10004,BU43)))</f>
        <v/>
      </c>
      <c r="BN43">
        <f>IF(ISNA(BU43),NA(),IF($B$24="",NA(),$B$24))</f>
        <v/>
      </c>
      <c r="BO43">
        <f>IF(ISNA(BU43),NA(),IF($B$26="",NA(),$B$26))</f>
        <v/>
      </c>
      <c r="BP43">
        <f>IF(ISNA(BU43),NA(),IF($B$28="",NA(),$B$28))</f>
        <v/>
      </c>
      <c r="BU43">
        <f>IF((BK$1+39)&gt;BI$1,NA(),MATCH((BK$1+39),_Calc!$C$5:$C$10004,0))</f>
        <v/>
      </c>
    </row>
    <row r="44">
      <c r="BH44">
        <f>IF(ISNA(BU44),NA(),(BK$1+40))</f>
        <v/>
      </c>
      <c r="BI44">
        <f>IF(ISNA(BU44),NA(),INDEX(_Calc!$D$5:$D$10004,BU44))</f>
        <v/>
      </c>
      <c r="BJ44">
        <f>IF(ISNA(BU44),NA(),IF($B$22="",NA(),$B$22))</f>
        <v/>
      </c>
      <c r="BK44">
        <f>IF(ISNA(BU44),NA(),IF($B$21="",NA(),$B$21))</f>
        <v/>
      </c>
      <c r="BL44">
        <f>IF(ISNA(BU44),NA(),IF($B$23="",NA(),$B$23))</f>
        <v/>
      </c>
      <c r="BM44">
        <f>IF(ISNA(BU44),NA(),IF(INDEX(_Calc!$F$5:$F$10004,BU44)="",NA(),INDEX(_Calc!$F$5:$F$10004,BU44)))</f>
        <v/>
      </c>
      <c r="BN44">
        <f>IF(ISNA(BU44),NA(),IF($B$24="",NA(),$B$24))</f>
        <v/>
      </c>
      <c r="BO44">
        <f>IF(ISNA(BU44),NA(),IF($B$26="",NA(),$B$26))</f>
        <v/>
      </c>
      <c r="BP44">
        <f>IF(ISNA(BU44),NA(),IF($B$28="",NA(),$B$28))</f>
        <v/>
      </c>
      <c r="BU44">
        <f>IF((BK$1+40)&gt;BI$1,NA(),MATCH((BK$1+40),_Calc!$C$5:$C$10004,0))</f>
        <v/>
      </c>
    </row>
    <row r="45">
      <c r="BH45">
        <f>IF(ISNA(BU45),NA(),(BK$1+41))</f>
        <v/>
      </c>
      <c r="BI45">
        <f>IF(ISNA(BU45),NA(),INDEX(_Calc!$D$5:$D$10004,BU45))</f>
        <v/>
      </c>
      <c r="BJ45">
        <f>IF(ISNA(BU45),NA(),IF($B$22="",NA(),$B$22))</f>
        <v/>
      </c>
      <c r="BK45">
        <f>IF(ISNA(BU45),NA(),IF($B$21="",NA(),$B$21))</f>
        <v/>
      </c>
      <c r="BL45">
        <f>IF(ISNA(BU45),NA(),IF($B$23="",NA(),$B$23))</f>
        <v/>
      </c>
      <c r="BM45">
        <f>IF(ISNA(BU45),NA(),IF(INDEX(_Calc!$F$5:$F$10004,BU45)="",NA(),INDEX(_Calc!$F$5:$F$10004,BU45)))</f>
        <v/>
      </c>
      <c r="BN45">
        <f>IF(ISNA(BU45),NA(),IF($B$24="",NA(),$B$24))</f>
        <v/>
      </c>
      <c r="BO45">
        <f>IF(ISNA(BU45),NA(),IF($B$26="",NA(),$B$26))</f>
        <v/>
      </c>
      <c r="BP45">
        <f>IF(ISNA(BU45),NA(),IF($B$28="",NA(),$B$28))</f>
        <v/>
      </c>
      <c r="BU45">
        <f>IF((BK$1+41)&gt;BI$1,NA(),MATCH((BK$1+41),_Calc!$C$5:$C$10004,0))</f>
        <v/>
      </c>
    </row>
    <row r="46">
      <c r="BH46">
        <f>IF(ISNA(BU46),NA(),(BK$1+42))</f>
        <v/>
      </c>
      <c r="BI46">
        <f>IF(ISNA(BU46),NA(),INDEX(_Calc!$D$5:$D$10004,BU46))</f>
        <v/>
      </c>
      <c r="BJ46">
        <f>IF(ISNA(BU46),NA(),IF($B$22="",NA(),$B$22))</f>
        <v/>
      </c>
      <c r="BK46">
        <f>IF(ISNA(BU46),NA(),IF($B$21="",NA(),$B$21))</f>
        <v/>
      </c>
      <c r="BL46">
        <f>IF(ISNA(BU46),NA(),IF($B$23="",NA(),$B$23))</f>
        <v/>
      </c>
      <c r="BM46">
        <f>IF(ISNA(BU46),NA(),IF(INDEX(_Calc!$F$5:$F$10004,BU46)="",NA(),INDEX(_Calc!$F$5:$F$10004,BU46)))</f>
        <v/>
      </c>
      <c r="BN46">
        <f>IF(ISNA(BU46),NA(),IF($B$24="",NA(),$B$24))</f>
        <v/>
      </c>
      <c r="BO46">
        <f>IF(ISNA(BU46),NA(),IF($B$26="",NA(),$B$26))</f>
        <v/>
      </c>
      <c r="BP46">
        <f>IF(ISNA(BU46),NA(),IF($B$28="",NA(),$B$28))</f>
        <v/>
      </c>
      <c r="BU46">
        <f>IF((BK$1+42)&gt;BI$1,NA(),MATCH((BK$1+42),_Calc!$C$5:$C$10004,0))</f>
        <v/>
      </c>
    </row>
    <row r="47">
      <c r="BH47">
        <f>IF(ISNA(BU47),NA(),(BK$1+43))</f>
        <v/>
      </c>
      <c r="BI47">
        <f>IF(ISNA(BU47),NA(),INDEX(_Calc!$D$5:$D$10004,BU47))</f>
        <v/>
      </c>
      <c r="BJ47">
        <f>IF(ISNA(BU47),NA(),IF($B$22="",NA(),$B$22))</f>
        <v/>
      </c>
      <c r="BK47">
        <f>IF(ISNA(BU47),NA(),IF($B$21="",NA(),$B$21))</f>
        <v/>
      </c>
      <c r="BL47">
        <f>IF(ISNA(BU47),NA(),IF($B$23="",NA(),$B$23))</f>
        <v/>
      </c>
      <c r="BM47">
        <f>IF(ISNA(BU47),NA(),IF(INDEX(_Calc!$F$5:$F$10004,BU47)="",NA(),INDEX(_Calc!$F$5:$F$10004,BU47)))</f>
        <v/>
      </c>
      <c r="BN47">
        <f>IF(ISNA(BU47),NA(),IF($B$24="",NA(),$B$24))</f>
        <v/>
      </c>
      <c r="BO47">
        <f>IF(ISNA(BU47),NA(),IF($B$26="",NA(),$B$26))</f>
        <v/>
      </c>
      <c r="BP47">
        <f>IF(ISNA(BU47),NA(),IF($B$28="",NA(),$B$28))</f>
        <v/>
      </c>
      <c r="BU47">
        <f>IF((BK$1+43)&gt;BI$1,NA(),MATCH((BK$1+43),_Calc!$C$5:$C$10004,0))</f>
        <v/>
      </c>
    </row>
    <row r="48">
      <c r="BH48">
        <f>IF(ISNA(BU48),NA(),(BK$1+44))</f>
        <v/>
      </c>
      <c r="BI48">
        <f>IF(ISNA(BU48),NA(),INDEX(_Calc!$D$5:$D$10004,BU48))</f>
        <v/>
      </c>
      <c r="BJ48">
        <f>IF(ISNA(BU48),NA(),IF($B$22="",NA(),$B$22))</f>
        <v/>
      </c>
      <c r="BK48">
        <f>IF(ISNA(BU48),NA(),IF($B$21="",NA(),$B$21))</f>
        <v/>
      </c>
      <c r="BL48">
        <f>IF(ISNA(BU48),NA(),IF($B$23="",NA(),$B$23))</f>
        <v/>
      </c>
      <c r="BM48">
        <f>IF(ISNA(BU48),NA(),IF(INDEX(_Calc!$F$5:$F$10004,BU48)="",NA(),INDEX(_Calc!$F$5:$F$10004,BU48)))</f>
        <v/>
      </c>
      <c r="BN48">
        <f>IF(ISNA(BU48),NA(),IF($B$24="",NA(),$B$24))</f>
        <v/>
      </c>
      <c r="BO48">
        <f>IF(ISNA(BU48),NA(),IF($B$26="",NA(),$B$26))</f>
        <v/>
      </c>
      <c r="BP48">
        <f>IF(ISNA(BU48),NA(),IF($B$28="",NA(),$B$28))</f>
        <v/>
      </c>
      <c r="BU48">
        <f>IF((BK$1+44)&gt;BI$1,NA(),MATCH((BK$1+44),_Calc!$C$5:$C$10004,0))</f>
        <v/>
      </c>
    </row>
    <row r="49">
      <c r="BH49">
        <f>IF(ISNA(BU49),NA(),(BK$1+45))</f>
        <v/>
      </c>
      <c r="BI49">
        <f>IF(ISNA(BU49),NA(),INDEX(_Calc!$D$5:$D$10004,BU49))</f>
        <v/>
      </c>
      <c r="BJ49">
        <f>IF(ISNA(BU49),NA(),IF($B$22="",NA(),$B$22))</f>
        <v/>
      </c>
      <c r="BK49">
        <f>IF(ISNA(BU49),NA(),IF($B$21="",NA(),$B$21))</f>
        <v/>
      </c>
      <c r="BL49">
        <f>IF(ISNA(BU49),NA(),IF($B$23="",NA(),$B$23))</f>
        <v/>
      </c>
      <c r="BM49">
        <f>IF(ISNA(BU49),NA(),IF(INDEX(_Calc!$F$5:$F$10004,BU49)="",NA(),INDEX(_Calc!$F$5:$F$10004,BU49)))</f>
        <v/>
      </c>
      <c r="BN49">
        <f>IF(ISNA(BU49),NA(),IF($B$24="",NA(),$B$24))</f>
        <v/>
      </c>
      <c r="BO49">
        <f>IF(ISNA(BU49),NA(),IF($B$26="",NA(),$B$26))</f>
        <v/>
      </c>
      <c r="BP49">
        <f>IF(ISNA(BU49),NA(),IF($B$28="",NA(),$B$28))</f>
        <v/>
      </c>
      <c r="BU49">
        <f>IF((BK$1+45)&gt;BI$1,NA(),MATCH((BK$1+45),_Calc!$C$5:$C$10004,0))</f>
        <v/>
      </c>
    </row>
    <row r="50">
      <c r="BH50">
        <f>IF(ISNA(BU50),NA(),(BK$1+46))</f>
        <v/>
      </c>
      <c r="BI50">
        <f>IF(ISNA(BU50),NA(),INDEX(_Calc!$D$5:$D$10004,BU50))</f>
        <v/>
      </c>
      <c r="BJ50">
        <f>IF(ISNA(BU50),NA(),IF($B$22="",NA(),$B$22))</f>
        <v/>
      </c>
      <c r="BK50">
        <f>IF(ISNA(BU50),NA(),IF($B$21="",NA(),$B$21))</f>
        <v/>
      </c>
      <c r="BL50">
        <f>IF(ISNA(BU50),NA(),IF($B$23="",NA(),$B$23))</f>
        <v/>
      </c>
      <c r="BM50">
        <f>IF(ISNA(BU50),NA(),IF(INDEX(_Calc!$F$5:$F$10004,BU50)="",NA(),INDEX(_Calc!$F$5:$F$10004,BU50)))</f>
        <v/>
      </c>
      <c r="BN50">
        <f>IF(ISNA(BU50),NA(),IF($B$24="",NA(),$B$24))</f>
        <v/>
      </c>
      <c r="BO50">
        <f>IF(ISNA(BU50),NA(),IF($B$26="",NA(),$B$26))</f>
        <v/>
      </c>
      <c r="BP50">
        <f>IF(ISNA(BU50),NA(),IF($B$28="",NA(),$B$28))</f>
        <v/>
      </c>
      <c r="BU50">
        <f>IF((BK$1+46)&gt;BI$1,NA(),MATCH((BK$1+46),_Calc!$C$5:$C$10004,0))</f>
        <v/>
      </c>
    </row>
    <row r="51">
      <c r="BH51">
        <f>IF(ISNA(BU51),NA(),(BK$1+47))</f>
        <v/>
      </c>
      <c r="BI51">
        <f>IF(ISNA(BU51),NA(),INDEX(_Calc!$D$5:$D$10004,BU51))</f>
        <v/>
      </c>
      <c r="BJ51">
        <f>IF(ISNA(BU51),NA(),IF($B$22="",NA(),$B$22))</f>
        <v/>
      </c>
      <c r="BK51">
        <f>IF(ISNA(BU51),NA(),IF($B$21="",NA(),$B$21))</f>
        <v/>
      </c>
      <c r="BL51">
        <f>IF(ISNA(BU51),NA(),IF($B$23="",NA(),$B$23))</f>
        <v/>
      </c>
      <c r="BM51">
        <f>IF(ISNA(BU51),NA(),IF(INDEX(_Calc!$F$5:$F$10004,BU51)="",NA(),INDEX(_Calc!$F$5:$F$10004,BU51)))</f>
        <v/>
      </c>
      <c r="BN51">
        <f>IF(ISNA(BU51),NA(),IF($B$24="",NA(),$B$24))</f>
        <v/>
      </c>
      <c r="BO51">
        <f>IF(ISNA(BU51),NA(),IF($B$26="",NA(),$B$26))</f>
        <v/>
      </c>
      <c r="BP51">
        <f>IF(ISNA(BU51),NA(),IF($B$28="",NA(),$B$28))</f>
        <v/>
      </c>
      <c r="BU51">
        <f>IF((BK$1+47)&gt;BI$1,NA(),MATCH((BK$1+47),_Calc!$C$5:$C$10004,0))</f>
        <v/>
      </c>
    </row>
    <row r="52">
      <c r="BH52">
        <f>IF(ISNA(BU52),NA(),(BK$1+48))</f>
        <v/>
      </c>
      <c r="BI52">
        <f>IF(ISNA(BU52),NA(),INDEX(_Calc!$D$5:$D$10004,BU52))</f>
        <v/>
      </c>
      <c r="BJ52">
        <f>IF(ISNA(BU52),NA(),IF($B$22="",NA(),$B$22))</f>
        <v/>
      </c>
      <c r="BK52">
        <f>IF(ISNA(BU52),NA(),IF($B$21="",NA(),$B$21))</f>
        <v/>
      </c>
      <c r="BL52">
        <f>IF(ISNA(BU52),NA(),IF($B$23="",NA(),$B$23))</f>
        <v/>
      </c>
      <c r="BM52">
        <f>IF(ISNA(BU52),NA(),IF(INDEX(_Calc!$F$5:$F$10004,BU52)="",NA(),INDEX(_Calc!$F$5:$F$10004,BU52)))</f>
        <v/>
      </c>
      <c r="BN52">
        <f>IF(ISNA(BU52),NA(),IF($B$24="",NA(),$B$24))</f>
        <v/>
      </c>
      <c r="BO52">
        <f>IF(ISNA(BU52),NA(),IF($B$26="",NA(),$B$26))</f>
        <v/>
      </c>
      <c r="BP52">
        <f>IF(ISNA(BU52),NA(),IF($B$28="",NA(),$B$28))</f>
        <v/>
      </c>
      <c r="BU52">
        <f>IF((BK$1+48)&gt;BI$1,NA(),MATCH((BK$1+48),_Calc!$C$5:$C$10004,0))</f>
        <v/>
      </c>
    </row>
    <row r="53">
      <c r="BH53">
        <f>IF(ISNA(BU53),NA(),(BK$1+49))</f>
        <v/>
      </c>
      <c r="BI53">
        <f>IF(ISNA(BU53),NA(),INDEX(_Calc!$D$5:$D$10004,BU53))</f>
        <v/>
      </c>
      <c r="BJ53">
        <f>IF(ISNA(BU53),NA(),IF($B$22="",NA(),$B$22))</f>
        <v/>
      </c>
      <c r="BK53">
        <f>IF(ISNA(BU53),NA(),IF($B$21="",NA(),$B$21))</f>
        <v/>
      </c>
      <c r="BL53">
        <f>IF(ISNA(BU53),NA(),IF($B$23="",NA(),$B$23))</f>
        <v/>
      </c>
      <c r="BM53">
        <f>IF(ISNA(BU53),NA(),IF(INDEX(_Calc!$F$5:$F$10004,BU53)="",NA(),INDEX(_Calc!$F$5:$F$10004,BU53)))</f>
        <v/>
      </c>
      <c r="BN53">
        <f>IF(ISNA(BU53),NA(),IF($B$24="",NA(),$B$24))</f>
        <v/>
      </c>
      <c r="BO53">
        <f>IF(ISNA(BU53),NA(),IF($B$26="",NA(),$B$26))</f>
        <v/>
      </c>
      <c r="BP53">
        <f>IF(ISNA(BU53),NA(),IF($B$28="",NA(),$B$28))</f>
        <v/>
      </c>
      <c r="BU53">
        <f>IF((BK$1+49)&gt;BI$1,NA(),MATCH((BK$1+49),_Calc!$C$5:$C$10004,0))</f>
        <v/>
      </c>
    </row>
    <row r="54">
      <c r="BH54">
        <f>IF(ISNA(BU54),NA(),(BK$1+50))</f>
        <v/>
      </c>
      <c r="BI54">
        <f>IF(ISNA(BU54),NA(),INDEX(_Calc!$D$5:$D$10004,BU54))</f>
        <v/>
      </c>
      <c r="BJ54">
        <f>IF(ISNA(BU54),NA(),IF($B$22="",NA(),$B$22))</f>
        <v/>
      </c>
      <c r="BK54">
        <f>IF(ISNA(BU54),NA(),IF($B$21="",NA(),$B$21))</f>
        <v/>
      </c>
      <c r="BL54">
        <f>IF(ISNA(BU54),NA(),IF($B$23="",NA(),$B$23))</f>
        <v/>
      </c>
      <c r="BM54">
        <f>IF(ISNA(BU54),NA(),IF(INDEX(_Calc!$F$5:$F$10004,BU54)="",NA(),INDEX(_Calc!$F$5:$F$10004,BU54)))</f>
        <v/>
      </c>
      <c r="BN54">
        <f>IF(ISNA(BU54),NA(),IF($B$24="",NA(),$B$24))</f>
        <v/>
      </c>
      <c r="BO54">
        <f>IF(ISNA(BU54),NA(),IF($B$26="",NA(),$B$26))</f>
        <v/>
      </c>
      <c r="BP54">
        <f>IF(ISNA(BU54),NA(),IF($B$28="",NA(),$B$28))</f>
        <v/>
      </c>
      <c r="BU54">
        <f>IF((BK$1+50)&gt;BI$1,NA(),MATCH((BK$1+50),_Calc!$C$5:$C$10004,0))</f>
        <v/>
      </c>
    </row>
    <row r="55">
      <c r="BH55">
        <f>IF(ISNA(BU55),NA(),(BK$1+51))</f>
        <v/>
      </c>
      <c r="BI55">
        <f>IF(ISNA(BU55),NA(),INDEX(_Calc!$D$5:$D$10004,BU55))</f>
        <v/>
      </c>
      <c r="BJ55">
        <f>IF(ISNA(BU55),NA(),IF($B$22="",NA(),$B$22))</f>
        <v/>
      </c>
      <c r="BK55">
        <f>IF(ISNA(BU55),NA(),IF($B$21="",NA(),$B$21))</f>
        <v/>
      </c>
      <c r="BL55">
        <f>IF(ISNA(BU55),NA(),IF($B$23="",NA(),$B$23))</f>
        <v/>
      </c>
      <c r="BM55">
        <f>IF(ISNA(BU55),NA(),IF(INDEX(_Calc!$F$5:$F$10004,BU55)="",NA(),INDEX(_Calc!$F$5:$F$10004,BU55)))</f>
        <v/>
      </c>
      <c r="BN55">
        <f>IF(ISNA(BU55),NA(),IF($B$24="",NA(),$B$24))</f>
        <v/>
      </c>
      <c r="BO55">
        <f>IF(ISNA(BU55),NA(),IF($B$26="",NA(),$B$26))</f>
        <v/>
      </c>
      <c r="BP55">
        <f>IF(ISNA(BU55),NA(),IF($B$28="",NA(),$B$28))</f>
        <v/>
      </c>
      <c r="BU55">
        <f>IF((BK$1+51)&gt;BI$1,NA(),MATCH((BK$1+51),_Calc!$C$5:$C$10004,0))</f>
        <v/>
      </c>
    </row>
    <row r="56">
      <c r="BH56">
        <f>IF(ISNA(BU56),NA(),(BK$1+52))</f>
        <v/>
      </c>
      <c r="BI56">
        <f>IF(ISNA(BU56),NA(),INDEX(_Calc!$D$5:$D$10004,BU56))</f>
        <v/>
      </c>
      <c r="BJ56">
        <f>IF(ISNA(BU56),NA(),IF($B$22="",NA(),$B$22))</f>
        <v/>
      </c>
      <c r="BK56">
        <f>IF(ISNA(BU56),NA(),IF($B$21="",NA(),$B$21))</f>
        <v/>
      </c>
      <c r="BL56">
        <f>IF(ISNA(BU56),NA(),IF($B$23="",NA(),$B$23))</f>
        <v/>
      </c>
      <c r="BM56">
        <f>IF(ISNA(BU56),NA(),IF(INDEX(_Calc!$F$5:$F$10004,BU56)="",NA(),INDEX(_Calc!$F$5:$F$10004,BU56)))</f>
        <v/>
      </c>
      <c r="BN56">
        <f>IF(ISNA(BU56),NA(),IF($B$24="",NA(),$B$24))</f>
        <v/>
      </c>
      <c r="BO56">
        <f>IF(ISNA(BU56),NA(),IF($B$26="",NA(),$B$26))</f>
        <v/>
      </c>
      <c r="BP56">
        <f>IF(ISNA(BU56),NA(),IF($B$28="",NA(),$B$28))</f>
        <v/>
      </c>
      <c r="BU56">
        <f>IF((BK$1+52)&gt;BI$1,NA(),MATCH((BK$1+52),_Calc!$C$5:$C$10004,0))</f>
        <v/>
      </c>
    </row>
    <row r="57">
      <c r="BH57">
        <f>IF(ISNA(BU57),NA(),(BK$1+53))</f>
        <v/>
      </c>
      <c r="BI57">
        <f>IF(ISNA(BU57),NA(),INDEX(_Calc!$D$5:$D$10004,BU57))</f>
        <v/>
      </c>
      <c r="BJ57">
        <f>IF(ISNA(BU57),NA(),IF($B$22="",NA(),$B$22))</f>
        <v/>
      </c>
      <c r="BK57">
        <f>IF(ISNA(BU57),NA(),IF($B$21="",NA(),$B$21))</f>
        <v/>
      </c>
      <c r="BL57">
        <f>IF(ISNA(BU57),NA(),IF($B$23="",NA(),$B$23))</f>
        <v/>
      </c>
      <c r="BM57">
        <f>IF(ISNA(BU57),NA(),IF(INDEX(_Calc!$F$5:$F$10004,BU57)="",NA(),INDEX(_Calc!$F$5:$F$10004,BU57)))</f>
        <v/>
      </c>
      <c r="BN57">
        <f>IF(ISNA(BU57),NA(),IF($B$24="",NA(),$B$24))</f>
        <v/>
      </c>
      <c r="BO57">
        <f>IF(ISNA(BU57),NA(),IF($B$26="",NA(),$B$26))</f>
        <v/>
      </c>
      <c r="BP57">
        <f>IF(ISNA(BU57),NA(),IF($B$28="",NA(),$B$28))</f>
        <v/>
      </c>
      <c r="BU57">
        <f>IF((BK$1+53)&gt;BI$1,NA(),MATCH((BK$1+53),_Calc!$C$5:$C$10004,0))</f>
        <v/>
      </c>
    </row>
    <row r="58">
      <c r="BH58">
        <f>IF(ISNA(BU58),NA(),(BK$1+54))</f>
        <v/>
      </c>
      <c r="BI58">
        <f>IF(ISNA(BU58),NA(),INDEX(_Calc!$D$5:$D$10004,BU58))</f>
        <v/>
      </c>
      <c r="BJ58">
        <f>IF(ISNA(BU58),NA(),IF($B$22="",NA(),$B$22))</f>
        <v/>
      </c>
      <c r="BK58">
        <f>IF(ISNA(BU58),NA(),IF($B$21="",NA(),$B$21))</f>
        <v/>
      </c>
      <c r="BL58">
        <f>IF(ISNA(BU58),NA(),IF($B$23="",NA(),$B$23))</f>
        <v/>
      </c>
      <c r="BM58">
        <f>IF(ISNA(BU58),NA(),IF(INDEX(_Calc!$F$5:$F$10004,BU58)="",NA(),INDEX(_Calc!$F$5:$F$10004,BU58)))</f>
        <v/>
      </c>
      <c r="BN58">
        <f>IF(ISNA(BU58),NA(),IF($B$24="",NA(),$B$24))</f>
        <v/>
      </c>
      <c r="BO58">
        <f>IF(ISNA(BU58),NA(),IF($B$26="",NA(),$B$26))</f>
        <v/>
      </c>
      <c r="BP58">
        <f>IF(ISNA(BU58),NA(),IF($B$28="",NA(),$B$28))</f>
        <v/>
      </c>
      <c r="BU58">
        <f>IF((BK$1+54)&gt;BI$1,NA(),MATCH((BK$1+54),_Calc!$C$5:$C$10004,0))</f>
        <v/>
      </c>
    </row>
    <row r="59">
      <c r="BH59">
        <f>IF(ISNA(BU59),NA(),(BK$1+55))</f>
        <v/>
      </c>
      <c r="BI59">
        <f>IF(ISNA(BU59),NA(),INDEX(_Calc!$D$5:$D$10004,BU59))</f>
        <v/>
      </c>
      <c r="BJ59">
        <f>IF(ISNA(BU59),NA(),IF($B$22="",NA(),$B$22))</f>
        <v/>
      </c>
      <c r="BK59">
        <f>IF(ISNA(BU59),NA(),IF($B$21="",NA(),$B$21))</f>
        <v/>
      </c>
      <c r="BL59">
        <f>IF(ISNA(BU59),NA(),IF($B$23="",NA(),$B$23))</f>
        <v/>
      </c>
      <c r="BM59">
        <f>IF(ISNA(BU59),NA(),IF(INDEX(_Calc!$F$5:$F$10004,BU59)="",NA(),INDEX(_Calc!$F$5:$F$10004,BU59)))</f>
        <v/>
      </c>
      <c r="BN59">
        <f>IF(ISNA(BU59),NA(),IF($B$24="",NA(),$B$24))</f>
        <v/>
      </c>
      <c r="BO59">
        <f>IF(ISNA(BU59),NA(),IF($B$26="",NA(),$B$26))</f>
        <v/>
      </c>
      <c r="BP59">
        <f>IF(ISNA(BU59),NA(),IF($B$28="",NA(),$B$28))</f>
        <v/>
      </c>
      <c r="BU59">
        <f>IF((BK$1+55)&gt;BI$1,NA(),MATCH((BK$1+55),_Calc!$C$5:$C$10004,0))</f>
        <v/>
      </c>
    </row>
    <row r="60">
      <c r="BH60">
        <f>IF(ISNA(BU60),NA(),(BK$1+56))</f>
        <v/>
      </c>
      <c r="BI60">
        <f>IF(ISNA(BU60),NA(),INDEX(_Calc!$D$5:$D$10004,BU60))</f>
        <v/>
      </c>
      <c r="BJ60">
        <f>IF(ISNA(BU60),NA(),IF($B$22="",NA(),$B$22))</f>
        <v/>
      </c>
      <c r="BK60">
        <f>IF(ISNA(BU60),NA(),IF($B$21="",NA(),$B$21))</f>
        <v/>
      </c>
      <c r="BL60">
        <f>IF(ISNA(BU60),NA(),IF($B$23="",NA(),$B$23))</f>
        <v/>
      </c>
      <c r="BM60">
        <f>IF(ISNA(BU60),NA(),IF(INDEX(_Calc!$F$5:$F$10004,BU60)="",NA(),INDEX(_Calc!$F$5:$F$10004,BU60)))</f>
        <v/>
      </c>
      <c r="BN60">
        <f>IF(ISNA(BU60),NA(),IF($B$24="",NA(),$B$24))</f>
        <v/>
      </c>
      <c r="BO60">
        <f>IF(ISNA(BU60),NA(),IF($B$26="",NA(),$B$26))</f>
        <v/>
      </c>
      <c r="BP60">
        <f>IF(ISNA(BU60),NA(),IF($B$28="",NA(),$B$28))</f>
        <v/>
      </c>
      <c r="BU60">
        <f>IF((BK$1+56)&gt;BI$1,NA(),MATCH((BK$1+56),_Calc!$C$5:$C$10004,0))</f>
        <v/>
      </c>
    </row>
    <row r="61">
      <c r="BH61">
        <f>IF(ISNA(BU61),NA(),(BK$1+57))</f>
        <v/>
      </c>
      <c r="BI61">
        <f>IF(ISNA(BU61),NA(),INDEX(_Calc!$D$5:$D$10004,BU61))</f>
        <v/>
      </c>
      <c r="BJ61">
        <f>IF(ISNA(BU61),NA(),IF($B$22="",NA(),$B$22))</f>
        <v/>
      </c>
      <c r="BK61">
        <f>IF(ISNA(BU61),NA(),IF($B$21="",NA(),$B$21))</f>
        <v/>
      </c>
      <c r="BL61">
        <f>IF(ISNA(BU61),NA(),IF($B$23="",NA(),$B$23))</f>
        <v/>
      </c>
      <c r="BM61">
        <f>IF(ISNA(BU61),NA(),IF(INDEX(_Calc!$F$5:$F$10004,BU61)="",NA(),INDEX(_Calc!$F$5:$F$10004,BU61)))</f>
        <v/>
      </c>
      <c r="BN61">
        <f>IF(ISNA(BU61),NA(),IF($B$24="",NA(),$B$24))</f>
        <v/>
      </c>
      <c r="BO61">
        <f>IF(ISNA(BU61),NA(),IF($B$26="",NA(),$B$26))</f>
        <v/>
      </c>
      <c r="BP61">
        <f>IF(ISNA(BU61),NA(),IF($B$28="",NA(),$B$28))</f>
        <v/>
      </c>
      <c r="BU61">
        <f>IF((BK$1+57)&gt;BI$1,NA(),MATCH((BK$1+57),_Calc!$C$5:$C$10004,0))</f>
        <v/>
      </c>
    </row>
    <row r="62">
      <c r="BH62">
        <f>IF(ISNA(BU62),NA(),(BK$1+58))</f>
        <v/>
      </c>
      <c r="BI62">
        <f>IF(ISNA(BU62),NA(),INDEX(_Calc!$D$5:$D$10004,BU62))</f>
        <v/>
      </c>
      <c r="BJ62">
        <f>IF(ISNA(BU62),NA(),IF($B$22="",NA(),$B$22))</f>
        <v/>
      </c>
      <c r="BK62">
        <f>IF(ISNA(BU62),NA(),IF($B$21="",NA(),$B$21))</f>
        <v/>
      </c>
      <c r="BL62">
        <f>IF(ISNA(BU62),NA(),IF($B$23="",NA(),$B$23))</f>
        <v/>
      </c>
      <c r="BM62">
        <f>IF(ISNA(BU62),NA(),IF(INDEX(_Calc!$F$5:$F$10004,BU62)="",NA(),INDEX(_Calc!$F$5:$F$10004,BU62)))</f>
        <v/>
      </c>
      <c r="BN62">
        <f>IF(ISNA(BU62),NA(),IF($B$24="",NA(),$B$24))</f>
        <v/>
      </c>
      <c r="BO62">
        <f>IF(ISNA(BU62),NA(),IF($B$26="",NA(),$B$26))</f>
        <v/>
      </c>
      <c r="BP62">
        <f>IF(ISNA(BU62),NA(),IF($B$28="",NA(),$B$28))</f>
        <v/>
      </c>
      <c r="BU62">
        <f>IF((BK$1+58)&gt;BI$1,NA(),MATCH((BK$1+58),_Calc!$C$5:$C$10004,0))</f>
        <v/>
      </c>
    </row>
    <row r="63">
      <c r="BH63">
        <f>IF(ISNA(BU63),NA(),(BK$1+59))</f>
        <v/>
      </c>
      <c r="BI63">
        <f>IF(ISNA(BU63),NA(),INDEX(_Calc!$D$5:$D$10004,BU63))</f>
        <v/>
      </c>
      <c r="BJ63">
        <f>IF(ISNA(BU63),NA(),IF($B$22="",NA(),$B$22))</f>
        <v/>
      </c>
      <c r="BK63">
        <f>IF(ISNA(BU63),NA(),IF($B$21="",NA(),$B$21))</f>
        <v/>
      </c>
      <c r="BL63">
        <f>IF(ISNA(BU63),NA(),IF($B$23="",NA(),$B$23))</f>
        <v/>
      </c>
      <c r="BM63">
        <f>IF(ISNA(BU63),NA(),IF(INDEX(_Calc!$F$5:$F$10004,BU63)="",NA(),INDEX(_Calc!$F$5:$F$10004,BU63)))</f>
        <v/>
      </c>
      <c r="BN63">
        <f>IF(ISNA(BU63),NA(),IF($B$24="",NA(),$B$24))</f>
        <v/>
      </c>
      <c r="BO63">
        <f>IF(ISNA(BU63),NA(),IF($B$26="",NA(),$B$26))</f>
        <v/>
      </c>
      <c r="BP63">
        <f>IF(ISNA(BU63),NA(),IF($B$28="",NA(),$B$28))</f>
        <v/>
      </c>
      <c r="BU63">
        <f>IF((BK$1+59)&gt;BI$1,NA(),MATCH((BK$1+59),_Calc!$C$5:$C$10004,0))</f>
        <v/>
      </c>
    </row>
    <row r="64">
      <c r="BH64">
        <f>IF(ISNA(BU64),NA(),(BK$1+60))</f>
        <v/>
      </c>
      <c r="BI64">
        <f>IF(ISNA(BU64),NA(),INDEX(_Calc!$D$5:$D$10004,BU64))</f>
        <v/>
      </c>
      <c r="BJ64">
        <f>IF(ISNA(BU64),NA(),IF($B$22="",NA(),$B$22))</f>
        <v/>
      </c>
      <c r="BK64">
        <f>IF(ISNA(BU64),NA(),IF($B$21="",NA(),$B$21))</f>
        <v/>
      </c>
      <c r="BL64">
        <f>IF(ISNA(BU64),NA(),IF($B$23="",NA(),$B$23))</f>
        <v/>
      </c>
      <c r="BM64">
        <f>IF(ISNA(BU64),NA(),IF(INDEX(_Calc!$F$5:$F$10004,BU64)="",NA(),INDEX(_Calc!$F$5:$F$10004,BU64)))</f>
        <v/>
      </c>
      <c r="BN64">
        <f>IF(ISNA(BU64),NA(),IF($B$24="",NA(),$B$24))</f>
        <v/>
      </c>
      <c r="BO64">
        <f>IF(ISNA(BU64),NA(),IF($B$26="",NA(),$B$26))</f>
        <v/>
      </c>
      <c r="BP64">
        <f>IF(ISNA(BU64),NA(),IF($B$28="",NA(),$B$28))</f>
        <v/>
      </c>
      <c r="BU64">
        <f>IF((BK$1+60)&gt;BI$1,NA(),MATCH((BK$1+60),_Calc!$C$5:$C$10004,0))</f>
        <v/>
      </c>
    </row>
    <row r="65">
      <c r="BH65">
        <f>IF(ISNA(BU65),NA(),(BK$1+61))</f>
        <v/>
      </c>
      <c r="BI65">
        <f>IF(ISNA(BU65),NA(),INDEX(_Calc!$D$5:$D$10004,BU65))</f>
        <v/>
      </c>
      <c r="BJ65">
        <f>IF(ISNA(BU65),NA(),IF($B$22="",NA(),$B$22))</f>
        <v/>
      </c>
      <c r="BK65">
        <f>IF(ISNA(BU65),NA(),IF($B$21="",NA(),$B$21))</f>
        <v/>
      </c>
      <c r="BL65">
        <f>IF(ISNA(BU65),NA(),IF($B$23="",NA(),$B$23))</f>
        <v/>
      </c>
      <c r="BM65">
        <f>IF(ISNA(BU65),NA(),IF(INDEX(_Calc!$F$5:$F$10004,BU65)="",NA(),INDEX(_Calc!$F$5:$F$10004,BU65)))</f>
        <v/>
      </c>
      <c r="BN65">
        <f>IF(ISNA(BU65),NA(),IF($B$24="",NA(),$B$24))</f>
        <v/>
      </c>
      <c r="BO65">
        <f>IF(ISNA(BU65),NA(),IF($B$26="",NA(),$B$26))</f>
        <v/>
      </c>
      <c r="BP65">
        <f>IF(ISNA(BU65),NA(),IF($B$28="",NA(),$B$28))</f>
        <v/>
      </c>
      <c r="BU65">
        <f>IF((BK$1+61)&gt;BI$1,NA(),MATCH((BK$1+61),_Calc!$C$5:$C$10004,0))</f>
        <v/>
      </c>
    </row>
    <row r="66">
      <c r="BH66">
        <f>IF(ISNA(BU66),NA(),(BK$1+62))</f>
        <v/>
      </c>
      <c r="BI66">
        <f>IF(ISNA(BU66),NA(),INDEX(_Calc!$D$5:$D$10004,BU66))</f>
        <v/>
      </c>
      <c r="BJ66">
        <f>IF(ISNA(BU66),NA(),IF($B$22="",NA(),$B$22))</f>
        <v/>
      </c>
      <c r="BK66">
        <f>IF(ISNA(BU66),NA(),IF($B$21="",NA(),$B$21))</f>
        <v/>
      </c>
      <c r="BL66">
        <f>IF(ISNA(BU66),NA(),IF($B$23="",NA(),$B$23))</f>
        <v/>
      </c>
      <c r="BM66">
        <f>IF(ISNA(BU66),NA(),IF(INDEX(_Calc!$F$5:$F$10004,BU66)="",NA(),INDEX(_Calc!$F$5:$F$10004,BU66)))</f>
        <v/>
      </c>
      <c r="BN66">
        <f>IF(ISNA(BU66),NA(),IF($B$24="",NA(),$B$24))</f>
        <v/>
      </c>
      <c r="BO66">
        <f>IF(ISNA(BU66),NA(),IF($B$26="",NA(),$B$26))</f>
        <v/>
      </c>
      <c r="BP66">
        <f>IF(ISNA(BU66),NA(),IF($B$28="",NA(),$B$28))</f>
        <v/>
      </c>
      <c r="BU66">
        <f>IF((BK$1+62)&gt;BI$1,NA(),MATCH((BK$1+62),_Calc!$C$5:$C$10004,0))</f>
        <v/>
      </c>
    </row>
    <row r="67">
      <c r="BH67">
        <f>IF(ISNA(BU67),NA(),(BK$1+63))</f>
        <v/>
      </c>
      <c r="BI67">
        <f>IF(ISNA(BU67),NA(),INDEX(_Calc!$D$5:$D$10004,BU67))</f>
        <v/>
      </c>
      <c r="BJ67">
        <f>IF(ISNA(BU67),NA(),IF($B$22="",NA(),$B$22))</f>
        <v/>
      </c>
      <c r="BK67">
        <f>IF(ISNA(BU67),NA(),IF($B$21="",NA(),$B$21))</f>
        <v/>
      </c>
      <c r="BL67">
        <f>IF(ISNA(BU67),NA(),IF($B$23="",NA(),$B$23))</f>
        <v/>
      </c>
      <c r="BM67">
        <f>IF(ISNA(BU67),NA(),IF(INDEX(_Calc!$F$5:$F$10004,BU67)="",NA(),INDEX(_Calc!$F$5:$F$10004,BU67)))</f>
        <v/>
      </c>
      <c r="BN67">
        <f>IF(ISNA(BU67),NA(),IF($B$24="",NA(),$B$24))</f>
        <v/>
      </c>
      <c r="BO67">
        <f>IF(ISNA(BU67),NA(),IF($B$26="",NA(),$B$26))</f>
        <v/>
      </c>
      <c r="BP67">
        <f>IF(ISNA(BU67),NA(),IF($B$28="",NA(),$B$28))</f>
        <v/>
      </c>
      <c r="BU67">
        <f>IF((BK$1+63)&gt;BI$1,NA(),MATCH((BK$1+63),_Calc!$C$5:$C$10004,0))</f>
        <v/>
      </c>
    </row>
    <row r="68">
      <c r="BH68">
        <f>IF(ISNA(BU68),NA(),(BK$1+64))</f>
        <v/>
      </c>
      <c r="BI68">
        <f>IF(ISNA(BU68),NA(),INDEX(_Calc!$D$5:$D$10004,BU68))</f>
        <v/>
      </c>
      <c r="BJ68">
        <f>IF(ISNA(BU68),NA(),IF($B$22="",NA(),$B$22))</f>
        <v/>
      </c>
      <c r="BK68">
        <f>IF(ISNA(BU68),NA(),IF($B$21="",NA(),$B$21))</f>
        <v/>
      </c>
      <c r="BL68">
        <f>IF(ISNA(BU68),NA(),IF($B$23="",NA(),$B$23))</f>
        <v/>
      </c>
      <c r="BM68">
        <f>IF(ISNA(BU68),NA(),IF(INDEX(_Calc!$F$5:$F$10004,BU68)="",NA(),INDEX(_Calc!$F$5:$F$10004,BU68)))</f>
        <v/>
      </c>
      <c r="BN68">
        <f>IF(ISNA(BU68),NA(),IF($B$24="",NA(),$B$24))</f>
        <v/>
      </c>
      <c r="BO68">
        <f>IF(ISNA(BU68),NA(),IF($B$26="",NA(),$B$26))</f>
        <v/>
      </c>
      <c r="BP68">
        <f>IF(ISNA(BU68),NA(),IF($B$28="",NA(),$B$28))</f>
        <v/>
      </c>
      <c r="BU68">
        <f>IF((BK$1+64)&gt;BI$1,NA(),MATCH((BK$1+64),_Calc!$C$5:$C$10004,0))</f>
        <v/>
      </c>
    </row>
    <row r="69">
      <c r="BH69">
        <f>IF(ISNA(BU69),NA(),(BK$1+65))</f>
        <v/>
      </c>
      <c r="BI69">
        <f>IF(ISNA(BU69),NA(),INDEX(_Calc!$D$5:$D$10004,BU69))</f>
        <v/>
      </c>
      <c r="BJ69">
        <f>IF(ISNA(BU69),NA(),IF($B$22="",NA(),$B$22))</f>
        <v/>
      </c>
      <c r="BK69">
        <f>IF(ISNA(BU69),NA(),IF($B$21="",NA(),$B$21))</f>
        <v/>
      </c>
      <c r="BL69">
        <f>IF(ISNA(BU69),NA(),IF($B$23="",NA(),$B$23))</f>
        <v/>
      </c>
      <c r="BM69">
        <f>IF(ISNA(BU69),NA(),IF(INDEX(_Calc!$F$5:$F$10004,BU69)="",NA(),INDEX(_Calc!$F$5:$F$10004,BU69)))</f>
        <v/>
      </c>
      <c r="BN69">
        <f>IF(ISNA(BU69),NA(),IF($B$24="",NA(),$B$24))</f>
        <v/>
      </c>
      <c r="BO69">
        <f>IF(ISNA(BU69),NA(),IF($B$26="",NA(),$B$26))</f>
        <v/>
      </c>
      <c r="BP69">
        <f>IF(ISNA(BU69),NA(),IF($B$28="",NA(),$B$28))</f>
        <v/>
      </c>
      <c r="BU69">
        <f>IF((BK$1+65)&gt;BI$1,NA(),MATCH((BK$1+65),_Calc!$C$5:$C$10004,0))</f>
        <v/>
      </c>
    </row>
    <row r="70">
      <c r="BH70">
        <f>IF(ISNA(BU70),NA(),(BK$1+66))</f>
        <v/>
      </c>
      <c r="BI70">
        <f>IF(ISNA(BU70),NA(),INDEX(_Calc!$D$5:$D$10004,BU70))</f>
        <v/>
      </c>
      <c r="BJ70">
        <f>IF(ISNA(BU70),NA(),IF($B$22="",NA(),$B$22))</f>
        <v/>
      </c>
      <c r="BK70">
        <f>IF(ISNA(BU70),NA(),IF($B$21="",NA(),$B$21))</f>
        <v/>
      </c>
      <c r="BL70">
        <f>IF(ISNA(BU70),NA(),IF($B$23="",NA(),$B$23))</f>
        <v/>
      </c>
      <c r="BM70">
        <f>IF(ISNA(BU70),NA(),IF(INDEX(_Calc!$F$5:$F$10004,BU70)="",NA(),INDEX(_Calc!$F$5:$F$10004,BU70)))</f>
        <v/>
      </c>
      <c r="BN70">
        <f>IF(ISNA(BU70),NA(),IF($B$24="",NA(),$B$24))</f>
        <v/>
      </c>
      <c r="BO70">
        <f>IF(ISNA(BU70),NA(),IF($B$26="",NA(),$B$26))</f>
        <v/>
      </c>
      <c r="BP70">
        <f>IF(ISNA(BU70),NA(),IF($B$28="",NA(),$B$28))</f>
        <v/>
      </c>
      <c r="BU70">
        <f>IF((BK$1+66)&gt;BI$1,NA(),MATCH((BK$1+66),_Calc!$C$5:$C$10004,0))</f>
        <v/>
      </c>
    </row>
    <row r="71">
      <c r="BH71">
        <f>IF(ISNA(BU71),NA(),(BK$1+67))</f>
        <v/>
      </c>
      <c r="BI71">
        <f>IF(ISNA(BU71),NA(),INDEX(_Calc!$D$5:$D$10004,BU71))</f>
        <v/>
      </c>
      <c r="BJ71">
        <f>IF(ISNA(BU71),NA(),IF($B$22="",NA(),$B$22))</f>
        <v/>
      </c>
      <c r="BK71">
        <f>IF(ISNA(BU71),NA(),IF($B$21="",NA(),$B$21))</f>
        <v/>
      </c>
      <c r="BL71">
        <f>IF(ISNA(BU71),NA(),IF($B$23="",NA(),$B$23))</f>
        <v/>
      </c>
      <c r="BM71">
        <f>IF(ISNA(BU71),NA(),IF(INDEX(_Calc!$F$5:$F$10004,BU71)="",NA(),INDEX(_Calc!$F$5:$F$10004,BU71)))</f>
        <v/>
      </c>
      <c r="BN71">
        <f>IF(ISNA(BU71),NA(),IF($B$24="",NA(),$B$24))</f>
        <v/>
      </c>
      <c r="BO71">
        <f>IF(ISNA(BU71),NA(),IF($B$26="",NA(),$B$26))</f>
        <v/>
      </c>
      <c r="BP71">
        <f>IF(ISNA(BU71),NA(),IF($B$28="",NA(),$B$28))</f>
        <v/>
      </c>
      <c r="BU71">
        <f>IF((BK$1+67)&gt;BI$1,NA(),MATCH((BK$1+67),_Calc!$C$5:$C$10004,0))</f>
        <v/>
      </c>
    </row>
    <row r="72">
      <c r="BH72">
        <f>IF(ISNA(BU72),NA(),(BK$1+68))</f>
        <v/>
      </c>
      <c r="BI72">
        <f>IF(ISNA(BU72),NA(),INDEX(_Calc!$D$5:$D$10004,BU72))</f>
        <v/>
      </c>
      <c r="BJ72">
        <f>IF(ISNA(BU72),NA(),IF($B$22="",NA(),$B$22))</f>
        <v/>
      </c>
      <c r="BK72">
        <f>IF(ISNA(BU72),NA(),IF($B$21="",NA(),$B$21))</f>
        <v/>
      </c>
      <c r="BL72">
        <f>IF(ISNA(BU72),NA(),IF($B$23="",NA(),$B$23))</f>
        <v/>
      </c>
      <c r="BM72">
        <f>IF(ISNA(BU72),NA(),IF(INDEX(_Calc!$F$5:$F$10004,BU72)="",NA(),INDEX(_Calc!$F$5:$F$10004,BU72)))</f>
        <v/>
      </c>
      <c r="BN72">
        <f>IF(ISNA(BU72),NA(),IF($B$24="",NA(),$B$24))</f>
        <v/>
      </c>
      <c r="BO72">
        <f>IF(ISNA(BU72),NA(),IF($B$26="",NA(),$B$26))</f>
        <v/>
      </c>
      <c r="BP72">
        <f>IF(ISNA(BU72),NA(),IF($B$28="",NA(),$B$28))</f>
        <v/>
      </c>
      <c r="BU72">
        <f>IF((BK$1+68)&gt;BI$1,NA(),MATCH((BK$1+68),_Calc!$C$5:$C$10004,0))</f>
        <v/>
      </c>
    </row>
    <row r="73">
      <c r="BH73">
        <f>IF(ISNA(BU73),NA(),(BK$1+69))</f>
        <v/>
      </c>
      <c r="BI73">
        <f>IF(ISNA(BU73),NA(),INDEX(_Calc!$D$5:$D$10004,BU73))</f>
        <v/>
      </c>
      <c r="BJ73">
        <f>IF(ISNA(BU73),NA(),IF($B$22="",NA(),$B$22))</f>
        <v/>
      </c>
      <c r="BK73">
        <f>IF(ISNA(BU73),NA(),IF($B$21="",NA(),$B$21))</f>
        <v/>
      </c>
      <c r="BL73">
        <f>IF(ISNA(BU73),NA(),IF($B$23="",NA(),$B$23))</f>
        <v/>
      </c>
      <c r="BM73">
        <f>IF(ISNA(BU73),NA(),IF(INDEX(_Calc!$F$5:$F$10004,BU73)="",NA(),INDEX(_Calc!$F$5:$F$10004,BU73)))</f>
        <v/>
      </c>
      <c r="BN73">
        <f>IF(ISNA(BU73),NA(),IF($B$24="",NA(),$B$24))</f>
        <v/>
      </c>
      <c r="BO73">
        <f>IF(ISNA(BU73),NA(),IF($B$26="",NA(),$B$26))</f>
        <v/>
      </c>
      <c r="BP73">
        <f>IF(ISNA(BU73),NA(),IF($B$28="",NA(),$B$28))</f>
        <v/>
      </c>
      <c r="BU73">
        <f>IF((BK$1+69)&gt;BI$1,NA(),MATCH((BK$1+69),_Calc!$C$5:$C$10004,0))</f>
        <v/>
      </c>
    </row>
    <row r="74">
      <c r="BH74">
        <f>IF(ISNA(BU74),NA(),(BK$1+70))</f>
        <v/>
      </c>
      <c r="BI74">
        <f>IF(ISNA(BU74),NA(),INDEX(_Calc!$D$5:$D$10004,BU74))</f>
        <v/>
      </c>
      <c r="BJ74">
        <f>IF(ISNA(BU74),NA(),IF($B$22="",NA(),$B$22))</f>
        <v/>
      </c>
      <c r="BK74">
        <f>IF(ISNA(BU74),NA(),IF($B$21="",NA(),$B$21))</f>
        <v/>
      </c>
      <c r="BL74">
        <f>IF(ISNA(BU74),NA(),IF($B$23="",NA(),$B$23))</f>
        <v/>
      </c>
      <c r="BM74">
        <f>IF(ISNA(BU74),NA(),IF(INDEX(_Calc!$F$5:$F$10004,BU74)="",NA(),INDEX(_Calc!$F$5:$F$10004,BU74)))</f>
        <v/>
      </c>
      <c r="BN74">
        <f>IF(ISNA(BU74),NA(),IF($B$24="",NA(),$B$24))</f>
        <v/>
      </c>
      <c r="BO74">
        <f>IF(ISNA(BU74),NA(),IF($B$26="",NA(),$B$26))</f>
        <v/>
      </c>
      <c r="BP74">
        <f>IF(ISNA(BU74),NA(),IF($B$28="",NA(),$B$28))</f>
        <v/>
      </c>
      <c r="BU74">
        <f>IF((BK$1+70)&gt;BI$1,NA(),MATCH((BK$1+70),_Calc!$C$5:$C$10004,0))</f>
        <v/>
      </c>
    </row>
    <row r="75">
      <c r="BH75">
        <f>IF(ISNA(BU75),NA(),(BK$1+71))</f>
        <v/>
      </c>
      <c r="BI75">
        <f>IF(ISNA(BU75),NA(),INDEX(_Calc!$D$5:$D$10004,BU75))</f>
        <v/>
      </c>
      <c r="BJ75">
        <f>IF(ISNA(BU75),NA(),IF($B$22="",NA(),$B$22))</f>
        <v/>
      </c>
      <c r="BK75">
        <f>IF(ISNA(BU75),NA(),IF($B$21="",NA(),$B$21))</f>
        <v/>
      </c>
      <c r="BL75">
        <f>IF(ISNA(BU75),NA(),IF($B$23="",NA(),$B$23))</f>
        <v/>
      </c>
      <c r="BM75">
        <f>IF(ISNA(BU75),NA(),IF(INDEX(_Calc!$F$5:$F$10004,BU75)="",NA(),INDEX(_Calc!$F$5:$F$10004,BU75)))</f>
        <v/>
      </c>
      <c r="BN75">
        <f>IF(ISNA(BU75),NA(),IF($B$24="",NA(),$B$24))</f>
        <v/>
      </c>
      <c r="BO75">
        <f>IF(ISNA(BU75),NA(),IF($B$26="",NA(),$B$26))</f>
        <v/>
      </c>
      <c r="BP75">
        <f>IF(ISNA(BU75),NA(),IF($B$28="",NA(),$B$28))</f>
        <v/>
      </c>
      <c r="BU75">
        <f>IF((BK$1+71)&gt;BI$1,NA(),MATCH((BK$1+71),_Calc!$C$5:$C$10004,0))</f>
        <v/>
      </c>
    </row>
    <row r="76">
      <c r="BH76">
        <f>IF(ISNA(BU76),NA(),(BK$1+72))</f>
        <v/>
      </c>
      <c r="BI76">
        <f>IF(ISNA(BU76),NA(),INDEX(_Calc!$D$5:$D$10004,BU76))</f>
        <v/>
      </c>
      <c r="BJ76">
        <f>IF(ISNA(BU76),NA(),IF($B$22="",NA(),$B$22))</f>
        <v/>
      </c>
      <c r="BK76">
        <f>IF(ISNA(BU76),NA(),IF($B$21="",NA(),$B$21))</f>
        <v/>
      </c>
      <c r="BL76">
        <f>IF(ISNA(BU76),NA(),IF($B$23="",NA(),$B$23))</f>
        <v/>
      </c>
      <c r="BM76">
        <f>IF(ISNA(BU76),NA(),IF(INDEX(_Calc!$F$5:$F$10004,BU76)="",NA(),INDEX(_Calc!$F$5:$F$10004,BU76)))</f>
        <v/>
      </c>
      <c r="BN76">
        <f>IF(ISNA(BU76),NA(),IF($B$24="",NA(),$B$24))</f>
        <v/>
      </c>
      <c r="BO76">
        <f>IF(ISNA(BU76),NA(),IF($B$26="",NA(),$B$26))</f>
        <v/>
      </c>
      <c r="BP76">
        <f>IF(ISNA(BU76),NA(),IF($B$28="",NA(),$B$28))</f>
        <v/>
      </c>
      <c r="BU76">
        <f>IF((BK$1+72)&gt;BI$1,NA(),MATCH((BK$1+72),_Calc!$C$5:$C$10004,0))</f>
        <v/>
      </c>
    </row>
    <row r="77">
      <c r="BH77">
        <f>IF(ISNA(BU77),NA(),(BK$1+73))</f>
        <v/>
      </c>
      <c r="BI77">
        <f>IF(ISNA(BU77),NA(),INDEX(_Calc!$D$5:$D$10004,BU77))</f>
        <v/>
      </c>
      <c r="BJ77">
        <f>IF(ISNA(BU77),NA(),IF($B$22="",NA(),$B$22))</f>
        <v/>
      </c>
      <c r="BK77">
        <f>IF(ISNA(BU77),NA(),IF($B$21="",NA(),$B$21))</f>
        <v/>
      </c>
      <c r="BL77">
        <f>IF(ISNA(BU77),NA(),IF($B$23="",NA(),$B$23))</f>
        <v/>
      </c>
      <c r="BM77">
        <f>IF(ISNA(BU77),NA(),IF(INDEX(_Calc!$F$5:$F$10004,BU77)="",NA(),INDEX(_Calc!$F$5:$F$10004,BU77)))</f>
        <v/>
      </c>
      <c r="BN77">
        <f>IF(ISNA(BU77),NA(),IF($B$24="",NA(),$B$24))</f>
        <v/>
      </c>
      <c r="BO77">
        <f>IF(ISNA(BU77),NA(),IF($B$26="",NA(),$B$26))</f>
        <v/>
      </c>
      <c r="BP77">
        <f>IF(ISNA(BU77),NA(),IF($B$28="",NA(),$B$28))</f>
        <v/>
      </c>
      <c r="BU77">
        <f>IF((BK$1+73)&gt;BI$1,NA(),MATCH((BK$1+73),_Calc!$C$5:$C$10004,0))</f>
        <v/>
      </c>
    </row>
    <row r="78">
      <c r="BH78">
        <f>IF(ISNA(BU78),NA(),(BK$1+74))</f>
        <v/>
      </c>
      <c r="BI78">
        <f>IF(ISNA(BU78),NA(),INDEX(_Calc!$D$5:$D$10004,BU78))</f>
        <v/>
      </c>
      <c r="BJ78">
        <f>IF(ISNA(BU78),NA(),IF($B$22="",NA(),$B$22))</f>
        <v/>
      </c>
      <c r="BK78">
        <f>IF(ISNA(BU78),NA(),IF($B$21="",NA(),$B$21))</f>
        <v/>
      </c>
      <c r="BL78">
        <f>IF(ISNA(BU78),NA(),IF($B$23="",NA(),$B$23))</f>
        <v/>
      </c>
      <c r="BM78">
        <f>IF(ISNA(BU78),NA(),IF(INDEX(_Calc!$F$5:$F$10004,BU78)="",NA(),INDEX(_Calc!$F$5:$F$10004,BU78)))</f>
        <v/>
      </c>
      <c r="BN78">
        <f>IF(ISNA(BU78),NA(),IF($B$24="",NA(),$B$24))</f>
        <v/>
      </c>
      <c r="BO78">
        <f>IF(ISNA(BU78),NA(),IF($B$26="",NA(),$B$26))</f>
        <v/>
      </c>
      <c r="BP78">
        <f>IF(ISNA(BU78),NA(),IF($B$28="",NA(),$B$28))</f>
        <v/>
      </c>
      <c r="BU78">
        <f>IF((BK$1+74)&gt;BI$1,NA(),MATCH((BK$1+74),_Calc!$C$5:$C$10004,0))</f>
        <v/>
      </c>
    </row>
    <row r="79">
      <c r="BH79">
        <f>IF(ISNA(BU79),NA(),(BK$1+75))</f>
        <v/>
      </c>
      <c r="BI79">
        <f>IF(ISNA(BU79),NA(),INDEX(_Calc!$D$5:$D$10004,BU79))</f>
        <v/>
      </c>
      <c r="BJ79">
        <f>IF(ISNA(BU79),NA(),IF($B$22="",NA(),$B$22))</f>
        <v/>
      </c>
      <c r="BK79">
        <f>IF(ISNA(BU79),NA(),IF($B$21="",NA(),$B$21))</f>
        <v/>
      </c>
      <c r="BL79">
        <f>IF(ISNA(BU79),NA(),IF($B$23="",NA(),$B$23))</f>
        <v/>
      </c>
      <c r="BM79">
        <f>IF(ISNA(BU79),NA(),IF(INDEX(_Calc!$F$5:$F$10004,BU79)="",NA(),INDEX(_Calc!$F$5:$F$10004,BU79)))</f>
        <v/>
      </c>
      <c r="BN79">
        <f>IF(ISNA(BU79),NA(),IF($B$24="",NA(),$B$24))</f>
        <v/>
      </c>
      <c r="BO79">
        <f>IF(ISNA(BU79),NA(),IF($B$26="",NA(),$B$26))</f>
        <v/>
      </c>
      <c r="BP79">
        <f>IF(ISNA(BU79),NA(),IF($B$28="",NA(),$B$28))</f>
        <v/>
      </c>
      <c r="BU79">
        <f>IF((BK$1+75)&gt;BI$1,NA(),MATCH((BK$1+75),_Calc!$C$5:$C$10004,0))</f>
        <v/>
      </c>
    </row>
    <row r="80">
      <c r="BH80">
        <f>IF(ISNA(BU80),NA(),(BK$1+76))</f>
        <v/>
      </c>
      <c r="BI80">
        <f>IF(ISNA(BU80),NA(),INDEX(_Calc!$D$5:$D$10004,BU80))</f>
        <v/>
      </c>
      <c r="BJ80">
        <f>IF(ISNA(BU80),NA(),IF($B$22="",NA(),$B$22))</f>
        <v/>
      </c>
      <c r="BK80">
        <f>IF(ISNA(BU80),NA(),IF($B$21="",NA(),$B$21))</f>
        <v/>
      </c>
      <c r="BL80">
        <f>IF(ISNA(BU80),NA(),IF($B$23="",NA(),$B$23))</f>
        <v/>
      </c>
      <c r="BM80">
        <f>IF(ISNA(BU80),NA(),IF(INDEX(_Calc!$F$5:$F$10004,BU80)="",NA(),INDEX(_Calc!$F$5:$F$10004,BU80)))</f>
        <v/>
      </c>
      <c r="BN80">
        <f>IF(ISNA(BU80),NA(),IF($B$24="",NA(),$B$24))</f>
        <v/>
      </c>
      <c r="BO80">
        <f>IF(ISNA(BU80),NA(),IF($B$26="",NA(),$B$26))</f>
        <v/>
      </c>
      <c r="BP80">
        <f>IF(ISNA(BU80),NA(),IF($B$28="",NA(),$B$28))</f>
        <v/>
      </c>
      <c r="BU80">
        <f>IF((BK$1+76)&gt;BI$1,NA(),MATCH((BK$1+76),_Calc!$C$5:$C$10004,0))</f>
        <v/>
      </c>
    </row>
    <row r="81">
      <c r="BH81">
        <f>IF(ISNA(BU81),NA(),(BK$1+77))</f>
        <v/>
      </c>
      <c r="BI81">
        <f>IF(ISNA(BU81),NA(),INDEX(_Calc!$D$5:$D$10004,BU81))</f>
        <v/>
      </c>
      <c r="BJ81">
        <f>IF(ISNA(BU81),NA(),IF($B$22="",NA(),$B$22))</f>
        <v/>
      </c>
      <c r="BK81">
        <f>IF(ISNA(BU81),NA(),IF($B$21="",NA(),$B$21))</f>
        <v/>
      </c>
      <c r="BL81">
        <f>IF(ISNA(BU81),NA(),IF($B$23="",NA(),$B$23))</f>
        <v/>
      </c>
      <c r="BM81">
        <f>IF(ISNA(BU81),NA(),IF(INDEX(_Calc!$F$5:$F$10004,BU81)="",NA(),INDEX(_Calc!$F$5:$F$10004,BU81)))</f>
        <v/>
      </c>
      <c r="BN81">
        <f>IF(ISNA(BU81),NA(),IF($B$24="",NA(),$B$24))</f>
        <v/>
      </c>
      <c r="BO81">
        <f>IF(ISNA(BU81),NA(),IF($B$26="",NA(),$B$26))</f>
        <v/>
      </c>
      <c r="BP81">
        <f>IF(ISNA(BU81),NA(),IF($B$28="",NA(),$B$28))</f>
        <v/>
      </c>
      <c r="BU81">
        <f>IF((BK$1+77)&gt;BI$1,NA(),MATCH((BK$1+77),_Calc!$C$5:$C$10004,0))</f>
        <v/>
      </c>
    </row>
    <row r="82">
      <c r="BH82">
        <f>IF(ISNA(BU82),NA(),(BK$1+78))</f>
        <v/>
      </c>
      <c r="BI82">
        <f>IF(ISNA(BU82),NA(),INDEX(_Calc!$D$5:$D$10004,BU82))</f>
        <v/>
      </c>
      <c r="BJ82">
        <f>IF(ISNA(BU82),NA(),IF($B$22="",NA(),$B$22))</f>
        <v/>
      </c>
      <c r="BK82">
        <f>IF(ISNA(BU82),NA(),IF($B$21="",NA(),$B$21))</f>
        <v/>
      </c>
      <c r="BL82">
        <f>IF(ISNA(BU82),NA(),IF($B$23="",NA(),$B$23))</f>
        <v/>
      </c>
      <c r="BM82">
        <f>IF(ISNA(BU82),NA(),IF(INDEX(_Calc!$F$5:$F$10004,BU82)="",NA(),INDEX(_Calc!$F$5:$F$10004,BU82)))</f>
        <v/>
      </c>
      <c r="BN82">
        <f>IF(ISNA(BU82),NA(),IF($B$24="",NA(),$B$24))</f>
        <v/>
      </c>
      <c r="BO82">
        <f>IF(ISNA(BU82),NA(),IF($B$26="",NA(),$B$26))</f>
        <v/>
      </c>
      <c r="BP82">
        <f>IF(ISNA(BU82),NA(),IF($B$28="",NA(),$B$28))</f>
        <v/>
      </c>
      <c r="BU82">
        <f>IF((BK$1+78)&gt;BI$1,NA(),MATCH((BK$1+78),_Calc!$C$5:$C$10004,0))</f>
        <v/>
      </c>
    </row>
    <row r="83">
      <c r="BH83">
        <f>IF(ISNA(BU83),NA(),(BK$1+79))</f>
        <v/>
      </c>
      <c r="BI83">
        <f>IF(ISNA(BU83),NA(),INDEX(_Calc!$D$5:$D$10004,BU83))</f>
        <v/>
      </c>
      <c r="BJ83">
        <f>IF(ISNA(BU83),NA(),IF($B$22="",NA(),$B$22))</f>
        <v/>
      </c>
      <c r="BK83">
        <f>IF(ISNA(BU83),NA(),IF($B$21="",NA(),$B$21))</f>
        <v/>
      </c>
      <c r="BL83">
        <f>IF(ISNA(BU83),NA(),IF($B$23="",NA(),$B$23))</f>
        <v/>
      </c>
      <c r="BM83">
        <f>IF(ISNA(BU83),NA(),IF(INDEX(_Calc!$F$5:$F$10004,BU83)="",NA(),INDEX(_Calc!$F$5:$F$10004,BU83)))</f>
        <v/>
      </c>
      <c r="BN83">
        <f>IF(ISNA(BU83),NA(),IF($B$24="",NA(),$B$24))</f>
        <v/>
      </c>
      <c r="BO83">
        <f>IF(ISNA(BU83),NA(),IF($B$26="",NA(),$B$26))</f>
        <v/>
      </c>
      <c r="BP83">
        <f>IF(ISNA(BU83),NA(),IF($B$28="",NA(),$B$28))</f>
        <v/>
      </c>
      <c r="BU83">
        <f>IF((BK$1+79)&gt;BI$1,NA(),MATCH((BK$1+79),_Calc!$C$5:$C$10004,0))</f>
        <v/>
      </c>
    </row>
    <row r="84">
      <c r="BH84">
        <f>IF(ISNA(BU84),NA(),(BK$1+80))</f>
        <v/>
      </c>
      <c r="BI84">
        <f>IF(ISNA(BU84),NA(),INDEX(_Calc!$D$5:$D$10004,BU84))</f>
        <v/>
      </c>
      <c r="BJ84">
        <f>IF(ISNA(BU84),NA(),IF($B$22="",NA(),$B$22))</f>
        <v/>
      </c>
      <c r="BK84">
        <f>IF(ISNA(BU84),NA(),IF($B$21="",NA(),$B$21))</f>
        <v/>
      </c>
      <c r="BL84">
        <f>IF(ISNA(BU84),NA(),IF($B$23="",NA(),$B$23))</f>
        <v/>
      </c>
      <c r="BM84">
        <f>IF(ISNA(BU84),NA(),IF(INDEX(_Calc!$F$5:$F$10004,BU84)="",NA(),INDEX(_Calc!$F$5:$F$10004,BU84)))</f>
        <v/>
      </c>
      <c r="BN84">
        <f>IF(ISNA(BU84),NA(),IF($B$24="",NA(),$B$24))</f>
        <v/>
      </c>
      <c r="BO84">
        <f>IF(ISNA(BU84),NA(),IF($B$26="",NA(),$B$26))</f>
        <v/>
      </c>
      <c r="BP84">
        <f>IF(ISNA(BU84),NA(),IF($B$28="",NA(),$B$28))</f>
        <v/>
      </c>
      <c r="BU84">
        <f>IF((BK$1+80)&gt;BI$1,NA(),MATCH((BK$1+80),_Calc!$C$5:$C$10004,0))</f>
        <v/>
      </c>
    </row>
    <row r="85">
      <c r="BH85">
        <f>IF(ISNA(BU85),NA(),(BK$1+81))</f>
        <v/>
      </c>
      <c r="BI85">
        <f>IF(ISNA(BU85),NA(),INDEX(_Calc!$D$5:$D$10004,BU85))</f>
        <v/>
      </c>
      <c r="BJ85">
        <f>IF(ISNA(BU85),NA(),IF($B$22="",NA(),$B$22))</f>
        <v/>
      </c>
      <c r="BK85">
        <f>IF(ISNA(BU85),NA(),IF($B$21="",NA(),$B$21))</f>
        <v/>
      </c>
      <c r="BL85">
        <f>IF(ISNA(BU85),NA(),IF($B$23="",NA(),$B$23))</f>
        <v/>
      </c>
      <c r="BM85">
        <f>IF(ISNA(BU85),NA(),IF(INDEX(_Calc!$F$5:$F$10004,BU85)="",NA(),INDEX(_Calc!$F$5:$F$10004,BU85)))</f>
        <v/>
      </c>
      <c r="BN85">
        <f>IF(ISNA(BU85),NA(),IF($B$24="",NA(),$B$24))</f>
        <v/>
      </c>
      <c r="BO85">
        <f>IF(ISNA(BU85),NA(),IF($B$26="",NA(),$B$26))</f>
        <v/>
      </c>
      <c r="BP85">
        <f>IF(ISNA(BU85),NA(),IF($B$28="",NA(),$B$28))</f>
        <v/>
      </c>
      <c r="BU85">
        <f>IF((BK$1+81)&gt;BI$1,NA(),MATCH((BK$1+81),_Calc!$C$5:$C$10004,0))</f>
        <v/>
      </c>
    </row>
    <row r="86">
      <c r="BH86">
        <f>IF(ISNA(BU86),NA(),(BK$1+82))</f>
        <v/>
      </c>
      <c r="BI86">
        <f>IF(ISNA(BU86),NA(),INDEX(_Calc!$D$5:$D$10004,BU86))</f>
        <v/>
      </c>
      <c r="BJ86">
        <f>IF(ISNA(BU86),NA(),IF($B$22="",NA(),$B$22))</f>
        <v/>
      </c>
      <c r="BK86">
        <f>IF(ISNA(BU86),NA(),IF($B$21="",NA(),$B$21))</f>
        <v/>
      </c>
      <c r="BL86">
        <f>IF(ISNA(BU86),NA(),IF($B$23="",NA(),$B$23))</f>
        <v/>
      </c>
      <c r="BM86">
        <f>IF(ISNA(BU86),NA(),IF(INDEX(_Calc!$F$5:$F$10004,BU86)="",NA(),INDEX(_Calc!$F$5:$F$10004,BU86)))</f>
        <v/>
      </c>
      <c r="BN86">
        <f>IF(ISNA(BU86),NA(),IF($B$24="",NA(),$B$24))</f>
        <v/>
      </c>
      <c r="BO86">
        <f>IF(ISNA(BU86),NA(),IF($B$26="",NA(),$B$26))</f>
        <v/>
      </c>
      <c r="BP86">
        <f>IF(ISNA(BU86),NA(),IF($B$28="",NA(),$B$28))</f>
        <v/>
      </c>
      <c r="BU86">
        <f>IF((BK$1+82)&gt;BI$1,NA(),MATCH((BK$1+82),_Calc!$C$5:$C$10004,0))</f>
        <v/>
      </c>
    </row>
    <row r="87">
      <c r="BH87">
        <f>IF(ISNA(BU87),NA(),(BK$1+83))</f>
        <v/>
      </c>
      <c r="BI87">
        <f>IF(ISNA(BU87),NA(),INDEX(_Calc!$D$5:$D$10004,BU87))</f>
        <v/>
      </c>
      <c r="BJ87">
        <f>IF(ISNA(BU87),NA(),IF($B$22="",NA(),$B$22))</f>
        <v/>
      </c>
      <c r="BK87">
        <f>IF(ISNA(BU87),NA(),IF($B$21="",NA(),$B$21))</f>
        <v/>
      </c>
      <c r="BL87">
        <f>IF(ISNA(BU87),NA(),IF($B$23="",NA(),$B$23))</f>
        <v/>
      </c>
      <c r="BM87">
        <f>IF(ISNA(BU87),NA(),IF(INDEX(_Calc!$F$5:$F$10004,BU87)="",NA(),INDEX(_Calc!$F$5:$F$10004,BU87)))</f>
        <v/>
      </c>
      <c r="BN87">
        <f>IF(ISNA(BU87),NA(),IF($B$24="",NA(),$B$24))</f>
        <v/>
      </c>
      <c r="BO87">
        <f>IF(ISNA(BU87),NA(),IF($B$26="",NA(),$B$26))</f>
        <v/>
      </c>
      <c r="BP87">
        <f>IF(ISNA(BU87),NA(),IF($B$28="",NA(),$B$28))</f>
        <v/>
      </c>
      <c r="BU87">
        <f>IF((BK$1+83)&gt;BI$1,NA(),MATCH((BK$1+83),_Calc!$C$5:$C$10004,0))</f>
        <v/>
      </c>
    </row>
    <row r="88">
      <c r="BH88">
        <f>IF(ISNA(BU88),NA(),(BK$1+84))</f>
        <v/>
      </c>
      <c r="BI88">
        <f>IF(ISNA(BU88),NA(),INDEX(_Calc!$D$5:$D$10004,BU88))</f>
        <v/>
      </c>
      <c r="BJ88">
        <f>IF(ISNA(BU88),NA(),IF($B$22="",NA(),$B$22))</f>
        <v/>
      </c>
      <c r="BK88">
        <f>IF(ISNA(BU88),NA(),IF($B$21="",NA(),$B$21))</f>
        <v/>
      </c>
      <c r="BL88">
        <f>IF(ISNA(BU88),NA(),IF($B$23="",NA(),$B$23))</f>
        <v/>
      </c>
      <c r="BM88">
        <f>IF(ISNA(BU88),NA(),IF(INDEX(_Calc!$F$5:$F$10004,BU88)="",NA(),INDEX(_Calc!$F$5:$F$10004,BU88)))</f>
        <v/>
      </c>
      <c r="BN88">
        <f>IF(ISNA(BU88),NA(),IF($B$24="",NA(),$B$24))</f>
        <v/>
      </c>
      <c r="BO88">
        <f>IF(ISNA(BU88),NA(),IF($B$26="",NA(),$B$26))</f>
        <v/>
      </c>
      <c r="BP88">
        <f>IF(ISNA(BU88),NA(),IF($B$28="",NA(),$B$28))</f>
        <v/>
      </c>
      <c r="BU88">
        <f>IF((BK$1+84)&gt;BI$1,NA(),MATCH((BK$1+84),_Calc!$C$5:$C$10004,0))</f>
        <v/>
      </c>
    </row>
    <row r="89">
      <c r="BH89">
        <f>IF(ISNA(BU89),NA(),(BK$1+85))</f>
        <v/>
      </c>
      <c r="BI89">
        <f>IF(ISNA(BU89),NA(),INDEX(_Calc!$D$5:$D$10004,BU89))</f>
        <v/>
      </c>
      <c r="BJ89">
        <f>IF(ISNA(BU89),NA(),IF($B$22="",NA(),$B$22))</f>
        <v/>
      </c>
      <c r="BK89">
        <f>IF(ISNA(BU89),NA(),IF($B$21="",NA(),$B$21))</f>
        <v/>
      </c>
      <c r="BL89">
        <f>IF(ISNA(BU89),NA(),IF($B$23="",NA(),$B$23))</f>
        <v/>
      </c>
      <c r="BM89">
        <f>IF(ISNA(BU89),NA(),IF(INDEX(_Calc!$F$5:$F$10004,BU89)="",NA(),INDEX(_Calc!$F$5:$F$10004,BU89)))</f>
        <v/>
      </c>
      <c r="BN89">
        <f>IF(ISNA(BU89),NA(),IF($B$24="",NA(),$B$24))</f>
        <v/>
      </c>
      <c r="BO89">
        <f>IF(ISNA(BU89),NA(),IF($B$26="",NA(),$B$26))</f>
        <v/>
      </c>
      <c r="BP89">
        <f>IF(ISNA(BU89),NA(),IF($B$28="",NA(),$B$28))</f>
        <v/>
      </c>
      <c r="BU89">
        <f>IF((BK$1+85)&gt;BI$1,NA(),MATCH((BK$1+85),_Calc!$C$5:$C$10004,0))</f>
        <v/>
      </c>
    </row>
    <row r="90">
      <c r="BH90">
        <f>IF(ISNA(BU90),NA(),(BK$1+86))</f>
        <v/>
      </c>
      <c r="BI90">
        <f>IF(ISNA(BU90),NA(),INDEX(_Calc!$D$5:$D$10004,BU90))</f>
        <v/>
      </c>
      <c r="BJ90">
        <f>IF(ISNA(BU90),NA(),IF($B$22="",NA(),$B$22))</f>
        <v/>
      </c>
      <c r="BK90">
        <f>IF(ISNA(BU90),NA(),IF($B$21="",NA(),$B$21))</f>
        <v/>
      </c>
      <c r="BL90">
        <f>IF(ISNA(BU90),NA(),IF($B$23="",NA(),$B$23))</f>
        <v/>
      </c>
      <c r="BM90">
        <f>IF(ISNA(BU90),NA(),IF(INDEX(_Calc!$F$5:$F$10004,BU90)="",NA(),INDEX(_Calc!$F$5:$F$10004,BU90)))</f>
        <v/>
      </c>
      <c r="BN90">
        <f>IF(ISNA(BU90),NA(),IF($B$24="",NA(),$B$24))</f>
        <v/>
      </c>
      <c r="BO90">
        <f>IF(ISNA(BU90),NA(),IF($B$26="",NA(),$B$26))</f>
        <v/>
      </c>
      <c r="BP90">
        <f>IF(ISNA(BU90),NA(),IF($B$28="",NA(),$B$28))</f>
        <v/>
      </c>
      <c r="BU90">
        <f>IF((BK$1+86)&gt;BI$1,NA(),MATCH((BK$1+86),_Calc!$C$5:$C$10004,0))</f>
        <v/>
      </c>
    </row>
    <row r="91">
      <c r="BH91">
        <f>IF(ISNA(BU91),NA(),(BK$1+87))</f>
        <v/>
      </c>
      <c r="BI91">
        <f>IF(ISNA(BU91),NA(),INDEX(_Calc!$D$5:$D$10004,BU91))</f>
        <v/>
      </c>
      <c r="BJ91">
        <f>IF(ISNA(BU91),NA(),IF($B$22="",NA(),$B$22))</f>
        <v/>
      </c>
      <c r="BK91">
        <f>IF(ISNA(BU91),NA(),IF($B$21="",NA(),$B$21))</f>
        <v/>
      </c>
      <c r="BL91">
        <f>IF(ISNA(BU91),NA(),IF($B$23="",NA(),$B$23))</f>
        <v/>
      </c>
      <c r="BM91">
        <f>IF(ISNA(BU91),NA(),IF(INDEX(_Calc!$F$5:$F$10004,BU91)="",NA(),INDEX(_Calc!$F$5:$F$10004,BU91)))</f>
        <v/>
      </c>
      <c r="BN91">
        <f>IF(ISNA(BU91),NA(),IF($B$24="",NA(),$B$24))</f>
        <v/>
      </c>
      <c r="BO91">
        <f>IF(ISNA(BU91),NA(),IF($B$26="",NA(),$B$26))</f>
        <v/>
      </c>
      <c r="BP91">
        <f>IF(ISNA(BU91),NA(),IF($B$28="",NA(),$B$28))</f>
        <v/>
      </c>
      <c r="BU91">
        <f>IF((BK$1+87)&gt;BI$1,NA(),MATCH((BK$1+87),_Calc!$C$5:$C$10004,0))</f>
        <v/>
      </c>
    </row>
    <row r="92">
      <c r="BH92">
        <f>IF(ISNA(BU92),NA(),(BK$1+88))</f>
        <v/>
      </c>
      <c r="BI92">
        <f>IF(ISNA(BU92),NA(),INDEX(_Calc!$D$5:$D$10004,BU92))</f>
        <v/>
      </c>
      <c r="BJ92">
        <f>IF(ISNA(BU92),NA(),IF($B$22="",NA(),$B$22))</f>
        <v/>
      </c>
      <c r="BK92">
        <f>IF(ISNA(BU92),NA(),IF($B$21="",NA(),$B$21))</f>
        <v/>
      </c>
      <c r="BL92">
        <f>IF(ISNA(BU92),NA(),IF($B$23="",NA(),$B$23))</f>
        <v/>
      </c>
      <c r="BM92">
        <f>IF(ISNA(BU92),NA(),IF(INDEX(_Calc!$F$5:$F$10004,BU92)="",NA(),INDEX(_Calc!$F$5:$F$10004,BU92)))</f>
        <v/>
      </c>
      <c r="BN92">
        <f>IF(ISNA(BU92),NA(),IF($B$24="",NA(),$B$24))</f>
        <v/>
      </c>
      <c r="BO92">
        <f>IF(ISNA(BU92),NA(),IF($B$26="",NA(),$B$26))</f>
        <v/>
      </c>
      <c r="BP92">
        <f>IF(ISNA(BU92),NA(),IF($B$28="",NA(),$B$28))</f>
        <v/>
      </c>
      <c r="BU92">
        <f>IF((BK$1+88)&gt;BI$1,NA(),MATCH((BK$1+88),_Calc!$C$5:$C$10004,0))</f>
        <v/>
      </c>
    </row>
    <row r="93">
      <c r="BH93">
        <f>IF(ISNA(BU93),NA(),(BK$1+89))</f>
        <v/>
      </c>
      <c r="BI93">
        <f>IF(ISNA(BU93),NA(),INDEX(_Calc!$D$5:$D$10004,BU93))</f>
        <v/>
      </c>
      <c r="BJ93">
        <f>IF(ISNA(BU93),NA(),IF($B$22="",NA(),$B$22))</f>
        <v/>
      </c>
      <c r="BK93">
        <f>IF(ISNA(BU93),NA(),IF($B$21="",NA(),$B$21))</f>
        <v/>
      </c>
      <c r="BL93">
        <f>IF(ISNA(BU93),NA(),IF($B$23="",NA(),$B$23))</f>
        <v/>
      </c>
      <c r="BM93">
        <f>IF(ISNA(BU93),NA(),IF(INDEX(_Calc!$F$5:$F$10004,BU93)="",NA(),INDEX(_Calc!$F$5:$F$10004,BU93)))</f>
        <v/>
      </c>
      <c r="BN93">
        <f>IF(ISNA(BU93),NA(),IF($B$24="",NA(),$B$24))</f>
        <v/>
      </c>
      <c r="BO93">
        <f>IF(ISNA(BU93),NA(),IF($B$26="",NA(),$B$26))</f>
        <v/>
      </c>
      <c r="BP93">
        <f>IF(ISNA(BU93),NA(),IF($B$28="",NA(),$B$28))</f>
        <v/>
      </c>
      <c r="BU93">
        <f>IF((BK$1+89)&gt;BI$1,NA(),MATCH((BK$1+89),_Calc!$C$5:$C$10004,0))</f>
        <v/>
      </c>
    </row>
    <row r="94">
      <c r="BH94">
        <f>IF(ISNA(BU94),NA(),(BK$1+90))</f>
        <v/>
      </c>
      <c r="BI94">
        <f>IF(ISNA(BU94),NA(),INDEX(_Calc!$D$5:$D$10004,BU94))</f>
        <v/>
      </c>
      <c r="BJ94">
        <f>IF(ISNA(BU94),NA(),IF($B$22="",NA(),$B$22))</f>
        <v/>
      </c>
      <c r="BK94">
        <f>IF(ISNA(BU94),NA(),IF($B$21="",NA(),$B$21))</f>
        <v/>
      </c>
      <c r="BL94">
        <f>IF(ISNA(BU94),NA(),IF($B$23="",NA(),$B$23))</f>
        <v/>
      </c>
      <c r="BM94">
        <f>IF(ISNA(BU94),NA(),IF(INDEX(_Calc!$F$5:$F$10004,BU94)="",NA(),INDEX(_Calc!$F$5:$F$10004,BU94)))</f>
        <v/>
      </c>
      <c r="BN94">
        <f>IF(ISNA(BU94),NA(),IF($B$24="",NA(),$B$24))</f>
        <v/>
      </c>
      <c r="BO94">
        <f>IF(ISNA(BU94),NA(),IF($B$26="",NA(),$B$26))</f>
        <v/>
      </c>
      <c r="BP94">
        <f>IF(ISNA(BU94),NA(),IF($B$28="",NA(),$B$28))</f>
        <v/>
      </c>
      <c r="BU94">
        <f>IF((BK$1+90)&gt;BI$1,NA(),MATCH((BK$1+90),_Calc!$C$5:$C$10004,0))</f>
        <v/>
      </c>
    </row>
    <row r="95">
      <c r="BH95">
        <f>IF(ISNA(BU95),NA(),(BK$1+91))</f>
        <v/>
      </c>
      <c r="BI95">
        <f>IF(ISNA(BU95),NA(),INDEX(_Calc!$D$5:$D$10004,BU95))</f>
        <v/>
      </c>
      <c r="BJ95">
        <f>IF(ISNA(BU95),NA(),IF($B$22="",NA(),$B$22))</f>
        <v/>
      </c>
      <c r="BK95">
        <f>IF(ISNA(BU95),NA(),IF($B$21="",NA(),$B$21))</f>
        <v/>
      </c>
      <c r="BL95">
        <f>IF(ISNA(BU95),NA(),IF($B$23="",NA(),$B$23))</f>
        <v/>
      </c>
      <c r="BM95">
        <f>IF(ISNA(BU95),NA(),IF(INDEX(_Calc!$F$5:$F$10004,BU95)="",NA(),INDEX(_Calc!$F$5:$F$10004,BU95)))</f>
        <v/>
      </c>
      <c r="BN95">
        <f>IF(ISNA(BU95),NA(),IF($B$24="",NA(),$B$24))</f>
        <v/>
      </c>
      <c r="BO95">
        <f>IF(ISNA(BU95),NA(),IF($B$26="",NA(),$B$26))</f>
        <v/>
      </c>
      <c r="BP95">
        <f>IF(ISNA(BU95),NA(),IF($B$28="",NA(),$B$28))</f>
        <v/>
      </c>
      <c r="BU95">
        <f>IF((BK$1+91)&gt;BI$1,NA(),MATCH((BK$1+91),_Calc!$C$5:$C$10004,0))</f>
        <v/>
      </c>
    </row>
    <row r="96">
      <c r="BH96">
        <f>IF(ISNA(BU96),NA(),(BK$1+92))</f>
        <v/>
      </c>
      <c r="BI96">
        <f>IF(ISNA(BU96),NA(),INDEX(_Calc!$D$5:$D$10004,BU96))</f>
        <v/>
      </c>
      <c r="BJ96">
        <f>IF(ISNA(BU96),NA(),IF($B$22="",NA(),$B$22))</f>
        <v/>
      </c>
      <c r="BK96">
        <f>IF(ISNA(BU96),NA(),IF($B$21="",NA(),$B$21))</f>
        <v/>
      </c>
      <c r="BL96">
        <f>IF(ISNA(BU96),NA(),IF($B$23="",NA(),$B$23))</f>
        <v/>
      </c>
      <c r="BM96">
        <f>IF(ISNA(BU96),NA(),IF(INDEX(_Calc!$F$5:$F$10004,BU96)="",NA(),INDEX(_Calc!$F$5:$F$10004,BU96)))</f>
        <v/>
      </c>
      <c r="BN96">
        <f>IF(ISNA(BU96),NA(),IF($B$24="",NA(),$B$24))</f>
        <v/>
      </c>
      <c r="BO96">
        <f>IF(ISNA(BU96),NA(),IF($B$26="",NA(),$B$26))</f>
        <v/>
      </c>
      <c r="BP96">
        <f>IF(ISNA(BU96),NA(),IF($B$28="",NA(),$B$28))</f>
        <v/>
      </c>
      <c r="BU96">
        <f>IF((BK$1+92)&gt;BI$1,NA(),MATCH((BK$1+92),_Calc!$C$5:$C$10004,0))</f>
        <v/>
      </c>
    </row>
    <row r="97">
      <c r="BH97">
        <f>IF(ISNA(BU97),NA(),(BK$1+93))</f>
        <v/>
      </c>
      <c r="BI97">
        <f>IF(ISNA(BU97),NA(),INDEX(_Calc!$D$5:$D$10004,BU97))</f>
        <v/>
      </c>
      <c r="BJ97">
        <f>IF(ISNA(BU97),NA(),IF($B$22="",NA(),$B$22))</f>
        <v/>
      </c>
      <c r="BK97">
        <f>IF(ISNA(BU97),NA(),IF($B$21="",NA(),$B$21))</f>
        <v/>
      </c>
      <c r="BL97">
        <f>IF(ISNA(BU97),NA(),IF($B$23="",NA(),$B$23))</f>
        <v/>
      </c>
      <c r="BM97">
        <f>IF(ISNA(BU97),NA(),IF(INDEX(_Calc!$F$5:$F$10004,BU97)="",NA(),INDEX(_Calc!$F$5:$F$10004,BU97)))</f>
        <v/>
      </c>
      <c r="BN97">
        <f>IF(ISNA(BU97),NA(),IF($B$24="",NA(),$B$24))</f>
        <v/>
      </c>
      <c r="BO97">
        <f>IF(ISNA(BU97),NA(),IF($B$26="",NA(),$B$26))</f>
        <v/>
      </c>
      <c r="BP97">
        <f>IF(ISNA(BU97),NA(),IF($B$28="",NA(),$B$28))</f>
        <v/>
      </c>
      <c r="BU97">
        <f>IF((BK$1+93)&gt;BI$1,NA(),MATCH((BK$1+93),_Calc!$C$5:$C$10004,0))</f>
        <v/>
      </c>
    </row>
    <row r="98">
      <c r="BH98">
        <f>IF(ISNA(BU98),NA(),(BK$1+94))</f>
        <v/>
      </c>
      <c r="BI98">
        <f>IF(ISNA(BU98),NA(),INDEX(_Calc!$D$5:$D$10004,BU98))</f>
        <v/>
      </c>
      <c r="BJ98">
        <f>IF(ISNA(BU98),NA(),IF($B$22="",NA(),$B$22))</f>
        <v/>
      </c>
      <c r="BK98">
        <f>IF(ISNA(BU98),NA(),IF($B$21="",NA(),$B$21))</f>
        <v/>
      </c>
      <c r="BL98">
        <f>IF(ISNA(BU98),NA(),IF($B$23="",NA(),$B$23))</f>
        <v/>
      </c>
      <c r="BM98">
        <f>IF(ISNA(BU98),NA(),IF(INDEX(_Calc!$F$5:$F$10004,BU98)="",NA(),INDEX(_Calc!$F$5:$F$10004,BU98)))</f>
        <v/>
      </c>
      <c r="BN98">
        <f>IF(ISNA(BU98),NA(),IF($B$24="",NA(),$B$24))</f>
        <v/>
      </c>
      <c r="BO98">
        <f>IF(ISNA(BU98),NA(),IF($B$26="",NA(),$B$26))</f>
        <v/>
      </c>
      <c r="BP98">
        <f>IF(ISNA(BU98),NA(),IF($B$28="",NA(),$B$28))</f>
        <v/>
      </c>
      <c r="BU98">
        <f>IF((BK$1+94)&gt;BI$1,NA(),MATCH((BK$1+94),_Calc!$C$5:$C$10004,0))</f>
        <v/>
      </c>
    </row>
    <row r="99">
      <c r="BH99">
        <f>IF(ISNA(BU99),NA(),(BK$1+95))</f>
        <v/>
      </c>
      <c r="BI99">
        <f>IF(ISNA(BU99),NA(),INDEX(_Calc!$D$5:$D$10004,BU99))</f>
        <v/>
      </c>
      <c r="BJ99">
        <f>IF(ISNA(BU99),NA(),IF($B$22="",NA(),$B$22))</f>
        <v/>
      </c>
      <c r="BK99">
        <f>IF(ISNA(BU99),NA(),IF($B$21="",NA(),$B$21))</f>
        <v/>
      </c>
      <c r="BL99">
        <f>IF(ISNA(BU99),NA(),IF($B$23="",NA(),$B$23))</f>
        <v/>
      </c>
      <c r="BM99">
        <f>IF(ISNA(BU99),NA(),IF(INDEX(_Calc!$F$5:$F$10004,BU99)="",NA(),INDEX(_Calc!$F$5:$F$10004,BU99)))</f>
        <v/>
      </c>
      <c r="BN99">
        <f>IF(ISNA(BU99),NA(),IF($B$24="",NA(),$B$24))</f>
        <v/>
      </c>
      <c r="BO99">
        <f>IF(ISNA(BU99),NA(),IF($B$26="",NA(),$B$26))</f>
        <v/>
      </c>
      <c r="BP99">
        <f>IF(ISNA(BU99),NA(),IF($B$28="",NA(),$B$28))</f>
        <v/>
      </c>
      <c r="BU99">
        <f>IF((BK$1+95)&gt;BI$1,NA(),MATCH((BK$1+95),_Calc!$C$5:$C$10004,0))</f>
        <v/>
      </c>
    </row>
    <row r="100">
      <c r="BH100">
        <f>IF(ISNA(BU100),NA(),(BK$1+96))</f>
        <v/>
      </c>
      <c r="BI100">
        <f>IF(ISNA(BU100),NA(),INDEX(_Calc!$D$5:$D$10004,BU100))</f>
        <v/>
      </c>
      <c r="BJ100">
        <f>IF(ISNA(BU100),NA(),IF($B$22="",NA(),$B$22))</f>
        <v/>
      </c>
      <c r="BK100">
        <f>IF(ISNA(BU100),NA(),IF($B$21="",NA(),$B$21))</f>
        <v/>
      </c>
      <c r="BL100">
        <f>IF(ISNA(BU100),NA(),IF($B$23="",NA(),$B$23))</f>
        <v/>
      </c>
      <c r="BM100">
        <f>IF(ISNA(BU100),NA(),IF(INDEX(_Calc!$F$5:$F$10004,BU100)="",NA(),INDEX(_Calc!$F$5:$F$10004,BU100)))</f>
        <v/>
      </c>
      <c r="BN100">
        <f>IF(ISNA(BU100),NA(),IF($B$24="",NA(),$B$24))</f>
        <v/>
      </c>
      <c r="BO100">
        <f>IF(ISNA(BU100),NA(),IF($B$26="",NA(),$B$26))</f>
        <v/>
      </c>
      <c r="BP100">
        <f>IF(ISNA(BU100),NA(),IF($B$28="",NA(),$B$28))</f>
        <v/>
      </c>
      <c r="BU100">
        <f>IF((BK$1+96)&gt;BI$1,NA(),MATCH((BK$1+96),_Calc!$C$5:$C$10004,0))</f>
        <v/>
      </c>
    </row>
    <row r="101">
      <c r="BH101">
        <f>IF(ISNA(BU101),NA(),(BK$1+97))</f>
        <v/>
      </c>
      <c r="BI101">
        <f>IF(ISNA(BU101),NA(),INDEX(_Calc!$D$5:$D$10004,BU101))</f>
        <v/>
      </c>
      <c r="BJ101">
        <f>IF(ISNA(BU101),NA(),IF($B$22="",NA(),$B$22))</f>
        <v/>
      </c>
      <c r="BK101">
        <f>IF(ISNA(BU101),NA(),IF($B$21="",NA(),$B$21))</f>
        <v/>
      </c>
      <c r="BL101">
        <f>IF(ISNA(BU101),NA(),IF($B$23="",NA(),$B$23))</f>
        <v/>
      </c>
      <c r="BM101">
        <f>IF(ISNA(BU101),NA(),IF(INDEX(_Calc!$F$5:$F$10004,BU101)="",NA(),INDEX(_Calc!$F$5:$F$10004,BU101)))</f>
        <v/>
      </c>
      <c r="BN101">
        <f>IF(ISNA(BU101),NA(),IF($B$24="",NA(),$B$24))</f>
        <v/>
      </c>
      <c r="BO101">
        <f>IF(ISNA(BU101),NA(),IF($B$26="",NA(),$B$26))</f>
        <v/>
      </c>
      <c r="BP101">
        <f>IF(ISNA(BU101),NA(),IF($B$28="",NA(),$B$28))</f>
        <v/>
      </c>
      <c r="BU101">
        <f>IF((BK$1+97)&gt;BI$1,NA(),MATCH((BK$1+97),_Calc!$C$5:$C$10004,0))</f>
        <v/>
      </c>
    </row>
    <row r="102">
      <c r="BH102">
        <f>IF(ISNA(BU102),NA(),(BK$1+98))</f>
        <v/>
      </c>
      <c r="BI102">
        <f>IF(ISNA(BU102),NA(),INDEX(_Calc!$D$5:$D$10004,BU102))</f>
        <v/>
      </c>
      <c r="BJ102">
        <f>IF(ISNA(BU102),NA(),IF($B$22="",NA(),$B$22))</f>
        <v/>
      </c>
      <c r="BK102">
        <f>IF(ISNA(BU102),NA(),IF($B$21="",NA(),$B$21))</f>
        <v/>
      </c>
      <c r="BL102">
        <f>IF(ISNA(BU102),NA(),IF($B$23="",NA(),$B$23))</f>
        <v/>
      </c>
      <c r="BM102">
        <f>IF(ISNA(BU102),NA(),IF(INDEX(_Calc!$F$5:$F$10004,BU102)="",NA(),INDEX(_Calc!$F$5:$F$10004,BU102)))</f>
        <v/>
      </c>
      <c r="BN102">
        <f>IF(ISNA(BU102),NA(),IF($B$24="",NA(),$B$24))</f>
        <v/>
      </c>
      <c r="BO102">
        <f>IF(ISNA(BU102),NA(),IF($B$26="",NA(),$B$26))</f>
        <v/>
      </c>
      <c r="BP102">
        <f>IF(ISNA(BU102),NA(),IF($B$28="",NA(),$B$28))</f>
        <v/>
      </c>
      <c r="BU102">
        <f>IF((BK$1+98)&gt;BI$1,NA(),MATCH((BK$1+98),_Calc!$C$5:$C$10004,0))</f>
        <v/>
      </c>
    </row>
    <row r="103">
      <c r="BH103">
        <f>IF(ISNA(BU103),NA(),(BK$1+99))</f>
        <v/>
      </c>
      <c r="BI103">
        <f>IF(ISNA(BU103),NA(),INDEX(_Calc!$D$5:$D$10004,BU103))</f>
        <v/>
      </c>
      <c r="BJ103">
        <f>IF(ISNA(BU103),NA(),IF($B$22="",NA(),$B$22))</f>
        <v/>
      </c>
      <c r="BK103">
        <f>IF(ISNA(BU103),NA(),IF($B$21="",NA(),$B$21))</f>
        <v/>
      </c>
      <c r="BL103">
        <f>IF(ISNA(BU103),NA(),IF($B$23="",NA(),$B$23))</f>
        <v/>
      </c>
      <c r="BM103">
        <f>IF(ISNA(BU103),NA(),IF(INDEX(_Calc!$F$5:$F$10004,BU103)="",NA(),INDEX(_Calc!$F$5:$F$10004,BU103)))</f>
        <v/>
      </c>
      <c r="BN103">
        <f>IF(ISNA(BU103),NA(),IF($B$24="",NA(),$B$24))</f>
        <v/>
      </c>
      <c r="BO103">
        <f>IF(ISNA(BU103),NA(),IF($B$26="",NA(),$B$26))</f>
        <v/>
      </c>
      <c r="BP103">
        <f>IF(ISNA(BU103),NA(),IF($B$28="",NA(),$B$28))</f>
        <v/>
      </c>
      <c r="BU103">
        <f>IF((BK$1+99)&gt;BI$1,NA(),MATCH((BK$1+99),_Calc!$C$5:$C$10004,0))</f>
        <v/>
      </c>
    </row>
    <row r="104">
      <c r="BH104">
        <f>IF(ISNA(BU104),NA(),(BK$1+100))</f>
        <v/>
      </c>
      <c r="BI104">
        <f>IF(ISNA(BU104),NA(),INDEX(_Calc!$D$5:$D$10004,BU104))</f>
        <v/>
      </c>
      <c r="BJ104">
        <f>IF(ISNA(BU104),NA(),IF($B$22="",NA(),$B$22))</f>
        <v/>
      </c>
      <c r="BK104">
        <f>IF(ISNA(BU104),NA(),IF($B$21="",NA(),$B$21))</f>
        <v/>
      </c>
      <c r="BL104">
        <f>IF(ISNA(BU104),NA(),IF($B$23="",NA(),$B$23))</f>
        <v/>
      </c>
      <c r="BM104">
        <f>IF(ISNA(BU104),NA(),IF(INDEX(_Calc!$F$5:$F$10004,BU104)="",NA(),INDEX(_Calc!$F$5:$F$10004,BU104)))</f>
        <v/>
      </c>
      <c r="BN104">
        <f>IF(ISNA(BU104),NA(),IF($B$24="",NA(),$B$24))</f>
        <v/>
      </c>
      <c r="BO104">
        <f>IF(ISNA(BU104),NA(),IF($B$26="",NA(),$B$26))</f>
        <v/>
      </c>
      <c r="BP104">
        <f>IF(ISNA(BU104),NA(),IF($B$28="",NA(),$B$28))</f>
        <v/>
      </c>
      <c r="BU104">
        <f>IF((BK$1+100)&gt;BI$1,NA(),MATCH((BK$1+100),_Calc!$C$5:$C$10004,0))</f>
        <v/>
      </c>
    </row>
    <row r="105">
      <c r="BH105">
        <f>IF(ISNA(BU105),NA(),(BK$1+101))</f>
        <v/>
      </c>
      <c r="BI105">
        <f>IF(ISNA(BU105),NA(),INDEX(_Calc!$D$5:$D$10004,BU105))</f>
        <v/>
      </c>
      <c r="BJ105">
        <f>IF(ISNA(BU105),NA(),IF($B$22="",NA(),$B$22))</f>
        <v/>
      </c>
      <c r="BK105">
        <f>IF(ISNA(BU105),NA(),IF($B$21="",NA(),$B$21))</f>
        <v/>
      </c>
      <c r="BL105">
        <f>IF(ISNA(BU105),NA(),IF($B$23="",NA(),$B$23))</f>
        <v/>
      </c>
      <c r="BM105">
        <f>IF(ISNA(BU105),NA(),IF(INDEX(_Calc!$F$5:$F$10004,BU105)="",NA(),INDEX(_Calc!$F$5:$F$10004,BU105)))</f>
        <v/>
      </c>
      <c r="BN105">
        <f>IF(ISNA(BU105),NA(),IF($B$24="",NA(),$B$24))</f>
        <v/>
      </c>
      <c r="BO105">
        <f>IF(ISNA(BU105),NA(),IF($B$26="",NA(),$B$26))</f>
        <v/>
      </c>
      <c r="BP105">
        <f>IF(ISNA(BU105),NA(),IF($B$28="",NA(),$B$28))</f>
        <v/>
      </c>
      <c r="BU105">
        <f>IF((BK$1+101)&gt;BI$1,NA(),MATCH((BK$1+101),_Calc!$C$5:$C$10004,0))</f>
        <v/>
      </c>
    </row>
    <row r="106">
      <c r="BH106">
        <f>IF(ISNA(BU106),NA(),(BK$1+102))</f>
        <v/>
      </c>
      <c r="BI106">
        <f>IF(ISNA(BU106),NA(),INDEX(_Calc!$D$5:$D$10004,BU106))</f>
        <v/>
      </c>
      <c r="BJ106">
        <f>IF(ISNA(BU106),NA(),IF($B$22="",NA(),$B$22))</f>
        <v/>
      </c>
      <c r="BK106">
        <f>IF(ISNA(BU106),NA(),IF($B$21="",NA(),$B$21))</f>
        <v/>
      </c>
      <c r="BL106">
        <f>IF(ISNA(BU106),NA(),IF($B$23="",NA(),$B$23))</f>
        <v/>
      </c>
      <c r="BM106">
        <f>IF(ISNA(BU106),NA(),IF(INDEX(_Calc!$F$5:$F$10004,BU106)="",NA(),INDEX(_Calc!$F$5:$F$10004,BU106)))</f>
        <v/>
      </c>
      <c r="BN106">
        <f>IF(ISNA(BU106),NA(),IF($B$24="",NA(),$B$24))</f>
        <v/>
      </c>
      <c r="BO106">
        <f>IF(ISNA(BU106),NA(),IF($B$26="",NA(),$B$26))</f>
        <v/>
      </c>
      <c r="BP106">
        <f>IF(ISNA(BU106),NA(),IF($B$28="",NA(),$B$28))</f>
        <v/>
      </c>
      <c r="BU106">
        <f>IF((BK$1+102)&gt;BI$1,NA(),MATCH((BK$1+102),_Calc!$C$5:$C$10004,0))</f>
        <v/>
      </c>
    </row>
    <row r="107">
      <c r="BH107">
        <f>IF(ISNA(BU107),NA(),(BK$1+103))</f>
        <v/>
      </c>
      <c r="BI107">
        <f>IF(ISNA(BU107),NA(),INDEX(_Calc!$D$5:$D$10004,BU107))</f>
        <v/>
      </c>
      <c r="BJ107">
        <f>IF(ISNA(BU107),NA(),IF($B$22="",NA(),$B$22))</f>
        <v/>
      </c>
      <c r="BK107">
        <f>IF(ISNA(BU107),NA(),IF($B$21="",NA(),$B$21))</f>
        <v/>
      </c>
      <c r="BL107">
        <f>IF(ISNA(BU107),NA(),IF($B$23="",NA(),$B$23))</f>
        <v/>
      </c>
      <c r="BM107">
        <f>IF(ISNA(BU107),NA(),IF(INDEX(_Calc!$F$5:$F$10004,BU107)="",NA(),INDEX(_Calc!$F$5:$F$10004,BU107)))</f>
        <v/>
      </c>
      <c r="BN107">
        <f>IF(ISNA(BU107),NA(),IF($B$24="",NA(),$B$24))</f>
        <v/>
      </c>
      <c r="BO107">
        <f>IF(ISNA(BU107),NA(),IF($B$26="",NA(),$B$26))</f>
        <v/>
      </c>
      <c r="BP107">
        <f>IF(ISNA(BU107),NA(),IF($B$28="",NA(),$B$28))</f>
        <v/>
      </c>
      <c r="BU107">
        <f>IF((BK$1+103)&gt;BI$1,NA(),MATCH((BK$1+103),_Calc!$C$5:$C$10004,0))</f>
        <v/>
      </c>
    </row>
    <row r="108">
      <c r="BH108">
        <f>IF(ISNA(BU108),NA(),(BK$1+104))</f>
        <v/>
      </c>
      <c r="BI108">
        <f>IF(ISNA(BU108),NA(),INDEX(_Calc!$D$5:$D$10004,BU108))</f>
        <v/>
      </c>
      <c r="BJ108">
        <f>IF(ISNA(BU108),NA(),IF($B$22="",NA(),$B$22))</f>
        <v/>
      </c>
      <c r="BK108">
        <f>IF(ISNA(BU108),NA(),IF($B$21="",NA(),$B$21))</f>
        <v/>
      </c>
      <c r="BL108">
        <f>IF(ISNA(BU108),NA(),IF($B$23="",NA(),$B$23))</f>
        <v/>
      </c>
      <c r="BM108">
        <f>IF(ISNA(BU108),NA(),IF(INDEX(_Calc!$F$5:$F$10004,BU108)="",NA(),INDEX(_Calc!$F$5:$F$10004,BU108)))</f>
        <v/>
      </c>
      <c r="BN108">
        <f>IF(ISNA(BU108),NA(),IF($B$24="",NA(),$B$24))</f>
        <v/>
      </c>
      <c r="BO108">
        <f>IF(ISNA(BU108),NA(),IF($B$26="",NA(),$B$26))</f>
        <v/>
      </c>
      <c r="BP108">
        <f>IF(ISNA(BU108),NA(),IF($B$28="",NA(),$B$28))</f>
        <v/>
      </c>
      <c r="BU108">
        <f>IF((BK$1+104)&gt;BI$1,NA(),MATCH((BK$1+104),_Calc!$C$5:$C$10004,0))</f>
        <v/>
      </c>
    </row>
    <row r="109">
      <c r="BH109">
        <f>IF(ISNA(BU109),NA(),(BK$1+105))</f>
        <v/>
      </c>
      <c r="BI109">
        <f>IF(ISNA(BU109),NA(),INDEX(_Calc!$D$5:$D$10004,BU109))</f>
        <v/>
      </c>
      <c r="BJ109">
        <f>IF(ISNA(BU109),NA(),IF($B$22="",NA(),$B$22))</f>
        <v/>
      </c>
      <c r="BK109">
        <f>IF(ISNA(BU109),NA(),IF($B$21="",NA(),$B$21))</f>
        <v/>
      </c>
      <c r="BL109">
        <f>IF(ISNA(BU109),NA(),IF($B$23="",NA(),$B$23))</f>
        <v/>
      </c>
      <c r="BM109">
        <f>IF(ISNA(BU109),NA(),IF(INDEX(_Calc!$F$5:$F$10004,BU109)="",NA(),INDEX(_Calc!$F$5:$F$10004,BU109)))</f>
        <v/>
      </c>
      <c r="BN109">
        <f>IF(ISNA(BU109),NA(),IF($B$24="",NA(),$B$24))</f>
        <v/>
      </c>
      <c r="BO109">
        <f>IF(ISNA(BU109),NA(),IF($B$26="",NA(),$B$26))</f>
        <v/>
      </c>
      <c r="BP109">
        <f>IF(ISNA(BU109),NA(),IF($B$28="",NA(),$B$28))</f>
        <v/>
      </c>
      <c r="BU109">
        <f>IF((BK$1+105)&gt;BI$1,NA(),MATCH((BK$1+105),_Calc!$C$5:$C$10004,0))</f>
        <v/>
      </c>
    </row>
    <row r="110">
      <c r="BH110">
        <f>IF(ISNA(BU110),NA(),(BK$1+106))</f>
        <v/>
      </c>
      <c r="BI110">
        <f>IF(ISNA(BU110),NA(),INDEX(_Calc!$D$5:$D$10004,BU110))</f>
        <v/>
      </c>
      <c r="BJ110">
        <f>IF(ISNA(BU110),NA(),IF($B$22="",NA(),$B$22))</f>
        <v/>
      </c>
      <c r="BK110">
        <f>IF(ISNA(BU110),NA(),IF($B$21="",NA(),$B$21))</f>
        <v/>
      </c>
      <c r="BL110">
        <f>IF(ISNA(BU110),NA(),IF($B$23="",NA(),$B$23))</f>
        <v/>
      </c>
      <c r="BM110">
        <f>IF(ISNA(BU110),NA(),IF(INDEX(_Calc!$F$5:$F$10004,BU110)="",NA(),INDEX(_Calc!$F$5:$F$10004,BU110)))</f>
        <v/>
      </c>
      <c r="BN110">
        <f>IF(ISNA(BU110),NA(),IF($B$24="",NA(),$B$24))</f>
        <v/>
      </c>
      <c r="BO110">
        <f>IF(ISNA(BU110),NA(),IF($B$26="",NA(),$B$26))</f>
        <v/>
      </c>
      <c r="BP110">
        <f>IF(ISNA(BU110),NA(),IF($B$28="",NA(),$B$28))</f>
        <v/>
      </c>
      <c r="BU110">
        <f>IF((BK$1+106)&gt;BI$1,NA(),MATCH((BK$1+106),_Calc!$C$5:$C$10004,0))</f>
        <v/>
      </c>
    </row>
    <row r="111">
      <c r="BH111">
        <f>IF(ISNA(BU111),NA(),(BK$1+107))</f>
        <v/>
      </c>
      <c r="BI111">
        <f>IF(ISNA(BU111),NA(),INDEX(_Calc!$D$5:$D$10004,BU111))</f>
        <v/>
      </c>
      <c r="BJ111">
        <f>IF(ISNA(BU111),NA(),IF($B$22="",NA(),$B$22))</f>
        <v/>
      </c>
      <c r="BK111">
        <f>IF(ISNA(BU111),NA(),IF($B$21="",NA(),$B$21))</f>
        <v/>
      </c>
      <c r="BL111">
        <f>IF(ISNA(BU111),NA(),IF($B$23="",NA(),$B$23))</f>
        <v/>
      </c>
      <c r="BM111">
        <f>IF(ISNA(BU111),NA(),IF(INDEX(_Calc!$F$5:$F$10004,BU111)="",NA(),INDEX(_Calc!$F$5:$F$10004,BU111)))</f>
        <v/>
      </c>
      <c r="BN111">
        <f>IF(ISNA(BU111),NA(),IF($B$24="",NA(),$B$24))</f>
        <v/>
      </c>
      <c r="BO111">
        <f>IF(ISNA(BU111),NA(),IF($B$26="",NA(),$B$26))</f>
        <v/>
      </c>
      <c r="BP111">
        <f>IF(ISNA(BU111),NA(),IF($B$28="",NA(),$B$28))</f>
        <v/>
      </c>
      <c r="BU111">
        <f>IF((BK$1+107)&gt;BI$1,NA(),MATCH((BK$1+107),_Calc!$C$5:$C$10004,0))</f>
        <v/>
      </c>
    </row>
    <row r="112">
      <c r="BH112">
        <f>IF(ISNA(BU112),NA(),(BK$1+108))</f>
        <v/>
      </c>
      <c r="BI112">
        <f>IF(ISNA(BU112),NA(),INDEX(_Calc!$D$5:$D$10004,BU112))</f>
        <v/>
      </c>
      <c r="BJ112">
        <f>IF(ISNA(BU112),NA(),IF($B$22="",NA(),$B$22))</f>
        <v/>
      </c>
      <c r="BK112">
        <f>IF(ISNA(BU112),NA(),IF($B$21="",NA(),$B$21))</f>
        <v/>
      </c>
      <c r="BL112">
        <f>IF(ISNA(BU112),NA(),IF($B$23="",NA(),$B$23))</f>
        <v/>
      </c>
      <c r="BM112">
        <f>IF(ISNA(BU112),NA(),IF(INDEX(_Calc!$F$5:$F$10004,BU112)="",NA(),INDEX(_Calc!$F$5:$F$10004,BU112)))</f>
        <v/>
      </c>
      <c r="BN112">
        <f>IF(ISNA(BU112),NA(),IF($B$24="",NA(),$B$24))</f>
        <v/>
      </c>
      <c r="BO112">
        <f>IF(ISNA(BU112),NA(),IF($B$26="",NA(),$B$26))</f>
        <v/>
      </c>
      <c r="BP112">
        <f>IF(ISNA(BU112),NA(),IF($B$28="",NA(),$B$28))</f>
        <v/>
      </c>
      <c r="BU112">
        <f>IF((BK$1+108)&gt;BI$1,NA(),MATCH((BK$1+108),_Calc!$C$5:$C$10004,0))</f>
        <v/>
      </c>
    </row>
    <row r="113">
      <c r="BH113">
        <f>IF(ISNA(BU113),NA(),(BK$1+109))</f>
        <v/>
      </c>
      <c r="BI113">
        <f>IF(ISNA(BU113),NA(),INDEX(_Calc!$D$5:$D$10004,BU113))</f>
        <v/>
      </c>
      <c r="BJ113">
        <f>IF(ISNA(BU113),NA(),IF($B$22="",NA(),$B$22))</f>
        <v/>
      </c>
      <c r="BK113">
        <f>IF(ISNA(BU113),NA(),IF($B$21="",NA(),$B$21))</f>
        <v/>
      </c>
      <c r="BL113">
        <f>IF(ISNA(BU113),NA(),IF($B$23="",NA(),$B$23))</f>
        <v/>
      </c>
      <c r="BM113">
        <f>IF(ISNA(BU113),NA(),IF(INDEX(_Calc!$F$5:$F$10004,BU113)="",NA(),INDEX(_Calc!$F$5:$F$10004,BU113)))</f>
        <v/>
      </c>
      <c r="BN113">
        <f>IF(ISNA(BU113),NA(),IF($B$24="",NA(),$B$24))</f>
        <v/>
      </c>
      <c r="BO113">
        <f>IF(ISNA(BU113),NA(),IF($B$26="",NA(),$B$26))</f>
        <v/>
      </c>
      <c r="BP113">
        <f>IF(ISNA(BU113),NA(),IF($B$28="",NA(),$B$28))</f>
        <v/>
      </c>
      <c r="BU113">
        <f>IF((BK$1+109)&gt;BI$1,NA(),MATCH((BK$1+109),_Calc!$C$5:$C$10004,0))</f>
        <v/>
      </c>
    </row>
    <row r="114">
      <c r="BH114">
        <f>IF(ISNA(BU114),NA(),(BK$1+110))</f>
        <v/>
      </c>
      <c r="BI114">
        <f>IF(ISNA(BU114),NA(),INDEX(_Calc!$D$5:$D$10004,BU114))</f>
        <v/>
      </c>
      <c r="BJ114">
        <f>IF(ISNA(BU114),NA(),IF($B$22="",NA(),$B$22))</f>
        <v/>
      </c>
      <c r="BK114">
        <f>IF(ISNA(BU114),NA(),IF($B$21="",NA(),$B$21))</f>
        <v/>
      </c>
      <c r="BL114">
        <f>IF(ISNA(BU114),NA(),IF($B$23="",NA(),$B$23))</f>
        <v/>
      </c>
      <c r="BM114">
        <f>IF(ISNA(BU114),NA(),IF(INDEX(_Calc!$F$5:$F$10004,BU114)="",NA(),INDEX(_Calc!$F$5:$F$10004,BU114)))</f>
        <v/>
      </c>
      <c r="BN114">
        <f>IF(ISNA(BU114),NA(),IF($B$24="",NA(),$B$24))</f>
        <v/>
      </c>
      <c r="BO114">
        <f>IF(ISNA(BU114),NA(),IF($B$26="",NA(),$B$26))</f>
        <v/>
      </c>
      <c r="BP114">
        <f>IF(ISNA(BU114),NA(),IF($B$28="",NA(),$B$28))</f>
        <v/>
      </c>
      <c r="BU114">
        <f>IF((BK$1+110)&gt;BI$1,NA(),MATCH((BK$1+110),_Calc!$C$5:$C$10004,0))</f>
        <v/>
      </c>
    </row>
    <row r="115">
      <c r="BH115">
        <f>IF(ISNA(BU115),NA(),(BK$1+111))</f>
        <v/>
      </c>
      <c r="BI115">
        <f>IF(ISNA(BU115),NA(),INDEX(_Calc!$D$5:$D$10004,BU115))</f>
        <v/>
      </c>
      <c r="BJ115">
        <f>IF(ISNA(BU115),NA(),IF($B$22="",NA(),$B$22))</f>
        <v/>
      </c>
      <c r="BK115">
        <f>IF(ISNA(BU115),NA(),IF($B$21="",NA(),$B$21))</f>
        <v/>
      </c>
      <c r="BL115">
        <f>IF(ISNA(BU115),NA(),IF($B$23="",NA(),$B$23))</f>
        <v/>
      </c>
      <c r="BM115">
        <f>IF(ISNA(BU115),NA(),IF(INDEX(_Calc!$F$5:$F$10004,BU115)="",NA(),INDEX(_Calc!$F$5:$F$10004,BU115)))</f>
        <v/>
      </c>
      <c r="BN115">
        <f>IF(ISNA(BU115),NA(),IF($B$24="",NA(),$B$24))</f>
        <v/>
      </c>
      <c r="BO115">
        <f>IF(ISNA(BU115),NA(),IF($B$26="",NA(),$B$26))</f>
        <v/>
      </c>
      <c r="BP115">
        <f>IF(ISNA(BU115),NA(),IF($B$28="",NA(),$B$28))</f>
        <v/>
      </c>
      <c r="BU115">
        <f>IF((BK$1+111)&gt;BI$1,NA(),MATCH((BK$1+111),_Calc!$C$5:$C$10004,0))</f>
        <v/>
      </c>
    </row>
    <row r="116">
      <c r="BH116">
        <f>IF(ISNA(BU116),NA(),(BK$1+112))</f>
        <v/>
      </c>
      <c r="BI116">
        <f>IF(ISNA(BU116),NA(),INDEX(_Calc!$D$5:$D$10004,BU116))</f>
        <v/>
      </c>
      <c r="BJ116">
        <f>IF(ISNA(BU116),NA(),IF($B$22="",NA(),$B$22))</f>
        <v/>
      </c>
      <c r="BK116">
        <f>IF(ISNA(BU116),NA(),IF($B$21="",NA(),$B$21))</f>
        <v/>
      </c>
      <c r="BL116">
        <f>IF(ISNA(BU116),NA(),IF($B$23="",NA(),$B$23))</f>
        <v/>
      </c>
      <c r="BM116">
        <f>IF(ISNA(BU116),NA(),IF(INDEX(_Calc!$F$5:$F$10004,BU116)="",NA(),INDEX(_Calc!$F$5:$F$10004,BU116)))</f>
        <v/>
      </c>
      <c r="BN116">
        <f>IF(ISNA(BU116),NA(),IF($B$24="",NA(),$B$24))</f>
        <v/>
      </c>
      <c r="BO116">
        <f>IF(ISNA(BU116),NA(),IF($B$26="",NA(),$B$26))</f>
        <v/>
      </c>
      <c r="BP116">
        <f>IF(ISNA(BU116),NA(),IF($B$28="",NA(),$B$28))</f>
        <v/>
      </c>
      <c r="BU116">
        <f>IF((BK$1+112)&gt;BI$1,NA(),MATCH((BK$1+112),_Calc!$C$5:$C$10004,0))</f>
        <v/>
      </c>
    </row>
    <row r="117">
      <c r="BH117">
        <f>IF(ISNA(BU117),NA(),(BK$1+113))</f>
        <v/>
      </c>
      <c r="BI117">
        <f>IF(ISNA(BU117),NA(),INDEX(_Calc!$D$5:$D$10004,BU117))</f>
        <v/>
      </c>
      <c r="BJ117">
        <f>IF(ISNA(BU117),NA(),IF($B$22="",NA(),$B$22))</f>
        <v/>
      </c>
      <c r="BK117">
        <f>IF(ISNA(BU117),NA(),IF($B$21="",NA(),$B$21))</f>
        <v/>
      </c>
      <c r="BL117">
        <f>IF(ISNA(BU117),NA(),IF($B$23="",NA(),$B$23))</f>
        <v/>
      </c>
      <c r="BM117">
        <f>IF(ISNA(BU117),NA(),IF(INDEX(_Calc!$F$5:$F$10004,BU117)="",NA(),INDEX(_Calc!$F$5:$F$10004,BU117)))</f>
        <v/>
      </c>
      <c r="BN117">
        <f>IF(ISNA(BU117),NA(),IF($B$24="",NA(),$B$24))</f>
        <v/>
      </c>
      <c r="BO117">
        <f>IF(ISNA(BU117),NA(),IF($B$26="",NA(),$B$26))</f>
        <v/>
      </c>
      <c r="BP117">
        <f>IF(ISNA(BU117),NA(),IF($B$28="",NA(),$B$28))</f>
        <v/>
      </c>
      <c r="BU117">
        <f>IF((BK$1+113)&gt;BI$1,NA(),MATCH((BK$1+113),_Calc!$C$5:$C$10004,0))</f>
        <v/>
      </c>
    </row>
    <row r="118">
      <c r="BH118">
        <f>IF(ISNA(BU118),NA(),(BK$1+114))</f>
        <v/>
      </c>
      <c r="BI118">
        <f>IF(ISNA(BU118),NA(),INDEX(_Calc!$D$5:$D$10004,BU118))</f>
        <v/>
      </c>
      <c r="BJ118">
        <f>IF(ISNA(BU118),NA(),IF($B$22="",NA(),$B$22))</f>
        <v/>
      </c>
      <c r="BK118">
        <f>IF(ISNA(BU118),NA(),IF($B$21="",NA(),$B$21))</f>
        <v/>
      </c>
      <c r="BL118">
        <f>IF(ISNA(BU118),NA(),IF($B$23="",NA(),$B$23))</f>
        <v/>
      </c>
      <c r="BM118">
        <f>IF(ISNA(BU118),NA(),IF(INDEX(_Calc!$F$5:$F$10004,BU118)="",NA(),INDEX(_Calc!$F$5:$F$10004,BU118)))</f>
        <v/>
      </c>
      <c r="BN118">
        <f>IF(ISNA(BU118),NA(),IF($B$24="",NA(),$B$24))</f>
        <v/>
      </c>
      <c r="BO118">
        <f>IF(ISNA(BU118),NA(),IF($B$26="",NA(),$B$26))</f>
        <v/>
      </c>
      <c r="BP118">
        <f>IF(ISNA(BU118),NA(),IF($B$28="",NA(),$B$28))</f>
        <v/>
      </c>
      <c r="BU118">
        <f>IF((BK$1+114)&gt;BI$1,NA(),MATCH((BK$1+114),_Calc!$C$5:$C$10004,0))</f>
        <v/>
      </c>
    </row>
    <row r="119">
      <c r="BH119">
        <f>IF(ISNA(BU119),NA(),(BK$1+115))</f>
        <v/>
      </c>
      <c r="BI119">
        <f>IF(ISNA(BU119),NA(),INDEX(_Calc!$D$5:$D$10004,BU119))</f>
        <v/>
      </c>
      <c r="BJ119">
        <f>IF(ISNA(BU119),NA(),IF($B$22="",NA(),$B$22))</f>
        <v/>
      </c>
      <c r="BK119">
        <f>IF(ISNA(BU119),NA(),IF($B$21="",NA(),$B$21))</f>
        <v/>
      </c>
      <c r="BL119">
        <f>IF(ISNA(BU119),NA(),IF($B$23="",NA(),$B$23))</f>
        <v/>
      </c>
      <c r="BM119">
        <f>IF(ISNA(BU119),NA(),IF(INDEX(_Calc!$F$5:$F$10004,BU119)="",NA(),INDEX(_Calc!$F$5:$F$10004,BU119)))</f>
        <v/>
      </c>
      <c r="BN119">
        <f>IF(ISNA(BU119),NA(),IF($B$24="",NA(),$B$24))</f>
        <v/>
      </c>
      <c r="BO119">
        <f>IF(ISNA(BU119),NA(),IF($B$26="",NA(),$B$26))</f>
        <v/>
      </c>
      <c r="BP119">
        <f>IF(ISNA(BU119),NA(),IF($B$28="",NA(),$B$28))</f>
        <v/>
      </c>
      <c r="BU119">
        <f>IF((BK$1+115)&gt;BI$1,NA(),MATCH((BK$1+115),_Calc!$C$5:$C$10004,0))</f>
        <v/>
      </c>
    </row>
    <row r="120">
      <c r="BH120">
        <f>IF(ISNA(BU120),NA(),(BK$1+116))</f>
        <v/>
      </c>
      <c r="BI120">
        <f>IF(ISNA(BU120),NA(),INDEX(_Calc!$D$5:$D$10004,BU120))</f>
        <v/>
      </c>
      <c r="BJ120">
        <f>IF(ISNA(BU120),NA(),IF($B$22="",NA(),$B$22))</f>
        <v/>
      </c>
      <c r="BK120">
        <f>IF(ISNA(BU120),NA(),IF($B$21="",NA(),$B$21))</f>
        <v/>
      </c>
      <c r="BL120">
        <f>IF(ISNA(BU120),NA(),IF($B$23="",NA(),$B$23))</f>
        <v/>
      </c>
      <c r="BM120">
        <f>IF(ISNA(BU120),NA(),IF(INDEX(_Calc!$F$5:$F$10004,BU120)="",NA(),INDEX(_Calc!$F$5:$F$10004,BU120)))</f>
        <v/>
      </c>
      <c r="BN120">
        <f>IF(ISNA(BU120),NA(),IF($B$24="",NA(),$B$24))</f>
        <v/>
      </c>
      <c r="BO120">
        <f>IF(ISNA(BU120),NA(),IF($B$26="",NA(),$B$26))</f>
        <v/>
      </c>
      <c r="BP120">
        <f>IF(ISNA(BU120),NA(),IF($B$28="",NA(),$B$28))</f>
        <v/>
      </c>
      <c r="BU120">
        <f>IF((BK$1+116)&gt;BI$1,NA(),MATCH((BK$1+116),_Calc!$C$5:$C$10004,0))</f>
        <v/>
      </c>
    </row>
    <row r="121">
      <c r="BH121">
        <f>IF(ISNA(BU121),NA(),(BK$1+117))</f>
        <v/>
      </c>
      <c r="BI121">
        <f>IF(ISNA(BU121),NA(),INDEX(_Calc!$D$5:$D$10004,BU121))</f>
        <v/>
      </c>
      <c r="BJ121">
        <f>IF(ISNA(BU121),NA(),IF($B$22="",NA(),$B$22))</f>
        <v/>
      </c>
      <c r="BK121">
        <f>IF(ISNA(BU121),NA(),IF($B$21="",NA(),$B$21))</f>
        <v/>
      </c>
      <c r="BL121">
        <f>IF(ISNA(BU121),NA(),IF($B$23="",NA(),$B$23))</f>
        <v/>
      </c>
      <c r="BM121">
        <f>IF(ISNA(BU121),NA(),IF(INDEX(_Calc!$F$5:$F$10004,BU121)="",NA(),INDEX(_Calc!$F$5:$F$10004,BU121)))</f>
        <v/>
      </c>
      <c r="BN121">
        <f>IF(ISNA(BU121),NA(),IF($B$24="",NA(),$B$24))</f>
        <v/>
      </c>
      <c r="BO121">
        <f>IF(ISNA(BU121),NA(),IF($B$26="",NA(),$B$26))</f>
        <v/>
      </c>
      <c r="BP121">
        <f>IF(ISNA(BU121),NA(),IF($B$28="",NA(),$B$28))</f>
        <v/>
      </c>
      <c r="BU121">
        <f>IF((BK$1+117)&gt;BI$1,NA(),MATCH((BK$1+117),_Calc!$C$5:$C$10004,0))</f>
        <v/>
      </c>
    </row>
    <row r="122">
      <c r="BH122">
        <f>IF(ISNA(BU122),NA(),(BK$1+118))</f>
        <v/>
      </c>
      <c r="BI122">
        <f>IF(ISNA(BU122),NA(),INDEX(_Calc!$D$5:$D$10004,BU122))</f>
        <v/>
      </c>
      <c r="BJ122">
        <f>IF(ISNA(BU122),NA(),IF($B$22="",NA(),$B$22))</f>
        <v/>
      </c>
      <c r="BK122">
        <f>IF(ISNA(BU122),NA(),IF($B$21="",NA(),$B$21))</f>
        <v/>
      </c>
      <c r="BL122">
        <f>IF(ISNA(BU122),NA(),IF($B$23="",NA(),$B$23))</f>
        <v/>
      </c>
      <c r="BM122">
        <f>IF(ISNA(BU122),NA(),IF(INDEX(_Calc!$F$5:$F$10004,BU122)="",NA(),INDEX(_Calc!$F$5:$F$10004,BU122)))</f>
        <v/>
      </c>
      <c r="BN122">
        <f>IF(ISNA(BU122),NA(),IF($B$24="",NA(),$B$24))</f>
        <v/>
      </c>
      <c r="BO122">
        <f>IF(ISNA(BU122),NA(),IF($B$26="",NA(),$B$26))</f>
        <v/>
      </c>
      <c r="BP122">
        <f>IF(ISNA(BU122),NA(),IF($B$28="",NA(),$B$28))</f>
        <v/>
      </c>
      <c r="BU122">
        <f>IF((BK$1+118)&gt;BI$1,NA(),MATCH((BK$1+118),_Calc!$C$5:$C$10004,0))</f>
        <v/>
      </c>
    </row>
    <row r="123">
      <c r="BH123">
        <f>IF(ISNA(BU123),NA(),(BK$1+119))</f>
        <v/>
      </c>
      <c r="BI123">
        <f>IF(ISNA(BU123),NA(),INDEX(_Calc!$D$5:$D$10004,BU123))</f>
        <v/>
      </c>
      <c r="BJ123">
        <f>IF(ISNA(BU123),NA(),IF($B$22="",NA(),$B$22))</f>
        <v/>
      </c>
      <c r="BK123">
        <f>IF(ISNA(BU123),NA(),IF($B$21="",NA(),$B$21))</f>
        <v/>
      </c>
      <c r="BL123">
        <f>IF(ISNA(BU123),NA(),IF($B$23="",NA(),$B$23))</f>
        <v/>
      </c>
      <c r="BM123">
        <f>IF(ISNA(BU123),NA(),IF(INDEX(_Calc!$F$5:$F$10004,BU123)="",NA(),INDEX(_Calc!$F$5:$F$10004,BU123)))</f>
        <v/>
      </c>
      <c r="BN123">
        <f>IF(ISNA(BU123),NA(),IF($B$24="",NA(),$B$24))</f>
        <v/>
      </c>
      <c r="BO123">
        <f>IF(ISNA(BU123),NA(),IF($B$26="",NA(),$B$26))</f>
        <v/>
      </c>
      <c r="BP123">
        <f>IF(ISNA(BU123),NA(),IF($B$28="",NA(),$B$28))</f>
        <v/>
      </c>
      <c r="BU123">
        <f>IF((BK$1+119)&gt;BI$1,NA(),MATCH((BK$1+119),_Calc!$C$5:$C$10004,0))</f>
        <v/>
      </c>
    </row>
    <row r="124">
      <c r="BH124">
        <f>IF(ISNA(BU124),NA(),(BK$1+120))</f>
        <v/>
      </c>
      <c r="BI124">
        <f>IF(ISNA(BU124),NA(),INDEX(_Calc!$D$5:$D$10004,BU124))</f>
        <v/>
      </c>
      <c r="BJ124">
        <f>IF(ISNA(BU124),NA(),IF($B$22="",NA(),$B$22))</f>
        <v/>
      </c>
      <c r="BK124">
        <f>IF(ISNA(BU124),NA(),IF($B$21="",NA(),$B$21))</f>
        <v/>
      </c>
      <c r="BL124">
        <f>IF(ISNA(BU124),NA(),IF($B$23="",NA(),$B$23))</f>
        <v/>
      </c>
      <c r="BM124">
        <f>IF(ISNA(BU124),NA(),IF(INDEX(_Calc!$F$5:$F$10004,BU124)="",NA(),INDEX(_Calc!$F$5:$F$10004,BU124)))</f>
        <v/>
      </c>
      <c r="BN124">
        <f>IF(ISNA(BU124),NA(),IF($B$24="",NA(),$B$24))</f>
        <v/>
      </c>
      <c r="BO124">
        <f>IF(ISNA(BU124),NA(),IF($B$26="",NA(),$B$26))</f>
        <v/>
      </c>
      <c r="BP124">
        <f>IF(ISNA(BU124),NA(),IF($B$28="",NA(),$B$28))</f>
        <v/>
      </c>
      <c r="BU124">
        <f>IF((BK$1+120)&gt;BI$1,NA(),MATCH((BK$1+120),_Calc!$C$5:$C$10004,0))</f>
        <v/>
      </c>
    </row>
    <row r="125">
      <c r="BH125">
        <f>IF(ISNA(BU125),NA(),(BK$1+121))</f>
        <v/>
      </c>
      <c r="BI125">
        <f>IF(ISNA(BU125),NA(),INDEX(_Calc!$D$5:$D$10004,BU125))</f>
        <v/>
      </c>
      <c r="BJ125">
        <f>IF(ISNA(BU125),NA(),IF($B$22="",NA(),$B$22))</f>
        <v/>
      </c>
      <c r="BK125">
        <f>IF(ISNA(BU125),NA(),IF($B$21="",NA(),$B$21))</f>
        <v/>
      </c>
      <c r="BL125">
        <f>IF(ISNA(BU125),NA(),IF($B$23="",NA(),$B$23))</f>
        <v/>
      </c>
      <c r="BM125">
        <f>IF(ISNA(BU125),NA(),IF(INDEX(_Calc!$F$5:$F$10004,BU125)="",NA(),INDEX(_Calc!$F$5:$F$10004,BU125)))</f>
        <v/>
      </c>
      <c r="BN125">
        <f>IF(ISNA(BU125),NA(),IF($B$24="",NA(),$B$24))</f>
        <v/>
      </c>
      <c r="BO125">
        <f>IF(ISNA(BU125),NA(),IF($B$26="",NA(),$B$26))</f>
        <v/>
      </c>
      <c r="BP125">
        <f>IF(ISNA(BU125),NA(),IF($B$28="",NA(),$B$28))</f>
        <v/>
      </c>
      <c r="BU125">
        <f>IF((BK$1+121)&gt;BI$1,NA(),MATCH((BK$1+121),_Calc!$C$5:$C$10004,0))</f>
        <v/>
      </c>
    </row>
    <row r="126">
      <c r="BH126">
        <f>IF(ISNA(BU126),NA(),(BK$1+122))</f>
        <v/>
      </c>
      <c r="BI126">
        <f>IF(ISNA(BU126),NA(),INDEX(_Calc!$D$5:$D$10004,BU126))</f>
        <v/>
      </c>
      <c r="BJ126">
        <f>IF(ISNA(BU126),NA(),IF($B$22="",NA(),$B$22))</f>
        <v/>
      </c>
      <c r="BK126">
        <f>IF(ISNA(BU126),NA(),IF($B$21="",NA(),$B$21))</f>
        <v/>
      </c>
      <c r="BL126">
        <f>IF(ISNA(BU126),NA(),IF($B$23="",NA(),$B$23))</f>
        <v/>
      </c>
      <c r="BM126">
        <f>IF(ISNA(BU126),NA(),IF(INDEX(_Calc!$F$5:$F$10004,BU126)="",NA(),INDEX(_Calc!$F$5:$F$10004,BU126)))</f>
        <v/>
      </c>
      <c r="BN126">
        <f>IF(ISNA(BU126),NA(),IF($B$24="",NA(),$B$24))</f>
        <v/>
      </c>
      <c r="BO126">
        <f>IF(ISNA(BU126),NA(),IF($B$26="",NA(),$B$26))</f>
        <v/>
      </c>
      <c r="BP126">
        <f>IF(ISNA(BU126),NA(),IF($B$28="",NA(),$B$28))</f>
        <v/>
      </c>
      <c r="BU126">
        <f>IF((BK$1+122)&gt;BI$1,NA(),MATCH((BK$1+122),_Calc!$C$5:$C$10004,0))</f>
        <v/>
      </c>
    </row>
    <row r="127">
      <c r="BH127">
        <f>IF(ISNA(BU127),NA(),(BK$1+123))</f>
        <v/>
      </c>
      <c r="BI127">
        <f>IF(ISNA(BU127),NA(),INDEX(_Calc!$D$5:$D$10004,BU127))</f>
        <v/>
      </c>
      <c r="BJ127">
        <f>IF(ISNA(BU127),NA(),IF($B$22="",NA(),$B$22))</f>
        <v/>
      </c>
      <c r="BK127">
        <f>IF(ISNA(BU127),NA(),IF($B$21="",NA(),$B$21))</f>
        <v/>
      </c>
      <c r="BL127">
        <f>IF(ISNA(BU127),NA(),IF($B$23="",NA(),$B$23))</f>
        <v/>
      </c>
      <c r="BM127">
        <f>IF(ISNA(BU127),NA(),IF(INDEX(_Calc!$F$5:$F$10004,BU127)="",NA(),INDEX(_Calc!$F$5:$F$10004,BU127)))</f>
        <v/>
      </c>
      <c r="BN127">
        <f>IF(ISNA(BU127),NA(),IF($B$24="",NA(),$B$24))</f>
        <v/>
      </c>
      <c r="BO127">
        <f>IF(ISNA(BU127),NA(),IF($B$26="",NA(),$B$26))</f>
        <v/>
      </c>
      <c r="BP127">
        <f>IF(ISNA(BU127),NA(),IF($B$28="",NA(),$B$28))</f>
        <v/>
      </c>
      <c r="BU127">
        <f>IF((BK$1+123)&gt;BI$1,NA(),MATCH((BK$1+123),_Calc!$C$5:$C$10004,0))</f>
        <v/>
      </c>
    </row>
    <row r="128">
      <c r="BH128">
        <f>IF(ISNA(BU128),NA(),(BK$1+124))</f>
        <v/>
      </c>
      <c r="BI128">
        <f>IF(ISNA(BU128),NA(),INDEX(_Calc!$D$5:$D$10004,BU128))</f>
        <v/>
      </c>
      <c r="BJ128">
        <f>IF(ISNA(BU128),NA(),IF($B$22="",NA(),$B$22))</f>
        <v/>
      </c>
      <c r="BK128">
        <f>IF(ISNA(BU128),NA(),IF($B$21="",NA(),$B$21))</f>
        <v/>
      </c>
      <c r="BL128">
        <f>IF(ISNA(BU128),NA(),IF($B$23="",NA(),$B$23))</f>
        <v/>
      </c>
      <c r="BM128">
        <f>IF(ISNA(BU128),NA(),IF(INDEX(_Calc!$F$5:$F$10004,BU128)="",NA(),INDEX(_Calc!$F$5:$F$10004,BU128)))</f>
        <v/>
      </c>
      <c r="BN128">
        <f>IF(ISNA(BU128),NA(),IF($B$24="",NA(),$B$24))</f>
        <v/>
      </c>
      <c r="BO128">
        <f>IF(ISNA(BU128),NA(),IF($B$26="",NA(),$B$26))</f>
        <v/>
      </c>
      <c r="BP128">
        <f>IF(ISNA(BU128),NA(),IF($B$28="",NA(),$B$28))</f>
        <v/>
      </c>
      <c r="BU128">
        <f>IF((BK$1+124)&gt;BI$1,NA(),MATCH((BK$1+124),_Calc!$C$5:$C$10004,0))</f>
        <v/>
      </c>
    </row>
    <row r="129">
      <c r="BH129">
        <f>IF(ISNA(BU129),NA(),(BK$1+125))</f>
        <v/>
      </c>
      <c r="BI129">
        <f>IF(ISNA(BU129),NA(),INDEX(_Calc!$D$5:$D$10004,BU129))</f>
        <v/>
      </c>
      <c r="BJ129">
        <f>IF(ISNA(BU129),NA(),IF($B$22="",NA(),$B$22))</f>
        <v/>
      </c>
      <c r="BK129">
        <f>IF(ISNA(BU129),NA(),IF($B$21="",NA(),$B$21))</f>
        <v/>
      </c>
      <c r="BL129">
        <f>IF(ISNA(BU129),NA(),IF($B$23="",NA(),$B$23))</f>
        <v/>
      </c>
      <c r="BM129">
        <f>IF(ISNA(BU129),NA(),IF(INDEX(_Calc!$F$5:$F$10004,BU129)="",NA(),INDEX(_Calc!$F$5:$F$10004,BU129)))</f>
        <v/>
      </c>
      <c r="BN129">
        <f>IF(ISNA(BU129),NA(),IF($B$24="",NA(),$B$24))</f>
        <v/>
      </c>
      <c r="BO129">
        <f>IF(ISNA(BU129),NA(),IF($B$26="",NA(),$B$26))</f>
        <v/>
      </c>
      <c r="BP129">
        <f>IF(ISNA(BU129),NA(),IF($B$28="",NA(),$B$28))</f>
        <v/>
      </c>
      <c r="BU129">
        <f>IF((BK$1+125)&gt;BI$1,NA(),MATCH((BK$1+125),_Calc!$C$5:$C$10004,0))</f>
        <v/>
      </c>
    </row>
    <row r="130">
      <c r="BH130">
        <f>IF(ISNA(BU130),NA(),(BK$1+126))</f>
        <v/>
      </c>
      <c r="BI130">
        <f>IF(ISNA(BU130),NA(),INDEX(_Calc!$D$5:$D$10004,BU130))</f>
        <v/>
      </c>
      <c r="BJ130">
        <f>IF(ISNA(BU130),NA(),IF($B$22="",NA(),$B$22))</f>
        <v/>
      </c>
      <c r="BK130">
        <f>IF(ISNA(BU130),NA(),IF($B$21="",NA(),$B$21))</f>
        <v/>
      </c>
      <c r="BL130">
        <f>IF(ISNA(BU130),NA(),IF($B$23="",NA(),$B$23))</f>
        <v/>
      </c>
      <c r="BM130">
        <f>IF(ISNA(BU130),NA(),IF(INDEX(_Calc!$F$5:$F$10004,BU130)="",NA(),INDEX(_Calc!$F$5:$F$10004,BU130)))</f>
        <v/>
      </c>
      <c r="BN130">
        <f>IF(ISNA(BU130),NA(),IF($B$24="",NA(),$B$24))</f>
        <v/>
      </c>
      <c r="BO130">
        <f>IF(ISNA(BU130),NA(),IF($B$26="",NA(),$B$26))</f>
        <v/>
      </c>
      <c r="BP130">
        <f>IF(ISNA(BU130),NA(),IF($B$28="",NA(),$B$28))</f>
        <v/>
      </c>
      <c r="BU130">
        <f>IF((BK$1+126)&gt;BI$1,NA(),MATCH((BK$1+126),_Calc!$C$5:$C$10004,0))</f>
        <v/>
      </c>
    </row>
    <row r="131">
      <c r="BH131">
        <f>IF(ISNA(BU131),NA(),(BK$1+127))</f>
        <v/>
      </c>
      <c r="BI131">
        <f>IF(ISNA(BU131),NA(),INDEX(_Calc!$D$5:$D$10004,BU131))</f>
        <v/>
      </c>
      <c r="BJ131">
        <f>IF(ISNA(BU131),NA(),IF($B$22="",NA(),$B$22))</f>
        <v/>
      </c>
      <c r="BK131">
        <f>IF(ISNA(BU131),NA(),IF($B$21="",NA(),$B$21))</f>
        <v/>
      </c>
      <c r="BL131">
        <f>IF(ISNA(BU131),NA(),IF($B$23="",NA(),$B$23))</f>
        <v/>
      </c>
      <c r="BM131">
        <f>IF(ISNA(BU131),NA(),IF(INDEX(_Calc!$F$5:$F$10004,BU131)="",NA(),INDEX(_Calc!$F$5:$F$10004,BU131)))</f>
        <v/>
      </c>
      <c r="BN131">
        <f>IF(ISNA(BU131),NA(),IF($B$24="",NA(),$B$24))</f>
        <v/>
      </c>
      <c r="BO131">
        <f>IF(ISNA(BU131),NA(),IF($B$26="",NA(),$B$26))</f>
        <v/>
      </c>
      <c r="BP131">
        <f>IF(ISNA(BU131),NA(),IF($B$28="",NA(),$B$28))</f>
        <v/>
      </c>
      <c r="BU131">
        <f>IF((BK$1+127)&gt;BI$1,NA(),MATCH((BK$1+127),_Calc!$C$5:$C$10004,0))</f>
        <v/>
      </c>
    </row>
    <row r="132">
      <c r="BH132">
        <f>IF(ISNA(BU132),NA(),(BK$1+128))</f>
        <v/>
      </c>
      <c r="BI132">
        <f>IF(ISNA(BU132),NA(),INDEX(_Calc!$D$5:$D$10004,BU132))</f>
        <v/>
      </c>
      <c r="BJ132">
        <f>IF(ISNA(BU132),NA(),IF($B$22="",NA(),$B$22))</f>
        <v/>
      </c>
      <c r="BK132">
        <f>IF(ISNA(BU132),NA(),IF($B$21="",NA(),$B$21))</f>
        <v/>
      </c>
      <c r="BL132">
        <f>IF(ISNA(BU132),NA(),IF($B$23="",NA(),$B$23))</f>
        <v/>
      </c>
      <c r="BM132">
        <f>IF(ISNA(BU132),NA(),IF(INDEX(_Calc!$F$5:$F$10004,BU132)="",NA(),INDEX(_Calc!$F$5:$F$10004,BU132)))</f>
        <v/>
      </c>
      <c r="BN132">
        <f>IF(ISNA(BU132),NA(),IF($B$24="",NA(),$B$24))</f>
        <v/>
      </c>
      <c r="BO132">
        <f>IF(ISNA(BU132),NA(),IF($B$26="",NA(),$B$26))</f>
        <v/>
      </c>
      <c r="BP132">
        <f>IF(ISNA(BU132),NA(),IF($B$28="",NA(),$B$28))</f>
        <v/>
      </c>
      <c r="BU132">
        <f>IF((BK$1+128)&gt;BI$1,NA(),MATCH((BK$1+128),_Calc!$C$5:$C$10004,0))</f>
        <v/>
      </c>
    </row>
    <row r="133">
      <c r="BH133">
        <f>IF(ISNA(BU133),NA(),(BK$1+129))</f>
        <v/>
      </c>
      <c r="BI133">
        <f>IF(ISNA(BU133),NA(),INDEX(_Calc!$D$5:$D$10004,BU133))</f>
        <v/>
      </c>
      <c r="BJ133">
        <f>IF(ISNA(BU133),NA(),IF($B$22="",NA(),$B$22))</f>
        <v/>
      </c>
      <c r="BK133">
        <f>IF(ISNA(BU133),NA(),IF($B$21="",NA(),$B$21))</f>
        <v/>
      </c>
      <c r="BL133">
        <f>IF(ISNA(BU133),NA(),IF($B$23="",NA(),$B$23))</f>
        <v/>
      </c>
      <c r="BM133">
        <f>IF(ISNA(BU133),NA(),IF(INDEX(_Calc!$F$5:$F$10004,BU133)="",NA(),INDEX(_Calc!$F$5:$F$10004,BU133)))</f>
        <v/>
      </c>
      <c r="BN133">
        <f>IF(ISNA(BU133),NA(),IF($B$24="",NA(),$B$24))</f>
        <v/>
      </c>
      <c r="BO133">
        <f>IF(ISNA(BU133),NA(),IF($B$26="",NA(),$B$26))</f>
        <v/>
      </c>
      <c r="BP133">
        <f>IF(ISNA(BU133),NA(),IF($B$28="",NA(),$B$28))</f>
        <v/>
      </c>
      <c r="BU133">
        <f>IF((BK$1+129)&gt;BI$1,NA(),MATCH((BK$1+129),_Calc!$C$5:$C$10004,0))</f>
        <v/>
      </c>
    </row>
    <row r="134">
      <c r="BH134">
        <f>IF(ISNA(BU134),NA(),(BK$1+130))</f>
        <v/>
      </c>
      <c r="BI134">
        <f>IF(ISNA(BU134),NA(),INDEX(_Calc!$D$5:$D$10004,BU134))</f>
        <v/>
      </c>
      <c r="BJ134">
        <f>IF(ISNA(BU134),NA(),IF($B$22="",NA(),$B$22))</f>
        <v/>
      </c>
      <c r="BK134">
        <f>IF(ISNA(BU134),NA(),IF($B$21="",NA(),$B$21))</f>
        <v/>
      </c>
      <c r="BL134">
        <f>IF(ISNA(BU134),NA(),IF($B$23="",NA(),$B$23))</f>
        <v/>
      </c>
      <c r="BM134">
        <f>IF(ISNA(BU134),NA(),IF(INDEX(_Calc!$F$5:$F$10004,BU134)="",NA(),INDEX(_Calc!$F$5:$F$10004,BU134)))</f>
        <v/>
      </c>
      <c r="BN134">
        <f>IF(ISNA(BU134),NA(),IF($B$24="",NA(),$B$24))</f>
        <v/>
      </c>
      <c r="BO134">
        <f>IF(ISNA(BU134),NA(),IF($B$26="",NA(),$B$26))</f>
        <v/>
      </c>
      <c r="BP134">
        <f>IF(ISNA(BU134),NA(),IF($B$28="",NA(),$B$28))</f>
        <v/>
      </c>
      <c r="BU134">
        <f>IF((BK$1+130)&gt;BI$1,NA(),MATCH((BK$1+130),_Calc!$C$5:$C$10004,0))</f>
        <v/>
      </c>
    </row>
    <row r="135">
      <c r="BH135">
        <f>IF(ISNA(BU135),NA(),(BK$1+131))</f>
        <v/>
      </c>
      <c r="BI135">
        <f>IF(ISNA(BU135),NA(),INDEX(_Calc!$D$5:$D$10004,BU135))</f>
        <v/>
      </c>
      <c r="BJ135">
        <f>IF(ISNA(BU135),NA(),IF($B$22="",NA(),$B$22))</f>
        <v/>
      </c>
      <c r="BK135">
        <f>IF(ISNA(BU135),NA(),IF($B$21="",NA(),$B$21))</f>
        <v/>
      </c>
      <c r="BL135">
        <f>IF(ISNA(BU135),NA(),IF($B$23="",NA(),$B$23))</f>
        <v/>
      </c>
      <c r="BM135">
        <f>IF(ISNA(BU135),NA(),IF(INDEX(_Calc!$F$5:$F$10004,BU135)="",NA(),INDEX(_Calc!$F$5:$F$10004,BU135)))</f>
        <v/>
      </c>
      <c r="BN135">
        <f>IF(ISNA(BU135),NA(),IF($B$24="",NA(),$B$24))</f>
        <v/>
      </c>
      <c r="BO135">
        <f>IF(ISNA(BU135),NA(),IF($B$26="",NA(),$B$26))</f>
        <v/>
      </c>
      <c r="BP135">
        <f>IF(ISNA(BU135),NA(),IF($B$28="",NA(),$B$28))</f>
        <v/>
      </c>
      <c r="BU135">
        <f>IF((BK$1+131)&gt;BI$1,NA(),MATCH((BK$1+131),_Calc!$C$5:$C$10004,0))</f>
        <v/>
      </c>
    </row>
    <row r="136">
      <c r="BH136">
        <f>IF(ISNA(BU136),NA(),(BK$1+132))</f>
        <v/>
      </c>
      <c r="BI136">
        <f>IF(ISNA(BU136),NA(),INDEX(_Calc!$D$5:$D$10004,BU136))</f>
        <v/>
      </c>
      <c r="BJ136">
        <f>IF(ISNA(BU136),NA(),IF($B$22="",NA(),$B$22))</f>
        <v/>
      </c>
      <c r="BK136">
        <f>IF(ISNA(BU136),NA(),IF($B$21="",NA(),$B$21))</f>
        <v/>
      </c>
      <c r="BL136">
        <f>IF(ISNA(BU136),NA(),IF($B$23="",NA(),$B$23))</f>
        <v/>
      </c>
      <c r="BM136">
        <f>IF(ISNA(BU136),NA(),IF(INDEX(_Calc!$F$5:$F$10004,BU136)="",NA(),INDEX(_Calc!$F$5:$F$10004,BU136)))</f>
        <v/>
      </c>
      <c r="BN136">
        <f>IF(ISNA(BU136),NA(),IF($B$24="",NA(),$B$24))</f>
        <v/>
      </c>
      <c r="BO136">
        <f>IF(ISNA(BU136),NA(),IF($B$26="",NA(),$B$26))</f>
        <v/>
      </c>
      <c r="BP136">
        <f>IF(ISNA(BU136),NA(),IF($B$28="",NA(),$B$28))</f>
        <v/>
      </c>
      <c r="BU136">
        <f>IF((BK$1+132)&gt;BI$1,NA(),MATCH((BK$1+132),_Calc!$C$5:$C$10004,0))</f>
        <v/>
      </c>
    </row>
    <row r="137">
      <c r="BH137">
        <f>IF(ISNA(BU137),NA(),(BK$1+133))</f>
        <v/>
      </c>
      <c r="BI137">
        <f>IF(ISNA(BU137),NA(),INDEX(_Calc!$D$5:$D$10004,BU137))</f>
        <v/>
      </c>
      <c r="BJ137">
        <f>IF(ISNA(BU137),NA(),IF($B$22="",NA(),$B$22))</f>
        <v/>
      </c>
      <c r="BK137">
        <f>IF(ISNA(BU137),NA(),IF($B$21="",NA(),$B$21))</f>
        <v/>
      </c>
      <c r="BL137">
        <f>IF(ISNA(BU137),NA(),IF($B$23="",NA(),$B$23))</f>
        <v/>
      </c>
      <c r="BM137">
        <f>IF(ISNA(BU137),NA(),IF(INDEX(_Calc!$F$5:$F$10004,BU137)="",NA(),INDEX(_Calc!$F$5:$F$10004,BU137)))</f>
        <v/>
      </c>
      <c r="BN137">
        <f>IF(ISNA(BU137),NA(),IF($B$24="",NA(),$B$24))</f>
        <v/>
      </c>
      <c r="BO137">
        <f>IF(ISNA(BU137),NA(),IF($B$26="",NA(),$B$26))</f>
        <v/>
      </c>
      <c r="BP137">
        <f>IF(ISNA(BU137),NA(),IF($B$28="",NA(),$B$28))</f>
        <v/>
      </c>
      <c r="BU137">
        <f>IF((BK$1+133)&gt;BI$1,NA(),MATCH((BK$1+133),_Calc!$C$5:$C$10004,0))</f>
        <v/>
      </c>
    </row>
    <row r="138">
      <c r="BH138">
        <f>IF(ISNA(BU138),NA(),(BK$1+134))</f>
        <v/>
      </c>
      <c r="BI138">
        <f>IF(ISNA(BU138),NA(),INDEX(_Calc!$D$5:$D$10004,BU138))</f>
        <v/>
      </c>
      <c r="BJ138">
        <f>IF(ISNA(BU138),NA(),IF($B$22="",NA(),$B$22))</f>
        <v/>
      </c>
      <c r="BK138">
        <f>IF(ISNA(BU138),NA(),IF($B$21="",NA(),$B$21))</f>
        <v/>
      </c>
      <c r="BL138">
        <f>IF(ISNA(BU138),NA(),IF($B$23="",NA(),$B$23))</f>
        <v/>
      </c>
      <c r="BM138">
        <f>IF(ISNA(BU138),NA(),IF(INDEX(_Calc!$F$5:$F$10004,BU138)="",NA(),INDEX(_Calc!$F$5:$F$10004,BU138)))</f>
        <v/>
      </c>
      <c r="BN138">
        <f>IF(ISNA(BU138),NA(),IF($B$24="",NA(),$B$24))</f>
        <v/>
      </c>
      <c r="BO138">
        <f>IF(ISNA(BU138),NA(),IF($B$26="",NA(),$B$26))</f>
        <v/>
      </c>
      <c r="BP138">
        <f>IF(ISNA(BU138),NA(),IF($B$28="",NA(),$B$28))</f>
        <v/>
      </c>
      <c r="BU138">
        <f>IF((BK$1+134)&gt;BI$1,NA(),MATCH((BK$1+134),_Calc!$C$5:$C$10004,0))</f>
        <v/>
      </c>
    </row>
    <row r="139">
      <c r="BH139">
        <f>IF(ISNA(BU139),NA(),(BK$1+135))</f>
        <v/>
      </c>
      <c r="BI139">
        <f>IF(ISNA(BU139),NA(),INDEX(_Calc!$D$5:$D$10004,BU139))</f>
        <v/>
      </c>
      <c r="BJ139">
        <f>IF(ISNA(BU139),NA(),IF($B$22="",NA(),$B$22))</f>
        <v/>
      </c>
      <c r="BK139">
        <f>IF(ISNA(BU139),NA(),IF($B$21="",NA(),$B$21))</f>
        <v/>
      </c>
      <c r="BL139">
        <f>IF(ISNA(BU139),NA(),IF($B$23="",NA(),$B$23))</f>
        <v/>
      </c>
      <c r="BM139">
        <f>IF(ISNA(BU139),NA(),IF(INDEX(_Calc!$F$5:$F$10004,BU139)="",NA(),INDEX(_Calc!$F$5:$F$10004,BU139)))</f>
        <v/>
      </c>
      <c r="BN139">
        <f>IF(ISNA(BU139),NA(),IF($B$24="",NA(),$B$24))</f>
        <v/>
      </c>
      <c r="BO139">
        <f>IF(ISNA(BU139),NA(),IF($B$26="",NA(),$B$26))</f>
        <v/>
      </c>
      <c r="BP139">
        <f>IF(ISNA(BU139),NA(),IF($B$28="",NA(),$B$28))</f>
        <v/>
      </c>
      <c r="BU139">
        <f>IF((BK$1+135)&gt;BI$1,NA(),MATCH((BK$1+135),_Calc!$C$5:$C$10004,0))</f>
        <v/>
      </c>
    </row>
    <row r="140">
      <c r="BH140">
        <f>IF(ISNA(BU140),NA(),(BK$1+136))</f>
        <v/>
      </c>
      <c r="BI140">
        <f>IF(ISNA(BU140),NA(),INDEX(_Calc!$D$5:$D$10004,BU140))</f>
        <v/>
      </c>
      <c r="BJ140">
        <f>IF(ISNA(BU140),NA(),IF($B$22="",NA(),$B$22))</f>
        <v/>
      </c>
      <c r="BK140">
        <f>IF(ISNA(BU140),NA(),IF($B$21="",NA(),$B$21))</f>
        <v/>
      </c>
      <c r="BL140">
        <f>IF(ISNA(BU140),NA(),IF($B$23="",NA(),$B$23))</f>
        <v/>
      </c>
      <c r="BM140">
        <f>IF(ISNA(BU140),NA(),IF(INDEX(_Calc!$F$5:$F$10004,BU140)="",NA(),INDEX(_Calc!$F$5:$F$10004,BU140)))</f>
        <v/>
      </c>
      <c r="BN140">
        <f>IF(ISNA(BU140),NA(),IF($B$24="",NA(),$B$24))</f>
        <v/>
      </c>
      <c r="BO140">
        <f>IF(ISNA(BU140),NA(),IF($B$26="",NA(),$B$26))</f>
        <v/>
      </c>
      <c r="BP140">
        <f>IF(ISNA(BU140),NA(),IF($B$28="",NA(),$B$28))</f>
        <v/>
      </c>
      <c r="BU140">
        <f>IF((BK$1+136)&gt;BI$1,NA(),MATCH((BK$1+136),_Calc!$C$5:$C$10004,0))</f>
        <v/>
      </c>
    </row>
    <row r="141">
      <c r="BH141">
        <f>IF(ISNA(BU141),NA(),(BK$1+137))</f>
        <v/>
      </c>
      <c r="BI141">
        <f>IF(ISNA(BU141),NA(),INDEX(_Calc!$D$5:$D$10004,BU141))</f>
        <v/>
      </c>
      <c r="BJ141">
        <f>IF(ISNA(BU141),NA(),IF($B$22="",NA(),$B$22))</f>
        <v/>
      </c>
      <c r="BK141">
        <f>IF(ISNA(BU141),NA(),IF($B$21="",NA(),$B$21))</f>
        <v/>
      </c>
      <c r="BL141">
        <f>IF(ISNA(BU141),NA(),IF($B$23="",NA(),$B$23))</f>
        <v/>
      </c>
      <c r="BM141">
        <f>IF(ISNA(BU141),NA(),IF(INDEX(_Calc!$F$5:$F$10004,BU141)="",NA(),INDEX(_Calc!$F$5:$F$10004,BU141)))</f>
        <v/>
      </c>
      <c r="BN141">
        <f>IF(ISNA(BU141),NA(),IF($B$24="",NA(),$B$24))</f>
        <v/>
      </c>
      <c r="BO141">
        <f>IF(ISNA(BU141),NA(),IF($B$26="",NA(),$B$26))</f>
        <v/>
      </c>
      <c r="BP141">
        <f>IF(ISNA(BU141),NA(),IF($B$28="",NA(),$B$28))</f>
        <v/>
      </c>
      <c r="BU141">
        <f>IF((BK$1+137)&gt;BI$1,NA(),MATCH((BK$1+137),_Calc!$C$5:$C$10004,0))</f>
        <v/>
      </c>
    </row>
    <row r="142">
      <c r="BH142">
        <f>IF(ISNA(BU142),NA(),(BK$1+138))</f>
        <v/>
      </c>
      <c r="BI142">
        <f>IF(ISNA(BU142),NA(),INDEX(_Calc!$D$5:$D$10004,BU142))</f>
        <v/>
      </c>
      <c r="BJ142">
        <f>IF(ISNA(BU142),NA(),IF($B$22="",NA(),$B$22))</f>
        <v/>
      </c>
      <c r="BK142">
        <f>IF(ISNA(BU142),NA(),IF($B$21="",NA(),$B$21))</f>
        <v/>
      </c>
      <c r="BL142">
        <f>IF(ISNA(BU142),NA(),IF($B$23="",NA(),$B$23))</f>
        <v/>
      </c>
      <c r="BM142">
        <f>IF(ISNA(BU142),NA(),IF(INDEX(_Calc!$F$5:$F$10004,BU142)="",NA(),INDEX(_Calc!$F$5:$F$10004,BU142)))</f>
        <v/>
      </c>
      <c r="BN142">
        <f>IF(ISNA(BU142),NA(),IF($B$24="",NA(),$B$24))</f>
        <v/>
      </c>
      <c r="BO142">
        <f>IF(ISNA(BU142),NA(),IF($B$26="",NA(),$B$26))</f>
        <v/>
      </c>
      <c r="BP142">
        <f>IF(ISNA(BU142),NA(),IF($B$28="",NA(),$B$28))</f>
        <v/>
      </c>
      <c r="BU142">
        <f>IF((BK$1+138)&gt;BI$1,NA(),MATCH((BK$1+138),_Calc!$C$5:$C$10004,0))</f>
        <v/>
      </c>
    </row>
    <row r="143">
      <c r="BH143">
        <f>IF(ISNA(BU143),NA(),(BK$1+139))</f>
        <v/>
      </c>
      <c r="BI143">
        <f>IF(ISNA(BU143),NA(),INDEX(_Calc!$D$5:$D$10004,BU143))</f>
        <v/>
      </c>
      <c r="BJ143">
        <f>IF(ISNA(BU143),NA(),IF($B$22="",NA(),$B$22))</f>
        <v/>
      </c>
      <c r="BK143">
        <f>IF(ISNA(BU143),NA(),IF($B$21="",NA(),$B$21))</f>
        <v/>
      </c>
      <c r="BL143">
        <f>IF(ISNA(BU143),NA(),IF($B$23="",NA(),$B$23))</f>
        <v/>
      </c>
      <c r="BM143">
        <f>IF(ISNA(BU143),NA(),IF(INDEX(_Calc!$F$5:$F$10004,BU143)="",NA(),INDEX(_Calc!$F$5:$F$10004,BU143)))</f>
        <v/>
      </c>
      <c r="BN143">
        <f>IF(ISNA(BU143),NA(),IF($B$24="",NA(),$B$24))</f>
        <v/>
      </c>
      <c r="BO143">
        <f>IF(ISNA(BU143),NA(),IF($B$26="",NA(),$B$26))</f>
        <v/>
      </c>
      <c r="BP143">
        <f>IF(ISNA(BU143),NA(),IF($B$28="",NA(),$B$28))</f>
        <v/>
      </c>
      <c r="BU143">
        <f>IF((BK$1+139)&gt;BI$1,NA(),MATCH((BK$1+139),_Calc!$C$5:$C$10004,0))</f>
        <v/>
      </c>
    </row>
    <row r="144">
      <c r="BH144">
        <f>IF(ISNA(BU144),NA(),(BK$1+140))</f>
        <v/>
      </c>
      <c r="BI144">
        <f>IF(ISNA(BU144),NA(),INDEX(_Calc!$D$5:$D$10004,BU144))</f>
        <v/>
      </c>
      <c r="BJ144">
        <f>IF(ISNA(BU144),NA(),IF($B$22="",NA(),$B$22))</f>
        <v/>
      </c>
      <c r="BK144">
        <f>IF(ISNA(BU144),NA(),IF($B$21="",NA(),$B$21))</f>
        <v/>
      </c>
      <c r="BL144">
        <f>IF(ISNA(BU144),NA(),IF($B$23="",NA(),$B$23))</f>
        <v/>
      </c>
      <c r="BM144">
        <f>IF(ISNA(BU144),NA(),IF(INDEX(_Calc!$F$5:$F$10004,BU144)="",NA(),INDEX(_Calc!$F$5:$F$10004,BU144)))</f>
        <v/>
      </c>
      <c r="BN144">
        <f>IF(ISNA(BU144),NA(),IF($B$24="",NA(),$B$24))</f>
        <v/>
      </c>
      <c r="BO144">
        <f>IF(ISNA(BU144),NA(),IF($B$26="",NA(),$B$26))</f>
        <v/>
      </c>
      <c r="BP144">
        <f>IF(ISNA(BU144),NA(),IF($B$28="",NA(),$B$28))</f>
        <v/>
      </c>
      <c r="BU144">
        <f>IF((BK$1+140)&gt;BI$1,NA(),MATCH((BK$1+140),_Calc!$C$5:$C$10004,0))</f>
        <v/>
      </c>
    </row>
    <row r="145">
      <c r="BH145">
        <f>IF(ISNA(BU145),NA(),(BK$1+141))</f>
        <v/>
      </c>
      <c r="BI145">
        <f>IF(ISNA(BU145),NA(),INDEX(_Calc!$D$5:$D$10004,BU145))</f>
        <v/>
      </c>
      <c r="BJ145">
        <f>IF(ISNA(BU145),NA(),IF($B$22="",NA(),$B$22))</f>
        <v/>
      </c>
      <c r="BK145">
        <f>IF(ISNA(BU145),NA(),IF($B$21="",NA(),$B$21))</f>
        <v/>
      </c>
      <c r="BL145">
        <f>IF(ISNA(BU145),NA(),IF($B$23="",NA(),$B$23))</f>
        <v/>
      </c>
      <c r="BM145">
        <f>IF(ISNA(BU145),NA(),IF(INDEX(_Calc!$F$5:$F$10004,BU145)="",NA(),INDEX(_Calc!$F$5:$F$10004,BU145)))</f>
        <v/>
      </c>
      <c r="BN145">
        <f>IF(ISNA(BU145),NA(),IF($B$24="",NA(),$B$24))</f>
        <v/>
      </c>
      <c r="BO145">
        <f>IF(ISNA(BU145),NA(),IF($B$26="",NA(),$B$26))</f>
        <v/>
      </c>
      <c r="BP145">
        <f>IF(ISNA(BU145),NA(),IF($B$28="",NA(),$B$28))</f>
        <v/>
      </c>
      <c r="BU145">
        <f>IF((BK$1+141)&gt;BI$1,NA(),MATCH((BK$1+141),_Calc!$C$5:$C$10004,0))</f>
        <v/>
      </c>
    </row>
    <row r="146">
      <c r="BH146">
        <f>IF(ISNA(BU146),NA(),(BK$1+142))</f>
        <v/>
      </c>
      <c r="BI146">
        <f>IF(ISNA(BU146),NA(),INDEX(_Calc!$D$5:$D$10004,BU146))</f>
        <v/>
      </c>
      <c r="BJ146">
        <f>IF(ISNA(BU146),NA(),IF($B$22="",NA(),$B$22))</f>
        <v/>
      </c>
      <c r="BK146">
        <f>IF(ISNA(BU146),NA(),IF($B$21="",NA(),$B$21))</f>
        <v/>
      </c>
      <c r="BL146">
        <f>IF(ISNA(BU146),NA(),IF($B$23="",NA(),$B$23))</f>
        <v/>
      </c>
      <c r="BM146">
        <f>IF(ISNA(BU146),NA(),IF(INDEX(_Calc!$F$5:$F$10004,BU146)="",NA(),INDEX(_Calc!$F$5:$F$10004,BU146)))</f>
        <v/>
      </c>
      <c r="BN146">
        <f>IF(ISNA(BU146),NA(),IF($B$24="",NA(),$B$24))</f>
        <v/>
      </c>
      <c r="BO146">
        <f>IF(ISNA(BU146),NA(),IF($B$26="",NA(),$B$26))</f>
        <v/>
      </c>
      <c r="BP146">
        <f>IF(ISNA(BU146),NA(),IF($B$28="",NA(),$B$28))</f>
        <v/>
      </c>
      <c r="BU146">
        <f>IF((BK$1+142)&gt;BI$1,NA(),MATCH((BK$1+142),_Calc!$C$5:$C$10004,0))</f>
        <v/>
      </c>
    </row>
    <row r="147">
      <c r="BH147">
        <f>IF(ISNA(BU147),NA(),(BK$1+143))</f>
        <v/>
      </c>
      <c r="BI147">
        <f>IF(ISNA(BU147),NA(),INDEX(_Calc!$D$5:$D$10004,BU147))</f>
        <v/>
      </c>
      <c r="BJ147">
        <f>IF(ISNA(BU147),NA(),IF($B$22="",NA(),$B$22))</f>
        <v/>
      </c>
      <c r="BK147">
        <f>IF(ISNA(BU147),NA(),IF($B$21="",NA(),$B$21))</f>
        <v/>
      </c>
      <c r="BL147">
        <f>IF(ISNA(BU147),NA(),IF($B$23="",NA(),$B$23))</f>
        <v/>
      </c>
      <c r="BM147">
        <f>IF(ISNA(BU147),NA(),IF(INDEX(_Calc!$F$5:$F$10004,BU147)="",NA(),INDEX(_Calc!$F$5:$F$10004,BU147)))</f>
        <v/>
      </c>
      <c r="BN147">
        <f>IF(ISNA(BU147),NA(),IF($B$24="",NA(),$B$24))</f>
        <v/>
      </c>
      <c r="BO147">
        <f>IF(ISNA(BU147),NA(),IF($B$26="",NA(),$B$26))</f>
        <v/>
      </c>
      <c r="BP147">
        <f>IF(ISNA(BU147),NA(),IF($B$28="",NA(),$B$28))</f>
        <v/>
      </c>
      <c r="BU147">
        <f>IF((BK$1+143)&gt;BI$1,NA(),MATCH((BK$1+143),_Calc!$C$5:$C$10004,0))</f>
        <v/>
      </c>
    </row>
    <row r="148">
      <c r="BH148">
        <f>IF(ISNA(BU148),NA(),(BK$1+144))</f>
        <v/>
      </c>
      <c r="BI148">
        <f>IF(ISNA(BU148),NA(),INDEX(_Calc!$D$5:$D$10004,BU148))</f>
        <v/>
      </c>
      <c r="BJ148">
        <f>IF(ISNA(BU148),NA(),IF($B$22="",NA(),$B$22))</f>
        <v/>
      </c>
      <c r="BK148">
        <f>IF(ISNA(BU148),NA(),IF($B$21="",NA(),$B$21))</f>
        <v/>
      </c>
      <c r="BL148">
        <f>IF(ISNA(BU148),NA(),IF($B$23="",NA(),$B$23))</f>
        <v/>
      </c>
      <c r="BM148">
        <f>IF(ISNA(BU148),NA(),IF(INDEX(_Calc!$F$5:$F$10004,BU148)="",NA(),INDEX(_Calc!$F$5:$F$10004,BU148)))</f>
        <v/>
      </c>
      <c r="BN148">
        <f>IF(ISNA(BU148),NA(),IF($B$24="",NA(),$B$24))</f>
        <v/>
      </c>
      <c r="BO148">
        <f>IF(ISNA(BU148),NA(),IF($B$26="",NA(),$B$26))</f>
        <v/>
      </c>
      <c r="BP148">
        <f>IF(ISNA(BU148),NA(),IF($B$28="",NA(),$B$28))</f>
        <v/>
      </c>
      <c r="BU148">
        <f>IF((BK$1+144)&gt;BI$1,NA(),MATCH((BK$1+144),_Calc!$C$5:$C$10004,0))</f>
        <v/>
      </c>
    </row>
    <row r="149">
      <c r="BH149">
        <f>IF(ISNA(BU149),NA(),(BK$1+145))</f>
        <v/>
      </c>
      <c r="BI149">
        <f>IF(ISNA(BU149),NA(),INDEX(_Calc!$D$5:$D$10004,BU149))</f>
        <v/>
      </c>
      <c r="BJ149">
        <f>IF(ISNA(BU149),NA(),IF($B$22="",NA(),$B$22))</f>
        <v/>
      </c>
      <c r="BK149">
        <f>IF(ISNA(BU149),NA(),IF($B$21="",NA(),$B$21))</f>
        <v/>
      </c>
      <c r="BL149">
        <f>IF(ISNA(BU149),NA(),IF($B$23="",NA(),$B$23))</f>
        <v/>
      </c>
      <c r="BM149">
        <f>IF(ISNA(BU149),NA(),IF(INDEX(_Calc!$F$5:$F$10004,BU149)="",NA(),INDEX(_Calc!$F$5:$F$10004,BU149)))</f>
        <v/>
      </c>
      <c r="BN149">
        <f>IF(ISNA(BU149),NA(),IF($B$24="",NA(),$B$24))</f>
        <v/>
      </c>
      <c r="BO149">
        <f>IF(ISNA(BU149),NA(),IF($B$26="",NA(),$B$26))</f>
        <v/>
      </c>
      <c r="BP149">
        <f>IF(ISNA(BU149),NA(),IF($B$28="",NA(),$B$28))</f>
        <v/>
      </c>
      <c r="BU149">
        <f>IF((BK$1+145)&gt;BI$1,NA(),MATCH((BK$1+145),_Calc!$C$5:$C$10004,0))</f>
        <v/>
      </c>
    </row>
    <row r="150">
      <c r="BH150">
        <f>IF(ISNA(BU150),NA(),(BK$1+146))</f>
        <v/>
      </c>
      <c r="BI150">
        <f>IF(ISNA(BU150),NA(),INDEX(_Calc!$D$5:$D$10004,BU150))</f>
        <v/>
      </c>
      <c r="BJ150">
        <f>IF(ISNA(BU150),NA(),IF($B$22="",NA(),$B$22))</f>
        <v/>
      </c>
      <c r="BK150">
        <f>IF(ISNA(BU150),NA(),IF($B$21="",NA(),$B$21))</f>
        <v/>
      </c>
      <c r="BL150">
        <f>IF(ISNA(BU150),NA(),IF($B$23="",NA(),$B$23))</f>
        <v/>
      </c>
      <c r="BM150">
        <f>IF(ISNA(BU150),NA(),IF(INDEX(_Calc!$F$5:$F$10004,BU150)="",NA(),INDEX(_Calc!$F$5:$F$10004,BU150)))</f>
        <v/>
      </c>
      <c r="BN150">
        <f>IF(ISNA(BU150),NA(),IF($B$24="",NA(),$B$24))</f>
        <v/>
      </c>
      <c r="BO150">
        <f>IF(ISNA(BU150),NA(),IF($B$26="",NA(),$B$26))</f>
        <v/>
      </c>
      <c r="BP150">
        <f>IF(ISNA(BU150),NA(),IF($B$28="",NA(),$B$28))</f>
        <v/>
      </c>
      <c r="BU150">
        <f>IF((BK$1+146)&gt;BI$1,NA(),MATCH((BK$1+146),_Calc!$C$5:$C$10004,0))</f>
        <v/>
      </c>
    </row>
    <row r="151">
      <c r="BH151">
        <f>IF(ISNA(BU151),NA(),(BK$1+147))</f>
        <v/>
      </c>
      <c r="BI151">
        <f>IF(ISNA(BU151),NA(),INDEX(_Calc!$D$5:$D$10004,BU151))</f>
        <v/>
      </c>
      <c r="BJ151">
        <f>IF(ISNA(BU151),NA(),IF($B$22="",NA(),$B$22))</f>
        <v/>
      </c>
      <c r="BK151">
        <f>IF(ISNA(BU151),NA(),IF($B$21="",NA(),$B$21))</f>
        <v/>
      </c>
      <c r="BL151">
        <f>IF(ISNA(BU151),NA(),IF($B$23="",NA(),$B$23))</f>
        <v/>
      </c>
      <c r="BM151">
        <f>IF(ISNA(BU151),NA(),IF(INDEX(_Calc!$F$5:$F$10004,BU151)="",NA(),INDEX(_Calc!$F$5:$F$10004,BU151)))</f>
        <v/>
      </c>
      <c r="BN151">
        <f>IF(ISNA(BU151),NA(),IF($B$24="",NA(),$B$24))</f>
        <v/>
      </c>
      <c r="BO151">
        <f>IF(ISNA(BU151),NA(),IF($B$26="",NA(),$B$26))</f>
        <v/>
      </c>
      <c r="BP151">
        <f>IF(ISNA(BU151),NA(),IF($B$28="",NA(),$B$28))</f>
        <v/>
      </c>
      <c r="BU151">
        <f>IF((BK$1+147)&gt;BI$1,NA(),MATCH((BK$1+147),_Calc!$C$5:$C$10004,0))</f>
        <v/>
      </c>
    </row>
    <row r="152">
      <c r="BH152">
        <f>IF(ISNA(BU152),NA(),(BK$1+148))</f>
        <v/>
      </c>
      <c r="BI152">
        <f>IF(ISNA(BU152),NA(),INDEX(_Calc!$D$5:$D$10004,BU152))</f>
        <v/>
      </c>
      <c r="BJ152">
        <f>IF(ISNA(BU152),NA(),IF($B$22="",NA(),$B$22))</f>
        <v/>
      </c>
      <c r="BK152">
        <f>IF(ISNA(BU152),NA(),IF($B$21="",NA(),$B$21))</f>
        <v/>
      </c>
      <c r="BL152">
        <f>IF(ISNA(BU152),NA(),IF($B$23="",NA(),$B$23))</f>
        <v/>
      </c>
      <c r="BM152">
        <f>IF(ISNA(BU152),NA(),IF(INDEX(_Calc!$F$5:$F$10004,BU152)="",NA(),INDEX(_Calc!$F$5:$F$10004,BU152)))</f>
        <v/>
      </c>
      <c r="BN152">
        <f>IF(ISNA(BU152),NA(),IF($B$24="",NA(),$B$24))</f>
        <v/>
      </c>
      <c r="BO152">
        <f>IF(ISNA(BU152),NA(),IF($B$26="",NA(),$B$26))</f>
        <v/>
      </c>
      <c r="BP152">
        <f>IF(ISNA(BU152),NA(),IF($B$28="",NA(),$B$28))</f>
        <v/>
      </c>
      <c r="BU152">
        <f>IF((BK$1+148)&gt;BI$1,NA(),MATCH((BK$1+148),_Calc!$C$5:$C$10004,0))</f>
        <v/>
      </c>
    </row>
    <row r="153">
      <c r="BH153">
        <f>IF(ISNA(BU153),NA(),(BK$1+149))</f>
        <v/>
      </c>
      <c r="BI153">
        <f>IF(ISNA(BU153),NA(),INDEX(_Calc!$D$5:$D$10004,BU153))</f>
        <v/>
      </c>
      <c r="BJ153">
        <f>IF(ISNA(BU153),NA(),IF($B$22="",NA(),$B$22))</f>
        <v/>
      </c>
      <c r="BK153">
        <f>IF(ISNA(BU153),NA(),IF($B$21="",NA(),$B$21))</f>
        <v/>
      </c>
      <c r="BL153">
        <f>IF(ISNA(BU153),NA(),IF($B$23="",NA(),$B$23))</f>
        <v/>
      </c>
      <c r="BM153">
        <f>IF(ISNA(BU153),NA(),IF(INDEX(_Calc!$F$5:$F$10004,BU153)="",NA(),INDEX(_Calc!$F$5:$F$10004,BU153)))</f>
        <v/>
      </c>
      <c r="BN153">
        <f>IF(ISNA(BU153),NA(),IF($B$24="",NA(),$B$24))</f>
        <v/>
      </c>
      <c r="BO153">
        <f>IF(ISNA(BU153),NA(),IF($B$26="",NA(),$B$26))</f>
        <v/>
      </c>
      <c r="BP153">
        <f>IF(ISNA(BU153),NA(),IF($B$28="",NA(),$B$28))</f>
        <v/>
      </c>
      <c r="BU153">
        <f>IF((BK$1+149)&gt;BI$1,NA(),MATCH((BK$1+149),_Calc!$C$5:$C$10004,0))</f>
        <v/>
      </c>
    </row>
    <row r="154">
      <c r="BH154">
        <f>IF(ISNA(BU154),NA(),(BK$1+150))</f>
        <v/>
      </c>
      <c r="BI154">
        <f>IF(ISNA(BU154),NA(),INDEX(_Calc!$D$5:$D$10004,BU154))</f>
        <v/>
      </c>
      <c r="BJ154">
        <f>IF(ISNA(BU154),NA(),IF($B$22="",NA(),$B$22))</f>
        <v/>
      </c>
      <c r="BK154">
        <f>IF(ISNA(BU154),NA(),IF($B$21="",NA(),$B$21))</f>
        <v/>
      </c>
      <c r="BL154">
        <f>IF(ISNA(BU154),NA(),IF($B$23="",NA(),$B$23))</f>
        <v/>
      </c>
      <c r="BM154">
        <f>IF(ISNA(BU154),NA(),IF(INDEX(_Calc!$F$5:$F$10004,BU154)="",NA(),INDEX(_Calc!$F$5:$F$10004,BU154)))</f>
        <v/>
      </c>
      <c r="BN154">
        <f>IF(ISNA(BU154),NA(),IF($B$24="",NA(),$B$24))</f>
        <v/>
      </c>
      <c r="BO154">
        <f>IF(ISNA(BU154),NA(),IF($B$26="",NA(),$B$26))</f>
        <v/>
      </c>
      <c r="BP154">
        <f>IF(ISNA(BU154),NA(),IF($B$28="",NA(),$B$28))</f>
        <v/>
      </c>
      <c r="BU154">
        <f>IF((BK$1+150)&gt;BI$1,NA(),MATCH((BK$1+150),_Calc!$C$5:$C$10004,0))</f>
        <v/>
      </c>
    </row>
    <row r="155">
      <c r="BH155">
        <f>IF(ISNA(BU155),NA(),(BK$1+151))</f>
        <v/>
      </c>
      <c r="BI155">
        <f>IF(ISNA(BU155),NA(),INDEX(_Calc!$D$5:$D$10004,BU155))</f>
        <v/>
      </c>
      <c r="BJ155">
        <f>IF(ISNA(BU155),NA(),IF($B$22="",NA(),$B$22))</f>
        <v/>
      </c>
      <c r="BK155">
        <f>IF(ISNA(BU155),NA(),IF($B$21="",NA(),$B$21))</f>
        <v/>
      </c>
      <c r="BL155">
        <f>IF(ISNA(BU155),NA(),IF($B$23="",NA(),$B$23))</f>
        <v/>
      </c>
      <c r="BM155">
        <f>IF(ISNA(BU155),NA(),IF(INDEX(_Calc!$F$5:$F$10004,BU155)="",NA(),INDEX(_Calc!$F$5:$F$10004,BU155)))</f>
        <v/>
      </c>
      <c r="BN155">
        <f>IF(ISNA(BU155),NA(),IF($B$24="",NA(),$B$24))</f>
        <v/>
      </c>
      <c r="BO155">
        <f>IF(ISNA(BU155),NA(),IF($B$26="",NA(),$B$26))</f>
        <v/>
      </c>
      <c r="BP155">
        <f>IF(ISNA(BU155),NA(),IF($B$28="",NA(),$B$28))</f>
        <v/>
      </c>
      <c r="BU155">
        <f>IF((BK$1+151)&gt;BI$1,NA(),MATCH((BK$1+151),_Calc!$C$5:$C$10004,0))</f>
        <v/>
      </c>
    </row>
    <row r="156">
      <c r="BH156">
        <f>IF(ISNA(BU156),NA(),(BK$1+152))</f>
        <v/>
      </c>
      <c r="BI156">
        <f>IF(ISNA(BU156),NA(),INDEX(_Calc!$D$5:$D$10004,BU156))</f>
        <v/>
      </c>
      <c r="BJ156">
        <f>IF(ISNA(BU156),NA(),IF($B$22="",NA(),$B$22))</f>
        <v/>
      </c>
      <c r="BK156">
        <f>IF(ISNA(BU156),NA(),IF($B$21="",NA(),$B$21))</f>
        <v/>
      </c>
      <c r="BL156">
        <f>IF(ISNA(BU156),NA(),IF($B$23="",NA(),$B$23))</f>
        <v/>
      </c>
      <c r="BM156">
        <f>IF(ISNA(BU156),NA(),IF(INDEX(_Calc!$F$5:$F$10004,BU156)="",NA(),INDEX(_Calc!$F$5:$F$10004,BU156)))</f>
        <v/>
      </c>
      <c r="BN156">
        <f>IF(ISNA(BU156),NA(),IF($B$24="",NA(),$B$24))</f>
        <v/>
      </c>
      <c r="BO156">
        <f>IF(ISNA(BU156),NA(),IF($B$26="",NA(),$B$26))</f>
        <v/>
      </c>
      <c r="BP156">
        <f>IF(ISNA(BU156),NA(),IF($B$28="",NA(),$B$28))</f>
        <v/>
      </c>
      <c r="BU156">
        <f>IF((BK$1+152)&gt;BI$1,NA(),MATCH((BK$1+152),_Calc!$C$5:$C$10004,0))</f>
        <v/>
      </c>
    </row>
    <row r="157">
      <c r="BH157">
        <f>IF(ISNA(BU157),NA(),(BK$1+153))</f>
        <v/>
      </c>
      <c r="BI157">
        <f>IF(ISNA(BU157),NA(),INDEX(_Calc!$D$5:$D$10004,BU157))</f>
        <v/>
      </c>
      <c r="BJ157">
        <f>IF(ISNA(BU157),NA(),IF($B$22="",NA(),$B$22))</f>
        <v/>
      </c>
      <c r="BK157">
        <f>IF(ISNA(BU157),NA(),IF($B$21="",NA(),$B$21))</f>
        <v/>
      </c>
      <c r="BL157">
        <f>IF(ISNA(BU157),NA(),IF($B$23="",NA(),$B$23))</f>
        <v/>
      </c>
      <c r="BM157">
        <f>IF(ISNA(BU157),NA(),IF(INDEX(_Calc!$F$5:$F$10004,BU157)="",NA(),INDEX(_Calc!$F$5:$F$10004,BU157)))</f>
        <v/>
      </c>
      <c r="BN157">
        <f>IF(ISNA(BU157),NA(),IF($B$24="",NA(),$B$24))</f>
        <v/>
      </c>
      <c r="BO157">
        <f>IF(ISNA(BU157),NA(),IF($B$26="",NA(),$B$26))</f>
        <v/>
      </c>
      <c r="BP157">
        <f>IF(ISNA(BU157),NA(),IF($B$28="",NA(),$B$28))</f>
        <v/>
      </c>
      <c r="BU157">
        <f>IF((BK$1+153)&gt;BI$1,NA(),MATCH((BK$1+153),_Calc!$C$5:$C$10004,0))</f>
        <v/>
      </c>
    </row>
    <row r="158">
      <c r="BH158">
        <f>IF(ISNA(BU158),NA(),(BK$1+154))</f>
        <v/>
      </c>
      <c r="BI158">
        <f>IF(ISNA(BU158),NA(),INDEX(_Calc!$D$5:$D$10004,BU158))</f>
        <v/>
      </c>
      <c r="BJ158">
        <f>IF(ISNA(BU158),NA(),IF($B$22="",NA(),$B$22))</f>
        <v/>
      </c>
      <c r="BK158">
        <f>IF(ISNA(BU158),NA(),IF($B$21="",NA(),$B$21))</f>
        <v/>
      </c>
      <c r="BL158">
        <f>IF(ISNA(BU158),NA(),IF($B$23="",NA(),$B$23))</f>
        <v/>
      </c>
      <c r="BM158">
        <f>IF(ISNA(BU158),NA(),IF(INDEX(_Calc!$F$5:$F$10004,BU158)="",NA(),INDEX(_Calc!$F$5:$F$10004,BU158)))</f>
        <v/>
      </c>
      <c r="BN158">
        <f>IF(ISNA(BU158),NA(),IF($B$24="",NA(),$B$24))</f>
        <v/>
      </c>
      <c r="BO158">
        <f>IF(ISNA(BU158),NA(),IF($B$26="",NA(),$B$26))</f>
        <v/>
      </c>
      <c r="BP158">
        <f>IF(ISNA(BU158),NA(),IF($B$28="",NA(),$B$28))</f>
        <v/>
      </c>
      <c r="BU158">
        <f>IF((BK$1+154)&gt;BI$1,NA(),MATCH((BK$1+154),_Calc!$C$5:$C$10004,0))</f>
        <v/>
      </c>
    </row>
    <row r="159">
      <c r="BH159">
        <f>IF(ISNA(BU159),NA(),(BK$1+155))</f>
        <v/>
      </c>
      <c r="BI159">
        <f>IF(ISNA(BU159),NA(),INDEX(_Calc!$D$5:$D$10004,BU159))</f>
        <v/>
      </c>
      <c r="BJ159">
        <f>IF(ISNA(BU159),NA(),IF($B$22="",NA(),$B$22))</f>
        <v/>
      </c>
      <c r="BK159">
        <f>IF(ISNA(BU159),NA(),IF($B$21="",NA(),$B$21))</f>
        <v/>
      </c>
      <c r="BL159">
        <f>IF(ISNA(BU159),NA(),IF($B$23="",NA(),$B$23))</f>
        <v/>
      </c>
      <c r="BM159">
        <f>IF(ISNA(BU159),NA(),IF(INDEX(_Calc!$F$5:$F$10004,BU159)="",NA(),INDEX(_Calc!$F$5:$F$10004,BU159)))</f>
        <v/>
      </c>
      <c r="BN159">
        <f>IF(ISNA(BU159),NA(),IF($B$24="",NA(),$B$24))</f>
        <v/>
      </c>
      <c r="BO159">
        <f>IF(ISNA(BU159),NA(),IF($B$26="",NA(),$B$26))</f>
        <v/>
      </c>
      <c r="BP159">
        <f>IF(ISNA(BU159),NA(),IF($B$28="",NA(),$B$28))</f>
        <v/>
      </c>
      <c r="BU159">
        <f>IF((BK$1+155)&gt;BI$1,NA(),MATCH((BK$1+155),_Calc!$C$5:$C$10004,0))</f>
        <v/>
      </c>
    </row>
    <row r="160">
      <c r="BH160">
        <f>IF(ISNA(BU160),NA(),(BK$1+156))</f>
        <v/>
      </c>
      <c r="BI160">
        <f>IF(ISNA(BU160),NA(),INDEX(_Calc!$D$5:$D$10004,BU160))</f>
        <v/>
      </c>
      <c r="BJ160">
        <f>IF(ISNA(BU160),NA(),IF($B$22="",NA(),$B$22))</f>
        <v/>
      </c>
      <c r="BK160">
        <f>IF(ISNA(BU160),NA(),IF($B$21="",NA(),$B$21))</f>
        <v/>
      </c>
      <c r="BL160">
        <f>IF(ISNA(BU160),NA(),IF($B$23="",NA(),$B$23))</f>
        <v/>
      </c>
      <c r="BM160">
        <f>IF(ISNA(BU160),NA(),IF(INDEX(_Calc!$F$5:$F$10004,BU160)="",NA(),INDEX(_Calc!$F$5:$F$10004,BU160)))</f>
        <v/>
      </c>
      <c r="BN160">
        <f>IF(ISNA(BU160),NA(),IF($B$24="",NA(),$B$24))</f>
        <v/>
      </c>
      <c r="BO160">
        <f>IF(ISNA(BU160),NA(),IF($B$26="",NA(),$B$26))</f>
        <v/>
      </c>
      <c r="BP160">
        <f>IF(ISNA(BU160),NA(),IF($B$28="",NA(),$B$28))</f>
        <v/>
      </c>
      <c r="BU160">
        <f>IF((BK$1+156)&gt;BI$1,NA(),MATCH((BK$1+156),_Calc!$C$5:$C$10004,0))</f>
        <v/>
      </c>
    </row>
    <row r="161">
      <c r="BH161">
        <f>IF(ISNA(BU161),NA(),(BK$1+157))</f>
        <v/>
      </c>
      <c r="BI161">
        <f>IF(ISNA(BU161),NA(),INDEX(_Calc!$D$5:$D$10004,BU161))</f>
        <v/>
      </c>
      <c r="BJ161">
        <f>IF(ISNA(BU161),NA(),IF($B$22="",NA(),$B$22))</f>
        <v/>
      </c>
      <c r="BK161">
        <f>IF(ISNA(BU161),NA(),IF($B$21="",NA(),$B$21))</f>
        <v/>
      </c>
      <c r="BL161">
        <f>IF(ISNA(BU161),NA(),IF($B$23="",NA(),$B$23))</f>
        <v/>
      </c>
      <c r="BM161">
        <f>IF(ISNA(BU161),NA(),IF(INDEX(_Calc!$F$5:$F$10004,BU161)="",NA(),INDEX(_Calc!$F$5:$F$10004,BU161)))</f>
        <v/>
      </c>
      <c r="BN161">
        <f>IF(ISNA(BU161),NA(),IF($B$24="",NA(),$B$24))</f>
        <v/>
      </c>
      <c r="BO161">
        <f>IF(ISNA(BU161),NA(),IF($B$26="",NA(),$B$26))</f>
        <v/>
      </c>
      <c r="BP161">
        <f>IF(ISNA(BU161),NA(),IF($B$28="",NA(),$B$28))</f>
        <v/>
      </c>
      <c r="BU161">
        <f>IF((BK$1+157)&gt;BI$1,NA(),MATCH((BK$1+157),_Calc!$C$5:$C$10004,0))</f>
        <v/>
      </c>
    </row>
    <row r="162">
      <c r="BH162">
        <f>IF(ISNA(BU162),NA(),(BK$1+158))</f>
        <v/>
      </c>
      <c r="BI162">
        <f>IF(ISNA(BU162),NA(),INDEX(_Calc!$D$5:$D$10004,BU162))</f>
        <v/>
      </c>
      <c r="BJ162">
        <f>IF(ISNA(BU162),NA(),IF($B$22="",NA(),$B$22))</f>
        <v/>
      </c>
      <c r="BK162">
        <f>IF(ISNA(BU162),NA(),IF($B$21="",NA(),$B$21))</f>
        <v/>
      </c>
      <c r="BL162">
        <f>IF(ISNA(BU162),NA(),IF($B$23="",NA(),$B$23))</f>
        <v/>
      </c>
      <c r="BM162">
        <f>IF(ISNA(BU162),NA(),IF(INDEX(_Calc!$F$5:$F$10004,BU162)="",NA(),INDEX(_Calc!$F$5:$F$10004,BU162)))</f>
        <v/>
      </c>
      <c r="BN162">
        <f>IF(ISNA(BU162),NA(),IF($B$24="",NA(),$B$24))</f>
        <v/>
      </c>
      <c r="BO162">
        <f>IF(ISNA(BU162),NA(),IF($B$26="",NA(),$B$26))</f>
        <v/>
      </c>
      <c r="BP162">
        <f>IF(ISNA(BU162),NA(),IF($B$28="",NA(),$B$28))</f>
        <v/>
      </c>
      <c r="BU162">
        <f>IF((BK$1+158)&gt;BI$1,NA(),MATCH((BK$1+158),_Calc!$C$5:$C$10004,0))</f>
        <v/>
      </c>
    </row>
    <row r="163">
      <c r="BH163">
        <f>IF(ISNA(BU163),NA(),(BK$1+159))</f>
        <v/>
      </c>
      <c r="BI163">
        <f>IF(ISNA(BU163),NA(),INDEX(_Calc!$D$5:$D$10004,BU163))</f>
        <v/>
      </c>
      <c r="BJ163">
        <f>IF(ISNA(BU163),NA(),IF($B$22="",NA(),$B$22))</f>
        <v/>
      </c>
      <c r="BK163">
        <f>IF(ISNA(BU163),NA(),IF($B$21="",NA(),$B$21))</f>
        <v/>
      </c>
      <c r="BL163">
        <f>IF(ISNA(BU163),NA(),IF($B$23="",NA(),$B$23))</f>
        <v/>
      </c>
      <c r="BM163">
        <f>IF(ISNA(BU163),NA(),IF(INDEX(_Calc!$F$5:$F$10004,BU163)="",NA(),INDEX(_Calc!$F$5:$F$10004,BU163)))</f>
        <v/>
      </c>
      <c r="BN163">
        <f>IF(ISNA(BU163),NA(),IF($B$24="",NA(),$B$24))</f>
        <v/>
      </c>
      <c r="BO163">
        <f>IF(ISNA(BU163),NA(),IF($B$26="",NA(),$B$26))</f>
        <v/>
      </c>
      <c r="BP163">
        <f>IF(ISNA(BU163),NA(),IF($B$28="",NA(),$B$28))</f>
        <v/>
      </c>
      <c r="BU163">
        <f>IF((BK$1+159)&gt;BI$1,NA(),MATCH((BK$1+159),_Calc!$C$5:$C$10004,0))</f>
        <v/>
      </c>
    </row>
    <row r="164">
      <c r="BH164">
        <f>IF(ISNA(BU164),NA(),(BK$1+160))</f>
        <v/>
      </c>
      <c r="BI164">
        <f>IF(ISNA(BU164),NA(),INDEX(_Calc!$D$5:$D$10004,BU164))</f>
        <v/>
      </c>
      <c r="BJ164">
        <f>IF(ISNA(BU164),NA(),IF($B$22="",NA(),$B$22))</f>
        <v/>
      </c>
      <c r="BK164">
        <f>IF(ISNA(BU164),NA(),IF($B$21="",NA(),$B$21))</f>
        <v/>
      </c>
      <c r="BL164">
        <f>IF(ISNA(BU164),NA(),IF($B$23="",NA(),$B$23))</f>
        <v/>
      </c>
      <c r="BM164">
        <f>IF(ISNA(BU164),NA(),IF(INDEX(_Calc!$F$5:$F$10004,BU164)="",NA(),INDEX(_Calc!$F$5:$F$10004,BU164)))</f>
        <v/>
      </c>
      <c r="BN164">
        <f>IF(ISNA(BU164),NA(),IF($B$24="",NA(),$B$24))</f>
        <v/>
      </c>
      <c r="BO164">
        <f>IF(ISNA(BU164),NA(),IF($B$26="",NA(),$B$26))</f>
        <v/>
      </c>
      <c r="BP164">
        <f>IF(ISNA(BU164),NA(),IF($B$28="",NA(),$B$28))</f>
        <v/>
      </c>
      <c r="BU164">
        <f>IF((BK$1+160)&gt;BI$1,NA(),MATCH((BK$1+160),_Calc!$C$5:$C$10004,0))</f>
        <v/>
      </c>
    </row>
    <row r="165">
      <c r="BH165">
        <f>IF(ISNA(BU165),NA(),(BK$1+161))</f>
        <v/>
      </c>
      <c r="BI165">
        <f>IF(ISNA(BU165),NA(),INDEX(_Calc!$D$5:$D$10004,BU165))</f>
        <v/>
      </c>
      <c r="BJ165">
        <f>IF(ISNA(BU165),NA(),IF($B$22="",NA(),$B$22))</f>
        <v/>
      </c>
      <c r="BK165">
        <f>IF(ISNA(BU165),NA(),IF($B$21="",NA(),$B$21))</f>
        <v/>
      </c>
      <c r="BL165">
        <f>IF(ISNA(BU165),NA(),IF($B$23="",NA(),$B$23))</f>
        <v/>
      </c>
      <c r="BM165">
        <f>IF(ISNA(BU165),NA(),IF(INDEX(_Calc!$F$5:$F$10004,BU165)="",NA(),INDEX(_Calc!$F$5:$F$10004,BU165)))</f>
        <v/>
      </c>
      <c r="BN165">
        <f>IF(ISNA(BU165),NA(),IF($B$24="",NA(),$B$24))</f>
        <v/>
      </c>
      <c r="BO165">
        <f>IF(ISNA(BU165),NA(),IF($B$26="",NA(),$B$26))</f>
        <v/>
      </c>
      <c r="BP165">
        <f>IF(ISNA(BU165),NA(),IF($B$28="",NA(),$B$28))</f>
        <v/>
      </c>
      <c r="BU165">
        <f>IF((BK$1+161)&gt;BI$1,NA(),MATCH((BK$1+161),_Calc!$C$5:$C$10004,0))</f>
        <v/>
      </c>
    </row>
    <row r="166">
      <c r="BH166">
        <f>IF(ISNA(BU166),NA(),(BK$1+162))</f>
        <v/>
      </c>
      <c r="BI166">
        <f>IF(ISNA(BU166),NA(),INDEX(_Calc!$D$5:$D$10004,BU166))</f>
        <v/>
      </c>
      <c r="BJ166">
        <f>IF(ISNA(BU166),NA(),IF($B$22="",NA(),$B$22))</f>
        <v/>
      </c>
      <c r="BK166">
        <f>IF(ISNA(BU166),NA(),IF($B$21="",NA(),$B$21))</f>
        <v/>
      </c>
      <c r="BL166">
        <f>IF(ISNA(BU166),NA(),IF($B$23="",NA(),$B$23))</f>
        <v/>
      </c>
      <c r="BM166">
        <f>IF(ISNA(BU166),NA(),IF(INDEX(_Calc!$F$5:$F$10004,BU166)="",NA(),INDEX(_Calc!$F$5:$F$10004,BU166)))</f>
        <v/>
      </c>
      <c r="BN166">
        <f>IF(ISNA(BU166),NA(),IF($B$24="",NA(),$B$24))</f>
        <v/>
      </c>
      <c r="BO166">
        <f>IF(ISNA(BU166),NA(),IF($B$26="",NA(),$B$26))</f>
        <v/>
      </c>
      <c r="BP166">
        <f>IF(ISNA(BU166),NA(),IF($B$28="",NA(),$B$28))</f>
        <v/>
      </c>
      <c r="BU166">
        <f>IF((BK$1+162)&gt;BI$1,NA(),MATCH((BK$1+162),_Calc!$C$5:$C$10004,0))</f>
        <v/>
      </c>
    </row>
    <row r="167">
      <c r="BH167">
        <f>IF(ISNA(BU167),NA(),(BK$1+163))</f>
        <v/>
      </c>
      <c r="BI167">
        <f>IF(ISNA(BU167),NA(),INDEX(_Calc!$D$5:$D$10004,BU167))</f>
        <v/>
      </c>
      <c r="BJ167">
        <f>IF(ISNA(BU167),NA(),IF($B$22="",NA(),$B$22))</f>
        <v/>
      </c>
      <c r="BK167">
        <f>IF(ISNA(BU167),NA(),IF($B$21="",NA(),$B$21))</f>
        <v/>
      </c>
      <c r="BL167">
        <f>IF(ISNA(BU167),NA(),IF($B$23="",NA(),$B$23))</f>
        <v/>
      </c>
      <c r="BM167">
        <f>IF(ISNA(BU167),NA(),IF(INDEX(_Calc!$F$5:$F$10004,BU167)="",NA(),INDEX(_Calc!$F$5:$F$10004,BU167)))</f>
        <v/>
      </c>
      <c r="BN167">
        <f>IF(ISNA(BU167),NA(),IF($B$24="",NA(),$B$24))</f>
        <v/>
      </c>
      <c r="BO167">
        <f>IF(ISNA(BU167),NA(),IF($B$26="",NA(),$B$26))</f>
        <v/>
      </c>
      <c r="BP167">
        <f>IF(ISNA(BU167),NA(),IF($B$28="",NA(),$B$28))</f>
        <v/>
      </c>
      <c r="BU167">
        <f>IF((BK$1+163)&gt;BI$1,NA(),MATCH((BK$1+163),_Calc!$C$5:$C$10004,0))</f>
        <v/>
      </c>
    </row>
    <row r="168">
      <c r="BH168">
        <f>IF(ISNA(BU168),NA(),(BK$1+164))</f>
        <v/>
      </c>
      <c r="BI168">
        <f>IF(ISNA(BU168),NA(),INDEX(_Calc!$D$5:$D$10004,BU168))</f>
        <v/>
      </c>
      <c r="BJ168">
        <f>IF(ISNA(BU168),NA(),IF($B$22="",NA(),$B$22))</f>
        <v/>
      </c>
      <c r="BK168">
        <f>IF(ISNA(BU168),NA(),IF($B$21="",NA(),$B$21))</f>
        <v/>
      </c>
      <c r="BL168">
        <f>IF(ISNA(BU168),NA(),IF($B$23="",NA(),$B$23))</f>
        <v/>
      </c>
      <c r="BM168">
        <f>IF(ISNA(BU168),NA(),IF(INDEX(_Calc!$F$5:$F$10004,BU168)="",NA(),INDEX(_Calc!$F$5:$F$10004,BU168)))</f>
        <v/>
      </c>
      <c r="BN168">
        <f>IF(ISNA(BU168),NA(),IF($B$24="",NA(),$B$24))</f>
        <v/>
      </c>
      <c r="BO168">
        <f>IF(ISNA(BU168),NA(),IF($B$26="",NA(),$B$26))</f>
        <v/>
      </c>
      <c r="BP168">
        <f>IF(ISNA(BU168),NA(),IF($B$28="",NA(),$B$28))</f>
        <v/>
      </c>
      <c r="BU168">
        <f>IF((BK$1+164)&gt;BI$1,NA(),MATCH((BK$1+164),_Calc!$C$5:$C$10004,0))</f>
        <v/>
      </c>
    </row>
    <row r="169">
      <c r="BH169">
        <f>IF(ISNA(BU169),NA(),(BK$1+165))</f>
        <v/>
      </c>
      <c r="BI169">
        <f>IF(ISNA(BU169),NA(),INDEX(_Calc!$D$5:$D$10004,BU169))</f>
        <v/>
      </c>
      <c r="BJ169">
        <f>IF(ISNA(BU169),NA(),IF($B$22="",NA(),$B$22))</f>
        <v/>
      </c>
      <c r="BK169">
        <f>IF(ISNA(BU169),NA(),IF($B$21="",NA(),$B$21))</f>
        <v/>
      </c>
      <c r="BL169">
        <f>IF(ISNA(BU169),NA(),IF($B$23="",NA(),$B$23))</f>
        <v/>
      </c>
      <c r="BM169">
        <f>IF(ISNA(BU169),NA(),IF(INDEX(_Calc!$F$5:$F$10004,BU169)="",NA(),INDEX(_Calc!$F$5:$F$10004,BU169)))</f>
        <v/>
      </c>
      <c r="BN169">
        <f>IF(ISNA(BU169),NA(),IF($B$24="",NA(),$B$24))</f>
        <v/>
      </c>
      <c r="BO169">
        <f>IF(ISNA(BU169),NA(),IF($B$26="",NA(),$B$26))</f>
        <v/>
      </c>
      <c r="BP169">
        <f>IF(ISNA(BU169),NA(),IF($B$28="",NA(),$B$28))</f>
        <v/>
      </c>
      <c r="BU169">
        <f>IF((BK$1+165)&gt;BI$1,NA(),MATCH((BK$1+165),_Calc!$C$5:$C$10004,0))</f>
        <v/>
      </c>
    </row>
    <row r="170">
      <c r="BH170">
        <f>IF(ISNA(BU170),NA(),(BK$1+166))</f>
        <v/>
      </c>
      <c r="BI170">
        <f>IF(ISNA(BU170),NA(),INDEX(_Calc!$D$5:$D$10004,BU170))</f>
        <v/>
      </c>
      <c r="BJ170">
        <f>IF(ISNA(BU170),NA(),IF($B$22="",NA(),$B$22))</f>
        <v/>
      </c>
      <c r="BK170">
        <f>IF(ISNA(BU170),NA(),IF($B$21="",NA(),$B$21))</f>
        <v/>
      </c>
      <c r="BL170">
        <f>IF(ISNA(BU170),NA(),IF($B$23="",NA(),$B$23))</f>
        <v/>
      </c>
      <c r="BM170">
        <f>IF(ISNA(BU170),NA(),IF(INDEX(_Calc!$F$5:$F$10004,BU170)="",NA(),INDEX(_Calc!$F$5:$F$10004,BU170)))</f>
        <v/>
      </c>
      <c r="BN170">
        <f>IF(ISNA(BU170),NA(),IF($B$24="",NA(),$B$24))</f>
        <v/>
      </c>
      <c r="BO170">
        <f>IF(ISNA(BU170),NA(),IF($B$26="",NA(),$B$26))</f>
        <v/>
      </c>
      <c r="BP170">
        <f>IF(ISNA(BU170),NA(),IF($B$28="",NA(),$B$28))</f>
        <v/>
      </c>
      <c r="BU170">
        <f>IF((BK$1+166)&gt;BI$1,NA(),MATCH((BK$1+166),_Calc!$C$5:$C$10004,0))</f>
        <v/>
      </c>
    </row>
    <row r="171">
      <c r="BH171">
        <f>IF(ISNA(BU171),NA(),(BK$1+167))</f>
        <v/>
      </c>
      <c r="BI171">
        <f>IF(ISNA(BU171),NA(),INDEX(_Calc!$D$5:$D$10004,BU171))</f>
        <v/>
      </c>
      <c r="BJ171">
        <f>IF(ISNA(BU171),NA(),IF($B$22="",NA(),$B$22))</f>
        <v/>
      </c>
      <c r="BK171">
        <f>IF(ISNA(BU171),NA(),IF($B$21="",NA(),$B$21))</f>
        <v/>
      </c>
      <c r="BL171">
        <f>IF(ISNA(BU171),NA(),IF($B$23="",NA(),$B$23))</f>
        <v/>
      </c>
      <c r="BM171">
        <f>IF(ISNA(BU171),NA(),IF(INDEX(_Calc!$F$5:$F$10004,BU171)="",NA(),INDEX(_Calc!$F$5:$F$10004,BU171)))</f>
        <v/>
      </c>
      <c r="BN171">
        <f>IF(ISNA(BU171),NA(),IF($B$24="",NA(),$B$24))</f>
        <v/>
      </c>
      <c r="BO171">
        <f>IF(ISNA(BU171),NA(),IF($B$26="",NA(),$B$26))</f>
        <v/>
      </c>
      <c r="BP171">
        <f>IF(ISNA(BU171),NA(),IF($B$28="",NA(),$B$28))</f>
        <v/>
      </c>
      <c r="BU171">
        <f>IF((BK$1+167)&gt;BI$1,NA(),MATCH((BK$1+167),_Calc!$C$5:$C$10004,0))</f>
        <v/>
      </c>
    </row>
    <row r="172">
      <c r="BH172">
        <f>IF(ISNA(BU172),NA(),(BK$1+168))</f>
        <v/>
      </c>
      <c r="BI172">
        <f>IF(ISNA(BU172),NA(),INDEX(_Calc!$D$5:$D$10004,BU172))</f>
        <v/>
      </c>
      <c r="BJ172">
        <f>IF(ISNA(BU172),NA(),IF($B$22="",NA(),$B$22))</f>
        <v/>
      </c>
      <c r="BK172">
        <f>IF(ISNA(BU172),NA(),IF($B$21="",NA(),$B$21))</f>
        <v/>
      </c>
      <c r="BL172">
        <f>IF(ISNA(BU172),NA(),IF($B$23="",NA(),$B$23))</f>
        <v/>
      </c>
      <c r="BM172">
        <f>IF(ISNA(BU172),NA(),IF(INDEX(_Calc!$F$5:$F$10004,BU172)="",NA(),INDEX(_Calc!$F$5:$F$10004,BU172)))</f>
        <v/>
      </c>
      <c r="BN172">
        <f>IF(ISNA(BU172),NA(),IF($B$24="",NA(),$B$24))</f>
        <v/>
      </c>
      <c r="BO172">
        <f>IF(ISNA(BU172),NA(),IF($B$26="",NA(),$B$26))</f>
        <v/>
      </c>
      <c r="BP172">
        <f>IF(ISNA(BU172),NA(),IF($B$28="",NA(),$B$28))</f>
        <v/>
      </c>
      <c r="BU172">
        <f>IF((BK$1+168)&gt;BI$1,NA(),MATCH((BK$1+168),_Calc!$C$5:$C$10004,0))</f>
        <v/>
      </c>
    </row>
    <row r="173">
      <c r="BH173">
        <f>IF(ISNA(BU173),NA(),(BK$1+169))</f>
        <v/>
      </c>
      <c r="BI173">
        <f>IF(ISNA(BU173),NA(),INDEX(_Calc!$D$5:$D$10004,BU173))</f>
        <v/>
      </c>
      <c r="BJ173">
        <f>IF(ISNA(BU173),NA(),IF($B$22="",NA(),$B$22))</f>
        <v/>
      </c>
      <c r="BK173">
        <f>IF(ISNA(BU173),NA(),IF($B$21="",NA(),$B$21))</f>
        <v/>
      </c>
      <c r="BL173">
        <f>IF(ISNA(BU173),NA(),IF($B$23="",NA(),$B$23))</f>
        <v/>
      </c>
      <c r="BM173">
        <f>IF(ISNA(BU173),NA(),IF(INDEX(_Calc!$F$5:$F$10004,BU173)="",NA(),INDEX(_Calc!$F$5:$F$10004,BU173)))</f>
        <v/>
      </c>
      <c r="BN173">
        <f>IF(ISNA(BU173),NA(),IF($B$24="",NA(),$B$24))</f>
        <v/>
      </c>
      <c r="BO173">
        <f>IF(ISNA(BU173),NA(),IF($B$26="",NA(),$B$26))</f>
        <v/>
      </c>
      <c r="BP173">
        <f>IF(ISNA(BU173),NA(),IF($B$28="",NA(),$B$28))</f>
        <v/>
      </c>
      <c r="BU173">
        <f>IF((BK$1+169)&gt;BI$1,NA(),MATCH((BK$1+169),_Calc!$C$5:$C$10004,0))</f>
        <v/>
      </c>
    </row>
    <row r="174">
      <c r="BH174">
        <f>IF(ISNA(BU174),NA(),(BK$1+170))</f>
        <v/>
      </c>
      <c r="BI174">
        <f>IF(ISNA(BU174),NA(),INDEX(_Calc!$D$5:$D$10004,BU174))</f>
        <v/>
      </c>
      <c r="BJ174">
        <f>IF(ISNA(BU174),NA(),IF($B$22="",NA(),$B$22))</f>
        <v/>
      </c>
      <c r="BK174">
        <f>IF(ISNA(BU174),NA(),IF($B$21="",NA(),$B$21))</f>
        <v/>
      </c>
      <c r="BL174">
        <f>IF(ISNA(BU174),NA(),IF($B$23="",NA(),$B$23))</f>
        <v/>
      </c>
      <c r="BM174">
        <f>IF(ISNA(BU174),NA(),IF(INDEX(_Calc!$F$5:$F$10004,BU174)="",NA(),INDEX(_Calc!$F$5:$F$10004,BU174)))</f>
        <v/>
      </c>
      <c r="BN174">
        <f>IF(ISNA(BU174),NA(),IF($B$24="",NA(),$B$24))</f>
        <v/>
      </c>
      <c r="BO174">
        <f>IF(ISNA(BU174),NA(),IF($B$26="",NA(),$B$26))</f>
        <v/>
      </c>
      <c r="BP174">
        <f>IF(ISNA(BU174),NA(),IF($B$28="",NA(),$B$28))</f>
        <v/>
      </c>
      <c r="BU174">
        <f>IF((BK$1+170)&gt;BI$1,NA(),MATCH((BK$1+170),_Calc!$C$5:$C$10004,0))</f>
        <v/>
      </c>
    </row>
    <row r="175">
      <c r="BH175">
        <f>IF(ISNA(BU175),NA(),(BK$1+171))</f>
        <v/>
      </c>
      <c r="BI175">
        <f>IF(ISNA(BU175),NA(),INDEX(_Calc!$D$5:$D$10004,BU175))</f>
        <v/>
      </c>
      <c r="BJ175">
        <f>IF(ISNA(BU175),NA(),IF($B$22="",NA(),$B$22))</f>
        <v/>
      </c>
      <c r="BK175">
        <f>IF(ISNA(BU175),NA(),IF($B$21="",NA(),$B$21))</f>
        <v/>
      </c>
      <c r="BL175">
        <f>IF(ISNA(BU175),NA(),IF($B$23="",NA(),$B$23))</f>
        <v/>
      </c>
      <c r="BM175">
        <f>IF(ISNA(BU175),NA(),IF(INDEX(_Calc!$F$5:$F$10004,BU175)="",NA(),INDEX(_Calc!$F$5:$F$10004,BU175)))</f>
        <v/>
      </c>
      <c r="BN175">
        <f>IF(ISNA(BU175),NA(),IF($B$24="",NA(),$B$24))</f>
        <v/>
      </c>
      <c r="BO175">
        <f>IF(ISNA(BU175),NA(),IF($B$26="",NA(),$B$26))</f>
        <v/>
      </c>
      <c r="BP175">
        <f>IF(ISNA(BU175),NA(),IF($B$28="",NA(),$B$28))</f>
        <v/>
      </c>
      <c r="BU175">
        <f>IF((BK$1+171)&gt;BI$1,NA(),MATCH((BK$1+171),_Calc!$C$5:$C$10004,0))</f>
        <v/>
      </c>
    </row>
    <row r="176">
      <c r="BH176">
        <f>IF(ISNA(BU176),NA(),(BK$1+172))</f>
        <v/>
      </c>
      <c r="BI176">
        <f>IF(ISNA(BU176),NA(),INDEX(_Calc!$D$5:$D$10004,BU176))</f>
        <v/>
      </c>
      <c r="BJ176">
        <f>IF(ISNA(BU176),NA(),IF($B$22="",NA(),$B$22))</f>
        <v/>
      </c>
      <c r="BK176">
        <f>IF(ISNA(BU176),NA(),IF($B$21="",NA(),$B$21))</f>
        <v/>
      </c>
      <c r="BL176">
        <f>IF(ISNA(BU176),NA(),IF($B$23="",NA(),$B$23))</f>
        <v/>
      </c>
      <c r="BM176">
        <f>IF(ISNA(BU176),NA(),IF(INDEX(_Calc!$F$5:$F$10004,BU176)="",NA(),INDEX(_Calc!$F$5:$F$10004,BU176)))</f>
        <v/>
      </c>
      <c r="BN176">
        <f>IF(ISNA(BU176),NA(),IF($B$24="",NA(),$B$24))</f>
        <v/>
      </c>
      <c r="BO176">
        <f>IF(ISNA(BU176),NA(),IF($B$26="",NA(),$B$26))</f>
        <v/>
      </c>
      <c r="BP176">
        <f>IF(ISNA(BU176),NA(),IF($B$28="",NA(),$B$28))</f>
        <v/>
      </c>
      <c r="BU176">
        <f>IF((BK$1+172)&gt;BI$1,NA(),MATCH((BK$1+172),_Calc!$C$5:$C$10004,0))</f>
        <v/>
      </c>
    </row>
    <row r="177">
      <c r="BH177">
        <f>IF(ISNA(BU177),NA(),(BK$1+173))</f>
        <v/>
      </c>
      <c r="BI177">
        <f>IF(ISNA(BU177),NA(),INDEX(_Calc!$D$5:$D$10004,BU177))</f>
        <v/>
      </c>
      <c r="BJ177">
        <f>IF(ISNA(BU177),NA(),IF($B$22="",NA(),$B$22))</f>
        <v/>
      </c>
      <c r="BK177">
        <f>IF(ISNA(BU177),NA(),IF($B$21="",NA(),$B$21))</f>
        <v/>
      </c>
      <c r="BL177">
        <f>IF(ISNA(BU177),NA(),IF($B$23="",NA(),$B$23))</f>
        <v/>
      </c>
      <c r="BM177">
        <f>IF(ISNA(BU177),NA(),IF(INDEX(_Calc!$F$5:$F$10004,BU177)="",NA(),INDEX(_Calc!$F$5:$F$10004,BU177)))</f>
        <v/>
      </c>
      <c r="BN177">
        <f>IF(ISNA(BU177),NA(),IF($B$24="",NA(),$B$24))</f>
        <v/>
      </c>
      <c r="BO177">
        <f>IF(ISNA(BU177),NA(),IF($B$26="",NA(),$B$26))</f>
        <v/>
      </c>
      <c r="BP177">
        <f>IF(ISNA(BU177),NA(),IF($B$28="",NA(),$B$28))</f>
        <v/>
      </c>
      <c r="BU177">
        <f>IF((BK$1+173)&gt;BI$1,NA(),MATCH((BK$1+173),_Calc!$C$5:$C$10004,0))</f>
        <v/>
      </c>
    </row>
    <row r="178">
      <c r="BH178">
        <f>IF(ISNA(BU178),NA(),(BK$1+174))</f>
        <v/>
      </c>
      <c r="BI178">
        <f>IF(ISNA(BU178),NA(),INDEX(_Calc!$D$5:$D$10004,BU178))</f>
        <v/>
      </c>
      <c r="BJ178">
        <f>IF(ISNA(BU178),NA(),IF($B$22="",NA(),$B$22))</f>
        <v/>
      </c>
      <c r="BK178">
        <f>IF(ISNA(BU178),NA(),IF($B$21="",NA(),$B$21))</f>
        <v/>
      </c>
      <c r="BL178">
        <f>IF(ISNA(BU178),NA(),IF($B$23="",NA(),$B$23))</f>
        <v/>
      </c>
      <c r="BM178">
        <f>IF(ISNA(BU178),NA(),IF(INDEX(_Calc!$F$5:$F$10004,BU178)="",NA(),INDEX(_Calc!$F$5:$F$10004,BU178)))</f>
        <v/>
      </c>
      <c r="BN178">
        <f>IF(ISNA(BU178),NA(),IF($B$24="",NA(),$B$24))</f>
        <v/>
      </c>
      <c r="BO178">
        <f>IF(ISNA(BU178),NA(),IF($B$26="",NA(),$B$26))</f>
        <v/>
      </c>
      <c r="BP178">
        <f>IF(ISNA(BU178),NA(),IF($B$28="",NA(),$B$28))</f>
        <v/>
      </c>
      <c r="BU178">
        <f>IF((BK$1+174)&gt;BI$1,NA(),MATCH((BK$1+174),_Calc!$C$5:$C$10004,0))</f>
        <v/>
      </c>
    </row>
    <row r="179">
      <c r="BH179">
        <f>IF(ISNA(BU179),NA(),(BK$1+175))</f>
        <v/>
      </c>
      <c r="BI179">
        <f>IF(ISNA(BU179),NA(),INDEX(_Calc!$D$5:$D$10004,BU179))</f>
        <v/>
      </c>
      <c r="BJ179">
        <f>IF(ISNA(BU179),NA(),IF($B$22="",NA(),$B$22))</f>
        <v/>
      </c>
      <c r="BK179">
        <f>IF(ISNA(BU179),NA(),IF($B$21="",NA(),$B$21))</f>
        <v/>
      </c>
      <c r="BL179">
        <f>IF(ISNA(BU179),NA(),IF($B$23="",NA(),$B$23))</f>
        <v/>
      </c>
      <c r="BM179">
        <f>IF(ISNA(BU179),NA(),IF(INDEX(_Calc!$F$5:$F$10004,BU179)="",NA(),INDEX(_Calc!$F$5:$F$10004,BU179)))</f>
        <v/>
      </c>
      <c r="BN179">
        <f>IF(ISNA(BU179),NA(),IF($B$24="",NA(),$B$24))</f>
        <v/>
      </c>
      <c r="BO179">
        <f>IF(ISNA(BU179),NA(),IF($B$26="",NA(),$B$26))</f>
        <v/>
      </c>
      <c r="BP179">
        <f>IF(ISNA(BU179),NA(),IF($B$28="",NA(),$B$28))</f>
        <v/>
      </c>
      <c r="BU179">
        <f>IF((BK$1+175)&gt;BI$1,NA(),MATCH((BK$1+175),_Calc!$C$5:$C$10004,0))</f>
        <v/>
      </c>
    </row>
    <row r="180">
      <c r="BH180">
        <f>IF(ISNA(BU180),NA(),(BK$1+176))</f>
        <v/>
      </c>
      <c r="BI180">
        <f>IF(ISNA(BU180),NA(),INDEX(_Calc!$D$5:$D$10004,BU180))</f>
        <v/>
      </c>
      <c r="BJ180">
        <f>IF(ISNA(BU180),NA(),IF($B$22="",NA(),$B$22))</f>
        <v/>
      </c>
      <c r="BK180">
        <f>IF(ISNA(BU180),NA(),IF($B$21="",NA(),$B$21))</f>
        <v/>
      </c>
      <c r="BL180">
        <f>IF(ISNA(BU180),NA(),IF($B$23="",NA(),$B$23))</f>
        <v/>
      </c>
      <c r="BM180">
        <f>IF(ISNA(BU180),NA(),IF(INDEX(_Calc!$F$5:$F$10004,BU180)="",NA(),INDEX(_Calc!$F$5:$F$10004,BU180)))</f>
        <v/>
      </c>
      <c r="BN180">
        <f>IF(ISNA(BU180),NA(),IF($B$24="",NA(),$B$24))</f>
        <v/>
      </c>
      <c r="BO180">
        <f>IF(ISNA(BU180),NA(),IF($B$26="",NA(),$B$26))</f>
        <v/>
      </c>
      <c r="BP180">
        <f>IF(ISNA(BU180),NA(),IF($B$28="",NA(),$B$28))</f>
        <v/>
      </c>
      <c r="BU180">
        <f>IF((BK$1+176)&gt;BI$1,NA(),MATCH((BK$1+176),_Calc!$C$5:$C$10004,0))</f>
        <v/>
      </c>
    </row>
    <row r="181">
      <c r="BH181">
        <f>IF(ISNA(BU181),NA(),(BK$1+177))</f>
        <v/>
      </c>
      <c r="BI181">
        <f>IF(ISNA(BU181),NA(),INDEX(_Calc!$D$5:$D$10004,BU181))</f>
        <v/>
      </c>
      <c r="BJ181">
        <f>IF(ISNA(BU181),NA(),IF($B$22="",NA(),$B$22))</f>
        <v/>
      </c>
      <c r="BK181">
        <f>IF(ISNA(BU181),NA(),IF($B$21="",NA(),$B$21))</f>
        <v/>
      </c>
      <c r="BL181">
        <f>IF(ISNA(BU181),NA(),IF($B$23="",NA(),$B$23))</f>
        <v/>
      </c>
      <c r="BM181">
        <f>IF(ISNA(BU181),NA(),IF(INDEX(_Calc!$F$5:$F$10004,BU181)="",NA(),INDEX(_Calc!$F$5:$F$10004,BU181)))</f>
        <v/>
      </c>
      <c r="BN181">
        <f>IF(ISNA(BU181),NA(),IF($B$24="",NA(),$B$24))</f>
        <v/>
      </c>
      <c r="BO181">
        <f>IF(ISNA(BU181),NA(),IF($B$26="",NA(),$B$26))</f>
        <v/>
      </c>
      <c r="BP181">
        <f>IF(ISNA(BU181),NA(),IF($B$28="",NA(),$B$28))</f>
        <v/>
      </c>
      <c r="BU181">
        <f>IF((BK$1+177)&gt;BI$1,NA(),MATCH((BK$1+177),_Calc!$C$5:$C$10004,0))</f>
        <v/>
      </c>
    </row>
    <row r="182">
      <c r="BH182">
        <f>IF(ISNA(BU182),NA(),(BK$1+178))</f>
        <v/>
      </c>
      <c r="BI182">
        <f>IF(ISNA(BU182),NA(),INDEX(_Calc!$D$5:$D$10004,BU182))</f>
        <v/>
      </c>
      <c r="BJ182">
        <f>IF(ISNA(BU182),NA(),IF($B$22="",NA(),$B$22))</f>
        <v/>
      </c>
      <c r="BK182">
        <f>IF(ISNA(BU182),NA(),IF($B$21="",NA(),$B$21))</f>
        <v/>
      </c>
      <c r="BL182">
        <f>IF(ISNA(BU182),NA(),IF($B$23="",NA(),$B$23))</f>
        <v/>
      </c>
      <c r="BM182">
        <f>IF(ISNA(BU182),NA(),IF(INDEX(_Calc!$F$5:$F$10004,BU182)="",NA(),INDEX(_Calc!$F$5:$F$10004,BU182)))</f>
        <v/>
      </c>
      <c r="BN182">
        <f>IF(ISNA(BU182),NA(),IF($B$24="",NA(),$B$24))</f>
        <v/>
      </c>
      <c r="BO182">
        <f>IF(ISNA(BU182),NA(),IF($B$26="",NA(),$B$26))</f>
        <v/>
      </c>
      <c r="BP182">
        <f>IF(ISNA(BU182),NA(),IF($B$28="",NA(),$B$28))</f>
        <v/>
      </c>
      <c r="BU182">
        <f>IF((BK$1+178)&gt;BI$1,NA(),MATCH((BK$1+178),_Calc!$C$5:$C$10004,0))</f>
        <v/>
      </c>
    </row>
    <row r="183">
      <c r="BH183">
        <f>IF(ISNA(BU183),NA(),(BK$1+179))</f>
        <v/>
      </c>
      <c r="BI183">
        <f>IF(ISNA(BU183),NA(),INDEX(_Calc!$D$5:$D$10004,BU183))</f>
        <v/>
      </c>
      <c r="BJ183">
        <f>IF(ISNA(BU183),NA(),IF($B$22="",NA(),$B$22))</f>
        <v/>
      </c>
      <c r="BK183">
        <f>IF(ISNA(BU183),NA(),IF($B$21="",NA(),$B$21))</f>
        <v/>
      </c>
      <c r="BL183">
        <f>IF(ISNA(BU183),NA(),IF($B$23="",NA(),$B$23))</f>
        <v/>
      </c>
      <c r="BM183">
        <f>IF(ISNA(BU183),NA(),IF(INDEX(_Calc!$F$5:$F$10004,BU183)="",NA(),INDEX(_Calc!$F$5:$F$10004,BU183)))</f>
        <v/>
      </c>
      <c r="BN183">
        <f>IF(ISNA(BU183),NA(),IF($B$24="",NA(),$B$24))</f>
        <v/>
      </c>
      <c r="BO183">
        <f>IF(ISNA(BU183),NA(),IF($B$26="",NA(),$B$26))</f>
        <v/>
      </c>
      <c r="BP183">
        <f>IF(ISNA(BU183),NA(),IF($B$28="",NA(),$B$28))</f>
        <v/>
      </c>
      <c r="BU183">
        <f>IF((BK$1+179)&gt;BI$1,NA(),MATCH((BK$1+179),_Calc!$C$5:$C$10004,0))</f>
        <v/>
      </c>
    </row>
    <row r="184">
      <c r="BH184">
        <f>IF(ISNA(BU184),NA(),(BK$1+180))</f>
        <v/>
      </c>
      <c r="BI184">
        <f>IF(ISNA(BU184),NA(),INDEX(_Calc!$D$5:$D$10004,BU184))</f>
        <v/>
      </c>
      <c r="BJ184">
        <f>IF(ISNA(BU184),NA(),IF($B$22="",NA(),$B$22))</f>
        <v/>
      </c>
      <c r="BK184">
        <f>IF(ISNA(BU184),NA(),IF($B$21="",NA(),$B$21))</f>
        <v/>
      </c>
      <c r="BL184">
        <f>IF(ISNA(BU184),NA(),IF($B$23="",NA(),$B$23))</f>
        <v/>
      </c>
      <c r="BM184">
        <f>IF(ISNA(BU184),NA(),IF(INDEX(_Calc!$F$5:$F$10004,BU184)="",NA(),INDEX(_Calc!$F$5:$F$10004,BU184)))</f>
        <v/>
      </c>
      <c r="BN184">
        <f>IF(ISNA(BU184),NA(),IF($B$24="",NA(),$B$24))</f>
        <v/>
      </c>
      <c r="BO184">
        <f>IF(ISNA(BU184),NA(),IF($B$26="",NA(),$B$26))</f>
        <v/>
      </c>
      <c r="BP184">
        <f>IF(ISNA(BU184),NA(),IF($B$28="",NA(),$B$28))</f>
        <v/>
      </c>
      <c r="BU184">
        <f>IF((BK$1+180)&gt;BI$1,NA(),MATCH((BK$1+180),_Calc!$C$5:$C$10004,0))</f>
        <v/>
      </c>
    </row>
    <row r="185">
      <c r="BH185">
        <f>IF(ISNA(BU185),NA(),(BK$1+181))</f>
        <v/>
      </c>
      <c r="BI185">
        <f>IF(ISNA(BU185),NA(),INDEX(_Calc!$D$5:$D$10004,BU185))</f>
        <v/>
      </c>
      <c r="BJ185">
        <f>IF(ISNA(BU185),NA(),IF($B$22="",NA(),$B$22))</f>
        <v/>
      </c>
      <c r="BK185">
        <f>IF(ISNA(BU185),NA(),IF($B$21="",NA(),$B$21))</f>
        <v/>
      </c>
      <c r="BL185">
        <f>IF(ISNA(BU185),NA(),IF($B$23="",NA(),$B$23))</f>
        <v/>
      </c>
      <c r="BM185">
        <f>IF(ISNA(BU185),NA(),IF(INDEX(_Calc!$F$5:$F$10004,BU185)="",NA(),INDEX(_Calc!$F$5:$F$10004,BU185)))</f>
        <v/>
      </c>
      <c r="BN185">
        <f>IF(ISNA(BU185),NA(),IF($B$24="",NA(),$B$24))</f>
        <v/>
      </c>
      <c r="BO185">
        <f>IF(ISNA(BU185),NA(),IF($B$26="",NA(),$B$26))</f>
        <v/>
      </c>
      <c r="BP185">
        <f>IF(ISNA(BU185),NA(),IF($B$28="",NA(),$B$28))</f>
        <v/>
      </c>
      <c r="BU185">
        <f>IF((BK$1+181)&gt;BI$1,NA(),MATCH((BK$1+181),_Calc!$C$5:$C$10004,0))</f>
        <v/>
      </c>
    </row>
    <row r="186">
      <c r="BH186">
        <f>IF(ISNA(BU186),NA(),(BK$1+182))</f>
        <v/>
      </c>
      <c r="BI186">
        <f>IF(ISNA(BU186),NA(),INDEX(_Calc!$D$5:$D$10004,BU186))</f>
        <v/>
      </c>
      <c r="BJ186">
        <f>IF(ISNA(BU186),NA(),IF($B$22="",NA(),$B$22))</f>
        <v/>
      </c>
      <c r="BK186">
        <f>IF(ISNA(BU186),NA(),IF($B$21="",NA(),$B$21))</f>
        <v/>
      </c>
      <c r="BL186">
        <f>IF(ISNA(BU186),NA(),IF($B$23="",NA(),$B$23))</f>
        <v/>
      </c>
      <c r="BM186">
        <f>IF(ISNA(BU186),NA(),IF(INDEX(_Calc!$F$5:$F$10004,BU186)="",NA(),INDEX(_Calc!$F$5:$F$10004,BU186)))</f>
        <v/>
      </c>
      <c r="BN186">
        <f>IF(ISNA(BU186),NA(),IF($B$24="",NA(),$B$24))</f>
        <v/>
      </c>
      <c r="BO186">
        <f>IF(ISNA(BU186),NA(),IF($B$26="",NA(),$B$26))</f>
        <v/>
      </c>
      <c r="BP186">
        <f>IF(ISNA(BU186),NA(),IF($B$28="",NA(),$B$28))</f>
        <v/>
      </c>
      <c r="BU186">
        <f>IF((BK$1+182)&gt;BI$1,NA(),MATCH((BK$1+182),_Calc!$C$5:$C$10004,0))</f>
        <v/>
      </c>
    </row>
    <row r="187">
      <c r="BH187">
        <f>IF(ISNA(BU187),NA(),(BK$1+183))</f>
        <v/>
      </c>
      <c r="BI187">
        <f>IF(ISNA(BU187),NA(),INDEX(_Calc!$D$5:$D$10004,BU187))</f>
        <v/>
      </c>
      <c r="BJ187">
        <f>IF(ISNA(BU187),NA(),IF($B$22="",NA(),$B$22))</f>
        <v/>
      </c>
      <c r="BK187">
        <f>IF(ISNA(BU187),NA(),IF($B$21="",NA(),$B$21))</f>
        <v/>
      </c>
      <c r="BL187">
        <f>IF(ISNA(BU187),NA(),IF($B$23="",NA(),$B$23))</f>
        <v/>
      </c>
      <c r="BM187">
        <f>IF(ISNA(BU187),NA(),IF(INDEX(_Calc!$F$5:$F$10004,BU187)="",NA(),INDEX(_Calc!$F$5:$F$10004,BU187)))</f>
        <v/>
      </c>
      <c r="BN187">
        <f>IF(ISNA(BU187),NA(),IF($B$24="",NA(),$B$24))</f>
        <v/>
      </c>
      <c r="BO187">
        <f>IF(ISNA(BU187),NA(),IF($B$26="",NA(),$B$26))</f>
        <v/>
      </c>
      <c r="BP187">
        <f>IF(ISNA(BU187),NA(),IF($B$28="",NA(),$B$28))</f>
        <v/>
      </c>
      <c r="BU187">
        <f>IF((BK$1+183)&gt;BI$1,NA(),MATCH((BK$1+183),_Calc!$C$5:$C$10004,0))</f>
        <v/>
      </c>
    </row>
    <row r="188">
      <c r="BH188">
        <f>IF(ISNA(BU188),NA(),(BK$1+184))</f>
        <v/>
      </c>
      <c r="BI188">
        <f>IF(ISNA(BU188),NA(),INDEX(_Calc!$D$5:$D$10004,BU188))</f>
        <v/>
      </c>
      <c r="BJ188">
        <f>IF(ISNA(BU188),NA(),IF($B$22="",NA(),$B$22))</f>
        <v/>
      </c>
      <c r="BK188">
        <f>IF(ISNA(BU188),NA(),IF($B$21="",NA(),$B$21))</f>
        <v/>
      </c>
      <c r="BL188">
        <f>IF(ISNA(BU188),NA(),IF($B$23="",NA(),$B$23))</f>
        <v/>
      </c>
      <c r="BM188">
        <f>IF(ISNA(BU188),NA(),IF(INDEX(_Calc!$F$5:$F$10004,BU188)="",NA(),INDEX(_Calc!$F$5:$F$10004,BU188)))</f>
        <v/>
      </c>
      <c r="BN188">
        <f>IF(ISNA(BU188),NA(),IF($B$24="",NA(),$B$24))</f>
        <v/>
      </c>
      <c r="BO188">
        <f>IF(ISNA(BU188),NA(),IF($B$26="",NA(),$B$26))</f>
        <v/>
      </c>
      <c r="BP188">
        <f>IF(ISNA(BU188),NA(),IF($B$28="",NA(),$B$28))</f>
        <v/>
      </c>
      <c r="BU188">
        <f>IF((BK$1+184)&gt;BI$1,NA(),MATCH((BK$1+184),_Calc!$C$5:$C$10004,0))</f>
        <v/>
      </c>
    </row>
    <row r="189">
      <c r="BH189">
        <f>IF(ISNA(BU189),NA(),(BK$1+185))</f>
        <v/>
      </c>
      <c r="BI189">
        <f>IF(ISNA(BU189),NA(),INDEX(_Calc!$D$5:$D$10004,BU189))</f>
        <v/>
      </c>
      <c r="BJ189">
        <f>IF(ISNA(BU189),NA(),IF($B$22="",NA(),$B$22))</f>
        <v/>
      </c>
      <c r="BK189">
        <f>IF(ISNA(BU189),NA(),IF($B$21="",NA(),$B$21))</f>
        <v/>
      </c>
      <c r="BL189">
        <f>IF(ISNA(BU189),NA(),IF($B$23="",NA(),$B$23))</f>
        <v/>
      </c>
      <c r="BM189">
        <f>IF(ISNA(BU189),NA(),IF(INDEX(_Calc!$F$5:$F$10004,BU189)="",NA(),INDEX(_Calc!$F$5:$F$10004,BU189)))</f>
        <v/>
      </c>
      <c r="BN189">
        <f>IF(ISNA(BU189),NA(),IF($B$24="",NA(),$B$24))</f>
        <v/>
      </c>
      <c r="BO189">
        <f>IF(ISNA(BU189),NA(),IF($B$26="",NA(),$B$26))</f>
        <v/>
      </c>
      <c r="BP189">
        <f>IF(ISNA(BU189),NA(),IF($B$28="",NA(),$B$28))</f>
        <v/>
      </c>
      <c r="BU189">
        <f>IF((BK$1+185)&gt;BI$1,NA(),MATCH((BK$1+185),_Calc!$C$5:$C$10004,0))</f>
        <v/>
      </c>
    </row>
    <row r="190">
      <c r="BH190">
        <f>IF(ISNA(BU190),NA(),(BK$1+186))</f>
        <v/>
      </c>
      <c r="BI190">
        <f>IF(ISNA(BU190),NA(),INDEX(_Calc!$D$5:$D$10004,BU190))</f>
        <v/>
      </c>
      <c r="BJ190">
        <f>IF(ISNA(BU190),NA(),IF($B$22="",NA(),$B$22))</f>
        <v/>
      </c>
      <c r="BK190">
        <f>IF(ISNA(BU190),NA(),IF($B$21="",NA(),$B$21))</f>
        <v/>
      </c>
      <c r="BL190">
        <f>IF(ISNA(BU190),NA(),IF($B$23="",NA(),$B$23))</f>
        <v/>
      </c>
      <c r="BM190">
        <f>IF(ISNA(BU190),NA(),IF(INDEX(_Calc!$F$5:$F$10004,BU190)="",NA(),INDEX(_Calc!$F$5:$F$10004,BU190)))</f>
        <v/>
      </c>
      <c r="BN190">
        <f>IF(ISNA(BU190),NA(),IF($B$24="",NA(),$B$24))</f>
        <v/>
      </c>
      <c r="BO190">
        <f>IF(ISNA(BU190),NA(),IF($B$26="",NA(),$B$26))</f>
        <v/>
      </c>
      <c r="BP190">
        <f>IF(ISNA(BU190),NA(),IF($B$28="",NA(),$B$28))</f>
        <v/>
      </c>
      <c r="BU190">
        <f>IF((BK$1+186)&gt;BI$1,NA(),MATCH((BK$1+186),_Calc!$C$5:$C$10004,0))</f>
        <v/>
      </c>
    </row>
    <row r="191">
      <c r="BH191">
        <f>IF(ISNA(BU191),NA(),(BK$1+187))</f>
        <v/>
      </c>
      <c r="BI191">
        <f>IF(ISNA(BU191),NA(),INDEX(_Calc!$D$5:$D$10004,BU191))</f>
        <v/>
      </c>
      <c r="BJ191">
        <f>IF(ISNA(BU191),NA(),IF($B$22="",NA(),$B$22))</f>
        <v/>
      </c>
      <c r="BK191">
        <f>IF(ISNA(BU191),NA(),IF($B$21="",NA(),$B$21))</f>
        <v/>
      </c>
      <c r="BL191">
        <f>IF(ISNA(BU191),NA(),IF($B$23="",NA(),$B$23))</f>
        <v/>
      </c>
      <c r="BM191">
        <f>IF(ISNA(BU191),NA(),IF(INDEX(_Calc!$F$5:$F$10004,BU191)="",NA(),INDEX(_Calc!$F$5:$F$10004,BU191)))</f>
        <v/>
      </c>
      <c r="BN191">
        <f>IF(ISNA(BU191),NA(),IF($B$24="",NA(),$B$24))</f>
        <v/>
      </c>
      <c r="BO191">
        <f>IF(ISNA(BU191),NA(),IF($B$26="",NA(),$B$26))</f>
        <v/>
      </c>
      <c r="BP191">
        <f>IF(ISNA(BU191),NA(),IF($B$28="",NA(),$B$28))</f>
        <v/>
      </c>
      <c r="BU191">
        <f>IF((BK$1+187)&gt;BI$1,NA(),MATCH((BK$1+187),_Calc!$C$5:$C$10004,0))</f>
        <v/>
      </c>
    </row>
    <row r="192">
      <c r="BH192">
        <f>IF(ISNA(BU192),NA(),(BK$1+188))</f>
        <v/>
      </c>
      <c r="BI192">
        <f>IF(ISNA(BU192),NA(),INDEX(_Calc!$D$5:$D$10004,BU192))</f>
        <v/>
      </c>
      <c r="BJ192">
        <f>IF(ISNA(BU192),NA(),IF($B$22="",NA(),$B$22))</f>
        <v/>
      </c>
      <c r="BK192">
        <f>IF(ISNA(BU192),NA(),IF($B$21="",NA(),$B$21))</f>
        <v/>
      </c>
      <c r="BL192">
        <f>IF(ISNA(BU192),NA(),IF($B$23="",NA(),$B$23))</f>
        <v/>
      </c>
      <c r="BM192">
        <f>IF(ISNA(BU192),NA(),IF(INDEX(_Calc!$F$5:$F$10004,BU192)="",NA(),INDEX(_Calc!$F$5:$F$10004,BU192)))</f>
        <v/>
      </c>
      <c r="BN192">
        <f>IF(ISNA(BU192),NA(),IF($B$24="",NA(),$B$24))</f>
        <v/>
      </c>
      <c r="BO192">
        <f>IF(ISNA(BU192),NA(),IF($B$26="",NA(),$B$26))</f>
        <v/>
      </c>
      <c r="BP192">
        <f>IF(ISNA(BU192),NA(),IF($B$28="",NA(),$B$28))</f>
        <v/>
      </c>
      <c r="BU192">
        <f>IF((BK$1+188)&gt;BI$1,NA(),MATCH((BK$1+188),_Calc!$C$5:$C$10004,0))</f>
        <v/>
      </c>
    </row>
    <row r="193">
      <c r="BH193">
        <f>IF(ISNA(BU193),NA(),(BK$1+189))</f>
        <v/>
      </c>
      <c r="BI193">
        <f>IF(ISNA(BU193),NA(),INDEX(_Calc!$D$5:$D$10004,BU193))</f>
        <v/>
      </c>
      <c r="BJ193">
        <f>IF(ISNA(BU193),NA(),IF($B$22="",NA(),$B$22))</f>
        <v/>
      </c>
      <c r="BK193">
        <f>IF(ISNA(BU193),NA(),IF($B$21="",NA(),$B$21))</f>
        <v/>
      </c>
      <c r="BL193">
        <f>IF(ISNA(BU193),NA(),IF($B$23="",NA(),$B$23))</f>
        <v/>
      </c>
      <c r="BM193">
        <f>IF(ISNA(BU193),NA(),IF(INDEX(_Calc!$F$5:$F$10004,BU193)="",NA(),INDEX(_Calc!$F$5:$F$10004,BU193)))</f>
        <v/>
      </c>
      <c r="BN193">
        <f>IF(ISNA(BU193),NA(),IF($B$24="",NA(),$B$24))</f>
        <v/>
      </c>
      <c r="BO193">
        <f>IF(ISNA(BU193),NA(),IF($B$26="",NA(),$B$26))</f>
        <v/>
      </c>
      <c r="BP193">
        <f>IF(ISNA(BU193),NA(),IF($B$28="",NA(),$B$28))</f>
        <v/>
      </c>
      <c r="BU193">
        <f>IF((BK$1+189)&gt;BI$1,NA(),MATCH((BK$1+189),_Calc!$C$5:$C$10004,0))</f>
        <v/>
      </c>
    </row>
    <row r="194">
      <c r="BH194">
        <f>IF(ISNA(BU194),NA(),(BK$1+190))</f>
        <v/>
      </c>
      <c r="BI194">
        <f>IF(ISNA(BU194),NA(),INDEX(_Calc!$D$5:$D$10004,BU194))</f>
        <v/>
      </c>
      <c r="BJ194">
        <f>IF(ISNA(BU194),NA(),IF($B$22="",NA(),$B$22))</f>
        <v/>
      </c>
      <c r="BK194">
        <f>IF(ISNA(BU194),NA(),IF($B$21="",NA(),$B$21))</f>
        <v/>
      </c>
      <c r="BL194">
        <f>IF(ISNA(BU194),NA(),IF($B$23="",NA(),$B$23))</f>
        <v/>
      </c>
      <c r="BM194">
        <f>IF(ISNA(BU194),NA(),IF(INDEX(_Calc!$F$5:$F$10004,BU194)="",NA(),INDEX(_Calc!$F$5:$F$10004,BU194)))</f>
        <v/>
      </c>
      <c r="BN194">
        <f>IF(ISNA(BU194),NA(),IF($B$24="",NA(),$B$24))</f>
        <v/>
      </c>
      <c r="BO194">
        <f>IF(ISNA(BU194),NA(),IF($B$26="",NA(),$B$26))</f>
        <v/>
      </c>
      <c r="BP194">
        <f>IF(ISNA(BU194),NA(),IF($B$28="",NA(),$B$28))</f>
        <v/>
      </c>
      <c r="BU194">
        <f>IF((BK$1+190)&gt;BI$1,NA(),MATCH((BK$1+190),_Calc!$C$5:$C$10004,0))</f>
        <v/>
      </c>
    </row>
    <row r="195">
      <c r="BH195">
        <f>IF(ISNA(BU195),NA(),(BK$1+191))</f>
        <v/>
      </c>
      <c r="BI195">
        <f>IF(ISNA(BU195),NA(),INDEX(_Calc!$D$5:$D$10004,BU195))</f>
        <v/>
      </c>
      <c r="BJ195">
        <f>IF(ISNA(BU195),NA(),IF($B$22="",NA(),$B$22))</f>
        <v/>
      </c>
      <c r="BK195">
        <f>IF(ISNA(BU195),NA(),IF($B$21="",NA(),$B$21))</f>
        <v/>
      </c>
      <c r="BL195">
        <f>IF(ISNA(BU195),NA(),IF($B$23="",NA(),$B$23))</f>
        <v/>
      </c>
      <c r="BM195">
        <f>IF(ISNA(BU195),NA(),IF(INDEX(_Calc!$F$5:$F$10004,BU195)="",NA(),INDEX(_Calc!$F$5:$F$10004,BU195)))</f>
        <v/>
      </c>
      <c r="BN195">
        <f>IF(ISNA(BU195),NA(),IF($B$24="",NA(),$B$24))</f>
        <v/>
      </c>
      <c r="BO195">
        <f>IF(ISNA(BU195),NA(),IF($B$26="",NA(),$B$26))</f>
        <v/>
      </c>
      <c r="BP195">
        <f>IF(ISNA(BU195),NA(),IF($B$28="",NA(),$B$28))</f>
        <v/>
      </c>
      <c r="BU195">
        <f>IF((BK$1+191)&gt;BI$1,NA(),MATCH((BK$1+191),_Calc!$C$5:$C$10004,0))</f>
        <v/>
      </c>
    </row>
    <row r="196">
      <c r="BH196">
        <f>IF(ISNA(BU196),NA(),(BK$1+192))</f>
        <v/>
      </c>
      <c r="BI196">
        <f>IF(ISNA(BU196),NA(),INDEX(_Calc!$D$5:$D$10004,BU196))</f>
        <v/>
      </c>
      <c r="BJ196">
        <f>IF(ISNA(BU196),NA(),IF($B$22="",NA(),$B$22))</f>
        <v/>
      </c>
      <c r="BK196">
        <f>IF(ISNA(BU196),NA(),IF($B$21="",NA(),$B$21))</f>
        <v/>
      </c>
      <c r="BL196">
        <f>IF(ISNA(BU196),NA(),IF($B$23="",NA(),$B$23))</f>
        <v/>
      </c>
      <c r="BM196">
        <f>IF(ISNA(BU196),NA(),IF(INDEX(_Calc!$F$5:$F$10004,BU196)="",NA(),INDEX(_Calc!$F$5:$F$10004,BU196)))</f>
        <v/>
      </c>
      <c r="BN196">
        <f>IF(ISNA(BU196),NA(),IF($B$24="",NA(),$B$24))</f>
        <v/>
      </c>
      <c r="BO196">
        <f>IF(ISNA(BU196),NA(),IF($B$26="",NA(),$B$26))</f>
        <v/>
      </c>
      <c r="BP196">
        <f>IF(ISNA(BU196),NA(),IF($B$28="",NA(),$B$28))</f>
        <v/>
      </c>
      <c r="BU196">
        <f>IF((BK$1+192)&gt;BI$1,NA(),MATCH((BK$1+192),_Calc!$C$5:$C$10004,0))</f>
        <v/>
      </c>
    </row>
    <row r="197">
      <c r="BH197">
        <f>IF(ISNA(BU197),NA(),(BK$1+193))</f>
        <v/>
      </c>
      <c r="BI197">
        <f>IF(ISNA(BU197),NA(),INDEX(_Calc!$D$5:$D$10004,BU197))</f>
        <v/>
      </c>
      <c r="BJ197">
        <f>IF(ISNA(BU197),NA(),IF($B$22="",NA(),$B$22))</f>
        <v/>
      </c>
      <c r="BK197">
        <f>IF(ISNA(BU197),NA(),IF($B$21="",NA(),$B$21))</f>
        <v/>
      </c>
      <c r="BL197">
        <f>IF(ISNA(BU197),NA(),IF($B$23="",NA(),$B$23))</f>
        <v/>
      </c>
      <c r="BM197">
        <f>IF(ISNA(BU197),NA(),IF(INDEX(_Calc!$F$5:$F$10004,BU197)="",NA(),INDEX(_Calc!$F$5:$F$10004,BU197)))</f>
        <v/>
      </c>
      <c r="BN197">
        <f>IF(ISNA(BU197),NA(),IF($B$24="",NA(),$B$24))</f>
        <v/>
      </c>
      <c r="BO197">
        <f>IF(ISNA(BU197),NA(),IF($B$26="",NA(),$B$26))</f>
        <v/>
      </c>
      <c r="BP197">
        <f>IF(ISNA(BU197),NA(),IF($B$28="",NA(),$B$28))</f>
        <v/>
      </c>
      <c r="BU197">
        <f>IF((BK$1+193)&gt;BI$1,NA(),MATCH((BK$1+193),_Calc!$C$5:$C$10004,0))</f>
        <v/>
      </c>
    </row>
    <row r="198">
      <c r="BH198">
        <f>IF(ISNA(BU198),NA(),(BK$1+194))</f>
        <v/>
      </c>
      <c r="BI198">
        <f>IF(ISNA(BU198),NA(),INDEX(_Calc!$D$5:$D$10004,BU198))</f>
        <v/>
      </c>
      <c r="BJ198">
        <f>IF(ISNA(BU198),NA(),IF($B$22="",NA(),$B$22))</f>
        <v/>
      </c>
      <c r="BK198">
        <f>IF(ISNA(BU198),NA(),IF($B$21="",NA(),$B$21))</f>
        <v/>
      </c>
      <c r="BL198">
        <f>IF(ISNA(BU198),NA(),IF($B$23="",NA(),$B$23))</f>
        <v/>
      </c>
      <c r="BM198">
        <f>IF(ISNA(BU198),NA(),IF(INDEX(_Calc!$F$5:$F$10004,BU198)="",NA(),INDEX(_Calc!$F$5:$F$10004,BU198)))</f>
        <v/>
      </c>
      <c r="BN198">
        <f>IF(ISNA(BU198),NA(),IF($B$24="",NA(),$B$24))</f>
        <v/>
      </c>
      <c r="BO198">
        <f>IF(ISNA(BU198),NA(),IF($B$26="",NA(),$B$26))</f>
        <v/>
      </c>
      <c r="BP198">
        <f>IF(ISNA(BU198),NA(),IF($B$28="",NA(),$B$28))</f>
        <v/>
      </c>
      <c r="BU198">
        <f>IF((BK$1+194)&gt;BI$1,NA(),MATCH((BK$1+194),_Calc!$C$5:$C$10004,0))</f>
        <v/>
      </c>
    </row>
    <row r="199">
      <c r="BH199">
        <f>IF(ISNA(BU199),NA(),(BK$1+195))</f>
        <v/>
      </c>
      <c r="BI199">
        <f>IF(ISNA(BU199),NA(),INDEX(_Calc!$D$5:$D$10004,BU199))</f>
        <v/>
      </c>
      <c r="BJ199">
        <f>IF(ISNA(BU199),NA(),IF($B$22="",NA(),$B$22))</f>
        <v/>
      </c>
      <c r="BK199">
        <f>IF(ISNA(BU199),NA(),IF($B$21="",NA(),$B$21))</f>
        <v/>
      </c>
      <c r="BL199">
        <f>IF(ISNA(BU199),NA(),IF($B$23="",NA(),$B$23))</f>
        <v/>
      </c>
      <c r="BM199">
        <f>IF(ISNA(BU199),NA(),IF(INDEX(_Calc!$F$5:$F$10004,BU199)="",NA(),INDEX(_Calc!$F$5:$F$10004,BU199)))</f>
        <v/>
      </c>
      <c r="BN199">
        <f>IF(ISNA(BU199),NA(),IF($B$24="",NA(),$B$24))</f>
        <v/>
      </c>
      <c r="BO199">
        <f>IF(ISNA(BU199),NA(),IF($B$26="",NA(),$B$26))</f>
        <v/>
      </c>
      <c r="BP199">
        <f>IF(ISNA(BU199),NA(),IF($B$28="",NA(),$B$28))</f>
        <v/>
      </c>
      <c r="BU199">
        <f>IF((BK$1+195)&gt;BI$1,NA(),MATCH((BK$1+195),_Calc!$C$5:$C$10004,0))</f>
        <v/>
      </c>
    </row>
    <row r="200">
      <c r="BH200">
        <f>IF(ISNA(BU200),NA(),(BK$1+196))</f>
        <v/>
      </c>
      <c r="BI200">
        <f>IF(ISNA(BU200),NA(),INDEX(_Calc!$D$5:$D$10004,BU200))</f>
        <v/>
      </c>
      <c r="BJ200">
        <f>IF(ISNA(BU200),NA(),IF($B$22="",NA(),$B$22))</f>
        <v/>
      </c>
      <c r="BK200">
        <f>IF(ISNA(BU200),NA(),IF($B$21="",NA(),$B$21))</f>
        <v/>
      </c>
      <c r="BL200">
        <f>IF(ISNA(BU200),NA(),IF($B$23="",NA(),$B$23))</f>
        <v/>
      </c>
      <c r="BM200">
        <f>IF(ISNA(BU200),NA(),IF(INDEX(_Calc!$F$5:$F$10004,BU200)="",NA(),INDEX(_Calc!$F$5:$F$10004,BU200)))</f>
        <v/>
      </c>
      <c r="BN200">
        <f>IF(ISNA(BU200),NA(),IF($B$24="",NA(),$B$24))</f>
        <v/>
      </c>
      <c r="BO200">
        <f>IF(ISNA(BU200),NA(),IF($B$26="",NA(),$B$26))</f>
        <v/>
      </c>
      <c r="BP200">
        <f>IF(ISNA(BU200),NA(),IF($B$28="",NA(),$B$28))</f>
        <v/>
      </c>
      <c r="BU200">
        <f>IF((BK$1+196)&gt;BI$1,NA(),MATCH((BK$1+196),_Calc!$C$5:$C$10004,0))</f>
        <v/>
      </c>
    </row>
    <row r="201">
      <c r="BH201">
        <f>IF(ISNA(BU201),NA(),(BK$1+197))</f>
        <v/>
      </c>
      <c r="BI201">
        <f>IF(ISNA(BU201),NA(),INDEX(_Calc!$D$5:$D$10004,BU201))</f>
        <v/>
      </c>
      <c r="BJ201">
        <f>IF(ISNA(BU201),NA(),IF($B$22="",NA(),$B$22))</f>
        <v/>
      </c>
      <c r="BK201">
        <f>IF(ISNA(BU201),NA(),IF($B$21="",NA(),$B$21))</f>
        <v/>
      </c>
      <c r="BL201">
        <f>IF(ISNA(BU201),NA(),IF($B$23="",NA(),$B$23))</f>
        <v/>
      </c>
      <c r="BM201">
        <f>IF(ISNA(BU201),NA(),IF(INDEX(_Calc!$F$5:$F$10004,BU201)="",NA(),INDEX(_Calc!$F$5:$F$10004,BU201)))</f>
        <v/>
      </c>
      <c r="BN201">
        <f>IF(ISNA(BU201),NA(),IF($B$24="",NA(),$B$24))</f>
        <v/>
      </c>
      <c r="BO201">
        <f>IF(ISNA(BU201),NA(),IF($B$26="",NA(),$B$26))</f>
        <v/>
      </c>
      <c r="BP201">
        <f>IF(ISNA(BU201),NA(),IF($B$28="",NA(),$B$28))</f>
        <v/>
      </c>
      <c r="BU201">
        <f>IF((BK$1+197)&gt;BI$1,NA(),MATCH((BK$1+197),_Calc!$C$5:$C$10004,0))</f>
        <v/>
      </c>
    </row>
    <row r="202">
      <c r="BH202">
        <f>IF(ISNA(BU202),NA(),(BK$1+198))</f>
        <v/>
      </c>
      <c r="BI202">
        <f>IF(ISNA(BU202),NA(),INDEX(_Calc!$D$5:$D$10004,BU202))</f>
        <v/>
      </c>
      <c r="BJ202">
        <f>IF(ISNA(BU202),NA(),IF($B$22="",NA(),$B$22))</f>
        <v/>
      </c>
      <c r="BK202">
        <f>IF(ISNA(BU202),NA(),IF($B$21="",NA(),$B$21))</f>
        <v/>
      </c>
      <c r="BL202">
        <f>IF(ISNA(BU202),NA(),IF($B$23="",NA(),$B$23))</f>
        <v/>
      </c>
      <c r="BM202">
        <f>IF(ISNA(BU202),NA(),IF(INDEX(_Calc!$F$5:$F$10004,BU202)="",NA(),INDEX(_Calc!$F$5:$F$10004,BU202)))</f>
        <v/>
      </c>
      <c r="BN202">
        <f>IF(ISNA(BU202),NA(),IF($B$24="",NA(),$B$24))</f>
        <v/>
      </c>
      <c r="BO202">
        <f>IF(ISNA(BU202),NA(),IF($B$26="",NA(),$B$26))</f>
        <v/>
      </c>
      <c r="BP202">
        <f>IF(ISNA(BU202),NA(),IF($B$28="",NA(),$B$28))</f>
        <v/>
      </c>
      <c r="BU202">
        <f>IF((BK$1+198)&gt;BI$1,NA(),MATCH((BK$1+198),_Calc!$C$5:$C$10004,0))</f>
        <v/>
      </c>
    </row>
    <row r="203">
      <c r="BH203">
        <f>IF(ISNA(BU203),NA(),(BK$1+199))</f>
        <v/>
      </c>
      <c r="BI203">
        <f>IF(ISNA(BU203),NA(),INDEX(_Calc!$D$5:$D$10004,BU203))</f>
        <v/>
      </c>
      <c r="BJ203">
        <f>IF(ISNA(BU203),NA(),IF($B$22="",NA(),$B$22))</f>
        <v/>
      </c>
      <c r="BK203">
        <f>IF(ISNA(BU203),NA(),IF($B$21="",NA(),$B$21))</f>
        <v/>
      </c>
      <c r="BL203">
        <f>IF(ISNA(BU203),NA(),IF($B$23="",NA(),$B$23))</f>
        <v/>
      </c>
      <c r="BM203">
        <f>IF(ISNA(BU203),NA(),IF(INDEX(_Calc!$F$5:$F$10004,BU203)="",NA(),INDEX(_Calc!$F$5:$F$10004,BU203)))</f>
        <v/>
      </c>
      <c r="BN203">
        <f>IF(ISNA(BU203),NA(),IF($B$24="",NA(),$B$24))</f>
        <v/>
      </c>
      <c r="BO203">
        <f>IF(ISNA(BU203),NA(),IF($B$26="",NA(),$B$26))</f>
        <v/>
      </c>
      <c r="BP203">
        <f>IF(ISNA(BU203),NA(),IF($B$28="",NA(),$B$28))</f>
        <v/>
      </c>
      <c r="BU203">
        <f>IF((BK$1+199)&gt;BI$1,NA(),MATCH((BK$1+199),_Calc!$C$5:$C$10004,0))</f>
        <v/>
      </c>
    </row>
  </sheetData>
  <mergeCells count="5">
    <mergeCell ref="A1:T1"/>
    <mergeCell ref="A20:B20"/>
    <mergeCell ref="A29:B29"/>
    <mergeCell ref="A25:B25"/>
    <mergeCell ref="A10:B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9" customWidth="1" min="19" max="19"/>
    <col width="9" customWidth="1" min="20" max="20"/>
    <col width="9" customWidth="1" min="21" max="21"/>
    <col width="9" customWidth="1" min="22" max="22"/>
    <col width="12" customWidth="1" min="23" max="23"/>
    <col width="11" customWidth="1" min="24" max="24"/>
    <col width="16" customWidth="1" min="25" max="25"/>
  </cols>
  <sheetData>
    <row r="1" ht="24" customHeight="1">
      <c r="A1" s="1" t="inlineStr">
        <is>
          <t>PROCESS CAPABILITY - LIVE FROM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Cpk &gt;= 1.33 green, 1.00-1.33 amber, &lt; 1.00 red. Blank cells mean the feature has no spec limits yet.</t>
        </is>
      </c>
    </row>
    <row r="4" ht="28" customHeight="1">
      <c r="A4" s="18" t="inlineStr">
        <is>
          <t>Feature</t>
        </is>
      </c>
      <c r="B4" s="18" t="inlineStr">
        <is>
          <t>n</t>
        </is>
      </c>
      <c r="C4" s="18" t="inlineStr">
        <is>
          <t>Mean</t>
        </is>
      </c>
      <c r="D4" s="18" t="inlineStr">
        <is>
          <t>Median</t>
        </is>
      </c>
      <c r="E4" s="18" t="inlineStr">
        <is>
          <t>Min</t>
        </is>
      </c>
      <c r="F4" s="18" t="inlineStr">
        <is>
          <t>Max</t>
        </is>
      </c>
      <c r="G4" s="18" t="inlineStr">
        <is>
          <t>Range</t>
        </is>
      </c>
      <c r="H4" s="18" t="inlineStr">
        <is>
          <t>Sigma (within)</t>
        </is>
      </c>
      <c r="I4" s="18" t="inlineStr">
        <is>
          <t>Sigma (overall)</t>
        </is>
      </c>
      <c r="J4" s="18" t="inlineStr">
        <is>
          <t>X UCL</t>
        </is>
      </c>
      <c r="K4" s="18" t="inlineStr">
        <is>
          <t>X CL</t>
        </is>
      </c>
      <c r="L4" s="18" t="inlineStr">
        <is>
          <t>X LCL</t>
        </is>
      </c>
      <c r="M4" s="18" t="inlineStr">
        <is>
          <t>mR-bar</t>
        </is>
      </c>
      <c r="N4" s="18" t="inlineStr">
        <is>
          <t>mR UCL</t>
        </is>
      </c>
      <c r="O4" s="18" t="inlineStr">
        <is>
          <t>Nominal</t>
        </is>
      </c>
      <c r="P4" s="18" t="inlineStr">
        <is>
          <t>LSL</t>
        </is>
      </c>
      <c r="Q4" s="18" t="inlineStr">
        <is>
          <t>USL</t>
        </is>
      </c>
      <c r="R4" s="18" t="inlineStr">
        <is>
          <t>Tol Width</t>
        </is>
      </c>
      <c r="S4" s="18" t="inlineStr">
        <is>
          <t>Cp</t>
        </is>
      </c>
      <c r="T4" s="18" t="inlineStr">
        <is>
          <t>Cpk</t>
        </is>
      </c>
      <c r="U4" s="18" t="inlineStr">
        <is>
          <t>Pp</t>
        </is>
      </c>
      <c r="V4" s="18" t="inlineStr">
        <is>
          <t>Ppk</t>
        </is>
      </c>
      <c r="W4" s="18" t="inlineStr">
        <is>
          <t>In Control?</t>
        </is>
      </c>
      <c r="X4" s="18" t="inlineStr">
        <is>
          <t>In Spec?</t>
        </is>
      </c>
      <c r="Y4" s="18" t="inlineStr">
        <is>
          <t>Verdict</t>
        </is>
      </c>
    </row>
    <row r="5">
      <c r="A5" s="16">
        <f>IF(Settings!G17="Y",Settings!B17,"")</f>
        <v/>
      </c>
      <c r="B5" s="40">
        <f>'Data Entry'!H10009</f>
        <v/>
      </c>
      <c r="C5" s="41">
        <f>'Data Entry'!H10010</f>
        <v/>
      </c>
      <c r="D5" s="41">
        <f>'Data Entry'!H10021</f>
        <v/>
      </c>
      <c r="E5" s="41">
        <f>'Data Entry'!H10011</f>
        <v/>
      </c>
      <c r="F5" s="41">
        <f>'Data Entry'!H10012</f>
        <v/>
      </c>
      <c r="G5" s="41">
        <f>'Data Entry'!H10013</f>
        <v/>
      </c>
      <c r="H5" s="41">
        <f>'Data Entry'!H10016</f>
        <v/>
      </c>
      <c r="I5" s="41">
        <f>'Data Entry'!H10014</f>
        <v/>
      </c>
      <c r="J5" s="41">
        <f>'Data Entry'!H10017</f>
        <v/>
      </c>
      <c r="K5" s="41">
        <f>'Data Entry'!H10018</f>
        <v/>
      </c>
      <c r="L5" s="41">
        <f>'Data Entry'!H10019</f>
        <v/>
      </c>
      <c r="M5" s="41">
        <f>'Data Entry'!H10015</f>
        <v/>
      </c>
      <c r="N5" s="41">
        <f>'Data Entry'!H10020</f>
        <v/>
      </c>
      <c r="O5" s="41">
        <f>IF(Settings!C17="","",Settings!C17)</f>
        <v/>
      </c>
      <c r="P5" s="41">
        <f>IF(Settings!D17="","",Settings!D17)</f>
        <v/>
      </c>
      <c r="Q5" s="41">
        <f>IF(Settings!E17="","",Settings!E17)</f>
        <v/>
      </c>
      <c r="R5" s="42">
        <f>IF(OR(Q5="",P5=""),"",Q5-P5)</f>
        <v/>
      </c>
      <c r="S5" s="42">
        <f>IF(OR(OR(Q5="",P5=""),H5="",H5=0),"",(Q5-P5)/(6*H5))</f>
        <v/>
      </c>
      <c r="T5" s="42">
        <f>IF(OR(OR(Q5="",P5=""),H5="",H5=0),"",MIN(Q5-C5,C5-P5)/(3*H5))</f>
        <v/>
      </c>
      <c r="U5" s="42">
        <f>IF(OR(OR(Q5="",P5=""),I5="",I5=0),"",(Q5-P5)/(6*I5))</f>
        <v/>
      </c>
      <c r="V5" s="42">
        <f>IF(OR(OR(Q5="",P5=""),I5="",I5=0),"",MIN(Q5-C5,C5-P5)/(3*I5))</f>
        <v/>
      </c>
      <c r="W5" s="16">
        <f>IF(M5="","",IF(OR(MAX('Data Entry'!$H$5:$H$10004)&gt;J5,MIN('Data Entry'!$H$5:$H$10004)&lt;L5),"OUT","IN"))</f>
        <v/>
      </c>
      <c r="X5" s="16">
        <f>IF(OR(OR(Q5="",P5=""),B5=0),"",IF(OR(MAX('Data Entry'!$H$5:$H$10004)&gt;Q5,MIN('Data Entry'!$H$5:$H$10004)&lt;P5),"FAIL","PASS"))</f>
        <v/>
      </c>
      <c r="Y5" s="16">
        <f>IF(T5="","No spec",IF(T5&gt;=1.33,"Capable",IF(T5&gt;=1,"Marginal","Not capable")))</f>
        <v/>
      </c>
    </row>
    <row r="6">
      <c r="A6" s="16">
        <f>IF(Settings!G18="Y",Settings!B18,"")</f>
        <v/>
      </c>
      <c r="B6" s="40">
        <f>'Data Entry'!I10009</f>
        <v/>
      </c>
      <c r="C6" s="41">
        <f>'Data Entry'!I10010</f>
        <v/>
      </c>
      <c r="D6" s="41">
        <f>'Data Entry'!I10021</f>
        <v/>
      </c>
      <c r="E6" s="41">
        <f>'Data Entry'!I10011</f>
        <v/>
      </c>
      <c r="F6" s="41">
        <f>'Data Entry'!I10012</f>
        <v/>
      </c>
      <c r="G6" s="41">
        <f>'Data Entry'!I10013</f>
        <v/>
      </c>
      <c r="H6" s="41">
        <f>'Data Entry'!I10016</f>
        <v/>
      </c>
      <c r="I6" s="41">
        <f>'Data Entry'!I10014</f>
        <v/>
      </c>
      <c r="J6" s="41">
        <f>'Data Entry'!I10017</f>
        <v/>
      </c>
      <c r="K6" s="41">
        <f>'Data Entry'!I10018</f>
        <v/>
      </c>
      <c r="L6" s="41">
        <f>'Data Entry'!I10019</f>
        <v/>
      </c>
      <c r="M6" s="41">
        <f>'Data Entry'!I10015</f>
        <v/>
      </c>
      <c r="N6" s="41">
        <f>'Data Entry'!I10020</f>
        <v/>
      </c>
      <c r="O6" s="41">
        <f>IF(Settings!C18="","",Settings!C18)</f>
        <v/>
      </c>
      <c r="P6" s="41">
        <f>IF(Settings!D18="","",Settings!D18)</f>
        <v/>
      </c>
      <c r="Q6" s="41">
        <f>IF(Settings!E18="","",Settings!E18)</f>
        <v/>
      </c>
      <c r="R6" s="42">
        <f>IF(OR(Q6="",P6=""),"",Q6-P6)</f>
        <v/>
      </c>
      <c r="S6" s="42">
        <f>IF(OR(OR(Q6="",P6=""),H6="",H6=0),"",(Q6-P6)/(6*H6))</f>
        <v/>
      </c>
      <c r="T6" s="42">
        <f>IF(OR(OR(Q6="",P6=""),H6="",H6=0),"",MIN(Q6-C6,C6-P6)/(3*H6))</f>
        <v/>
      </c>
      <c r="U6" s="42">
        <f>IF(OR(OR(Q6="",P6=""),I6="",I6=0),"",(Q6-P6)/(6*I6))</f>
        <v/>
      </c>
      <c r="V6" s="42">
        <f>IF(OR(OR(Q6="",P6=""),I6="",I6=0),"",MIN(Q6-C6,C6-P6)/(3*I6))</f>
        <v/>
      </c>
      <c r="W6" s="16">
        <f>IF(M6="","",IF(OR(MAX('Data Entry'!$I$5:$I$10004)&gt;J6,MIN('Data Entry'!$I$5:$I$10004)&lt;L6),"OUT","IN"))</f>
        <v/>
      </c>
      <c r="X6" s="16">
        <f>IF(OR(OR(Q6="",P6=""),B6=0),"",IF(OR(MAX('Data Entry'!$I$5:$I$10004)&gt;Q6,MIN('Data Entry'!$I$5:$I$10004)&lt;P6),"FAIL","PASS"))</f>
        <v/>
      </c>
      <c r="Y6" s="16">
        <f>IF(T6="","No spec",IF(T6&gt;=1.33,"Capable",IF(T6&gt;=1,"Marginal","Not capable")))</f>
        <v/>
      </c>
    </row>
    <row r="7">
      <c r="A7" s="16">
        <f>IF(Settings!G19="Y",Settings!B19,"")</f>
        <v/>
      </c>
      <c r="B7" s="40">
        <f>'Data Entry'!J10009</f>
        <v/>
      </c>
      <c r="C7" s="41">
        <f>'Data Entry'!J10010</f>
        <v/>
      </c>
      <c r="D7" s="41">
        <f>'Data Entry'!J10021</f>
        <v/>
      </c>
      <c r="E7" s="41">
        <f>'Data Entry'!J10011</f>
        <v/>
      </c>
      <c r="F7" s="41">
        <f>'Data Entry'!J10012</f>
        <v/>
      </c>
      <c r="G7" s="41">
        <f>'Data Entry'!J10013</f>
        <v/>
      </c>
      <c r="H7" s="41">
        <f>'Data Entry'!J10016</f>
        <v/>
      </c>
      <c r="I7" s="41">
        <f>'Data Entry'!J10014</f>
        <v/>
      </c>
      <c r="J7" s="41">
        <f>'Data Entry'!J10017</f>
        <v/>
      </c>
      <c r="K7" s="41">
        <f>'Data Entry'!J10018</f>
        <v/>
      </c>
      <c r="L7" s="41">
        <f>'Data Entry'!J10019</f>
        <v/>
      </c>
      <c r="M7" s="41">
        <f>'Data Entry'!J10015</f>
        <v/>
      </c>
      <c r="N7" s="41">
        <f>'Data Entry'!J10020</f>
        <v/>
      </c>
      <c r="O7" s="41">
        <f>IF(Settings!C19="","",Settings!C19)</f>
        <v/>
      </c>
      <c r="P7" s="41">
        <f>IF(Settings!D19="","",Settings!D19)</f>
        <v/>
      </c>
      <c r="Q7" s="41">
        <f>IF(Settings!E19="","",Settings!E19)</f>
        <v/>
      </c>
      <c r="R7" s="42">
        <f>IF(OR(Q7="",P7=""),"",Q7-P7)</f>
        <v/>
      </c>
      <c r="S7" s="42">
        <f>IF(OR(OR(Q7="",P7=""),H7="",H7=0),"",(Q7-P7)/(6*H7))</f>
        <v/>
      </c>
      <c r="T7" s="42">
        <f>IF(OR(OR(Q7="",P7=""),H7="",H7=0),"",MIN(Q7-C7,C7-P7)/(3*H7))</f>
        <v/>
      </c>
      <c r="U7" s="42">
        <f>IF(OR(OR(Q7="",P7=""),I7="",I7=0),"",(Q7-P7)/(6*I7))</f>
        <v/>
      </c>
      <c r="V7" s="42">
        <f>IF(OR(OR(Q7="",P7=""),I7="",I7=0),"",MIN(Q7-C7,C7-P7)/(3*I7))</f>
        <v/>
      </c>
      <c r="W7" s="16">
        <f>IF(M7="","",IF(OR(MAX('Data Entry'!$J$5:$J$10004)&gt;J7,MIN('Data Entry'!$J$5:$J$10004)&lt;L7),"OUT","IN"))</f>
        <v/>
      </c>
      <c r="X7" s="16">
        <f>IF(OR(OR(Q7="",P7=""),B7=0),"",IF(OR(MAX('Data Entry'!$J$5:$J$10004)&gt;Q7,MIN('Data Entry'!$J$5:$J$10004)&lt;P7),"FAIL","PASS"))</f>
        <v/>
      </c>
      <c r="Y7" s="16">
        <f>IF(T7="","No spec",IF(T7&gt;=1.33,"Capable",IF(T7&gt;=1,"Marginal","Not capable")))</f>
        <v/>
      </c>
    </row>
    <row r="8">
      <c r="A8" s="16">
        <f>IF(Settings!G20="Y",Settings!B20,"")</f>
        <v/>
      </c>
      <c r="B8" s="40">
        <f>'Data Entry'!K10009</f>
        <v/>
      </c>
      <c r="C8" s="41">
        <f>'Data Entry'!K10010</f>
        <v/>
      </c>
      <c r="D8" s="41">
        <f>'Data Entry'!K10021</f>
        <v/>
      </c>
      <c r="E8" s="41">
        <f>'Data Entry'!K10011</f>
        <v/>
      </c>
      <c r="F8" s="41">
        <f>'Data Entry'!K10012</f>
        <v/>
      </c>
      <c r="G8" s="41">
        <f>'Data Entry'!K10013</f>
        <v/>
      </c>
      <c r="H8" s="41">
        <f>'Data Entry'!K10016</f>
        <v/>
      </c>
      <c r="I8" s="41">
        <f>'Data Entry'!K10014</f>
        <v/>
      </c>
      <c r="J8" s="41">
        <f>'Data Entry'!K10017</f>
        <v/>
      </c>
      <c r="K8" s="41">
        <f>'Data Entry'!K10018</f>
        <v/>
      </c>
      <c r="L8" s="41">
        <f>'Data Entry'!K10019</f>
        <v/>
      </c>
      <c r="M8" s="41">
        <f>'Data Entry'!K10015</f>
        <v/>
      </c>
      <c r="N8" s="41">
        <f>'Data Entry'!K10020</f>
        <v/>
      </c>
      <c r="O8" s="41">
        <f>IF(Settings!C20="","",Settings!C20)</f>
        <v/>
      </c>
      <c r="P8" s="41">
        <f>IF(Settings!D20="","",Settings!D20)</f>
        <v/>
      </c>
      <c r="Q8" s="41">
        <f>IF(Settings!E20="","",Settings!E20)</f>
        <v/>
      </c>
      <c r="R8" s="42">
        <f>IF(OR(Q8="",P8=""),"",Q8-P8)</f>
        <v/>
      </c>
      <c r="S8" s="42">
        <f>IF(OR(OR(Q8="",P8=""),H8="",H8=0),"",(Q8-P8)/(6*H8))</f>
        <v/>
      </c>
      <c r="T8" s="42">
        <f>IF(OR(OR(Q8="",P8=""),H8="",H8=0),"",MIN(Q8-C8,C8-P8)/(3*H8))</f>
        <v/>
      </c>
      <c r="U8" s="42">
        <f>IF(OR(OR(Q8="",P8=""),I8="",I8=0),"",(Q8-P8)/(6*I8))</f>
        <v/>
      </c>
      <c r="V8" s="42">
        <f>IF(OR(OR(Q8="",P8=""),I8="",I8=0),"",MIN(Q8-C8,C8-P8)/(3*I8))</f>
        <v/>
      </c>
      <c r="W8" s="16">
        <f>IF(M8="","",IF(OR(MAX('Data Entry'!$K$5:$K$10004)&gt;J8,MIN('Data Entry'!$K$5:$K$10004)&lt;L8),"OUT","IN"))</f>
        <v/>
      </c>
      <c r="X8" s="16">
        <f>IF(OR(OR(Q8="",P8=""),B8=0),"",IF(OR(MAX('Data Entry'!$K$5:$K$10004)&gt;Q8,MIN('Data Entry'!$K$5:$K$10004)&lt;P8),"FAIL","PASS"))</f>
        <v/>
      </c>
      <c r="Y8" s="16">
        <f>IF(T8="","No spec",IF(T8&gt;=1.33,"Capable",IF(T8&gt;=1,"Marginal","Not capable")))</f>
        <v/>
      </c>
    </row>
    <row r="9">
      <c r="A9" s="16">
        <f>IF(Settings!G21="Y",Settings!B21,"")</f>
        <v/>
      </c>
      <c r="B9" s="40">
        <f>'Data Entry'!L10009</f>
        <v/>
      </c>
      <c r="C9" s="41">
        <f>'Data Entry'!L10010</f>
        <v/>
      </c>
      <c r="D9" s="41">
        <f>'Data Entry'!L10021</f>
        <v/>
      </c>
      <c r="E9" s="41">
        <f>'Data Entry'!L10011</f>
        <v/>
      </c>
      <c r="F9" s="41">
        <f>'Data Entry'!L10012</f>
        <v/>
      </c>
      <c r="G9" s="41">
        <f>'Data Entry'!L10013</f>
        <v/>
      </c>
      <c r="H9" s="41">
        <f>'Data Entry'!L10016</f>
        <v/>
      </c>
      <c r="I9" s="41">
        <f>'Data Entry'!L10014</f>
        <v/>
      </c>
      <c r="J9" s="41">
        <f>'Data Entry'!L10017</f>
        <v/>
      </c>
      <c r="K9" s="41">
        <f>'Data Entry'!L10018</f>
        <v/>
      </c>
      <c r="L9" s="41">
        <f>'Data Entry'!L10019</f>
        <v/>
      </c>
      <c r="M9" s="41">
        <f>'Data Entry'!L10015</f>
        <v/>
      </c>
      <c r="N9" s="41">
        <f>'Data Entry'!L10020</f>
        <v/>
      </c>
      <c r="O9" s="41">
        <f>IF(Settings!C21="","",Settings!C21)</f>
        <v/>
      </c>
      <c r="P9" s="41">
        <f>IF(Settings!D21="","",Settings!D21)</f>
        <v/>
      </c>
      <c r="Q9" s="41">
        <f>IF(Settings!E21="","",Settings!E21)</f>
        <v/>
      </c>
      <c r="R9" s="42">
        <f>IF(OR(Q9="",P9=""),"",Q9-P9)</f>
        <v/>
      </c>
      <c r="S9" s="42">
        <f>IF(OR(OR(Q9="",P9=""),H9="",H9=0),"",(Q9-P9)/(6*H9))</f>
        <v/>
      </c>
      <c r="T9" s="42">
        <f>IF(OR(OR(Q9="",P9=""),H9="",H9=0),"",MIN(Q9-C9,C9-P9)/(3*H9))</f>
        <v/>
      </c>
      <c r="U9" s="42">
        <f>IF(OR(OR(Q9="",P9=""),I9="",I9=0),"",(Q9-P9)/(6*I9))</f>
        <v/>
      </c>
      <c r="V9" s="42">
        <f>IF(OR(OR(Q9="",P9=""),I9="",I9=0),"",MIN(Q9-C9,C9-P9)/(3*I9))</f>
        <v/>
      </c>
      <c r="W9" s="16">
        <f>IF(M9="","",IF(OR(MAX('Data Entry'!$L$5:$L$10004)&gt;J9,MIN('Data Entry'!$L$5:$L$10004)&lt;L9),"OUT","IN"))</f>
        <v/>
      </c>
      <c r="X9" s="16">
        <f>IF(OR(OR(Q9="",P9=""),B9=0),"",IF(OR(MAX('Data Entry'!$L$5:$L$10004)&gt;Q9,MIN('Data Entry'!$L$5:$L$10004)&lt;P9),"FAIL","PASS"))</f>
        <v/>
      </c>
      <c r="Y9" s="16">
        <f>IF(T9="","No spec",IF(T9&gt;=1.33,"Capable",IF(T9&gt;=1,"Marginal","Not capable")))</f>
        <v/>
      </c>
    </row>
    <row r="10">
      <c r="A10" s="16">
        <f>IF(Settings!G22="Y",Settings!B22,"")</f>
        <v/>
      </c>
      <c r="B10" s="40">
        <f>'Data Entry'!M10009</f>
        <v/>
      </c>
      <c r="C10" s="41">
        <f>'Data Entry'!M10010</f>
        <v/>
      </c>
      <c r="D10" s="41">
        <f>'Data Entry'!M10021</f>
        <v/>
      </c>
      <c r="E10" s="41">
        <f>'Data Entry'!M10011</f>
        <v/>
      </c>
      <c r="F10" s="41">
        <f>'Data Entry'!M10012</f>
        <v/>
      </c>
      <c r="G10" s="41">
        <f>'Data Entry'!M10013</f>
        <v/>
      </c>
      <c r="H10" s="41">
        <f>'Data Entry'!M10016</f>
        <v/>
      </c>
      <c r="I10" s="41">
        <f>'Data Entry'!M10014</f>
        <v/>
      </c>
      <c r="J10" s="41">
        <f>'Data Entry'!M10017</f>
        <v/>
      </c>
      <c r="K10" s="41">
        <f>'Data Entry'!M10018</f>
        <v/>
      </c>
      <c r="L10" s="41">
        <f>'Data Entry'!M10019</f>
        <v/>
      </c>
      <c r="M10" s="41">
        <f>'Data Entry'!M10015</f>
        <v/>
      </c>
      <c r="N10" s="41">
        <f>'Data Entry'!M10020</f>
        <v/>
      </c>
      <c r="O10" s="41">
        <f>IF(Settings!C22="","",Settings!C22)</f>
        <v/>
      </c>
      <c r="P10" s="41">
        <f>IF(Settings!D22="","",Settings!D22)</f>
        <v/>
      </c>
      <c r="Q10" s="41">
        <f>IF(Settings!E22="","",Settings!E22)</f>
        <v/>
      </c>
      <c r="R10" s="42">
        <f>IF(OR(Q10="",P10=""),"",Q10-P10)</f>
        <v/>
      </c>
      <c r="S10" s="42">
        <f>IF(OR(OR(Q10="",P10=""),H10="",H10=0),"",(Q10-P10)/(6*H10))</f>
        <v/>
      </c>
      <c r="T10" s="42">
        <f>IF(OR(OR(Q10="",P10=""),H10="",H10=0),"",MIN(Q10-C10,C10-P10)/(3*H10))</f>
        <v/>
      </c>
      <c r="U10" s="42">
        <f>IF(OR(OR(Q10="",P10=""),I10="",I10=0),"",(Q10-P10)/(6*I10))</f>
        <v/>
      </c>
      <c r="V10" s="42">
        <f>IF(OR(OR(Q10="",P10=""),I10="",I10=0),"",MIN(Q10-C10,C10-P10)/(3*I10))</f>
        <v/>
      </c>
      <c r="W10" s="16">
        <f>IF(M10="","",IF(OR(MAX('Data Entry'!$M$5:$M$10004)&gt;J10,MIN('Data Entry'!$M$5:$M$10004)&lt;L10),"OUT","IN"))</f>
        <v/>
      </c>
      <c r="X10" s="16">
        <f>IF(OR(OR(Q10="",P10=""),B10=0),"",IF(OR(MAX('Data Entry'!$M$5:$M$10004)&gt;Q10,MIN('Data Entry'!$M$5:$M$10004)&lt;P10),"FAIL","PASS"))</f>
        <v/>
      </c>
      <c r="Y10" s="16">
        <f>IF(T10="","No spec",IF(T10&gt;=1.33,"Capable",IF(T10&gt;=1,"Marginal","Not capable")))</f>
        <v/>
      </c>
    </row>
    <row r="11">
      <c r="A11" s="16">
        <f>IF(Settings!G23="Y",Settings!B23,"")</f>
        <v/>
      </c>
      <c r="B11" s="40">
        <f>'Data Entry'!N10009</f>
        <v/>
      </c>
      <c r="C11" s="41">
        <f>'Data Entry'!N10010</f>
        <v/>
      </c>
      <c r="D11" s="41">
        <f>'Data Entry'!N10021</f>
        <v/>
      </c>
      <c r="E11" s="41">
        <f>'Data Entry'!N10011</f>
        <v/>
      </c>
      <c r="F11" s="41">
        <f>'Data Entry'!N10012</f>
        <v/>
      </c>
      <c r="G11" s="41">
        <f>'Data Entry'!N10013</f>
        <v/>
      </c>
      <c r="H11" s="41">
        <f>'Data Entry'!N10016</f>
        <v/>
      </c>
      <c r="I11" s="41">
        <f>'Data Entry'!N10014</f>
        <v/>
      </c>
      <c r="J11" s="41">
        <f>'Data Entry'!N10017</f>
        <v/>
      </c>
      <c r="K11" s="41">
        <f>'Data Entry'!N10018</f>
        <v/>
      </c>
      <c r="L11" s="41">
        <f>'Data Entry'!N10019</f>
        <v/>
      </c>
      <c r="M11" s="41">
        <f>'Data Entry'!N10015</f>
        <v/>
      </c>
      <c r="N11" s="41">
        <f>'Data Entry'!N10020</f>
        <v/>
      </c>
      <c r="O11" s="41">
        <f>IF(Settings!C23="","",Settings!C23)</f>
        <v/>
      </c>
      <c r="P11" s="41">
        <f>IF(Settings!D23="","",Settings!D23)</f>
        <v/>
      </c>
      <c r="Q11" s="41">
        <f>IF(Settings!E23="","",Settings!E23)</f>
        <v/>
      </c>
      <c r="R11" s="42">
        <f>IF(OR(Q11="",P11=""),"",Q11-P11)</f>
        <v/>
      </c>
      <c r="S11" s="42">
        <f>IF(OR(OR(Q11="",P11=""),H11="",H11=0),"",(Q11-P11)/(6*H11))</f>
        <v/>
      </c>
      <c r="T11" s="42">
        <f>IF(OR(OR(Q11="",P11=""),H11="",H11=0),"",MIN(Q11-C11,C11-P11)/(3*H11))</f>
        <v/>
      </c>
      <c r="U11" s="42">
        <f>IF(OR(OR(Q11="",P11=""),I11="",I11=0),"",(Q11-P11)/(6*I11))</f>
        <v/>
      </c>
      <c r="V11" s="42">
        <f>IF(OR(OR(Q11="",P11=""),I11="",I11=0),"",MIN(Q11-C11,C11-P11)/(3*I11))</f>
        <v/>
      </c>
      <c r="W11" s="16">
        <f>IF(M11="","",IF(OR(MAX('Data Entry'!$N$5:$N$10004)&gt;J11,MIN('Data Entry'!$N$5:$N$10004)&lt;L11),"OUT","IN"))</f>
        <v/>
      </c>
      <c r="X11" s="16">
        <f>IF(OR(OR(Q11="",P11=""),B11=0),"",IF(OR(MAX('Data Entry'!$N$5:$N$10004)&gt;Q11,MIN('Data Entry'!$N$5:$N$10004)&lt;P11),"FAIL","PASS"))</f>
        <v/>
      </c>
      <c r="Y11" s="16">
        <f>IF(T11="","No spec",IF(T11&gt;=1.33,"Capable",IF(T11&gt;=1,"Marginal","Not capable")))</f>
        <v/>
      </c>
    </row>
    <row r="12">
      <c r="A12" s="16">
        <f>IF(Settings!G24="Y",Settings!B24,"")</f>
        <v/>
      </c>
      <c r="B12" s="40">
        <f>'Data Entry'!O10009</f>
        <v/>
      </c>
      <c r="C12" s="41">
        <f>'Data Entry'!O10010</f>
        <v/>
      </c>
      <c r="D12" s="41">
        <f>'Data Entry'!O10021</f>
        <v/>
      </c>
      <c r="E12" s="41">
        <f>'Data Entry'!O10011</f>
        <v/>
      </c>
      <c r="F12" s="41">
        <f>'Data Entry'!O10012</f>
        <v/>
      </c>
      <c r="G12" s="41">
        <f>'Data Entry'!O10013</f>
        <v/>
      </c>
      <c r="H12" s="41">
        <f>'Data Entry'!O10016</f>
        <v/>
      </c>
      <c r="I12" s="41">
        <f>'Data Entry'!O10014</f>
        <v/>
      </c>
      <c r="J12" s="41">
        <f>'Data Entry'!O10017</f>
        <v/>
      </c>
      <c r="K12" s="41">
        <f>'Data Entry'!O10018</f>
        <v/>
      </c>
      <c r="L12" s="41">
        <f>'Data Entry'!O10019</f>
        <v/>
      </c>
      <c r="M12" s="41">
        <f>'Data Entry'!O10015</f>
        <v/>
      </c>
      <c r="N12" s="41">
        <f>'Data Entry'!O10020</f>
        <v/>
      </c>
      <c r="O12" s="41">
        <f>IF(Settings!C24="","",Settings!C24)</f>
        <v/>
      </c>
      <c r="P12" s="41">
        <f>IF(Settings!D24="","",Settings!D24)</f>
        <v/>
      </c>
      <c r="Q12" s="41">
        <f>IF(Settings!E24="","",Settings!E24)</f>
        <v/>
      </c>
      <c r="R12" s="42">
        <f>IF(OR(Q12="",P12=""),"",Q12-P12)</f>
        <v/>
      </c>
      <c r="S12" s="42">
        <f>IF(OR(OR(Q12="",P12=""),H12="",H12=0),"",(Q12-P12)/(6*H12))</f>
        <v/>
      </c>
      <c r="T12" s="42">
        <f>IF(OR(OR(Q12="",P12=""),H12="",H12=0),"",MIN(Q12-C12,C12-P12)/(3*H12))</f>
        <v/>
      </c>
      <c r="U12" s="42">
        <f>IF(OR(OR(Q12="",P12=""),I12="",I12=0),"",(Q12-P12)/(6*I12))</f>
        <v/>
      </c>
      <c r="V12" s="42">
        <f>IF(OR(OR(Q12="",P12=""),I12="",I12=0),"",MIN(Q12-C12,C12-P12)/(3*I12))</f>
        <v/>
      </c>
      <c r="W12" s="16">
        <f>IF(M12="","",IF(OR(MAX('Data Entry'!$O$5:$O$10004)&gt;J12,MIN('Data Entry'!$O$5:$O$10004)&lt;L12),"OUT","IN"))</f>
        <v/>
      </c>
      <c r="X12" s="16">
        <f>IF(OR(OR(Q12="",P12=""),B12=0),"",IF(OR(MAX('Data Entry'!$O$5:$O$10004)&gt;Q12,MIN('Data Entry'!$O$5:$O$10004)&lt;P12),"FAIL","PASS"))</f>
        <v/>
      </c>
      <c r="Y12" s="16">
        <f>IF(T12="","No spec",IF(T12&gt;=1.33,"Capable",IF(T12&gt;=1,"Marginal","Not capable")))</f>
        <v/>
      </c>
    </row>
    <row r="13">
      <c r="A13" s="16">
        <f>IF(Settings!G25="Y",Settings!B25,"")</f>
        <v/>
      </c>
      <c r="B13" s="40">
        <f>'Data Entry'!P10009</f>
        <v/>
      </c>
      <c r="C13" s="41">
        <f>'Data Entry'!P10010</f>
        <v/>
      </c>
      <c r="D13" s="41">
        <f>'Data Entry'!P10021</f>
        <v/>
      </c>
      <c r="E13" s="41">
        <f>'Data Entry'!P10011</f>
        <v/>
      </c>
      <c r="F13" s="41">
        <f>'Data Entry'!P10012</f>
        <v/>
      </c>
      <c r="G13" s="41">
        <f>'Data Entry'!P10013</f>
        <v/>
      </c>
      <c r="H13" s="41">
        <f>'Data Entry'!P10016</f>
        <v/>
      </c>
      <c r="I13" s="41">
        <f>'Data Entry'!P10014</f>
        <v/>
      </c>
      <c r="J13" s="41">
        <f>'Data Entry'!P10017</f>
        <v/>
      </c>
      <c r="K13" s="41">
        <f>'Data Entry'!P10018</f>
        <v/>
      </c>
      <c r="L13" s="41">
        <f>'Data Entry'!P10019</f>
        <v/>
      </c>
      <c r="M13" s="41">
        <f>'Data Entry'!P10015</f>
        <v/>
      </c>
      <c r="N13" s="41">
        <f>'Data Entry'!P10020</f>
        <v/>
      </c>
      <c r="O13" s="41">
        <f>IF(Settings!C25="","",Settings!C25)</f>
        <v/>
      </c>
      <c r="P13" s="41">
        <f>IF(Settings!D25="","",Settings!D25)</f>
        <v/>
      </c>
      <c r="Q13" s="41">
        <f>IF(Settings!E25="","",Settings!E25)</f>
        <v/>
      </c>
      <c r="R13" s="42">
        <f>IF(OR(Q13="",P13=""),"",Q13-P13)</f>
        <v/>
      </c>
      <c r="S13" s="42">
        <f>IF(OR(OR(Q13="",P13=""),H13="",H13=0),"",(Q13-P13)/(6*H13))</f>
        <v/>
      </c>
      <c r="T13" s="42">
        <f>IF(OR(OR(Q13="",P13=""),H13="",H13=0),"",MIN(Q13-C13,C13-P13)/(3*H13))</f>
        <v/>
      </c>
      <c r="U13" s="42">
        <f>IF(OR(OR(Q13="",P13=""),I13="",I13=0),"",(Q13-P13)/(6*I13))</f>
        <v/>
      </c>
      <c r="V13" s="42">
        <f>IF(OR(OR(Q13="",P13=""),I13="",I13=0),"",MIN(Q13-C13,C13-P13)/(3*I13))</f>
        <v/>
      </c>
      <c r="W13" s="16">
        <f>IF(M13="","",IF(OR(MAX('Data Entry'!$P$5:$P$10004)&gt;J13,MIN('Data Entry'!$P$5:$P$10004)&lt;L13),"OUT","IN"))</f>
        <v/>
      </c>
      <c r="X13" s="16">
        <f>IF(OR(OR(Q13="",P13=""),B13=0),"",IF(OR(MAX('Data Entry'!$P$5:$P$10004)&gt;Q13,MIN('Data Entry'!$P$5:$P$10004)&lt;P13),"FAIL","PASS"))</f>
        <v/>
      </c>
      <c r="Y13" s="16">
        <f>IF(T13="","No spec",IF(T13&gt;=1.33,"Capable",IF(T13&gt;=1,"Marginal","Not capable")))</f>
        <v/>
      </c>
    </row>
    <row r="14">
      <c r="A14" s="16">
        <f>IF(Settings!G26="Y",Settings!B26,"")</f>
        <v/>
      </c>
      <c r="B14" s="40">
        <f>'Data Entry'!Q10009</f>
        <v/>
      </c>
      <c r="C14" s="41">
        <f>'Data Entry'!Q10010</f>
        <v/>
      </c>
      <c r="D14" s="41">
        <f>'Data Entry'!Q10021</f>
        <v/>
      </c>
      <c r="E14" s="41">
        <f>'Data Entry'!Q10011</f>
        <v/>
      </c>
      <c r="F14" s="41">
        <f>'Data Entry'!Q10012</f>
        <v/>
      </c>
      <c r="G14" s="41">
        <f>'Data Entry'!Q10013</f>
        <v/>
      </c>
      <c r="H14" s="41">
        <f>'Data Entry'!Q10016</f>
        <v/>
      </c>
      <c r="I14" s="41">
        <f>'Data Entry'!Q10014</f>
        <v/>
      </c>
      <c r="J14" s="41">
        <f>'Data Entry'!Q10017</f>
        <v/>
      </c>
      <c r="K14" s="41">
        <f>'Data Entry'!Q10018</f>
        <v/>
      </c>
      <c r="L14" s="41">
        <f>'Data Entry'!Q10019</f>
        <v/>
      </c>
      <c r="M14" s="41">
        <f>'Data Entry'!Q10015</f>
        <v/>
      </c>
      <c r="N14" s="41">
        <f>'Data Entry'!Q10020</f>
        <v/>
      </c>
      <c r="O14" s="41">
        <f>IF(Settings!C26="","",Settings!C26)</f>
        <v/>
      </c>
      <c r="P14" s="41">
        <f>IF(Settings!D26="","",Settings!D26)</f>
        <v/>
      </c>
      <c r="Q14" s="41">
        <f>IF(Settings!E26="","",Settings!E26)</f>
        <v/>
      </c>
      <c r="R14" s="42">
        <f>IF(OR(Q14="",P14=""),"",Q14-P14)</f>
        <v/>
      </c>
      <c r="S14" s="42">
        <f>IF(OR(OR(Q14="",P14=""),H14="",H14=0),"",(Q14-P14)/(6*H14))</f>
        <v/>
      </c>
      <c r="T14" s="42">
        <f>IF(OR(OR(Q14="",P14=""),H14="",H14=0),"",MIN(Q14-C14,C14-P14)/(3*H14))</f>
        <v/>
      </c>
      <c r="U14" s="42">
        <f>IF(OR(OR(Q14="",P14=""),I14="",I14=0),"",(Q14-P14)/(6*I14))</f>
        <v/>
      </c>
      <c r="V14" s="42">
        <f>IF(OR(OR(Q14="",P14=""),I14="",I14=0),"",MIN(Q14-C14,C14-P14)/(3*I14))</f>
        <v/>
      </c>
      <c r="W14" s="16">
        <f>IF(M14="","",IF(OR(MAX('Data Entry'!$Q$5:$Q$10004)&gt;J14,MIN('Data Entry'!$Q$5:$Q$10004)&lt;L14),"OUT","IN"))</f>
        <v/>
      </c>
      <c r="X14" s="16">
        <f>IF(OR(OR(Q14="",P14=""),B14=0),"",IF(OR(MAX('Data Entry'!$Q$5:$Q$10004)&gt;Q14,MIN('Data Entry'!$Q$5:$Q$10004)&lt;P14),"FAIL","PASS"))</f>
        <v/>
      </c>
      <c r="Y14" s="16">
        <f>IF(T14="","No spec",IF(T14&gt;=1.33,"Capable",IF(T14&gt;=1,"Marginal","Not capable")))</f>
        <v/>
      </c>
    </row>
    <row r="15">
      <c r="A15" s="16">
        <f>IF(Settings!G27="Y",Settings!B27,"")</f>
        <v/>
      </c>
      <c r="B15" s="40">
        <f>'Data Entry'!R10009</f>
        <v/>
      </c>
      <c r="C15" s="41">
        <f>'Data Entry'!R10010</f>
        <v/>
      </c>
      <c r="D15" s="41">
        <f>'Data Entry'!R10021</f>
        <v/>
      </c>
      <c r="E15" s="41">
        <f>'Data Entry'!R10011</f>
        <v/>
      </c>
      <c r="F15" s="41">
        <f>'Data Entry'!R10012</f>
        <v/>
      </c>
      <c r="G15" s="41">
        <f>'Data Entry'!R10013</f>
        <v/>
      </c>
      <c r="H15" s="41">
        <f>'Data Entry'!R10016</f>
        <v/>
      </c>
      <c r="I15" s="41">
        <f>'Data Entry'!R10014</f>
        <v/>
      </c>
      <c r="J15" s="41">
        <f>'Data Entry'!R10017</f>
        <v/>
      </c>
      <c r="K15" s="41">
        <f>'Data Entry'!R10018</f>
        <v/>
      </c>
      <c r="L15" s="41">
        <f>'Data Entry'!R10019</f>
        <v/>
      </c>
      <c r="M15" s="41">
        <f>'Data Entry'!R10015</f>
        <v/>
      </c>
      <c r="N15" s="41">
        <f>'Data Entry'!R10020</f>
        <v/>
      </c>
      <c r="O15" s="41">
        <f>IF(Settings!C27="","",Settings!C27)</f>
        <v/>
      </c>
      <c r="P15" s="41">
        <f>IF(Settings!D27="","",Settings!D27)</f>
        <v/>
      </c>
      <c r="Q15" s="41">
        <f>IF(Settings!E27="","",Settings!E27)</f>
        <v/>
      </c>
      <c r="R15" s="42">
        <f>IF(OR(Q15="",P15=""),"",Q15-P15)</f>
        <v/>
      </c>
      <c r="S15" s="42">
        <f>IF(OR(OR(Q15="",P15=""),H15="",H15=0),"",(Q15-P15)/(6*H15))</f>
        <v/>
      </c>
      <c r="T15" s="42">
        <f>IF(OR(OR(Q15="",P15=""),H15="",H15=0),"",MIN(Q15-C15,C15-P15)/(3*H15))</f>
        <v/>
      </c>
      <c r="U15" s="42">
        <f>IF(OR(OR(Q15="",P15=""),I15="",I15=0),"",(Q15-P15)/(6*I15))</f>
        <v/>
      </c>
      <c r="V15" s="42">
        <f>IF(OR(OR(Q15="",P15=""),I15="",I15=0),"",MIN(Q15-C15,C15-P15)/(3*I15))</f>
        <v/>
      </c>
      <c r="W15" s="16">
        <f>IF(M15="","",IF(OR(MAX('Data Entry'!$R$5:$R$10004)&gt;J15,MIN('Data Entry'!$R$5:$R$10004)&lt;L15),"OUT","IN"))</f>
        <v/>
      </c>
      <c r="X15" s="16">
        <f>IF(OR(OR(Q15="",P15=""),B15=0),"",IF(OR(MAX('Data Entry'!$R$5:$R$10004)&gt;Q15,MIN('Data Entry'!$R$5:$R$10004)&lt;P15),"FAIL","PASS"))</f>
        <v/>
      </c>
      <c r="Y15" s="16">
        <f>IF(T15="","No spec",IF(T15&gt;=1.33,"Capable",IF(T15&gt;=1,"Marginal","Not capable")))</f>
        <v/>
      </c>
    </row>
    <row r="16">
      <c r="A16" s="16">
        <f>IF(Settings!G28="Y",Settings!B28,"")</f>
        <v/>
      </c>
      <c r="B16" s="40">
        <f>'Data Entry'!S10009</f>
        <v/>
      </c>
      <c r="C16" s="41">
        <f>'Data Entry'!S10010</f>
        <v/>
      </c>
      <c r="D16" s="41">
        <f>'Data Entry'!S10021</f>
        <v/>
      </c>
      <c r="E16" s="41">
        <f>'Data Entry'!S10011</f>
        <v/>
      </c>
      <c r="F16" s="41">
        <f>'Data Entry'!S10012</f>
        <v/>
      </c>
      <c r="G16" s="41">
        <f>'Data Entry'!S10013</f>
        <v/>
      </c>
      <c r="H16" s="41">
        <f>'Data Entry'!S10016</f>
        <v/>
      </c>
      <c r="I16" s="41">
        <f>'Data Entry'!S10014</f>
        <v/>
      </c>
      <c r="J16" s="41">
        <f>'Data Entry'!S10017</f>
        <v/>
      </c>
      <c r="K16" s="41">
        <f>'Data Entry'!S10018</f>
        <v/>
      </c>
      <c r="L16" s="41">
        <f>'Data Entry'!S10019</f>
        <v/>
      </c>
      <c r="M16" s="41">
        <f>'Data Entry'!S10015</f>
        <v/>
      </c>
      <c r="N16" s="41">
        <f>'Data Entry'!S10020</f>
        <v/>
      </c>
      <c r="O16" s="41">
        <f>IF(Settings!C28="","",Settings!C28)</f>
        <v/>
      </c>
      <c r="P16" s="41">
        <f>IF(Settings!D28="","",Settings!D28)</f>
        <v/>
      </c>
      <c r="Q16" s="41">
        <f>IF(Settings!E28="","",Settings!E28)</f>
        <v/>
      </c>
      <c r="R16" s="42">
        <f>IF(OR(Q16="",P16=""),"",Q16-P16)</f>
        <v/>
      </c>
      <c r="S16" s="42">
        <f>IF(OR(OR(Q16="",P16=""),H16="",H16=0),"",(Q16-P16)/(6*H16))</f>
        <v/>
      </c>
      <c r="T16" s="42">
        <f>IF(OR(OR(Q16="",P16=""),H16="",H16=0),"",MIN(Q16-C16,C16-P16)/(3*H16))</f>
        <v/>
      </c>
      <c r="U16" s="42">
        <f>IF(OR(OR(Q16="",P16=""),I16="",I16=0),"",(Q16-P16)/(6*I16))</f>
        <v/>
      </c>
      <c r="V16" s="42">
        <f>IF(OR(OR(Q16="",P16=""),I16="",I16=0),"",MIN(Q16-C16,C16-P16)/(3*I16))</f>
        <v/>
      </c>
      <c r="W16" s="16">
        <f>IF(M16="","",IF(OR(MAX('Data Entry'!$S$5:$S$10004)&gt;J16,MIN('Data Entry'!$S$5:$S$10004)&lt;L16),"OUT","IN"))</f>
        <v/>
      </c>
      <c r="X16" s="16">
        <f>IF(OR(OR(Q16="",P16=""),B16=0),"",IF(OR(MAX('Data Entry'!$S$5:$S$10004)&gt;Q16,MIN('Data Entry'!$S$5:$S$10004)&lt;P16),"FAIL","PASS"))</f>
        <v/>
      </c>
      <c r="Y16" s="16">
        <f>IF(T16="","No spec",IF(T16&gt;=1.33,"Capable",IF(T16&gt;=1,"Marginal","Not capable")))</f>
        <v/>
      </c>
    </row>
    <row r="17">
      <c r="A17" s="16">
        <f>IF(Settings!G29="Y",Settings!B29,"")</f>
        <v/>
      </c>
      <c r="B17" s="40">
        <f>'Data Entry'!T10009</f>
        <v/>
      </c>
      <c r="C17" s="41">
        <f>'Data Entry'!T10010</f>
        <v/>
      </c>
      <c r="D17" s="41">
        <f>'Data Entry'!T10021</f>
        <v/>
      </c>
      <c r="E17" s="41">
        <f>'Data Entry'!T10011</f>
        <v/>
      </c>
      <c r="F17" s="41">
        <f>'Data Entry'!T10012</f>
        <v/>
      </c>
      <c r="G17" s="41">
        <f>'Data Entry'!T10013</f>
        <v/>
      </c>
      <c r="H17" s="41">
        <f>'Data Entry'!T10016</f>
        <v/>
      </c>
      <c r="I17" s="41">
        <f>'Data Entry'!T10014</f>
        <v/>
      </c>
      <c r="J17" s="41">
        <f>'Data Entry'!T10017</f>
        <v/>
      </c>
      <c r="K17" s="41">
        <f>'Data Entry'!T10018</f>
        <v/>
      </c>
      <c r="L17" s="41">
        <f>'Data Entry'!T10019</f>
        <v/>
      </c>
      <c r="M17" s="41">
        <f>'Data Entry'!T10015</f>
        <v/>
      </c>
      <c r="N17" s="41">
        <f>'Data Entry'!T10020</f>
        <v/>
      </c>
      <c r="O17" s="41">
        <f>IF(Settings!C29="","",Settings!C29)</f>
        <v/>
      </c>
      <c r="P17" s="41">
        <f>IF(Settings!D29="","",Settings!D29)</f>
        <v/>
      </c>
      <c r="Q17" s="41">
        <f>IF(Settings!E29="","",Settings!E29)</f>
        <v/>
      </c>
      <c r="R17" s="42">
        <f>IF(OR(Q17="",P17=""),"",Q17-P17)</f>
        <v/>
      </c>
      <c r="S17" s="42">
        <f>IF(OR(OR(Q17="",P17=""),H17="",H17=0),"",(Q17-P17)/(6*H17))</f>
        <v/>
      </c>
      <c r="T17" s="42">
        <f>IF(OR(OR(Q17="",P17=""),H17="",H17=0),"",MIN(Q17-C17,C17-P17)/(3*H17))</f>
        <v/>
      </c>
      <c r="U17" s="42">
        <f>IF(OR(OR(Q17="",P17=""),I17="",I17=0),"",(Q17-P17)/(6*I17))</f>
        <v/>
      </c>
      <c r="V17" s="42">
        <f>IF(OR(OR(Q17="",P17=""),I17="",I17=0),"",MIN(Q17-C17,C17-P17)/(3*I17))</f>
        <v/>
      </c>
      <c r="W17" s="16">
        <f>IF(M17="","",IF(OR(MAX('Data Entry'!$T$5:$T$10004)&gt;J17,MIN('Data Entry'!$T$5:$T$10004)&lt;L17),"OUT","IN"))</f>
        <v/>
      </c>
      <c r="X17" s="16">
        <f>IF(OR(OR(Q17="",P17=""),B17=0),"",IF(OR(MAX('Data Entry'!$T$5:$T$10004)&gt;Q17,MIN('Data Entry'!$T$5:$T$10004)&lt;P17),"FAIL","PASS"))</f>
        <v/>
      </c>
      <c r="Y17" s="16">
        <f>IF(T17="","No spec",IF(T17&gt;=1.33,"Capable",IF(T17&gt;=1,"Marginal","Not capable")))</f>
        <v/>
      </c>
    </row>
    <row r="18">
      <c r="A18" s="16">
        <f>IF(Settings!G30="Y",Settings!B30,"")</f>
        <v/>
      </c>
      <c r="B18" s="40">
        <f>'Data Entry'!U10009</f>
        <v/>
      </c>
      <c r="C18" s="41">
        <f>'Data Entry'!U10010</f>
        <v/>
      </c>
      <c r="D18" s="41">
        <f>'Data Entry'!U10021</f>
        <v/>
      </c>
      <c r="E18" s="41">
        <f>'Data Entry'!U10011</f>
        <v/>
      </c>
      <c r="F18" s="41">
        <f>'Data Entry'!U10012</f>
        <v/>
      </c>
      <c r="G18" s="41">
        <f>'Data Entry'!U10013</f>
        <v/>
      </c>
      <c r="H18" s="41">
        <f>'Data Entry'!U10016</f>
        <v/>
      </c>
      <c r="I18" s="41">
        <f>'Data Entry'!U10014</f>
        <v/>
      </c>
      <c r="J18" s="41">
        <f>'Data Entry'!U10017</f>
        <v/>
      </c>
      <c r="K18" s="41">
        <f>'Data Entry'!U10018</f>
        <v/>
      </c>
      <c r="L18" s="41">
        <f>'Data Entry'!U10019</f>
        <v/>
      </c>
      <c r="M18" s="41">
        <f>'Data Entry'!U10015</f>
        <v/>
      </c>
      <c r="N18" s="41">
        <f>'Data Entry'!U10020</f>
        <v/>
      </c>
      <c r="O18" s="41">
        <f>IF(Settings!C30="","",Settings!C30)</f>
        <v/>
      </c>
      <c r="P18" s="41">
        <f>IF(Settings!D30="","",Settings!D30)</f>
        <v/>
      </c>
      <c r="Q18" s="41">
        <f>IF(Settings!E30="","",Settings!E30)</f>
        <v/>
      </c>
      <c r="R18" s="42">
        <f>IF(OR(Q18="",P18=""),"",Q18-P18)</f>
        <v/>
      </c>
      <c r="S18" s="42">
        <f>IF(OR(OR(Q18="",P18=""),H18="",H18=0),"",(Q18-P18)/(6*H18))</f>
        <v/>
      </c>
      <c r="T18" s="42">
        <f>IF(OR(OR(Q18="",P18=""),H18="",H18=0),"",MIN(Q18-C18,C18-P18)/(3*H18))</f>
        <v/>
      </c>
      <c r="U18" s="42">
        <f>IF(OR(OR(Q18="",P18=""),I18="",I18=0),"",(Q18-P18)/(6*I18))</f>
        <v/>
      </c>
      <c r="V18" s="42">
        <f>IF(OR(OR(Q18="",P18=""),I18="",I18=0),"",MIN(Q18-C18,C18-P18)/(3*I18))</f>
        <v/>
      </c>
      <c r="W18" s="16">
        <f>IF(M18="","",IF(OR(MAX('Data Entry'!$U$5:$U$10004)&gt;J18,MIN('Data Entry'!$U$5:$U$10004)&lt;L18),"OUT","IN"))</f>
        <v/>
      </c>
      <c r="X18" s="16">
        <f>IF(OR(OR(Q18="",P18=""),B18=0),"",IF(OR(MAX('Data Entry'!$U$5:$U$10004)&gt;Q18,MIN('Data Entry'!$U$5:$U$10004)&lt;P18),"FAIL","PASS"))</f>
        <v/>
      </c>
      <c r="Y18" s="16">
        <f>IF(T18="","No spec",IF(T18&gt;=1.33,"Capable",IF(T18&gt;=1,"Marginal","Not capable")))</f>
        <v/>
      </c>
    </row>
    <row r="19">
      <c r="A19" s="16">
        <f>IF(Settings!G31="Y",Settings!B31,"")</f>
        <v/>
      </c>
      <c r="B19" s="40">
        <f>'Data Entry'!V10009</f>
        <v/>
      </c>
      <c r="C19" s="41">
        <f>'Data Entry'!V10010</f>
        <v/>
      </c>
      <c r="D19" s="41">
        <f>'Data Entry'!V10021</f>
        <v/>
      </c>
      <c r="E19" s="41">
        <f>'Data Entry'!V10011</f>
        <v/>
      </c>
      <c r="F19" s="41">
        <f>'Data Entry'!V10012</f>
        <v/>
      </c>
      <c r="G19" s="41">
        <f>'Data Entry'!V10013</f>
        <v/>
      </c>
      <c r="H19" s="41">
        <f>'Data Entry'!V10016</f>
        <v/>
      </c>
      <c r="I19" s="41">
        <f>'Data Entry'!V10014</f>
        <v/>
      </c>
      <c r="J19" s="41">
        <f>'Data Entry'!V10017</f>
        <v/>
      </c>
      <c r="K19" s="41">
        <f>'Data Entry'!V10018</f>
        <v/>
      </c>
      <c r="L19" s="41">
        <f>'Data Entry'!V10019</f>
        <v/>
      </c>
      <c r="M19" s="41">
        <f>'Data Entry'!V10015</f>
        <v/>
      </c>
      <c r="N19" s="41">
        <f>'Data Entry'!V10020</f>
        <v/>
      </c>
      <c r="O19" s="41">
        <f>IF(Settings!C31="","",Settings!C31)</f>
        <v/>
      </c>
      <c r="P19" s="41">
        <f>IF(Settings!D31="","",Settings!D31)</f>
        <v/>
      </c>
      <c r="Q19" s="41">
        <f>IF(Settings!E31="","",Settings!E31)</f>
        <v/>
      </c>
      <c r="R19" s="42">
        <f>IF(OR(Q19="",P19=""),"",Q19-P19)</f>
        <v/>
      </c>
      <c r="S19" s="42">
        <f>IF(OR(OR(Q19="",P19=""),H19="",H19=0),"",(Q19-P19)/(6*H19))</f>
        <v/>
      </c>
      <c r="T19" s="42">
        <f>IF(OR(OR(Q19="",P19=""),H19="",H19=0),"",MIN(Q19-C19,C19-P19)/(3*H19))</f>
        <v/>
      </c>
      <c r="U19" s="42">
        <f>IF(OR(OR(Q19="",P19=""),I19="",I19=0),"",(Q19-P19)/(6*I19))</f>
        <v/>
      </c>
      <c r="V19" s="42">
        <f>IF(OR(OR(Q19="",P19=""),I19="",I19=0),"",MIN(Q19-C19,C19-P19)/(3*I19))</f>
        <v/>
      </c>
      <c r="W19" s="16">
        <f>IF(M19="","",IF(OR(MAX('Data Entry'!$V$5:$V$10004)&gt;J19,MIN('Data Entry'!$V$5:$V$10004)&lt;L19),"OUT","IN"))</f>
        <v/>
      </c>
      <c r="X19" s="16">
        <f>IF(OR(OR(Q19="",P19=""),B19=0),"",IF(OR(MAX('Data Entry'!$V$5:$V$10004)&gt;Q19,MIN('Data Entry'!$V$5:$V$10004)&lt;P19),"FAIL","PASS"))</f>
        <v/>
      </c>
      <c r="Y19" s="16">
        <f>IF(T19="","No spec",IF(T19&gt;=1.33,"Capable",IF(T19&gt;=1,"Marginal","Not capable")))</f>
        <v/>
      </c>
    </row>
    <row r="20">
      <c r="A20" s="16">
        <f>IF(Settings!G32="Y",Settings!B32,"")</f>
        <v/>
      </c>
      <c r="B20" s="40">
        <f>'Data Entry'!W10009</f>
        <v/>
      </c>
      <c r="C20" s="41">
        <f>'Data Entry'!W10010</f>
        <v/>
      </c>
      <c r="D20" s="41">
        <f>'Data Entry'!W10021</f>
        <v/>
      </c>
      <c r="E20" s="41">
        <f>'Data Entry'!W10011</f>
        <v/>
      </c>
      <c r="F20" s="41">
        <f>'Data Entry'!W10012</f>
        <v/>
      </c>
      <c r="G20" s="41">
        <f>'Data Entry'!W10013</f>
        <v/>
      </c>
      <c r="H20" s="41">
        <f>'Data Entry'!W10016</f>
        <v/>
      </c>
      <c r="I20" s="41">
        <f>'Data Entry'!W10014</f>
        <v/>
      </c>
      <c r="J20" s="41">
        <f>'Data Entry'!W10017</f>
        <v/>
      </c>
      <c r="K20" s="41">
        <f>'Data Entry'!W10018</f>
        <v/>
      </c>
      <c r="L20" s="41">
        <f>'Data Entry'!W10019</f>
        <v/>
      </c>
      <c r="M20" s="41">
        <f>'Data Entry'!W10015</f>
        <v/>
      </c>
      <c r="N20" s="41">
        <f>'Data Entry'!W10020</f>
        <v/>
      </c>
      <c r="O20" s="41">
        <f>IF(Settings!C32="","",Settings!C32)</f>
        <v/>
      </c>
      <c r="P20" s="41">
        <f>IF(Settings!D32="","",Settings!D32)</f>
        <v/>
      </c>
      <c r="Q20" s="41">
        <f>IF(Settings!E32="","",Settings!E32)</f>
        <v/>
      </c>
      <c r="R20" s="42">
        <f>IF(OR(Q20="",P20=""),"",Q20-P20)</f>
        <v/>
      </c>
      <c r="S20" s="42">
        <f>IF(OR(OR(Q20="",P20=""),H20="",H20=0),"",(Q20-P20)/(6*H20))</f>
        <v/>
      </c>
      <c r="T20" s="42">
        <f>IF(OR(OR(Q20="",P20=""),H20="",H20=0),"",MIN(Q20-C20,C20-P20)/(3*H20))</f>
        <v/>
      </c>
      <c r="U20" s="42">
        <f>IF(OR(OR(Q20="",P20=""),I20="",I20=0),"",(Q20-P20)/(6*I20))</f>
        <v/>
      </c>
      <c r="V20" s="42">
        <f>IF(OR(OR(Q20="",P20=""),I20="",I20=0),"",MIN(Q20-C20,C20-P20)/(3*I20))</f>
        <v/>
      </c>
      <c r="W20" s="16">
        <f>IF(M20="","",IF(OR(MAX('Data Entry'!$W$5:$W$10004)&gt;J20,MIN('Data Entry'!$W$5:$W$10004)&lt;L20),"OUT","IN"))</f>
        <v/>
      </c>
      <c r="X20" s="16">
        <f>IF(OR(OR(Q20="",P20=""),B20=0),"",IF(OR(MAX('Data Entry'!$W$5:$W$10004)&gt;Q20,MIN('Data Entry'!$W$5:$W$10004)&lt;P20),"FAIL","PASS"))</f>
        <v/>
      </c>
      <c r="Y20" s="16">
        <f>IF(T20="","No spec",IF(T20&gt;=1.33,"Capable",IF(T20&gt;=1,"Marginal","Not capable")))</f>
        <v/>
      </c>
    </row>
    <row r="21">
      <c r="A21" s="16">
        <f>IF(Settings!G33="Y",Settings!B33,"")</f>
        <v/>
      </c>
      <c r="B21" s="40">
        <f>'Data Entry'!X10009</f>
        <v/>
      </c>
      <c r="C21" s="41">
        <f>'Data Entry'!X10010</f>
        <v/>
      </c>
      <c r="D21" s="41">
        <f>'Data Entry'!X10021</f>
        <v/>
      </c>
      <c r="E21" s="41">
        <f>'Data Entry'!X10011</f>
        <v/>
      </c>
      <c r="F21" s="41">
        <f>'Data Entry'!X10012</f>
        <v/>
      </c>
      <c r="G21" s="41">
        <f>'Data Entry'!X10013</f>
        <v/>
      </c>
      <c r="H21" s="41">
        <f>'Data Entry'!X10016</f>
        <v/>
      </c>
      <c r="I21" s="41">
        <f>'Data Entry'!X10014</f>
        <v/>
      </c>
      <c r="J21" s="41">
        <f>'Data Entry'!X10017</f>
        <v/>
      </c>
      <c r="K21" s="41">
        <f>'Data Entry'!X10018</f>
        <v/>
      </c>
      <c r="L21" s="41">
        <f>'Data Entry'!X10019</f>
        <v/>
      </c>
      <c r="M21" s="41">
        <f>'Data Entry'!X10015</f>
        <v/>
      </c>
      <c r="N21" s="41">
        <f>'Data Entry'!X10020</f>
        <v/>
      </c>
      <c r="O21" s="41">
        <f>IF(Settings!C33="","",Settings!C33)</f>
        <v/>
      </c>
      <c r="P21" s="41">
        <f>IF(Settings!D33="","",Settings!D33)</f>
        <v/>
      </c>
      <c r="Q21" s="41">
        <f>IF(Settings!E33="","",Settings!E33)</f>
        <v/>
      </c>
      <c r="R21" s="42">
        <f>IF(OR(Q21="",P21=""),"",Q21-P21)</f>
        <v/>
      </c>
      <c r="S21" s="42">
        <f>IF(OR(OR(Q21="",P21=""),H21="",H21=0),"",(Q21-P21)/(6*H21))</f>
        <v/>
      </c>
      <c r="T21" s="42">
        <f>IF(OR(OR(Q21="",P21=""),H21="",H21=0),"",MIN(Q21-C21,C21-P21)/(3*H21))</f>
        <v/>
      </c>
      <c r="U21" s="42">
        <f>IF(OR(OR(Q21="",P21=""),I21="",I21=0),"",(Q21-P21)/(6*I21))</f>
        <v/>
      </c>
      <c r="V21" s="42">
        <f>IF(OR(OR(Q21="",P21=""),I21="",I21=0),"",MIN(Q21-C21,C21-P21)/(3*I21))</f>
        <v/>
      </c>
      <c r="W21" s="16">
        <f>IF(M21="","",IF(OR(MAX('Data Entry'!$X$5:$X$10004)&gt;J21,MIN('Data Entry'!$X$5:$X$10004)&lt;L21),"OUT","IN"))</f>
        <v/>
      </c>
      <c r="X21" s="16">
        <f>IF(OR(OR(Q21="",P21=""),B21=0),"",IF(OR(MAX('Data Entry'!$X$5:$X$10004)&gt;Q21,MIN('Data Entry'!$X$5:$X$10004)&lt;P21),"FAIL","PASS"))</f>
        <v/>
      </c>
      <c r="Y21" s="16">
        <f>IF(T21="","No spec",IF(T21&gt;=1.33,"Capable",IF(T21&gt;=1,"Marginal","Not capable")))</f>
        <v/>
      </c>
    </row>
    <row r="22">
      <c r="A22" s="16">
        <f>IF(Settings!G34="Y",Settings!B34,"")</f>
        <v/>
      </c>
      <c r="B22" s="40">
        <f>'Data Entry'!Y10009</f>
        <v/>
      </c>
      <c r="C22" s="41">
        <f>'Data Entry'!Y10010</f>
        <v/>
      </c>
      <c r="D22" s="41">
        <f>'Data Entry'!Y10021</f>
        <v/>
      </c>
      <c r="E22" s="41">
        <f>'Data Entry'!Y10011</f>
        <v/>
      </c>
      <c r="F22" s="41">
        <f>'Data Entry'!Y10012</f>
        <v/>
      </c>
      <c r="G22" s="41">
        <f>'Data Entry'!Y10013</f>
        <v/>
      </c>
      <c r="H22" s="41">
        <f>'Data Entry'!Y10016</f>
        <v/>
      </c>
      <c r="I22" s="41">
        <f>'Data Entry'!Y10014</f>
        <v/>
      </c>
      <c r="J22" s="41">
        <f>'Data Entry'!Y10017</f>
        <v/>
      </c>
      <c r="K22" s="41">
        <f>'Data Entry'!Y10018</f>
        <v/>
      </c>
      <c r="L22" s="41">
        <f>'Data Entry'!Y10019</f>
        <v/>
      </c>
      <c r="M22" s="41">
        <f>'Data Entry'!Y10015</f>
        <v/>
      </c>
      <c r="N22" s="41">
        <f>'Data Entry'!Y10020</f>
        <v/>
      </c>
      <c r="O22" s="41">
        <f>IF(Settings!C34="","",Settings!C34)</f>
        <v/>
      </c>
      <c r="P22" s="41">
        <f>IF(Settings!D34="","",Settings!D34)</f>
        <v/>
      </c>
      <c r="Q22" s="41">
        <f>IF(Settings!E34="","",Settings!E34)</f>
        <v/>
      </c>
      <c r="R22" s="42">
        <f>IF(OR(Q22="",P22=""),"",Q22-P22)</f>
        <v/>
      </c>
      <c r="S22" s="42">
        <f>IF(OR(OR(Q22="",P22=""),H22="",H22=0),"",(Q22-P22)/(6*H22))</f>
        <v/>
      </c>
      <c r="T22" s="42">
        <f>IF(OR(OR(Q22="",P22=""),H22="",H22=0),"",MIN(Q22-C22,C22-P22)/(3*H22))</f>
        <v/>
      </c>
      <c r="U22" s="42">
        <f>IF(OR(OR(Q22="",P22=""),I22="",I22=0),"",(Q22-P22)/(6*I22))</f>
        <v/>
      </c>
      <c r="V22" s="42">
        <f>IF(OR(OR(Q22="",P22=""),I22="",I22=0),"",MIN(Q22-C22,C22-P22)/(3*I22))</f>
        <v/>
      </c>
      <c r="W22" s="16">
        <f>IF(M22="","",IF(OR(MAX('Data Entry'!$Y$5:$Y$10004)&gt;J22,MIN('Data Entry'!$Y$5:$Y$10004)&lt;L22),"OUT","IN"))</f>
        <v/>
      </c>
      <c r="X22" s="16">
        <f>IF(OR(OR(Q22="",P22=""),B22=0),"",IF(OR(MAX('Data Entry'!$Y$5:$Y$10004)&gt;Q22,MIN('Data Entry'!$Y$5:$Y$10004)&lt;P22),"FAIL","PASS"))</f>
        <v/>
      </c>
      <c r="Y22" s="16">
        <f>IF(T22="","No spec",IF(T22&gt;=1.33,"Capable",IF(T22&gt;=1,"Marginal","Not capable")))</f>
        <v/>
      </c>
    </row>
    <row r="23">
      <c r="A23" s="16">
        <f>IF(Settings!G35="Y",Settings!B35,"")</f>
        <v/>
      </c>
      <c r="B23" s="40">
        <f>'Data Entry'!Z10009</f>
        <v/>
      </c>
      <c r="C23" s="41">
        <f>'Data Entry'!Z10010</f>
        <v/>
      </c>
      <c r="D23" s="41">
        <f>'Data Entry'!Z10021</f>
        <v/>
      </c>
      <c r="E23" s="41">
        <f>'Data Entry'!Z10011</f>
        <v/>
      </c>
      <c r="F23" s="41">
        <f>'Data Entry'!Z10012</f>
        <v/>
      </c>
      <c r="G23" s="41">
        <f>'Data Entry'!Z10013</f>
        <v/>
      </c>
      <c r="H23" s="41">
        <f>'Data Entry'!Z10016</f>
        <v/>
      </c>
      <c r="I23" s="41">
        <f>'Data Entry'!Z10014</f>
        <v/>
      </c>
      <c r="J23" s="41">
        <f>'Data Entry'!Z10017</f>
        <v/>
      </c>
      <c r="K23" s="41">
        <f>'Data Entry'!Z10018</f>
        <v/>
      </c>
      <c r="L23" s="41">
        <f>'Data Entry'!Z10019</f>
        <v/>
      </c>
      <c r="M23" s="41">
        <f>'Data Entry'!Z10015</f>
        <v/>
      </c>
      <c r="N23" s="41">
        <f>'Data Entry'!Z10020</f>
        <v/>
      </c>
      <c r="O23" s="41">
        <f>IF(Settings!C35="","",Settings!C35)</f>
        <v/>
      </c>
      <c r="P23" s="41">
        <f>IF(Settings!D35="","",Settings!D35)</f>
        <v/>
      </c>
      <c r="Q23" s="41">
        <f>IF(Settings!E35="","",Settings!E35)</f>
        <v/>
      </c>
      <c r="R23" s="42">
        <f>IF(OR(Q23="",P23=""),"",Q23-P23)</f>
        <v/>
      </c>
      <c r="S23" s="42">
        <f>IF(OR(OR(Q23="",P23=""),H23="",H23=0),"",(Q23-P23)/(6*H23))</f>
        <v/>
      </c>
      <c r="T23" s="42">
        <f>IF(OR(OR(Q23="",P23=""),H23="",H23=0),"",MIN(Q23-C23,C23-P23)/(3*H23))</f>
        <v/>
      </c>
      <c r="U23" s="42">
        <f>IF(OR(OR(Q23="",P23=""),I23="",I23=0),"",(Q23-P23)/(6*I23))</f>
        <v/>
      </c>
      <c r="V23" s="42">
        <f>IF(OR(OR(Q23="",P23=""),I23="",I23=0),"",MIN(Q23-C23,C23-P23)/(3*I23))</f>
        <v/>
      </c>
      <c r="W23" s="16">
        <f>IF(M23="","",IF(OR(MAX('Data Entry'!$Z$5:$Z$10004)&gt;J23,MIN('Data Entry'!$Z$5:$Z$10004)&lt;L23),"OUT","IN"))</f>
        <v/>
      </c>
      <c r="X23" s="16">
        <f>IF(OR(OR(Q23="",P23=""),B23=0),"",IF(OR(MAX('Data Entry'!$Z$5:$Z$10004)&gt;Q23,MIN('Data Entry'!$Z$5:$Z$10004)&lt;P23),"FAIL","PASS"))</f>
        <v/>
      </c>
      <c r="Y23" s="16">
        <f>IF(T23="","No spec",IF(T23&gt;=1.33,"Capable",IF(T23&gt;=1,"Marginal","Not capable")))</f>
        <v/>
      </c>
    </row>
    <row r="24">
      <c r="A24" s="16">
        <f>IF(Settings!G36="Y",Settings!B36,"")</f>
        <v/>
      </c>
      <c r="B24" s="40">
        <f>'Data Entry'!AA10009</f>
        <v/>
      </c>
      <c r="C24" s="41">
        <f>'Data Entry'!AA10010</f>
        <v/>
      </c>
      <c r="D24" s="41">
        <f>'Data Entry'!AA10021</f>
        <v/>
      </c>
      <c r="E24" s="41">
        <f>'Data Entry'!AA10011</f>
        <v/>
      </c>
      <c r="F24" s="41">
        <f>'Data Entry'!AA10012</f>
        <v/>
      </c>
      <c r="G24" s="41">
        <f>'Data Entry'!AA10013</f>
        <v/>
      </c>
      <c r="H24" s="41">
        <f>'Data Entry'!AA10016</f>
        <v/>
      </c>
      <c r="I24" s="41">
        <f>'Data Entry'!AA10014</f>
        <v/>
      </c>
      <c r="J24" s="41">
        <f>'Data Entry'!AA10017</f>
        <v/>
      </c>
      <c r="K24" s="41">
        <f>'Data Entry'!AA10018</f>
        <v/>
      </c>
      <c r="L24" s="41">
        <f>'Data Entry'!AA10019</f>
        <v/>
      </c>
      <c r="M24" s="41">
        <f>'Data Entry'!AA10015</f>
        <v/>
      </c>
      <c r="N24" s="41">
        <f>'Data Entry'!AA10020</f>
        <v/>
      </c>
      <c r="O24" s="41">
        <f>IF(Settings!C36="","",Settings!C36)</f>
        <v/>
      </c>
      <c r="P24" s="41">
        <f>IF(Settings!D36="","",Settings!D36)</f>
        <v/>
      </c>
      <c r="Q24" s="41">
        <f>IF(Settings!E36="","",Settings!E36)</f>
        <v/>
      </c>
      <c r="R24" s="42">
        <f>IF(OR(Q24="",P24=""),"",Q24-P24)</f>
        <v/>
      </c>
      <c r="S24" s="42">
        <f>IF(OR(OR(Q24="",P24=""),H24="",H24=0),"",(Q24-P24)/(6*H24))</f>
        <v/>
      </c>
      <c r="T24" s="42">
        <f>IF(OR(OR(Q24="",P24=""),H24="",H24=0),"",MIN(Q24-C24,C24-P24)/(3*H24))</f>
        <v/>
      </c>
      <c r="U24" s="42">
        <f>IF(OR(OR(Q24="",P24=""),I24="",I24=0),"",(Q24-P24)/(6*I24))</f>
        <v/>
      </c>
      <c r="V24" s="42">
        <f>IF(OR(OR(Q24="",P24=""),I24="",I24=0),"",MIN(Q24-C24,C24-P24)/(3*I24))</f>
        <v/>
      </c>
      <c r="W24" s="16">
        <f>IF(M24="","",IF(OR(MAX('Data Entry'!$AA$5:$AA$10004)&gt;J24,MIN('Data Entry'!$AA$5:$AA$10004)&lt;L24),"OUT","IN"))</f>
        <v/>
      </c>
      <c r="X24" s="16">
        <f>IF(OR(OR(Q24="",P24=""),B24=0),"",IF(OR(MAX('Data Entry'!$AA$5:$AA$10004)&gt;Q24,MIN('Data Entry'!$AA$5:$AA$10004)&lt;P24),"FAIL","PASS"))</f>
        <v/>
      </c>
      <c r="Y24" s="16">
        <f>IF(T24="","No spec",IF(T24&gt;=1.33,"Capable",IF(T24&gt;=1,"Marginal","Not capable")))</f>
        <v/>
      </c>
    </row>
    <row r="25">
      <c r="A25" s="16">
        <f>IF(Settings!G37="Y",Settings!B37,"")</f>
        <v/>
      </c>
      <c r="B25" s="40">
        <f>'Data Entry'!AB10009</f>
        <v/>
      </c>
      <c r="C25" s="41">
        <f>'Data Entry'!AB10010</f>
        <v/>
      </c>
      <c r="D25" s="41">
        <f>'Data Entry'!AB10021</f>
        <v/>
      </c>
      <c r="E25" s="41">
        <f>'Data Entry'!AB10011</f>
        <v/>
      </c>
      <c r="F25" s="41">
        <f>'Data Entry'!AB10012</f>
        <v/>
      </c>
      <c r="G25" s="41">
        <f>'Data Entry'!AB10013</f>
        <v/>
      </c>
      <c r="H25" s="41">
        <f>'Data Entry'!AB10016</f>
        <v/>
      </c>
      <c r="I25" s="41">
        <f>'Data Entry'!AB10014</f>
        <v/>
      </c>
      <c r="J25" s="41">
        <f>'Data Entry'!AB10017</f>
        <v/>
      </c>
      <c r="K25" s="41">
        <f>'Data Entry'!AB10018</f>
        <v/>
      </c>
      <c r="L25" s="41">
        <f>'Data Entry'!AB10019</f>
        <v/>
      </c>
      <c r="M25" s="41">
        <f>'Data Entry'!AB10015</f>
        <v/>
      </c>
      <c r="N25" s="41">
        <f>'Data Entry'!AB10020</f>
        <v/>
      </c>
      <c r="O25" s="41">
        <f>IF(Settings!C37="","",Settings!C37)</f>
        <v/>
      </c>
      <c r="P25" s="41">
        <f>IF(Settings!D37="","",Settings!D37)</f>
        <v/>
      </c>
      <c r="Q25" s="41">
        <f>IF(Settings!E37="","",Settings!E37)</f>
        <v/>
      </c>
      <c r="R25" s="42">
        <f>IF(OR(Q25="",P25=""),"",Q25-P25)</f>
        <v/>
      </c>
      <c r="S25" s="42">
        <f>IF(OR(OR(Q25="",P25=""),H25="",H25=0),"",(Q25-P25)/(6*H25))</f>
        <v/>
      </c>
      <c r="T25" s="42">
        <f>IF(OR(OR(Q25="",P25=""),H25="",H25=0),"",MIN(Q25-C25,C25-P25)/(3*H25))</f>
        <v/>
      </c>
      <c r="U25" s="42">
        <f>IF(OR(OR(Q25="",P25=""),I25="",I25=0),"",(Q25-P25)/(6*I25))</f>
        <v/>
      </c>
      <c r="V25" s="42">
        <f>IF(OR(OR(Q25="",P25=""),I25="",I25=0),"",MIN(Q25-C25,C25-P25)/(3*I25))</f>
        <v/>
      </c>
      <c r="W25" s="16">
        <f>IF(M25="","",IF(OR(MAX('Data Entry'!$AB$5:$AB$10004)&gt;J25,MIN('Data Entry'!$AB$5:$AB$10004)&lt;L25),"OUT","IN"))</f>
        <v/>
      </c>
      <c r="X25" s="16">
        <f>IF(OR(OR(Q25="",P25=""),B25=0),"",IF(OR(MAX('Data Entry'!$AB$5:$AB$10004)&gt;Q25,MIN('Data Entry'!$AB$5:$AB$10004)&lt;P25),"FAIL","PASS"))</f>
        <v/>
      </c>
      <c r="Y25" s="16">
        <f>IF(T25="","No spec",IF(T25&gt;=1.33,"Capable",IF(T25&gt;=1,"Marginal","Not capable")))</f>
        <v/>
      </c>
    </row>
    <row r="26">
      <c r="A26" s="16">
        <f>IF(Settings!G38="Y",Settings!B38,"")</f>
        <v/>
      </c>
      <c r="B26" s="40">
        <f>'Data Entry'!AC10009</f>
        <v/>
      </c>
      <c r="C26" s="41">
        <f>'Data Entry'!AC10010</f>
        <v/>
      </c>
      <c r="D26" s="41">
        <f>'Data Entry'!AC10021</f>
        <v/>
      </c>
      <c r="E26" s="41">
        <f>'Data Entry'!AC10011</f>
        <v/>
      </c>
      <c r="F26" s="41">
        <f>'Data Entry'!AC10012</f>
        <v/>
      </c>
      <c r="G26" s="41">
        <f>'Data Entry'!AC10013</f>
        <v/>
      </c>
      <c r="H26" s="41">
        <f>'Data Entry'!AC10016</f>
        <v/>
      </c>
      <c r="I26" s="41">
        <f>'Data Entry'!AC10014</f>
        <v/>
      </c>
      <c r="J26" s="41">
        <f>'Data Entry'!AC10017</f>
        <v/>
      </c>
      <c r="K26" s="41">
        <f>'Data Entry'!AC10018</f>
        <v/>
      </c>
      <c r="L26" s="41">
        <f>'Data Entry'!AC10019</f>
        <v/>
      </c>
      <c r="M26" s="41">
        <f>'Data Entry'!AC10015</f>
        <v/>
      </c>
      <c r="N26" s="41">
        <f>'Data Entry'!AC10020</f>
        <v/>
      </c>
      <c r="O26" s="41">
        <f>IF(Settings!C38="","",Settings!C38)</f>
        <v/>
      </c>
      <c r="P26" s="41">
        <f>IF(Settings!D38="","",Settings!D38)</f>
        <v/>
      </c>
      <c r="Q26" s="41">
        <f>IF(Settings!E38="","",Settings!E38)</f>
        <v/>
      </c>
      <c r="R26" s="42">
        <f>IF(OR(Q26="",P26=""),"",Q26-P26)</f>
        <v/>
      </c>
      <c r="S26" s="42">
        <f>IF(OR(OR(Q26="",P26=""),H26="",H26=0),"",(Q26-P26)/(6*H26))</f>
        <v/>
      </c>
      <c r="T26" s="42">
        <f>IF(OR(OR(Q26="",P26=""),H26="",H26=0),"",MIN(Q26-C26,C26-P26)/(3*H26))</f>
        <v/>
      </c>
      <c r="U26" s="42">
        <f>IF(OR(OR(Q26="",P26=""),I26="",I26=0),"",(Q26-P26)/(6*I26))</f>
        <v/>
      </c>
      <c r="V26" s="42">
        <f>IF(OR(OR(Q26="",P26=""),I26="",I26=0),"",MIN(Q26-C26,C26-P26)/(3*I26))</f>
        <v/>
      </c>
      <c r="W26" s="16">
        <f>IF(M26="","",IF(OR(MAX('Data Entry'!$AC$5:$AC$10004)&gt;J26,MIN('Data Entry'!$AC$5:$AC$10004)&lt;L26),"OUT","IN"))</f>
        <v/>
      </c>
      <c r="X26" s="16">
        <f>IF(OR(OR(Q26="",P26=""),B26=0),"",IF(OR(MAX('Data Entry'!$AC$5:$AC$10004)&gt;Q26,MIN('Data Entry'!$AC$5:$AC$10004)&lt;P26),"FAIL","PASS"))</f>
        <v/>
      </c>
      <c r="Y26" s="16">
        <f>IF(T26="","No spec",IF(T26&gt;=1.33,"Capable",IF(T26&gt;=1,"Marginal","Not capable")))</f>
        <v/>
      </c>
    </row>
    <row r="27">
      <c r="A27" s="16">
        <f>IF(Settings!G39="Y",Settings!B39,"")</f>
        <v/>
      </c>
      <c r="B27" s="40">
        <f>'Data Entry'!AD10009</f>
        <v/>
      </c>
      <c r="C27" s="41">
        <f>'Data Entry'!AD10010</f>
        <v/>
      </c>
      <c r="D27" s="41">
        <f>'Data Entry'!AD10021</f>
        <v/>
      </c>
      <c r="E27" s="41">
        <f>'Data Entry'!AD10011</f>
        <v/>
      </c>
      <c r="F27" s="41">
        <f>'Data Entry'!AD10012</f>
        <v/>
      </c>
      <c r="G27" s="41">
        <f>'Data Entry'!AD10013</f>
        <v/>
      </c>
      <c r="H27" s="41">
        <f>'Data Entry'!AD10016</f>
        <v/>
      </c>
      <c r="I27" s="41">
        <f>'Data Entry'!AD10014</f>
        <v/>
      </c>
      <c r="J27" s="41">
        <f>'Data Entry'!AD10017</f>
        <v/>
      </c>
      <c r="K27" s="41">
        <f>'Data Entry'!AD10018</f>
        <v/>
      </c>
      <c r="L27" s="41">
        <f>'Data Entry'!AD10019</f>
        <v/>
      </c>
      <c r="M27" s="41">
        <f>'Data Entry'!AD10015</f>
        <v/>
      </c>
      <c r="N27" s="41">
        <f>'Data Entry'!AD10020</f>
        <v/>
      </c>
      <c r="O27" s="41">
        <f>IF(Settings!C39="","",Settings!C39)</f>
        <v/>
      </c>
      <c r="P27" s="41">
        <f>IF(Settings!D39="","",Settings!D39)</f>
        <v/>
      </c>
      <c r="Q27" s="41">
        <f>IF(Settings!E39="","",Settings!E39)</f>
        <v/>
      </c>
      <c r="R27" s="42">
        <f>IF(OR(Q27="",P27=""),"",Q27-P27)</f>
        <v/>
      </c>
      <c r="S27" s="42">
        <f>IF(OR(OR(Q27="",P27=""),H27="",H27=0),"",(Q27-P27)/(6*H27))</f>
        <v/>
      </c>
      <c r="T27" s="42">
        <f>IF(OR(OR(Q27="",P27=""),H27="",H27=0),"",MIN(Q27-C27,C27-P27)/(3*H27))</f>
        <v/>
      </c>
      <c r="U27" s="42">
        <f>IF(OR(OR(Q27="",P27=""),I27="",I27=0),"",(Q27-P27)/(6*I27))</f>
        <v/>
      </c>
      <c r="V27" s="42">
        <f>IF(OR(OR(Q27="",P27=""),I27="",I27=0),"",MIN(Q27-C27,C27-P27)/(3*I27))</f>
        <v/>
      </c>
      <c r="W27" s="16">
        <f>IF(M27="","",IF(OR(MAX('Data Entry'!$AD$5:$AD$10004)&gt;J27,MIN('Data Entry'!$AD$5:$AD$10004)&lt;L27),"OUT","IN"))</f>
        <v/>
      </c>
      <c r="X27" s="16">
        <f>IF(OR(OR(Q27="",P27=""),B27=0),"",IF(OR(MAX('Data Entry'!$AD$5:$AD$10004)&gt;Q27,MIN('Data Entry'!$AD$5:$AD$10004)&lt;P27),"FAIL","PASS"))</f>
        <v/>
      </c>
      <c r="Y27" s="16">
        <f>IF(T27="","No spec",IF(T27&gt;=1.33,"Capable",IF(T27&gt;=1,"Marginal","Not capable")))</f>
        <v/>
      </c>
    </row>
    <row r="28">
      <c r="A28" s="16">
        <f>IF(Settings!G40="Y",Settings!B40,"")</f>
        <v/>
      </c>
      <c r="B28" s="40">
        <f>'Data Entry'!AE10009</f>
        <v/>
      </c>
      <c r="C28" s="41">
        <f>'Data Entry'!AE10010</f>
        <v/>
      </c>
      <c r="D28" s="41">
        <f>'Data Entry'!AE10021</f>
        <v/>
      </c>
      <c r="E28" s="41">
        <f>'Data Entry'!AE10011</f>
        <v/>
      </c>
      <c r="F28" s="41">
        <f>'Data Entry'!AE10012</f>
        <v/>
      </c>
      <c r="G28" s="41">
        <f>'Data Entry'!AE10013</f>
        <v/>
      </c>
      <c r="H28" s="41">
        <f>'Data Entry'!AE10016</f>
        <v/>
      </c>
      <c r="I28" s="41">
        <f>'Data Entry'!AE10014</f>
        <v/>
      </c>
      <c r="J28" s="41">
        <f>'Data Entry'!AE10017</f>
        <v/>
      </c>
      <c r="K28" s="41">
        <f>'Data Entry'!AE10018</f>
        <v/>
      </c>
      <c r="L28" s="41">
        <f>'Data Entry'!AE10019</f>
        <v/>
      </c>
      <c r="M28" s="41">
        <f>'Data Entry'!AE10015</f>
        <v/>
      </c>
      <c r="N28" s="41">
        <f>'Data Entry'!AE10020</f>
        <v/>
      </c>
      <c r="O28" s="41">
        <f>IF(Settings!C40="","",Settings!C40)</f>
        <v/>
      </c>
      <c r="P28" s="41">
        <f>IF(Settings!D40="","",Settings!D40)</f>
        <v/>
      </c>
      <c r="Q28" s="41">
        <f>IF(Settings!E40="","",Settings!E40)</f>
        <v/>
      </c>
      <c r="R28" s="42">
        <f>IF(OR(Q28="",P28=""),"",Q28-P28)</f>
        <v/>
      </c>
      <c r="S28" s="42">
        <f>IF(OR(OR(Q28="",P28=""),H28="",H28=0),"",(Q28-P28)/(6*H28))</f>
        <v/>
      </c>
      <c r="T28" s="42">
        <f>IF(OR(OR(Q28="",P28=""),H28="",H28=0),"",MIN(Q28-C28,C28-P28)/(3*H28))</f>
        <v/>
      </c>
      <c r="U28" s="42">
        <f>IF(OR(OR(Q28="",P28=""),I28="",I28=0),"",(Q28-P28)/(6*I28))</f>
        <v/>
      </c>
      <c r="V28" s="42">
        <f>IF(OR(OR(Q28="",P28=""),I28="",I28=0),"",MIN(Q28-C28,C28-P28)/(3*I28))</f>
        <v/>
      </c>
      <c r="W28" s="16">
        <f>IF(M28="","",IF(OR(MAX('Data Entry'!$AE$5:$AE$10004)&gt;J28,MIN('Data Entry'!$AE$5:$AE$10004)&lt;L28),"OUT","IN"))</f>
        <v/>
      </c>
      <c r="X28" s="16">
        <f>IF(OR(OR(Q28="",P28=""),B28=0),"",IF(OR(MAX('Data Entry'!$AE$5:$AE$10004)&gt;Q28,MIN('Data Entry'!$AE$5:$AE$10004)&lt;P28),"FAIL","PASS"))</f>
        <v/>
      </c>
      <c r="Y28" s="16">
        <f>IF(T28="","No spec",IF(T28&gt;=1.33,"Capable",IF(T28&gt;=1,"Marginal","Not capable")))</f>
        <v/>
      </c>
    </row>
    <row r="29">
      <c r="A29" s="16">
        <f>IF(Settings!G41="Y",Settings!B41,"")</f>
        <v/>
      </c>
      <c r="B29" s="40">
        <f>'Data Entry'!AF10009</f>
        <v/>
      </c>
      <c r="C29" s="41">
        <f>'Data Entry'!AF10010</f>
        <v/>
      </c>
      <c r="D29" s="41">
        <f>'Data Entry'!AF10021</f>
        <v/>
      </c>
      <c r="E29" s="41">
        <f>'Data Entry'!AF10011</f>
        <v/>
      </c>
      <c r="F29" s="41">
        <f>'Data Entry'!AF10012</f>
        <v/>
      </c>
      <c r="G29" s="41">
        <f>'Data Entry'!AF10013</f>
        <v/>
      </c>
      <c r="H29" s="41">
        <f>'Data Entry'!AF10016</f>
        <v/>
      </c>
      <c r="I29" s="41">
        <f>'Data Entry'!AF10014</f>
        <v/>
      </c>
      <c r="J29" s="41">
        <f>'Data Entry'!AF10017</f>
        <v/>
      </c>
      <c r="K29" s="41">
        <f>'Data Entry'!AF10018</f>
        <v/>
      </c>
      <c r="L29" s="41">
        <f>'Data Entry'!AF10019</f>
        <v/>
      </c>
      <c r="M29" s="41">
        <f>'Data Entry'!AF10015</f>
        <v/>
      </c>
      <c r="N29" s="41">
        <f>'Data Entry'!AF10020</f>
        <v/>
      </c>
      <c r="O29" s="41">
        <f>IF(Settings!C41="","",Settings!C41)</f>
        <v/>
      </c>
      <c r="P29" s="41">
        <f>IF(Settings!D41="","",Settings!D41)</f>
        <v/>
      </c>
      <c r="Q29" s="41">
        <f>IF(Settings!E41="","",Settings!E41)</f>
        <v/>
      </c>
      <c r="R29" s="42">
        <f>IF(OR(Q29="",P29=""),"",Q29-P29)</f>
        <v/>
      </c>
      <c r="S29" s="42">
        <f>IF(OR(OR(Q29="",P29=""),H29="",H29=0),"",(Q29-P29)/(6*H29))</f>
        <v/>
      </c>
      <c r="T29" s="42">
        <f>IF(OR(OR(Q29="",P29=""),H29="",H29=0),"",MIN(Q29-C29,C29-P29)/(3*H29))</f>
        <v/>
      </c>
      <c r="U29" s="42">
        <f>IF(OR(OR(Q29="",P29=""),I29="",I29=0),"",(Q29-P29)/(6*I29))</f>
        <v/>
      </c>
      <c r="V29" s="42">
        <f>IF(OR(OR(Q29="",P29=""),I29="",I29=0),"",MIN(Q29-C29,C29-P29)/(3*I29))</f>
        <v/>
      </c>
      <c r="W29" s="16">
        <f>IF(M29="","",IF(OR(MAX('Data Entry'!$AF$5:$AF$10004)&gt;J29,MIN('Data Entry'!$AF$5:$AF$10004)&lt;L29),"OUT","IN"))</f>
        <v/>
      </c>
      <c r="X29" s="16">
        <f>IF(OR(OR(Q29="",P29=""),B29=0),"",IF(OR(MAX('Data Entry'!$AF$5:$AF$10004)&gt;Q29,MIN('Data Entry'!$AF$5:$AF$10004)&lt;P29),"FAIL","PASS"))</f>
        <v/>
      </c>
      <c r="Y29" s="16">
        <f>IF(T29="","No spec",IF(T29&gt;=1.33,"Capable",IF(T29&gt;=1,"Marginal","Not capable")))</f>
        <v/>
      </c>
    </row>
    <row r="30">
      <c r="A30" s="16">
        <f>IF(Settings!G42="Y",Settings!B42,"")</f>
        <v/>
      </c>
      <c r="B30" s="40">
        <f>'Data Entry'!AG10009</f>
        <v/>
      </c>
      <c r="C30" s="41">
        <f>'Data Entry'!AG10010</f>
        <v/>
      </c>
      <c r="D30" s="41">
        <f>'Data Entry'!AG10021</f>
        <v/>
      </c>
      <c r="E30" s="41">
        <f>'Data Entry'!AG10011</f>
        <v/>
      </c>
      <c r="F30" s="41">
        <f>'Data Entry'!AG10012</f>
        <v/>
      </c>
      <c r="G30" s="41">
        <f>'Data Entry'!AG10013</f>
        <v/>
      </c>
      <c r="H30" s="41">
        <f>'Data Entry'!AG10016</f>
        <v/>
      </c>
      <c r="I30" s="41">
        <f>'Data Entry'!AG10014</f>
        <v/>
      </c>
      <c r="J30" s="41">
        <f>'Data Entry'!AG10017</f>
        <v/>
      </c>
      <c r="K30" s="41">
        <f>'Data Entry'!AG10018</f>
        <v/>
      </c>
      <c r="L30" s="41">
        <f>'Data Entry'!AG10019</f>
        <v/>
      </c>
      <c r="M30" s="41">
        <f>'Data Entry'!AG10015</f>
        <v/>
      </c>
      <c r="N30" s="41">
        <f>'Data Entry'!AG10020</f>
        <v/>
      </c>
      <c r="O30" s="41">
        <f>IF(Settings!C42="","",Settings!C42)</f>
        <v/>
      </c>
      <c r="P30" s="41">
        <f>IF(Settings!D42="","",Settings!D42)</f>
        <v/>
      </c>
      <c r="Q30" s="41">
        <f>IF(Settings!E42="","",Settings!E42)</f>
        <v/>
      </c>
      <c r="R30" s="42">
        <f>IF(OR(Q30="",P30=""),"",Q30-P30)</f>
        <v/>
      </c>
      <c r="S30" s="42">
        <f>IF(OR(OR(Q30="",P30=""),H30="",H30=0),"",(Q30-P30)/(6*H30))</f>
        <v/>
      </c>
      <c r="T30" s="42">
        <f>IF(OR(OR(Q30="",P30=""),H30="",H30=0),"",MIN(Q30-C30,C30-P30)/(3*H30))</f>
        <v/>
      </c>
      <c r="U30" s="42">
        <f>IF(OR(OR(Q30="",P30=""),I30="",I30=0),"",(Q30-P30)/(6*I30))</f>
        <v/>
      </c>
      <c r="V30" s="42">
        <f>IF(OR(OR(Q30="",P30=""),I30="",I30=0),"",MIN(Q30-C30,C30-P30)/(3*I30))</f>
        <v/>
      </c>
      <c r="W30" s="16">
        <f>IF(M30="","",IF(OR(MAX('Data Entry'!$AG$5:$AG$10004)&gt;J30,MIN('Data Entry'!$AG$5:$AG$10004)&lt;L30),"OUT","IN"))</f>
        <v/>
      </c>
      <c r="X30" s="16">
        <f>IF(OR(OR(Q30="",P30=""),B30=0),"",IF(OR(MAX('Data Entry'!$AG$5:$AG$10004)&gt;Q30,MIN('Data Entry'!$AG$5:$AG$10004)&lt;P30),"FAIL","PASS"))</f>
        <v/>
      </c>
      <c r="Y30" s="16">
        <f>IF(T30="","No spec",IF(T30&gt;=1.33,"Capable",IF(T30&gt;=1,"Marginal","Not capable")))</f>
        <v/>
      </c>
    </row>
    <row r="31">
      <c r="A31" s="16">
        <f>IF(Settings!G43="Y",Settings!B43,"")</f>
        <v/>
      </c>
      <c r="B31" s="40">
        <f>'Data Entry'!AH10009</f>
        <v/>
      </c>
      <c r="C31" s="41">
        <f>'Data Entry'!AH10010</f>
        <v/>
      </c>
      <c r="D31" s="41">
        <f>'Data Entry'!AH10021</f>
        <v/>
      </c>
      <c r="E31" s="41">
        <f>'Data Entry'!AH10011</f>
        <v/>
      </c>
      <c r="F31" s="41">
        <f>'Data Entry'!AH10012</f>
        <v/>
      </c>
      <c r="G31" s="41">
        <f>'Data Entry'!AH10013</f>
        <v/>
      </c>
      <c r="H31" s="41">
        <f>'Data Entry'!AH10016</f>
        <v/>
      </c>
      <c r="I31" s="41">
        <f>'Data Entry'!AH10014</f>
        <v/>
      </c>
      <c r="J31" s="41">
        <f>'Data Entry'!AH10017</f>
        <v/>
      </c>
      <c r="K31" s="41">
        <f>'Data Entry'!AH10018</f>
        <v/>
      </c>
      <c r="L31" s="41">
        <f>'Data Entry'!AH10019</f>
        <v/>
      </c>
      <c r="M31" s="41">
        <f>'Data Entry'!AH10015</f>
        <v/>
      </c>
      <c r="N31" s="41">
        <f>'Data Entry'!AH10020</f>
        <v/>
      </c>
      <c r="O31" s="41">
        <f>IF(Settings!C43="","",Settings!C43)</f>
        <v/>
      </c>
      <c r="P31" s="41">
        <f>IF(Settings!D43="","",Settings!D43)</f>
        <v/>
      </c>
      <c r="Q31" s="41">
        <f>IF(Settings!E43="","",Settings!E43)</f>
        <v/>
      </c>
      <c r="R31" s="42">
        <f>IF(OR(Q31="",P31=""),"",Q31-P31)</f>
        <v/>
      </c>
      <c r="S31" s="42">
        <f>IF(OR(OR(Q31="",P31=""),H31="",H31=0),"",(Q31-P31)/(6*H31))</f>
        <v/>
      </c>
      <c r="T31" s="42">
        <f>IF(OR(OR(Q31="",P31=""),H31="",H31=0),"",MIN(Q31-C31,C31-P31)/(3*H31))</f>
        <v/>
      </c>
      <c r="U31" s="42">
        <f>IF(OR(OR(Q31="",P31=""),I31="",I31=0),"",(Q31-P31)/(6*I31))</f>
        <v/>
      </c>
      <c r="V31" s="42">
        <f>IF(OR(OR(Q31="",P31=""),I31="",I31=0),"",MIN(Q31-C31,C31-P31)/(3*I31))</f>
        <v/>
      </c>
      <c r="W31" s="16">
        <f>IF(M31="","",IF(OR(MAX('Data Entry'!$AH$5:$AH$10004)&gt;J31,MIN('Data Entry'!$AH$5:$AH$10004)&lt;L31),"OUT","IN"))</f>
        <v/>
      </c>
      <c r="X31" s="16">
        <f>IF(OR(OR(Q31="",P31=""),B31=0),"",IF(OR(MAX('Data Entry'!$AH$5:$AH$10004)&gt;Q31,MIN('Data Entry'!$AH$5:$AH$10004)&lt;P31),"FAIL","PASS"))</f>
        <v/>
      </c>
      <c r="Y31" s="16">
        <f>IF(T31="","No spec",IF(T31&gt;=1.33,"Capable",IF(T31&gt;=1,"Marginal","Not capable")))</f>
        <v/>
      </c>
    </row>
    <row r="32">
      <c r="A32" s="16">
        <f>IF(Settings!G44="Y",Settings!B44,"")</f>
        <v/>
      </c>
      <c r="B32" s="40">
        <f>'Data Entry'!AI10009</f>
        <v/>
      </c>
      <c r="C32" s="41">
        <f>'Data Entry'!AI10010</f>
        <v/>
      </c>
      <c r="D32" s="41">
        <f>'Data Entry'!AI10021</f>
        <v/>
      </c>
      <c r="E32" s="41">
        <f>'Data Entry'!AI10011</f>
        <v/>
      </c>
      <c r="F32" s="41">
        <f>'Data Entry'!AI10012</f>
        <v/>
      </c>
      <c r="G32" s="41">
        <f>'Data Entry'!AI10013</f>
        <v/>
      </c>
      <c r="H32" s="41">
        <f>'Data Entry'!AI10016</f>
        <v/>
      </c>
      <c r="I32" s="41">
        <f>'Data Entry'!AI10014</f>
        <v/>
      </c>
      <c r="J32" s="41">
        <f>'Data Entry'!AI10017</f>
        <v/>
      </c>
      <c r="K32" s="41">
        <f>'Data Entry'!AI10018</f>
        <v/>
      </c>
      <c r="L32" s="41">
        <f>'Data Entry'!AI10019</f>
        <v/>
      </c>
      <c r="M32" s="41">
        <f>'Data Entry'!AI10015</f>
        <v/>
      </c>
      <c r="N32" s="41">
        <f>'Data Entry'!AI10020</f>
        <v/>
      </c>
      <c r="O32" s="41">
        <f>IF(Settings!C44="","",Settings!C44)</f>
        <v/>
      </c>
      <c r="P32" s="41">
        <f>IF(Settings!D44="","",Settings!D44)</f>
        <v/>
      </c>
      <c r="Q32" s="41">
        <f>IF(Settings!E44="","",Settings!E44)</f>
        <v/>
      </c>
      <c r="R32" s="42">
        <f>IF(OR(Q32="",P32=""),"",Q32-P32)</f>
        <v/>
      </c>
      <c r="S32" s="42">
        <f>IF(OR(OR(Q32="",P32=""),H32="",H32=0),"",(Q32-P32)/(6*H32))</f>
        <v/>
      </c>
      <c r="T32" s="42">
        <f>IF(OR(OR(Q32="",P32=""),H32="",H32=0),"",MIN(Q32-C32,C32-P32)/(3*H32))</f>
        <v/>
      </c>
      <c r="U32" s="42">
        <f>IF(OR(OR(Q32="",P32=""),I32="",I32=0),"",(Q32-P32)/(6*I32))</f>
        <v/>
      </c>
      <c r="V32" s="42">
        <f>IF(OR(OR(Q32="",P32=""),I32="",I32=0),"",MIN(Q32-C32,C32-P32)/(3*I32))</f>
        <v/>
      </c>
      <c r="W32" s="16">
        <f>IF(M32="","",IF(OR(MAX('Data Entry'!$AI$5:$AI$10004)&gt;J32,MIN('Data Entry'!$AI$5:$AI$10004)&lt;L32),"OUT","IN"))</f>
        <v/>
      </c>
      <c r="X32" s="16">
        <f>IF(OR(OR(Q32="",P32=""),B32=0),"",IF(OR(MAX('Data Entry'!$AI$5:$AI$10004)&gt;Q32,MIN('Data Entry'!$AI$5:$AI$10004)&lt;P32),"FAIL","PASS"))</f>
        <v/>
      </c>
      <c r="Y32" s="16">
        <f>IF(T32="","No spec",IF(T32&gt;=1.33,"Capable",IF(T32&gt;=1,"Marginal","Not capable")))</f>
        <v/>
      </c>
    </row>
    <row r="33">
      <c r="A33" s="16">
        <f>IF(Settings!G45="Y",Settings!B45,"")</f>
        <v/>
      </c>
      <c r="B33" s="40">
        <f>'Data Entry'!AJ10009</f>
        <v/>
      </c>
      <c r="C33" s="41">
        <f>'Data Entry'!AJ10010</f>
        <v/>
      </c>
      <c r="D33" s="41">
        <f>'Data Entry'!AJ10021</f>
        <v/>
      </c>
      <c r="E33" s="41">
        <f>'Data Entry'!AJ10011</f>
        <v/>
      </c>
      <c r="F33" s="41">
        <f>'Data Entry'!AJ10012</f>
        <v/>
      </c>
      <c r="G33" s="41">
        <f>'Data Entry'!AJ10013</f>
        <v/>
      </c>
      <c r="H33" s="41">
        <f>'Data Entry'!AJ10016</f>
        <v/>
      </c>
      <c r="I33" s="41">
        <f>'Data Entry'!AJ10014</f>
        <v/>
      </c>
      <c r="J33" s="41">
        <f>'Data Entry'!AJ10017</f>
        <v/>
      </c>
      <c r="K33" s="41">
        <f>'Data Entry'!AJ10018</f>
        <v/>
      </c>
      <c r="L33" s="41">
        <f>'Data Entry'!AJ10019</f>
        <v/>
      </c>
      <c r="M33" s="41">
        <f>'Data Entry'!AJ10015</f>
        <v/>
      </c>
      <c r="N33" s="41">
        <f>'Data Entry'!AJ10020</f>
        <v/>
      </c>
      <c r="O33" s="41">
        <f>IF(Settings!C45="","",Settings!C45)</f>
        <v/>
      </c>
      <c r="P33" s="41">
        <f>IF(Settings!D45="","",Settings!D45)</f>
        <v/>
      </c>
      <c r="Q33" s="41">
        <f>IF(Settings!E45="","",Settings!E45)</f>
        <v/>
      </c>
      <c r="R33" s="42">
        <f>IF(OR(Q33="",P33=""),"",Q33-P33)</f>
        <v/>
      </c>
      <c r="S33" s="42">
        <f>IF(OR(OR(Q33="",P33=""),H33="",H33=0),"",(Q33-P33)/(6*H33))</f>
        <v/>
      </c>
      <c r="T33" s="42">
        <f>IF(OR(OR(Q33="",P33=""),H33="",H33=0),"",MIN(Q33-C33,C33-P33)/(3*H33))</f>
        <v/>
      </c>
      <c r="U33" s="42">
        <f>IF(OR(OR(Q33="",P33=""),I33="",I33=0),"",(Q33-P33)/(6*I33))</f>
        <v/>
      </c>
      <c r="V33" s="42">
        <f>IF(OR(OR(Q33="",P33=""),I33="",I33=0),"",MIN(Q33-C33,C33-P33)/(3*I33))</f>
        <v/>
      </c>
      <c r="W33" s="16">
        <f>IF(M33="","",IF(OR(MAX('Data Entry'!$AJ$5:$AJ$10004)&gt;J33,MIN('Data Entry'!$AJ$5:$AJ$10004)&lt;L33),"OUT","IN"))</f>
        <v/>
      </c>
      <c r="X33" s="16">
        <f>IF(OR(OR(Q33="",P33=""),B33=0),"",IF(OR(MAX('Data Entry'!$AJ$5:$AJ$10004)&gt;Q33,MIN('Data Entry'!$AJ$5:$AJ$10004)&lt;P33),"FAIL","PASS"))</f>
        <v/>
      </c>
      <c r="Y33" s="16">
        <f>IF(T33="","No spec",IF(T33&gt;=1.33,"Capable",IF(T33&gt;=1,"Marginal","Not capable")))</f>
        <v/>
      </c>
    </row>
    <row r="34">
      <c r="A34" s="16">
        <f>IF(Settings!G46="Y",Settings!B46,"")</f>
        <v/>
      </c>
      <c r="B34" s="40">
        <f>'Data Entry'!AK10009</f>
        <v/>
      </c>
      <c r="C34" s="41">
        <f>'Data Entry'!AK10010</f>
        <v/>
      </c>
      <c r="D34" s="41">
        <f>'Data Entry'!AK10021</f>
        <v/>
      </c>
      <c r="E34" s="41">
        <f>'Data Entry'!AK10011</f>
        <v/>
      </c>
      <c r="F34" s="41">
        <f>'Data Entry'!AK10012</f>
        <v/>
      </c>
      <c r="G34" s="41">
        <f>'Data Entry'!AK10013</f>
        <v/>
      </c>
      <c r="H34" s="41">
        <f>'Data Entry'!AK10016</f>
        <v/>
      </c>
      <c r="I34" s="41">
        <f>'Data Entry'!AK10014</f>
        <v/>
      </c>
      <c r="J34" s="41">
        <f>'Data Entry'!AK10017</f>
        <v/>
      </c>
      <c r="K34" s="41">
        <f>'Data Entry'!AK10018</f>
        <v/>
      </c>
      <c r="L34" s="41">
        <f>'Data Entry'!AK10019</f>
        <v/>
      </c>
      <c r="M34" s="41">
        <f>'Data Entry'!AK10015</f>
        <v/>
      </c>
      <c r="N34" s="41">
        <f>'Data Entry'!AK10020</f>
        <v/>
      </c>
      <c r="O34" s="41">
        <f>IF(Settings!C46="","",Settings!C46)</f>
        <v/>
      </c>
      <c r="P34" s="41">
        <f>IF(Settings!D46="","",Settings!D46)</f>
        <v/>
      </c>
      <c r="Q34" s="41">
        <f>IF(Settings!E46="","",Settings!E46)</f>
        <v/>
      </c>
      <c r="R34" s="42">
        <f>IF(OR(Q34="",P34=""),"",Q34-P34)</f>
        <v/>
      </c>
      <c r="S34" s="42">
        <f>IF(OR(OR(Q34="",P34=""),H34="",H34=0),"",(Q34-P34)/(6*H34))</f>
        <v/>
      </c>
      <c r="T34" s="42">
        <f>IF(OR(OR(Q34="",P34=""),H34="",H34=0),"",MIN(Q34-C34,C34-P34)/(3*H34))</f>
        <v/>
      </c>
      <c r="U34" s="42">
        <f>IF(OR(OR(Q34="",P34=""),I34="",I34=0),"",(Q34-P34)/(6*I34))</f>
        <v/>
      </c>
      <c r="V34" s="42">
        <f>IF(OR(OR(Q34="",P34=""),I34="",I34=0),"",MIN(Q34-C34,C34-P34)/(3*I34))</f>
        <v/>
      </c>
      <c r="W34" s="16">
        <f>IF(M34="","",IF(OR(MAX('Data Entry'!$AK$5:$AK$10004)&gt;J34,MIN('Data Entry'!$AK$5:$AK$10004)&lt;L34),"OUT","IN"))</f>
        <v/>
      </c>
      <c r="X34" s="16">
        <f>IF(OR(OR(Q34="",P34=""),B34=0),"",IF(OR(MAX('Data Entry'!$AK$5:$AK$10004)&gt;Q34,MIN('Data Entry'!$AK$5:$AK$10004)&lt;P34),"FAIL","PASS"))</f>
        <v/>
      </c>
      <c r="Y34" s="16">
        <f>IF(T34="","No spec",IF(T34&gt;=1.33,"Capable",IF(T34&gt;=1,"Marginal","Not capable")))</f>
        <v/>
      </c>
    </row>
    <row r="35">
      <c r="A35" s="16">
        <f>IF(Settings!G47="Y",Settings!B47,"")</f>
        <v/>
      </c>
      <c r="B35" s="40">
        <f>'Data Entry'!AL10009</f>
        <v/>
      </c>
      <c r="C35" s="41">
        <f>'Data Entry'!AL10010</f>
        <v/>
      </c>
      <c r="D35" s="41">
        <f>'Data Entry'!AL10021</f>
        <v/>
      </c>
      <c r="E35" s="41">
        <f>'Data Entry'!AL10011</f>
        <v/>
      </c>
      <c r="F35" s="41">
        <f>'Data Entry'!AL10012</f>
        <v/>
      </c>
      <c r="G35" s="41">
        <f>'Data Entry'!AL10013</f>
        <v/>
      </c>
      <c r="H35" s="41">
        <f>'Data Entry'!AL10016</f>
        <v/>
      </c>
      <c r="I35" s="41">
        <f>'Data Entry'!AL10014</f>
        <v/>
      </c>
      <c r="J35" s="41">
        <f>'Data Entry'!AL10017</f>
        <v/>
      </c>
      <c r="K35" s="41">
        <f>'Data Entry'!AL10018</f>
        <v/>
      </c>
      <c r="L35" s="41">
        <f>'Data Entry'!AL10019</f>
        <v/>
      </c>
      <c r="M35" s="41">
        <f>'Data Entry'!AL10015</f>
        <v/>
      </c>
      <c r="N35" s="41">
        <f>'Data Entry'!AL10020</f>
        <v/>
      </c>
      <c r="O35" s="41">
        <f>IF(Settings!C47="","",Settings!C47)</f>
        <v/>
      </c>
      <c r="P35" s="41">
        <f>IF(Settings!D47="","",Settings!D47)</f>
        <v/>
      </c>
      <c r="Q35" s="41">
        <f>IF(Settings!E47="","",Settings!E47)</f>
        <v/>
      </c>
      <c r="R35" s="42">
        <f>IF(OR(Q35="",P35=""),"",Q35-P35)</f>
        <v/>
      </c>
      <c r="S35" s="42">
        <f>IF(OR(OR(Q35="",P35=""),H35="",H35=0),"",(Q35-P35)/(6*H35))</f>
        <v/>
      </c>
      <c r="T35" s="42">
        <f>IF(OR(OR(Q35="",P35=""),H35="",H35=0),"",MIN(Q35-C35,C35-P35)/(3*H35))</f>
        <v/>
      </c>
      <c r="U35" s="42">
        <f>IF(OR(OR(Q35="",P35=""),I35="",I35=0),"",(Q35-P35)/(6*I35))</f>
        <v/>
      </c>
      <c r="V35" s="42">
        <f>IF(OR(OR(Q35="",P35=""),I35="",I35=0),"",MIN(Q35-C35,C35-P35)/(3*I35))</f>
        <v/>
      </c>
      <c r="W35" s="16">
        <f>IF(M35="","",IF(OR(MAX('Data Entry'!$AL$5:$AL$10004)&gt;J35,MIN('Data Entry'!$AL$5:$AL$10004)&lt;L35),"OUT","IN"))</f>
        <v/>
      </c>
      <c r="X35" s="16">
        <f>IF(OR(OR(Q35="",P35=""),B35=0),"",IF(OR(MAX('Data Entry'!$AL$5:$AL$10004)&gt;Q35,MIN('Data Entry'!$AL$5:$AL$10004)&lt;P35),"FAIL","PASS"))</f>
        <v/>
      </c>
      <c r="Y35" s="16">
        <f>IF(T35="","No spec",IF(T35&gt;=1.33,"Capable",IF(T35&gt;=1,"Marginal","Not capable")))</f>
        <v/>
      </c>
    </row>
    <row r="36">
      <c r="A36" s="16">
        <f>IF(Settings!G48="Y",Settings!B48,"")</f>
        <v/>
      </c>
      <c r="B36" s="40">
        <f>'Data Entry'!AM10009</f>
        <v/>
      </c>
      <c r="C36" s="41">
        <f>'Data Entry'!AM10010</f>
        <v/>
      </c>
      <c r="D36" s="41">
        <f>'Data Entry'!AM10021</f>
        <v/>
      </c>
      <c r="E36" s="41">
        <f>'Data Entry'!AM10011</f>
        <v/>
      </c>
      <c r="F36" s="41">
        <f>'Data Entry'!AM10012</f>
        <v/>
      </c>
      <c r="G36" s="41">
        <f>'Data Entry'!AM10013</f>
        <v/>
      </c>
      <c r="H36" s="41">
        <f>'Data Entry'!AM10016</f>
        <v/>
      </c>
      <c r="I36" s="41">
        <f>'Data Entry'!AM10014</f>
        <v/>
      </c>
      <c r="J36" s="41">
        <f>'Data Entry'!AM10017</f>
        <v/>
      </c>
      <c r="K36" s="41">
        <f>'Data Entry'!AM10018</f>
        <v/>
      </c>
      <c r="L36" s="41">
        <f>'Data Entry'!AM10019</f>
        <v/>
      </c>
      <c r="M36" s="41">
        <f>'Data Entry'!AM10015</f>
        <v/>
      </c>
      <c r="N36" s="41">
        <f>'Data Entry'!AM10020</f>
        <v/>
      </c>
      <c r="O36" s="41">
        <f>IF(Settings!C48="","",Settings!C48)</f>
        <v/>
      </c>
      <c r="P36" s="41">
        <f>IF(Settings!D48="","",Settings!D48)</f>
        <v/>
      </c>
      <c r="Q36" s="41">
        <f>IF(Settings!E48="","",Settings!E48)</f>
        <v/>
      </c>
      <c r="R36" s="42">
        <f>IF(OR(Q36="",P36=""),"",Q36-P36)</f>
        <v/>
      </c>
      <c r="S36" s="42">
        <f>IF(OR(OR(Q36="",P36=""),H36="",H36=0),"",(Q36-P36)/(6*H36))</f>
        <v/>
      </c>
      <c r="T36" s="42">
        <f>IF(OR(OR(Q36="",P36=""),H36="",H36=0),"",MIN(Q36-C36,C36-P36)/(3*H36))</f>
        <v/>
      </c>
      <c r="U36" s="42">
        <f>IF(OR(OR(Q36="",P36=""),I36="",I36=0),"",(Q36-P36)/(6*I36))</f>
        <v/>
      </c>
      <c r="V36" s="42">
        <f>IF(OR(OR(Q36="",P36=""),I36="",I36=0),"",MIN(Q36-C36,C36-P36)/(3*I36))</f>
        <v/>
      </c>
      <c r="W36" s="16">
        <f>IF(M36="","",IF(OR(MAX('Data Entry'!$AM$5:$AM$10004)&gt;J36,MIN('Data Entry'!$AM$5:$AM$10004)&lt;L36),"OUT","IN"))</f>
        <v/>
      </c>
      <c r="X36" s="16">
        <f>IF(OR(OR(Q36="",P36=""),B36=0),"",IF(OR(MAX('Data Entry'!$AM$5:$AM$10004)&gt;Q36,MIN('Data Entry'!$AM$5:$AM$10004)&lt;P36),"FAIL","PASS"))</f>
        <v/>
      </c>
      <c r="Y36" s="16">
        <f>IF(T36="","No spec",IF(T36&gt;=1.33,"Capable",IF(T36&gt;=1,"Marginal","Not capable")))</f>
        <v/>
      </c>
    </row>
    <row r="37">
      <c r="A37" s="16">
        <f>IF(Settings!G49="Y",Settings!B49,"")</f>
        <v/>
      </c>
      <c r="B37" s="40">
        <f>'Data Entry'!AN10009</f>
        <v/>
      </c>
      <c r="C37" s="41">
        <f>'Data Entry'!AN10010</f>
        <v/>
      </c>
      <c r="D37" s="41">
        <f>'Data Entry'!AN10021</f>
        <v/>
      </c>
      <c r="E37" s="41">
        <f>'Data Entry'!AN10011</f>
        <v/>
      </c>
      <c r="F37" s="41">
        <f>'Data Entry'!AN10012</f>
        <v/>
      </c>
      <c r="G37" s="41">
        <f>'Data Entry'!AN10013</f>
        <v/>
      </c>
      <c r="H37" s="41">
        <f>'Data Entry'!AN10016</f>
        <v/>
      </c>
      <c r="I37" s="41">
        <f>'Data Entry'!AN10014</f>
        <v/>
      </c>
      <c r="J37" s="41">
        <f>'Data Entry'!AN10017</f>
        <v/>
      </c>
      <c r="K37" s="41">
        <f>'Data Entry'!AN10018</f>
        <v/>
      </c>
      <c r="L37" s="41">
        <f>'Data Entry'!AN10019</f>
        <v/>
      </c>
      <c r="M37" s="41">
        <f>'Data Entry'!AN10015</f>
        <v/>
      </c>
      <c r="N37" s="41">
        <f>'Data Entry'!AN10020</f>
        <v/>
      </c>
      <c r="O37" s="41">
        <f>IF(Settings!C49="","",Settings!C49)</f>
        <v/>
      </c>
      <c r="P37" s="41">
        <f>IF(Settings!D49="","",Settings!D49)</f>
        <v/>
      </c>
      <c r="Q37" s="41">
        <f>IF(Settings!E49="","",Settings!E49)</f>
        <v/>
      </c>
      <c r="R37" s="42">
        <f>IF(OR(Q37="",P37=""),"",Q37-P37)</f>
        <v/>
      </c>
      <c r="S37" s="42">
        <f>IF(OR(OR(Q37="",P37=""),H37="",H37=0),"",(Q37-P37)/(6*H37))</f>
        <v/>
      </c>
      <c r="T37" s="42">
        <f>IF(OR(OR(Q37="",P37=""),H37="",H37=0),"",MIN(Q37-C37,C37-P37)/(3*H37))</f>
        <v/>
      </c>
      <c r="U37" s="42">
        <f>IF(OR(OR(Q37="",P37=""),I37="",I37=0),"",(Q37-P37)/(6*I37))</f>
        <v/>
      </c>
      <c r="V37" s="42">
        <f>IF(OR(OR(Q37="",P37=""),I37="",I37=0),"",MIN(Q37-C37,C37-P37)/(3*I37))</f>
        <v/>
      </c>
      <c r="W37" s="16">
        <f>IF(M37="","",IF(OR(MAX('Data Entry'!$AN$5:$AN$10004)&gt;J37,MIN('Data Entry'!$AN$5:$AN$10004)&lt;L37),"OUT","IN"))</f>
        <v/>
      </c>
      <c r="X37" s="16">
        <f>IF(OR(OR(Q37="",P37=""),B37=0),"",IF(OR(MAX('Data Entry'!$AN$5:$AN$10004)&gt;Q37,MIN('Data Entry'!$AN$5:$AN$10004)&lt;P37),"FAIL","PASS"))</f>
        <v/>
      </c>
      <c r="Y37" s="16">
        <f>IF(T37="","No spec",IF(T37&gt;=1.33,"Capable",IF(T37&gt;=1,"Marginal","Not capable")))</f>
        <v/>
      </c>
    </row>
    <row r="38">
      <c r="A38" s="16">
        <f>IF(Settings!G50="Y",Settings!B50,"")</f>
        <v/>
      </c>
      <c r="B38" s="40">
        <f>'Data Entry'!AO10009</f>
        <v/>
      </c>
      <c r="C38" s="41">
        <f>'Data Entry'!AO10010</f>
        <v/>
      </c>
      <c r="D38" s="41">
        <f>'Data Entry'!AO10021</f>
        <v/>
      </c>
      <c r="E38" s="41">
        <f>'Data Entry'!AO10011</f>
        <v/>
      </c>
      <c r="F38" s="41">
        <f>'Data Entry'!AO10012</f>
        <v/>
      </c>
      <c r="G38" s="41">
        <f>'Data Entry'!AO10013</f>
        <v/>
      </c>
      <c r="H38" s="41">
        <f>'Data Entry'!AO10016</f>
        <v/>
      </c>
      <c r="I38" s="41">
        <f>'Data Entry'!AO10014</f>
        <v/>
      </c>
      <c r="J38" s="41">
        <f>'Data Entry'!AO10017</f>
        <v/>
      </c>
      <c r="K38" s="41">
        <f>'Data Entry'!AO10018</f>
        <v/>
      </c>
      <c r="L38" s="41">
        <f>'Data Entry'!AO10019</f>
        <v/>
      </c>
      <c r="M38" s="41">
        <f>'Data Entry'!AO10015</f>
        <v/>
      </c>
      <c r="N38" s="41">
        <f>'Data Entry'!AO10020</f>
        <v/>
      </c>
      <c r="O38" s="41">
        <f>IF(Settings!C50="","",Settings!C50)</f>
        <v/>
      </c>
      <c r="P38" s="41">
        <f>IF(Settings!D50="","",Settings!D50)</f>
        <v/>
      </c>
      <c r="Q38" s="41">
        <f>IF(Settings!E50="","",Settings!E50)</f>
        <v/>
      </c>
      <c r="R38" s="42">
        <f>IF(OR(Q38="",P38=""),"",Q38-P38)</f>
        <v/>
      </c>
      <c r="S38" s="42">
        <f>IF(OR(OR(Q38="",P38=""),H38="",H38=0),"",(Q38-P38)/(6*H38))</f>
        <v/>
      </c>
      <c r="T38" s="42">
        <f>IF(OR(OR(Q38="",P38=""),H38="",H38=0),"",MIN(Q38-C38,C38-P38)/(3*H38))</f>
        <v/>
      </c>
      <c r="U38" s="42">
        <f>IF(OR(OR(Q38="",P38=""),I38="",I38=0),"",(Q38-P38)/(6*I38))</f>
        <v/>
      </c>
      <c r="V38" s="42">
        <f>IF(OR(OR(Q38="",P38=""),I38="",I38=0),"",MIN(Q38-C38,C38-P38)/(3*I38))</f>
        <v/>
      </c>
      <c r="W38" s="16">
        <f>IF(M38="","",IF(OR(MAX('Data Entry'!$AO$5:$AO$10004)&gt;J38,MIN('Data Entry'!$AO$5:$AO$10004)&lt;L38),"OUT","IN"))</f>
        <v/>
      </c>
      <c r="X38" s="16">
        <f>IF(OR(OR(Q38="",P38=""),B38=0),"",IF(OR(MAX('Data Entry'!$AO$5:$AO$10004)&gt;Q38,MIN('Data Entry'!$AO$5:$AO$10004)&lt;P38),"FAIL","PASS"))</f>
        <v/>
      </c>
      <c r="Y38" s="16">
        <f>IF(T38="","No spec",IF(T38&gt;=1.33,"Capable",IF(T38&gt;=1,"Marginal","Not capable")))</f>
        <v/>
      </c>
    </row>
    <row r="39">
      <c r="A39" s="16">
        <f>IF(Settings!G51="Y",Settings!B51,"")</f>
        <v/>
      </c>
      <c r="B39" s="40">
        <f>'Data Entry'!AP10009</f>
        <v/>
      </c>
      <c r="C39" s="41">
        <f>'Data Entry'!AP10010</f>
        <v/>
      </c>
      <c r="D39" s="41">
        <f>'Data Entry'!AP10021</f>
        <v/>
      </c>
      <c r="E39" s="41">
        <f>'Data Entry'!AP10011</f>
        <v/>
      </c>
      <c r="F39" s="41">
        <f>'Data Entry'!AP10012</f>
        <v/>
      </c>
      <c r="G39" s="41">
        <f>'Data Entry'!AP10013</f>
        <v/>
      </c>
      <c r="H39" s="41">
        <f>'Data Entry'!AP10016</f>
        <v/>
      </c>
      <c r="I39" s="41">
        <f>'Data Entry'!AP10014</f>
        <v/>
      </c>
      <c r="J39" s="41">
        <f>'Data Entry'!AP10017</f>
        <v/>
      </c>
      <c r="K39" s="41">
        <f>'Data Entry'!AP10018</f>
        <v/>
      </c>
      <c r="L39" s="41">
        <f>'Data Entry'!AP10019</f>
        <v/>
      </c>
      <c r="M39" s="41">
        <f>'Data Entry'!AP10015</f>
        <v/>
      </c>
      <c r="N39" s="41">
        <f>'Data Entry'!AP10020</f>
        <v/>
      </c>
      <c r="O39" s="41">
        <f>IF(Settings!C51="","",Settings!C51)</f>
        <v/>
      </c>
      <c r="P39" s="41">
        <f>IF(Settings!D51="","",Settings!D51)</f>
        <v/>
      </c>
      <c r="Q39" s="41">
        <f>IF(Settings!E51="","",Settings!E51)</f>
        <v/>
      </c>
      <c r="R39" s="42">
        <f>IF(OR(Q39="",P39=""),"",Q39-P39)</f>
        <v/>
      </c>
      <c r="S39" s="42">
        <f>IF(OR(OR(Q39="",P39=""),H39="",H39=0),"",(Q39-P39)/(6*H39))</f>
        <v/>
      </c>
      <c r="T39" s="42">
        <f>IF(OR(OR(Q39="",P39=""),H39="",H39=0),"",MIN(Q39-C39,C39-P39)/(3*H39))</f>
        <v/>
      </c>
      <c r="U39" s="42">
        <f>IF(OR(OR(Q39="",P39=""),I39="",I39=0),"",(Q39-P39)/(6*I39))</f>
        <v/>
      </c>
      <c r="V39" s="42">
        <f>IF(OR(OR(Q39="",P39=""),I39="",I39=0),"",MIN(Q39-C39,C39-P39)/(3*I39))</f>
        <v/>
      </c>
      <c r="W39" s="16">
        <f>IF(M39="","",IF(OR(MAX('Data Entry'!$AP$5:$AP$10004)&gt;J39,MIN('Data Entry'!$AP$5:$AP$10004)&lt;L39),"OUT","IN"))</f>
        <v/>
      </c>
      <c r="X39" s="16">
        <f>IF(OR(OR(Q39="",P39=""),B39=0),"",IF(OR(MAX('Data Entry'!$AP$5:$AP$10004)&gt;Q39,MIN('Data Entry'!$AP$5:$AP$10004)&lt;P39),"FAIL","PASS"))</f>
        <v/>
      </c>
      <c r="Y39" s="16">
        <f>IF(T39="","No spec",IF(T39&gt;=1.33,"Capable",IF(T39&gt;=1,"Marginal","Not capable")))</f>
        <v/>
      </c>
    </row>
    <row r="40">
      <c r="A40" s="16">
        <f>IF(Settings!G52="Y",Settings!B52,"")</f>
        <v/>
      </c>
      <c r="B40" s="40">
        <f>'Data Entry'!AQ10009</f>
        <v/>
      </c>
      <c r="C40" s="41">
        <f>'Data Entry'!AQ10010</f>
        <v/>
      </c>
      <c r="D40" s="41">
        <f>'Data Entry'!AQ10021</f>
        <v/>
      </c>
      <c r="E40" s="41">
        <f>'Data Entry'!AQ10011</f>
        <v/>
      </c>
      <c r="F40" s="41">
        <f>'Data Entry'!AQ10012</f>
        <v/>
      </c>
      <c r="G40" s="41">
        <f>'Data Entry'!AQ10013</f>
        <v/>
      </c>
      <c r="H40" s="41">
        <f>'Data Entry'!AQ10016</f>
        <v/>
      </c>
      <c r="I40" s="41">
        <f>'Data Entry'!AQ10014</f>
        <v/>
      </c>
      <c r="J40" s="41">
        <f>'Data Entry'!AQ10017</f>
        <v/>
      </c>
      <c r="K40" s="41">
        <f>'Data Entry'!AQ10018</f>
        <v/>
      </c>
      <c r="L40" s="41">
        <f>'Data Entry'!AQ10019</f>
        <v/>
      </c>
      <c r="M40" s="41">
        <f>'Data Entry'!AQ10015</f>
        <v/>
      </c>
      <c r="N40" s="41">
        <f>'Data Entry'!AQ10020</f>
        <v/>
      </c>
      <c r="O40" s="41">
        <f>IF(Settings!C52="","",Settings!C52)</f>
        <v/>
      </c>
      <c r="P40" s="41">
        <f>IF(Settings!D52="","",Settings!D52)</f>
        <v/>
      </c>
      <c r="Q40" s="41">
        <f>IF(Settings!E52="","",Settings!E52)</f>
        <v/>
      </c>
      <c r="R40" s="42">
        <f>IF(OR(Q40="",P40=""),"",Q40-P40)</f>
        <v/>
      </c>
      <c r="S40" s="42">
        <f>IF(OR(OR(Q40="",P40=""),H40="",H40=0),"",(Q40-P40)/(6*H40))</f>
        <v/>
      </c>
      <c r="T40" s="42">
        <f>IF(OR(OR(Q40="",P40=""),H40="",H40=0),"",MIN(Q40-C40,C40-P40)/(3*H40))</f>
        <v/>
      </c>
      <c r="U40" s="42">
        <f>IF(OR(OR(Q40="",P40=""),I40="",I40=0),"",(Q40-P40)/(6*I40))</f>
        <v/>
      </c>
      <c r="V40" s="42">
        <f>IF(OR(OR(Q40="",P40=""),I40="",I40=0),"",MIN(Q40-C40,C40-P40)/(3*I40))</f>
        <v/>
      </c>
      <c r="W40" s="16">
        <f>IF(M40="","",IF(OR(MAX('Data Entry'!$AQ$5:$AQ$10004)&gt;J40,MIN('Data Entry'!$AQ$5:$AQ$10004)&lt;L40),"OUT","IN"))</f>
        <v/>
      </c>
      <c r="X40" s="16">
        <f>IF(OR(OR(Q40="",P40=""),B40=0),"",IF(OR(MAX('Data Entry'!$AQ$5:$AQ$10004)&gt;Q40,MIN('Data Entry'!$AQ$5:$AQ$10004)&lt;P40),"FAIL","PASS"))</f>
        <v/>
      </c>
      <c r="Y40" s="16">
        <f>IF(T40="","No spec",IF(T40&gt;=1.33,"Capable",IF(T40&gt;=1,"Marginal","Not capable")))</f>
        <v/>
      </c>
    </row>
    <row r="41">
      <c r="A41" s="16">
        <f>IF(Settings!G53="Y",Settings!B53,"")</f>
        <v/>
      </c>
      <c r="B41" s="40">
        <f>'Data Entry'!AR10009</f>
        <v/>
      </c>
      <c r="C41" s="41">
        <f>'Data Entry'!AR10010</f>
        <v/>
      </c>
      <c r="D41" s="41">
        <f>'Data Entry'!AR10021</f>
        <v/>
      </c>
      <c r="E41" s="41">
        <f>'Data Entry'!AR10011</f>
        <v/>
      </c>
      <c r="F41" s="41">
        <f>'Data Entry'!AR10012</f>
        <v/>
      </c>
      <c r="G41" s="41">
        <f>'Data Entry'!AR10013</f>
        <v/>
      </c>
      <c r="H41" s="41">
        <f>'Data Entry'!AR10016</f>
        <v/>
      </c>
      <c r="I41" s="41">
        <f>'Data Entry'!AR10014</f>
        <v/>
      </c>
      <c r="J41" s="41">
        <f>'Data Entry'!AR10017</f>
        <v/>
      </c>
      <c r="K41" s="41">
        <f>'Data Entry'!AR10018</f>
        <v/>
      </c>
      <c r="L41" s="41">
        <f>'Data Entry'!AR10019</f>
        <v/>
      </c>
      <c r="M41" s="41">
        <f>'Data Entry'!AR10015</f>
        <v/>
      </c>
      <c r="N41" s="41">
        <f>'Data Entry'!AR10020</f>
        <v/>
      </c>
      <c r="O41" s="41">
        <f>IF(Settings!C53="","",Settings!C53)</f>
        <v/>
      </c>
      <c r="P41" s="41">
        <f>IF(Settings!D53="","",Settings!D53)</f>
        <v/>
      </c>
      <c r="Q41" s="41">
        <f>IF(Settings!E53="","",Settings!E53)</f>
        <v/>
      </c>
      <c r="R41" s="42">
        <f>IF(OR(Q41="",P41=""),"",Q41-P41)</f>
        <v/>
      </c>
      <c r="S41" s="42">
        <f>IF(OR(OR(Q41="",P41=""),H41="",H41=0),"",(Q41-P41)/(6*H41))</f>
        <v/>
      </c>
      <c r="T41" s="42">
        <f>IF(OR(OR(Q41="",P41=""),H41="",H41=0),"",MIN(Q41-C41,C41-P41)/(3*H41))</f>
        <v/>
      </c>
      <c r="U41" s="42">
        <f>IF(OR(OR(Q41="",P41=""),I41="",I41=0),"",(Q41-P41)/(6*I41))</f>
        <v/>
      </c>
      <c r="V41" s="42">
        <f>IF(OR(OR(Q41="",P41=""),I41="",I41=0),"",MIN(Q41-C41,C41-P41)/(3*I41))</f>
        <v/>
      </c>
      <c r="W41" s="16">
        <f>IF(M41="","",IF(OR(MAX('Data Entry'!$AR$5:$AR$10004)&gt;J41,MIN('Data Entry'!$AR$5:$AR$10004)&lt;L41),"OUT","IN"))</f>
        <v/>
      </c>
      <c r="X41" s="16">
        <f>IF(OR(OR(Q41="",P41=""),B41=0),"",IF(OR(MAX('Data Entry'!$AR$5:$AR$10004)&gt;Q41,MIN('Data Entry'!$AR$5:$AR$10004)&lt;P41),"FAIL","PASS"))</f>
        <v/>
      </c>
      <c r="Y41" s="16">
        <f>IF(T41="","No spec",IF(T41&gt;=1.33,"Capable",IF(T41&gt;=1,"Marginal","Not capable")))</f>
        <v/>
      </c>
    </row>
    <row r="42">
      <c r="A42" s="16">
        <f>IF(Settings!G54="Y",Settings!B54,"")</f>
        <v/>
      </c>
      <c r="B42" s="40">
        <f>'Data Entry'!AS10009</f>
        <v/>
      </c>
      <c r="C42" s="41">
        <f>'Data Entry'!AS10010</f>
        <v/>
      </c>
      <c r="D42" s="41">
        <f>'Data Entry'!AS10021</f>
        <v/>
      </c>
      <c r="E42" s="41">
        <f>'Data Entry'!AS10011</f>
        <v/>
      </c>
      <c r="F42" s="41">
        <f>'Data Entry'!AS10012</f>
        <v/>
      </c>
      <c r="G42" s="41">
        <f>'Data Entry'!AS10013</f>
        <v/>
      </c>
      <c r="H42" s="41">
        <f>'Data Entry'!AS10016</f>
        <v/>
      </c>
      <c r="I42" s="41">
        <f>'Data Entry'!AS10014</f>
        <v/>
      </c>
      <c r="J42" s="41">
        <f>'Data Entry'!AS10017</f>
        <v/>
      </c>
      <c r="K42" s="41">
        <f>'Data Entry'!AS10018</f>
        <v/>
      </c>
      <c r="L42" s="41">
        <f>'Data Entry'!AS10019</f>
        <v/>
      </c>
      <c r="M42" s="41">
        <f>'Data Entry'!AS10015</f>
        <v/>
      </c>
      <c r="N42" s="41">
        <f>'Data Entry'!AS10020</f>
        <v/>
      </c>
      <c r="O42" s="41">
        <f>IF(Settings!C54="","",Settings!C54)</f>
        <v/>
      </c>
      <c r="P42" s="41">
        <f>IF(Settings!D54="","",Settings!D54)</f>
        <v/>
      </c>
      <c r="Q42" s="41">
        <f>IF(Settings!E54="","",Settings!E54)</f>
        <v/>
      </c>
      <c r="R42" s="42">
        <f>IF(OR(Q42="",P42=""),"",Q42-P42)</f>
        <v/>
      </c>
      <c r="S42" s="42">
        <f>IF(OR(OR(Q42="",P42=""),H42="",H42=0),"",(Q42-P42)/(6*H42))</f>
        <v/>
      </c>
      <c r="T42" s="42">
        <f>IF(OR(OR(Q42="",P42=""),H42="",H42=0),"",MIN(Q42-C42,C42-P42)/(3*H42))</f>
        <v/>
      </c>
      <c r="U42" s="42">
        <f>IF(OR(OR(Q42="",P42=""),I42="",I42=0),"",(Q42-P42)/(6*I42))</f>
        <v/>
      </c>
      <c r="V42" s="42">
        <f>IF(OR(OR(Q42="",P42=""),I42="",I42=0),"",MIN(Q42-C42,C42-P42)/(3*I42))</f>
        <v/>
      </c>
      <c r="W42" s="16">
        <f>IF(M42="","",IF(OR(MAX('Data Entry'!$AS$5:$AS$10004)&gt;J42,MIN('Data Entry'!$AS$5:$AS$10004)&lt;L42),"OUT","IN"))</f>
        <v/>
      </c>
      <c r="X42" s="16">
        <f>IF(OR(OR(Q42="",P42=""),B42=0),"",IF(OR(MAX('Data Entry'!$AS$5:$AS$10004)&gt;Q42,MIN('Data Entry'!$AS$5:$AS$10004)&lt;P42),"FAIL","PASS"))</f>
        <v/>
      </c>
      <c r="Y42" s="16">
        <f>IF(T42="","No spec",IF(T42&gt;=1.33,"Capable",IF(T42&gt;=1,"Marginal","Not capable")))</f>
        <v/>
      </c>
    </row>
    <row r="43">
      <c r="A43" s="16">
        <f>IF(Settings!G55="Y",Settings!B55,"")</f>
        <v/>
      </c>
      <c r="B43" s="40">
        <f>'Data Entry'!AT10009</f>
        <v/>
      </c>
      <c r="C43" s="41">
        <f>'Data Entry'!AT10010</f>
        <v/>
      </c>
      <c r="D43" s="41">
        <f>'Data Entry'!AT10021</f>
        <v/>
      </c>
      <c r="E43" s="41">
        <f>'Data Entry'!AT10011</f>
        <v/>
      </c>
      <c r="F43" s="41">
        <f>'Data Entry'!AT10012</f>
        <v/>
      </c>
      <c r="G43" s="41">
        <f>'Data Entry'!AT10013</f>
        <v/>
      </c>
      <c r="H43" s="41">
        <f>'Data Entry'!AT10016</f>
        <v/>
      </c>
      <c r="I43" s="41">
        <f>'Data Entry'!AT10014</f>
        <v/>
      </c>
      <c r="J43" s="41">
        <f>'Data Entry'!AT10017</f>
        <v/>
      </c>
      <c r="K43" s="41">
        <f>'Data Entry'!AT10018</f>
        <v/>
      </c>
      <c r="L43" s="41">
        <f>'Data Entry'!AT10019</f>
        <v/>
      </c>
      <c r="M43" s="41">
        <f>'Data Entry'!AT10015</f>
        <v/>
      </c>
      <c r="N43" s="41">
        <f>'Data Entry'!AT10020</f>
        <v/>
      </c>
      <c r="O43" s="41">
        <f>IF(Settings!C55="","",Settings!C55)</f>
        <v/>
      </c>
      <c r="P43" s="41">
        <f>IF(Settings!D55="","",Settings!D55)</f>
        <v/>
      </c>
      <c r="Q43" s="41">
        <f>IF(Settings!E55="","",Settings!E55)</f>
        <v/>
      </c>
      <c r="R43" s="42">
        <f>IF(OR(Q43="",P43=""),"",Q43-P43)</f>
        <v/>
      </c>
      <c r="S43" s="42">
        <f>IF(OR(OR(Q43="",P43=""),H43="",H43=0),"",(Q43-P43)/(6*H43))</f>
        <v/>
      </c>
      <c r="T43" s="42">
        <f>IF(OR(OR(Q43="",P43=""),H43="",H43=0),"",MIN(Q43-C43,C43-P43)/(3*H43))</f>
        <v/>
      </c>
      <c r="U43" s="42">
        <f>IF(OR(OR(Q43="",P43=""),I43="",I43=0),"",(Q43-P43)/(6*I43))</f>
        <v/>
      </c>
      <c r="V43" s="42">
        <f>IF(OR(OR(Q43="",P43=""),I43="",I43=0),"",MIN(Q43-C43,C43-P43)/(3*I43))</f>
        <v/>
      </c>
      <c r="W43" s="16">
        <f>IF(M43="","",IF(OR(MAX('Data Entry'!$AT$5:$AT$10004)&gt;J43,MIN('Data Entry'!$AT$5:$AT$10004)&lt;L43),"OUT","IN"))</f>
        <v/>
      </c>
      <c r="X43" s="16">
        <f>IF(OR(OR(Q43="",P43=""),B43=0),"",IF(OR(MAX('Data Entry'!$AT$5:$AT$10004)&gt;Q43,MIN('Data Entry'!$AT$5:$AT$10004)&lt;P43),"FAIL","PASS"))</f>
        <v/>
      </c>
      <c r="Y43" s="16">
        <f>IF(T43="","No spec",IF(T43&gt;=1.33,"Capable",IF(T43&gt;=1,"Marginal","Not capable")))</f>
        <v/>
      </c>
    </row>
    <row r="44">
      <c r="A44" s="16">
        <f>IF(Settings!G56="Y",Settings!B56,"")</f>
        <v/>
      </c>
      <c r="B44" s="40">
        <f>'Data Entry'!AU10009</f>
        <v/>
      </c>
      <c r="C44" s="41">
        <f>'Data Entry'!AU10010</f>
        <v/>
      </c>
      <c r="D44" s="41">
        <f>'Data Entry'!AU10021</f>
        <v/>
      </c>
      <c r="E44" s="41">
        <f>'Data Entry'!AU10011</f>
        <v/>
      </c>
      <c r="F44" s="41">
        <f>'Data Entry'!AU10012</f>
        <v/>
      </c>
      <c r="G44" s="41">
        <f>'Data Entry'!AU10013</f>
        <v/>
      </c>
      <c r="H44" s="41">
        <f>'Data Entry'!AU10016</f>
        <v/>
      </c>
      <c r="I44" s="41">
        <f>'Data Entry'!AU10014</f>
        <v/>
      </c>
      <c r="J44" s="41">
        <f>'Data Entry'!AU10017</f>
        <v/>
      </c>
      <c r="K44" s="41">
        <f>'Data Entry'!AU10018</f>
        <v/>
      </c>
      <c r="L44" s="41">
        <f>'Data Entry'!AU10019</f>
        <v/>
      </c>
      <c r="M44" s="41">
        <f>'Data Entry'!AU10015</f>
        <v/>
      </c>
      <c r="N44" s="41">
        <f>'Data Entry'!AU10020</f>
        <v/>
      </c>
      <c r="O44" s="41">
        <f>IF(Settings!C56="","",Settings!C56)</f>
        <v/>
      </c>
      <c r="P44" s="41">
        <f>IF(Settings!D56="","",Settings!D56)</f>
        <v/>
      </c>
      <c r="Q44" s="41">
        <f>IF(Settings!E56="","",Settings!E56)</f>
        <v/>
      </c>
      <c r="R44" s="42">
        <f>IF(OR(Q44="",P44=""),"",Q44-P44)</f>
        <v/>
      </c>
      <c r="S44" s="42">
        <f>IF(OR(OR(Q44="",P44=""),H44="",H44=0),"",(Q44-P44)/(6*H44))</f>
        <v/>
      </c>
      <c r="T44" s="42">
        <f>IF(OR(OR(Q44="",P44=""),H44="",H44=0),"",MIN(Q44-C44,C44-P44)/(3*H44))</f>
        <v/>
      </c>
      <c r="U44" s="42">
        <f>IF(OR(OR(Q44="",P44=""),I44="",I44=0),"",(Q44-P44)/(6*I44))</f>
        <v/>
      </c>
      <c r="V44" s="42">
        <f>IF(OR(OR(Q44="",P44=""),I44="",I44=0),"",MIN(Q44-C44,C44-P44)/(3*I44))</f>
        <v/>
      </c>
      <c r="W44" s="16">
        <f>IF(M44="","",IF(OR(MAX('Data Entry'!$AU$5:$AU$10004)&gt;J44,MIN('Data Entry'!$AU$5:$AU$10004)&lt;L44),"OUT","IN"))</f>
        <v/>
      </c>
      <c r="X44" s="16">
        <f>IF(OR(OR(Q44="",P44=""),B44=0),"",IF(OR(MAX('Data Entry'!$AU$5:$AU$10004)&gt;Q44,MIN('Data Entry'!$AU$5:$AU$10004)&lt;P44),"FAIL","PASS"))</f>
        <v/>
      </c>
      <c r="Y44" s="16">
        <f>IF(T44="","No spec",IF(T44&gt;=1.33,"Capable",IF(T44&gt;=1,"Marginal","Not capable")))</f>
        <v/>
      </c>
    </row>
    <row r="45">
      <c r="A45" s="16">
        <f>IF(Settings!G57="Y",Settings!B57,"")</f>
        <v/>
      </c>
      <c r="B45" s="40">
        <f>'Data Entry'!AV10009</f>
        <v/>
      </c>
      <c r="C45" s="41">
        <f>'Data Entry'!AV10010</f>
        <v/>
      </c>
      <c r="D45" s="41">
        <f>'Data Entry'!AV10021</f>
        <v/>
      </c>
      <c r="E45" s="41">
        <f>'Data Entry'!AV10011</f>
        <v/>
      </c>
      <c r="F45" s="41">
        <f>'Data Entry'!AV10012</f>
        <v/>
      </c>
      <c r="G45" s="41">
        <f>'Data Entry'!AV10013</f>
        <v/>
      </c>
      <c r="H45" s="41">
        <f>'Data Entry'!AV10016</f>
        <v/>
      </c>
      <c r="I45" s="41">
        <f>'Data Entry'!AV10014</f>
        <v/>
      </c>
      <c r="J45" s="41">
        <f>'Data Entry'!AV10017</f>
        <v/>
      </c>
      <c r="K45" s="41">
        <f>'Data Entry'!AV10018</f>
        <v/>
      </c>
      <c r="L45" s="41">
        <f>'Data Entry'!AV10019</f>
        <v/>
      </c>
      <c r="M45" s="41">
        <f>'Data Entry'!AV10015</f>
        <v/>
      </c>
      <c r="N45" s="41">
        <f>'Data Entry'!AV10020</f>
        <v/>
      </c>
      <c r="O45" s="41">
        <f>IF(Settings!C57="","",Settings!C57)</f>
        <v/>
      </c>
      <c r="P45" s="41">
        <f>IF(Settings!D57="","",Settings!D57)</f>
        <v/>
      </c>
      <c r="Q45" s="41">
        <f>IF(Settings!E57="","",Settings!E57)</f>
        <v/>
      </c>
      <c r="R45" s="42">
        <f>IF(OR(Q45="",P45=""),"",Q45-P45)</f>
        <v/>
      </c>
      <c r="S45" s="42">
        <f>IF(OR(OR(Q45="",P45=""),H45="",H45=0),"",(Q45-P45)/(6*H45))</f>
        <v/>
      </c>
      <c r="T45" s="42">
        <f>IF(OR(OR(Q45="",P45=""),H45="",H45=0),"",MIN(Q45-C45,C45-P45)/(3*H45))</f>
        <v/>
      </c>
      <c r="U45" s="42">
        <f>IF(OR(OR(Q45="",P45=""),I45="",I45=0),"",(Q45-P45)/(6*I45))</f>
        <v/>
      </c>
      <c r="V45" s="42">
        <f>IF(OR(OR(Q45="",P45=""),I45="",I45=0),"",MIN(Q45-C45,C45-P45)/(3*I45))</f>
        <v/>
      </c>
      <c r="W45" s="16">
        <f>IF(M45="","",IF(OR(MAX('Data Entry'!$AV$5:$AV$10004)&gt;J45,MIN('Data Entry'!$AV$5:$AV$10004)&lt;L45),"OUT","IN"))</f>
        <v/>
      </c>
      <c r="X45" s="16">
        <f>IF(OR(OR(Q45="",P45=""),B45=0),"",IF(OR(MAX('Data Entry'!$AV$5:$AV$10004)&gt;Q45,MIN('Data Entry'!$AV$5:$AV$10004)&lt;P45),"FAIL","PASS"))</f>
        <v/>
      </c>
      <c r="Y45" s="16">
        <f>IF(T45="","No spec",IF(T45&gt;=1.33,"Capable",IF(T45&gt;=1,"Marginal","Not capable")))</f>
        <v/>
      </c>
    </row>
    <row r="46">
      <c r="A46" s="16">
        <f>IF(Settings!G58="Y",Settings!B58,"")</f>
        <v/>
      </c>
      <c r="B46" s="40">
        <f>'Data Entry'!AW10009</f>
        <v/>
      </c>
      <c r="C46" s="41">
        <f>'Data Entry'!AW10010</f>
        <v/>
      </c>
      <c r="D46" s="41">
        <f>'Data Entry'!AW10021</f>
        <v/>
      </c>
      <c r="E46" s="41">
        <f>'Data Entry'!AW10011</f>
        <v/>
      </c>
      <c r="F46" s="41">
        <f>'Data Entry'!AW10012</f>
        <v/>
      </c>
      <c r="G46" s="41">
        <f>'Data Entry'!AW10013</f>
        <v/>
      </c>
      <c r="H46" s="41">
        <f>'Data Entry'!AW10016</f>
        <v/>
      </c>
      <c r="I46" s="41">
        <f>'Data Entry'!AW10014</f>
        <v/>
      </c>
      <c r="J46" s="41">
        <f>'Data Entry'!AW10017</f>
        <v/>
      </c>
      <c r="K46" s="41">
        <f>'Data Entry'!AW10018</f>
        <v/>
      </c>
      <c r="L46" s="41">
        <f>'Data Entry'!AW10019</f>
        <v/>
      </c>
      <c r="M46" s="41">
        <f>'Data Entry'!AW10015</f>
        <v/>
      </c>
      <c r="N46" s="41">
        <f>'Data Entry'!AW10020</f>
        <v/>
      </c>
      <c r="O46" s="41">
        <f>IF(Settings!C58="","",Settings!C58)</f>
        <v/>
      </c>
      <c r="P46" s="41">
        <f>IF(Settings!D58="","",Settings!D58)</f>
        <v/>
      </c>
      <c r="Q46" s="41">
        <f>IF(Settings!E58="","",Settings!E58)</f>
        <v/>
      </c>
      <c r="R46" s="42">
        <f>IF(OR(Q46="",P46=""),"",Q46-P46)</f>
        <v/>
      </c>
      <c r="S46" s="42">
        <f>IF(OR(OR(Q46="",P46=""),H46="",H46=0),"",(Q46-P46)/(6*H46))</f>
        <v/>
      </c>
      <c r="T46" s="42">
        <f>IF(OR(OR(Q46="",P46=""),H46="",H46=0),"",MIN(Q46-C46,C46-P46)/(3*H46))</f>
        <v/>
      </c>
      <c r="U46" s="42">
        <f>IF(OR(OR(Q46="",P46=""),I46="",I46=0),"",(Q46-P46)/(6*I46))</f>
        <v/>
      </c>
      <c r="V46" s="42">
        <f>IF(OR(OR(Q46="",P46=""),I46="",I46=0),"",MIN(Q46-C46,C46-P46)/(3*I46))</f>
        <v/>
      </c>
      <c r="W46" s="16">
        <f>IF(M46="","",IF(OR(MAX('Data Entry'!$AW$5:$AW$10004)&gt;J46,MIN('Data Entry'!$AW$5:$AW$10004)&lt;L46),"OUT","IN"))</f>
        <v/>
      </c>
      <c r="X46" s="16">
        <f>IF(OR(OR(Q46="",P46=""),B46=0),"",IF(OR(MAX('Data Entry'!$AW$5:$AW$10004)&gt;Q46,MIN('Data Entry'!$AW$5:$AW$10004)&lt;P46),"FAIL","PASS"))</f>
        <v/>
      </c>
      <c r="Y46" s="16">
        <f>IF(T46="","No spec",IF(T46&gt;=1.33,"Capable",IF(T46&gt;=1,"Marginal","Not capable")))</f>
        <v/>
      </c>
    </row>
    <row r="47">
      <c r="A47" s="16">
        <f>IF(Settings!G59="Y",Settings!B59,"")</f>
        <v/>
      </c>
      <c r="B47" s="40">
        <f>'Data Entry'!AX10009</f>
        <v/>
      </c>
      <c r="C47" s="41">
        <f>'Data Entry'!AX10010</f>
        <v/>
      </c>
      <c r="D47" s="41">
        <f>'Data Entry'!AX10021</f>
        <v/>
      </c>
      <c r="E47" s="41">
        <f>'Data Entry'!AX10011</f>
        <v/>
      </c>
      <c r="F47" s="41">
        <f>'Data Entry'!AX10012</f>
        <v/>
      </c>
      <c r="G47" s="41">
        <f>'Data Entry'!AX10013</f>
        <v/>
      </c>
      <c r="H47" s="41">
        <f>'Data Entry'!AX10016</f>
        <v/>
      </c>
      <c r="I47" s="41">
        <f>'Data Entry'!AX10014</f>
        <v/>
      </c>
      <c r="J47" s="41">
        <f>'Data Entry'!AX10017</f>
        <v/>
      </c>
      <c r="K47" s="41">
        <f>'Data Entry'!AX10018</f>
        <v/>
      </c>
      <c r="L47" s="41">
        <f>'Data Entry'!AX10019</f>
        <v/>
      </c>
      <c r="M47" s="41">
        <f>'Data Entry'!AX10015</f>
        <v/>
      </c>
      <c r="N47" s="41">
        <f>'Data Entry'!AX10020</f>
        <v/>
      </c>
      <c r="O47" s="41">
        <f>IF(Settings!C59="","",Settings!C59)</f>
        <v/>
      </c>
      <c r="P47" s="41">
        <f>IF(Settings!D59="","",Settings!D59)</f>
        <v/>
      </c>
      <c r="Q47" s="41">
        <f>IF(Settings!E59="","",Settings!E59)</f>
        <v/>
      </c>
      <c r="R47" s="42">
        <f>IF(OR(Q47="",P47=""),"",Q47-P47)</f>
        <v/>
      </c>
      <c r="S47" s="42">
        <f>IF(OR(OR(Q47="",P47=""),H47="",H47=0),"",(Q47-P47)/(6*H47))</f>
        <v/>
      </c>
      <c r="T47" s="42">
        <f>IF(OR(OR(Q47="",P47=""),H47="",H47=0),"",MIN(Q47-C47,C47-P47)/(3*H47))</f>
        <v/>
      </c>
      <c r="U47" s="42">
        <f>IF(OR(OR(Q47="",P47=""),I47="",I47=0),"",(Q47-P47)/(6*I47))</f>
        <v/>
      </c>
      <c r="V47" s="42">
        <f>IF(OR(OR(Q47="",P47=""),I47="",I47=0),"",MIN(Q47-C47,C47-P47)/(3*I47))</f>
        <v/>
      </c>
      <c r="W47" s="16">
        <f>IF(M47="","",IF(OR(MAX('Data Entry'!$AX$5:$AX$10004)&gt;J47,MIN('Data Entry'!$AX$5:$AX$10004)&lt;L47),"OUT","IN"))</f>
        <v/>
      </c>
      <c r="X47" s="16">
        <f>IF(OR(OR(Q47="",P47=""),B47=0),"",IF(OR(MAX('Data Entry'!$AX$5:$AX$10004)&gt;Q47,MIN('Data Entry'!$AX$5:$AX$10004)&lt;P47),"FAIL","PASS"))</f>
        <v/>
      </c>
      <c r="Y47" s="16">
        <f>IF(T47="","No spec",IF(T47&gt;=1.33,"Capable",IF(T47&gt;=1,"Marginal","Not capable")))</f>
        <v/>
      </c>
    </row>
    <row r="48">
      <c r="A48" s="16">
        <f>IF(Settings!G60="Y",Settings!B60,"")</f>
        <v/>
      </c>
      <c r="B48" s="40">
        <f>'Data Entry'!AY10009</f>
        <v/>
      </c>
      <c r="C48" s="41">
        <f>'Data Entry'!AY10010</f>
        <v/>
      </c>
      <c r="D48" s="41">
        <f>'Data Entry'!AY10021</f>
        <v/>
      </c>
      <c r="E48" s="41">
        <f>'Data Entry'!AY10011</f>
        <v/>
      </c>
      <c r="F48" s="41">
        <f>'Data Entry'!AY10012</f>
        <v/>
      </c>
      <c r="G48" s="41">
        <f>'Data Entry'!AY10013</f>
        <v/>
      </c>
      <c r="H48" s="41">
        <f>'Data Entry'!AY10016</f>
        <v/>
      </c>
      <c r="I48" s="41">
        <f>'Data Entry'!AY10014</f>
        <v/>
      </c>
      <c r="J48" s="41">
        <f>'Data Entry'!AY10017</f>
        <v/>
      </c>
      <c r="K48" s="41">
        <f>'Data Entry'!AY10018</f>
        <v/>
      </c>
      <c r="L48" s="41">
        <f>'Data Entry'!AY10019</f>
        <v/>
      </c>
      <c r="M48" s="41">
        <f>'Data Entry'!AY10015</f>
        <v/>
      </c>
      <c r="N48" s="41">
        <f>'Data Entry'!AY10020</f>
        <v/>
      </c>
      <c r="O48" s="41">
        <f>IF(Settings!C60="","",Settings!C60)</f>
        <v/>
      </c>
      <c r="P48" s="41">
        <f>IF(Settings!D60="","",Settings!D60)</f>
        <v/>
      </c>
      <c r="Q48" s="41">
        <f>IF(Settings!E60="","",Settings!E60)</f>
        <v/>
      </c>
      <c r="R48" s="42">
        <f>IF(OR(Q48="",P48=""),"",Q48-P48)</f>
        <v/>
      </c>
      <c r="S48" s="42">
        <f>IF(OR(OR(Q48="",P48=""),H48="",H48=0),"",(Q48-P48)/(6*H48))</f>
        <v/>
      </c>
      <c r="T48" s="42">
        <f>IF(OR(OR(Q48="",P48=""),H48="",H48=0),"",MIN(Q48-C48,C48-P48)/(3*H48))</f>
        <v/>
      </c>
      <c r="U48" s="42">
        <f>IF(OR(OR(Q48="",P48=""),I48="",I48=0),"",(Q48-P48)/(6*I48))</f>
        <v/>
      </c>
      <c r="V48" s="42">
        <f>IF(OR(OR(Q48="",P48=""),I48="",I48=0),"",MIN(Q48-C48,C48-P48)/(3*I48))</f>
        <v/>
      </c>
      <c r="W48" s="16">
        <f>IF(M48="","",IF(OR(MAX('Data Entry'!$AY$5:$AY$10004)&gt;J48,MIN('Data Entry'!$AY$5:$AY$10004)&lt;L48),"OUT","IN"))</f>
        <v/>
      </c>
      <c r="X48" s="16">
        <f>IF(OR(OR(Q48="",P48=""),B48=0),"",IF(OR(MAX('Data Entry'!$AY$5:$AY$10004)&gt;Q48,MIN('Data Entry'!$AY$5:$AY$10004)&lt;P48),"FAIL","PASS"))</f>
        <v/>
      </c>
      <c r="Y48" s="16">
        <f>IF(T48="","No spec",IF(T48&gt;=1.33,"Capable",IF(T48&gt;=1,"Marginal","Not capable")))</f>
        <v/>
      </c>
    </row>
    <row r="49">
      <c r="A49" s="16">
        <f>IF(Settings!G61="Y",Settings!B61,"")</f>
        <v/>
      </c>
      <c r="B49" s="40">
        <f>'Data Entry'!AZ10009</f>
        <v/>
      </c>
      <c r="C49" s="41">
        <f>'Data Entry'!AZ10010</f>
        <v/>
      </c>
      <c r="D49" s="41">
        <f>'Data Entry'!AZ10021</f>
        <v/>
      </c>
      <c r="E49" s="41">
        <f>'Data Entry'!AZ10011</f>
        <v/>
      </c>
      <c r="F49" s="41">
        <f>'Data Entry'!AZ10012</f>
        <v/>
      </c>
      <c r="G49" s="41">
        <f>'Data Entry'!AZ10013</f>
        <v/>
      </c>
      <c r="H49" s="41">
        <f>'Data Entry'!AZ10016</f>
        <v/>
      </c>
      <c r="I49" s="41">
        <f>'Data Entry'!AZ10014</f>
        <v/>
      </c>
      <c r="J49" s="41">
        <f>'Data Entry'!AZ10017</f>
        <v/>
      </c>
      <c r="K49" s="41">
        <f>'Data Entry'!AZ10018</f>
        <v/>
      </c>
      <c r="L49" s="41">
        <f>'Data Entry'!AZ10019</f>
        <v/>
      </c>
      <c r="M49" s="41">
        <f>'Data Entry'!AZ10015</f>
        <v/>
      </c>
      <c r="N49" s="41">
        <f>'Data Entry'!AZ10020</f>
        <v/>
      </c>
      <c r="O49" s="41">
        <f>IF(Settings!C61="","",Settings!C61)</f>
        <v/>
      </c>
      <c r="P49" s="41">
        <f>IF(Settings!D61="","",Settings!D61)</f>
        <v/>
      </c>
      <c r="Q49" s="41">
        <f>IF(Settings!E61="","",Settings!E61)</f>
        <v/>
      </c>
      <c r="R49" s="42">
        <f>IF(OR(Q49="",P49=""),"",Q49-P49)</f>
        <v/>
      </c>
      <c r="S49" s="42">
        <f>IF(OR(OR(Q49="",P49=""),H49="",H49=0),"",(Q49-P49)/(6*H49))</f>
        <v/>
      </c>
      <c r="T49" s="42">
        <f>IF(OR(OR(Q49="",P49=""),H49="",H49=0),"",MIN(Q49-C49,C49-P49)/(3*H49))</f>
        <v/>
      </c>
      <c r="U49" s="42">
        <f>IF(OR(OR(Q49="",P49=""),I49="",I49=0),"",(Q49-P49)/(6*I49))</f>
        <v/>
      </c>
      <c r="V49" s="42">
        <f>IF(OR(OR(Q49="",P49=""),I49="",I49=0),"",MIN(Q49-C49,C49-P49)/(3*I49))</f>
        <v/>
      </c>
      <c r="W49" s="16">
        <f>IF(M49="","",IF(OR(MAX('Data Entry'!$AZ$5:$AZ$10004)&gt;J49,MIN('Data Entry'!$AZ$5:$AZ$10004)&lt;L49),"OUT","IN"))</f>
        <v/>
      </c>
      <c r="X49" s="16">
        <f>IF(OR(OR(Q49="",P49=""),B49=0),"",IF(OR(MAX('Data Entry'!$AZ$5:$AZ$10004)&gt;Q49,MIN('Data Entry'!$AZ$5:$AZ$10004)&lt;P49),"FAIL","PASS"))</f>
        <v/>
      </c>
      <c r="Y49" s="16">
        <f>IF(T49="","No spec",IF(T49&gt;=1.33,"Capable",IF(T49&gt;=1,"Marginal","Not capable")))</f>
        <v/>
      </c>
    </row>
    <row r="50">
      <c r="A50" s="16">
        <f>IF(Settings!G62="Y",Settings!B62,"")</f>
        <v/>
      </c>
      <c r="B50" s="40">
        <f>'Data Entry'!BA10009</f>
        <v/>
      </c>
      <c r="C50" s="41">
        <f>'Data Entry'!BA10010</f>
        <v/>
      </c>
      <c r="D50" s="41">
        <f>'Data Entry'!BA10021</f>
        <v/>
      </c>
      <c r="E50" s="41">
        <f>'Data Entry'!BA10011</f>
        <v/>
      </c>
      <c r="F50" s="41">
        <f>'Data Entry'!BA10012</f>
        <v/>
      </c>
      <c r="G50" s="41">
        <f>'Data Entry'!BA10013</f>
        <v/>
      </c>
      <c r="H50" s="41">
        <f>'Data Entry'!BA10016</f>
        <v/>
      </c>
      <c r="I50" s="41">
        <f>'Data Entry'!BA10014</f>
        <v/>
      </c>
      <c r="J50" s="41">
        <f>'Data Entry'!BA10017</f>
        <v/>
      </c>
      <c r="K50" s="41">
        <f>'Data Entry'!BA10018</f>
        <v/>
      </c>
      <c r="L50" s="41">
        <f>'Data Entry'!BA10019</f>
        <v/>
      </c>
      <c r="M50" s="41">
        <f>'Data Entry'!BA10015</f>
        <v/>
      </c>
      <c r="N50" s="41">
        <f>'Data Entry'!BA10020</f>
        <v/>
      </c>
      <c r="O50" s="41">
        <f>IF(Settings!C62="","",Settings!C62)</f>
        <v/>
      </c>
      <c r="P50" s="41">
        <f>IF(Settings!D62="","",Settings!D62)</f>
        <v/>
      </c>
      <c r="Q50" s="41">
        <f>IF(Settings!E62="","",Settings!E62)</f>
        <v/>
      </c>
      <c r="R50" s="42">
        <f>IF(OR(Q50="",P50=""),"",Q50-P50)</f>
        <v/>
      </c>
      <c r="S50" s="42">
        <f>IF(OR(OR(Q50="",P50=""),H50="",H50=0),"",(Q50-P50)/(6*H50))</f>
        <v/>
      </c>
      <c r="T50" s="42">
        <f>IF(OR(OR(Q50="",P50=""),H50="",H50=0),"",MIN(Q50-C50,C50-P50)/(3*H50))</f>
        <v/>
      </c>
      <c r="U50" s="42">
        <f>IF(OR(OR(Q50="",P50=""),I50="",I50=0),"",(Q50-P50)/(6*I50))</f>
        <v/>
      </c>
      <c r="V50" s="42">
        <f>IF(OR(OR(Q50="",P50=""),I50="",I50=0),"",MIN(Q50-C50,C50-P50)/(3*I50))</f>
        <v/>
      </c>
      <c r="W50" s="16">
        <f>IF(M50="","",IF(OR(MAX('Data Entry'!$BA$5:$BA$10004)&gt;J50,MIN('Data Entry'!$BA$5:$BA$10004)&lt;L50),"OUT","IN"))</f>
        <v/>
      </c>
      <c r="X50" s="16">
        <f>IF(OR(OR(Q50="",P50=""),B50=0),"",IF(OR(MAX('Data Entry'!$BA$5:$BA$10004)&gt;Q50,MIN('Data Entry'!$BA$5:$BA$10004)&lt;P50),"FAIL","PASS"))</f>
        <v/>
      </c>
      <c r="Y50" s="16">
        <f>IF(T50="","No spec",IF(T50&gt;=1.33,"Capable",IF(T50&gt;=1,"Marginal","Not capable")))</f>
        <v/>
      </c>
    </row>
    <row r="51">
      <c r="A51" s="16">
        <f>IF(Settings!G63="Y",Settings!B63,"")</f>
        <v/>
      </c>
      <c r="B51" s="40">
        <f>'Data Entry'!BB10009</f>
        <v/>
      </c>
      <c r="C51" s="41">
        <f>'Data Entry'!BB10010</f>
        <v/>
      </c>
      <c r="D51" s="41">
        <f>'Data Entry'!BB10021</f>
        <v/>
      </c>
      <c r="E51" s="41">
        <f>'Data Entry'!BB10011</f>
        <v/>
      </c>
      <c r="F51" s="41">
        <f>'Data Entry'!BB10012</f>
        <v/>
      </c>
      <c r="G51" s="41">
        <f>'Data Entry'!BB10013</f>
        <v/>
      </c>
      <c r="H51" s="41">
        <f>'Data Entry'!BB10016</f>
        <v/>
      </c>
      <c r="I51" s="41">
        <f>'Data Entry'!BB10014</f>
        <v/>
      </c>
      <c r="J51" s="41">
        <f>'Data Entry'!BB10017</f>
        <v/>
      </c>
      <c r="K51" s="41">
        <f>'Data Entry'!BB10018</f>
        <v/>
      </c>
      <c r="L51" s="41">
        <f>'Data Entry'!BB10019</f>
        <v/>
      </c>
      <c r="M51" s="41">
        <f>'Data Entry'!BB10015</f>
        <v/>
      </c>
      <c r="N51" s="41">
        <f>'Data Entry'!BB10020</f>
        <v/>
      </c>
      <c r="O51" s="41">
        <f>IF(Settings!C63="","",Settings!C63)</f>
        <v/>
      </c>
      <c r="P51" s="41">
        <f>IF(Settings!D63="","",Settings!D63)</f>
        <v/>
      </c>
      <c r="Q51" s="41">
        <f>IF(Settings!E63="","",Settings!E63)</f>
        <v/>
      </c>
      <c r="R51" s="42">
        <f>IF(OR(Q51="",P51=""),"",Q51-P51)</f>
        <v/>
      </c>
      <c r="S51" s="42">
        <f>IF(OR(OR(Q51="",P51=""),H51="",H51=0),"",(Q51-P51)/(6*H51))</f>
        <v/>
      </c>
      <c r="T51" s="42">
        <f>IF(OR(OR(Q51="",P51=""),H51="",H51=0),"",MIN(Q51-C51,C51-P51)/(3*H51))</f>
        <v/>
      </c>
      <c r="U51" s="42">
        <f>IF(OR(OR(Q51="",P51=""),I51="",I51=0),"",(Q51-P51)/(6*I51))</f>
        <v/>
      </c>
      <c r="V51" s="42">
        <f>IF(OR(OR(Q51="",P51=""),I51="",I51=0),"",MIN(Q51-C51,C51-P51)/(3*I51))</f>
        <v/>
      </c>
      <c r="W51" s="16">
        <f>IF(M51="","",IF(OR(MAX('Data Entry'!$BB$5:$BB$10004)&gt;J51,MIN('Data Entry'!$BB$5:$BB$10004)&lt;L51),"OUT","IN"))</f>
        <v/>
      </c>
      <c r="X51" s="16">
        <f>IF(OR(OR(Q51="",P51=""),B51=0),"",IF(OR(MAX('Data Entry'!$BB$5:$BB$10004)&gt;Q51,MIN('Data Entry'!$BB$5:$BB$10004)&lt;P51),"FAIL","PASS"))</f>
        <v/>
      </c>
      <c r="Y51" s="16">
        <f>IF(T51="","No spec",IF(T51&gt;=1.33,"Capable",IF(T51&gt;=1,"Marginal","Not capable")))</f>
        <v/>
      </c>
    </row>
    <row r="52">
      <c r="A52" s="16">
        <f>IF(Settings!G64="Y",Settings!B64,"")</f>
        <v/>
      </c>
      <c r="B52" s="40">
        <f>'Data Entry'!BC10009</f>
        <v/>
      </c>
      <c r="C52" s="41">
        <f>'Data Entry'!BC10010</f>
        <v/>
      </c>
      <c r="D52" s="41">
        <f>'Data Entry'!BC10021</f>
        <v/>
      </c>
      <c r="E52" s="41">
        <f>'Data Entry'!BC10011</f>
        <v/>
      </c>
      <c r="F52" s="41">
        <f>'Data Entry'!BC10012</f>
        <v/>
      </c>
      <c r="G52" s="41">
        <f>'Data Entry'!BC10013</f>
        <v/>
      </c>
      <c r="H52" s="41">
        <f>'Data Entry'!BC10016</f>
        <v/>
      </c>
      <c r="I52" s="41">
        <f>'Data Entry'!BC10014</f>
        <v/>
      </c>
      <c r="J52" s="41">
        <f>'Data Entry'!BC10017</f>
        <v/>
      </c>
      <c r="K52" s="41">
        <f>'Data Entry'!BC10018</f>
        <v/>
      </c>
      <c r="L52" s="41">
        <f>'Data Entry'!BC10019</f>
        <v/>
      </c>
      <c r="M52" s="41">
        <f>'Data Entry'!BC10015</f>
        <v/>
      </c>
      <c r="N52" s="41">
        <f>'Data Entry'!BC10020</f>
        <v/>
      </c>
      <c r="O52" s="41">
        <f>IF(Settings!C64="","",Settings!C64)</f>
        <v/>
      </c>
      <c r="P52" s="41">
        <f>IF(Settings!D64="","",Settings!D64)</f>
        <v/>
      </c>
      <c r="Q52" s="41">
        <f>IF(Settings!E64="","",Settings!E64)</f>
        <v/>
      </c>
      <c r="R52" s="42">
        <f>IF(OR(Q52="",P52=""),"",Q52-P52)</f>
        <v/>
      </c>
      <c r="S52" s="42">
        <f>IF(OR(OR(Q52="",P52=""),H52="",H52=0),"",(Q52-P52)/(6*H52))</f>
        <v/>
      </c>
      <c r="T52" s="42">
        <f>IF(OR(OR(Q52="",P52=""),H52="",H52=0),"",MIN(Q52-C52,C52-P52)/(3*H52))</f>
        <v/>
      </c>
      <c r="U52" s="42">
        <f>IF(OR(OR(Q52="",P52=""),I52="",I52=0),"",(Q52-P52)/(6*I52))</f>
        <v/>
      </c>
      <c r="V52" s="42">
        <f>IF(OR(OR(Q52="",P52=""),I52="",I52=0),"",MIN(Q52-C52,C52-P52)/(3*I52))</f>
        <v/>
      </c>
      <c r="W52" s="16">
        <f>IF(M52="","",IF(OR(MAX('Data Entry'!$BC$5:$BC$10004)&gt;J52,MIN('Data Entry'!$BC$5:$BC$10004)&lt;L52),"OUT","IN"))</f>
        <v/>
      </c>
      <c r="X52" s="16">
        <f>IF(OR(OR(Q52="",P52=""),B52=0),"",IF(OR(MAX('Data Entry'!$BC$5:$BC$10004)&gt;Q52,MIN('Data Entry'!$BC$5:$BC$10004)&lt;P52),"FAIL","PASS"))</f>
        <v/>
      </c>
      <c r="Y52" s="16">
        <f>IF(T52="","No spec",IF(T52&gt;=1.33,"Capable",IF(T52&gt;=1,"Marginal","Not capable")))</f>
        <v/>
      </c>
    </row>
    <row r="53">
      <c r="A53" s="16">
        <f>IF(Settings!G65="Y",Settings!B65,"")</f>
        <v/>
      </c>
      <c r="B53" s="40">
        <f>'Data Entry'!BD10009</f>
        <v/>
      </c>
      <c r="C53" s="41">
        <f>'Data Entry'!BD10010</f>
        <v/>
      </c>
      <c r="D53" s="41">
        <f>'Data Entry'!BD10021</f>
        <v/>
      </c>
      <c r="E53" s="41">
        <f>'Data Entry'!BD10011</f>
        <v/>
      </c>
      <c r="F53" s="41">
        <f>'Data Entry'!BD10012</f>
        <v/>
      </c>
      <c r="G53" s="41">
        <f>'Data Entry'!BD10013</f>
        <v/>
      </c>
      <c r="H53" s="41">
        <f>'Data Entry'!BD10016</f>
        <v/>
      </c>
      <c r="I53" s="41">
        <f>'Data Entry'!BD10014</f>
        <v/>
      </c>
      <c r="J53" s="41">
        <f>'Data Entry'!BD10017</f>
        <v/>
      </c>
      <c r="K53" s="41">
        <f>'Data Entry'!BD10018</f>
        <v/>
      </c>
      <c r="L53" s="41">
        <f>'Data Entry'!BD10019</f>
        <v/>
      </c>
      <c r="M53" s="41">
        <f>'Data Entry'!BD10015</f>
        <v/>
      </c>
      <c r="N53" s="41">
        <f>'Data Entry'!BD10020</f>
        <v/>
      </c>
      <c r="O53" s="41">
        <f>IF(Settings!C65="","",Settings!C65)</f>
        <v/>
      </c>
      <c r="P53" s="41">
        <f>IF(Settings!D65="","",Settings!D65)</f>
        <v/>
      </c>
      <c r="Q53" s="41">
        <f>IF(Settings!E65="","",Settings!E65)</f>
        <v/>
      </c>
      <c r="R53" s="42">
        <f>IF(OR(Q53="",P53=""),"",Q53-P53)</f>
        <v/>
      </c>
      <c r="S53" s="42">
        <f>IF(OR(OR(Q53="",P53=""),H53="",H53=0),"",(Q53-P53)/(6*H53))</f>
        <v/>
      </c>
      <c r="T53" s="42">
        <f>IF(OR(OR(Q53="",P53=""),H53="",H53=0),"",MIN(Q53-C53,C53-P53)/(3*H53))</f>
        <v/>
      </c>
      <c r="U53" s="42">
        <f>IF(OR(OR(Q53="",P53=""),I53="",I53=0),"",(Q53-P53)/(6*I53))</f>
        <v/>
      </c>
      <c r="V53" s="42">
        <f>IF(OR(OR(Q53="",P53=""),I53="",I53=0),"",MIN(Q53-C53,C53-P53)/(3*I53))</f>
        <v/>
      </c>
      <c r="W53" s="16">
        <f>IF(M53="","",IF(OR(MAX('Data Entry'!$BD$5:$BD$10004)&gt;J53,MIN('Data Entry'!$BD$5:$BD$10004)&lt;L53),"OUT","IN"))</f>
        <v/>
      </c>
      <c r="X53" s="16">
        <f>IF(OR(OR(Q53="",P53=""),B53=0),"",IF(OR(MAX('Data Entry'!$BD$5:$BD$10004)&gt;Q53,MIN('Data Entry'!$BD$5:$BD$10004)&lt;P53),"FAIL","PASS"))</f>
        <v/>
      </c>
      <c r="Y53" s="16">
        <f>IF(T53="","No spec",IF(T53&gt;=1.33,"Capable",IF(T53&gt;=1,"Marginal","Not capable")))</f>
        <v/>
      </c>
    </row>
    <row r="54">
      <c r="A54" s="16">
        <f>IF(Settings!G66="Y",Settings!B66,"")</f>
        <v/>
      </c>
      <c r="B54" s="40">
        <f>'Data Entry'!BE10009</f>
        <v/>
      </c>
      <c r="C54" s="41">
        <f>'Data Entry'!BE10010</f>
        <v/>
      </c>
      <c r="D54" s="41">
        <f>'Data Entry'!BE10021</f>
        <v/>
      </c>
      <c r="E54" s="41">
        <f>'Data Entry'!BE10011</f>
        <v/>
      </c>
      <c r="F54" s="41">
        <f>'Data Entry'!BE10012</f>
        <v/>
      </c>
      <c r="G54" s="41">
        <f>'Data Entry'!BE10013</f>
        <v/>
      </c>
      <c r="H54" s="41">
        <f>'Data Entry'!BE10016</f>
        <v/>
      </c>
      <c r="I54" s="41">
        <f>'Data Entry'!BE10014</f>
        <v/>
      </c>
      <c r="J54" s="41">
        <f>'Data Entry'!BE10017</f>
        <v/>
      </c>
      <c r="K54" s="41">
        <f>'Data Entry'!BE10018</f>
        <v/>
      </c>
      <c r="L54" s="41">
        <f>'Data Entry'!BE10019</f>
        <v/>
      </c>
      <c r="M54" s="41">
        <f>'Data Entry'!BE10015</f>
        <v/>
      </c>
      <c r="N54" s="41">
        <f>'Data Entry'!BE10020</f>
        <v/>
      </c>
      <c r="O54" s="41">
        <f>IF(Settings!C66="","",Settings!C66)</f>
        <v/>
      </c>
      <c r="P54" s="41">
        <f>IF(Settings!D66="","",Settings!D66)</f>
        <v/>
      </c>
      <c r="Q54" s="41">
        <f>IF(Settings!E66="","",Settings!E66)</f>
        <v/>
      </c>
      <c r="R54" s="42">
        <f>IF(OR(Q54="",P54=""),"",Q54-P54)</f>
        <v/>
      </c>
      <c r="S54" s="42">
        <f>IF(OR(OR(Q54="",P54=""),H54="",H54=0),"",(Q54-P54)/(6*H54))</f>
        <v/>
      </c>
      <c r="T54" s="42">
        <f>IF(OR(OR(Q54="",P54=""),H54="",H54=0),"",MIN(Q54-C54,C54-P54)/(3*H54))</f>
        <v/>
      </c>
      <c r="U54" s="42">
        <f>IF(OR(OR(Q54="",P54=""),I54="",I54=0),"",(Q54-P54)/(6*I54))</f>
        <v/>
      </c>
      <c r="V54" s="42">
        <f>IF(OR(OR(Q54="",P54=""),I54="",I54=0),"",MIN(Q54-C54,C54-P54)/(3*I54))</f>
        <v/>
      </c>
      <c r="W54" s="16">
        <f>IF(M54="","",IF(OR(MAX('Data Entry'!$BE$5:$BE$10004)&gt;J54,MIN('Data Entry'!$BE$5:$BE$10004)&lt;L54),"OUT","IN"))</f>
        <v/>
      </c>
      <c r="X54" s="16">
        <f>IF(OR(OR(Q54="",P54=""),B54=0),"",IF(OR(MAX('Data Entry'!$BE$5:$BE$10004)&gt;Q54,MIN('Data Entry'!$BE$5:$BE$10004)&lt;P54),"FAIL","PASS"))</f>
        <v/>
      </c>
      <c r="Y54" s="16">
        <f>IF(T54="","No spec",IF(T54&gt;=1.33,"Capable",IF(T54&gt;=1,"Marginal","Not capable")))</f>
        <v/>
      </c>
    </row>
  </sheetData>
  <mergeCells count="1">
    <mergeCell ref="A1:Y1"/>
  </mergeCells>
  <conditionalFormatting sqref="T5:T54">
    <cfRule type="cellIs" priority="1" operator="greaterThanOrEqual" dxfId="1">
      <formula>1.33</formula>
    </cfRule>
    <cfRule type="cellIs" priority="2" operator="between" dxfId="2">
      <formula>1</formula>
      <formula>1.33</formula>
    </cfRule>
    <cfRule type="cellIs" priority="3" operator="lessThan" dxfId="3">
      <formula>1</formula>
    </cfRule>
  </conditionalFormatting>
  <conditionalFormatting sqref="W5:W54">
    <cfRule type="cellIs" priority="4" operator="equal" dxfId="3">
      <formula>"OUT"</formula>
    </cfRule>
    <cfRule type="cellIs" priority="5" operator="equal" dxfId="1">
      <formula>"IN"</formula>
    </cfRule>
  </conditionalFormatting>
  <conditionalFormatting sqref="X5:X54">
    <cfRule type="cellIs" priority="6" operator="equal" dxfId="3">
      <formula>"FAIL"</formula>
    </cfRule>
    <cfRule type="cellIs" priority="7" operator="equal" dxfId="1">
      <formula>"PASS"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 ht="24" customHeight="1">
      <c r="A1" s="1" t="inlineStr">
        <is>
          <t>SPC DASHBOARD</t>
        </is>
      </c>
      <c r="B1" s="2" t="n"/>
      <c r="C1" s="2" t="n"/>
      <c r="D1" s="2" t="n"/>
      <c r="E1" s="2" t="n"/>
      <c r="F1" s="2" t="n"/>
    </row>
    <row r="2">
      <c r="A2" s="3" t="inlineStr">
        <is>
          <t>Single-feature summary. Change the feature number in B4.</t>
        </is>
      </c>
    </row>
    <row r="4">
      <c r="A4" s="25" t="inlineStr">
        <is>
          <t>Select Feature #:</t>
        </is>
      </c>
      <c r="B4" s="11" t="n">
        <v>1</v>
      </c>
    </row>
    <row r="6">
      <c r="A6" s="35" t="inlineStr">
        <is>
          <t>Feature</t>
        </is>
      </c>
      <c r="B6" s="36">
        <f>INDEX(Capability!$A$5:$A$54,$B$4)</f>
        <v/>
      </c>
    </row>
    <row r="7">
      <c r="A7" s="35" t="inlineStr">
        <is>
          <t>n</t>
        </is>
      </c>
      <c r="B7" s="22">
        <f>INDEX(Capability!$B$5:$B$54,$B$4)</f>
        <v/>
      </c>
    </row>
    <row r="8">
      <c r="A8" s="35" t="inlineStr">
        <is>
          <t>Mean</t>
        </is>
      </c>
      <c r="B8" s="23">
        <f>INDEX(Capability!$C$5:$C$54,$B$4)</f>
        <v/>
      </c>
    </row>
    <row r="9">
      <c r="A9" s="35" t="inlineStr">
        <is>
          <t>Median</t>
        </is>
      </c>
      <c r="B9" s="23">
        <f>INDEX(Capability!$D$5:$D$54,$B$4)</f>
        <v/>
      </c>
    </row>
    <row r="10">
      <c r="A10" s="35" t="inlineStr">
        <is>
          <t>Min</t>
        </is>
      </c>
      <c r="B10" s="23">
        <f>INDEX(Capability!$E$5:$E$54,$B$4)</f>
        <v/>
      </c>
    </row>
    <row r="11">
      <c r="A11" s="35" t="inlineStr">
        <is>
          <t>Max</t>
        </is>
      </c>
      <c r="B11" s="23">
        <f>INDEX(Capability!$F$5:$F$54,$B$4)</f>
        <v/>
      </c>
    </row>
    <row r="12">
      <c r="A12" s="35" t="inlineStr">
        <is>
          <t>Range</t>
        </is>
      </c>
      <c r="B12" s="23">
        <f>INDEX(Capability!$G$5:$G$54,$B$4)</f>
        <v/>
      </c>
    </row>
    <row r="13">
      <c r="A13" s="35" t="inlineStr">
        <is>
          <t>Sigma (within)</t>
        </is>
      </c>
      <c r="B13" s="23">
        <f>INDEX(Capability!$H$5:$H$54,$B$4)</f>
        <v/>
      </c>
    </row>
    <row r="14">
      <c r="A14" s="35" t="inlineStr">
        <is>
          <t>Sigma (overall)</t>
        </is>
      </c>
      <c r="B14" s="23">
        <f>INDEX(Capability!$I$5:$I$54,$B$4)</f>
        <v/>
      </c>
    </row>
    <row r="15">
      <c r="A15" s="35" t="inlineStr">
        <is>
          <t>X UCL</t>
        </is>
      </c>
      <c r="B15" s="23">
        <f>INDEX(Capability!$J$5:$J$54,$B$4)</f>
        <v/>
      </c>
    </row>
    <row r="16">
      <c r="A16" s="35" t="inlineStr">
        <is>
          <t>X CL</t>
        </is>
      </c>
      <c r="B16" s="23">
        <f>INDEX(Capability!$K$5:$K$54,$B$4)</f>
        <v/>
      </c>
    </row>
    <row r="17">
      <c r="A17" s="35" t="inlineStr">
        <is>
          <t>X LCL</t>
        </is>
      </c>
      <c r="B17" s="23">
        <f>INDEX(Capability!$L$5:$L$54,$B$4)</f>
        <v/>
      </c>
    </row>
    <row r="18">
      <c r="A18" s="35" t="inlineStr">
        <is>
          <t>mR-bar</t>
        </is>
      </c>
      <c r="B18" s="23">
        <f>INDEX(Capability!$M$5:$M$54,$B$4)</f>
        <v/>
      </c>
    </row>
    <row r="19">
      <c r="A19" s="35" t="inlineStr">
        <is>
          <t>mR UCL</t>
        </is>
      </c>
      <c r="B19" s="23">
        <f>INDEX(Capability!$N$5:$N$54,$B$4)</f>
        <v/>
      </c>
    </row>
    <row r="20">
      <c r="A20" s="35" t="inlineStr">
        <is>
          <t>Nominal</t>
        </is>
      </c>
      <c r="B20" s="23">
        <f>INDEX(Capability!$O$5:$O$54,$B$4)</f>
        <v/>
      </c>
    </row>
    <row r="21">
      <c r="A21" s="35" t="inlineStr">
        <is>
          <t>LSL</t>
        </is>
      </c>
      <c r="B21" s="23">
        <f>INDEX(Capability!$P$5:$P$54,$B$4)</f>
        <v/>
      </c>
    </row>
    <row r="22">
      <c r="A22" s="35" t="inlineStr">
        <is>
          <t>USL</t>
        </is>
      </c>
      <c r="B22" s="23">
        <f>INDEX(Capability!$Q$5:$Q$54,$B$4)</f>
        <v/>
      </c>
    </row>
    <row r="23">
      <c r="A23" s="35" t="inlineStr">
        <is>
          <t>Tol Width</t>
        </is>
      </c>
      <c r="B23" s="38">
        <f>INDEX(Capability!$R$5:$R$54,$B$4)</f>
        <v/>
      </c>
    </row>
    <row r="24">
      <c r="A24" s="35" t="inlineStr">
        <is>
          <t>Cp</t>
        </is>
      </c>
      <c r="B24" s="38">
        <f>INDEX(Capability!$S$5:$S$54,$B$4)</f>
        <v/>
      </c>
    </row>
    <row r="25">
      <c r="A25" s="35" t="inlineStr">
        <is>
          <t>Cpk</t>
        </is>
      </c>
      <c r="B25" s="38">
        <f>INDEX(Capability!$T$5:$T$54,$B$4)</f>
        <v/>
      </c>
    </row>
    <row r="26">
      <c r="A26" s="35" t="inlineStr">
        <is>
          <t>Pp</t>
        </is>
      </c>
      <c r="B26" s="38">
        <f>INDEX(Capability!$U$5:$U$54,$B$4)</f>
        <v/>
      </c>
    </row>
    <row r="27">
      <c r="A27" s="35" t="inlineStr">
        <is>
          <t>Ppk</t>
        </is>
      </c>
      <c r="B27" s="38">
        <f>INDEX(Capability!$V$5:$V$54,$B$4)</f>
        <v/>
      </c>
    </row>
    <row r="28">
      <c r="A28" s="35" t="inlineStr">
        <is>
          <t>In Control?</t>
        </is>
      </c>
      <c r="B28" s="36">
        <f>INDEX(Capability!$W$5:$W$54,$B$4)</f>
        <v/>
      </c>
    </row>
    <row r="29">
      <c r="A29" s="35" t="inlineStr">
        <is>
          <t>In Spec?</t>
        </is>
      </c>
      <c r="B29" s="36">
        <f>INDEX(Capability!$X$5:$X$54,$B$4)</f>
        <v/>
      </c>
    </row>
    <row r="30">
      <c r="A30" s="35" t="inlineStr">
        <is>
          <t>Verdict</t>
        </is>
      </c>
      <c r="B30" s="36">
        <f>INDEX(Capability!$Y$5:$Y$54,$B$4)</f>
        <v/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00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Filter engine for Visual SPC. Do not edit.</t>
        </is>
      </c>
    </row>
    <row r="4">
      <c r="A4" s="13" t="inlineStr">
        <is>
          <t>Src row</t>
        </is>
      </c>
      <c r="B4" s="13" t="inlineStr">
        <is>
          <t>Match</t>
        </is>
      </c>
      <c r="C4" s="13" t="n">
        <v>0</v>
      </c>
      <c r="D4" s="13" t="inlineStr">
        <is>
          <t>Value</t>
        </is>
      </c>
      <c r="E4" s="13" t="inlineStr"/>
      <c r="F4" s="13" t="inlineStr">
        <is>
          <t>mR</t>
        </is>
      </c>
    </row>
    <row r="5">
      <c r="A5" t="n">
        <v>5</v>
      </c>
      <c r="B5">
        <f>IF(INDEX('Data Entry'!$H$5:$BE$10004,5-4,'Visual SPC'!$B$3)="",0,IF(AND(OR('Visual SPC'!$C$4="",'Data Entry'!$C5&gt;='Visual SPC'!$C$4),OR('Visual SPC'!$E$4="",'Data Entry'!$C5&lt;='Visual SPC'!$E$4),OR('Visual SPC'!$G$4="",'Data Entry'!$D5='Visual SPC'!$G$4),OR('Visual SPC'!$I$4="",'Data Entry'!$E5='Visual SPC'!$I$4),OR('Visual SPC'!$K$4="",'Data Entry'!$F5='Visual SPC'!$K$4)),1,0))</f>
        <v/>
      </c>
      <c r="C5">
        <f>C4+B5</f>
        <v/>
      </c>
      <c r="D5">
        <f>IF(B5=1,INDEX('Data Entry'!$H$5:$BE$10004,5-4,'Visual SPC'!$B$3),"")</f>
        <v/>
      </c>
      <c r="E5">
        <f>IF(B5=1,D5,E4)</f>
        <v/>
      </c>
      <c r="F5">
        <f>IF(AND(B5=1,C5&gt;1,E4&lt;&gt;""),ABS(D5-E4),"")</f>
        <v/>
      </c>
    </row>
    <row r="6">
      <c r="A6" t="n">
        <v>6</v>
      </c>
      <c r="B6">
        <f>IF(INDEX('Data Entry'!$H$5:$BE$10004,6-4,'Visual SPC'!$B$3)="",0,IF(AND(OR('Visual SPC'!$C$4="",'Data Entry'!$C6&gt;='Visual SPC'!$C$4),OR('Visual SPC'!$E$4="",'Data Entry'!$C6&lt;='Visual SPC'!$E$4),OR('Visual SPC'!$G$4="",'Data Entry'!$D6='Visual SPC'!$G$4),OR('Visual SPC'!$I$4="",'Data Entry'!$E6='Visual SPC'!$I$4),OR('Visual SPC'!$K$4="",'Data Entry'!$F6='Visual SPC'!$K$4)),1,0))</f>
        <v/>
      </c>
      <c r="C6">
        <f>C5+B6</f>
        <v/>
      </c>
      <c r="D6">
        <f>IF(B6=1,INDEX('Data Entry'!$H$5:$BE$10004,6-4,'Visual SPC'!$B$3),"")</f>
        <v/>
      </c>
      <c r="E6">
        <f>IF(B6=1,D6,E5)</f>
        <v/>
      </c>
      <c r="F6">
        <f>IF(AND(B6=1,C6&gt;1,E5&lt;&gt;""),ABS(D6-E5),"")</f>
        <v/>
      </c>
    </row>
    <row r="7">
      <c r="A7" t="n">
        <v>7</v>
      </c>
      <c r="B7">
        <f>IF(INDEX('Data Entry'!$H$5:$BE$10004,7-4,'Visual SPC'!$B$3)="",0,IF(AND(OR('Visual SPC'!$C$4="",'Data Entry'!$C7&gt;='Visual SPC'!$C$4),OR('Visual SPC'!$E$4="",'Data Entry'!$C7&lt;='Visual SPC'!$E$4),OR('Visual SPC'!$G$4="",'Data Entry'!$D7='Visual SPC'!$G$4),OR('Visual SPC'!$I$4="",'Data Entry'!$E7='Visual SPC'!$I$4),OR('Visual SPC'!$K$4="",'Data Entry'!$F7='Visual SPC'!$K$4)),1,0))</f>
        <v/>
      </c>
      <c r="C7">
        <f>C6+B7</f>
        <v/>
      </c>
      <c r="D7">
        <f>IF(B7=1,INDEX('Data Entry'!$H$5:$BE$10004,7-4,'Visual SPC'!$B$3),"")</f>
        <v/>
      </c>
      <c r="E7">
        <f>IF(B7=1,D7,E6)</f>
        <v/>
      </c>
      <c r="F7">
        <f>IF(AND(B7=1,C7&gt;1,E6&lt;&gt;""),ABS(D7-E6),"")</f>
        <v/>
      </c>
    </row>
    <row r="8">
      <c r="A8" t="n">
        <v>8</v>
      </c>
      <c r="B8">
        <f>IF(INDEX('Data Entry'!$H$5:$BE$10004,8-4,'Visual SPC'!$B$3)="",0,IF(AND(OR('Visual SPC'!$C$4="",'Data Entry'!$C8&gt;='Visual SPC'!$C$4),OR('Visual SPC'!$E$4="",'Data Entry'!$C8&lt;='Visual SPC'!$E$4),OR('Visual SPC'!$G$4="",'Data Entry'!$D8='Visual SPC'!$G$4),OR('Visual SPC'!$I$4="",'Data Entry'!$E8='Visual SPC'!$I$4),OR('Visual SPC'!$K$4="",'Data Entry'!$F8='Visual SPC'!$K$4)),1,0))</f>
        <v/>
      </c>
      <c r="C8">
        <f>C7+B8</f>
        <v/>
      </c>
      <c r="D8">
        <f>IF(B8=1,INDEX('Data Entry'!$H$5:$BE$10004,8-4,'Visual SPC'!$B$3),"")</f>
        <v/>
      </c>
      <c r="E8">
        <f>IF(B8=1,D8,E7)</f>
        <v/>
      </c>
      <c r="F8">
        <f>IF(AND(B8=1,C8&gt;1,E7&lt;&gt;""),ABS(D8-E7),"")</f>
        <v/>
      </c>
    </row>
    <row r="9">
      <c r="A9" t="n">
        <v>9</v>
      </c>
      <c r="B9">
        <f>IF(INDEX('Data Entry'!$H$5:$BE$10004,9-4,'Visual SPC'!$B$3)="",0,IF(AND(OR('Visual SPC'!$C$4="",'Data Entry'!$C9&gt;='Visual SPC'!$C$4),OR('Visual SPC'!$E$4="",'Data Entry'!$C9&lt;='Visual SPC'!$E$4),OR('Visual SPC'!$G$4="",'Data Entry'!$D9='Visual SPC'!$G$4),OR('Visual SPC'!$I$4="",'Data Entry'!$E9='Visual SPC'!$I$4),OR('Visual SPC'!$K$4="",'Data Entry'!$F9='Visual SPC'!$K$4)),1,0))</f>
        <v/>
      </c>
      <c r="C9">
        <f>C8+B9</f>
        <v/>
      </c>
      <c r="D9">
        <f>IF(B9=1,INDEX('Data Entry'!$H$5:$BE$10004,9-4,'Visual SPC'!$B$3),"")</f>
        <v/>
      </c>
      <c r="E9">
        <f>IF(B9=1,D9,E8)</f>
        <v/>
      </c>
      <c r="F9">
        <f>IF(AND(B9=1,C9&gt;1,E8&lt;&gt;""),ABS(D9-E8),"")</f>
        <v/>
      </c>
    </row>
    <row r="10">
      <c r="A10" t="n">
        <v>10</v>
      </c>
      <c r="B10">
        <f>IF(INDEX('Data Entry'!$H$5:$BE$10004,10-4,'Visual SPC'!$B$3)="",0,IF(AND(OR('Visual SPC'!$C$4="",'Data Entry'!$C10&gt;='Visual SPC'!$C$4),OR('Visual SPC'!$E$4="",'Data Entry'!$C10&lt;='Visual SPC'!$E$4),OR('Visual SPC'!$G$4="",'Data Entry'!$D10='Visual SPC'!$G$4),OR('Visual SPC'!$I$4="",'Data Entry'!$E10='Visual SPC'!$I$4),OR('Visual SPC'!$K$4="",'Data Entry'!$F10='Visual SPC'!$K$4)),1,0))</f>
        <v/>
      </c>
      <c r="C10">
        <f>C9+B10</f>
        <v/>
      </c>
      <c r="D10">
        <f>IF(B10=1,INDEX('Data Entry'!$H$5:$BE$10004,10-4,'Visual SPC'!$B$3),"")</f>
        <v/>
      </c>
      <c r="E10">
        <f>IF(B10=1,D10,E9)</f>
        <v/>
      </c>
      <c r="F10">
        <f>IF(AND(B10=1,C10&gt;1,E9&lt;&gt;""),ABS(D10-E9),"")</f>
        <v/>
      </c>
    </row>
    <row r="11">
      <c r="A11" t="n">
        <v>11</v>
      </c>
      <c r="B11">
        <f>IF(INDEX('Data Entry'!$H$5:$BE$10004,11-4,'Visual SPC'!$B$3)="",0,IF(AND(OR('Visual SPC'!$C$4="",'Data Entry'!$C11&gt;='Visual SPC'!$C$4),OR('Visual SPC'!$E$4="",'Data Entry'!$C11&lt;='Visual SPC'!$E$4),OR('Visual SPC'!$G$4="",'Data Entry'!$D11='Visual SPC'!$G$4),OR('Visual SPC'!$I$4="",'Data Entry'!$E11='Visual SPC'!$I$4),OR('Visual SPC'!$K$4="",'Data Entry'!$F11='Visual SPC'!$K$4)),1,0))</f>
        <v/>
      </c>
      <c r="C11">
        <f>C10+B11</f>
        <v/>
      </c>
      <c r="D11">
        <f>IF(B11=1,INDEX('Data Entry'!$H$5:$BE$10004,11-4,'Visual SPC'!$B$3),"")</f>
        <v/>
      </c>
      <c r="E11">
        <f>IF(B11=1,D11,E10)</f>
        <v/>
      </c>
      <c r="F11">
        <f>IF(AND(B11=1,C11&gt;1,E10&lt;&gt;""),ABS(D11-E10),"")</f>
        <v/>
      </c>
    </row>
    <row r="12">
      <c r="A12" t="n">
        <v>12</v>
      </c>
      <c r="B12">
        <f>IF(INDEX('Data Entry'!$H$5:$BE$10004,12-4,'Visual SPC'!$B$3)="",0,IF(AND(OR('Visual SPC'!$C$4="",'Data Entry'!$C12&gt;='Visual SPC'!$C$4),OR('Visual SPC'!$E$4="",'Data Entry'!$C12&lt;='Visual SPC'!$E$4),OR('Visual SPC'!$G$4="",'Data Entry'!$D12='Visual SPC'!$G$4),OR('Visual SPC'!$I$4="",'Data Entry'!$E12='Visual SPC'!$I$4),OR('Visual SPC'!$K$4="",'Data Entry'!$F12='Visual SPC'!$K$4)),1,0))</f>
        <v/>
      </c>
      <c r="C12">
        <f>C11+B12</f>
        <v/>
      </c>
      <c r="D12">
        <f>IF(B12=1,INDEX('Data Entry'!$H$5:$BE$10004,12-4,'Visual SPC'!$B$3),"")</f>
        <v/>
      </c>
      <c r="E12">
        <f>IF(B12=1,D12,E11)</f>
        <v/>
      </c>
      <c r="F12">
        <f>IF(AND(B12=1,C12&gt;1,E11&lt;&gt;""),ABS(D12-E11),"")</f>
        <v/>
      </c>
    </row>
    <row r="13">
      <c r="A13" t="n">
        <v>13</v>
      </c>
      <c r="B13">
        <f>IF(INDEX('Data Entry'!$H$5:$BE$10004,13-4,'Visual SPC'!$B$3)="",0,IF(AND(OR('Visual SPC'!$C$4="",'Data Entry'!$C13&gt;='Visual SPC'!$C$4),OR('Visual SPC'!$E$4="",'Data Entry'!$C13&lt;='Visual SPC'!$E$4),OR('Visual SPC'!$G$4="",'Data Entry'!$D13='Visual SPC'!$G$4),OR('Visual SPC'!$I$4="",'Data Entry'!$E13='Visual SPC'!$I$4),OR('Visual SPC'!$K$4="",'Data Entry'!$F13='Visual SPC'!$K$4)),1,0))</f>
        <v/>
      </c>
      <c r="C13">
        <f>C12+B13</f>
        <v/>
      </c>
      <c r="D13">
        <f>IF(B13=1,INDEX('Data Entry'!$H$5:$BE$10004,13-4,'Visual SPC'!$B$3),"")</f>
        <v/>
      </c>
      <c r="E13">
        <f>IF(B13=1,D13,E12)</f>
        <v/>
      </c>
      <c r="F13">
        <f>IF(AND(B13=1,C13&gt;1,E12&lt;&gt;""),ABS(D13-E12),"")</f>
        <v/>
      </c>
    </row>
    <row r="14">
      <c r="A14" t="n">
        <v>14</v>
      </c>
      <c r="B14">
        <f>IF(INDEX('Data Entry'!$H$5:$BE$10004,14-4,'Visual SPC'!$B$3)="",0,IF(AND(OR('Visual SPC'!$C$4="",'Data Entry'!$C14&gt;='Visual SPC'!$C$4),OR('Visual SPC'!$E$4="",'Data Entry'!$C14&lt;='Visual SPC'!$E$4),OR('Visual SPC'!$G$4="",'Data Entry'!$D14='Visual SPC'!$G$4),OR('Visual SPC'!$I$4="",'Data Entry'!$E14='Visual SPC'!$I$4),OR('Visual SPC'!$K$4="",'Data Entry'!$F14='Visual SPC'!$K$4)),1,0))</f>
        <v/>
      </c>
      <c r="C14">
        <f>C13+B14</f>
        <v/>
      </c>
      <c r="D14">
        <f>IF(B14=1,INDEX('Data Entry'!$H$5:$BE$10004,14-4,'Visual SPC'!$B$3),"")</f>
        <v/>
      </c>
      <c r="E14">
        <f>IF(B14=1,D14,E13)</f>
        <v/>
      </c>
      <c r="F14">
        <f>IF(AND(B14=1,C14&gt;1,E13&lt;&gt;""),ABS(D14-E13),"")</f>
        <v/>
      </c>
    </row>
    <row r="15">
      <c r="A15" t="n">
        <v>15</v>
      </c>
      <c r="B15">
        <f>IF(INDEX('Data Entry'!$H$5:$BE$10004,15-4,'Visual SPC'!$B$3)="",0,IF(AND(OR('Visual SPC'!$C$4="",'Data Entry'!$C15&gt;='Visual SPC'!$C$4),OR('Visual SPC'!$E$4="",'Data Entry'!$C15&lt;='Visual SPC'!$E$4),OR('Visual SPC'!$G$4="",'Data Entry'!$D15='Visual SPC'!$G$4),OR('Visual SPC'!$I$4="",'Data Entry'!$E15='Visual SPC'!$I$4),OR('Visual SPC'!$K$4="",'Data Entry'!$F15='Visual SPC'!$K$4)),1,0))</f>
        <v/>
      </c>
      <c r="C15">
        <f>C14+B15</f>
        <v/>
      </c>
      <c r="D15">
        <f>IF(B15=1,INDEX('Data Entry'!$H$5:$BE$10004,15-4,'Visual SPC'!$B$3),"")</f>
        <v/>
      </c>
      <c r="E15">
        <f>IF(B15=1,D15,E14)</f>
        <v/>
      </c>
      <c r="F15">
        <f>IF(AND(B15=1,C15&gt;1,E14&lt;&gt;""),ABS(D15-E14),"")</f>
        <v/>
      </c>
    </row>
    <row r="16">
      <c r="A16" t="n">
        <v>16</v>
      </c>
      <c r="B16">
        <f>IF(INDEX('Data Entry'!$H$5:$BE$10004,16-4,'Visual SPC'!$B$3)="",0,IF(AND(OR('Visual SPC'!$C$4="",'Data Entry'!$C16&gt;='Visual SPC'!$C$4),OR('Visual SPC'!$E$4="",'Data Entry'!$C16&lt;='Visual SPC'!$E$4),OR('Visual SPC'!$G$4="",'Data Entry'!$D16='Visual SPC'!$G$4),OR('Visual SPC'!$I$4="",'Data Entry'!$E16='Visual SPC'!$I$4),OR('Visual SPC'!$K$4="",'Data Entry'!$F16='Visual SPC'!$K$4)),1,0))</f>
        <v/>
      </c>
      <c r="C16">
        <f>C15+B16</f>
        <v/>
      </c>
      <c r="D16">
        <f>IF(B16=1,INDEX('Data Entry'!$H$5:$BE$10004,16-4,'Visual SPC'!$B$3),"")</f>
        <v/>
      </c>
      <c r="E16">
        <f>IF(B16=1,D16,E15)</f>
        <v/>
      </c>
      <c r="F16">
        <f>IF(AND(B16=1,C16&gt;1,E15&lt;&gt;""),ABS(D16-E15),"")</f>
        <v/>
      </c>
    </row>
    <row r="17">
      <c r="A17" t="n">
        <v>17</v>
      </c>
      <c r="B17">
        <f>IF(INDEX('Data Entry'!$H$5:$BE$10004,17-4,'Visual SPC'!$B$3)="",0,IF(AND(OR('Visual SPC'!$C$4="",'Data Entry'!$C17&gt;='Visual SPC'!$C$4),OR('Visual SPC'!$E$4="",'Data Entry'!$C17&lt;='Visual SPC'!$E$4),OR('Visual SPC'!$G$4="",'Data Entry'!$D17='Visual SPC'!$G$4),OR('Visual SPC'!$I$4="",'Data Entry'!$E17='Visual SPC'!$I$4),OR('Visual SPC'!$K$4="",'Data Entry'!$F17='Visual SPC'!$K$4)),1,0))</f>
        <v/>
      </c>
      <c r="C17">
        <f>C16+B17</f>
        <v/>
      </c>
      <c r="D17">
        <f>IF(B17=1,INDEX('Data Entry'!$H$5:$BE$10004,17-4,'Visual SPC'!$B$3),"")</f>
        <v/>
      </c>
      <c r="E17">
        <f>IF(B17=1,D17,E16)</f>
        <v/>
      </c>
      <c r="F17">
        <f>IF(AND(B17=1,C17&gt;1,E16&lt;&gt;""),ABS(D17-E16),"")</f>
        <v/>
      </c>
    </row>
    <row r="18">
      <c r="A18" t="n">
        <v>18</v>
      </c>
      <c r="B18">
        <f>IF(INDEX('Data Entry'!$H$5:$BE$10004,18-4,'Visual SPC'!$B$3)="",0,IF(AND(OR('Visual SPC'!$C$4="",'Data Entry'!$C18&gt;='Visual SPC'!$C$4),OR('Visual SPC'!$E$4="",'Data Entry'!$C18&lt;='Visual SPC'!$E$4),OR('Visual SPC'!$G$4="",'Data Entry'!$D18='Visual SPC'!$G$4),OR('Visual SPC'!$I$4="",'Data Entry'!$E18='Visual SPC'!$I$4),OR('Visual SPC'!$K$4="",'Data Entry'!$F18='Visual SPC'!$K$4)),1,0))</f>
        <v/>
      </c>
      <c r="C18">
        <f>C17+B18</f>
        <v/>
      </c>
      <c r="D18">
        <f>IF(B18=1,INDEX('Data Entry'!$H$5:$BE$10004,18-4,'Visual SPC'!$B$3),"")</f>
        <v/>
      </c>
      <c r="E18">
        <f>IF(B18=1,D18,E17)</f>
        <v/>
      </c>
      <c r="F18">
        <f>IF(AND(B18=1,C18&gt;1,E17&lt;&gt;""),ABS(D18-E17),"")</f>
        <v/>
      </c>
    </row>
    <row r="19">
      <c r="A19" t="n">
        <v>19</v>
      </c>
      <c r="B19">
        <f>IF(INDEX('Data Entry'!$H$5:$BE$10004,19-4,'Visual SPC'!$B$3)="",0,IF(AND(OR('Visual SPC'!$C$4="",'Data Entry'!$C19&gt;='Visual SPC'!$C$4),OR('Visual SPC'!$E$4="",'Data Entry'!$C19&lt;='Visual SPC'!$E$4),OR('Visual SPC'!$G$4="",'Data Entry'!$D19='Visual SPC'!$G$4),OR('Visual SPC'!$I$4="",'Data Entry'!$E19='Visual SPC'!$I$4),OR('Visual SPC'!$K$4="",'Data Entry'!$F19='Visual SPC'!$K$4)),1,0))</f>
        <v/>
      </c>
      <c r="C19">
        <f>C18+B19</f>
        <v/>
      </c>
      <c r="D19">
        <f>IF(B19=1,INDEX('Data Entry'!$H$5:$BE$10004,19-4,'Visual SPC'!$B$3),"")</f>
        <v/>
      </c>
      <c r="E19">
        <f>IF(B19=1,D19,E18)</f>
        <v/>
      </c>
      <c r="F19">
        <f>IF(AND(B19=1,C19&gt;1,E18&lt;&gt;""),ABS(D19-E18),"")</f>
        <v/>
      </c>
    </row>
    <row r="20">
      <c r="A20" t="n">
        <v>20</v>
      </c>
      <c r="B20">
        <f>IF(INDEX('Data Entry'!$H$5:$BE$10004,20-4,'Visual SPC'!$B$3)="",0,IF(AND(OR('Visual SPC'!$C$4="",'Data Entry'!$C20&gt;='Visual SPC'!$C$4),OR('Visual SPC'!$E$4="",'Data Entry'!$C20&lt;='Visual SPC'!$E$4),OR('Visual SPC'!$G$4="",'Data Entry'!$D20='Visual SPC'!$G$4),OR('Visual SPC'!$I$4="",'Data Entry'!$E20='Visual SPC'!$I$4),OR('Visual SPC'!$K$4="",'Data Entry'!$F20='Visual SPC'!$K$4)),1,0))</f>
        <v/>
      </c>
      <c r="C20">
        <f>C19+B20</f>
        <v/>
      </c>
      <c r="D20">
        <f>IF(B20=1,INDEX('Data Entry'!$H$5:$BE$10004,20-4,'Visual SPC'!$B$3),"")</f>
        <v/>
      </c>
      <c r="E20">
        <f>IF(B20=1,D20,E19)</f>
        <v/>
      </c>
      <c r="F20">
        <f>IF(AND(B20=1,C20&gt;1,E19&lt;&gt;""),ABS(D20-E19),"")</f>
        <v/>
      </c>
    </row>
    <row r="21">
      <c r="A21" t="n">
        <v>21</v>
      </c>
      <c r="B21">
        <f>IF(INDEX('Data Entry'!$H$5:$BE$10004,21-4,'Visual SPC'!$B$3)="",0,IF(AND(OR('Visual SPC'!$C$4="",'Data Entry'!$C21&gt;='Visual SPC'!$C$4),OR('Visual SPC'!$E$4="",'Data Entry'!$C21&lt;='Visual SPC'!$E$4),OR('Visual SPC'!$G$4="",'Data Entry'!$D21='Visual SPC'!$G$4),OR('Visual SPC'!$I$4="",'Data Entry'!$E21='Visual SPC'!$I$4),OR('Visual SPC'!$K$4="",'Data Entry'!$F21='Visual SPC'!$K$4)),1,0))</f>
        <v/>
      </c>
      <c r="C21">
        <f>C20+B21</f>
        <v/>
      </c>
      <c r="D21">
        <f>IF(B21=1,INDEX('Data Entry'!$H$5:$BE$10004,21-4,'Visual SPC'!$B$3),"")</f>
        <v/>
      </c>
      <c r="E21">
        <f>IF(B21=1,D21,E20)</f>
        <v/>
      </c>
      <c r="F21">
        <f>IF(AND(B21=1,C21&gt;1,E20&lt;&gt;""),ABS(D21-E20),"")</f>
        <v/>
      </c>
    </row>
    <row r="22">
      <c r="A22" t="n">
        <v>22</v>
      </c>
      <c r="B22">
        <f>IF(INDEX('Data Entry'!$H$5:$BE$10004,22-4,'Visual SPC'!$B$3)="",0,IF(AND(OR('Visual SPC'!$C$4="",'Data Entry'!$C22&gt;='Visual SPC'!$C$4),OR('Visual SPC'!$E$4="",'Data Entry'!$C22&lt;='Visual SPC'!$E$4),OR('Visual SPC'!$G$4="",'Data Entry'!$D22='Visual SPC'!$G$4),OR('Visual SPC'!$I$4="",'Data Entry'!$E22='Visual SPC'!$I$4),OR('Visual SPC'!$K$4="",'Data Entry'!$F22='Visual SPC'!$K$4)),1,0))</f>
        <v/>
      </c>
      <c r="C22">
        <f>C21+B22</f>
        <v/>
      </c>
      <c r="D22">
        <f>IF(B22=1,INDEX('Data Entry'!$H$5:$BE$10004,22-4,'Visual SPC'!$B$3),"")</f>
        <v/>
      </c>
      <c r="E22">
        <f>IF(B22=1,D22,E21)</f>
        <v/>
      </c>
      <c r="F22">
        <f>IF(AND(B22=1,C22&gt;1,E21&lt;&gt;""),ABS(D22-E21),"")</f>
        <v/>
      </c>
    </row>
    <row r="23">
      <c r="A23" t="n">
        <v>23</v>
      </c>
      <c r="B23">
        <f>IF(INDEX('Data Entry'!$H$5:$BE$10004,23-4,'Visual SPC'!$B$3)="",0,IF(AND(OR('Visual SPC'!$C$4="",'Data Entry'!$C23&gt;='Visual SPC'!$C$4),OR('Visual SPC'!$E$4="",'Data Entry'!$C23&lt;='Visual SPC'!$E$4),OR('Visual SPC'!$G$4="",'Data Entry'!$D23='Visual SPC'!$G$4),OR('Visual SPC'!$I$4="",'Data Entry'!$E23='Visual SPC'!$I$4),OR('Visual SPC'!$K$4="",'Data Entry'!$F23='Visual SPC'!$K$4)),1,0))</f>
        <v/>
      </c>
      <c r="C23">
        <f>C22+B23</f>
        <v/>
      </c>
      <c r="D23">
        <f>IF(B23=1,INDEX('Data Entry'!$H$5:$BE$10004,23-4,'Visual SPC'!$B$3),"")</f>
        <v/>
      </c>
      <c r="E23">
        <f>IF(B23=1,D23,E22)</f>
        <v/>
      </c>
      <c r="F23">
        <f>IF(AND(B23=1,C23&gt;1,E22&lt;&gt;""),ABS(D23-E22),"")</f>
        <v/>
      </c>
    </row>
    <row r="24">
      <c r="A24" t="n">
        <v>24</v>
      </c>
      <c r="B24">
        <f>IF(INDEX('Data Entry'!$H$5:$BE$10004,24-4,'Visual SPC'!$B$3)="",0,IF(AND(OR('Visual SPC'!$C$4="",'Data Entry'!$C24&gt;='Visual SPC'!$C$4),OR('Visual SPC'!$E$4="",'Data Entry'!$C24&lt;='Visual SPC'!$E$4),OR('Visual SPC'!$G$4="",'Data Entry'!$D24='Visual SPC'!$G$4),OR('Visual SPC'!$I$4="",'Data Entry'!$E24='Visual SPC'!$I$4),OR('Visual SPC'!$K$4="",'Data Entry'!$F24='Visual SPC'!$K$4)),1,0))</f>
        <v/>
      </c>
      <c r="C24">
        <f>C23+B24</f>
        <v/>
      </c>
      <c r="D24">
        <f>IF(B24=1,INDEX('Data Entry'!$H$5:$BE$10004,24-4,'Visual SPC'!$B$3),"")</f>
        <v/>
      </c>
      <c r="E24">
        <f>IF(B24=1,D24,E23)</f>
        <v/>
      </c>
      <c r="F24">
        <f>IF(AND(B24=1,C24&gt;1,E23&lt;&gt;""),ABS(D24-E23),"")</f>
        <v/>
      </c>
    </row>
    <row r="25">
      <c r="A25" t="n">
        <v>25</v>
      </c>
      <c r="B25">
        <f>IF(INDEX('Data Entry'!$H$5:$BE$10004,25-4,'Visual SPC'!$B$3)="",0,IF(AND(OR('Visual SPC'!$C$4="",'Data Entry'!$C25&gt;='Visual SPC'!$C$4),OR('Visual SPC'!$E$4="",'Data Entry'!$C25&lt;='Visual SPC'!$E$4),OR('Visual SPC'!$G$4="",'Data Entry'!$D25='Visual SPC'!$G$4),OR('Visual SPC'!$I$4="",'Data Entry'!$E25='Visual SPC'!$I$4),OR('Visual SPC'!$K$4="",'Data Entry'!$F25='Visual SPC'!$K$4)),1,0))</f>
        <v/>
      </c>
      <c r="C25">
        <f>C24+B25</f>
        <v/>
      </c>
      <c r="D25">
        <f>IF(B25=1,INDEX('Data Entry'!$H$5:$BE$10004,25-4,'Visual SPC'!$B$3),"")</f>
        <v/>
      </c>
      <c r="E25">
        <f>IF(B25=1,D25,E24)</f>
        <v/>
      </c>
      <c r="F25">
        <f>IF(AND(B25=1,C25&gt;1,E24&lt;&gt;""),ABS(D25-E24),"")</f>
        <v/>
      </c>
    </row>
    <row r="26">
      <c r="A26" t="n">
        <v>26</v>
      </c>
      <c r="B26">
        <f>IF(INDEX('Data Entry'!$H$5:$BE$10004,26-4,'Visual SPC'!$B$3)="",0,IF(AND(OR('Visual SPC'!$C$4="",'Data Entry'!$C26&gt;='Visual SPC'!$C$4),OR('Visual SPC'!$E$4="",'Data Entry'!$C26&lt;='Visual SPC'!$E$4),OR('Visual SPC'!$G$4="",'Data Entry'!$D26='Visual SPC'!$G$4),OR('Visual SPC'!$I$4="",'Data Entry'!$E26='Visual SPC'!$I$4),OR('Visual SPC'!$K$4="",'Data Entry'!$F26='Visual SPC'!$K$4)),1,0))</f>
        <v/>
      </c>
      <c r="C26">
        <f>C25+B26</f>
        <v/>
      </c>
      <c r="D26">
        <f>IF(B26=1,INDEX('Data Entry'!$H$5:$BE$10004,26-4,'Visual SPC'!$B$3),"")</f>
        <v/>
      </c>
      <c r="E26">
        <f>IF(B26=1,D26,E25)</f>
        <v/>
      </c>
      <c r="F26">
        <f>IF(AND(B26=1,C26&gt;1,E25&lt;&gt;""),ABS(D26-E25),"")</f>
        <v/>
      </c>
    </row>
    <row r="27">
      <c r="A27" t="n">
        <v>27</v>
      </c>
      <c r="B27">
        <f>IF(INDEX('Data Entry'!$H$5:$BE$10004,27-4,'Visual SPC'!$B$3)="",0,IF(AND(OR('Visual SPC'!$C$4="",'Data Entry'!$C27&gt;='Visual SPC'!$C$4),OR('Visual SPC'!$E$4="",'Data Entry'!$C27&lt;='Visual SPC'!$E$4),OR('Visual SPC'!$G$4="",'Data Entry'!$D27='Visual SPC'!$G$4),OR('Visual SPC'!$I$4="",'Data Entry'!$E27='Visual SPC'!$I$4),OR('Visual SPC'!$K$4="",'Data Entry'!$F27='Visual SPC'!$K$4)),1,0))</f>
        <v/>
      </c>
      <c r="C27">
        <f>C26+B27</f>
        <v/>
      </c>
      <c r="D27">
        <f>IF(B27=1,INDEX('Data Entry'!$H$5:$BE$10004,27-4,'Visual SPC'!$B$3),"")</f>
        <v/>
      </c>
      <c r="E27">
        <f>IF(B27=1,D27,E26)</f>
        <v/>
      </c>
      <c r="F27">
        <f>IF(AND(B27=1,C27&gt;1,E26&lt;&gt;""),ABS(D27-E26),"")</f>
        <v/>
      </c>
    </row>
    <row r="28">
      <c r="A28" t="n">
        <v>28</v>
      </c>
      <c r="B28">
        <f>IF(INDEX('Data Entry'!$H$5:$BE$10004,28-4,'Visual SPC'!$B$3)="",0,IF(AND(OR('Visual SPC'!$C$4="",'Data Entry'!$C28&gt;='Visual SPC'!$C$4),OR('Visual SPC'!$E$4="",'Data Entry'!$C28&lt;='Visual SPC'!$E$4),OR('Visual SPC'!$G$4="",'Data Entry'!$D28='Visual SPC'!$G$4),OR('Visual SPC'!$I$4="",'Data Entry'!$E28='Visual SPC'!$I$4),OR('Visual SPC'!$K$4="",'Data Entry'!$F28='Visual SPC'!$K$4)),1,0))</f>
        <v/>
      </c>
      <c r="C28">
        <f>C27+B28</f>
        <v/>
      </c>
      <c r="D28">
        <f>IF(B28=1,INDEX('Data Entry'!$H$5:$BE$10004,28-4,'Visual SPC'!$B$3),"")</f>
        <v/>
      </c>
      <c r="E28">
        <f>IF(B28=1,D28,E27)</f>
        <v/>
      </c>
      <c r="F28">
        <f>IF(AND(B28=1,C28&gt;1,E27&lt;&gt;""),ABS(D28-E27),"")</f>
        <v/>
      </c>
    </row>
    <row r="29">
      <c r="A29" t="n">
        <v>29</v>
      </c>
      <c r="B29">
        <f>IF(INDEX('Data Entry'!$H$5:$BE$10004,29-4,'Visual SPC'!$B$3)="",0,IF(AND(OR('Visual SPC'!$C$4="",'Data Entry'!$C29&gt;='Visual SPC'!$C$4),OR('Visual SPC'!$E$4="",'Data Entry'!$C29&lt;='Visual SPC'!$E$4),OR('Visual SPC'!$G$4="",'Data Entry'!$D29='Visual SPC'!$G$4),OR('Visual SPC'!$I$4="",'Data Entry'!$E29='Visual SPC'!$I$4),OR('Visual SPC'!$K$4="",'Data Entry'!$F29='Visual SPC'!$K$4)),1,0))</f>
        <v/>
      </c>
      <c r="C29">
        <f>C28+B29</f>
        <v/>
      </c>
      <c r="D29">
        <f>IF(B29=1,INDEX('Data Entry'!$H$5:$BE$10004,29-4,'Visual SPC'!$B$3),"")</f>
        <v/>
      </c>
      <c r="E29">
        <f>IF(B29=1,D29,E28)</f>
        <v/>
      </c>
      <c r="F29">
        <f>IF(AND(B29=1,C29&gt;1,E28&lt;&gt;""),ABS(D29-E28),"")</f>
        <v/>
      </c>
    </row>
    <row r="30">
      <c r="A30" t="n">
        <v>30</v>
      </c>
      <c r="B30">
        <f>IF(INDEX('Data Entry'!$H$5:$BE$10004,30-4,'Visual SPC'!$B$3)="",0,IF(AND(OR('Visual SPC'!$C$4="",'Data Entry'!$C30&gt;='Visual SPC'!$C$4),OR('Visual SPC'!$E$4="",'Data Entry'!$C30&lt;='Visual SPC'!$E$4),OR('Visual SPC'!$G$4="",'Data Entry'!$D30='Visual SPC'!$G$4),OR('Visual SPC'!$I$4="",'Data Entry'!$E30='Visual SPC'!$I$4),OR('Visual SPC'!$K$4="",'Data Entry'!$F30='Visual SPC'!$K$4)),1,0))</f>
        <v/>
      </c>
      <c r="C30">
        <f>C29+B30</f>
        <v/>
      </c>
      <c r="D30">
        <f>IF(B30=1,INDEX('Data Entry'!$H$5:$BE$10004,30-4,'Visual SPC'!$B$3),"")</f>
        <v/>
      </c>
      <c r="E30">
        <f>IF(B30=1,D30,E29)</f>
        <v/>
      </c>
      <c r="F30">
        <f>IF(AND(B30=1,C30&gt;1,E29&lt;&gt;""),ABS(D30-E29),"")</f>
        <v/>
      </c>
    </row>
    <row r="31">
      <c r="A31" t="n">
        <v>31</v>
      </c>
      <c r="B31">
        <f>IF(INDEX('Data Entry'!$H$5:$BE$10004,31-4,'Visual SPC'!$B$3)="",0,IF(AND(OR('Visual SPC'!$C$4="",'Data Entry'!$C31&gt;='Visual SPC'!$C$4),OR('Visual SPC'!$E$4="",'Data Entry'!$C31&lt;='Visual SPC'!$E$4),OR('Visual SPC'!$G$4="",'Data Entry'!$D31='Visual SPC'!$G$4),OR('Visual SPC'!$I$4="",'Data Entry'!$E31='Visual SPC'!$I$4),OR('Visual SPC'!$K$4="",'Data Entry'!$F31='Visual SPC'!$K$4)),1,0))</f>
        <v/>
      </c>
      <c r="C31">
        <f>C30+B31</f>
        <v/>
      </c>
      <c r="D31">
        <f>IF(B31=1,INDEX('Data Entry'!$H$5:$BE$10004,31-4,'Visual SPC'!$B$3),"")</f>
        <v/>
      </c>
      <c r="E31">
        <f>IF(B31=1,D31,E30)</f>
        <v/>
      </c>
      <c r="F31">
        <f>IF(AND(B31=1,C31&gt;1,E30&lt;&gt;""),ABS(D31-E30),"")</f>
        <v/>
      </c>
    </row>
    <row r="32">
      <c r="A32" t="n">
        <v>32</v>
      </c>
      <c r="B32">
        <f>IF(INDEX('Data Entry'!$H$5:$BE$10004,32-4,'Visual SPC'!$B$3)="",0,IF(AND(OR('Visual SPC'!$C$4="",'Data Entry'!$C32&gt;='Visual SPC'!$C$4),OR('Visual SPC'!$E$4="",'Data Entry'!$C32&lt;='Visual SPC'!$E$4),OR('Visual SPC'!$G$4="",'Data Entry'!$D32='Visual SPC'!$G$4),OR('Visual SPC'!$I$4="",'Data Entry'!$E32='Visual SPC'!$I$4),OR('Visual SPC'!$K$4="",'Data Entry'!$F32='Visual SPC'!$K$4)),1,0))</f>
        <v/>
      </c>
      <c r="C32">
        <f>C31+B32</f>
        <v/>
      </c>
      <c r="D32">
        <f>IF(B32=1,INDEX('Data Entry'!$H$5:$BE$10004,32-4,'Visual SPC'!$B$3),"")</f>
        <v/>
      </c>
      <c r="E32">
        <f>IF(B32=1,D32,E31)</f>
        <v/>
      </c>
      <c r="F32">
        <f>IF(AND(B32=1,C32&gt;1,E31&lt;&gt;""),ABS(D32-E31),"")</f>
        <v/>
      </c>
    </row>
    <row r="33">
      <c r="A33" t="n">
        <v>33</v>
      </c>
      <c r="B33">
        <f>IF(INDEX('Data Entry'!$H$5:$BE$10004,33-4,'Visual SPC'!$B$3)="",0,IF(AND(OR('Visual SPC'!$C$4="",'Data Entry'!$C33&gt;='Visual SPC'!$C$4),OR('Visual SPC'!$E$4="",'Data Entry'!$C33&lt;='Visual SPC'!$E$4),OR('Visual SPC'!$G$4="",'Data Entry'!$D33='Visual SPC'!$G$4),OR('Visual SPC'!$I$4="",'Data Entry'!$E33='Visual SPC'!$I$4),OR('Visual SPC'!$K$4="",'Data Entry'!$F33='Visual SPC'!$K$4)),1,0))</f>
        <v/>
      </c>
      <c r="C33">
        <f>C32+B33</f>
        <v/>
      </c>
      <c r="D33">
        <f>IF(B33=1,INDEX('Data Entry'!$H$5:$BE$10004,33-4,'Visual SPC'!$B$3),"")</f>
        <v/>
      </c>
      <c r="E33">
        <f>IF(B33=1,D33,E32)</f>
        <v/>
      </c>
      <c r="F33">
        <f>IF(AND(B33=1,C33&gt;1,E32&lt;&gt;""),ABS(D33-E32),"")</f>
        <v/>
      </c>
    </row>
    <row r="34">
      <c r="A34" t="n">
        <v>34</v>
      </c>
      <c r="B34">
        <f>IF(INDEX('Data Entry'!$H$5:$BE$10004,34-4,'Visual SPC'!$B$3)="",0,IF(AND(OR('Visual SPC'!$C$4="",'Data Entry'!$C34&gt;='Visual SPC'!$C$4),OR('Visual SPC'!$E$4="",'Data Entry'!$C34&lt;='Visual SPC'!$E$4),OR('Visual SPC'!$G$4="",'Data Entry'!$D34='Visual SPC'!$G$4),OR('Visual SPC'!$I$4="",'Data Entry'!$E34='Visual SPC'!$I$4),OR('Visual SPC'!$K$4="",'Data Entry'!$F34='Visual SPC'!$K$4)),1,0))</f>
        <v/>
      </c>
      <c r="C34">
        <f>C33+B34</f>
        <v/>
      </c>
      <c r="D34">
        <f>IF(B34=1,INDEX('Data Entry'!$H$5:$BE$10004,34-4,'Visual SPC'!$B$3),"")</f>
        <v/>
      </c>
      <c r="E34">
        <f>IF(B34=1,D34,E33)</f>
        <v/>
      </c>
      <c r="F34">
        <f>IF(AND(B34=1,C34&gt;1,E33&lt;&gt;""),ABS(D34-E33),"")</f>
        <v/>
      </c>
    </row>
    <row r="35">
      <c r="A35" t="n">
        <v>35</v>
      </c>
      <c r="B35">
        <f>IF(INDEX('Data Entry'!$H$5:$BE$10004,35-4,'Visual SPC'!$B$3)="",0,IF(AND(OR('Visual SPC'!$C$4="",'Data Entry'!$C35&gt;='Visual SPC'!$C$4),OR('Visual SPC'!$E$4="",'Data Entry'!$C35&lt;='Visual SPC'!$E$4),OR('Visual SPC'!$G$4="",'Data Entry'!$D35='Visual SPC'!$G$4),OR('Visual SPC'!$I$4="",'Data Entry'!$E35='Visual SPC'!$I$4),OR('Visual SPC'!$K$4="",'Data Entry'!$F35='Visual SPC'!$K$4)),1,0))</f>
        <v/>
      </c>
      <c r="C35">
        <f>C34+B35</f>
        <v/>
      </c>
      <c r="D35">
        <f>IF(B35=1,INDEX('Data Entry'!$H$5:$BE$10004,35-4,'Visual SPC'!$B$3),"")</f>
        <v/>
      </c>
      <c r="E35">
        <f>IF(B35=1,D35,E34)</f>
        <v/>
      </c>
      <c r="F35">
        <f>IF(AND(B35=1,C35&gt;1,E34&lt;&gt;""),ABS(D35-E34),"")</f>
        <v/>
      </c>
    </row>
    <row r="36">
      <c r="A36" t="n">
        <v>36</v>
      </c>
      <c r="B36">
        <f>IF(INDEX('Data Entry'!$H$5:$BE$10004,36-4,'Visual SPC'!$B$3)="",0,IF(AND(OR('Visual SPC'!$C$4="",'Data Entry'!$C36&gt;='Visual SPC'!$C$4),OR('Visual SPC'!$E$4="",'Data Entry'!$C36&lt;='Visual SPC'!$E$4),OR('Visual SPC'!$G$4="",'Data Entry'!$D36='Visual SPC'!$G$4),OR('Visual SPC'!$I$4="",'Data Entry'!$E36='Visual SPC'!$I$4),OR('Visual SPC'!$K$4="",'Data Entry'!$F36='Visual SPC'!$K$4)),1,0))</f>
        <v/>
      </c>
      <c r="C36">
        <f>C35+B36</f>
        <v/>
      </c>
      <c r="D36">
        <f>IF(B36=1,INDEX('Data Entry'!$H$5:$BE$10004,36-4,'Visual SPC'!$B$3),"")</f>
        <v/>
      </c>
      <c r="E36">
        <f>IF(B36=1,D36,E35)</f>
        <v/>
      </c>
      <c r="F36">
        <f>IF(AND(B36=1,C36&gt;1,E35&lt;&gt;""),ABS(D36-E35),"")</f>
        <v/>
      </c>
    </row>
    <row r="37">
      <c r="A37" t="n">
        <v>37</v>
      </c>
      <c r="B37">
        <f>IF(INDEX('Data Entry'!$H$5:$BE$10004,37-4,'Visual SPC'!$B$3)="",0,IF(AND(OR('Visual SPC'!$C$4="",'Data Entry'!$C37&gt;='Visual SPC'!$C$4),OR('Visual SPC'!$E$4="",'Data Entry'!$C37&lt;='Visual SPC'!$E$4),OR('Visual SPC'!$G$4="",'Data Entry'!$D37='Visual SPC'!$G$4),OR('Visual SPC'!$I$4="",'Data Entry'!$E37='Visual SPC'!$I$4),OR('Visual SPC'!$K$4="",'Data Entry'!$F37='Visual SPC'!$K$4)),1,0))</f>
        <v/>
      </c>
      <c r="C37">
        <f>C36+B37</f>
        <v/>
      </c>
      <c r="D37">
        <f>IF(B37=1,INDEX('Data Entry'!$H$5:$BE$10004,37-4,'Visual SPC'!$B$3),"")</f>
        <v/>
      </c>
      <c r="E37">
        <f>IF(B37=1,D37,E36)</f>
        <v/>
      </c>
      <c r="F37">
        <f>IF(AND(B37=1,C37&gt;1,E36&lt;&gt;""),ABS(D37-E36),"")</f>
        <v/>
      </c>
    </row>
    <row r="38">
      <c r="A38" t="n">
        <v>38</v>
      </c>
      <c r="B38">
        <f>IF(INDEX('Data Entry'!$H$5:$BE$10004,38-4,'Visual SPC'!$B$3)="",0,IF(AND(OR('Visual SPC'!$C$4="",'Data Entry'!$C38&gt;='Visual SPC'!$C$4),OR('Visual SPC'!$E$4="",'Data Entry'!$C38&lt;='Visual SPC'!$E$4),OR('Visual SPC'!$G$4="",'Data Entry'!$D38='Visual SPC'!$G$4),OR('Visual SPC'!$I$4="",'Data Entry'!$E38='Visual SPC'!$I$4),OR('Visual SPC'!$K$4="",'Data Entry'!$F38='Visual SPC'!$K$4)),1,0))</f>
        <v/>
      </c>
      <c r="C38">
        <f>C37+B38</f>
        <v/>
      </c>
      <c r="D38">
        <f>IF(B38=1,INDEX('Data Entry'!$H$5:$BE$10004,38-4,'Visual SPC'!$B$3),"")</f>
        <v/>
      </c>
      <c r="E38">
        <f>IF(B38=1,D38,E37)</f>
        <v/>
      </c>
      <c r="F38">
        <f>IF(AND(B38=1,C38&gt;1,E37&lt;&gt;""),ABS(D38-E37),"")</f>
        <v/>
      </c>
    </row>
    <row r="39">
      <c r="A39" t="n">
        <v>39</v>
      </c>
      <c r="B39">
        <f>IF(INDEX('Data Entry'!$H$5:$BE$10004,39-4,'Visual SPC'!$B$3)="",0,IF(AND(OR('Visual SPC'!$C$4="",'Data Entry'!$C39&gt;='Visual SPC'!$C$4),OR('Visual SPC'!$E$4="",'Data Entry'!$C39&lt;='Visual SPC'!$E$4),OR('Visual SPC'!$G$4="",'Data Entry'!$D39='Visual SPC'!$G$4),OR('Visual SPC'!$I$4="",'Data Entry'!$E39='Visual SPC'!$I$4),OR('Visual SPC'!$K$4="",'Data Entry'!$F39='Visual SPC'!$K$4)),1,0))</f>
        <v/>
      </c>
      <c r="C39">
        <f>C38+B39</f>
        <v/>
      </c>
      <c r="D39">
        <f>IF(B39=1,INDEX('Data Entry'!$H$5:$BE$10004,39-4,'Visual SPC'!$B$3),"")</f>
        <v/>
      </c>
      <c r="E39">
        <f>IF(B39=1,D39,E38)</f>
        <v/>
      </c>
      <c r="F39">
        <f>IF(AND(B39=1,C39&gt;1,E38&lt;&gt;""),ABS(D39-E38),"")</f>
        <v/>
      </c>
    </row>
    <row r="40">
      <c r="A40" t="n">
        <v>40</v>
      </c>
      <c r="B40">
        <f>IF(INDEX('Data Entry'!$H$5:$BE$10004,40-4,'Visual SPC'!$B$3)="",0,IF(AND(OR('Visual SPC'!$C$4="",'Data Entry'!$C40&gt;='Visual SPC'!$C$4),OR('Visual SPC'!$E$4="",'Data Entry'!$C40&lt;='Visual SPC'!$E$4),OR('Visual SPC'!$G$4="",'Data Entry'!$D40='Visual SPC'!$G$4),OR('Visual SPC'!$I$4="",'Data Entry'!$E40='Visual SPC'!$I$4),OR('Visual SPC'!$K$4="",'Data Entry'!$F40='Visual SPC'!$K$4)),1,0))</f>
        <v/>
      </c>
      <c r="C40">
        <f>C39+B40</f>
        <v/>
      </c>
      <c r="D40">
        <f>IF(B40=1,INDEX('Data Entry'!$H$5:$BE$10004,40-4,'Visual SPC'!$B$3),"")</f>
        <v/>
      </c>
      <c r="E40">
        <f>IF(B40=1,D40,E39)</f>
        <v/>
      </c>
      <c r="F40">
        <f>IF(AND(B40=1,C40&gt;1,E39&lt;&gt;""),ABS(D40-E39),"")</f>
        <v/>
      </c>
    </row>
    <row r="41">
      <c r="A41" t="n">
        <v>41</v>
      </c>
      <c r="B41">
        <f>IF(INDEX('Data Entry'!$H$5:$BE$10004,41-4,'Visual SPC'!$B$3)="",0,IF(AND(OR('Visual SPC'!$C$4="",'Data Entry'!$C41&gt;='Visual SPC'!$C$4),OR('Visual SPC'!$E$4="",'Data Entry'!$C41&lt;='Visual SPC'!$E$4),OR('Visual SPC'!$G$4="",'Data Entry'!$D41='Visual SPC'!$G$4),OR('Visual SPC'!$I$4="",'Data Entry'!$E41='Visual SPC'!$I$4),OR('Visual SPC'!$K$4="",'Data Entry'!$F41='Visual SPC'!$K$4)),1,0))</f>
        <v/>
      </c>
      <c r="C41">
        <f>C40+B41</f>
        <v/>
      </c>
      <c r="D41">
        <f>IF(B41=1,INDEX('Data Entry'!$H$5:$BE$10004,41-4,'Visual SPC'!$B$3),"")</f>
        <v/>
      </c>
      <c r="E41">
        <f>IF(B41=1,D41,E40)</f>
        <v/>
      </c>
      <c r="F41">
        <f>IF(AND(B41=1,C41&gt;1,E40&lt;&gt;""),ABS(D41-E40),"")</f>
        <v/>
      </c>
    </row>
    <row r="42">
      <c r="A42" t="n">
        <v>42</v>
      </c>
      <c r="B42">
        <f>IF(INDEX('Data Entry'!$H$5:$BE$10004,42-4,'Visual SPC'!$B$3)="",0,IF(AND(OR('Visual SPC'!$C$4="",'Data Entry'!$C42&gt;='Visual SPC'!$C$4),OR('Visual SPC'!$E$4="",'Data Entry'!$C42&lt;='Visual SPC'!$E$4),OR('Visual SPC'!$G$4="",'Data Entry'!$D42='Visual SPC'!$G$4),OR('Visual SPC'!$I$4="",'Data Entry'!$E42='Visual SPC'!$I$4),OR('Visual SPC'!$K$4="",'Data Entry'!$F42='Visual SPC'!$K$4)),1,0))</f>
        <v/>
      </c>
      <c r="C42">
        <f>C41+B42</f>
        <v/>
      </c>
      <c r="D42">
        <f>IF(B42=1,INDEX('Data Entry'!$H$5:$BE$10004,42-4,'Visual SPC'!$B$3),"")</f>
        <v/>
      </c>
      <c r="E42">
        <f>IF(B42=1,D42,E41)</f>
        <v/>
      </c>
      <c r="F42">
        <f>IF(AND(B42=1,C42&gt;1,E41&lt;&gt;""),ABS(D42-E41),"")</f>
        <v/>
      </c>
    </row>
    <row r="43">
      <c r="A43" t="n">
        <v>43</v>
      </c>
      <c r="B43">
        <f>IF(INDEX('Data Entry'!$H$5:$BE$10004,43-4,'Visual SPC'!$B$3)="",0,IF(AND(OR('Visual SPC'!$C$4="",'Data Entry'!$C43&gt;='Visual SPC'!$C$4),OR('Visual SPC'!$E$4="",'Data Entry'!$C43&lt;='Visual SPC'!$E$4),OR('Visual SPC'!$G$4="",'Data Entry'!$D43='Visual SPC'!$G$4),OR('Visual SPC'!$I$4="",'Data Entry'!$E43='Visual SPC'!$I$4),OR('Visual SPC'!$K$4="",'Data Entry'!$F43='Visual SPC'!$K$4)),1,0))</f>
        <v/>
      </c>
      <c r="C43">
        <f>C42+B43</f>
        <v/>
      </c>
      <c r="D43">
        <f>IF(B43=1,INDEX('Data Entry'!$H$5:$BE$10004,43-4,'Visual SPC'!$B$3),"")</f>
        <v/>
      </c>
      <c r="E43">
        <f>IF(B43=1,D43,E42)</f>
        <v/>
      </c>
      <c r="F43">
        <f>IF(AND(B43=1,C43&gt;1,E42&lt;&gt;""),ABS(D43-E42),"")</f>
        <v/>
      </c>
    </row>
    <row r="44">
      <c r="A44" t="n">
        <v>44</v>
      </c>
      <c r="B44">
        <f>IF(INDEX('Data Entry'!$H$5:$BE$10004,44-4,'Visual SPC'!$B$3)="",0,IF(AND(OR('Visual SPC'!$C$4="",'Data Entry'!$C44&gt;='Visual SPC'!$C$4),OR('Visual SPC'!$E$4="",'Data Entry'!$C44&lt;='Visual SPC'!$E$4),OR('Visual SPC'!$G$4="",'Data Entry'!$D44='Visual SPC'!$G$4),OR('Visual SPC'!$I$4="",'Data Entry'!$E44='Visual SPC'!$I$4),OR('Visual SPC'!$K$4="",'Data Entry'!$F44='Visual SPC'!$K$4)),1,0))</f>
        <v/>
      </c>
      <c r="C44">
        <f>C43+B44</f>
        <v/>
      </c>
      <c r="D44">
        <f>IF(B44=1,INDEX('Data Entry'!$H$5:$BE$10004,44-4,'Visual SPC'!$B$3),"")</f>
        <v/>
      </c>
      <c r="E44">
        <f>IF(B44=1,D44,E43)</f>
        <v/>
      </c>
      <c r="F44">
        <f>IF(AND(B44=1,C44&gt;1,E43&lt;&gt;""),ABS(D44-E43),"")</f>
        <v/>
      </c>
    </row>
    <row r="45">
      <c r="A45" t="n">
        <v>45</v>
      </c>
      <c r="B45">
        <f>IF(INDEX('Data Entry'!$H$5:$BE$10004,45-4,'Visual SPC'!$B$3)="",0,IF(AND(OR('Visual SPC'!$C$4="",'Data Entry'!$C45&gt;='Visual SPC'!$C$4),OR('Visual SPC'!$E$4="",'Data Entry'!$C45&lt;='Visual SPC'!$E$4),OR('Visual SPC'!$G$4="",'Data Entry'!$D45='Visual SPC'!$G$4),OR('Visual SPC'!$I$4="",'Data Entry'!$E45='Visual SPC'!$I$4),OR('Visual SPC'!$K$4="",'Data Entry'!$F45='Visual SPC'!$K$4)),1,0))</f>
        <v/>
      </c>
      <c r="C45">
        <f>C44+B45</f>
        <v/>
      </c>
      <c r="D45">
        <f>IF(B45=1,INDEX('Data Entry'!$H$5:$BE$10004,45-4,'Visual SPC'!$B$3),"")</f>
        <v/>
      </c>
      <c r="E45">
        <f>IF(B45=1,D45,E44)</f>
        <v/>
      </c>
      <c r="F45">
        <f>IF(AND(B45=1,C45&gt;1,E44&lt;&gt;""),ABS(D45-E44),"")</f>
        <v/>
      </c>
    </row>
    <row r="46">
      <c r="A46" t="n">
        <v>46</v>
      </c>
      <c r="B46">
        <f>IF(INDEX('Data Entry'!$H$5:$BE$10004,46-4,'Visual SPC'!$B$3)="",0,IF(AND(OR('Visual SPC'!$C$4="",'Data Entry'!$C46&gt;='Visual SPC'!$C$4),OR('Visual SPC'!$E$4="",'Data Entry'!$C46&lt;='Visual SPC'!$E$4),OR('Visual SPC'!$G$4="",'Data Entry'!$D46='Visual SPC'!$G$4),OR('Visual SPC'!$I$4="",'Data Entry'!$E46='Visual SPC'!$I$4),OR('Visual SPC'!$K$4="",'Data Entry'!$F46='Visual SPC'!$K$4)),1,0))</f>
        <v/>
      </c>
      <c r="C46">
        <f>C45+B46</f>
        <v/>
      </c>
      <c r="D46">
        <f>IF(B46=1,INDEX('Data Entry'!$H$5:$BE$10004,46-4,'Visual SPC'!$B$3),"")</f>
        <v/>
      </c>
      <c r="E46">
        <f>IF(B46=1,D46,E45)</f>
        <v/>
      </c>
      <c r="F46">
        <f>IF(AND(B46=1,C46&gt;1,E45&lt;&gt;""),ABS(D46-E45),"")</f>
        <v/>
      </c>
    </row>
    <row r="47">
      <c r="A47" t="n">
        <v>47</v>
      </c>
      <c r="B47">
        <f>IF(INDEX('Data Entry'!$H$5:$BE$10004,47-4,'Visual SPC'!$B$3)="",0,IF(AND(OR('Visual SPC'!$C$4="",'Data Entry'!$C47&gt;='Visual SPC'!$C$4),OR('Visual SPC'!$E$4="",'Data Entry'!$C47&lt;='Visual SPC'!$E$4),OR('Visual SPC'!$G$4="",'Data Entry'!$D47='Visual SPC'!$G$4),OR('Visual SPC'!$I$4="",'Data Entry'!$E47='Visual SPC'!$I$4),OR('Visual SPC'!$K$4="",'Data Entry'!$F47='Visual SPC'!$K$4)),1,0))</f>
        <v/>
      </c>
      <c r="C47">
        <f>C46+B47</f>
        <v/>
      </c>
      <c r="D47">
        <f>IF(B47=1,INDEX('Data Entry'!$H$5:$BE$10004,47-4,'Visual SPC'!$B$3),"")</f>
        <v/>
      </c>
      <c r="E47">
        <f>IF(B47=1,D47,E46)</f>
        <v/>
      </c>
      <c r="F47">
        <f>IF(AND(B47=1,C47&gt;1,E46&lt;&gt;""),ABS(D47-E46),"")</f>
        <v/>
      </c>
    </row>
    <row r="48">
      <c r="A48" t="n">
        <v>48</v>
      </c>
      <c r="B48">
        <f>IF(INDEX('Data Entry'!$H$5:$BE$10004,48-4,'Visual SPC'!$B$3)="",0,IF(AND(OR('Visual SPC'!$C$4="",'Data Entry'!$C48&gt;='Visual SPC'!$C$4),OR('Visual SPC'!$E$4="",'Data Entry'!$C48&lt;='Visual SPC'!$E$4),OR('Visual SPC'!$G$4="",'Data Entry'!$D48='Visual SPC'!$G$4),OR('Visual SPC'!$I$4="",'Data Entry'!$E48='Visual SPC'!$I$4),OR('Visual SPC'!$K$4="",'Data Entry'!$F48='Visual SPC'!$K$4)),1,0))</f>
        <v/>
      </c>
      <c r="C48">
        <f>C47+B48</f>
        <v/>
      </c>
      <c r="D48">
        <f>IF(B48=1,INDEX('Data Entry'!$H$5:$BE$10004,48-4,'Visual SPC'!$B$3),"")</f>
        <v/>
      </c>
      <c r="E48">
        <f>IF(B48=1,D48,E47)</f>
        <v/>
      </c>
      <c r="F48">
        <f>IF(AND(B48=1,C48&gt;1,E47&lt;&gt;""),ABS(D48-E47),"")</f>
        <v/>
      </c>
    </row>
    <row r="49">
      <c r="A49" t="n">
        <v>49</v>
      </c>
      <c r="B49">
        <f>IF(INDEX('Data Entry'!$H$5:$BE$10004,49-4,'Visual SPC'!$B$3)="",0,IF(AND(OR('Visual SPC'!$C$4="",'Data Entry'!$C49&gt;='Visual SPC'!$C$4),OR('Visual SPC'!$E$4="",'Data Entry'!$C49&lt;='Visual SPC'!$E$4),OR('Visual SPC'!$G$4="",'Data Entry'!$D49='Visual SPC'!$G$4),OR('Visual SPC'!$I$4="",'Data Entry'!$E49='Visual SPC'!$I$4),OR('Visual SPC'!$K$4="",'Data Entry'!$F49='Visual SPC'!$K$4)),1,0))</f>
        <v/>
      </c>
      <c r="C49">
        <f>C48+B49</f>
        <v/>
      </c>
      <c r="D49">
        <f>IF(B49=1,INDEX('Data Entry'!$H$5:$BE$10004,49-4,'Visual SPC'!$B$3),"")</f>
        <v/>
      </c>
      <c r="E49">
        <f>IF(B49=1,D49,E48)</f>
        <v/>
      </c>
      <c r="F49">
        <f>IF(AND(B49=1,C49&gt;1,E48&lt;&gt;""),ABS(D49-E48),"")</f>
        <v/>
      </c>
    </row>
    <row r="50">
      <c r="A50" t="n">
        <v>50</v>
      </c>
      <c r="B50">
        <f>IF(INDEX('Data Entry'!$H$5:$BE$10004,50-4,'Visual SPC'!$B$3)="",0,IF(AND(OR('Visual SPC'!$C$4="",'Data Entry'!$C50&gt;='Visual SPC'!$C$4),OR('Visual SPC'!$E$4="",'Data Entry'!$C50&lt;='Visual SPC'!$E$4),OR('Visual SPC'!$G$4="",'Data Entry'!$D50='Visual SPC'!$G$4),OR('Visual SPC'!$I$4="",'Data Entry'!$E50='Visual SPC'!$I$4),OR('Visual SPC'!$K$4="",'Data Entry'!$F50='Visual SPC'!$K$4)),1,0))</f>
        <v/>
      </c>
      <c r="C50">
        <f>C49+B50</f>
        <v/>
      </c>
      <c r="D50">
        <f>IF(B50=1,INDEX('Data Entry'!$H$5:$BE$10004,50-4,'Visual SPC'!$B$3),"")</f>
        <v/>
      </c>
      <c r="E50">
        <f>IF(B50=1,D50,E49)</f>
        <v/>
      </c>
      <c r="F50">
        <f>IF(AND(B50=1,C50&gt;1,E49&lt;&gt;""),ABS(D50-E49),"")</f>
        <v/>
      </c>
    </row>
    <row r="51">
      <c r="A51" t="n">
        <v>51</v>
      </c>
      <c r="B51">
        <f>IF(INDEX('Data Entry'!$H$5:$BE$10004,51-4,'Visual SPC'!$B$3)="",0,IF(AND(OR('Visual SPC'!$C$4="",'Data Entry'!$C51&gt;='Visual SPC'!$C$4),OR('Visual SPC'!$E$4="",'Data Entry'!$C51&lt;='Visual SPC'!$E$4),OR('Visual SPC'!$G$4="",'Data Entry'!$D51='Visual SPC'!$G$4),OR('Visual SPC'!$I$4="",'Data Entry'!$E51='Visual SPC'!$I$4),OR('Visual SPC'!$K$4="",'Data Entry'!$F51='Visual SPC'!$K$4)),1,0))</f>
        <v/>
      </c>
      <c r="C51">
        <f>C50+B51</f>
        <v/>
      </c>
      <c r="D51">
        <f>IF(B51=1,INDEX('Data Entry'!$H$5:$BE$10004,51-4,'Visual SPC'!$B$3),"")</f>
        <v/>
      </c>
      <c r="E51">
        <f>IF(B51=1,D51,E50)</f>
        <v/>
      </c>
      <c r="F51">
        <f>IF(AND(B51=1,C51&gt;1,E50&lt;&gt;""),ABS(D51-E50),"")</f>
        <v/>
      </c>
    </row>
    <row r="52">
      <c r="A52" t="n">
        <v>52</v>
      </c>
      <c r="B52">
        <f>IF(INDEX('Data Entry'!$H$5:$BE$10004,52-4,'Visual SPC'!$B$3)="",0,IF(AND(OR('Visual SPC'!$C$4="",'Data Entry'!$C52&gt;='Visual SPC'!$C$4),OR('Visual SPC'!$E$4="",'Data Entry'!$C52&lt;='Visual SPC'!$E$4),OR('Visual SPC'!$G$4="",'Data Entry'!$D52='Visual SPC'!$G$4),OR('Visual SPC'!$I$4="",'Data Entry'!$E52='Visual SPC'!$I$4),OR('Visual SPC'!$K$4="",'Data Entry'!$F52='Visual SPC'!$K$4)),1,0))</f>
        <v/>
      </c>
      <c r="C52">
        <f>C51+B52</f>
        <v/>
      </c>
      <c r="D52">
        <f>IF(B52=1,INDEX('Data Entry'!$H$5:$BE$10004,52-4,'Visual SPC'!$B$3),"")</f>
        <v/>
      </c>
      <c r="E52">
        <f>IF(B52=1,D52,E51)</f>
        <v/>
      </c>
      <c r="F52">
        <f>IF(AND(B52=1,C52&gt;1,E51&lt;&gt;""),ABS(D52-E51),"")</f>
        <v/>
      </c>
    </row>
    <row r="53">
      <c r="A53" t="n">
        <v>53</v>
      </c>
      <c r="B53">
        <f>IF(INDEX('Data Entry'!$H$5:$BE$10004,53-4,'Visual SPC'!$B$3)="",0,IF(AND(OR('Visual SPC'!$C$4="",'Data Entry'!$C53&gt;='Visual SPC'!$C$4),OR('Visual SPC'!$E$4="",'Data Entry'!$C53&lt;='Visual SPC'!$E$4),OR('Visual SPC'!$G$4="",'Data Entry'!$D53='Visual SPC'!$G$4),OR('Visual SPC'!$I$4="",'Data Entry'!$E53='Visual SPC'!$I$4),OR('Visual SPC'!$K$4="",'Data Entry'!$F53='Visual SPC'!$K$4)),1,0))</f>
        <v/>
      </c>
      <c r="C53">
        <f>C52+B53</f>
        <v/>
      </c>
      <c r="D53">
        <f>IF(B53=1,INDEX('Data Entry'!$H$5:$BE$10004,53-4,'Visual SPC'!$B$3),"")</f>
        <v/>
      </c>
      <c r="E53">
        <f>IF(B53=1,D53,E52)</f>
        <v/>
      </c>
      <c r="F53">
        <f>IF(AND(B53=1,C53&gt;1,E52&lt;&gt;""),ABS(D53-E52),"")</f>
        <v/>
      </c>
    </row>
    <row r="54">
      <c r="A54" t="n">
        <v>54</v>
      </c>
      <c r="B54">
        <f>IF(INDEX('Data Entry'!$H$5:$BE$10004,54-4,'Visual SPC'!$B$3)="",0,IF(AND(OR('Visual SPC'!$C$4="",'Data Entry'!$C54&gt;='Visual SPC'!$C$4),OR('Visual SPC'!$E$4="",'Data Entry'!$C54&lt;='Visual SPC'!$E$4),OR('Visual SPC'!$G$4="",'Data Entry'!$D54='Visual SPC'!$G$4),OR('Visual SPC'!$I$4="",'Data Entry'!$E54='Visual SPC'!$I$4),OR('Visual SPC'!$K$4="",'Data Entry'!$F54='Visual SPC'!$K$4)),1,0))</f>
        <v/>
      </c>
      <c r="C54">
        <f>C53+B54</f>
        <v/>
      </c>
      <c r="D54">
        <f>IF(B54=1,INDEX('Data Entry'!$H$5:$BE$10004,54-4,'Visual SPC'!$B$3),"")</f>
        <v/>
      </c>
      <c r="E54">
        <f>IF(B54=1,D54,E53)</f>
        <v/>
      </c>
      <c r="F54">
        <f>IF(AND(B54=1,C54&gt;1,E53&lt;&gt;""),ABS(D54-E53),"")</f>
        <v/>
      </c>
    </row>
    <row r="55">
      <c r="A55" t="n">
        <v>55</v>
      </c>
      <c r="B55">
        <f>IF(INDEX('Data Entry'!$H$5:$BE$10004,55-4,'Visual SPC'!$B$3)="",0,IF(AND(OR('Visual SPC'!$C$4="",'Data Entry'!$C55&gt;='Visual SPC'!$C$4),OR('Visual SPC'!$E$4="",'Data Entry'!$C55&lt;='Visual SPC'!$E$4),OR('Visual SPC'!$G$4="",'Data Entry'!$D55='Visual SPC'!$G$4),OR('Visual SPC'!$I$4="",'Data Entry'!$E55='Visual SPC'!$I$4),OR('Visual SPC'!$K$4="",'Data Entry'!$F55='Visual SPC'!$K$4)),1,0))</f>
        <v/>
      </c>
      <c r="C55">
        <f>C54+B55</f>
        <v/>
      </c>
      <c r="D55">
        <f>IF(B55=1,INDEX('Data Entry'!$H$5:$BE$10004,55-4,'Visual SPC'!$B$3),"")</f>
        <v/>
      </c>
      <c r="E55">
        <f>IF(B55=1,D55,E54)</f>
        <v/>
      </c>
      <c r="F55">
        <f>IF(AND(B55=1,C55&gt;1,E54&lt;&gt;""),ABS(D55-E54),"")</f>
        <v/>
      </c>
    </row>
    <row r="56">
      <c r="A56" t="n">
        <v>56</v>
      </c>
      <c r="B56">
        <f>IF(INDEX('Data Entry'!$H$5:$BE$10004,56-4,'Visual SPC'!$B$3)="",0,IF(AND(OR('Visual SPC'!$C$4="",'Data Entry'!$C56&gt;='Visual SPC'!$C$4),OR('Visual SPC'!$E$4="",'Data Entry'!$C56&lt;='Visual SPC'!$E$4),OR('Visual SPC'!$G$4="",'Data Entry'!$D56='Visual SPC'!$G$4),OR('Visual SPC'!$I$4="",'Data Entry'!$E56='Visual SPC'!$I$4),OR('Visual SPC'!$K$4="",'Data Entry'!$F56='Visual SPC'!$K$4)),1,0))</f>
        <v/>
      </c>
      <c r="C56">
        <f>C55+B56</f>
        <v/>
      </c>
      <c r="D56">
        <f>IF(B56=1,INDEX('Data Entry'!$H$5:$BE$10004,56-4,'Visual SPC'!$B$3),"")</f>
        <v/>
      </c>
      <c r="E56">
        <f>IF(B56=1,D56,E55)</f>
        <v/>
      </c>
      <c r="F56">
        <f>IF(AND(B56=1,C56&gt;1,E55&lt;&gt;""),ABS(D56-E55),"")</f>
        <v/>
      </c>
    </row>
    <row r="57">
      <c r="A57" t="n">
        <v>57</v>
      </c>
      <c r="B57">
        <f>IF(INDEX('Data Entry'!$H$5:$BE$10004,57-4,'Visual SPC'!$B$3)="",0,IF(AND(OR('Visual SPC'!$C$4="",'Data Entry'!$C57&gt;='Visual SPC'!$C$4),OR('Visual SPC'!$E$4="",'Data Entry'!$C57&lt;='Visual SPC'!$E$4),OR('Visual SPC'!$G$4="",'Data Entry'!$D57='Visual SPC'!$G$4),OR('Visual SPC'!$I$4="",'Data Entry'!$E57='Visual SPC'!$I$4),OR('Visual SPC'!$K$4="",'Data Entry'!$F57='Visual SPC'!$K$4)),1,0))</f>
        <v/>
      </c>
      <c r="C57">
        <f>C56+B57</f>
        <v/>
      </c>
      <c r="D57">
        <f>IF(B57=1,INDEX('Data Entry'!$H$5:$BE$10004,57-4,'Visual SPC'!$B$3),"")</f>
        <v/>
      </c>
      <c r="E57">
        <f>IF(B57=1,D57,E56)</f>
        <v/>
      </c>
      <c r="F57">
        <f>IF(AND(B57=1,C57&gt;1,E56&lt;&gt;""),ABS(D57-E56),"")</f>
        <v/>
      </c>
    </row>
    <row r="58">
      <c r="A58" t="n">
        <v>58</v>
      </c>
      <c r="B58">
        <f>IF(INDEX('Data Entry'!$H$5:$BE$10004,58-4,'Visual SPC'!$B$3)="",0,IF(AND(OR('Visual SPC'!$C$4="",'Data Entry'!$C58&gt;='Visual SPC'!$C$4),OR('Visual SPC'!$E$4="",'Data Entry'!$C58&lt;='Visual SPC'!$E$4),OR('Visual SPC'!$G$4="",'Data Entry'!$D58='Visual SPC'!$G$4),OR('Visual SPC'!$I$4="",'Data Entry'!$E58='Visual SPC'!$I$4),OR('Visual SPC'!$K$4="",'Data Entry'!$F58='Visual SPC'!$K$4)),1,0))</f>
        <v/>
      </c>
      <c r="C58">
        <f>C57+B58</f>
        <v/>
      </c>
      <c r="D58">
        <f>IF(B58=1,INDEX('Data Entry'!$H$5:$BE$10004,58-4,'Visual SPC'!$B$3),"")</f>
        <v/>
      </c>
      <c r="E58">
        <f>IF(B58=1,D58,E57)</f>
        <v/>
      </c>
      <c r="F58">
        <f>IF(AND(B58=1,C58&gt;1,E57&lt;&gt;""),ABS(D58-E57),"")</f>
        <v/>
      </c>
    </row>
    <row r="59">
      <c r="A59" t="n">
        <v>59</v>
      </c>
      <c r="B59">
        <f>IF(INDEX('Data Entry'!$H$5:$BE$10004,59-4,'Visual SPC'!$B$3)="",0,IF(AND(OR('Visual SPC'!$C$4="",'Data Entry'!$C59&gt;='Visual SPC'!$C$4),OR('Visual SPC'!$E$4="",'Data Entry'!$C59&lt;='Visual SPC'!$E$4),OR('Visual SPC'!$G$4="",'Data Entry'!$D59='Visual SPC'!$G$4),OR('Visual SPC'!$I$4="",'Data Entry'!$E59='Visual SPC'!$I$4),OR('Visual SPC'!$K$4="",'Data Entry'!$F59='Visual SPC'!$K$4)),1,0))</f>
        <v/>
      </c>
      <c r="C59">
        <f>C58+B59</f>
        <v/>
      </c>
      <c r="D59">
        <f>IF(B59=1,INDEX('Data Entry'!$H$5:$BE$10004,59-4,'Visual SPC'!$B$3),"")</f>
        <v/>
      </c>
      <c r="E59">
        <f>IF(B59=1,D59,E58)</f>
        <v/>
      </c>
      <c r="F59">
        <f>IF(AND(B59=1,C59&gt;1,E58&lt;&gt;""),ABS(D59-E58),"")</f>
        <v/>
      </c>
    </row>
    <row r="60">
      <c r="A60" t="n">
        <v>60</v>
      </c>
      <c r="B60">
        <f>IF(INDEX('Data Entry'!$H$5:$BE$10004,60-4,'Visual SPC'!$B$3)="",0,IF(AND(OR('Visual SPC'!$C$4="",'Data Entry'!$C60&gt;='Visual SPC'!$C$4),OR('Visual SPC'!$E$4="",'Data Entry'!$C60&lt;='Visual SPC'!$E$4),OR('Visual SPC'!$G$4="",'Data Entry'!$D60='Visual SPC'!$G$4),OR('Visual SPC'!$I$4="",'Data Entry'!$E60='Visual SPC'!$I$4),OR('Visual SPC'!$K$4="",'Data Entry'!$F60='Visual SPC'!$K$4)),1,0))</f>
        <v/>
      </c>
      <c r="C60">
        <f>C59+B60</f>
        <v/>
      </c>
      <c r="D60">
        <f>IF(B60=1,INDEX('Data Entry'!$H$5:$BE$10004,60-4,'Visual SPC'!$B$3),"")</f>
        <v/>
      </c>
      <c r="E60">
        <f>IF(B60=1,D60,E59)</f>
        <v/>
      </c>
      <c r="F60">
        <f>IF(AND(B60=1,C60&gt;1,E59&lt;&gt;""),ABS(D60-E59),"")</f>
        <v/>
      </c>
    </row>
    <row r="61">
      <c r="A61" t="n">
        <v>61</v>
      </c>
      <c r="B61">
        <f>IF(INDEX('Data Entry'!$H$5:$BE$10004,61-4,'Visual SPC'!$B$3)="",0,IF(AND(OR('Visual SPC'!$C$4="",'Data Entry'!$C61&gt;='Visual SPC'!$C$4),OR('Visual SPC'!$E$4="",'Data Entry'!$C61&lt;='Visual SPC'!$E$4),OR('Visual SPC'!$G$4="",'Data Entry'!$D61='Visual SPC'!$G$4),OR('Visual SPC'!$I$4="",'Data Entry'!$E61='Visual SPC'!$I$4),OR('Visual SPC'!$K$4="",'Data Entry'!$F61='Visual SPC'!$K$4)),1,0))</f>
        <v/>
      </c>
      <c r="C61">
        <f>C60+B61</f>
        <v/>
      </c>
      <c r="D61">
        <f>IF(B61=1,INDEX('Data Entry'!$H$5:$BE$10004,61-4,'Visual SPC'!$B$3),"")</f>
        <v/>
      </c>
      <c r="E61">
        <f>IF(B61=1,D61,E60)</f>
        <v/>
      </c>
      <c r="F61">
        <f>IF(AND(B61=1,C61&gt;1,E60&lt;&gt;""),ABS(D61-E60),"")</f>
        <v/>
      </c>
    </row>
    <row r="62">
      <c r="A62" t="n">
        <v>62</v>
      </c>
      <c r="B62">
        <f>IF(INDEX('Data Entry'!$H$5:$BE$10004,62-4,'Visual SPC'!$B$3)="",0,IF(AND(OR('Visual SPC'!$C$4="",'Data Entry'!$C62&gt;='Visual SPC'!$C$4),OR('Visual SPC'!$E$4="",'Data Entry'!$C62&lt;='Visual SPC'!$E$4),OR('Visual SPC'!$G$4="",'Data Entry'!$D62='Visual SPC'!$G$4),OR('Visual SPC'!$I$4="",'Data Entry'!$E62='Visual SPC'!$I$4),OR('Visual SPC'!$K$4="",'Data Entry'!$F62='Visual SPC'!$K$4)),1,0))</f>
        <v/>
      </c>
      <c r="C62">
        <f>C61+B62</f>
        <v/>
      </c>
      <c r="D62">
        <f>IF(B62=1,INDEX('Data Entry'!$H$5:$BE$10004,62-4,'Visual SPC'!$B$3),"")</f>
        <v/>
      </c>
      <c r="E62">
        <f>IF(B62=1,D62,E61)</f>
        <v/>
      </c>
      <c r="F62">
        <f>IF(AND(B62=1,C62&gt;1,E61&lt;&gt;""),ABS(D62-E61),"")</f>
        <v/>
      </c>
    </row>
    <row r="63">
      <c r="A63" t="n">
        <v>63</v>
      </c>
      <c r="B63">
        <f>IF(INDEX('Data Entry'!$H$5:$BE$10004,63-4,'Visual SPC'!$B$3)="",0,IF(AND(OR('Visual SPC'!$C$4="",'Data Entry'!$C63&gt;='Visual SPC'!$C$4),OR('Visual SPC'!$E$4="",'Data Entry'!$C63&lt;='Visual SPC'!$E$4),OR('Visual SPC'!$G$4="",'Data Entry'!$D63='Visual SPC'!$G$4),OR('Visual SPC'!$I$4="",'Data Entry'!$E63='Visual SPC'!$I$4),OR('Visual SPC'!$K$4="",'Data Entry'!$F63='Visual SPC'!$K$4)),1,0))</f>
        <v/>
      </c>
      <c r="C63">
        <f>C62+B63</f>
        <v/>
      </c>
      <c r="D63">
        <f>IF(B63=1,INDEX('Data Entry'!$H$5:$BE$10004,63-4,'Visual SPC'!$B$3),"")</f>
        <v/>
      </c>
      <c r="E63">
        <f>IF(B63=1,D63,E62)</f>
        <v/>
      </c>
      <c r="F63">
        <f>IF(AND(B63=1,C63&gt;1,E62&lt;&gt;""),ABS(D63-E62),"")</f>
        <v/>
      </c>
    </row>
    <row r="64">
      <c r="A64" t="n">
        <v>64</v>
      </c>
      <c r="B64">
        <f>IF(INDEX('Data Entry'!$H$5:$BE$10004,64-4,'Visual SPC'!$B$3)="",0,IF(AND(OR('Visual SPC'!$C$4="",'Data Entry'!$C64&gt;='Visual SPC'!$C$4),OR('Visual SPC'!$E$4="",'Data Entry'!$C64&lt;='Visual SPC'!$E$4),OR('Visual SPC'!$G$4="",'Data Entry'!$D64='Visual SPC'!$G$4),OR('Visual SPC'!$I$4="",'Data Entry'!$E64='Visual SPC'!$I$4),OR('Visual SPC'!$K$4="",'Data Entry'!$F64='Visual SPC'!$K$4)),1,0))</f>
        <v/>
      </c>
      <c r="C64">
        <f>C63+B64</f>
        <v/>
      </c>
      <c r="D64">
        <f>IF(B64=1,INDEX('Data Entry'!$H$5:$BE$10004,64-4,'Visual SPC'!$B$3),"")</f>
        <v/>
      </c>
      <c r="E64">
        <f>IF(B64=1,D64,E63)</f>
        <v/>
      </c>
      <c r="F64">
        <f>IF(AND(B64=1,C64&gt;1,E63&lt;&gt;""),ABS(D64-E63),"")</f>
        <v/>
      </c>
    </row>
    <row r="65">
      <c r="A65" t="n">
        <v>65</v>
      </c>
      <c r="B65">
        <f>IF(INDEX('Data Entry'!$H$5:$BE$10004,65-4,'Visual SPC'!$B$3)="",0,IF(AND(OR('Visual SPC'!$C$4="",'Data Entry'!$C65&gt;='Visual SPC'!$C$4),OR('Visual SPC'!$E$4="",'Data Entry'!$C65&lt;='Visual SPC'!$E$4),OR('Visual SPC'!$G$4="",'Data Entry'!$D65='Visual SPC'!$G$4),OR('Visual SPC'!$I$4="",'Data Entry'!$E65='Visual SPC'!$I$4),OR('Visual SPC'!$K$4="",'Data Entry'!$F65='Visual SPC'!$K$4)),1,0))</f>
        <v/>
      </c>
      <c r="C65">
        <f>C64+B65</f>
        <v/>
      </c>
      <c r="D65">
        <f>IF(B65=1,INDEX('Data Entry'!$H$5:$BE$10004,65-4,'Visual SPC'!$B$3),"")</f>
        <v/>
      </c>
      <c r="E65">
        <f>IF(B65=1,D65,E64)</f>
        <v/>
      </c>
      <c r="F65">
        <f>IF(AND(B65=1,C65&gt;1,E64&lt;&gt;""),ABS(D65-E64),"")</f>
        <v/>
      </c>
    </row>
    <row r="66">
      <c r="A66" t="n">
        <v>66</v>
      </c>
      <c r="B66">
        <f>IF(INDEX('Data Entry'!$H$5:$BE$10004,66-4,'Visual SPC'!$B$3)="",0,IF(AND(OR('Visual SPC'!$C$4="",'Data Entry'!$C66&gt;='Visual SPC'!$C$4),OR('Visual SPC'!$E$4="",'Data Entry'!$C66&lt;='Visual SPC'!$E$4),OR('Visual SPC'!$G$4="",'Data Entry'!$D66='Visual SPC'!$G$4),OR('Visual SPC'!$I$4="",'Data Entry'!$E66='Visual SPC'!$I$4),OR('Visual SPC'!$K$4="",'Data Entry'!$F66='Visual SPC'!$K$4)),1,0))</f>
        <v/>
      </c>
      <c r="C66">
        <f>C65+B66</f>
        <v/>
      </c>
      <c r="D66">
        <f>IF(B66=1,INDEX('Data Entry'!$H$5:$BE$10004,66-4,'Visual SPC'!$B$3),"")</f>
        <v/>
      </c>
      <c r="E66">
        <f>IF(B66=1,D66,E65)</f>
        <v/>
      </c>
      <c r="F66">
        <f>IF(AND(B66=1,C66&gt;1,E65&lt;&gt;""),ABS(D66-E65),"")</f>
        <v/>
      </c>
    </row>
    <row r="67">
      <c r="A67" t="n">
        <v>67</v>
      </c>
      <c r="B67">
        <f>IF(INDEX('Data Entry'!$H$5:$BE$10004,67-4,'Visual SPC'!$B$3)="",0,IF(AND(OR('Visual SPC'!$C$4="",'Data Entry'!$C67&gt;='Visual SPC'!$C$4),OR('Visual SPC'!$E$4="",'Data Entry'!$C67&lt;='Visual SPC'!$E$4),OR('Visual SPC'!$G$4="",'Data Entry'!$D67='Visual SPC'!$G$4),OR('Visual SPC'!$I$4="",'Data Entry'!$E67='Visual SPC'!$I$4),OR('Visual SPC'!$K$4="",'Data Entry'!$F67='Visual SPC'!$K$4)),1,0))</f>
        <v/>
      </c>
      <c r="C67">
        <f>C66+B67</f>
        <v/>
      </c>
      <c r="D67">
        <f>IF(B67=1,INDEX('Data Entry'!$H$5:$BE$10004,67-4,'Visual SPC'!$B$3),"")</f>
        <v/>
      </c>
      <c r="E67">
        <f>IF(B67=1,D67,E66)</f>
        <v/>
      </c>
      <c r="F67">
        <f>IF(AND(B67=1,C67&gt;1,E66&lt;&gt;""),ABS(D67-E66),"")</f>
        <v/>
      </c>
    </row>
    <row r="68">
      <c r="A68" t="n">
        <v>68</v>
      </c>
      <c r="B68">
        <f>IF(INDEX('Data Entry'!$H$5:$BE$10004,68-4,'Visual SPC'!$B$3)="",0,IF(AND(OR('Visual SPC'!$C$4="",'Data Entry'!$C68&gt;='Visual SPC'!$C$4),OR('Visual SPC'!$E$4="",'Data Entry'!$C68&lt;='Visual SPC'!$E$4),OR('Visual SPC'!$G$4="",'Data Entry'!$D68='Visual SPC'!$G$4),OR('Visual SPC'!$I$4="",'Data Entry'!$E68='Visual SPC'!$I$4),OR('Visual SPC'!$K$4="",'Data Entry'!$F68='Visual SPC'!$K$4)),1,0))</f>
        <v/>
      </c>
      <c r="C68">
        <f>C67+B68</f>
        <v/>
      </c>
      <c r="D68">
        <f>IF(B68=1,INDEX('Data Entry'!$H$5:$BE$10004,68-4,'Visual SPC'!$B$3),"")</f>
        <v/>
      </c>
      <c r="E68">
        <f>IF(B68=1,D68,E67)</f>
        <v/>
      </c>
      <c r="F68">
        <f>IF(AND(B68=1,C68&gt;1,E67&lt;&gt;""),ABS(D68-E67),"")</f>
        <v/>
      </c>
    </row>
    <row r="69">
      <c r="A69" t="n">
        <v>69</v>
      </c>
      <c r="B69">
        <f>IF(INDEX('Data Entry'!$H$5:$BE$10004,69-4,'Visual SPC'!$B$3)="",0,IF(AND(OR('Visual SPC'!$C$4="",'Data Entry'!$C69&gt;='Visual SPC'!$C$4),OR('Visual SPC'!$E$4="",'Data Entry'!$C69&lt;='Visual SPC'!$E$4),OR('Visual SPC'!$G$4="",'Data Entry'!$D69='Visual SPC'!$G$4),OR('Visual SPC'!$I$4="",'Data Entry'!$E69='Visual SPC'!$I$4),OR('Visual SPC'!$K$4="",'Data Entry'!$F69='Visual SPC'!$K$4)),1,0))</f>
        <v/>
      </c>
      <c r="C69">
        <f>C68+B69</f>
        <v/>
      </c>
      <c r="D69">
        <f>IF(B69=1,INDEX('Data Entry'!$H$5:$BE$10004,69-4,'Visual SPC'!$B$3),"")</f>
        <v/>
      </c>
      <c r="E69">
        <f>IF(B69=1,D69,E68)</f>
        <v/>
      </c>
      <c r="F69">
        <f>IF(AND(B69=1,C69&gt;1,E68&lt;&gt;""),ABS(D69-E68),"")</f>
        <v/>
      </c>
    </row>
    <row r="70">
      <c r="A70" t="n">
        <v>70</v>
      </c>
      <c r="B70">
        <f>IF(INDEX('Data Entry'!$H$5:$BE$10004,70-4,'Visual SPC'!$B$3)="",0,IF(AND(OR('Visual SPC'!$C$4="",'Data Entry'!$C70&gt;='Visual SPC'!$C$4),OR('Visual SPC'!$E$4="",'Data Entry'!$C70&lt;='Visual SPC'!$E$4),OR('Visual SPC'!$G$4="",'Data Entry'!$D70='Visual SPC'!$G$4),OR('Visual SPC'!$I$4="",'Data Entry'!$E70='Visual SPC'!$I$4),OR('Visual SPC'!$K$4="",'Data Entry'!$F70='Visual SPC'!$K$4)),1,0))</f>
        <v/>
      </c>
      <c r="C70">
        <f>C69+B70</f>
        <v/>
      </c>
      <c r="D70">
        <f>IF(B70=1,INDEX('Data Entry'!$H$5:$BE$10004,70-4,'Visual SPC'!$B$3),"")</f>
        <v/>
      </c>
      <c r="E70">
        <f>IF(B70=1,D70,E69)</f>
        <v/>
      </c>
      <c r="F70">
        <f>IF(AND(B70=1,C70&gt;1,E69&lt;&gt;""),ABS(D70-E69),"")</f>
        <v/>
      </c>
    </row>
    <row r="71">
      <c r="A71" t="n">
        <v>71</v>
      </c>
      <c r="B71">
        <f>IF(INDEX('Data Entry'!$H$5:$BE$10004,71-4,'Visual SPC'!$B$3)="",0,IF(AND(OR('Visual SPC'!$C$4="",'Data Entry'!$C71&gt;='Visual SPC'!$C$4),OR('Visual SPC'!$E$4="",'Data Entry'!$C71&lt;='Visual SPC'!$E$4),OR('Visual SPC'!$G$4="",'Data Entry'!$D71='Visual SPC'!$G$4),OR('Visual SPC'!$I$4="",'Data Entry'!$E71='Visual SPC'!$I$4),OR('Visual SPC'!$K$4="",'Data Entry'!$F71='Visual SPC'!$K$4)),1,0))</f>
        <v/>
      </c>
      <c r="C71">
        <f>C70+B71</f>
        <v/>
      </c>
      <c r="D71">
        <f>IF(B71=1,INDEX('Data Entry'!$H$5:$BE$10004,71-4,'Visual SPC'!$B$3),"")</f>
        <v/>
      </c>
      <c r="E71">
        <f>IF(B71=1,D71,E70)</f>
        <v/>
      </c>
      <c r="F71">
        <f>IF(AND(B71=1,C71&gt;1,E70&lt;&gt;""),ABS(D71-E70),"")</f>
        <v/>
      </c>
    </row>
    <row r="72">
      <c r="A72" t="n">
        <v>72</v>
      </c>
      <c r="B72">
        <f>IF(INDEX('Data Entry'!$H$5:$BE$10004,72-4,'Visual SPC'!$B$3)="",0,IF(AND(OR('Visual SPC'!$C$4="",'Data Entry'!$C72&gt;='Visual SPC'!$C$4),OR('Visual SPC'!$E$4="",'Data Entry'!$C72&lt;='Visual SPC'!$E$4),OR('Visual SPC'!$G$4="",'Data Entry'!$D72='Visual SPC'!$G$4),OR('Visual SPC'!$I$4="",'Data Entry'!$E72='Visual SPC'!$I$4),OR('Visual SPC'!$K$4="",'Data Entry'!$F72='Visual SPC'!$K$4)),1,0))</f>
        <v/>
      </c>
      <c r="C72">
        <f>C71+B72</f>
        <v/>
      </c>
      <c r="D72">
        <f>IF(B72=1,INDEX('Data Entry'!$H$5:$BE$10004,72-4,'Visual SPC'!$B$3),"")</f>
        <v/>
      </c>
      <c r="E72">
        <f>IF(B72=1,D72,E71)</f>
        <v/>
      </c>
      <c r="F72">
        <f>IF(AND(B72=1,C72&gt;1,E71&lt;&gt;""),ABS(D72-E71),"")</f>
        <v/>
      </c>
    </row>
    <row r="73">
      <c r="A73" t="n">
        <v>73</v>
      </c>
      <c r="B73">
        <f>IF(INDEX('Data Entry'!$H$5:$BE$10004,73-4,'Visual SPC'!$B$3)="",0,IF(AND(OR('Visual SPC'!$C$4="",'Data Entry'!$C73&gt;='Visual SPC'!$C$4),OR('Visual SPC'!$E$4="",'Data Entry'!$C73&lt;='Visual SPC'!$E$4),OR('Visual SPC'!$G$4="",'Data Entry'!$D73='Visual SPC'!$G$4),OR('Visual SPC'!$I$4="",'Data Entry'!$E73='Visual SPC'!$I$4),OR('Visual SPC'!$K$4="",'Data Entry'!$F73='Visual SPC'!$K$4)),1,0))</f>
        <v/>
      </c>
      <c r="C73">
        <f>C72+B73</f>
        <v/>
      </c>
      <c r="D73">
        <f>IF(B73=1,INDEX('Data Entry'!$H$5:$BE$10004,73-4,'Visual SPC'!$B$3),"")</f>
        <v/>
      </c>
      <c r="E73">
        <f>IF(B73=1,D73,E72)</f>
        <v/>
      </c>
      <c r="F73">
        <f>IF(AND(B73=1,C73&gt;1,E72&lt;&gt;""),ABS(D73-E72),"")</f>
        <v/>
      </c>
    </row>
    <row r="74">
      <c r="A74" t="n">
        <v>74</v>
      </c>
      <c r="B74">
        <f>IF(INDEX('Data Entry'!$H$5:$BE$10004,74-4,'Visual SPC'!$B$3)="",0,IF(AND(OR('Visual SPC'!$C$4="",'Data Entry'!$C74&gt;='Visual SPC'!$C$4),OR('Visual SPC'!$E$4="",'Data Entry'!$C74&lt;='Visual SPC'!$E$4),OR('Visual SPC'!$G$4="",'Data Entry'!$D74='Visual SPC'!$G$4),OR('Visual SPC'!$I$4="",'Data Entry'!$E74='Visual SPC'!$I$4),OR('Visual SPC'!$K$4="",'Data Entry'!$F74='Visual SPC'!$K$4)),1,0))</f>
        <v/>
      </c>
      <c r="C74">
        <f>C73+B74</f>
        <v/>
      </c>
      <c r="D74">
        <f>IF(B74=1,INDEX('Data Entry'!$H$5:$BE$10004,74-4,'Visual SPC'!$B$3),"")</f>
        <v/>
      </c>
      <c r="E74">
        <f>IF(B74=1,D74,E73)</f>
        <v/>
      </c>
      <c r="F74">
        <f>IF(AND(B74=1,C74&gt;1,E73&lt;&gt;""),ABS(D74-E73),"")</f>
        <v/>
      </c>
    </row>
    <row r="75">
      <c r="A75" t="n">
        <v>75</v>
      </c>
      <c r="B75">
        <f>IF(INDEX('Data Entry'!$H$5:$BE$10004,75-4,'Visual SPC'!$B$3)="",0,IF(AND(OR('Visual SPC'!$C$4="",'Data Entry'!$C75&gt;='Visual SPC'!$C$4),OR('Visual SPC'!$E$4="",'Data Entry'!$C75&lt;='Visual SPC'!$E$4),OR('Visual SPC'!$G$4="",'Data Entry'!$D75='Visual SPC'!$G$4),OR('Visual SPC'!$I$4="",'Data Entry'!$E75='Visual SPC'!$I$4),OR('Visual SPC'!$K$4="",'Data Entry'!$F75='Visual SPC'!$K$4)),1,0))</f>
        <v/>
      </c>
      <c r="C75">
        <f>C74+B75</f>
        <v/>
      </c>
      <c r="D75">
        <f>IF(B75=1,INDEX('Data Entry'!$H$5:$BE$10004,75-4,'Visual SPC'!$B$3),"")</f>
        <v/>
      </c>
      <c r="E75">
        <f>IF(B75=1,D75,E74)</f>
        <v/>
      </c>
      <c r="F75">
        <f>IF(AND(B75=1,C75&gt;1,E74&lt;&gt;""),ABS(D75-E74),"")</f>
        <v/>
      </c>
    </row>
    <row r="76">
      <c r="A76" t="n">
        <v>76</v>
      </c>
      <c r="B76">
        <f>IF(INDEX('Data Entry'!$H$5:$BE$10004,76-4,'Visual SPC'!$B$3)="",0,IF(AND(OR('Visual SPC'!$C$4="",'Data Entry'!$C76&gt;='Visual SPC'!$C$4),OR('Visual SPC'!$E$4="",'Data Entry'!$C76&lt;='Visual SPC'!$E$4),OR('Visual SPC'!$G$4="",'Data Entry'!$D76='Visual SPC'!$G$4),OR('Visual SPC'!$I$4="",'Data Entry'!$E76='Visual SPC'!$I$4),OR('Visual SPC'!$K$4="",'Data Entry'!$F76='Visual SPC'!$K$4)),1,0))</f>
        <v/>
      </c>
      <c r="C76">
        <f>C75+B76</f>
        <v/>
      </c>
      <c r="D76">
        <f>IF(B76=1,INDEX('Data Entry'!$H$5:$BE$10004,76-4,'Visual SPC'!$B$3),"")</f>
        <v/>
      </c>
      <c r="E76">
        <f>IF(B76=1,D76,E75)</f>
        <v/>
      </c>
      <c r="F76">
        <f>IF(AND(B76=1,C76&gt;1,E75&lt;&gt;""),ABS(D76-E75),"")</f>
        <v/>
      </c>
    </row>
    <row r="77">
      <c r="A77" t="n">
        <v>77</v>
      </c>
      <c r="B77">
        <f>IF(INDEX('Data Entry'!$H$5:$BE$10004,77-4,'Visual SPC'!$B$3)="",0,IF(AND(OR('Visual SPC'!$C$4="",'Data Entry'!$C77&gt;='Visual SPC'!$C$4),OR('Visual SPC'!$E$4="",'Data Entry'!$C77&lt;='Visual SPC'!$E$4),OR('Visual SPC'!$G$4="",'Data Entry'!$D77='Visual SPC'!$G$4),OR('Visual SPC'!$I$4="",'Data Entry'!$E77='Visual SPC'!$I$4),OR('Visual SPC'!$K$4="",'Data Entry'!$F77='Visual SPC'!$K$4)),1,0))</f>
        <v/>
      </c>
      <c r="C77">
        <f>C76+B77</f>
        <v/>
      </c>
      <c r="D77">
        <f>IF(B77=1,INDEX('Data Entry'!$H$5:$BE$10004,77-4,'Visual SPC'!$B$3),"")</f>
        <v/>
      </c>
      <c r="E77">
        <f>IF(B77=1,D77,E76)</f>
        <v/>
      </c>
      <c r="F77">
        <f>IF(AND(B77=1,C77&gt;1,E76&lt;&gt;""),ABS(D77-E76),"")</f>
        <v/>
      </c>
    </row>
    <row r="78">
      <c r="A78" t="n">
        <v>78</v>
      </c>
      <c r="B78">
        <f>IF(INDEX('Data Entry'!$H$5:$BE$10004,78-4,'Visual SPC'!$B$3)="",0,IF(AND(OR('Visual SPC'!$C$4="",'Data Entry'!$C78&gt;='Visual SPC'!$C$4),OR('Visual SPC'!$E$4="",'Data Entry'!$C78&lt;='Visual SPC'!$E$4),OR('Visual SPC'!$G$4="",'Data Entry'!$D78='Visual SPC'!$G$4),OR('Visual SPC'!$I$4="",'Data Entry'!$E78='Visual SPC'!$I$4),OR('Visual SPC'!$K$4="",'Data Entry'!$F78='Visual SPC'!$K$4)),1,0))</f>
        <v/>
      </c>
      <c r="C78">
        <f>C77+B78</f>
        <v/>
      </c>
      <c r="D78">
        <f>IF(B78=1,INDEX('Data Entry'!$H$5:$BE$10004,78-4,'Visual SPC'!$B$3),"")</f>
        <v/>
      </c>
      <c r="E78">
        <f>IF(B78=1,D78,E77)</f>
        <v/>
      </c>
      <c r="F78">
        <f>IF(AND(B78=1,C78&gt;1,E77&lt;&gt;""),ABS(D78-E77),"")</f>
        <v/>
      </c>
    </row>
    <row r="79">
      <c r="A79" t="n">
        <v>79</v>
      </c>
      <c r="B79">
        <f>IF(INDEX('Data Entry'!$H$5:$BE$10004,79-4,'Visual SPC'!$B$3)="",0,IF(AND(OR('Visual SPC'!$C$4="",'Data Entry'!$C79&gt;='Visual SPC'!$C$4),OR('Visual SPC'!$E$4="",'Data Entry'!$C79&lt;='Visual SPC'!$E$4),OR('Visual SPC'!$G$4="",'Data Entry'!$D79='Visual SPC'!$G$4),OR('Visual SPC'!$I$4="",'Data Entry'!$E79='Visual SPC'!$I$4),OR('Visual SPC'!$K$4="",'Data Entry'!$F79='Visual SPC'!$K$4)),1,0))</f>
        <v/>
      </c>
      <c r="C79">
        <f>C78+B79</f>
        <v/>
      </c>
      <c r="D79">
        <f>IF(B79=1,INDEX('Data Entry'!$H$5:$BE$10004,79-4,'Visual SPC'!$B$3),"")</f>
        <v/>
      </c>
      <c r="E79">
        <f>IF(B79=1,D79,E78)</f>
        <v/>
      </c>
      <c r="F79">
        <f>IF(AND(B79=1,C79&gt;1,E78&lt;&gt;""),ABS(D79-E78),"")</f>
        <v/>
      </c>
    </row>
    <row r="80">
      <c r="A80" t="n">
        <v>80</v>
      </c>
      <c r="B80">
        <f>IF(INDEX('Data Entry'!$H$5:$BE$10004,80-4,'Visual SPC'!$B$3)="",0,IF(AND(OR('Visual SPC'!$C$4="",'Data Entry'!$C80&gt;='Visual SPC'!$C$4),OR('Visual SPC'!$E$4="",'Data Entry'!$C80&lt;='Visual SPC'!$E$4),OR('Visual SPC'!$G$4="",'Data Entry'!$D80='Visual SPC'!$G$4),OR('Visual SPC'!$I$4="",'Data Entry'!$E80='Visual SPC'!$I$4),OR('Visual SPC'!$K$4="",'Data Entry'!$F80='Visual SPC'!$K$4)),1,0))</f>
        <v/>
      </c>
      <c r="C80">
        <f>C79+B80</f>
        <v/>
      </c>
      <c r="D80">
        <f>IF(B80=1,INDEX('Data Entry'!$H$5:$BE$10004,80-4,'Visual SPC'!$B$3),"")</f>
        <v/>
      </c>
      <c r="E80">
        <f>IF(B80=1,D80,E79)</f>
        <v/>
      </c>
      <c r="F80">
        <f>IF(AND(B80=1,C80&gt;1,E79&lt;&gt;""),ABS(D80-E79),"")</f>
        <v/>
      </c>
    </row>
    <row r="81">
      <c r="A81" t="n">
        <v>81</v>
      </c>
      <c r="B81">
        <f>IF(INDEX('Data Entry'!$H$5:$BE$10004,81-4,'Visual SPC'!$B$3)="",0,IF(AND(OR('Visual SPC'!$C$4="",'Data Entry'!$C81&gt;='Visual SPC'!$C$4),OR('Visual SPC'!$E$4="",'Data Entry'!$C81&lt;='Visual SPC'!$E$4),OR('Visual SPC'!$G$4="",'Data Entry'!$D81='Visual SPC'!$G$4),OR('Visual SPC'!$I$4="",'Data Entry'!$E81='Visual SPC'!$I$4),OR('Visual SPC'!$K$4="",'Data Entry'!$F81='Visual SPC'!$K$4)),1,0))</f>
        <v/>
      </c>
      <c r="C81">
        <f>C80+B81</f>
        <v/>
      </c>
      <c r="D81">
        <f>IF(B81=1,INDEX('Data Entry'!$H$5:$BE$10004,81-4,'Visual SPC'!$B$3),"")</f>
        <v/>
      </c>
      <c r="E81">
        <f>IF(B81=1,D81,E80)</f>
        <v/>
      </c>
      <c r="F81">
        <f>IF(AND(B81=1,C81&gt;1,E80&lt;&gt;""),ABS(D81-E80),"")</f>
        <v/>
      </c>
    </row>
    <row r="82">
      <c r="A82" t="n">
        <v>82</v>
      </c>
      <c r="B82">
        <f>IF(INDEX('Data Entry'!$H$5:$BE$10004,82-4,'Visual SPC'!$B$3)="",0,IF(AND(OR('Visual SPC'!$C$4="",'Data Entry'!$C82&gt;='Visual SPC'!$C$4),OR('Visual SPC'!$E$4="",'Data Entry'!$C82&lt;='Visual SPC'!$E$4),OR('Visual SPC'!$G$4="",'Data Entry'!$D82='Visual SPC'!$G$4),OR('Visual SPC'!$I$4="",'Data Entry'!$E82='Visual SPC'!$I$4),OR('Visual SPC'!$K$4="",'Data Entry'!$F82='Visual SPC'!$K$4)),1,0))</f>
        <v/>
      </c>
      <c r="C82">
        <f>C81+B82</f>
        <v/>
      </c>
      <c r="D82">
        <f>IF(B82=1,INDEX('Data Entry'!$H$5:$BE$10004,82-4,'Visual SPC'!$B$3),"")</f>
        <v/>
      </c>
      <c r="E82">
        <f>IF(B82=1,D82,E81)</f>
        <v/>
      </c>
      <c r="F82">
        <f>IF(AND(B82=1,C82&gt;1,E81&lt;&gt;""),ABS(D82-E81),"")</f>
        <v/>
      </c>
    </row>
    <row r="83">
      <c r="A83" t="n">
        <v>83</v>
      </c>
      <c r="B83">
        <f>IF(INDEX('Data Entry'!$H$5:$BE$10004,83-4,'Visual SPC'!$B$3)="",0,IF(AND(OR('Visual SPC'!$C$4="",'Data Entry'!$C83&gt;='Visual SPC'!$C$4),OR('Visual SPC'!$E$4="",'Data Entry'!$C83&lt;='Visual SPC'!$E$4),OR('Visual SPC'!$G$4="",'Data Entry'!$D83='Visual SPC'!$G$4),OR('Visual SPC'!$I$4="",'Data Entry'!$E83='Visual SPC'!$I$4),OR('Visual SPC'!$K$4="",'Data Entry'!$F83='Visual SPC'!$K$4)),1,0))</f>
        <v/>
      </c>
      <c r="C83">
        <f>C82+B83</f>
        <v/>
      </c>
      <c r="D83">
        <f>IF(B83=1,INDEX('Data Entry'!$H$5:$BE$10004,83-4,'Visual SPC'!$B$3),"")</f>
        <v/>
      </c>
      <c r="E83">
        <f>IF(B83=1,D83,E82)</f>
        <v/>
      </c>
      <c r="F83">
        <f>IF(AND(B83=1,C83&gt;1,E82&lt;&gt;""),ABS(D83-E82),"")</f>
        <v/>
      </c>
    </row>
    <row r="84">
      <c r="A84" t="n">
        <v>84</v>
      </c>
      <c r="B84">
        <f>IF(INDEX('Data Entry'!$H$5:$BE$10004,84-4,'Visual SPC'!$B$3)="",0,IF(AND(OR('Visual SPC'!$C$4="",'Data Entry'!$C84&gt;='Visual SPC'!$C$4),OR('Visual SPC'!$E$4="",'Data Entry'!$C84&lt;='Visual SPC'!$E$4),OR('Visual SPC'!$G$4="",'Data Entry'!$D84='Visual SPC'!$G$4),OR('Visual SPC'!$I$4="",'Data Entry'!$E84='Visual SPC'!$I$4),OR('Visual SPC'!$K$4="",'Data Entry'!$F84='Visual SPC'!$K$4)),1,0))</f>
        <v/>
      </c>
      <c r="C84">
        <f>C83+B84</f>
        <v/>
      </c>
      <c r="D84">
        <f>IF(B84=1,INDEX('Data Entry'!$H$5:$BE$10004,84-4,'Visual SPC'!$B$3),"")</f>
        <v/>
      </c>
      <c r="E84">
        <f>IF(B84=1,D84,E83)</f>
        <v/>
      </c>
      <c r="F84">
        <f>IF(AND(B84=1,C84&gt;1,E83&lt;&gt;""),ABS(D84-E83),"")</f>
        <v/>
      </c>
    </row>
    <row r="85">
      <c r="A85" t="n">
        <v>85</v>
      </c>
      <c r="B85">
        <f>IF(INDEX('Data Entry'!$H$5:$BE$10004,85-4,'Visual SPC'!$B$3)="",0,IF(AND(OR('Visual SPC'!$C$4="",'Data Entry'!$C85&gt;='Visual SPC'!$C$4),OR('Visual SPC'!$E$4="",'Data Entry'!$C85&lt;='Visual SPC'!$E$4),OR('Visual SPC'!$G$4="",'Data Entry'!$D85='Visual SPC'!$G$4),OR('Visual SPC'!$I$4="",'Data Entry'!$E85='Visual SPC'!$I$4),OR('Visual SPC'!$K$4="",'Data Entry'!$F85='Visual SPC'!$K$4)),1,0))</f>
        <v/>
      </c>
      <c r="C85">
        <f>C84+B85</f>
        <v/>
      </c>
      <c r="D85">
        <f>IF(B85=1,INDEX('Data Entry'!$H$5:$BE$10004,85-4,'Visual SPC'!$B$3),"")</f>
        <v/>
      </c>
      <c r="E85">
        <f>IF(B85=1,D85,E84)</f>
        <v/>
      </c>
      <c r="F85">
        <f>IF(AND(B85=1,C85&gt;1,E84&lt;&gt;""),ABS(D85-E84),"")</f>
        <v/>
      </c>
    </row>
    <row r="86">
      <c r="A86" t="n">
        <v>86</v>
      </c>
      <c r="B86">
        <f>IF(INDEX('Data Entry'!$H$5:$BE$10004,86-4,'Visual SPC'!$B$3)="",0,IF(AND(OR('Visual SPC'!$C$4="",'Data Entry'!$C86&gt;='Visual SPC'!$C$4),OR('Visual SPC'!$E$4="",'Data Entry'!$C86&lt;='Visual SPC'!$E$4),OR('Visual SPC'!$G$4="",'Data Entry'!$D86='Visual SPC'!$G$4),OR('Visual SPC'!$I$4="",'Data Entry'!$E86='Visual SPC'!$I$4),OR('Visual SPC'!$K$4="",'Data Entry'!$F86='Visual SPC'!$K$4)),1,0))</f>
        <v/>
      </c>
      <c r="C86">
        <f>C85+B86</f>
        <v/>
      </c>
      <c r="D86">
        <f>IF(B86=1,INDEX('Data Entry'!$H$5:$BE$10004,86-4,'Visual SPC'!$B$3),"")</f>
        <v/>
      </c>
      <c r="E86">
        <f>IF(B86=1,D86,E85)</f>
        <v/>
      </c>
      <c r="F86">
        <f>IF(AND(B86=1,C86&gt;1,E85&lt;&gt;""),ABS(D86-E85),"")</f>
        <v/>
      </c>
    </row>
    <row r="87">
      <c r="A87" t="n">
        <v>87</v>
      </c>
      <c r="B87">
        <f>IF(INDEX('Data Entry'!$H$5:$BE$10004,87-4,'Visual SPC'!$B$3)="",0,IF(AND(OR('Visual SPC'!$C$4="",'Data Entry'!$C87&gt;='Visual SPC'!$C$4),OR('Visual SPC'!$E$4="",'Data Entry'!$C87&lt;='Visual SPC'!$E$4),OR('Visual SPC'!$G$4="",'Data Entry'!$D87='Visual SPC'!$G$4),OR('Visual SPC'!$I$4="",'Data Entry'!$E87='Visual SPC'!$I$4),OR('Visual SPC'!$K$4="",'Data Entry'!$F87='Visual SPC'!$K$4)),1,0))</f>
        <v/>
      </c>
      <c r="C87">
        <f>C86+B87</f>
        <v/>
      </c>
      <c r="D87">
        <f>IF(B87=1,INDEX('Data Entry'!$H$5:$BE$10004,87-4,'Visual SPC'!$B$3),"")</f>
        <v/>
      </c>
      <c r="E87">
        <f>IF(B87=1,D87,E86)</f>
        <v/>
      </c>
      <c r="F87">
        <f>IF(AND(B87=1,C87&gt;1,E86&lt;&gt;""),ABS(D87-E86),"")</f>
        <v/>
      </c>
    </row>
    <row r="88">
      <c r="A88" t="n">
        <v>88</v>
      </c>
      <c r="B88">
        <f>IF(INDEX('Data Entry'!$H$5:$BE$10004,88-4,'Visual SPC'!$B$3)="",0,IF(AND(OR('Visual SPC'!$C$4="",'Data Entry'!$C88&gt;='Visual SPC'!$C$4),OR('Visual SPC'!$E$4="",'Data Entry'!$C88&lt;='Visual SPC'!$E$4),OR('Visual SPC'!$G$4="",'Data Entry'!$D88='Visual SPC'!$G$4),OR('Visual SPC'!$I$4="",'Data Entry'!$E88='Visual SPC'!$I$4),OR('Visual SPC'!$K$4="",'Data Entry'!$F88='Visual SPC'!$K$4)),1,0))</f>
        <v/>
      </c>
      <c r="C88">
        <f>C87+B88</f>
        <v/>
      </c>
      <c r="D88">
        <f>IF(B88=1,INDEX('Data Entry'!$H$5:$BE$10004,88-4,'Visual SPC'!$B$3),"")</f>
        <v/>
      </c>
      <c r="E88">
        <f>IF(B88=1,D88,E87)</f>
        <v/>
      </c>
      <c r="F88">
        <f>IF(AND(B88=1,C88&gt;1,E87&lt;&gt;""),ABS(D88-E87),"")</f>
        <v/>
      </c>
    </row>
    <row r="89">
      <c r="A89" t="n">
        <v>89</v>
      </c>
      <c r="B89">
        <f>IF(INDEX('Data Entry'!$H$5:$BE$10004,89-4,'Visual SPC'!$B$3)="",0,IF(AND(OR('Visual SPC'!$C$4="",'Data Entry'!$C89&gt;='Visual SPC'!$C$4),OR('Visual SPC'!$E$4="",'Data Entry'!$C89&lt;='Visual SPC'!$E$4),OR('Visual SPC'!$G$4="",'Data Entry'!$D89='Visual SPC'!$G$4),OR('Visual SPC'!$I$4="",'Data Entry'!$E89='Visual SPC'!$I$4),OR('Visual SPC'!$K$4="",'Data Entry'!$F89='Visual SPC'!$K$4)),1,0))</f>
        <v/>
      </c>
      <c r="C89">
        <f>C88+B89</f>
        <v/>
      </c>
      <c r="D89">
        <f>IF(B89=1,INDEX('Data Entry'!$H$5:$BE$10004,89-4,'Visual SPC'!$B$3),"")</f>
        <v/>
      </c>
      <c r="E89">
        <f>IF(B89=1,D89,E88)</f>
        <v/>
      </c>
      <c r="F89">
        <f>IF(AND(B89=1,C89&gt;1,E88&lt;&gt;""),ABS(D89-E88),"")</f>
        <v/>
      </c>
    </row>
    <row r="90">
      <c r="A90" t="n">
        <v>90</v>
      </c>
      <c r="B90">
        <f>IF(INDEX('Data Entry'!$H$5:$BE$10004,90-4,'Visual SPC'!$B$3)="",0,IF(AND(OR('Visual SPC'!$C$4="",'Data Entry'!$C90&gt;='Visual SPC'!$C$4),OR('Visual SPC'!$E$4="",'Data Entry'!$C90&lt;='Visual SPC'!$E$4),OR('Visual SPC'!$G$4="",'Data Entry'!$D90='Visual SPC'!$G$4),OR('Visual SPC'!$I$4="",'Data Entry'!$E90='Visual SPC'!$I$4),OR('Visual SPC'!$K$4="",'Data Entry'!$F90='Visual SPC'!$K$4)),1,0))</f>
        <v/>
      </c>
      <c r="C90">
        <f>C89+B90</f>
        <v/>
      </c>
      <c r="D90">
        <f>IF(B90=1,INDEX('Data Entry'!$H$5:$BE$10004,90-4,'Visual SPC'!$B$3),"")</f>
        <v/>
      </c>
      <c r="E90">
        <f>IF(B90=1,D90,E89)</f>
        <v/>
      </c>
      <c r="F90">
        <f>IF(AND(B90=1,C90&gt;1,E89&lt;&gt;""),ABS(D90-E89),"")</f>
        <v/>
      </c>
    </row>
    <row r="91">
      <c r="A91" t="n">
        <v>91</v>
      </c>
      <c r="B91">
        <f>IF(INDEX('Data Entry'!$H$5:$BE$10004,91-4,'Visual SPC'!$B$3)="",0,IF(AND(OR('Visual SPC'!$C$4="",'Data Entry'!$C91&gt;='Visual SPC'!$C$4),OR('Visual SPC'!$E$4="",'Data Entry'!$C91&lt;='Visual SPC'!$E$4),OR('Visual SPC'!$G$4="",'Data Entry'!$D91='Visual SPC'!$G$4),OR('Visual SPC'!$I$4="",'Data Entry'!$E91='Visual SPC'!$I$4),OR('Visual SPC'!$K$4="",'Data Entry'!$F91='Visual SPC'!$K$4)),1,0))</f>
        <v/>
      </c>
      <c r="C91">
        <f>C90+B91</f>
        <v/>
      </c>
      <c r="D91">
        <f>IF(B91=1,INDEX('Data Entry'!$H$5:$BE$10004,91-4,'Visual SPC'!$B$3),"")</f>
        <v/>
      </c>
      <c r="E91">
        <f>IF(B91=1,D91,E90)</f>
        <v/>
      </c>
      <c r="F91">
        <f>IF(AND(B91=1,C91&gt;1,E90&lt;&gt;""),ABS(D91-E90),"")</f>
        <v/>
      </c>
    </row>
    <row r="92">
      <c r="A92" t="n">
        <v>92</v>
      </c>
      <c r="B92">
        <f>IF(INDEX('Data Entry'!$H$5:$BE$10004,92-4,'Visual SPC'!$B$3)="",0,IF(AND(OR('Visual SPC'!$C$4="",'Data Entry'!$C92&gt;='Visual SPC'!$C$4),OR('Visual SPC'!$E$4="",'Data Entry'!$C92&lt;='Visual SPC'!$E$4),OR('Visual SPC'!$G$4="",'Data Entry'!$D92='Visual SPC'!$G$4),OR('Visual SPC'!$I$4="",'Data Entry'!$E92='Visual SPC'!$I$4),OR('Visual SPC'!$K$4="",'Data Entry'!$F92='Visual SPC'!$K$4)),1,0))</f>
        <v/>
      </c>
      <c r="C92">
        <f>C91+B92</f>
        <v/>
      </c>
      <c r="D92">
        <f>IF(B92=1,INDEX('Data Entry'!$H$5:$BE$10004,92-4,'Visual SPC'!$B$3),"")</f>
        <v/>
      </c>
      <c r="E92">
        <f>IF(B92=1,D92,E91)</f>
        <v/>
      </c>
      <c r="F92">
        <f>IF(AND(B92=1,C92&gt;1,E91&lt;&gt;""),ABS(D92-E91),"")</f>
        <v/>
      </c>
    </row>
    <row r="93">
      <c r="A93" t="n">
        <v>93</v>
      </c>
      <c r="B93">
        <f>IF(INDEX('Data Entry'!$H$5:$BE$10004,93-4,'Visual SPC'!$B$3)="",0,IF(AND(OR('Visual SPC'!$C$4="",'Data Entry'!$C93&gt;='Visual SPC'!$C$4),OR('Visual SPC'!$E$4="",'Data Entry'!$C93&lt;='Visual SPC'!$E$4),OR('Visual SPC'!$G$4="",'Data Entry'!$D93='Visual SPC'!$G$4),OR('Visual SPC'!$I$4="",'Data Entry'!$E93='Visual SPC'!$I$4),OR('Visual SPC'!$K$4="",'Data Entry'!$F93='Visual SPC'!$K$4)),1,0))</f>
        <v/>
      </c>
      <c r="C93">
        <f>C92+B93</f>
        <v/>
      </c>
      <c r="D93">
        <f>IF(B93=1,INDEX('Data Entry'!$H$5:$BE$10004,93-4,'Visual SPC'!$B$3),"")</f>
        <v/>
      </c>
      <c r="E93">
        <f>IF(B93=1,D93,E92)</f>
        <v/>
      </c>
      <c r="F93">
        <f>IF(AND(B93=1,C93&gt;1,E92&lt;&gt;""),ABS(D93-E92),"")</f>
        <v/>
      </c>
    </row>
    <row r="94">
      <c r="A94" t="n">
        <v>94</v>
      </c>
      <c r="B94">
        <f>IF(INDEX('Data Entry'!$H$5:$BE$10004,94-4,'Visual SPC'!$B$3)="",0,IF(AND(OR('Visual SPC'!$C$4="",'Data Entry'!$C94&gt;='Visual SPC'!$C$4),OR('Visual SPC'!$E$4="",'Data Entry'!$C94&lt;='Visual SPC'!$E$4),OR('Visual SPC'!$G$4="",'Data Entry'!$D94='Visual SPC'!$G$4),OR('Visual SPC'!$I$4="",'Data Entry'!$E94='Visual SPC'!$I$4),OR('Visual SPC'!$K$4="",'Data Entry'!$F94='Visual SPC'!$K$4)),1,0))</f>
        <v/>
      </c>
      <c r="C94">
        <f>C93+B94</f>
        <v/>
      </c>
      <c r="D94">
        <f>IF(B94=1,INDEX('Data Entry'!$H$5:$BE$10004,94-4,'Visual SPC'!$B$3),"")</f>
        <v/>
      </c>
      <c r="E94">
        <f>IF(B94=1,D94,E93)</f>
        <v/>
      </c>
      <c r="F94">
        <f>IF(AND(B94=1,C94&gt;1,E93&lt;&gt;""),ABS(D94-E93),"")</f>
        <v/>
      </c>
    </row>
    <row r="95">
      <c r="A95" t="n">
        <v>95</v>
      </c>
      <c r="B95">
        <f>IF(INDEX('Data Entry'!$H$5:$BE$10004,95-4,'Visual SPC'!$B$3)="",0,IF(AND(OR('Visual SPC'!$C$4="",'Data Entry'!$C95&gt;='Visual SPC'!$C$4),OR('Visual SPC'!$E$4="",'Data Entry'!$C95&lt;='Visual SPC'!$E$4),OR('Visual SPC'!$G$4="",'Data Entry'!$D95='Visual SPC'!$G$4),OR('Visual SPC'!$I$4="",'Data Entry'!$E95='Visual SPC'!$I$4),OR('Visual SPC'!$K$4="",'Data Entry'!$F95='Visual SPC'!$K$4)),1,0))</f>
        <v/>
      </c>
      <c r="C95">
        <f>C94+B95</f>
        <v/>
      </c>
      <c r="D95">
        <f>IF(B95=1,INDEX('Data Entry'!$H$5:$BE$10004,95-4,'Visual SPC'!$B$3),"")</f>
        <v/>
      </c>
      <c r="E95">
        <f>IF(B95=1,D95,E94)</f>
        <v/>
      </c>
      <c r="F95">
        <f>IF(AND(B95=1,C95&gt;1,E94&lt;&gt;""),ABS(D95-E94),"")</f>
        <v/>
      </c>
    </row>
    <row r="96">
      <c r="A96" t="n">
        <v>96</v>
      </c>
      <c r="B96">
        <f>IF(INDEX('Data Entry'!$H$5:$BE$10004,96-4,'Visual SPC'!$B$3)="",0,IF(AND(OR('Visual SPC'!$C$4="",'Data Entry'!$C96&gt;='Visual SPC'!$C$4),OR('Visual SPC'!$E$4="",'Data Entry'!$C96&lt;='Visual SPC'!$E$4),OR('Visual SPC'!$G$4="",'Data Entry'!$D96='Visual SPC'!$G$4),OR('Visual SPC'!$I$4="",'Data Entry'!$E96='Visual SPC'!$I$4),OR('Visual SPC'!$K$4="",'Data Entry'!$F96='Visual SPC'!$K$4)),1,0))</f>
        <v/>
      </c>
      <c r="C96">
        <f>C95+B96</f>
        <v/>
      </c>
      <c r="D96">
        <f>IF(B96=1,INDEX('Data Entry'!$H$5:$BE$10004,96-4,'Visual SPC'!$B$3),"")</f>
        <v/>
      </c>
      <c r="E96">
        <f>IF(B96=1,D96,E95)</f>
        <v/>
      </c>
      <c r="F96">
        <f>IF(AND(B96=1,C96&gt;1,E95&lt;&gt;""),ABS(D96-E95),"")</f>
        <v/>
      </c>
    </row>
    <row r="97">
      <c r="A97" t="n">
        <v>97</v>
      </c>
      <c r="B97">
        <f>IF(INDEX('Data Entry'!$H$5:$BE$10004,97-4,'Visual SPC'!$B$3)="",0,IF(AND(OR('Visual SPC'!$C$4="",'Data Entry'!$C97&gt;='Visual SPC'!$C$4),OR('Visual SPC'!$E$4="",'Data Entry'!$C97&lt;='Visual SPC'!$E$4),OR('Visual SPC'!$G$4="",'Data Entry'!$D97='Visual SPC'!$G$4),OR('Visual SPC'!$I$4="",'Data Entry'!$E97='Visual SPC'!$I$4),OR('Visual SPC'!$K$4="",'Data Entry'!$F97='Visual SPC'!$K$4)),1,0))</f>
        <v/>
      </c>
      <c r="C97">
        <f>C96+B97</f>
        <v/>
      </c>
      <c r="D97">
        <f>IF(B97=1,INDEX('Data Entry'!$H$5:$BE$10004,97-4,'Visual SPC'!$B$3),"")</f>
        <v/>
      </c>
      <c r="E97">
        <f>IF(B97=1,D97,E96)</f>
        <v/>
      </c>
      <c r="F97">
        <f>IF(AND(B97=1,C97&gt;1,E96&lt;&gt;""),ABS(D97-E96),"")</f>
        <v/>
      </c>
    </row>
    <row r="98">
      <c r="A98" t="n">
        <v>98</v>
      </c>
      <c r="B98">
        <f>IF(INDEX('Data Entry'!$H$5:$BE$10004,98-4,'Visual SPC'!$B$3)="",0,IF(AND(OR('Visual SPC'!$C$4="",'Data Entry'!$C98&gt;='Visual SPC'!$C$4),OR('Visual SPC'!$E$4="",'Data Entry'!$C98&lt;='Visual SPC'!$E$4),OR('Visual SPC'!$G$4="",'Data Entry'!$D98='Visual SPC'!$G$4),OR('Visual SPC'!$I$4="",'Data Entry'!$E98='Visual SPC'!$I$4),OR('Visual SPC'!$K$4="",'Data Entry'!$F98='Visual SPC'!$K$4)),1,0))</f>
        <v/>
      </c>
      <c r="C98">
        <f>C97+B98</f>
        <v/>
      </c>
      <c r="D98">
        <f>IF(B98=1,INDEX('Data Entry'!$H$5:$BE$10004,98-4,'Visual SPC'!$B$3),"")</f>
        <v/>
      </c>
      <c r="E98">
        <f>IF(B98=1,D98,E97)</f>
        <v/>
      </c>
      <c r="F98">
        <f>IF(AND(B98=1,C98&gt;1,E97&lt;&gt;""),ABS(D98-E97),"")</f>
        <v/>
      </c>
    </row>
    <row r="99">
      <c r="A99" t="n">
        <v>99</v>
      </c>
      <c r="B99">
        <f>IF(INDEX('Data Entry'!$H$5:$BE$10004,99-4,'Visual SPC'!$B$3)="",0,IF(AND(OR('Visual SPC'!$C$4="",'Data Entry'!$C99&gt;='Visual SPC'!$C$4),OR('Visual SPC'!$E$4="",'Data Entry'!$C99&lt;='Visual SPC'!$E$4),OR('Visual SPC'!$G$4="",'Data Entry'!$D99='Visual SPC'!$G$4),OR('Visual SPC'!$I$4="",'Data Entry'!$E99='Visual SPC'!$I$4),OR('Visual SPC'!$K$4="",'Data Entry'!$F99='Visual SPC'!$K$4)),1,0))</f>
        <v/>
      </c>
      <c r="C99">
        <f>C98+B99</f>
        <v/>
      </c>
      <c r="D99">
        <f>IF(B99=1,INDEX('Data Entry'!$H$5:$BE$10004,99-4,'Visual SPC'!$B$3),"")</f>
        <v/>
      </c>
      <c r="E99">
        <f>IF(B99=1,D99,E98)</f>
        <v/>
      </c>
      <c r="F99">
        <f>IF(AND(B99=1,C99&gt;1,E98&lt;&gt;""),ABS(D99-E98),"")</f>
        <v/>
      </c>
    </row>
    <row r="100">
      <c r="A100" t="n">
        <v>100</v>
      </c>
      <c r="B100">
        <f>IF(INDEX('Data Entry'!$H$5:$BE$10004,100-4,'Visual SPC'!$B$3)="",0,IF(AND(OR('Visual SPC'!$C$4="",'Data Entry'!$C100&gt;='Visual SPC'!$C$4),OR('Visual SPC'!$E$4="",'Data Entry'!$C100&lt;='Visual SPC'!$E$4),OR('Visual SPC'!$G$4="",'Data Entry'!$D100='Visual SPC'!$G$4),OR('Visual SPC'!$I$4="",'Data Entry'!$E100='Visual SPC'!$I$4),OR('Visual SPC'!$K$4="",'Data Entry'!$F100='Visual SPC'!$K$4)),1,0))</f>
        <v/>
      </c>
      <c r="C100">
        <f>C99+B100</f>
        <v/>
      </c>
      <c r="D100">
        <f>IF(B100=1,INDEX('Data Entry'!$H$5:$BE$10004,100-4,'Visual SPC'!$B$3),"")</f>
        <v/>
      </c>
      <c r="E100">
        <f>IF(B100=1,D100,E99)</f>
        <v/>
      </c>
      <c r="F100">
        <f>IF(AND(B100=1,C100&gt;1,E99&lt;&gt;""),ABS(D100-E99),"")</f>
        <v/>
      </c>
    </row>
    <row r="101">
      <c r="A101" t="n">
        <v>101</v>
      </c>
      <c r="B101">
        <f>IF(INDEX('Data Entry'!$H$5:$BE$10004,101-4,'Visual SPC'!$B$3)="",0,IF(AND(OR('Visual SPC'!$C$4="",'Data Entry'!$C101&gt;='Visual SPC'!$C$4),OR('Visual SPC'!$E$4="",'Data Entry'!$C101&lt;='Visual SPC'!$E$4),OR('Visual SPC'!$G$4="",'Data Entry'!$D101='Visual SPC'!$G$4),OR('Visual SPC'!$I$4="",'Data Entry'!$E101='Visual SPC'!$I$4),OR('Visual SPC'!$K$4="",'Data Entry'!$F101='Visual SPC'!$K$4)),1,0))</f>
        <v/>
      </c>
      <c r="C101">
        <f>C100+B101</f>
        <v/>
      </c>
      <c r="D101">
        <f>IF(B101=1,INDEX('Data Entry'!$H$5:$BE$10004,101-4,'Visual SPC'!$B$3),"")</f>
        <v/>
      </c>
      <c r="E101">
        <f>IF(B101=1,D101,E100)</f>
        <v/>
      </c>
      <c r="F101">
        <f>IF(AND(B101=1,C101&gt;1,E100&lt;&gt;""),ABS(D101-E100),"")</f>
        <v/>
      </c>
    </row>
    <row r="102">
      <c r="A102" t="n">
        <v>102</v>
      </c>
      <c r="B102">
        <f>IF(INDEX('Data Entry'!$H$5:$BE$10004,102-4,'Visual SPC'!$B$3)="",0,IF(AND(OR('Visual SPC'!$C$4="",'Data Entry'!$C102&gt;='Visual SPC'!$C$4),OR('Visual SPC'!$E$4="",'Data Entry'!$C102&lt;='Visual SPC'!$E$4),OR('Visual SPC'!$G$4="",'Data Entry'!$D102='Visual SPC'!$G$4),OR('Visual SPC'!$I$4="",'Data Entry'!$E102='Visual SPC'!$I$4),OR('Visual SPC'!$K$4="",'Data Entry'!$F102='Visual SPC'!$K$4)),1,0))</f>
        <v/>
      </c>
      <c r="C102">
        <f>C101+B102</f>
        <v/>
      </c>
      <c r="D102">
        <f>IF(B102=1,INDEX('Data Entry'!$H$5:$BE$10004,102-4,'Visual SPC'!$B$3),"")</f>
        <v/>
      </c>
      <c r="E102">
        <f>IF(B102=1,D102,E101)</f>
        <v/>
      </c>
      <c r="F102">
        <f>IF(AND(B102=1,C102&gt;1,E101&lt;&gt;""),ABS(D102-E101),"")</f>
        <v/>
      </c>
    </row>
    <row r="103">
      <c r="A103" t="n">
        <v>103</v>
      </c>
      <c r="B103">
        <f>IF(INDEX('Data Entry'!$H$5:$BE$10004,103-4,'Visual SPC'!$B$3)="",0,IF(AND(OR('Visual SPC'!$C$4="",'Data Entry'!$C103&gt;='Visual SPC'!$C$4),OR('Visual SPC'!$E$4="",'Data Entry'!$C103&lt;='Visual SPC'!$E$4),OR('Visual SPC'!$G$4="",'Data Entry'!$D103='Visual SPC'!$G$4),OR('Visual SPC'!$I$4="",'Data Entry'!$E103='Visual SPC'!$I$4),OR('Visual SPC'!$K$4="",'Data Entry'!$F103='Visual SPC'!$K$4)),1,0))</f>
        <v/>
      </c>
      <c r="C103">
        <f>C102+B103</f>
        <v/>
      </c>
      <c r="D103">
        <f>IF(B103=1,INDEX('Data Entry'!$H$5:$BE$10004,103-4,'Visual SPC'!$B$3),"")</f>
        <v/>
      </c>
      <c r="E103">
        <f>IF(B103=1,D103,E102)</f>
        <v/>
      </c>
      <c r="F103">
        <f>IF(AND(B103=1,C103&gt;1,E102&lt;&gt;""),ABS(D103-E102),"")</f>
        <v/>
      </c>
    </row>
    <row r="104">
      <c r="A104" t="n">
        <v>104</v>
      </c>
      <c r="B104">
        <f>IF(INDEX('Data Entry'!$H$5:$BE$10004,104-4,'Visual SPC'!$B$3)="",0,IF(AND(OR('Visual SPC'!$C$4="",'Data Entry'!$C104&gt;='Visual SPC'!$C$4),OR('Visual SPC'!$E$4="",'Data Entry'!$C104&lt;='Visual SPC'!$E$4),OR('Visual SPC'!$G$4="",'Data Entry'!$D104='Visual SPC'!$G$4),OR('Visual SPC'!$I$4="",'Data Entry'!$E104='Visual SPC'!$I$4),OR('Visual SPC'!$K$4="",'Data Entry'!$F104='Visual SPC'!$K$4)),1,0))</f>
        <v/>
      </c>
      <c r="C104">
        <f>C103+B104</f>
        <v/>
      </c>
      <c r="D104">
        <f>IF(B104=1,INDEX('Data Entry'!$H$5:$BE$10004,104-4,'Visual SPC'!$B$3),"")</f>
        <v/>
      </c>
      <c r="E104">
        <f>IF(B104=1,D104,E103)</f>
        <v/>
      </c>
      <c r="F104">
        <f>IF(AND(B104=1,C104&gt;1,E103&lt;&gt;""),ABS(D104-E103),"")</f>
        <v/>
      </c>
    </row>
    <row r="105">
      <c r="A105" t="n">
        <v>105</v>
      </c>
      <c r="B105">
        <f>IF(INDEX('Data Entry'!$H$5:$BE$10004,105-4,'Visual SPC'!$B$3)="",0,IF(AND(OR('Visual SPC'!$C$4="",'Data Entry'!$C105&gt;='Visual SPC'!$C$4),OR('Visual SPC'!$E$4="",'Data Entry'!$C105&lt;='Visual SPC'!$E$4),OR('Visual SPC'!$G$4="",'Data Entry'!$D105='Visual SPC'!$G$4),OR('Visual SPC'!$I$4="",'Data Entry'!$E105='Visual SPC'!$I$4),OR('Visual SPC'!$K$4="",'Data Entry'!$F105='Visual SPC'!$K$4)),1,0))</f>
        <v/>
      </c>
      <c r="C105">
        <f>C104+B105</f>
        <v/>
      </c>
      <c r="D105">
        <f>IF(B105=1,INDEX('Data Entry'!$H$5:$BE$10004,105-4,'Visual SPC'!$B$3),"")</f>
        <v/>
      </c>
      <c r="E105">
        <f>IF(B105=1,D105,E104)</f>
        <v/>
      </c>
      <c r="F105">
        <f>IF(AND(B105=1,C105&gt;1,E104&lt;&gt;""),ABS(D105-E104),"")</f>
        <v/>
      </c>
    </row>
    <row r="106">
      <c r="A106" t="n">
        <v>106</v>
      </c>
      <c r="B106">
        <f>IF(INDEX('Data Entry'!$H$5:$BE$10004,106-4,'Visual SPC'!$B$3)="",0,IF(AND(OR('Visual SPC'!$C$4="",'Data Entry'!$C106&gt;='Visual SPC'!$C$4),OR('Visual SPC'!$E$4="",'Data Entry'!$C106&lt;='Visual SPC'!$E$4),OR('Visual SPC'!$G$4="",'Data Entry'!$D106='Visual SPC'!$G$4),OR('Visual SPC'!$I$4="",'Data Entry'!$E106='Visual SPC'!$I$4),OR('Visual SPC'!$K$4="",'Data Entry'!$F106='Visual SPC'!$K$4)),1,0))</f>
        <v/>
      </c>
      <c r="C106">
        <f>C105+B106</f>
        <v/>
      </c>
      <c r="D106">
        <f>IF(B106=1,INDEX('Data Entry'!$H$5:$BE$10004,106-4,'Visual SPC'!$B$3),"")</f>
        <v/>
      </c>
      <c r="E106">
        <f>IF(B106=1,D106,E105)</f>
        <v/>
      </c>
      <c r="F106">
        <f>IF(AND(B106=1,C106&gt;1,E105&lt;&gt;""),ABS(D106-E105),"")</f>
        <v/>
      </c>
    </row>
    <row r="107">
      <c r="A107" t="n">
        <v>107</v>
      </c>
      <c r="B107">
        <f>IF(INDEX('Data Entry'!$H$5:$BE$10004,107-4,'Visual SPC'!$B$3)="",0,IF(AND(OR('Visual SPC'!$C$4="",'Data Entry'!$C107&gt;='Visual SPC'!$C$4),OR('Visual SPC'!$E$4="",'Data Entry'!$C107&lt;='Visual SPC'!$E$4),OR('Visual SPC'!$G$4="",'Data Entry'!$D107='Visual SPC'!$G$4),OR('Visual SPC'!$I$4="",'Data Entry'!$E107='Visual SPC'!$I$4),OR('Visual SPC'!$K$4="",'Data Entry'!$F107='Visual SPC'!$K$4)),1,0))</f>
        <v/>
      </c>
      <c r="C107">
        <f>C106+B107</f>
        <v/>
      </c>
      <c r="D107">
        <f>IF(B107=1,INDEX('Data Entry'!$H$5:$BE$10004,107-4,'Visual SPC'!$B$3),"")</f>
        <v/>
      </c>
      <c r="E107">
        <f>IF(B107=1,D107,E106)</f>
        <v/>
      </c>
      <c r="F107">
        <f>IF(AND(B107=1,C107&gt;1,E106&lt;&gt;""),ABS(D107-E106),"")</f>
        <v/>
      </c>
    </row>
    <row r="108">
      <c r="A108" t="n">
        <v>108</v>
      </c>
      <c r="B108">
        <f>IF(INDEX('Data Entry'!$H$5:$BE$10004,108-4,'Visual SPC'!$B$3)="",0,IF(AND(OR('Visual SPC'!$C$4="",'Data Entry'!$C108&gt;='Visual SPC'!$C$4),OR('Visual SPC'!$E$4="",'Data Entry'!$C108&lt;='Visual SPC'!$E$4),OR('Visual SPC'!$G$4="",'Data Entry'!$D108='Visual SPC'!$G$4),OR('Visual SPC'!$I$4="",'Data Entry'!$E108='Visual SPC'!$I$4),OR('Visual SPC'!$K$4="",'Data Entry'!$F108='Visual SPC'!$K$4)),1,0))</f>
        <v/>
      </c>
      <c r="C108">
        <f>C107+B108</f>
        <v/>
      </c>
      <c r="D108">
        <f>IF(B108=1,INDEX('Data Entry'!$H$5:$BE$10004,108-4,'Visual SPC'!$B$3),"")</f>
        <v/>
      </c>
      <c r="E108">
        <f>IF(B108=1,D108,E107)</f>
        <v/>
      </c>
      <c r="F108">
        <f>IF(AND(B108=1,C108&gt;1,E107&lt;&gt;""),ABS(D108-E107),"")</f>
        <v/>
      </c>
    </row>
    <row r="109">
      <c r="A109" t="n">
        <v>109</v>
      </c>
      <c r="B109">
        <f>IF(INDEX('Data Entry'!$H$5:$BE$10004,109-4,'Visual SPC'!$B$3)="",0,IF(AND(OR('Visual SPC'!$C$4="",'Data Entry'!$C109&gt;='Visual SPC'!$C$4),OR('Visual SPC'!$E$4="",'Data Entry'!$C109&lt;='Visual SPC'!$E$4),OR('Visual SPC'!$G$4="",'Data Entry'!$D109='Visual SPC'!$G$4),OR('Visual SPC'!$I$4="",'Data Entry'!$E109='Visual SPC'!$I$4),OR('Visual SPC'!$K$4="",'Data Entry'!$F109='Visual SPC'!$K$4)),1,0))</f>
        <v/>
      </c>
      <c r="C109">
        <f>C108+B109</f>
        <v/>
      </c>
      <c r="D109">
        <f>IF(B109=1,INDEX('Data Entry'!$H$5:$BE$10004,109-4,'Visual SPC'!$B$3),"")</f>
        <v/>
      </c>
      <c r="E109">
        <f>IF(B109=1,D109,E108)</f>
        <v/>
      </c>
      <c r="F109">
        <f>IF(AND(B109=1,C109&gt;1,E108&lt;&gt;""),ABS(D109-E108),"")</f>
        <v/>
      </c>
    </row>
    <row r="110">
      <c r="A110" t="n">
        <v>110</v>
      </c>
      <c r="B110">
        <f>IF(INDEX('Data Entry'!$H$5:$BE$10004,110-4,'Visual SPC'!$B$3)="",0,IF(AND(OR('Visual SPC'!$C$4="",'Data Entry'!$C110&gt;='Visual SPC'!$C$4),OR('Visual SPC'!$E$4="",'Data Entry'!$C110&lt;='Visual SPC'!$E$4),OR('Visual SPC'!$G$4="",'Data Entry'!$D110='Visual SPC'!$G$4),OR('Visual SPC'!$I$4="",'Data Entry'!$E110='Visual SPC'!$I$4),OR('Visual SPC'!$K$4="",'Data Entry'!$F110='Visual SPC'!$K$4)),1,0))</f>
        <v/>
      </c>
      <c r="C110">
        <f>C109+B110</f>
        <v/>
      </c>
      <c r="D110">
        <f>IF(B110=1,INDEX('Data Entry'!$H$5:$BE$10004,110-4,'Visual SPC'!$B$3),"")</f>
        <v/>
      </c>
      <c r="E110">
        <f>IF(B110=1,D110,E109)</f>
        <v/>
      </c>
      <c r="F110">
        <f>IF(AND(B110=1,C110&gt;1,E109&lt;&gt;""),ABS(D110-E109),"")</f>
        <v/>
      </c>
    </row>
    <row r="111">
      <c r="A111" t="n">
        <v>111</v>
      </c>
      <c r="B111">
        <f>IF(INDEX('Data Entry'!$H$5:$BE$10004,111-4,'Visual SPC'!$B$3)="",0,IF(AND(OR('Visual SPC'!$C$4="",'Data Entry'!$C111&gt;='Visual SPC'!$C$4),OR('Visual SPC'!$E$4="",'Data Entry'!$C111&lt;='Visual SPC'!$E$4),OR('Visual SPC'!$G$4="",'Data Entry'!$D111='Visual SPC'!$G$4),OR('Visual SPC'!$I$4="",'Data Entry'!$E111='Visual SPC'!$I$4),OR('Visual SPC'!$K$4="",'Data Entry'!$F111='Visual SPC'!$K$4)),1,0))</f>
        <v/>
      </c>
      <c r="C111">
        <f>C110+B111</f>
        <v/>
      </c>
      <c r="D111">
        <f>IF(B111=1,INDEX('Data Entry'!$H$5:$BE$10004,111-4,'Visual SPC'!$B$3),"")</f>
        <v/>
      </c>
      <c r="E111">
        <f>IF(B111=1,D111,E110)</f>
        <v/>
      </c>
      <c r="F111">
        <f>IF(AND(B111=1,C111&gt;1,E110&lt;&gt;""),ABS(D111-E110),"")</f>
        <v/>
      </c>
    </row>
    <row r="112">
      <c r="A112" t="n">
        <v>112</v>
      </c>
      <c r="B112">
        <f>IF(INDEX('Data Entry'!$H$5:$BE$10004,112-4,'Visual SPC'!$B$3)="",0,IF(AND(OR('Visual SPC'!$C$4="",'Data Entry'!$C112&gt;='Visual SPC'!$C$4),OR('Visual SPC'!$E$4="",'Data Entry'!$C112&lt;='Visual SPC'!$E$4),OR('Visual SPC'!$G$4="",'Data Entry'!$D112='Visual SPC'!$G$4),OR('Visual SPC'!$I$4="",'Data Entry'!$E112='Visual SPC'!$I$4),OR('Visual SPC'!$K$4="",'Data Entry'!$F112='Visual SPC'!$K$4)),1,0))</f>
        <v/>
      </c>
      <c r="C112">
        <f>C111+B112</f>
        <v/>
      </c>
      <c r="D112">
        <f>IF(B112=1,INDEX('Data Entry'!$H$5:$BE$10004,112-4,'Visual SPC'!$B$3),"")</f>
        <v/>
      </c>
      <c r="E112">
        <f>IF(B112=1,D112,E111)</f>
        <v/>
      </c>
      <c r="F112">
        <f>IF(AND(B112=1,C112&gt;1,E111&lt;&gt;""),ABS(D112-E111),"")</f>
        <v/>
      </c>
    </row>
    <row r="113">
      <c r="A113" t="n">
        <v>113</v>
      </c>
      <c r="B113">
        <f>IF(INDEX('Data Entry'!$H$5:$BE$10004,113-4,'Visual SPC'!$B$3)="",0,IF(AND(OR('Visual SPC'!$C$4="",'Data Entry'!$C113&gt;='Visual SPC'!$C$4),OR('Visual SPC'!$E$4="",'Data Entry'!$C113&lt;='Visual SPC'!$E$4),OR('Visual SPC'!$G$4="",'Data Entry'!$D113='Visual SPC'!$G$4),OR('Visual SPC'!$I$4="",'Data Entry'!$E113='Visual SPC'!$I$4),OR('Visual SPC'!$K$4="",'Data Entry'!$F113='Visual SPC'!$K$4)),1,0))</f>
        <v/>
      </c>
      <c r="C113">
        <f>C112+B113</f>
        <v/>
      </c>
      <c r="D113">
        <f>IF(B113=1,INDEX('Data Entry'!$H$5:$BE$10004,113-4,'Visual SPC'!$B$3),"")</f>
        <v/>
      </c>
      <c r="E113">
        <f>IF(B113=1,D113,E112)</f>
        <v/>
      </c>
      <c r="F113">
        <f>IF(AND(B113=1,C113&gt;1,E112&lt;&gt;""),ABS(D113-E112),"")</f>
        <v/>
      </c>
    </row>
    <row r="114">
      <c r="A114" t="n">
        <v>114</v>
      </c>
      <c r="B114">
        <f>IF(INDEX('Data Entry'!$H$5:$BE$10004,114-4,'Visual SPC'!$B$3)="",0,IF(AND(OR('Visual SPC'!$C$4="",'Data Entry'!$C114&gt;='Visual SPC'!$C$4),OR('Visual SPC'!$E$4="",'Data Entry'!$C114&lt;='Visual SPC'!$E$4),OR('Visual SPC'!$G$4="",'Data Entry'!$D114='Visual SPC'!$G$4),OR('Visual SPC'!$I$4="",'Data Entry'!$E114='Visual SPC'!$I$4),OR('Visual SPC'!$K$4="",'Data Entry'!$F114='Visual SPC'!$K$4)),1,0))</f>
        <v/>
      </c>
      <c r="C114">
        <f>C113+B114</f>
        <v/>
      </c>
      <c r="D114">
        <f>IF(B114=1,INDEX('Data Entry'!$H$5:$BE$10004,114-4,'Visual SPC'!$B$3),"")</f>
        <v/>
      </c>
      <c r="E114">
        <f>IF(B114=1,D114,E113)</f>
        <v/>
      </c>
      <c r="F114">
        <f>IF(AND(B114=1,C114&gt;1,E113&lt;&gt;""),ABS(D114-E113),"")</f>
        <v/>
      </c>
    </row>
    <row r="115">
      <c r="A115" t="n">
        <v>115</v>
      </c>
      <c r="B115">
        <f>IF(INDEX('Data Entry'!$H$5:$BE$10004,115-4,'Visual SPC'!$B$3)="",0,IF(AND(OR('Visual SPC'!$C$4="",'Data Entry'!$C115&gt;='Visual SPC'!$C$4),OR('Visual SPC'!$E$4="",'Data Entry'!$C115&lt;='Visual SPC'!$E$4),OR('Visual SPC'!$G$4="",'Data Entry'!$D115='Visual SPC'!$G$4),OR('Visual SPC'!$I$4="",'Data Entry'!$E115='Visual SPC'!$I$4),OR('Visual SPC'!$K$4="",'Data Entry'!$F115='Visual SPC'!$K$4)),1,0))</f>
        <v/>
      </c>
      <c r="C115">
        <f>C114+B115</f>
        <v/>
      </c>
      <c r="D115">
        <f>IF(B115=1,INDEX('Data Entry'!$H$5:$BE$10004,115-4,'Visual SPC'!$B$3),"")</f>
        <v/>
      </c>
      <c r="E115">
        <f>IF(B115=1,D115,E114)</f>
        <v/>
      </c>
      <c r="F115">
        <f>IF(AND(B115=1,C115&gt;1,E114&lt;&gt;""),ABS(D115-E114),"")</f>
        <v/>
      </c>
    </row>
    <row r="116">
      <c r="A116" t="n">
        <v>116</v>
      </c>
      <c r="B116">
        <f>IF(INDEX('Data Entry'!$H$5:$BE$10004,116-4,'Visual SPC'!$B$3)="",0,IF(AND(OR('Visual SPC'!$C$4="",'Data Entry'!$C116&gt;='Visual SPC'!$C$4),OR('Visual SPC'!$E$4="",'Data Entry'!$C116&lt;='Visual SPC'!$E$4),OR('Visual SPC'!$G$4="",'Data Entry'!$D116='Visual SPC'!$G$4),OR('Visual SPC'!$I$4="",'Data Entry'!$E116='Visual SPC'!$I$4),OR('Visual SPC'!$K$4="",'Data Entry'!$F116='Visual SPC'!$K$4)),1,0))</f>
        <v/>
      </c>
      <c r="C116">
        <f>C115+B116</f>
        <v/>
      </c>
      <c r="D116">
        <f>IF(B116=1,INDEX('Data Entry'!$H$5:$BE$10004,116-4,'Visual SPC'!$B$3),"")</f>
        <v/>
      </c>
      <c r="E116">
        <f>IF(B116=1,D116,E115)</f>
        <v/>
      </c>
      <c r="F116">
        <f>IF(AND(B116=1,C116&gt;1,E115&lt;&gt;""),ABS(D116-E115),"")</f>
        <v/>
      </c>
    </row>
    <row r="117">
      <c r="A117" t="n">
        <v>117</v>
      </c>
      <c r="B117">
        <f>IF(INDEX('Data Entry'!$H$5:$BE$10004,117-4,'Visual SPC'!$B$3)="",0,IF(AND(OR('Visual SPC'!$C$4="",'Data Entry'!$C117&gt;='Visual SPC'!$C$4),OR('Visual SPC'!$E$4="",'Data Entry'!$C117&lt;='Visual SPC'!$E$4),OR('Visual SPC'!$G$4="",'Data Entry'!$D117='Visual SPC'!$G$4),OR('Visual SPC'!$I$4="",'Data Entry'!$E117='Visual SPC'!$I$4),OR('Visual SPC'!$K$4="",'Data Entry'!$F117='Visual SPC'!$K$4)),1,0))</f>
        <v/>
      </c>
      <c r="C117">
        <f>C116+B117</f>
        <v/>
      </c>
      <c r="D117">
        <f>IF(B117=1,INDEX('Data Entry'!$H$5:$BE$10004,117-4,'Visual SPC'!$B$3),"")</f>
        <v/>
      </c>
      <c r="E117">
        <f>IF(B117=1,D117,E116)</f>
        <v/>
      </c>
      <c r="F117">
        <f>IF(AND(B117=1,C117&gt;1,E116&lt;&gt;""),ABS(D117-E116),"")</f>
        <v/>
      </c>
    </row>
    <row r="118">
      <c r="A118" t="n">
        <v>118</v>
      </c>
      <c r="B118">
        <f>IF(INDEX('Data Entry'!$H$5:$BE$10004,118-4,'Visual SPC'!$B$3)="",0,IF(AND(OR('Visual SPC'!$C$4="",'Data Entry'!$C118&gt;='Visual SPC'!$C$4),OR('Visual SPC'!$E$4="",'Data Entry'!$C118&lt;='Visual SPC'!$E$4),OR('Visual SPC'!$G$4="",'Data Entry'!$D118='Visual SPC'!$G$4),OR('Visual SPC'!$I$4="",'Data Entry'!$E118='Visual SPC'!$I$4),OR('Visual SPC'!$K$4="",'Data Entry'!$F118='Visual SPC'!$K$4)),1,0))</f>
        <v/>
      </c>
      <c r="C118">
        <f>C117+B118</f>
        <v/>
      </c>
      <c r="D118">
        <f>IF(B118=1,INDEX('Data Entry'!$H$5:$BE$10004,118-4,'Visual SPC'!$B$3),"")</f>
        <v/>
      </c>
      <c r="E118">
        <f>IF(B118=1,D118,E117)</f>
        <v/>
      </c>
      <c r="F118">
        <f>IF(AND(B118=1,C118&gt;1,E117&lt;&gt;""),ABS(D118-E117),"")</f>
        <v/>
      </c>
    </row>
    <row r="119">
      <c r="A119" t="n">
        <v>119</v>
      </c>
      <c r="B119">
        <f>IF(INDEX('Data Entry'!$H$5:$BE$10004,119-4,'Visual SPC'!$B$3)="",0,IF(AND(OR('Visual SPC'!$C$4="",'Data Entry'!$C119&gt;='Visual SPC'!$C$4),OR('Visual SPC'!$E$4="",'Data Entry'!$C119&lt;='Visual SPC'!$E$4),OR('Visual SPC'!$G$4="",'Data Entry'!$D119='Visual SPC'!$G$4),OR('Visual SPC'!$I$4="",'Data Entry'!$E119='Visual SPC'!$I$4),OR('Visual SPC'!$K$4="",'Data Entry'!$F119='Visual SPC'!$K$4)),1,0))</f>
        <v/>
      </c>
      <c r="C119">
        <f>C118+B119</f>
        <v/>
      </c>
      <c r="D119">
        <f>IF(B119=1,INDEX('Data Entry'!$H$5:$BE$10004,119-4,'Visual SPC'!$B$3),"")</f>
        <v/>
      </c>
      <c r="E119">
        <f>IF(B119=1,D119,E118)</f>
        <v/>
      </c>
      <c r="F119">
        <f>IF(AND(B119=1,C119&gt;1,E118&lt;&gt;""),ABS(D119-E118),"")</f>
        <v/>
      </c>
    </row>
    <row r="120">
      <c r="A120" t="n">
        <v>120</v>
      </c>
      <c r="B120">
        <f>IF(INDEX('Data Entry'!$H$5:$BE$10004,120-4,'Visual SPC'!$B$3)="",0,IF(AND(OR('Visual SPC'!$C$4="",'Data Entry'!$C120&gt;='Visual SPC'!$C$4),OR('Visual SPC'!$E$4="",'Data Entry'!$C120&lt;='Visual SPC'!$E$4),OR('Visual SPC'!$G$4="",'Data Entry'!$D120='Visual SPC'!$G$4),OR('Visual SPC'!$I$4="",'Data Entry'!$E120='Visual SPC'!$I$4),OR('Visual SPC'!$K$4="",'Data Entry'!$F120='Visual SPC'!$K$4)),1,0))</f>
        <v/>
      </c>
      <c r="C120">
        <f>C119+B120</f>
        <v/>
      </c>
      <c r="D120">
        <f>IF(B120=1,INDEX('Data Entry'!$H$5:$BE$10004,120-4,'Visual SPC'!$B$3),"")</f>
        <v/>
      </c>
      <c r="E120">
        <f>IF(B120=1,D120,E119)</f>
        <v/>
      </c>
      <c r="F120">
        <f>IF(AND(B120=1,C120&gt;1,E119&lt;&gt;""),ABS(D120-E119),"")</f>
        <v/>
      </c>
    </row>
    <row r="121">
      <c r="A121" t="n">
        <v>121</v>
      </c>
      <c r="B121">
        <f>IF(INDEX('Data Entry'!$H$5:$BE$10004,121-4,'Visual SPC'!$B$3)="",0,IF(AND(OR('Visual SPC'!$C$4="",'Data Entry'!$C121&gt;='Visual SPC'!$C$4),OR('Visual SPC'!$E$4="",'Data Entry'!$C121&lt;='Visual SPC'!$E$4),OR('Visual SPC'!$G$4="",'Data Entry'!$D121='Visual SPC'!$G$4),OR('Visual SPC'!$I$4="",'Data Entry'!$E121='Visual SPC'!$I$4),OR('Visual SPC'!$K$4="",'Data Entry'!$F121='Visual SPC'!$K$4)),1,0))</f>
        <v/>
      </c>
      <c r="C121">
        <f>C120+B121</f>
        <v/>
      </c>
      <c r="D121">
        <f>IF(B121=1,INDEX('Data Entry'!$H$5:$BE$10004,121-4,'Visual SPC'!$B$3),"")</f>
        <v/>
      </c>
      <c r="E121">
        <f>IF(B121=1,D121,E120)</f>
        <v/>
      </c>
      <c r="F121">
        <f>IF(AND(B121=1,C121&gt;1,E120&lt;&gt;""),ABS(D121-E120),"")</f>
        <v/>
      </c>
    </row>
    <row r="122">
      <c r="A122" t="n">
        <v>122</v>
      </c>
      <c r="B122">
        <f>IF(INDEX('Data Entry'!$H$5:$BE$10004,122-4,'Visual SPC'!$B$3)="",0,IF(AND(OR('Visual SPC'!$C$4="",'Data Entry'!$C122&gt;='Visual SPC'!$C$4),OR('Visual SPC'!$E$4="",'Data Entry'!$C122&lt;='Visual SPC'!$E$4),OR('Visual SPC'!$G$4="",'Data Entry'!$D122='Visual SPC'!$G$4),OR('Visual SPC'!$I$4="",'Data Entry'!$E122='Visual SPC'!$I$4),OR('Visual SPC'!$K$4="",'Data Entry'!$F122='Visual SPC'!$K$4)),1,0))</f>
        <v/>
      </c>
      <c r="C122">
        <f>C121+B122</f>
        <v/>
      </c>
      <c r="D122">
        <f>IF(B122=1,INDEX('Data Entry'!$H$5:$BE$10004,122-4,'Visual SPC'!$B$3),"")</f>
        <v/>
      </c>
      <c r="E122">
        <f>IF(B122=1,D122,E121)</f>
        <v/>
      </c>
      <c r="F122">
        <f>IF(AND(B122=1,C122&gt;1,E121&lt;&gt;""),ABS(D122-E121),"")</f>
        <v/>
      </c>
    </row>
    <row r="123">
      <c r="A123" t="n">
        <v>123</v>
      </c>
      <c r="B123">
        <f>IF(INDEX('Data Entry'!$H$5:$BE$10004,123-4,'Visual SPC'!$B$3)="",0,IF(AND(OR('Visual SPC'!$C$4="",'Data Entry'!$C123&gt;='Visual SPC'!$C$4),OR('Visual SPC'!$E$4="",'Data Entry'!$C123&lt;='Visual SPC'!$E$4),OR('Visual SPC'!$G$4="",'Data Entry'!$D123='Visual SPC'!$G$4),OR('Visual SPC'!$I$4="",'Data Entry'!$E123='Visual SPC'!$I$4),OR('Visual SPC'!$K$4="",'Data Entry'!$F123='Visual SPC'!$K$4)),1,0))</f>
        <v/>
      </c>
      <c r="C123">
        <f>C122+B123</f>
        <v/>
      </c>
      <c r="D123">
        <f>IF(B123=1,INDEX('Data Entry'!$H$5:$BE$10004,123-4,'Visual SPC'!$B$3),"")</f>
        <v/>
      </c>
      <c r="E123">
        <f>IF(B123=1,D123,E122)</f>
        <v/>
      </c>
      <c r="F123">
        <f>IF(AND(B123=1,C123&gt;1,E122&lt;&gt;""),ABS(D123-E122),"")</f>
        <v/>
      </c>
    </row>
    <row r="124">
      <c r="A124" t="n">
        <v>124</v>
      </c>
      <c r="B124">
        <f>IF(INDEX('Data Entry'!$H$5:$BE$10004,124-4,'Visual SPC'!$B$3)="",0,IF(AND(OR('Visual SPC'!$C$4="",'Data Entry'!$C124&gt;='Visual SPC'!$C$4),OR('Visual SPC'!$E$4="",'Data Entry'!$C124&lt;='Visual SPC'!$E$4),OR('Visual SPC'!$G$4="",'Data Entry'!$D124='Visual SPC'!$G$4),OR('Visual SPC'!$I$4="",'Data Entry'!$E124='Visual SPC'!$I$4),OR('Visual SPC'!$K$4="",'Data Entry'!$F124='Visual SPC'!$K$4)),1,0))</f>
        <v/>
      </c>
      <c r="C124">
        <f>C123+B124</f>
        <v/>
      </c>
      <c r="D124">
        <f>IF(B124=1,INDEX('Data Entry'!$H$5:$BE$10004,124-4,'Visual SPC'!$B$3),"")</f>
        <v/>
      </c>
      <c r="E124">
        <f>IF(B124=1,D124,E123)</f>
        <v/>
      </c>
      <c r="F124">
        <f>IF(AND(B124=1,C124&gt;1,E123&lt;&gt;""),ABS(D124-E123),"")</f>
        <v/>
      </c>
    </row>
    <row r="125">
      <c r="A125" t="n">
        <v>125</v>
      </c>
      <c r="B125">
        <f>IF(INDEX('Data Entry'!$H$5:$BE$10004,125-4,'Visual SPC'!$B$3)="",0,IF(AND(OR('Visual SPC'!$C$4="",'Data Entry'!$C125&gt;='Visual SPC'!$C$4),OR('Visual SPC'!$E$4="",'Data Entry'!$C125&lt;='Visual SPC'!$E$4),OR('Visual SPC'!$G$4="",'Data Entry'!$D125='Visual SPC'!$G$4),OR('Visual SPC'!$I$4="",'Data Entry'!$E125='Visual SPC'!$I$4),OR('Visual SPC'!$K$4="",'Data Entry'!$F125='Visual SPC'!$K$4)),1,0))</f>
        <v/>
      </c>
      <c r="C125">
        <f>C124+B125</f>
        <v/>
      </c>
      <c r="D125">
        <f>IF(B125=1,INDEX('Data Entry'!$H$5:$BE$10004,125-4,'Visual SPC'!$B$3),"")</f>
        <v/>
      </c>
      <c r="E125">
        <f>IF(B125=1,D125,E124)</f>
        <v/>
      </c>
      <c r="F125">
        <f>IF(AND(B125=1,C125&gt;1,E124&lt;&gt;""),ABS(D125-E124),"")</f>
        <v/>
      </c>
    </row>
    <row r="126">
      <c r="A126" t="n">
        <v>126</v>
      </c>
      <c r="B126">
        <f>IF(INDEX('Data Entry'!$H$5:$BE$10004,126-4,'Visual SPC'!$B$3)="",0,IF(AND(OR('Visual SPC'!$C$4="",'Data Entry'!$C126&gt;='Visual SPC'!$C$4),OR('Visual SPC'!$E$4="",'Data Entry'!$C126&lt;='Visual SPC'!$E$4),OR('Visual SPC'!$G$4="",'Data Entry'!$D126='Visual SPC'!$G$4),OR('Visual SPC'!$I$4="",'Data Entry'!$E126='Visual SPC'!$I$4),OR('Visual SPC'!$K$4="",'Data Entry'!$F126='Visual SPC'!$K$4)),1,0))</f>
        <v/>
      </c>
      <c r="C126">
        <f>C125+B126</f>
        <v/>
      </c>
      <c r="D126">
        <f>IF(B126=1,INDEX('Data Entry'!$H$5:$BE$10004,126-4,'Visual SPC'!$B$3),"")</f>
        <v/>
      </c>
      <c r="E126">
        <f>IF(B126=1,D126,E125)</f>
        <v/>
      </c>
      <c r="F126">
        <f>IF(AND(B126=1,C126&gt;1,E125&lt;&gt;""),ABS(D126-E125),"")</f>
        <v/>
      </c>
    </row>
    <row r="127">
      <c r="A127" t="n">
        <v>127</v>
      </c>
      <c r="B127">
        <f>IF(INDEX('Data Entry'!$H$5:$BE$10004,127-4,'Visual SPC'!$B$3)="",0,IF(AND(OR('Visual SPC'!$C$4="",'Data Entry'!$C127&gt;='Visual SPC'!$C$4),OR('Visual SPC'!$E$4="",'Data Entry'!$C127&lt;='Visual SPC'!$E$4),OR('Visual SPC'!$G$4="",'Data Entry'!$D127='Visual SPC'!$G$4),OR('Visual SPC'!$I$4="",'Data Entry'!$E127='Visual SPC'!$I$4),OR('Visual SPC'!$K$4="",'Data Entry'!$F127='Visual SPC'!$K$4)),1,0))</f>
        <v/>
      </c>
      <c r="C127">
        <f>C126+B127</f>
        <v/>
      </c>
      <c r="D127">
        <f>IF(B127=1,INDEX('Data Entry'!$H$5:$BE$10004,127-4,'Visual SPC'!$B$3),"")</f>
        <v/>
      </c>
      <c r="E127">
        <f>IF(B127=1,D127,E126)</f>
        <v/>
      </c>
      <c r="F127">
        <f>IF(AND(B127=1,C127&gt;1,E126&lt;&gt;""),ABS(D127-E126),"")</f>
        <v/>
      </c>
    </row>
    <row r="128">
      <c r="A128" t="n">
        <v>128</v>
      </c>
      <c r="B128">
        <f>IF(INDEX('Data Entry'!$H$5:$BE$10004,128-4,'Visual SPC'!$B$3)="",0,IF(AND(OR('Visual SPC'!$C$4="",'Data Entry'!$C128&gt;='Visual SPC'!$C$4),OR('Visual SPC'!$E$4="",'Data Entry'!$C128&lt;='Visual SPC'!$E$4),OR('Visual SPC'!$G$4="",'Data Entry'!$D128='Visual SPC'!$G$4),OR('Visual SPC'!$I$4="",'Data Entry'!$E128='Visual SPC'!$I$4),OR('Visual SPC'!$K$4="",'Data Entry'!$F128='Visual SPC'!$K$4)),1,0))</f>
        <v/>
      </c>
      <c r="C128">
        <f>C127+B128</f>
        <v/>
      </c>
      <c r="D128">
        <f>IF(B128=1,INDEX('Data Entry'!$H$5:$BE$10004,128-4,'Visual SPC'!$B$3),"")</f>
        <v/>
      </c>
      <c r="E128">
        <f>IF(B128=1,D128,E127)</f>
        <v/>
      </c>
      <c r="F128">
        <f>IF(AND(B128=1,C128&gt;1,E127&lt;&gt;""),ABS(D128-E127),"")</f>
        <v/>
      </c>
    </row>
    <row r="129">
      <c r="A129" t="n">
        <v>129</v>
      </c>
      <c r="B129">
        <f>IF(INDEX('Data Entry'!$H$5:$BE$10004,129-4,'Visual SPC'!$B$3)="",0,IF(AND(OR('Visual SPC'!$C$4="",'Data Entry'!$C129&gt;='Visual SPC'!$C$4),OR('Visual SPC'!$E$4="",'Data Entry'!$C129&lt;='Visual SPC'!$E$4),OR('Visual SPC'!$G$4="",'Data Entry'!$D129='Visual SPC'!$G$4),OR('Visual SPC'!$I$4="",'Data Entry'!$E129='Visual SPC'!$I$4),OR('Visual SPC'!$K$4="",'Data Entry'!$F129='Visual SPC'!$K$4)),1,0))</f>
        <v/>
      </c>
      <c r="C129">
        <f>C128+B129</f>
        <v/>
      </c>
      <c r="D129">
        <f>IF(B129=1,INDEX('Data Entry'!$H$5:$BE$10004,129-4,'Visual SPC'!$B$3),"")</f>
        <v/>
      </c>
      <c r="E129">
        <f>IF(B129=1,D129,E128)</f>
        <v/>
      </c>
      <c r="F129">
        <f>IF(AND(B129=1,C129&gt;1,E128&lt;&gt;""),ABS(D129-E128),"")</f>
        <v/>
      </c>
    </row>
    <row r="130">
      <c r="A130" t="n">
        <v>130</v>
      </c>
      <c r="B130">
        <f>IF(INDEX('Data Entry'!$H$5:$BE$10004,130-4,'Visual SPC'!$B$3)="",0,IF(AND(OR('Visual SPC'!$C$4="",'Data Entry'!$C130&gt;='Visual SPC'!$C$4),OR('Visual SPC'!$E$4="",'Data Entry'!$C130&lt;='Visual SPC'!$E$4),OR('Visual SPC'!$G$4="",'Data Entry'!$D130='Visual SPC'!$G$4),OR('Visual SPC'!$I$4="",'Data Entry'!$E130='Visual SPC'!$I$4),OR('Visual SPC'!$K$4="",'Data Entry'!$F130='Visual SPC'!$K$4)),1,0))</f>
        <v/>
      </c>
      <c r="C130">
        <f>C129+B130</f>
        <v/>
      </c>
      <c r="D130">
        <f>IF(B130=1,INDEX('Data Entry'!$H$5:$BE$10004,130-4,'Visual SPC'!$B$3),"")</f>
        <v/>
      </c>
      <c r="E130">
        <f>IF(B130=1,D130,E129)</f>
        <v/>
      </c>
      <c r="F130">
        <f>IF(AND(B130=1,C130&gt;1,E129&lt;&gt;""),ABS(D130-E129),"")</f>
        <v/>
      </c>
    </row>
    <row r="131">
      <c r="A131" t="n">
        <v>131</v>
      </c>
      <c r="B131">
        <f>IF(INDEX('Data Entry'!$H$5:$BE$10004,131-4,'Visual SPC'!$B$3)="",0,IF(AND(OR('Visual SPC'!$C$4="",'Data Entry'!$C131&gt;='Visual SPC'!$C$4),OR('Visual SPC'!$E$4="",'Data Entry'!$C131&lt;='Visual SPC'!$E$4),OR('Visual SPC'!$G$4="",'Data Entry'!$D131='Visual SPC'!$G$4),OR('Visual SPC'!$I$4="",'Data Entry'!$E131='Visual SPC'!$I$4),OR('Visual SPC'!$K$4="",'Data Entry'!$F131='Visual SPC'!$K$4)),1,0))</f>
        <v/>
      </c>
      <c r="C131">
        <f>C130+B131</f>
        <v/>
      </c>
      <c r="D131">
        <f>IF(B131=1,INDEX('Data Entry'!$H$5:$BE$10004,131-4,'Visual SPC'!$B$3),"")</f>
        <v/>
      </c>
      <c r="E131">
        <f>IF(B131=1,D131,E130)</f>
        <v/>
      </c>
      <c r="F131">
        <f>IF(AND(B131=1,C131&gt;1,E130&lt;&gt;""),ABS(D131-E130),"")</f>
        <v/>
      </c>
    </row>
    <row r="132">
      <c r="A132" t="n">
        <v>132</v>
      </c>
      <c r="B132">
        <f>IF(INDEX('Data Entry'!$H$5:$BE$10004,132-4,'Visual SPC'!$B$3)="",0,IF(AND(OR('Visual SPC'!$C$4="",'Data Entry'!$C132&gt;='Visual SPC'!$C$4),OR('Visual SPC'!$E$4="",'Data Entry'!$C132&lt;='Visual SPC'!$E$4),OR('Visual SPC'!$G$4="",'Data Entry'!$D132='Visual SPC'!$G$4),OR('Visual SPC'!$I$4="",'Data Entry'!$E132='Visual SPC'!$I$4),OR('Visual SPC'!$K$4="",'Data Entry'!$F132='Visual SPC'!$K$4)),1,0))</f>
        <v/>
      </c>
      <c r="C132">
        <f>C131+B132</f>
        <v/>
      </c>
      <c r="D132">
        <f>IF(B132=1,INDEX('Data Entry'!$H$5:$BE$10004,132-4,'Visual SPC'!$B$3),"")</f>
        <v/>
      </c>
      <c r="E132">
        <f>IF(B132=1,D132,E131)</f>
        <v/>
      </c>
      <c r="F132">
        <f>IF(AND(B132=1,C132&gt;1,E131&lt;&gt;""),ABS(D132-E131),"")</f>
        <v/>
      </c>
    </row>
    <row r="133">
      <c r="A133" t="n">
        <v>133</v>
      </c>
      <c r="B133">
        <f>IF(INDEX('Data Entry'!$H$5:$BE$10004,133-4,'Visual SPC'!$B$3)="",0,IF(AND(OR('Visual SPC'!$C$4="",'Data Entry'!$C133&gt;='Visual SPC'!$C$4),OR('Visual SPC'!$E$4="",'Data Entry'!$C133&lt;='Visual SPC'!$E$4),OR('Visual SPC'!$G$4="",'Data Entry'!$D133='Visual SPC'!$G$4),OR('Visual SPC'!$I$4="",'Data Entry'!$E133='Visual SPC'!$I$4),OR('Visual SPC'!$K$4="",'Data Entry'!$F133='Visual SPC'!$K$4)),1,0))</f>
        <v/>
      </c>
      <c r="C133">
        <f>C132+B133</f>
        <v/>
      </c>
      <c r="D133">
        <f>IF(B133=1,INDEX('Data Entry'!$H$5:$BE$10004,133-4,'Visual SPC'!$B$3),"")</f>
        <v/>
      </c>
      <c r="E133">
        <f>IF(B133=1,D133,E132)</f>
        <v/>
      </c>
      <c r="F133">
        <f>IF(AND(B133=1,C133&gt;1,E132&lt;&gt;""),ABS(D133-E132),"")</f>
        <v/>
      </c>
    </row>
    <row r="134">
      <c r="A134" t="n">
        <v>134</v>
      </c>
      <c r="B134">
        <f>IF(INDEX('Data Entry'!$H$5:$BE$10004,134-4,'Visual SPC'!$B$3)="",0,IF(AND(OR('Visual SPC'!$C$4="",'Data Entry'!$C134&gt;='Visual SPC'!$C$4),OR('Visual SPC'!$E$4="",'Data Entry'!$C134&lt;='Visual SPC'!$E$4),OR('Visual SPC'!$G$4="",'Data Entry'!$D134='Visual SPC'!$G$4),OR('Visual SPC'!$I$4="",'Data Entry'!$E134='Visual SPC'!$I$4),OR('Visual SPC'!$K$4="",'Data Entry'!$F134='Visual SPC'!$K$4)),1,0))</f>
        <v/>
      </c>
      <c r="C134">
        <f>C133+B134</f>
        <v/>
      </c>
      <c r="D134">
        <f>IF(B134=1,INDEX('Data Entry'!$H$5:$BE$10004,134-4,'Visual SPC'!$B$3),"")</f>
        <v/>
      </c>
      <c r="E134">
        <f>IF(B134=1,D134,E133)</f>
        <v/>
      </c>
      <c r="F134">
        <f>IF(AND(B134=1,C134&gt;1,E133&lt;&gt;""),ABS(D134-E133),"")</f>
        <v/>
      </c>
    </row>
    <row r="135">
      <c r="A135" t="n">
        <v>135</v>
      </c>
      <c r="B135">
        <f>IF(INDEX('Data Entry'!$H$5:$BE$10004,135-4,'Visual SPC'!$B$3)="",0,IF(AND(OR('Visual SPC'!$C$4="",'Data Entry'!$C135&gt;='Visual SPC'!$C$4),OR('Visual SPC'!$E$4="",'Data Entry'!$C135&lt;='Visual SPC'!$E$4),OR('Visual SPC'!$G$4="",'Data Entry'!$D135='Visual SPC'!$G$4),OR('Visual SPC'!$I$4="",'Data Entry'!$E135='Visual SPC'!$I$4),OR('Visual SPC'!$K$4="",'Data Entry'!$F135='Visual SPC'!$K$4)),1,0))</f>
        <v/>
      </c>
      <c r="C135">
        <f>C134+B135</f>
        <v/>
      </c>
      <c r="D135">
        <f>IF(B135=1,INDEX('Data Entry'!$H$5:$BE$10004,135-4,'Visual SPC'!$B$3),"")</f>
        <v/>
      </c>
      <c r="E135">
        <f>IF(B135=1,D135,E134)</f>
        <v/>
      </c>
      <c r="F135">
        <f>IF(AND(B135=1,C135&gt;1,E134&lt;&gt;""),ABS(D135-E134),"")</f>
        <v/>
      </c>
    </row>
    <row r="136">
      <c r="A136" t="n">
        <v>136</v>
      </c>
      <c r="B136">
        <f>IF(INDEX('Data Entry'!$H$5:$BE$10004,136-4,'Visual SPC'!$B$3)="",0,IF(AND(OR('Visual SPC'!$C$4="",'Data Entry'!$C136&gt;='Visual SPC'!$C$4),OR('Visual SPC'!$E$4="",'Data Entry'!$C136&lt;='Visual SPC'!$E$4),OR('Visual SPC'!$G$4="",'Data Entry'!$D136='Visual SPC'!$G$4),OR('Visual SPC'!$I$4="",'Data Entry'!$E136='Visual SPC'!$I$4),OR('Visual SPC'!$K$4="",'Data Entry'!$F136='Visual SPC'!$K$4)),1,0))</f>
        <v/>
      </c>
      <c r="C136">
        <f>C135+B136</f>
        <v/>
      </c>
      <c r="D136">
        <f>IF(B136=1,INDEX('Data Entry'!$H$5:$BE$10004,136-4,'Visual SPC'!$B$3),"")</f>
        <v/>
      </c>
      <c r="E136">
        <f>IF(B136=1,D136,E135)</f>
        <v/>
      </c>
      <c r="F136">
        <f>IF(AND(B136=1,C136&gt;1,E135&lt;&gt;""),ABS(D136-E135),"")</f>
        <v/>
      </c>
    </row>
    <row r="137">
      <c r="A137" t="n">
        <v>137</v>
      </c>
      <c r="B137">
        <f>IF(INDEX('Data Entry'!$H$5:$BE$10004,137-4,'Visual SPC'!$B$3)="",0,IF(AND(OR('Visual SPC'!$C$4="",'Data Entry'!$C137&gt;='Visual SPC'!$C$4),OR('Visual SPC'!$E$4="",'Data Entry'!$C137&lt;='Visual SPC'!$E$4),OR('Visual SPC'!$G$4="",'Data Entry'!$D137='Visual SPC'!$G$4),OR('Visual SPC'!$I$4="",'Data Entry'!$E137='Visual SPC'!$I$4),OR('Visual SPC'!$K$4="",'Data Entry'!$F137='Visual SPC'!$K$4)),1,0))</f>
        <v/>
      </c>
      <c r="C137">
        <f>C136+B137</f>
        <v/>
      </c>
      <c r="D137">
        <f>IF(B137=1,INDEX('Data Entry'!$H$5:$BE$10004,137-4,'Visual SPC'!$B$3),"")</f>
        <v/>
      </c>
      <c r="E137">
        <f>IF(B137=1,D137,E136)</f>
        <v/>
      </c>
      <c r="F137">
        <f>IF(AND(B137=1,C137&gt;1,E136&lt;&gt;""),ABS(D137-E136),"")</f>
        <v/>
      </c>
    </row>
    <row r="138">
      <c r="A138" t="n">
        <v>138</v>
      </c>
      <c r="B138">
        <f>IF(INDEX('Data Entry'!$H$5:$BE$10004,138-4,'Visual SPC'!$B$3)="",0,IF(AND(OR('Visual SPC'!$C$4="",'Data Entry'!$C138&gt;='Visual SPC'!$C$4),OR('Visual SPC'!$E$4="",'Data Entry'!$C138&lt;='Visual SPC'!$E$4),OR('Visual SPC'!$G$4="",'Data Entry'!$D138='Visual SPC'!$G$4),OR('Visual SPC'!$I$4="",'Data Entry'!$E138='Visual SPC'!$I$4),OR('Visual SPC'!$K$4="",'Data Entry'!$F138='Visual SPC'!$K$4)),1,0))</f>
        <v/>
      </c>
      <c r="C138">
        <f>C137+B138</f>
        <v/>
      </c>
      <c r="D138">
        <f>IF(B138=1,INDEX('Data Entry'!$H$5:$BE$10004,138-4,'Visual SPC'!$B$3),"")</f>
        <v/>
      </c>
      <c r="E138">
        <f>IF(B138=1,D138,E137)</f>
        <v/>
      </c>
      <c r="F138">
        <f>IF(AND(B138=1,C138&gt;1,E137&lt;&gt;""),ABS(D138-E137),"")</f>
        <v/>
      </c>
    </row>
    <row r="139">
      <c r="A139" t="n">
        <v>139</v>
      </c>
      <c r="B139">
        <f>IF(INDEX('Data Entry'!$H$5:$BE$10004,139-4,'Visual SPC'!$B$3)="",0,IF(AND(OR('Visual SPC'!$C$4="",'Data Entry'!$C139&gt;='Visual SPC'!$C$4),OR('Visual SPC'!$E$4="",'Data Entry'!$C139&lt;='Visual SPC'!$E$4),OR('Visual SPC'!$G$4="",'Data Entry'!$D139='Visual SPC'!$G$4),OR('Visual SPC'!$I$4="",'Data Entry'!$E139='Visual SPC'!$I$4),OR('Visual SPC'!$K$4="",'Data Entry'!$F139='Visual SPC'!$K$4)),1,0))</f>
        <v/>
      </c>
      <c r="C139">
        <f>C138+B139</f>
        <v/>
      </c>
      <c r="D139">
        <f>IF(B139=1,INDEX('Data Entry'!$H$5:$BE$10004,139-4,'Visual SPC'!$B$3),"")</f>
        <v/>
      </c>
      <c r="E139">
        <f>IF(B139=1,D139,E138)</f>
        <v/>
      </c>
      <c r="F139">
        <f>IF(AND(B139=1,C139&gt;1,E138&lt;&gt;""),ABS(D139-E138),"")</f>
        <v/>
      </c>
    </row>
    <row r="140">
      <c r="A140" t="n">
        <v>140</v>
      </c>
      <c r="B140">
        <f>IF(INDEX('Data Entry'!$H$5:$BE$10004,140-4,'Visual SPC'!$B$3)="",0,IF(AND(OR('Visual SPC'!$C$4="",'Data Entry'!$C140&gt;='Visual SPC'!$C$4),OR('Visual SPC'!$E$4="",'Data Entry'!$C140&lt;='Visual SPC'!$E$4),OR('Visual SPC'!$G$4="",'Data Entry'!$D140='Visual SPC'!$G$4),OR('Visual SPC'!$I$4="",'Data Entry'!$E140='Visual SPC'!$I$4),OR('Visual SPC'!$K$4="",'Data Entry'!$F140='Visual SPC'!$K$4)),1,0))</f>
        <v/>
      </c>
      <c r="C140">
        <f>C139+B140</f>
        <v/>
      </c>
      <c r="D140">
        <f>IF(B140=1,INDEX('Data Entry'!$H$5:$BE$10004,140-4,'Visual SPC'!$B$3),"")</f>
        <v/>
      </c>
      <c r="E140">
        <f>IF(B140=1,D140,E139)</f>
        <v/>
      </c>
      <c r="F140">
        <f>IF(AND(B140=1,C140&gt;1,E139&lt;&gt;""),ABS(D140-E139),"")</f>
        <v/>
      </c>
    </row>
    <row r="141">
      <c r="A141" t="n">
        <v>141</v>
      </c>
      <c r="B141">
        <f>IF(INDEX('Data Entry'!$H$5:$BE$10004,141-4,'Visual SPC'!$B$3)="",0,IF(AND(OR('Visual SPC'!$C$4="",'Data Entry'!$C141&gt;='Visual SPC'!$C$4),OR('Visual SPC'!$E$4="",'Data Entry'!$C141&lt;='Visual SPC'!$E$4),OR('Visual SPC'!$G$4="",'Data Entry'!$D141='Visual SPC'!$G$4),OR('Visual SPC'!$I$4="",'Data Entry'!$E141='Visual SPC'!$I$4),OR('Visual SPC'!$K$4="",'Data Entry'!$F141='Visual SPC'!$K$4)),1,0))</f>
        <v/>
      </c>
      <c r="C141">
        <f>C140+B141</f>
        <v/>
      </c>
      <c r="D141">
        <f>IF(B141=1,INDEX('Data Entry'!$H$5:$BE$10004,141-4,'Visual SPC'!$B$3),"")</f>
        <v/>
      </c>
      <c r="E141">
        <f>IF(B141=1,D141,E140)</f>
        <v/>
      </c>
      <c r="F141">
        <f>IF(AND(B141=1,C141&gt;1,E140&lt;&gt;""),ABS(D141-E140),"")</f>
        <v/>
      </c>
    </row>
    <row r="142">
      <c r="A142" t="n">
        <v>142</v>
      </c>
      <c r="B142">
        <f>IF(INDEX('Data Entry'!$H$5:$BE$10004,142-4,'Visual SPC'!$B$3)="",0,IF(AND(OR('Visual SPC'!$C$4="",'Data Entry'!$C142&gt;='Visual SPC'!$C$4),OR('Visual SPC'!$E$4="",'Data Entry'!$C142&lt;='Visual SPC'!$E$4),OR('Visual SPC'!$G$4="",'Data Entry'!$D142='Visual SPC'!$G$4),OR('Visual SPC'!$I$4="",'Data Entry'!$E142='Visual SPC'!$I$4),OR('Visual SPC'!$K$4="",'Data Entry'!$F142='Visual SPC'!$K$4)),1,0))</f>
        <v/>
      </c>
      <c r="C142">
        <f>C141+B142</f>
        <v/>
      </c>
      <c r="D142">
        <f>IF(B142=1,INDEX('Data Entry'!$H$5:$BE$10004,142-4,'Visual SPC'!$B$3),"")</f>
        <v/>
      </c>
      <c r="E142">
        <f>IF(B142=1,D142,E141)</f>
        <v/>
      </c>
      <c r="F142">
        <f>IF(AND(B142=1,C142&gt;1,E141&lt;&gt;""),ABS(D142-E141),"")</f>
        <v/>
      </c>
    </row>
    <row r="143">
      <c r="A143" t="n">
        <v>143</v>
      </c>
      <c r="B143">
        <f>IF(INDEX('Data Entry'!$H$5:$BE$10004,143-4,'Visual SPC'!$B$3)="",0,IF(AND(OR('Visual SPC'!$C$4="",'Data Entry'!$C143&gt;='Visual SPC'!$C$4),OR('Visual SPC'!$E$4="",'Data Entry'!$C143&lt;='Visual SPC'!$E$4),OR('Visual SPC'!$G$4="",'Data Entry'!$D143='Visual SPC'!$G$4),OR('Visual SPC'!$I$4="",'Data Entry'!$E143='Visual SPC'!$I$4),OR('Visual SPC'!$K$4="",'Data Entry'!$F143='Visual SPC'!$K$4)),1,0))</f>
        <v/>
      </c>
      <c r="C143">
        <f>C142+B143</f>
        <v/>
      </c>
      <c r="D143">
        <f>IF(B143=1,INDEX('Data Entry'!$H$5:$BE$10004,143-4,'Visual SPC'!$B$3),"")</f>
        <v/>
      </c>
      <c r="E143">
        <f>IF(B143=1,D143,E142)</f>
        <v/>
      </c>
      <c r="F143">
        <f>IF(AND(B143=1,C143&gt;1,E142&lt;&gt;""),ABS(D143-E142),"")</f>
        <v/>
      </c>
    </row>
    <row r="144">
      <c r="A144" t="n">
        <v>144</v>
      </c>
      <c r="B144">
        <f>IF(INDEX('Data Entry'!$H$5:$BE$10004,144-4,'Visual SPC'!$B$3)="",0,IF(AND(OR('Visual SPC'!$C$4="",'Data Entry'!$C144&gt;='Visual SPC'!$C$4),OR('Visual SPC'!$E$4="",'Data Entry'!$C144&lt;='Visual SPC'!$E$4),OR('Visual SPC'!$G$4="",'Data Entry'!$D144='Visual SPC'!$G$4),OR('Visual SPC'!$I$4="",'Data Entry'!$E144='Visual SPC'!$I$4),OR('Visual SPC'!$K$4="",'Data Entry'!$F144='Visual SPC'!$K$4)),1,0))</f>
        <v/>
      </c>
      <c r="C144">
        <f>C143+B144</f>
        <v/>
      </c>
      <c r="D144">
        <f>IF(B144=1,INDEX('Data Entry'!$H$5:$BE$10004,144-4,'Visual SPC'!$B$3),"")</f>
        <v/>
      </c>
      <c r="E144">
        <f>IF(B144=1,D144,E143)</f>
        <v/>
      </c>
      <c r="F144">
        <f>IF(AND(B144=1,C144&gt;1,E143&lt;&gt;""),ABS(D144-E143),"")</f>
        <v/>
      </c>
    </row>
    <row r="145">
      <c r="A145" t="n">
        <v>145</v>
      </c>
      <c r="B145">
        <f>IF(INDEX('Data Entry'!$H$5:$BE$10004,145-4,'Visual SPC'!$B$3)="",0,IF(AND(OR('Visual SPC'!$C$4="",'Data Entry'!$C145&gt;='Visual SPC'!$C$4),OR('Visual SPC'!$E$4="",'Data Entry'!$C145&lt;='Visual SPC'!$E$4),OR('Visual SPC'!$G$4="",'Data Entry'!$D145='Visual SPC'!$G$4),OR('Visual SPC'!$I$4="",'Data Entry'!$E145='Visual SPC'!$I$4),OR('Visual SPC'!$K$4="",'Data Entry'!$F145='Visual SPC'!$K$4)),1,0))</f>
        <v/>
      </c>
      <c r="C145">
        <f>C144+B145</f>
        <v/>
      </c>
      <c r="D145">
        <f>IF(B145=1,INDEX('Data Entry'!$H$5:$BE$10004,145-4,'Visual SPC'!$B$3),"")</f>
        <v/>
      </c>
      <c r="E145">
        <f>IF(B145=1,D145,E144)</f>
        <v/>
      </c>
      <c r="F145">
        <f>IF(AND(B145=1,C145&gt;1,E144&lt;&gt;""),ABS(D145-E144),"")</f>
        <v/>
      </c>
    </row>
    <row r="146">
      <c r="A146" t="n">
        <v>146</v>
      </c>
      <c r="B146">
        <f>IF(INDEX('Data Entry'!$H$5:$BE$10004,146-4,'Visual SPC'!$B$3)="",0,IF(AND(OR('Visual SPC'!$C$4="",'Data Entry'!$C146&gt;='Visual SPC'!$C$4),OR('Visual SPC'!$E$4="",'Data Entry'!$C146&lt;='Visual SPC'!$E$4),OR('Visual SPC'!$G$4="",'Data Entry'!$D146='Visual SPC'!$G$4),OR('Visual SPC'!$I$4="",'Data Entry'!$E146='Visual SPC'!$I$4),OR('Visual SPC'!$K$4="",'Data Entry'!$F146='Visual SPC'!$K$4)),1,0))</f>
        <v/>
      </c>
      <c r="C146">
        <f>C145+B146</f>
        <v/>
      </c>
      <c r="D146">
        <f>IF(B146=1,INDEX('Data Entry'!$H$5:$BE$10004,146-4,'Visual SPC'!$B$3),"")</f>
        <v/>
      </c>
      <c r="E146">
        <f>IF(B146=1,D146,E145)</f>
        <v/>
      </c>
      <c r="F146">
        <f>IF(AND(B146=1,C146&gt;1,E145&lt;&gt;""),ABS(D146-E145),"")</f>
        <v/>
      </c>
    </row>
    <row r="147">
      <c r="A147" t="n">
        <v>147</v>
      </c>
      <c r="B147">
        <f>IF(INDEX('Data Entry'!$H$5:$BE$10004,147-4,'Visual SPC'!$B$3)="",0,IF(AND(OR('Visual SPC'!$C$4="",'Data Entry'!$C147&gt;='Visual SPC'!$C$4),OR('Visual SPC'!$E$4="",'Data Entry'!$C147&lt;='Visual SPC'!$E$4),OR('Visual SPC'!$G$4="",'Data Entry'!$D147='Visual SPC'!$G$4),OR('Visual SPC'!$I$4="",'Data Entry'!$E147='Visual SPC'!$I$4),OR('Visual SPC'!$K$4="",'Data Entry'!$F147='Visual SPC'!$K$4)),1,0))</f>
        <v/>
      </c>
      <c r="C147">
        <f>C146+B147</f>
        <v/>
      </c>
      <c r="D147">
        <f>IF(B147=1,INDEX('Data Entry'!$H$5:$BE$10004,147-4,'Visual SPC'!$B$3),"")</f>
        <v/>
      </c>
      <c r="E147">
        <f>IF(B147=1,D147,E146)</f>
        <v/>
      </c>
      <c r="F147">
        <f>IF(AND(B147=1,C147&gt;1,E146&lt;&gt;""),ABS(D147-E146),"")</f>
        <v/>
      </c>
    </row>
    <row r="148">
      <c r="A148" t="n">
        <v>148</v>
      </c>
      <c r="B148">
        <f>IF(INDEX('Data Entry'!$H$5:$BE$10004,148-4,'Visual SPC'!$B$3)="",0,IF(AND(OR('Visual SPC'!$C$4="",'Data Entry'!$C148&gt;='Visual SPC'!$C$4),OR('Visual SPC'!$E$4="",'Data Entry'!$C148&lt;='Visual SPC'!$E$4),OR('Visual SPC'!$G$4="",'Data Entry'!$D148='Visual SPC'!$G$4),OR('Visual SPC'!$I$4="",'Data Entry'!$E148='Visual SPC'!$I$4),OR('Visual SPC'!$K$4="",'Data Entry'!$F148='Visual SPC'!$K$4)),1,0))</f>
        <v/>
      </c>
      <c r="C148">
        <f>C147+B148</f>
        <v/>
      </c>
      <c r="D148">
        <f>IF(B148=1,INDEX('Data Entry'!$H$5:$BE$10004,148-4,'Visual SPC'!$B$3),"")</f>
        <v/>
      </c>
      <c r="E148">
        <f>IF(B148=1,D148,E147)</f>
        <v/>
      </c>
      <c r="F148">
        <f>IF(AND(B148=1,C148&gt;1,E147&lt;&gt;""),ABS(D148-E147),"")</f>
        <v/>
      </c>
    </row>
    <row r="149">
      <c r="A149" t="n">
        <v>149</v>
      </c>
      <c r="B149">
        <f>IF(INDEX('Data Entry'!$H$5:$BE$10004,149-4,'Visual SPC'!$B$3)="",0,IF(AND(OR('Visual SPC'!$C$4="",'Data Entry'!$C149&gt;='Visual SPC'!$C$4),OR('Visual SPC'!$E$4="",'Data Entry'!$C149&lt;='Visual SPC'!$E$4),OR('Visual SPC'!$G$4="",'Data Entry'!$D149='Visual SPC'!$G$4),OR('Visual SPC'!$I$4="",'Data Entry'!$E149='Visual SPC'!$I$4),OR('Visual SPC'!$K$4="",'Data Entry'!$F149='Visual SPC'!$K$4)),1,0))</f>
        <v/>
      </c>
      <c r="C149">
        <f>C148+B149</f>
        <v/>
      </c>
      <c r="D149">
        <f>IF(B149=1,INDEX('Data Entry'!$H$5:$BE$10004,149-4,'Visual SPC'!$B$3),"")</f>
        <v/>
      </c>
      <c r="E149">
        <f>IF(B149=1,D149,E148)</f>
        <v/>
      </c>
      <c r="F149">
        <f>IF(AND(B149=1,C149&gt;1,E148&lt;&gt;""),ABS(D149-E148),"")</f>
        <v/>
      </c>
    </row>
    <row r="150">
      <c r="A150" t="n">
        <v>150</v>
      </c>
      <c r="B150">
        <f>IF(INDEX('Data Entry'!$H$5:$BE$10004,150-4,'Visual SPC'!$B$3)="",0,IF(AND(OR('Visual SPC'!$C$4="",'Data Entry'!$C150&gt;='Visual SPC'!$C$4),OR('Visual SPC'!$E$4="",'Data Entry'!$C150&lt;='Visual SPC'!$E$4),OR('Visual SPC'!$G$4="",'Data Entry'!$D150='Visual SPC'!$G$4),OR('Visual SPC'!$I$4="",'Data Entry'!$E150='Visual SPC'!$I$4),OR('Visual SPC'!$K$4="",'Data Entry'!$F150='Visual SPC'!$K$4)),1,0))</f>
        <v/>
      </c>
      <c r="C150">
        <f>C149+B150</f>
        <v/>
      </c>
      <c r="D150">
        <f>IF(B150=1,INDEX('Data Entry'!$H$5:$BE$10004,150-4,'Visual SPC'!$B$3),"")</f>
        <v/>
      </c>
      <c r="E150">
        <f>IF(B150=1,D150,E149)</f>
        <v/>
      </c>
      <c r="F150">
        <f>IF(AND(B150=1,C150&gt;1,E149&lt;&gt;""),ABS(D150-E149),"")</f>
        <v/>
      </c>
    </row>
    <row r="151">
      <c r="A151" t="n">
        <v>151</v>
      </c>
      <c r="B151">
        <f>IF(INDEX('Data Entry'!$H$5:$BE$10004,151-4,'Visual SPC'!$B$3)="",0,IF(AND(OR('Visual SPC'!$C$4="",'Data Entry'!$C151&gt;='Visual SPC'!$C$4),OR('Visual SPC'!$E$4="",'Data Entry'!$C151&lt;='Visual SPC'!$E$4),OR('Visual SPC'!$G$4="",'Data Entry'!$D151='Visual SPC'!$G$4),OR('Visual SPC'!$I$4="",'Data Entry'!$E151='Visual SPC'!$I$4),OR('Visual SPC'!$K$4="",'Data Entry'!$F151='Visual SPC'!$K$4)),1,0))</f>
        <v/>
      </c>
      <c r="C151">
        <f>C150+B151</f>
        <v/>
      </c>
      <c r="D151">
        <f>IF(B151=1,INDEX('Data Entry'!$H$5:$BE$10004,151-4,'Visual SPC'!$B$3),"")</f>
        <v/>
      </c>
      <c r="E151">
        <f>IF(B151=1,D151,E150)</f>
        <v/>
      </c>
      <c r="F151">
        <f>IF(AND(B151=1,C151&gt;1,E150&lt;&gt;""),ABS(D151-E150),"")</f>
        <v/>
      </c>
    </row>
    <row r="152">
      <c r="A152" t="n">
        <v>152</v>
      </c>
      <c r="B152">
        <f>IF(INDEX('Data Entry'!$H$5:$BE$10004,152-4,'Visual SPC'!$B$3)="",0,IF(AND(OR('Visual SPC'!$C$4="",'Data Entry'!$C152&gt;='Visual SPC'!$C$4),OR('Visual SPC'!$E$4="",'Data Entry'!$C152&lt;='Visual SPC'!$E$4),OR('Visual SPC'!$G$4="",'Data Entry'!$D152='Visual SPC'!$G$4),OR('Visual SPC'!$I$4="",'Data Entry'!$E152='Visual SPC'!$I$4),OR('Visual SPC'!$K$4="",'Data Entry'!$F152='Visual SPC'!$K$4)),1,0))</f>
        <v/>
      </c>
      <c r="C152">
        <f>C151+B152</f>
        <v/>
      </c>
      <c r="D152">
        <f>IF(B152=1,INDEX('Data Entry'!$H$5:$BE$10004,152-4,'Visual SPC'!$B$3),"")</f>
        <v/>
      </c>
      <c r="E152">
        <f>IF(B152=1,D152,E151)</f>
        <v/>
      </c>
      <c r="F152">
        <f>IF(AND(B152=1,C152&gt;1,E151&lt;&gt;""),ABS(D152-E151),"")</f>
        <v/>
      </c>
    </row>
    <row r="153">
      <c r="A153" t="n">
        <v>153</v>
      </c>
      <c r="B153">
        <f>IF(INDEX('Data Entry'!$H$5:$BE$10004,153-4,'Visual SPC'!$B$3)="",0,IF(AND(OR('Visual SPC'!$C$4="",'Data Entry'!$C153&gt;='Visual SPC'!$C$4),OR('Visual SPC'!$E$4="",'Data Entry'!$C153&lt;='Visual SPC'!$E$4),OR('Visual SPC'!$G$4="",'Data Entry'!$D153='Visual SPC'!$G$4),OR('Visual SPC'!$I$4="",'Data Entry'!$E153='Visual SPC'!$I$4),OR('Visual SPC'!$K$4="",'Data Entry'!$F153='Visual SPC'!$K$4)),1,0))</f>
        <v/>
      </c>
      <c r="C153">
        <f>C152+B153</f>
        <v/>
      </c>
      <c r="D153">
        <f>IF(B153=1,INDEX('Data Entry'!$H$5:$BE$10004,153-4,'Visual SPC'!$B$3),"")</f>
        <v/>
      </c>
      <c r="E153">
        <f>IF(B153=1,D153,E152)</f>
        <v/>
      </c>
      <c r="F153">
        <f>IF(AND(B153=1,C153&gt;1,E152&lt;&gt;""),ABS(D153-E152),"")</f>
        <v/>
      </c>
    </row>
    <row r="154">
      <c r="A154" t="n">
        <v>154</v>
      </c>
      <c r="B154">
        <f>IF(INDEX('Data Entry'!$H$5:$BE$10004,154-4,'Visual SPC'!$B$3)="",0,IF(AND(OR('Visual SPC'!$C$4="",'Data Entry'!$C154&gt;='Visual SPC'!$C$4),OR('Visual SPC'!$E$4="",'Data Entry'!$C154&lt;='Visual SPC'!$E$4),OR('Visual SPC'!$G$4="",'Data Entry'!$D154='Visual SPC'!$G$4),OR('Visual SPC'!$I$4="",'Data Entry'!$E154='Visual SPC'!$I$4),OR('Visual SPC'!$K$4="",'Data Entry'!$F154='Visual SPC'!$K$4)),1,0))</f>
        <v/>
      </c>
      <c r="C154">
        <f>C153+B154</f>
        <v/>
      </c>
      <c r="D154">
        <f>IF(B154=1,INDEX('Data Entry'!$H$5:$BE$10004,154-4,'Visual SPC'!$B$3),"")</f>
        <v/>
      </c>
      <c r="E154">
        <f>IF(B154=1,D154,E153)</f>
        <v/>
      </c>
      <c r="F154">
        <f>IF(AND(B154=1,C154&gt;1,E153&lt;&gt;""),ABS(D154-E153),"")</f>
        <v/>
      </c>
    </row>
    <row r="155">
      <c r="A155" t="n">
        <v>155</v>
      </c>
      <c r="B155">
        <f>IF(INDEX('Data Entry'!$H$5:$BE$10004,155-4,'Visual SPC'!$B$3)="",0,IF(AND(OR('Visual SPC'!$C$4="",'Data Entry'!$C155&gt;='Visual SPC'!$C$4),OR('Visual SPC'!$E$4="",'Data Entry'!$C155&lt;='Visual SPC'!$E$4),OR('Visual SPC'!$G$4="",'Data Entry'!$D155='Visual SPC'!$G$4),OR('Visual SPC'!$I$4="",'Data Entry'!$E155='Visual SPC'!$I$4),OR('Visual SPC'!$K$4="",'Data Entry'!$F155='Visual SPC'!$K$4)),1,0))</f>
        <v/>
      </c>
      <c r="C155">
        <f>C154+B155</f>
        <v/>
      </c>
      <c r="D155">
        <f>IF(B155=1,INDEX('Data Entry'!$H$5:$BE$10004,155-4,'Visual SPC'!$B$3),"")</f>
        <v/>
      </c>
      <c r="E155">
        <f>IF(B155=1,D155,E154)</f>
        <v/>
      </c>
      <c r="F155">
        <f>IF(AND(B155=1,C155&gt;1,E154&lt;&gt;""),ABS(D155-E154),"")</f>
        <v/>
      </c>
    </row>
    <row r="156">
      <c r="A156" t="n">
        <v>156</v>
      </c>
      <c r="B156">
        <f>IF(INDEX('Data Entry'!$H$5:$BE$10004,156-4,'Visual SPC'!$B$3)="",0,IF(AND(OR('Visual SPC'!$C$4="",'Data Entry'!$C156&gt;='Visual SPC'!$C$4),OR('Visual SPC'!$E$4="",'Data Entry'!$C156&lt;='Visual SPC'!$E$4),OR('Visual SPC'!$G$4="",'Data Entry'!$D156='Visual SPC'!$G$4),OR('Visual SPC'!$I$4="",'Data Entry'!$E156='Visual SPC'!$I$4),OR('Visual SPC'!$K$4="",'Data Entry'!$F156='Visual SPC'!$K$4)),1,0))</f>
        <v/>
      </c>
      <c r="C156">
        <f>C155+B156</f>
        <v/>
      </c>
      <c r="D156">
        <f>IF(B156=1,INDEX('Data Entry'!$H$5:$BE$10004,156-4,'Visual SPC'!$B$3),"")</f>
        <v/>
      </c>
      <c r="E156">
        <f>IF(B156=1,D156,E155)</f>
        <v/>
      </c>
      <c r="F156">
        <f>IF(AND(B156=1,C156&gt;1,E155&lt;&gt;""),ABS(D156-E155),"")</f>
        <v/>
      </c>
    </row>
    <row r="157">
      <c r="A157" t="n">
        <v>157</v>
      </c>
      <c r="B157">
        <f>IF(INDEX('Data Entry'!$H$5:$BE$10004,157-4,'Visual SPC'!$B$3)="",0,IF(AND(OR('Visual SPC'!$C$4="",'Data Entry'!$C157&gt;='Visual SPC'!$C$4),OR('Visual SPC'!$E$4="",'Data Entry'!$C157&lt;='Visual SPC'!$E$4),OR('Visual SPC'!$G$4="",'Data Entry'!$D157='Visual SPC'!$G$4),OR('Visual SPC'!$I$4="",'Data Entry'!$E157='Visual SPC'!$I$4),OR('Visual SPC'!$K$4="",'Data Entry'!$F157='Visual SPC'!$K$4)),1,0))</f>
        <v/>
      </c>
      <c r="C157">
        <f>C156+B157</f>
        <v/>
      </c>
      <c r="D157">
        <f>IF(B157=1,INDEX('Data Entry'!$H$5:$BE$10004,157-4,'Visual SPC'!$B$3),"")</f>
        <v/>
      </c>
      <c r="E157">
        <f>IF(B157=1,D157,E156)</f>
        <v/>
      </c>
      <c r="F157">
        <f>IF(AND(B157=1,C157&gt;1,E156&lt;&gt;""),ABS(D157-E156),"")</f>
        <v/>
      </c>
    </row>
    <row r="158">
      <c r="A158" t="n">
        <v>158</v>
      </c>
      <c r="B158">
        <f>IF(INDEX('Data Entry'!$H$5:$BE$10004,158-4,'Visual SPC'!$B$3)="",0,IF(AND(OR('Visual SPC'!$C$4="",'Data Entry'!$C158&gt;='Visual SPC'!$C$4),OR('Visual SPC'!$E$4="",'Data Entry'!$C158&lt;='Visual SPC'!$E$4),OR('Visual SPC'!$G$4="",'Data Entry'!$D158='Visual SPC'!$G$4),OR('Visual SPC'!$I$4="",'Data Entry'!$E158='Visual SPC'!$I$4),OR('Visual SPC'!$K$4="",'Data Entry'!$F158='Visual SPC'!$K$4)),1,0))</f>
        <v/>
      </c>
      <c r="C158">
        <f>C157+B158</f>
        <v/>
      </c>
      <c r="D158">
        <f>IF(B158=1,INDEX('Data Entry'!$H$5:$BE$10004,158-4,'Visual SPC'!$B$3),"")</f>
        <v/>
      </c>
      <c r="E158">
        <f>IF(B158=1,D158,E157)</f>
        <v/>
      </c>
      <c r="F158">
        <f>IF(AND(B158=1,C158&gt;1,E157&lt;&gt;""),ABS(D158-E157),"")</f>
        <v/>
      </c>
    </row>
    <row r="159">
      <c r="A159" t="n">
        <v>159</v>
      </c>
      <c r="B159">
        <f>IF(INDEX('Data Entry'!$H$5:$BE$10004,159-4,'Visual SPC'!$B$3)="",0,IF(AND(OR('Visual SPC'!$C$4="",'Data Entry'!$C159&gt;='Visual SPC'!$C$4),OR('Visual SPC'!$E$4="",'Data Entry'!$C159&lt;='Visual SPC'!$E$4),OR('Visual SPC'!$G$4="",'Data Entry'!$D159='Visual SPC'!$G$4),OR('Visual SPC'!$I$4="",'Data Entry'!$E159='Visual SPC'!$I$4),OR('Visual SPC'!$K$4="",'Data Entry'!$F159='Visual SPC'!$K$4)),1,0))</f>
        <v/>
      </c>
      <c r="C159">
        <f>C158+B159</f>
        <v/>
      </c>
      <c r="D159">
        <f>IF(B159=1,INDEX('Data Entry'!$H$5:$BE$10004,159-4,'Visual SPC'!$B$3),"")</f>
        <v/>
      </c>
      <c r="E159">
        <f>IF(B159=1,D159,E158)</f>
        <v/>
      </c>
      <c r="F159">
        <f>IF(AND(B159=1,C159&gt;1,E158&lt;&gt;""),ABS(D159-E158),"")</f>
        <v/>
      </c>
    </row>
    <row r="160">
      <c r="A160" t="n">
        <v>160</v>
      </c>
      <c r="B160">
        <f>IF(INDEX('Data Entry'!$H$5:$BE$10004,160-4,'Visual SPC'!$B$3)="",0,IF(AND(OR('Visual SPC'!$C$4="",'Data Entry'!$C160&gt;='Visual SPC'!$C$4),OR('Visual SPC'!$E$4="",'Data Entry'!$C160&lt;='Visual SPC'!$E$4),OR('Visual SPC'!$G$4="",'Data Entry'!$D160='Visual SPC'!$G$4),OR('Visual SPC'!$I$4="",'Data Entry'!$E160='Visual SPC'!$I$4),OR('Visual SPC'!$K$4="",'Data Entry'!$F160='Visual SPC'!$K$4)),1,0))</f>
        <v/>
      </c>
      <c r="C160">
        <f>C159+B160</f>
        <v/>
      </c>
      <c r="D160">
        <f>IF(B160=1,INDEX('Data Entry'!$H$5:$BE$10004,160-4,'Visual SPC'!$B$3),"")</f>
        <v/>
      </c>
      <c r="E160">
        <f>IF(B160=1,D160,E159)</f>
        <v/>
      </c>
      <c r="F160">
        <f>IF(AND(B160=1,C160&gt;1,E159&lt;&gt;""),ABS(D160-E159),"")</f>
        <v/>
      </c>
    </row>
    <row r="161">
      <c r="A161" t="n">
        <v>161</v>
      </c>
      <c r="B161">
        <f>IF(INDEX('Data Entry'!$H$5:$BE$10004,161-4,'Visual SPC'!$B$3)="",0,IF(AND(OR('Visual SPC'!$C$4="",'Data Entry'!$C161&gt;='Visual SPC'!$C$4),OR('Visual SPC'!$E$4="",'Data Entry'!$C161&lt;='Visual SPC'!$E$4),OR('Visual SPC'!$G$4="",'Data Entry'!$D161='Visual SPC'!$G$4),OR('Visual SPC'!$I$4="",'Data Entry'!$E161='Visual SPC'!$I$4),OR('Visual SPC'!$K$4="",'Data Entry'!$F161='Visual SPC'!$K$4)),1,0))</f>
        <v/>
      </c>
      <c r="C161">
        <f>C160+B161</f>
        <v/>
      </c>
      <c r="D161">
        <f>IF(B161=1,INDEX('Data Entry'!$H$5:$BE$10004,161-4,'Visual SPC'!$B$3),"")</f>
        <v/>
      </c>
      <c r="E161">
        <f>IF(B161=1,D161,E160)</f>
        <v/>
      </c>
      <c r="F161">
        <f>IF(AND(B161=1,C161&gt;1,E160&lt;&gt;""),ABS(D161-E160),"")</f>
        <v/>
      </c>
    </row>
    <row r="162">
      <c r="A162" t="n">
        <v>162</v>
      </c>
      <c r="B162">
        <f>IF(INDEX('Data Entry'!$H$5:$BE$10004,162-4,'Visual SPC'!$B$3)="",0,IF(AND(OR('Visual SPC'!$C$4="",'Data Entry'!$C162&gt;='Visual SPC'!$C$4),OR('Visual SPC'!$E$4="",'Data Entry'!$C162&lt;='Visual SPC'!$E$4),OR('Visual SPC'!$G$4="",'Data Entry'!$D162='Visual SPC'!$G$4),OR('Visual SPC'!$I$4="",'Data Entry'!$E162='Visual SPC'!$I$4),OR('Visual SPC'!$K$4="",'Data Entry'!$F162='Visual SPC'!$K$4)),1,0))</f>
        <v/>
      </c>
      <c r="C162">
        <f>C161+B162</f>
        <v/>
      </c>
      <c r="D162">
        <f>IF(B162=1,INDEX('Data Entry'!$H$5:$BE$10004,162-4,'Visual SPC'!$B$3),"")</f>
        <v/>
      </c>
      <c r="E162">
        <f>IF(B162=1,D162,E161)</f>
        <v/>
      </c>
      <c r="F162">
        <f>IF(AND(B162=1,C162&gt;1,E161&lt;&gt;""),ABS(D162-E161),"")</f>
        <v/>
      </c>
    </row>
    <row r="163">
      <c r="A163" t="n">
        <v>163</v>
      </c>
      <c r="B163">
        <f>IF(INDEX('Data Entry'!$H$5:$BE$10004,163-4,'Visual SPC'!$B$3)="",0,IF(AND(OR('Visual SPC'!$C$4="",'Data Entry'!$C163&gt;='Visual SPC'!$C$4),OR('Visual SPC'!$E$4="",'Data Entry'!$C163&lt;='Visual SPC'!$E$4),OR('Visual SPC'!$G$4="",'Data Entry'!$D163='Visual SPC'!$G$4),OR('Visual SPC'!$I$4="",'Data Entry'!$E163='Visual SPC'!$I$4),OR('Visual SPC'!$K$4="",'Data Entry'!$F163='Visual SPC'!$K$4)),1,0))</f>
        <v/>
      </c>
      <c r="C163">
        <f>C162+B163</f>
        <v/>
      </c>
      <c r="D163">
        <f>IF(B163=1,INDEX('Data Entry'!$H$5:$BE$10004,163-4,'Visual SPC'!$B$3),"")</f>
        <v/>
      </c>
      <c r="E163">
        <f>IF(B163=1,D163,E162)</f>
        <v/>
      </c>
      <c r="F163">
        <f>IF(AND(B163=1,C163&gt;1,E162&lt;&gt;""),ABS(D163-E162),"")</f>
        <v/>
      </c>
    </row>
    <row r="164">
      <c r="A164" t="n">
        <v>164</v>
      </c>
      <c r="B164">
        <f>IF(INDEX('Data Entry'!$H$5:$BE$10004,164-4,'Visual SPC'!$B$3)="",0,IF(AND(OR('Visual SPC'!$C$4="",'Data Entry'!$C164&gt;='Visual SPC'!$C$4),OR('Visual SPC'!$E$4="",'Data Entry'!$C164&lt;='Visual SPC'!$E$4),OR('Visual SPC'!$G$4="",'Data Entry'!$D164='Visual SPC'!$G$4),OR('Visual SPC'!$I$4="",'Data Entry'!$E164='Visual SPC'!$I$4),OR('Visual SPC'!$K$4="",'Data Entry'!$F164='Visual SPC'!$K$4)),1,0))</f>
        <v/>
      </c>
      <c r="C164">
        <f>C163+B164</f>
        <v/>
      </c>
      <c r="D164">
        <f>IF(B164=1,INDEX('Data Entry'!$H$5:$BE$10004,164-4,'Visual SPC'!$B$3),"")</f>
        <v/>
      </c>
      <c r="E164">
        <f>IF(B164=1,D164,E163)</f>
        <v/>
      </c>
      <c r="F164">
        <f>IF(AND(B164=1,C164&gt;1,E163&lt;&gt;""),ABS(D164-E163),"")</f>
        <v/>
      </c>
    </row>
    <row r="165">
      <c r="A165" t="n">
        <v>165</v>
      </c>
      <c r="B165">
        <f>IF(INDEX('Data Entry'!$H$5:$BE$10004,165-4,'Visual SPC'!$B$3)="",0,IF(AND(OR('Visual SPC'!$C$4="",'Data Entry'!$C165&gt;='Visual SPC'!$C$4),OR('Visual SPC'!$E$4="",'Data Entry'!$C165&lt;='Visual SPC'!$E$4),OR('Visual SPC'!$G$4="",'Data Entry'!$D165='Visual SPC'!$G$4),OR('Visual SPC'!$I$4="",'Data Entry'!$E165='Visual SPC'!$I$4),OR('Visual SPC'!$K$4="",'Data Entry'!$F165='Visual SPC'!$K$4)),1,0))</f>
        <v/>
      </c>
      <c r="C165">
        <f>C164+B165</f>
        <v/>
      </c>
      <c r="D165">
        <f>IF(B165=1,INDEX('Data Entry'!$H$5:$BE$10004,165-4,'Visual SPC'!$B$3),"")</f>
        <v/>
      </c>
      <c r="E165">
        <f>IF(B165=1,D165,E164)</f>
        <v/>
      </c>
      <c r="F165">
        <f>IF(AND(B165=1,C165&gt;1,E164&lt;&gt;""),ABS(D165-E164),"")</f>
        <v/>
      </c>
    </row>
    <row r="166">
      <c r="A166" t="n">
        <v>166</v>
      </c>
      <c r="B166">
        <f>IF(INDEX('Data Entry'!$H$5:$BE$10004,166-4,'Visual SPC'!$B$3)="",0,IF(AND(OR('Visual SPC'!$C$4="",'Data Entry'!$C166&gt;='Visual SPC'!$C$4),OR('Visual SPC'!$E$4="",'Data Entry'!$C166&lt;='Visual SPC'!$E$4),OR('Visual SPC'!$G$4="",'Data Entry'!$D166='Visual SPC'!$G$4),OR('Visual SPC'!$I$4="",'Data Entry'!$E166='Visual SPC'!$I$4),OR('Visual SPC'!$K$4="",'Data Entry'!$F166='Visual SPC'!$K$4)),1,0))</f>
        <v/>
      </c>
      <c r="C166">
        <f>C165+B166</f>
        <v/>
      </c>
      <c r="D166">
        <f>IF(B166=1,INDEX('Data Entry'!$H$5:$BE$10004,166-4,'Visual SPC'!$B$3),"")</f>
        <v/>
      </c>
      <c r="E166">
        <f>IF(B166=1,D166,E165)</f>
        <v/>
      </c>
      <c r="F166">
        <f>IF(AND(B166=1,C166&gt;1,E165&lt;&gt;""),ABS(D166-E165),"")</f>
        <v/>
      </c>
    </row>
    <row r="167">
      <c r="A167" t="n">
        <v>167</v>
      </c>
      <c r="B167">
        <f>IF(INDEX('Data Entry'!$H$5:$BE$10004,167-4,'Visual SPC'!$B$3)="",0,IF(AND(OR('Visual SPC'!$C$4="",'Data Entry'!$C167&gt;='Visual SPC'!$C$4),OR('Visual SPC'!$E$4="",'Data Entry'!$C167&lt;='Visual SPC'!$E$4),OR('Visual SPC'!$G$4="",'Data Entry'!$D167='Visual SPC'!$G$4),OR('Visual SPC'!$I$4="",'Data Entry'!$E167='Visual SPC'!$I$4),OR('Visual SPC'!$K$4="",'Data Entry'!$F167='Visual SPC'!$K$4)),1,0))</f>
        <v/>
      </c>
      <c r="C167">
        <f>C166+B167</f>
        <v/>
      </c>
      <c r="D167">
        <f>IF(B167=1,INDEX('Data Entry'!$H$5:$BE$10004,167-4,'Visual SPC'!$B$3),"")</f>
        <v/>
      </c>
      <c r="E167">
        <f>IF(B167=1,D167,E166)</f>
        <v/>
      </c>
      <c r="F167">
        <f>IF(AND(B167=1,C167&gt;1,E166&lt;&gt;""),ABS(D167-E166),"")</f>
        <v/>
      </c>
    </row>
    <row r="168">
      <c r="A168" t="n">
        <v>168</v>
      </c>
      <c r="B168">
        <f>IF(INDEX('Data Entry'!$H$5:$BE$10004,168-4,'Visual SPC'!$B$3)="",0,IF(AND(OR('Visual SPC'!$C$4="",'Data Entry'!$C168&gt;='Visual SPC'!$C$4),OR('Visual SPC'!$E$4="",'Data Entry'!$C168&lt;='Visual SPC'!$E$4),OR('Visual SPC'!$G$4="",'Data Entry'!$D168='Visual SPC'!$G$4),OR('Visual SPC'!$I$4="",'Data Entry'!$E168='Visual SPC'!$I$4),OR('Visual SPC'!$K$4="",'Data Entry'!$F168='Visual SPC'!$K$4)),1,0))</f>
        <v/>
      </c>
      <c r="C168">
        <f>C167+B168</f>
        <v/>
      </c>
      <c r="D168">
        <f>IF(B168=1,INDEX('Data Entry'!$H$5:$BE$10004,168-4,'Visual SPC'!$B$3),"")</f>
        <v/>
      </c>
      <c r="E168">
        <f>IF(B168=1,D168,E167)</f>
        <v/>
      </c>
      <c r="F168">
        <f>IF(AND(B168=1,C168&gt;1,E167&lt;&gt;""),ABS(D168-E167),"")</f>
        <v/>
      </c>
    </row>
    <row r="169">
      <c r="A169" t="n">
        <v>169</v>
      </c>
      <c r="B169">
        <f>IF(INDEX('Data Entry'!$H$5:$BE$10004,169-4,'Visual SPC'!$B$3)="",0,IF(AND(OR('Visual SPC'!$C$4="",'Data Entry'!$C169&gt;='Visual SPC'!$C$4),OR('Visual SPC'!$E$4="",'Data Entry'!$C169&lt;='Visual SPC'!$E$4),OR('Visual SPC'!$G$4="",'Data Entry'!$D169='Visual SPC'!$G$4),OR('Visual SPC'!$I$4="",'Data Entry'!$E169='Visual SPC'!$I$4),OR('Visual SPC'!$K$4="",'Data Entry'!$F169='Visual SPC'!$K$4)),1,0))</f>
        <v/>
      </c>
      <c r="C169">
        <f>C168+B169</f>
        <v/>
      </c>
      <c r="D169">
        <f>IF(B169=1,INDEX('Data Entry'!$H$5:$BE$10004,169-4,'Visual SPC'!$B$3),"")</f>
        <v/>
      </c>
      <c r="E169">
        <f>IF(B169=1,D169,E168)</f>
        <v/>
      </c>
      <c r="F169">
        <f>IF(AND(B169=1,C169&gt;1,E168&lt;&gt;""),ABS(D169-E168),"")</f>
        <v/>
      </c>
    </row>
    <row r="170">
      <c r="A170" t="n">
        <v>170</v>
      </c>
      <c r="B170">
        <f>IF(INDEX('Data Entry'!$H$5:$BE$10004,170-4,'Visual SPC'!$B$3)="",0,IF(AND(OR('Visual SPC'!$C$4="",'Data Entry'!$C170&gt;='Visual SPC'!$C$4),OR('Visual SPC'!$E$4="",'Data Entry'!$C170&lt;='Visual SPC'!$E$4),OR('Visual SPC'!$G$4="",'Data Entry'!$D170='Visual SPC'!$G$4),OR('Visual SPC'!$I$4="",'Data Entry'!$E170='Visual SPC'!$I$4),OR('Visual SPC'!$K$4="",'Data Entry'!$F170='Visual SPC'!$K$4)),1,0))</f>
        <v/>
      </c>
      <c r="C170">
        <f>C169+B170</f>
        <v/>
      </c>
      <c r="D170">
        <f>IF(B170=1,INDEX('Data Entry'!$H$5:$BE$10004,170-4,'Visual SPC'!$B$3),"")</f>
        <v/>
      </c>
      <c r="E170">
        <f>IF(B170=1,D170,E169)</f>
        <v/>
      </c>
      <c r="F170">
        <f>IF(AND(B170=1,C170&gt;1,E169&lt;&gt;""),ABS(D170-E169),"")</f>
        <v/>
      </c>
    </row>
    <row r="171">
      <c r="A171" t="n">
        <v>171</v>
      </c>
      <c r="B171">
        <f>IF(INDEX('Data Entry'!$H$5:$BE$10004,171-4,'Visual SPC'!$B$3)="",0,IF(AND(OR('Visual SPC'!$C$4="",'Data Entry'!$C171&gt;='Visual SPC'!$C$4),OR('Visual SPC'!$E$4="",'Data Entry'!$C171&lt;='Visual SPC'!$E$4),OR('Visual SPC'!$G$4="",'Data Entry'!$D171='Visual SPC'!$G$4),OR('Visual SPC'!$I$4="",'Data Entry'!$E171='Visual SPC'!$I$4),OR('Visual SPC'!$K$4="",'Data Entry'!$F171='Visual SPC'!$K$4)),1,0))</f>
        <v/>
      </c>
      <c r="C171">
        <f>C170+B171</f>
        <v/>
      </c>
      <c r="D171">
        <f>IF(B171=1,INDEX('Data Entry'!$H$5:$BE$10004,171-4,'Visual SPC'!$B$3),"")</f>
        <v/>
      </c>
      <c r="E171">
        <f>IF(B171=1,D171,E170)</f>
        <v/>
      </c>
      <c r="F171">
        <f>IF(AND(B171=1,C171&gt;1,E170&lt;&gt;""),ABS(D171-E170),"")</f>
        <v/>
      </c>
    </row>
    <row r="172">
      <c r="A172" t="n">
        <v>172</v>
      </c>
      <c r="B172">
        <f>IF(INDEX('Data Entry'!$H$5:$BE$10004,172-4,'Visual SPC'!$B$3)="",0,IF(AND(OR('Visual SPC'!$C$4="",'Data Entry'!$C172&gt;='Visual SPC'!$C$4),OR('Visual SPC'!$E$4="",'Data Entry'!$C172&lt;='Visual SPC'!$E$4),OR('Visual SPC'!$G$4="",'Data Entry'!$D172='Visual SPC'!$G$4),OR('Visual SPC'!$I$4="",'Data Entry'!$E172='Visual SPC'!$I$4),OR('Visual SPC'!$K$4="",'Data Entry'!$F172='Visual SPC'!$K$4)),1,0))</f>
        <v/>
      </c>
      <c r="C172">
        <f>C171+B172</f>
        <v/>
      </c>
      <c r="D172">
        <f>IF(B172=1,INDEX('Data Entry'!$H$5:$BE$10004,172-4,'Visual SPC'!$B$3),"")</f>
        <v/>
      </c>
      <c r="E172">
        <f>IF(B172=1,D172,E171)</f>
        <v/>
      </c>
      <c r="F172">
        <f>IF(AND(B172=1,C172&gt;1,E171&lt;&gt;""),ABS(D172-E171),"")</f>
        <v/>
      </c>
    </row>
    <row r="173">
      <c r="A173" t="n">
        <v>173</v>
      </c>
      <c r="B173">
        <f>IF(INDEX('Data Entry'!$H$5:$BE$10004,173-4,'Visual SPC'!$B$3)="",0,IF(AND(OR('Visual SPC'!$C$4="",'Data Entry'!$C173&gt;='Visual SPC'!$C$4),OR('Visual SPC'!$E$4="",'Data Entry'!$C173&lt;='Visual SPC'!$E$4),OR('Visual SPC'!$G$4="",'Data Entry'!$D173='Visual SPC'!$G$4),OR('Visual SPC'!$I$4="",'Data Entry'!$E173='Visual SPC'!$I$4),OR('Visual SPC'!$K$4="",'Data Entry'!$F173='Visual SPC'!$K$4)),1,0))</f>
        <v/>
      </c>
      <c r="C173">
        <f>C172+B173</f>
        <v/>
      </c>
      <c r="D173">
        <f>IF(B173=1,INDEX('Data Entry'!$H$5:$BE$10004,173-4,'Visual SPC'!$B$3),"")</f>
        <v/>
      </c>
      <c r="E173">
        <f>IF(B173=1,D173,E172)</f>
        <v/>
      </c>
      <c r="F173">
        <f>IF(AND(B173=1,C173&gt;1,E172&lt;&gt;""),ABS(D173-E172),"")</f>
        <v/>
      </c>
    </row>
    <row r="174">
      <c r="A174" t="n">
        <v>174</v>
      </c>
      <c r="B174">
        <f>IF(INDEX('Data Entry'!$H$5:$BE$10004,174-4,'Visual SPC'!$B$3)="",0,IF(AND(OR('Visual SPC'!$C$4="",'Data Entry'!$C174&gt;='Visual SPC'!$C$4),OR('Visual SPC'!$E$4="",'Data Entry'!$C174&lt;='Visual SPC'!$E$4),OR('Visual SPC'!$G$4="",'Data Entry'!$D174='Visual SPC'!$G$4),OR('Visual SPC'!$I$4="",'Data Entry'!$E174='Visual SPC'!$I$4),OR('Visual SPC'!$K$4="",'Data Entry'!$F174='Visual SPC'!$K$4)),1,0))</f>
        <v/>
      </c>
      <c r="C174">
        <f>C173+B174</f>
        <v/>
      </c>
      <c r="D174">
        <f>IF(B174=1,INDEX('Data Entry'!$H$5:$BE$10004,174-4,'Visual SPC'!$B$3),"")</f>
        <v/>
      </c>
      <c r="E174">
        <f>IF(B174=1,D174,E173)</f>
        <v/>
      </c>
      <c r="F174">
        <f>IF(AND(B174=1,C174&gt;1,E173&lt;&gt;""),ABS(D174-E173),"")</f>
        <v/>
      </c>
    </row>
    <row r="175">
      <c r="A175" t="n">
        <v>175</v>
      </c>
      <c r="B175">
        <f>IF(INDEX('Data Entry'!$H$5:$BE$10004,175-4,'Visual SPC'!$B$3)="",0,IF(AND(OR('Visual SPC'!$C$4="",'Data Entry'!$C175&gt;='Visual SPC'!$C$4),OR('Visual SPC'!$E$4="",'Data Entry'!$C175&lt;='Visual SPC'!$E$4),OR('Visual SPC'!$G$4="",'Data Entry'!$D175='Visual SPC'!$G$4),OR('Visual SPC'!$I$4="",'Data Entry'!$E175='Visual SPC'!$I$4),OR('Visual SPC'!$K$4="",'Data Entry'!$F175='Visual SPC'!$K$4)),1,0))</f>
        <v/>
      </c>
      <c r="C175">
        <f>C174+B175</f>
        <v/>
      </c>
      <c r="D175">
        <f>IF(B175=1,INDEX('Data Entry'!$H$5:$BE$10004,175-4,'Visual SPC'!$B$3),"")</f>
        <v/>
      </c>
      <c r="E175">
        <f>IF(B175=1,D175,E174)</f>
        <v/>
      </c>
      <c r="F175">
        <f>IF(AND(B175=1,C175&gt;1,E174&lt;&gt;""),ABS(D175-E174),"")</f>
        <v/>
      </c>
    </row>
    <row r="176">
      <c r="A176" t="n">
        <v>176</v>
      </c>
      <c r="B176">
        <f>IF(INDEX('Data Entry'!$H$5:$BE$10004,176-4,'Visual SPC'!$B$3)="",0,IF(AND(OR('Visual SPC'!$C$4="",'Data Entry'!$C176&gt;='Visual SPC'!$C$4),OR('Visual SPC'!$E$4="",'Data Entry'!$C176&lt;='Visual SPC'!$E$4),OR('Visual SPC'!$G$4="",'Data Entry'!$D176='Visual SPC'!$G$4),OR('Visual SPC'!$I$4="",'Data Entry'!$E176='Visual SPC'!$I$4),OR('Visual SPC'!$K$4="",'Data Entry'!$F176='Visual SPC'!$K$4)),1,0))</f>
        <v/>
      </c>
      <c r="C176">
        <f>C175+B176</f>
        <v/>
      </c>
      <c r="D176">
        <f>IF(B176=1,INDEX('Data Entry'!$H$5:$BE$10004,176-4,'Visual SPC'!$B$3),"")</f>
        <v/>
      </c>
      <c r="E176">
        <f>IF(B176=1,D176,E175)</f>
        <v/>
      </c>
      <c r="F176">
        <f>IF(AND(B176=1,C176&gt;1,E175&lt;&gt;""),ABS(D176-E175),"")</f>
        <v/>
      </c>
    </row>
    <row r="177">
      <c r="A177" t="n">
        <v>177</v>
      </c>
      <c r="B177">
        <f>IF(INDEX('Data Entry'!$H$5:$BE$10004,177-4,'Visual SPC'!$B$3)="",0,IF(AND(OR('Visual SPC'!$C$4="",'Data Entry'!$C177&gt;='Visual SPC'!$C$4),OR('Visual SPC'!$E$4="",'Data Entry'!$C177&lt;='Visual SPC'!$E$4),OR('Visual SPC'!$G$4="",'Data Entry'!$D177='Visual SPC'!$G$4),OR('Visual SPC'!$I$4="",'Data Entry'!$E177='Visual SPC'!$I$4),OR('Visual SPC'!$K$4="",'Data Entry'!$F177='Visual SPC'!$K$4)),1,0))</f>
        <v/>
      </c>
      <c r="C177">
        <f>C176+B177</f>
        <v/>
      </c>
      <c r="D177">
        <f>IF(B177=1,INDEX('Data Entry'!$H$5:$BE$10004,177-4,'Visual SPC'!$B$3),"")</f>
        <v/>
      </c>
      <c r="E177">
        <f>IF(B177=1,D177,E176)</f>
        <v/>
      </c>
      <c r="F177">
        <f>IF(AND(B177=1,C177&gt;1,E176&lt;&gt;""),ABS(D177-E176),"")</f>
        <v/>
      </c>
    </row>
    <row r="178">
      <c r="A178" t="n">
        <v>178</v>
      </c>
      <c r="B178">
        <f>IF(INDEX('Data Entry'!$H$5:$BE$10004,178-4,'Visual SPC'!$B$3)="",0,IF(AND(OR('Visual SPC'!$C$4="",'Data Entry'!$C178&gt;='Visual SPC'!$C$4),OR('Visual SPC'!$E$4="",'Data Entry'!$C178&lt;='Visual SPC'!$E$4),OR('Visual SPC'!$G$4="",'Data Entry'!$D178='Visual SPC'!$G$4),OR('Visual SPC'!$I$4="",'Data Entry'!$E178='Visual SPC'!$I$4),OR('Visual SPC'!$K$4="",'Data Entry'!$F178='Visual SPC'!$K$4)),1,0))</f>
        <v/>
      </c>
      <c r="C178">
        <f>C177+B178</f>
        <v/>
      </c>
      <c r="D178">
        <f>IF(B178=1,INDEX('Data Entry'!$H$5:$BE$10004,178-4,'Visual SPC'!$B$3),"")</f>
        <v/>
      </c>
      <c r="E178">
        <f>IF(B178=1,D178,E177)</f>
        <v/>
      </c>
      <c r="F178">
        <f>IF(AND(B178=1,C178&gt;1,E177&lt;&gt;""),ABS(D178-E177),"")</f>
        <v/>
      </c>
    </row>
    <row r="179">
      <c r="A179" t="n">
        <v>179</v>
      </c>
      <c r="B179">
        <f>IF(INDEX('Data Entry'!$H$5:$BE$10004,179-4,'Visual SPC'!$B$3)="",0,IF(AND(OR('Visual SPC'!$C$4="",'Data Entry'!$C179&gt;='Visual SPC'!$C$4),OR('Visual SPC'!$E$4="",'Data Entry'!$C179&lt;='Visual SPC'!$E$4),OR('Visual SPC'!$G$4="",'Data Entry'!$D179='Visual SPC'!$G$4),OR('Visual SPC'!$I$4="",'Data Entry'!$E179='Visual SPC'!$I$4),OR('Visual SPC'!$K$4="",'Data Entry'!$F179='Visual SPC'!$K$4)),1,0))</f>
        <v/>
      </c>
      <c r="C179">
        <f>C178+B179</f>
        <v/>
      </c>
      <c r="D179">
        <f>IF(B179=1,INDEX('Data Entry'!$H$5:$BE$10004,179-4,'Visual SPC'!$B$3),"")</f>
        <v/>
      </c>
      <c r="E179">
        <f>IF(B179=1,D179,E178)</f>
        <v/>
      </c>
      <c r="F179">
        <f>IF(AND(B179=1,C179&gt;1,E178&lt;&gt;""),ABS(D179-E178),"")</f>
        <v/>
      </c>
    </row>
    <row r="180">
      <c r="A180" t="n">
        <v>180</v>
      </c>
      <c r="B180">
        <f>IF(INDEX('Data Entry'!$H$5:$BE$10004,180-4,'Visual SPC'!$B$3)="",0,IF(AND(OR('Visual SPC'!$C$4="",'Data Entry'!$C180&gt;='Visual SPC'!$C$4),OR('Visual SPC'!$E$4="",'Data Entry'!$C180&lt;='Visual SPC'!$E$4),OR('Visual SPC'!$G$4="",'Data Entry'!$D180='Visual SPC'!$G$4),OR('Visual SPC'!$I$4="",'Data Entry'!$E180='Visual SPC'!$I$4),OR('Visual SPC'!$K$4="",'Data Entry'!$F180='Visual SPC'!$K$4)),1,0))</f>
        <v/>
      </c>
      <c r="C180">
        <f>C179+B180</f>
        <v/>
      </c>
      <c r="D180">
        <f>IF(B180=1,INDEX('Data Entry'!$H$5:$BE$10004,180-4,'Visual SPC'!$B$3),"")</f>
        <v/>
      </c>
      <c r="E180">
        <f>IF(B180=1,D180,E179)</f>
        <v/>
      </c>
      <c r="F180">
        <f>IF(AND(B180=1,C180&gt;1,E179&lt;&gt;""),ABS(D180-E179),"")</f>
        <v/>
      </c>
    </row>
    <row r="181">
      <c r="A181" t="n">
        <v>181</v>
      </c>
      <c r="B181">
        <f>IF(INDEX('Data Entry'!$H$5:$BE$10004,181-4,'Visual SPC'!$B$3)="",0,IF(AND(OR('Visual SPC'!$C$4="",'Data Entry'!$C181&gt;='Visual SPC'!$C$4),OR('Visual SPC'!$E$4="",'Data Entry'!$C181&lt;='Visual SPC'!$E$4),OR('Visual SPC'!$G$4="",'Data Entry'!$D181='Visual SPC'!$G$4),OR('Visual SPC'!$I$4="",'Data Entry'!$E181='Visual SPC'!$I$4),OR('Visual SPC'!$K$4="",'Data Entry'!$F181='Visual SPC'!$K$4)),1,0))</f>
        <v/>
      </c>
      <c r="C181">
        <f>C180+B181</f>
        <v/>
      </c>
      <c r="D181">
        <f>IF(B181=1,INDEX('Data Entry'!$H$5:$BE$10004,181-4,'Visual SPC'!$B$3),"")</f>
        <v/>
      </c>
      <c r="E181">
        <f>IF(B181=1,D181,E180)</f>
        <v/>
      </c>
      <c r="F181">
        <f>IF(AND(B181=1,C181&gt;1,E180&lt;&gt;""),ABS(D181-E180),"")</f>
        <v/>
      </c>
    </row>
    <row r="182">
      <c r="A182" t="n">
        <v>182</v>
      </c>
      <c r="B182">
        <f>IF(INDEX('Data Entry'!$H$5:$BE$10004,182-4,'Visual SPC'!$B$3)="",0,IF(AND(OR('Visual SPC'!$C$4="",'Data Entry'!$C182&gt;='Visual SPC'!$C$4),OR('Visual SPC'!$E$4="",'Data Entry'!$C182&lt;='Visual SPC'!$E$4),OR('Visual SPC'!$G$4="",'Data Entry'!$D182='Visual SPC'!$G$4),OR('Visual SPC'!$I$4="",'Data Entry'!$E182='Visual SPC'!$I$4),OR('Visual SPC'!$K$4="",'Data Entry'!$F182='Visual SPC'!$K$4)),1,0))</f>
        <v/>
      </c>
      <c r="C182">
        <f>C181+B182</f>
        <v/>
      </c>
      <c r="D182">
        <f>IF(B182=1,INDEX('Data Entry'!$H$5:$BE$10004,182-4,'Visual SPC'!$B$3),"")</f>
        <v/>
      </c>
      <c r="E182">
        <f>IF(B182=1,D182,E181)</f>
        <v/>
      </c>
      <c r="F182">
        <f>IF(AND(B182=1,C182&gt;1,E181&lt;&gt;""),ABS(D182-E181),"")</f>
        <v/>
      </c>
    </row>
    <row r="183">
      <c r="A183" t="n">
        <v>183</v>
      </c>
      <c r="B183">
        <f>IF(INDEX('Data Entry'!$H$5:$BE$10004,183-4,'Visual SPC'!$B$3)="",0,IF(AND(OR('Visual SPC'!$C$4="",'Data Entry'!$C183&gt;='Visual SPC'!$C$4),OR('Visual SPC'!$E$4="",'Data Entry'!$C183&lt;='Visual SPC'!$E$4),OR('Visual SPC'!$G$4="",'Data Entry'!$D183='Visual SPC'!$G$4),OR('Visual SPC'!$I$4="",'Data Entry'!$E183='Visual SPC'!$I$4),OR('Visual SPC'!$K$4="",'Data Entry'!$F183='Visual SPC'!$K$4)),1,0))</f>
        <v/>
      </c>
      <c r="C183">
        <f>C182+B183</f>
        <v/>
      </c>
      <c r="D183">
        <f>IF(B183=1,INDEX('Data Entry'!$H$5:$BE$10004,183-4,'Visual SPC'!$B$3),"")</f>
        <v/>
      </c>
      <c r="E183">
        <f>IF(B183=1,D183,E182)</f>
        <v/>
      </c>
      <c r="F183">
        <f>IF(AND(B183=1,C183&gt;1,E182&lt;&gt;""),ABS(D183-E182),"")</f>
        <v/>
      </c>
    </row>
    <row r="184">
      <c r="A184" t="n">
        <v>184</v>
      </c>
      <c r="B184">
        <f>IF(INDEX('Data Entry'!$H$5:$BE$10004,184-4,'Visual SPC'!$B$3)="",0,IF(AND(OR('Visual SPC'!$C$4="",'Data Entry'!$C184&gt;='Visual SPC'!$C$4),OR('Visual SPC'!$E$4="",'Data Entry'!$C184&lt;='Visual SPC'!$E$4),OR('Visual SPC'!$G$4="",'Data Entry'!$D184='Visual SPC'!$G$4),OR('Visual SPC'!$I$4="",'Data Entry'!$E184='Visual SPC'!$I$4),OR('Visual SPC'!$K$4="",'Data Entry'!$F184='Visual SPC'!$K$4)),1,0))</f>
        <v/>
      </c>
      <c r="C184">
        <f>C183+B184</f>
        <v/>
      </c>
      <c r="D184">
        <f>IF(B184=1,INDEX('Data Entry'!$H$5:$BE$10004,184-4,'Visual SPC'!$B$3),"")</f>
        <v/>
      </c>
      <c r="E184">
        <f>IF(B184=1,D184,E183)</f>
        <v/>
      </c>
      <c r="F184">
        <f>IF(AND(B184=1,C184&gt;1,E183&lt;&gt;""),ABS(D184-E183),"")</f>
        <v/>
      </c>
    </row>
    <row r="185">
      <c r="A185" t="n">
        <v>185</v>
      </c>
      <c r="B185">
        <f>IF(INDEX('Data Entry'!$H$5:$BE$10004,185-4,'Visual SPC'!$B$3)="",0,IF(AND(OR('Visual SPC'!$C$4="",'Data Entry'!$C185&gt;='Visual SPC'!$C$4),OR('Visual SPC'!$E$4="",'Data Entry'!$C185&lt;='Visual SPC'!$E$4),OR('Visual SPC'!$G$4="",'Data Entry'!$D185='Visual SPC'!$G$4),OR('Visual SPC'!$I$4="",'Data Entry'!$E185='Visual SPC'!$I$4),OR('Visual SPC'!$K$4="",'Data Entry'!$F185='Visual SPC'!$K$4)),1,0))</f>
        <v/>
      </c>
      <c r="C185">
        <f>C184+B185</f>
        <v/>
      </c>
      <c r="D185">
        <f>IF(B185=1,INDEX('Data Entry'!$H$5:$BE$10004,185-4,'Visual SPC'!$B$3),"")</f>
        <v/>
      </c>
      <c r="E185">
        <f>IF(B185=1,D185,E184)</f>
        <v/>
      </c>
      <c r="F185">
        <f>IF(AND(B185=1,C185&gt;1,E184&lt;&gt;""),ABS(D185-E184),"")</f>
        <v/>
      </c>
    </row>
    <row r="186">
      <c r="A186" t="n">
        <v>186</v>
      </c>
      <c r="B186">
        <f>IF(INDEX('Data Entry'!$H$5:$BE$10004,186-4,'Visual SPC'!$B$3)="",0,IF(AND(OR('Visual SPC'!$C$4="",'Data Entry'!$C186&gt;='Visual SPC'!$C$4),OR('Visual SPC'!$E$4="",'Data Entry'!$C186&lt;='Visual SPC'!$E$4),OR('Visual SPC'!$G$4="",'Data Entry'!$D186='Visual SPC'!$G$4),OR('Visual SPC'!$I$4="",'Data Entry'!$E186='Visual SPC'!$I$4),OR('Visual SPC'!$K$4="",'Data Entry'!$F186='Visual SPC'!$K$4)),1,0))</f>
        <v/>
      </c>
      <c r="C186">
        <f>C185+B186</f>
        <v/>
      </c>
      <c r="D186">
        <f>IF(B186=1,INDEX('Data Entry'!$H$5:$BE$10004,186-4,'Visual SPC'!$B$3),"")</f>
        <v/>
      </c>
      <c r="E186">
        <f>IF(B186=1,D186,E185)</f>
        <v/>
      </c>
      <c r="F186">
        <f>IF(AND(B186=1,C186&gt;1,E185&lt;&gt;""),ABS(D186-E185),"")</f>
        <v/>
      </c>
    </row>
    <row r="187">
      <c r="A187" t="n">
        <v>187</v>
      </c>
      <c r="B187">
        <f>IF(INDEX('Data Entry'!$H$5:$BE$10004,187-4,'Visual SPC'!$B$3)="",0,IF(AND(OR('Visual SPC'!$C$4="",'Data Entry'!$C187&gt;='Visual SPC'!$C$4),OR('Visual SPC'!$E$4="",'Data Entry'!$C187&lt;='Visual SPC'!$E$4),OR('Visual SPC'!$G$4="",'Data Entry'!$D187='Visual SPC'!$G$4),OR('Visual SPC'!$I$4="",'Data Entry'!$E187='Visual SPC'!$I$4),OR('Visual SPC'!$K$4="",'Data Entry'!$F187='Visual SPC'!$K$4)),1,0))</f>
        <v/>
      </c>
      <c r="C187">
        <f>C186+B187</f>
        <v/>
      </c>
      <c r="D187">
        <f>IF(B187=1,INDEX('Data Entry'!$H$5:$BE$10004,187-4,'Visual SPC'!$B$3),"")</f>
        <v/>
      </c>
      <c r="E187">
        <f>IF(B187=1,D187,E186)</f>
        <v/>
      </c>
      <c r="F187">
        <f>IF(AND(B187=1,C187&gt;1,E186&lt;&gt;""),ABS(D187-E186),"")</f>
        <v/>
      </c>
    </row>
    <row r="188">
      <c r="A188" t="n">
        <v>188</v>
      </c>
      <c r="B188">
        <f>IF(INDEX('Data Entry'!$H$5:$BE$10004,188-4,'Visual SPC'!$B$3)="",0,IF(AND(OR('Visual SPC'!$C$4="",'Data Entry'!$C188&gt;='Visual SPC'!$C$4),OR('Visual SPC'!$E$4="",'Data Entry'!$C188&lt;='Visual SPC'!$E$4),OR('Visual SPC'!$G$4="",'Data Entry'!$D188='Visual SPC'!$G$4),OR('Visual SPC'!$I$4="",'Data Entry'!$E188='Visual SPC'!$I$4),OR('Visual SPC'!$K$4="",'Data Entry'!$F188='Visual SPC'!$K$4)),1,0))</f>
        <v/>
      </c>
      <c r="C188">
        <f>C187+B188</f>
        <v/>
      </c>
      <c r="D188">
        <f>IF(B188=1,INDEX('Data Entry'!$H$5:$BE$10004,188-4,'Visual SPC'!$B$3),"")</f>
        <v/>
      </c>
      <c r="E188">
        <f>IF(B188=1,D188,E187)</f>
        <v/>
      </c>
      <c r="F188">
        <f>IF(AND(B188=1,C188&gt;1,E187&lt;&gt;""),ABS(D188-E187),"")</f>
        <v/>
      </c>
    </row>
    <row r="189">
      <c r="A189" t="n">
        <v>189</v>
      </c>
      <c r="B189">
        <f>IF(INDEX('Data Entry'!$H$5:$BE$10004,189-4,'Visual SPC'!$B$3)="",0,IF(AND(OR('Visual SPC'!$C$4="",'Data Entry'!$C189&gt;='Visual SPC'!$C$4),OR('Visual SPC'!$E$4="",'Data Entry'!$C189&lt;='Visual SPC'!$E$4),OR('Visual SPC'!$G$4="",'Data Entry'!$D189='Visual SPC'!$G$4),OR('Visual SPC'!$I$4="",'Data Entry'!$E189='Visual SPC'!$I$4),OR('Visual SPC'!$K$4="",'Data Entry'!$F189='Visual SPC'!$K$4)),1,0))</f>
        <v/>
      </c>
      <c r="C189">
        <f>C188+B189</f>
        <v/>
      </c>
      <c r="D189">
        <f>IF(B189=1,INDEX('Data Entry'!$H$5:$BE$10004,189-4,'Visual SPC'!$B$3),"")</f>
        <v/>
      </c>
      <c r="E189">
        <f>IF(B189=1,D189,E188)</f>
        <v/>
      </c>
      <c r="F189">
        <f>IF(AND(B189=1,C189&gt;1,E188&lt;&gt;""),ABS(D189-E188),"")</f>
        <v/>
      </c>
    </row>
    <row r="190">
      <c r="A190" t="n">
        <v>190</v>
      </c>
      <c r="B190">
        <f>IF(INDEX('Data Entry'!$H$5:$BE$10004,190-4,'Visual SPC'!$B$3)="",0,IF(AND(OR('Visual SPC'!$C$4="",'Data Entry'!$C190&gt;='Visual SPC'!$C$4),OR('Visual SPC'!$E$4="",'Data Entry'!$C190&lt;='Visual SPC'!$E$4),OR('Visual SPC'!$G$4="",'Data Entry'!$D190='Visual SPC'!$G$4),OR('Visual SPC'!$I$4="",'Data Entry'!$E190='Visual SPC'!$I$4),OR('Visual SPC'!$K$4="",'Data Entry'!$F190='Visual SPC'!$K$4)),1,0))</f>
        <v/>
      </c>
      <c r="C190">
        <f>C189+B190</f>
        <v/>
      </c>
      <c r="D190">
        <f>IF(B190=1,INDEX('Data Entry'!$H$5:$BE$10004,190-4,'Visual SPC'!$B$3),"")</f>
        <v/>
      </c>
      <c r="E190">
        <f>IF(B190=1,D190,E189)</f>
        <v/>
      </c>
      <c r="F190">
        <f>IF(AND(B190=1,C190&gt;1,E189&lt;&gt;""),ABS(D190-E189),"")</f>
        <v/>
      </c>
    </row>
    <row r="191">
      <c r="A191" t="n">
        <v>191</v>
      </c>
      <c r="B191">
        <f>IF(INDEX('Data Entry'!$H$5:$BE$10004,191-4,'Visual SPC'!$B$3)="",0,IF(AND(OR('Visual SPC'!$C$4="",'Data Entry'!$C191&gt;='Visual SPC'!$C$4),OR('Visual SPC'!$E$4="",'Data Entry'!$C191&lt;='Visual SPC'!$E$4),OR('Visual SPC'!$G$4="",'Data Entry'!$D191='Visual SPC'!$G$4),OR('Visual SPC'!$I$4="",'Data Entry'!$E191='Visual SPC'!$I$4),OR('Visual SPC'!$K$4="",'Data Entry'!$F191='Visual SPC'!$K$4)),1,0))</f>
        <v/>
      </c>
      <c r="C191">
        <f>C190+B191</f>
        <v/>
      </c>
      <c r="D191">
        <f>IF(B191=1,INDEX('Data Entry'!$H$5:$BE$10004,191-4,'Visual SPC'!$B$3),"")</f>
        <v/>
      </c>
      <c r="E191">
        <f>IF(B191=1,D191,E190)</f>
        <v/>
      </c>
      <c r="F191">
        <f>IF(AND(B191=1,C191&gt;1,E190&lt;&gt;""),ABS(D191-E190),"")</f>
        <v/>
      </c>
    </row>
    <row r="192">
      <c r="A192" t="n">
        <v>192</v>
      </c>
      <c r="B192">
        <f>IF(INDEX('Data Entry'!$H$5:$BE$10004,192-4,'Visual SPC'!$B$3)="",0,IF(AND(OR('Visual SPC'!$C$4="",'Data Entry'!$C192&gt;='Visual SPC'!$C$4),OR('Visual SPC'!$E$4="",'Data Entry'!$C192&lt;='Visual SPC'!$E$4),OR('Visual SPC'!$G$4="",'Data Entry'!$D192='Visual SPC'!$G$4),OR('Visual SPC'!$I$4="",'Data Entry'!$E192='Visual SPC'!$I$4),OR('Visual SPC'!$K$4="",'Data Entry'!$F192='Visual SPC'!$K$4)),1,0))</f>
        <v/>
      </c>
      <c r="C192">
        <f>C191+B192</f>
        <v/>
      </c>
      <c r="D192">
        <f>IF(B192=1,INDEX('Data Entry'!$H$5:$BE$10004,192-4,'Visual SPC'!$B$3),"")</f>
        <v/>
      </c>
      <c r="E192">
        <f>IF(B192=1,D192,E191)</f>
        <v/>
      </c>
      <c r="F192">
        <f>IF(AND(B192=1,C192&gt;1,E191&lt;&gt;""),ABS(D192-E191),"")</f>
        <v/>
      </c>
    </row>
    <row r="193">
      <c r="A193" t="n">
        <v>193</v>
      </c>
      <c r="B193">
        <f>IF(INDEX('Data Entry'!$H$5:$BE$10004,193-4,'Visual SPC'!$B$3)="",0,IF(AND(OR('Visual SPC'!$C$4="",'Data Entry'!$C193&gt;='Visual SPC'!$C$4),OR('Visual SPC'!$E$4="",'Data Entry'!$C193&lt;='Visual SPC'!$E$4),OR('Visual SPC'!$G$4="",'Data Entry'!$D193='Visual SPC'!$G$4),OR('Visual SPC'!$I$4="",'Data Entry'!$E193='Visual SPC'!$I$4),OR('Visual SPC'!$K$4="",'Data Entry'!$F193='Visual SPC'!$K$4)),1,0))</f>
        <v/>
      </c>
      <c r="C193">
        <f>C192+B193</f>
        <v/>
      </c>
      <c r="D193">
        <f>IF(B193=1,INDEX('Data Entry'!$H$5:$BE$10004,193-4,'Visual SPC'!$B$3),"")</f>
        <v/>
      </c>
      <c r="E193">
        <f>IF(B193=1,D193,E192)</f>
        <v/>
      </c>
      <c r="F193">
        <f>IF(AND(B193=1,C193&gt;1,E192&lt;&gt;""),ABS(D193-E192),"")</f>
        <v/>
      </c>
    </row>
    <row r="194">
      <c r="A194" t="n">
        <v>194</v>
      </c>
      <c r="B194">
        <f>IF(INDEX('Data Entry'!$H$5:$BE$10004,194-4,'Visual SPC'!$B$3)="",0,IF(AND(OR('Visual SPC'!$C$4="",'Data Entry'!$C194&gt;='Visual SPC'!$C$4),OR('Visual SPC'!$E$4="",'Data Entry'!$C194&lt;='Visual SPC'!$E$4),OR('Visual SPC'!$G$4="",'Data Entry'!$D194='Visual SPC'!$G$4),OR('Visual SPC'!$I$4="",'Data Entry'!$E194='Visual SPC'!$I$4),OR('Visual SPC'!$K$4="",'Data Entry'!$F194='Visual SPC'!$K$4)),1,0))</f>
        <v/>
      </c>
      <c r="C194">
        <f>C193+B194</f>
        <v/>
      </c>
      <c r="D194">
        <f>IF(B194=1,INDEX('Data Entry'!$H$5:$BE$10004,194-4,'Visual SPC'!$B$3),"")</f>
        <v/>
      </c>
      <c r="E194">
        <f>IF(B194=1,D194,E193)</f>
        <v/>
      </c>
      <c r="F194">
        <f>IF(AND(B194=1,C194&gt;1,E193&lt;&gt;""),ABS(D194-E193),"")</f>
        <v/>
      </c>
    </row>
    <row r="195">
      <c r="A195" t="n">
        <v>195</v>
      </c>
      <c r="B195">
        <f>IF(INDEX('Data Entry'!$H$5:$BE$10004,195-4,'Visual SPC'!$B$3)="",0,IF(AND(OR('Visual SPC'!$C$4="",'Data Entry'!$C195&gt;='Visual SPC'!$C$4),OR('Visual SPC'!$E$4="",'Data Entry'!$C195&lt;='Visual SPC'!$E$4),OR('Visual SPC'!$G$4="",'Data Entry'!$D195='Visual SPC'!$G$4),OR('Visual SPC'!$I$4="",'Data Entry'!$E195='Visual SPC'!$I$4),OR('Visual SPC'!$K$4="",'Data Entry'!$F195='Visual SPC'!$K$4)),1,0))</f>
        <v/>
      </c>
      <c r="C195">
        <f>C194+B195</f>
        <v/>
      </c>
      <c r="D195">
        <f>IF(B195=1,INDEX('Data Entry'!$H$5:$BE$10004,195-4,'Visual SPC'!$B$3),"")</f>
        <v/>
      </c>
      <c r="E195">
        <f>IF(B195=1,D195,E194)</f>
        <v/>
      </c>
      <c r="F195">
        <f>IF(AND(B195=1,C195&gt;1,E194&lt;&gt;""),ABS(D195-E194),"")</f>
        <v/>
      </c>
    </row>
    <row r="196">
      <c r="A196" t="n">
        <v>196</v>
      </c>
      <c r="B196">
        <f>IF(INDEX('Data Entry'!$H$5:$BE$10004,196-4,'Visual SPC'!$B$3)="",0,IF(AND(OR('Visual SPC'!$C$4="",'Data Entry'!$C196&gt;='Visual SPC'!$C$4),OR('Visual SPC'!$E$4="",'Data Entry'!$C196&lt;='Visual SPC'!$E$4),OR('Visual SPC'!$G$4="",'Data Entry'!$D196='Visual SPC'!$G$4),OR('Visual SPC'!$I$4="",'Data Entry'!$E196='Visual SPC'!$I$4),OR('Visual SPC'!$K$4="",'Data Entry'!$F196='Visual SPC'!$K$4)),1,0))</f>
        <v/>
      </c>
      <c r="C196">
        <f>C195+B196</f>
        <v/>
      </c>
      <c r="D196">
        <f>IF(B196=1,INDEX('Data Entry'!$H$5:$BE$10004,196-4,'Visual SPC'!$B$3),"")</f>
        <v/>
      </c>
      <c r="E196">
        <f>IF(B196=1,D196,E195)</f>
        <v/>
      </c>
      <c r="F196">
        <f>IF(AND(B196=1,C196&gt;1,E195&lt;&gt;""),ABS(D196-E195),"")</f>
        <v/>
      </c>
    </row>
    <row r="197">
      <c r="A197" t="n">
        <v>197</v>
      </c>
      <c r="B197">
        <f>IF(INDEX('Data Entry'!$H$5:$BE$10004,197-4,'Visual SPC'!$B$3)="",0,IF(AND(OR('Visual SPC'!$C$4="",'Data Entry'!$C197&gt;='Visual SPC'!$C$4),OR('Visual SPC'!$E$4="",'Data Entry'!$C197&lt;='Visual SPC'!$E$4),OR('Visual SPC'!$G$4="",'Data Entry'!$D197='Visual SPC'!$G$4),OR('Visual SPC'!$I$4="",'Data Entry'!$E197='Visual SPC'!$I$4),OR('Visual SPC'!$K$4="",'Data Entry'!$F197='Visual SPC'!$K$4)),1,0))</f>
        <v/>
      </c>
      <c r="C197">
        <f>C196+B197</f>
        <v/>
      </c>
      <c r="D197">
        <f>IF(B197=1,INDEX('Data Entry'!$H$5:$BE$10004,197-4,'Visual SPC'!$B$3),"")</f>
        <v/>
      </c>
      <c r="E197">
        <f>IF(B197=1,D197,E196)</f>
        <v/>
      </c>
      <c r="F197">
        <f>IF(AND(B197=1,C197&gt;1,E196&lt;&gt;""),ABS(D197-E196),"")</f>
        <v/>
      </c>
    </row>
    <row r="198">
      <c r="A198" t="n">
        <v>198</v>
      </c>
      <c r="B198">
        <f>IF(INDEX('Data Entry'!$H$5:$BE$10004,198-4,'Visual SPC'!$B$3)="",0,IF(AND(OR('Visual SPC'!$C$4="",'Data Entry'!$C198&gt;='Visual SPC'!$C$4),OR('Visual SPC'!$E$4="",'Data Entry'!$C198&lt;='Visual SPC'!$E$4),OR('Visual SPC'!$G$4="",'Data Entry'!$D198='Visual SPC'!$G$4),OR('Visual SPC'!$I$4="",'Data Entry'!$E198='Visual SPC'!$I$4),OR('Visual SPC'!$K$4="",'Data Entry'!$F198='Visual SPC'!$K$4)),1,0))</f>
        <v/>
      </c>
      <c r="C198">
        <f>C197+B198</f>
        <v/>
      </c>
      <c r="D198">
        <f>IF(B198=1,INDEX('Data Entry'!$H$5:$BE$10004,198-4,'Visual SPC'!$B$3),"")</f>
        <v/>
      </c>
      <c r="E198">
        <f>IF(B198=1,D198,E197)</f>
        <v/>
      </c>
      <c r="F198">
        <f>IF(AND(B198=1,C198&gt;1,E197&lt;&gt;""),ABS(D198-E197),"")</f>
        <v/>
      </c>
    </row>
    <row r="199">
      <c r="A199" t="n">
        <v>199</v>
      </c>
      <c r="B199">
        <f>IF(INDEX('Data Entry'!$H$5:$BE$10004,199-4,'Visual SPC'!$B$3)="",0,IF(AND(OR('Visual SPC'!$C$4="",'Data Entry'!$C199&gt;='Visual SPC'!$C$4),OR('Visual SPC'!$E$4="",'Data Entry'!$C199&lt;='Visual SPC'!$E$4),OR('Visual SPC'!$G$4="",'Data Entry'!$D199='Visual SPC'!$G$4),OR('Visual SPC'!$I$4="",'Data Entry'!$E199='Visual SPC'!$I$4),OR('Visual SPC'!$K$4="",'Data Entry'!$F199='Visual SPC'!$K$4)),1,0))</f>
        <v/>
      </c>
      <c r="C199">
        <f>C198+B199</f>
        <v/>
      </c>
      <c r="D199">
        <f>IF(B199=1,INDEX('Data Entry'!$H$5:$BE$10004,199-4,'Visual SPC'!$B$3),"")</f>
        <v/>
      </c>
      <c r="E199">
        <f>IF(B199=1,D199,E198)</f>
        <v/>
      </c>
      <c r="F199">
        <f>IF(AND(B199=1,C199&gt;1,E198&lt;&gt;""),ABS(D199-E198),"")</f>
        <v/>
      </c>
    </row>
    <row r="200">
      <c r="A200" t="n">
        <v>200</v>
      </c>
      <c r="B200">
        <f>IF(INDEX('Data Entry'!$H$5:$BE$10004,200-4,'Visual SPC'!$B$3)="",0,IF(AND(OR('Visual SPC'!$C$4="",'Data Entry'!$C200&gt;='Visual SPC'!$C$4),OR('Visual SPC'!$E$4="",'Data Entry'!$C200&lt;='Visual SPC'!$E$4),OR('Visual SPC'!$G$4="",'Data Entry'!$D200='Visual SPC'!$G$4),OR('Visual SPC'!$I$4="",'Data Entry'!$E200='Visual SPC'!$I$4),OR('Visual SPC'!$K$4="",'Data Entry'!$F200='Visual SPC'!$K$4)),1,0))</f>
        <v/>
      </c>
      <c r="C200">
        <f>C199+B200</f>
        <v/>
      </c>
      <c r="D200">
        <f>IF(B200=1,INDEX('Data Entry'!$H$5:$BE$10004,200-4,'Visual SPC'!$B$3),"")</f>
        <v/>
      </c>
      <c r="E200">
        <f>IF(B200=1,D200,E199)</f>
        <v/>
      </c>
      <c r="F200">
        <f>IF(AND(B200=1,C200&gt;1,E199&lt;&gt;""),ABS(D200-E199),"")</f>
        <v/>
      </c>
    </row>
    <row r="201">
      <c r="A201" t="n">
        <v>201</v>
      </c>
      <c r="B201">
        <f>IF(INDEX('Data Entry'!$H$5:$BE$10004,201-4,'Visual SPC'!$B$3)="",0,IF(AND(OR('Visual SPC'!$C$4="",'Data Entry'!$C201&gt;='Visual SPC'!$C$4),OR('Visual SPC'!$E$4="",'Data Entry'!$C201&lt;='Visual SPC'!$E$4),OR('Visual SPC'!$G$4="",'Data Entry'!$D201='Visual SPC'!$G$4),OR('Visual SPC'!$I$4="",'Data Entry'!$E201='Visual SPC'!$I$4),OR('Visual SPC'!$K$4="",'Data Entry'!$F201='Visual SPC'!$K$4)),1,0))</f>
        <v/>
      </c>
      <c r="C201">
        <f>C200+B201</f>
        <v/>
      </c>
      <c r="D201">
        <f>IF(B201=1,INDEX('Data Entry'!$H$5:$BE$10004,201-4,'Visual SPC'!$B$3),"")</f>
        <v/>
      </c>
      <c r="E201">
        <f>IF(B201=1,D201,E200)</f>
        <v/>
      </c>
      <c r="F201">
        <f>IF(AND(B201=1,C201&gt;1,E200&lt;&gt;""),ABS(D201-E200),"")</f>
        <v/>
      </c>
    </row>
    <row r="202">
      <c r="A202" t="n">
        <v>202</v>
      </c>
      <c r="B202">
        <f>IF(INDEX('Data Entry'!$H$5:$BE$10004,202-4,'Visual SPC'!$B$3)="",0,IF(AND(OR('Visual SPC'!$C$4="",'Data Entry'!$C202&gt;='Visual SPC'!$C$4),OR('Visual SPC'!$E$4="",'Data Entry'!$C202&lt;='Visual SPC'!$E$4),OR('Visual SPC'!$G$4="",'Data Entry'!$D202='Visual SPC'!$G$4),OR('Visual SPC'!$I$4="",'Data Entry'!$E202='Visual SPC'!$I$4),OR('Visual SPC'!$K$4="",'Data Entry'!$F202='Visual SPC'!$K$4)),1,0))</f>
        <v/>
      </c>
      <c r="C202">
        <f>C201+B202</f>
        <v/>
      </c>
      <c r="D202">
        <f>IF(B202=1,INDEX('Data Entry'!$H$5:$BE$10004,202-4,'Visual SPC'!$B$3),"")</f>
        <v/>
      </c>
      <c r="E202">
        <f>IF(B202=1,D202,E201)</f>
        <v/>
      </c>
      <c r="F202">
        <f>IF(AND(B202=1,C202&gt;1,E201&lt;&gt;""),ABS(D202-E201),"")</f>
        <v/>
      </c>
    </row>
    <row r="203">
      <c r="A203" t="n">
        <v>203</v>
      </c>
      <c r="B203">
        <f>IF(INDEX('Data Entry'!$H$5:$BE$10004,203-4,'Visual SPC'!$B$3)="",0,IF(AND(OR('Visual SPC'!$C$4="",'Data Entry'!$C203&gt;='Visual SPC'!$C$4),OR('Visual SPC'!$E$4="",'Data Entry'!$C203&lt;='Visual SPC'!$E$4),OR('Visual SPC'!$G$4="",'Data Entry'!$D203='Visual SPC'!$G$4),OR('Visual SPC'!$I$4="",'Data Entry'!$E203='Visual SPC'!$I$4),OR('Visual SPC'!$K$4="",'Data Entry'!$F203='Visual SPC'!$K$4)),1,0))</f>
        <v/>
      </c>
      <c r="C203">
        <f>C202+B203</f>
        <v/>
      </c>
      <c r="D203">
        <f>IF(B203=1,INDEX('Data Entry'!$H$5:$BE$10004,203-4,'Visual SPC'!$B$3),"")</f>
        <v/>
      </c>
      <c r="E203">
        <f>IF(B203=1,D203,E202)</f>
        <v/>
      </c>
      <c r="F203">
        <f>IF(AND(B203=1,C203&gt;1,E202&lt;&gt;""),ABS(D203-E202),"")</f>
        <v/>
      </c>
    </row>
    <row r="204">
      <c r="A204" t="n">
        <v>204</v>
      </c>
      <c r="B204">
        <f>IF(INDEX('Data Entry'!$H$5:$BE$10004,204-4,'Visual SPC'!$B$3)="",0,IF(AND(OR('Visual SPC'!$C$4="",'Data Entry'!$C204&gt;='Visual SPC'!$C$4),OR('Visual SPC'!$E$4="",'Data Entry'!$C204&lt;='Visual SPC'!$E$4),OR('Visual SPC'!$G$4="",'Data Entry'!$D204='Visual SPC'!$G$4),OR('Visual SPC'!$I$4="",'Data Entry'!$E204='Visual SPC'!$I$4),OR('Visual SPC'!$K$4="",'Data Entry'!$F204='Visual SPC'!$K$4)),1,0))</f>
        <v/>
      </c>
      <c r="C204">
        <f>C203+B204</f>
        <v/>
      </c>
      <c r="D204">
        <f>IF(B204=1,INDEX('Data Entry'!$H$5:$BE$10004,204-4,'Visual SPC'!$B$3),"")</f>
        <v/>
      </c>
      <c r="E204">
        <f>IF(B204=1,D204,E203)</f>
        <v/>
      </c>
      <c r="F204">
        <f>IF(AND(B204=1,C204&gt;1,E203&lt;&gt;""),ABS(D204-E203),"")</f>
        <v/>
      </c>
    </row>
    <row r="205">
      <c r="A205" t="n">
        <v>205</v>
      </c>
      <c r="B205">
        <f>IF(INDEX('Data Entry'!$H$5:$BE$10004,205-4,'Visual SPC'!$B$3)="",0,IF(AND(OR('Visual SPC'!$C$4="",'Data Entry'!$C205&gt;='Visual SPC'!$C$4),OR('Visual SPC'!$E$4="",'Data Entry'!$C205&lt;='Visual SPC'!$E$4),OR('Visual SPC'!$G$4="",'Data Entry'!$D205='Visual SPC'!$G$4),OR('Visual SPC'!$I$4="",'Data Entry'!$E205='Visual SPC'!$I$4),OR('Visual SPC'!$K$4="",'Data Entry'!$F205='Visual SPC'!$K$4)),1,0))</f>
        <v/>
      </c>
      <c r="C205">
        <f>C204+B205</f>
        <v/>
      </c>
      <c r="D205">
        <f>IF(B205=1,INDEX('Data Entry'!$H$5:$BE$10004,205-4,'Visual SPC'!$B$3),"")</f>
        <v/>
      </c>
      <c r="E205">
        <f>IF(B205=1,D205,E204)</f>
        <v/>
      </c>
      <c r="F205">
        <f>IF(AND(B205=1,C205&gt;1,E204&lt;&gt;""),ABS(D205-E204),"")</f>
        <v/>
      </c>
    </row>
    <row r="206">
      <c r="A206" t="n">
        <v>206</v>
      </c>
      <c r="B206">
        <f>IF(INDEX('Data Entry'!$H$5:$BE$10004,206-4,'Visual SPC'!$B$3)="",0,IF(AND(OR('Visual SPC'!$C$4="",'Data Entry'!$C206&gt;='Visual SPC'!$C$4),OR('Visual SPC'!$E$4="",'Data Entry'!$C206&lt;='Visual SPC'!$E$4),OR('Visual SPC'!$G$4="",'Data Entry'!$D206='Visual SPC'!$G$4),OR('Visual SPC'!$I$4="",'Data Entry'!$E206='Visual SPC'!$I$4),OR('Visual SPC'!$K$4="",'Data Entry'!$F206='Visual SPC'!$K$4)),1,0))</f>
        <v/>
      </c>
      <c r="C206">
        <f>C205+B206</f>
        <v/>
      </c>
      <c r="D206">
        <f>IF(B206=1,INDEX('Data Entry'!$H$5:$BE$10004,206-4,'Visual SPC'!$B$3),"")</f>
        <v/>
      </c>
      <c r="E206">
        <f>IF(B206=1,D206,E205)</f>
        <v/>
      </c>
      <c r="F206">
        <f>IF(AND(B206=1,C206&gt;1,E205&lt;&gt;""),ABS(D206-E205),"")</f>
        <v/>
      </c>
    </row>
    <row r="207">
      <c r="A207" t="n">
        <v>207</v>
      </c>
      <c r="B207">
        <f>IF(INDEX('Data Entry'!$H$5:$BE$10004,207-4,'Visual SPC'!$B$3)="",0,IF(AND(OR('Visual SPC'!$C$4="",'Data Entry'!$C207&gt;='Visual SPC'!$C$4),OR('Visual SPC'!$E$4="",'Data Entry'!$C207&lt;='Visual SPC'!$E$4),OR('Visual SPC'!$G$4="",'Data Entry'!$D207='Visual SPC'!$G$4),OR('Visual SPC'!$I$4="",'Data Entry'!$E207='Visual SPC'!$I$4),OR('Visual SPC'!$K$4="",'Data Entry'!$F207='Visual SPC'!$K$4)),1,0))</f>
        <v/>
      </c>
      <c r="C207">
        <f>C206+B207</f>
        <v/>
      </c>
      <c r="D207">
        <f>IF(B207=1,INDEX('Data Entry'!$H$5:$BE$10004,207-4,'Visual SPC'!$B$3),"")</f>
        <v/>
      </c>
      <c r="E207">
        <f>IF(B207=1,D207,E206)</f>
        <v/>
      </c>
      <c r="F207">
        <f>IF(AND(B207=1,C207&gt;1,E206&lt;&gt;""),ABS(D207-E206),"")</f>
        <v/>
      </c>
    </row>
    <row r="208">
      <c r="A208" t="n">
        <v>208</v>
      </c>
      <c r="B208">
        <f>IF(INDEX('Data Entry'!$H$5:$BE$10004,208-4,'Visual SPC'!$B$3)="",0,IF(AND(OR('Visual SPC'!$C$4="",'Data Entry'!$C208&gt;='Visual SPC'!$C$4),OR('Visual SPC'!$E$4="",'Data Entry'!$C208&lt;='Visual SPC'!$E$4),OR('Visual SPC'!$G$4="",'Data Entry'!$D208='Visual SPC'!$G$4),OR('Visual SPC'!$I$4="",'Data Entry'!$E208='Visual SPC'!$I$4),OR('Visual SPC'!$K$4="",'Data Entry'!$F208='Visual SPC'!$K$4)),1,0))</f>
        <v/>
      </c>
      <c r="C208">
        <f>C207+B208</f>
        <v/>
      </c>
      <c r="D208">
        <f>IF(B208=1,INDEX('Data Entry'!$H$5:$BE$10004,208-4,'Visual SPC'!$B$3),"")</f>
        <v/>
      </c>
      <c r="E208">
        <f>IF(B208=1,D208,E207)</f>
        <v/>
      </c>
      <c r="F208">
        <f>IF(AND(B208=1,C208&gt;1,E207&lt;&gt;""),ABS(D208-E207),"")</f>
        <v/>
      </c>
    </row>
    <row r="209">
      <c r="A209" t="n">
        <v>209</v>
      </c>
      <c r="B209">
        <f>IF(INDEX('Data Entry'!$H$5:$BE$10004,209-4,'Visual SPC'!$B$3)="",0,IF(AND(OR('Visual SPC'!$C$4="",'Data Entry'!$C209&gt;='Visual SPC'!$C$4),OR('Visual SPC'!$E$4="",'Data Entry'!$C209&lt;='Visual SPC'!$E$4),OR('Visual SPC'!$G$4="",'Data Entry'!$D209='Visual SPC'!$G$4),OR('Visual SPC'!$I$4="",'Data Entry'!$E209='Visual SPC'!$I$4),OR('Visual SPC'!$K$4="",'Data Entry'!$F209='Visual SPC'!$K$4)),1,0))</f>
        <v/>
      </c>
      <c r="C209">
        <f>C208+B209</f>
        <v/>
      </c>
      <c r="D209">
        <f>IF(B209=1,INDEX('Data Entry'!$H$5:$BE$10004,209-4,'Visual SPC'!$B$3),"")</f>
        <v/>
      </c>
      <c r="E209">
        <f>IF(B209=1,D209,E208)</f>
        <v/>
      </c>
      <c r="F209">
        <f>IF(AND(B209=1,C209&gt;1,E208&lt;&gt;""),ABS(D209-E208),"")</f>
        <v/>
      </c>
    </row>
    <row r="210">
      <c r="A210" t="n">
        <v>210</v>
      </c>
      <c r="B210">
        <f>IF(INDEX('Data Entry'!$H$5:$BE$10004,210-4,'Visual SPC'!$B$3)="",0,IF(AND(OR('Visual SPC'!$C$4="",'Data Entry'!$C210&gt;='Visual SPC'!$C$4),OR('Visual SPC'!$E$4="",'Data Entry'!$C210&lt;='Visual SPC'!$E$4),OR('Visual SPC'!$G$4="",'Data Entry'!$D210='Visual SPC'!$G$4),OR('Visual SPC'!$I$4="",'Data Entry'!$E210='Visual SPC'!$I$4),OR('Visual SPC'!$K$4="",'Data Entry'!$F210='Visual SPC'!$K$4)),1,0))</f>
        <v/>
      </c>
      <c r="C210">
        <f>C209+B210</f>
        <v/>
      </c>
      <c r="D210">
        <f>IF(B210=1,INDEX('Data Entry'!$H$5:$BE$10004,210-4,'Visual SPC'!$B$3),"")</f>
        <v/>
      </c>
      <c r="E210">
        <f>IF(B210=1,D210,E209)</f>
        <v/>
      </c>
      <c r="F210">
        <f>IF(AND(B210=1,C210&gt;1,E209&lt;&gt;""),ABS(D210-E209),"")</f>
        <v/>
      </c>
    </row>
    <row r="211">
      <c r="A211" t="n">
        <v>211</v>
      </c>
      <c r="B211">
        <f>IF(INDEX('Data Entry'!$H$5:$BE$10004,211-4,'Visual SPC'!$B$3)="",0,IF(AND(OR('Visual SPC'!$C$4="",'Data Entry'!$C211&gt;='Visual SPC'!$C$4),OR('Visual SPC'!$E$4="",'Data Entry'!$C211&lt;='Visual SPC'!$E$4),OR('Visual SPC'!$G$4="",'Data Entry'!$D211='Visual SPC'!$G$4),OR('Visual SPC'!$I$4="",'Data Entry'!$E211='Visual SPC'!$I$4),OR('Visual SPC'!$K$4="",'Data Entry'!$F211='Visual SPC'!$K$4)),1,0))</f>
        <v/>
      </c>
      <c r="C211">
        <f>C210+B211</f>
        <v/>
      </c>
      <c r="D211">
        <f>IF(B211=1,INDEX('Data Entry'!$H$5:$BE$10004,211-4,'Visual SPC'!$B$3),"")</f>
        <v/>
      </c>
      <c r="E211">
        <f>IF(B211=1,D211,E210)</f>
        <v/>
      </c>
      <c r="F211">
        <f>IF(AND(B211=1,C211&gt;1,E210&lt;&gt;""),ABS(D211-E210),"")</f>
        <v/>
      </c>
    </row>
    <row r="212">
      <c r="A212" t="n">
        <v>212</v>
      </c>
      <c r="B212">
        <f>IF(INDEX('Data Entry'!$H$5:$BE$10004,212-4,'Visual SPC'!$B$3)="",0,IF(AND(OR('Visual SPC'!$C$4="",'Data Entry'!$C212&gt;='Visual SPC'!$C$4),OR('Visual SPC'!$E$4="",'Data Entry'!$C212&lt;='Visual SPC'!$E$4),OR('Visual SPC'!$G$4="",'Data Entry'!$D212='Visual SPC'!$G$4),OR('Visual SPC'!$I$4="",'Data Entry'!$E212='Visual SPC'!$I$4),OR('Visual SPC'!$K$4="",'Data Entry'!$F212='Visual SPC'!$K$4)),1,0))</f>
        <v/>
      </c>
      <c r="C212">
        <f>C211+B212</f>
        <v/>
      </c>
      <c r="D212">
        <f>IF(B212=1,INDEX('Data Entry'!$H$5:$BE$10004,212-4,'Visual SPC'!$B$3),"")</f>
        <v/>
      </c>
      <c r="E212">
        <f>IF(B212=1,D212,E211)</f>
        <v/>
      </c>
      <c r="F212">
        <f>IF(AND(B212=1,C212&gt;1,E211&lt;&gt;""),ABS(D212-E211),"")</f>
        <v/>
      </c>
    </row>
    <row r="213">
      <c r="A213" t="n">
        <v>213</v>
      </c>
      <c r="B213">
        <f>IF(INDEX('Data Entry'!$H$5:$BE$10004,213-4,'Visual SPC'!$B$3)="",0,IF(AND(OR('Visual SPC'!$C$4="",'Data Entry'!$C213&gt;='Visual SPC'!$C$4),OR('Visual SPC'!$E$4="",'Data Entry'!$C213&lt;='Visual SPC'!$E$4),OR('Visual SPC'!$G$4="",'Data Entry'!$D213='Visual SPC'!$G$4),OR('Visual SPC'!$I$4="",'Data Entry'!$E213='Visual SPC'!$I$4),OR('Visual SPC'!$K$4="",'Data Entry'!$F213='Visual SPC'!$K$4)),1,0))</f>
        <v/>
      </c>
      <c r="C213">
        <f>C212+B213</f>
        <v/>
      </c>
      <c r="D213">
        <f>IF(B213=1,INDEX('Data Entry'!$H$5:$BE$10004,213-4,'Visual SPC'!$B$3),"")</f>
        <v/>
      </c>
      <c r="E213">
        <f>IF(B213=1,D213,E212)</f>
        <v/>
      </c>
      <c r="F213">
        <f>IF(AND(B213=1,C213&gt;1,E212&lt;&gt;""),ABS(D213-E212),"")</f>
        <v/>
      </c>
    </row>
    <row r="214">
      <c r="A214" t="n">
        <v>214</v>
      </c>
      <c r="B214">
        <f>IF(INDEX('Data Entry'!$H$5:$BE$10004,214-4,'Visual SPC'!$B$3)="",0,IF(AND(OR('Visual SPC'!$C$4="",'Data Entry'!$C214&gt;='Visual SPC'!$C$4),OR('Visual SPC'!$E$4="",'Data Entry'!$C214&lt;='Visual SPC'!$E$4),OR('Visual SPC'!$G$4="",'Data Entry'!$D214='Visual SPC'!$G$4),OR('Visual SPC'!$I$4="",'Data Entry'!$E214='Visual SPC'!$I$4),OR('Visual SPC'!$K$4="",'Data Entry'!$F214='Visual SPC'!$K$4)),1,0))</f>
        <v/>
      </c>
      <c r="C214">
        <f>C213+B214</f>
        <v/>
      </c>
      <c r="D214">
        <f>IF(B214=1,INDEX('Data Entry'!$H$5:$BE$10004,214-4,'Visual SPC'!$B$3),"")</f>
        <v/>
      </c>
      <c r="E214">
        <f>IF(B214=1,D214,E213)</f>
        <v/>
      </c>
      <c r="F214">
        <f>IF(AND(B214=1,C214&gt;1,E213&lt;&gt;""),ABS(D214-E213),"")</f>
        <v/>
      </c>
    </row>
    <row r="215">
      <c r="A215" t="n">
        <v>215</v>
      </c>
      <c r="B215">
        <f>IF(INDEX('Data Entry'!$H$5:$BE$10004,215-4,'Visual SPC'!$B$3)="",0,IF(AND(OR('Visual SPC'!$C$4="",'Data Entry'!$C215&gt;='Visual SPC'!$C$4),OR('Visual SPC'!$E$4="",'Data Entry'!$C215&lt;='Visual SPC'!$E$4),OR('Visual SPC'!$G$4="",'Data Entry'!$D215='Visual SPC'!$G$4),OR('Visual SPC'!$I$4="",'Data Entry'!$E215='Visual SPC'!$I$4),OR('Visual SPC'!$K$4="",'Data Entry'!$F215='Visual SPC'!$K$4)),1,0))</f>
        <v/>
      </c>
      <c r="C215">
        <f>C214+B215</f>
        <v/>
      </c>
      <c r="D215">
        <f>IF(B215=1,INDEX('Data Entry'!$H$5:$BE$10004,215-4,'Visual SPC'!$B$3),"")</f>
        <v/>
      </c>
      <c r="E215">
        <f>IF(B215=1,D215,E214)</f>
        <v/>
      </c>
      <c r="F215">
        <f>IF(AND(B215=1,C215&gt;1,E214&lt;&gt;""),ABS(D215-E214),"")</f>
        <v/>
      </c>
    </row>
    <row r="216">
      <c r="A216" t="n">
        <v>216</v>
      </c>
      <c r="B216">
        <f>IF(INDEX('Data Entry'!$H$5:$BE$10004,216-4,'Visual SPC'!$B$3)="",0,IF(AND(OR('Visual SPC'!$C$4="",'Data Entry'!$C216&gt;='Visual SPC'!$C$4),OR('Visual SPC'!$E$4="",'Data Entry'!$C216&lt;='Visual SPC'!$E$4),OR('Visual SPC'!$G$4="",'Data Entry'!$D216='Visual SPC'!$G$4),OR('Visual SPC'!$I$4="",'Data Entry'!$E216='Visual SPC'!$I$4),OR('Visual SPC'!$K$4="",'Data Entry'!$F216='Visual SPC'!$K$4)),1,0))</f>
        <v/>
      </c>
      <c r="C216">
        <f>C215+B216</f>
        <v/>
      </c>
      <c r="D216">
        <f>IF(B216=1,INDEX('Data Entry'!$H$5:$BE$10004,216-4,'Visual SPC'!$B$3),"")</f>
        <v/>
      </c>
      <c r="E216">
        <f>IF(B216=1,D216,E215)</f>
        <v/>
      </c>
      <c r="F216">
        <f>IF(AND(B216=1,C216&gt;1,E215&lt;&gt;""),ABS(D216-E215),"")</f>
        <v/>
      </c>
    </row>
    <row r="217">
      <c r="A217" t="n">
        <v>217</v>
      </c>
      <c r="B217">
        <f>IF(INDEX('Data Entry'!$H$5:$BE$10004,217-4,'Visual SPC'!$B$3)="",0,IF(AND(OR('Visual SPC'!$C$4="",'Data Entry'!$C217&gt;='Visual SPC'!$C$4),OR('Visual SPC'!$E$4="",'Data Entry'!$C217&lt;='Visual SPC'!$E$4),OR('Visual SPC'!$G$4="",'Data Entry'!$D217='Visual SPC'!$G$4),OR('Visual SPC'!$I$4="",'Data Entry'!$E217='Visual SPC'!$I$4),OR('Visual SPC'!$K$4="",'Data Entry'!$F217='Visual SPC'!$K$4)),1,0))</f>
        <v/>
      </c>
      <c r="C217">
        <f>C216+B217</f>
        <v/>
      </c>
      <c r="D217">
        <f>IF(B217=1,INDEX('Data Entry'!$H$5:$BE$10004,217-4,'Visual SPC'!$B$3),"")</f>
        <v/>
      </c>
      <c r="E217">
        <f>IF(B217=1,D217,E216)</f>
        <v/>
      </c>
      <c r="F217">
        <f>IF(AND(B217=1,C217&gt;1,E216&lt;&gt;""),ABS(D217-E216),"")</f>
        <v/>
      </c>
    </row>
    <row r="218">
      <c r="A218" t="n">
        <v>218</v>
      </c>
      <c r="B218">
        <f>IF(INDEX('Data Entry'!$H$5:$BE$10004,218-4,'Visual SPC'!$B$3)="",0,IF(AND(OR('Visual SPC'!$C$4="",'Data Entry'!$C218&gt;='Visual SPC'!$C$4),OR('Visual SPC'!$E$4="",'Data Entry'!$C218&lt;='Visual SPC'!$E$4),OR('Visual SPC'!$G$4="",'Data Entry'!$D218='Visual SPC'!$G$4),OR('Visual SPC'!$I$4="",'Data Entry'!$E218='Visual SPC'!$I$4),OR('Visual SPC'!$K$4="",'Data Entry'!$F218='Visual SPC'!$K$4)),1,0))</f>
        <v/>
      </c>
      <c r="C218">
        <f>C217+B218</f>
        <v/>
      </c>
      <c r="D218">
        <f>IF(B218=1,INDEX('Data Entry'!$H$5:$BE$10004,218-4,'Visual SPC'!$B$3),"")</f>
        <v/>
      </c>
      <c r="E218">
        <f>IF(B218=1,D218,E217)</f>
        <v/>
      </c>
      <c r="F218">
        <f>IF(AND(B218=1,C218&gt;1,E217&lt;&gt;""),ABS(D218-E217),"")</f>
        <v/>
      </c>
    </row>
    <row r="219">
      <c r="A219" t="n">
        <v>219</v>
      </c>
      <c r="B219">
        <f>IF(INDEX('Data Entry'!$H$5:$BE$10004,219-4,'Visual SPC'!$B$3)="",0,IF(AND(OR('Visual SPC'!$C$4="",'Data Entry'!$C219&gt;='Visual SPC'!$C$4),OR('Visual SPC'!$E$4="",'Data Entry'!$C219&lt;='Visual SPC'!$E$4),OR('Visual SPC'!$G$4="",'Data Entry'!$D219='Visual SPC'!$G$4),OR('Visual SPC'!$I$4="",'Data Entry'!$E219='Visual SPC'!$I$4),OR('Visual SPC'!$K$4="",'Data Entry'!$F219='Visual SPC'!$K$4)),1,0))</f>
        <v/>
      </c>
      <c r="C219">
        <f>C218+B219</f>
        <v/>
      </c>
      <c r="D219">
        <f>IF(B219=1,INDEX('Data Entry'!$H$5:$BE$10004,219-4,'Visual SPC'!$B$3),"")</f>
        <v/>
      </c>
      <c r="E219">
        <f>IF(B219=1,D219,E218)</f>
        <v/>
      </c>
      <c r="F219">
        <f>IF(AND(B219=1,C219&gt;1,E218&lt;&gt;""),ABS(D219-E218),"")</f>
        <v/>
      </c>
    </row>
    <row r="220">
      <c r="A220" t="n">
        <v>220</v>
      </c>
      <c r="B220">
        <f>IF(INDEX('Data Entry'!$H$5:$BE$10004,220-4,'Visual SPC'!$B$3)="",0,IF(AND(OR('Visual SPC'!$C$4="",'Data Entry'!$C220&gt;='Visual SPC'!$C$4),OR('Visual SPC'!$E$4="",'Data Entry'!$C220&lt;='Visual SPC'!$E$4),OR('Visual SPC'!$G$4="",'Data Entry'!$D220='Visual SPC'!$G$4),OR('Visual SPC'!$I$4="",'Data Entry'!$E220='Visual SPC'!$I$4),OR('Visual SPC'!$K$4="",'Data Entry'!$F220='Visual SPC'!$K$4)),1,0))</f>
        <v/>
      </c>
      <c r="C220">
        <f>C219+B220</f>
        <v/>
      </c>
      <c r="D220">
        <f>IF(B220=1,INDEX('Data Entry'!$H$5:$BE$10004,220-4,'Visual SPC'!$B$3),"")</f>
        <v/>
      </c>
      <c r="E220">
        <f>IF(B220=1,D220,E219)</f>
        <v/>
      </c>
      <c r="F220">
        <f>IF(AND(B220=1,C220&gt;1,E219&lt;&gt;""),ABS(D220-E219),"")</f>
        <v/>
      </c>
    </row>
    <row r="221">
      <c r="A221" t="n">
        <v>221</v>
      </c>
      <c r="B221">
        <f>IF(INDEX('Data Entry'!$H$5:$BE$10004,221-4,'Visual SPC'!$B$3)="",0,IF(AND(OR('Visual SPC'!$C$4="",'Data Entry'!$C221&gt;='Visual SPC'!$C$4),OR('Visual SPC'!$E$4="",'Data Entry'!$C221&lt;='Visual SPC'!$E$4),OR('Visual SPC'!$G$4="",'Data Entry'!$D221='Visual SPC'!$G$4),OR('Visual SPC'!$I$4="",'Data Entry'!$E221='Visual SPC'!$I$4),OR('Visual SPC'!$K$4="",'Data Entry'!$F221='Visual SPC'!$K$4)),1,0))</f>
        <v/>
      </c>
      <c r="C221">
        <f>C220+B221</f>
        <v/>
      </c>
      <c r="D221">
        <f>IF(B221=1,INDEX('Data Entry'!$H$5:$BE$10004,221-4,'Visual SPC'!$B$3),"")</f>
        <v/>
      </c>
      <c r="E221">
        <f>IF(B221=1,D221,E220)</f>
        <v/>
      </c>
      <c r="F221">
        <f>IF(AND(B221=1,C221&gt;1,E220&lt;&gt;""),ABS(D221-E220),"")</f>
        <v/>
      </c>
    </row>
    <row r="222">
      <c r="A222" t="n">
        <v>222</v>
      </c>
      <c r="B222">
        <f>IF(INDEX('Data Entry'!$H$5:$BE$10004,222-4,'Visual SPC'!$B$3)="",0,IF(AND(OR('Visual SPC'!$C$4="",'Data Entry'!$C222&gt;='Visual SPC'!$C$4),OR('Visual SPC'!$E$4="",'Data Entry'!$C222&lt;='Visual SPC'!$E$4),OR('Visual SPC'!$G$4="",'Data Entry'!$D222='Visual SPC'!$G$4),OR('Visual SPC'!$I$4="",'Data Entry'!$E222='Visual SPC'!$I$4),OR('Visual SPC'!$K$4="",'Data Entry'!$F222='Visual SPC'!$K$4)),1,0))</f>
        <v/>
      </c>
      <c r="C222">
        <f>C221+B222</f>
        <v/>
      </c>
      <c r="D222">
        <f>IF(B222=1,INDEX('Data Entry'!$H$5:$BE$10004,222-4,'Visual SPC'!$B$3),"")</f>
        <v/>
      </c>
      <c r="E222">
        <f>IF(B222=1,D222,E221)</f>
        <v/>
      </c>
      <c r="F222">
        <f>IF(AND(B222=1,C222&gt;1,E221&lt;&gt;""),ABS(D222-E221),"")</f>
        <v/>
      </c>
    </row>
    <row r="223">
      <c r="A223" t="n">
        <v>223</v>
      </c>
      <c r="B223">
        <f>IF(INDEX('Data Entry'!$H$5:$BE$10004,223-4,'Visual SPC'!$B$3)="",0,IF(AND(OR('Visual SPC'!$C$4="",'Data Entry'!$C223&gt;='Visual SPC'!$C$4),OR('Visual SPC'!$E$4="",'Data Entry'!$C223&lt;='Visual SPC'!$E$4),OR('Visual SPC'!$G$4="",'Data Entry'!$D223='Visual SPC'!$G$4),OR('Visual SPC'!$I$4="",'Data Entry'!$E223='Visual SPC'!$I$4),OR('Visual SPC'!$K$4="",'Data Entry'!$F223='Visual SPC'!$K$4)),1,0))</f>
        <v/>
      </c>
      <c r="C223">
        <f>C222+B223</f>
        <v/>
      </c>
      <c r="D223">
        <f>IF(B223=1,INDEX('Data Entry'!$H$5:$BE$10004,223-4,'Visual SPC'!$B$3),"")</f>
        <v/>
      </c>
      <c r="E223">
        <f>IF(B223=1,D223,E222)</f>
        <v/>
      </c>
      <c r="F223">
        <f>IF(AND(B223=1,C223&gt;1,E222&lt;&gt;""),ABS(D223-E222),"")</f>
        <v/>
      </c>
    </row>
    <row r="224">
      <c r="A224" t="n">
        <v>224</v>
      </c>
      <c r="B224">
        <f>IF(INDEX('Data Entry'!$H$5:$BE$10004,224-4,'Visual SPC'!$B$3)="",0,IF(AND(OR('Visual SPC'!$C$4="",'Data Entry'!$C224&gt;='Visual SPC'!$C$4),OR('Visual SPC'!$E$4="",'Data Entry'!$C224&lt;='Visual SPC'!$E$4),OR('Visual SPC'!$G$4="",'Data Entry'!$D224='Visual SPC'!$G$4),OR('Visual SPC'!$I$4="",'Data Entry'!$E224='Visual SPC'!$I$4),OR('Visual SPC'!$K$4="",'Data Entry'!$F224='Visual SPC'!$K$4)),1,0))</f>
        <v/>
      </c>
      <c r="C224">
        <f>C223+B224</f>
        <v/>
      </c>
      <c r="D224">
        <f>IF(B224=1,INDEX('Data Entry'!$H$5:$BE$10004,224-4,'Visual SPC'!$B$3),"")</f>
        <v/>
      </c>
      <c r="E224">
        <f>IF(B224=1,D224,E223)</f>
        <v/>
      </c>
      <c r="F224">
        <f>IF(AND(B224=1,C224&gt;1,E223&lt;&gt;""),ABS(D224-E223),"")</f>
        <v/>
      </c>
    </row>
    <row r="225">
      <c r="A225" t="n">
        <v>225</v>
      </c>
      <c r="B225">
        <f>IF(INDEX('Data Entry'!$H$5:$BE$10004,225-4,'Visual SPC'!$B$3)="",0,IF(AND(OR('Visual SPC'!$C$4="",'Data Entry'!$C225&gt;='Visual SPC'!$C$4),OR('Visual SPC'!$E$4="",'Data Entry'!$C225&lt;='Visual SPC'!$E$4),OR('Visual SPC'!$G$4="",'Data Entry'!$D225='Visual SPC'!$G$4),OR('Visual SPC'!$I$4="",'Data Entry'!$E225='Visual SPC'!$I$4),OR('Visual SPC'!$K$4="",'Data Entry'!$F225='Visual SPC'!$K$4)),1,0))</f>
        <v/>
      </c>
      <c r="C225">
        <f>C224+B225</f>
        <v/>
      </c>
      <c r="D225">
        <f>IF(B225=1,INDEX('Data Entry'!$H$5:$BE$10004,225-4,'Visual SPC'!$B$3),"")</f>
        <v/>
      </c>
      <c r="E225">
        <f>IF(B225=1,D225,E224)</f>
        <v/>
      </c>
      <c r="F225">
        <f>IF(AND(B225=1,C225&gt;1,E224&lt;&gt;""),ABS(D225-E224),"")</f>
        <v/>
      </c>
    </row>
    <row r="226">
      <c r="A226" t="n">
        <v>226</v>
      </c>
      <c r="B226">
        <f>IF(INDEX('Data Entry'!$H$5:$BE$10004,226-4,'Visual SPC'!$B$3)="",0,IF(AND(OR('Visual SPC'!$C$4="",'Data Entry'!$C226&gt;='Visual SPC'!$C$4),OR('Visual SPC'!$E$4="",'Data Entry'!$C226&lt;='Visual SPC'!$E$4),OR('Visual SPC'!$G$4="",'Data Entry'!$D226='Visual SPC'!$G$4),OR('Visual SPC'!$I$4="",'Data Entry'!$E226='Visual SPC'!$I$4),OR('Visual SPC'!$K$4="",'Data Entry'!$F226='Visual SPC'!$K$4)),1,0))</f>
        <v/>
      </c>
      <c r="C226">
        <f>C225+B226</f>
        <v/>
      </c>
      <c r="D226">
        <f>IF(B226=1,INDEX('Data Entry'!$H$5:$BE$10004,226-4,'Visual SPC'!$B$3),"")</f>
        <v/>
      </c>
      <c r="E226">
        <f>IF(B226=1,D226,E225)</f>
        <v/>
      </c>
      <c r="F226">
        <f>IF(AND(B226=1,C226&gt;1,E225&lt;&gt;""),ABS(D226-E225),"")</f>
        <v/>
      </c>
    </row>
    <row r="227">
      <c r="A227" t="n">
        <v>227</v>
      </c>
      <c r="B227">
        <f>IF(INDEX('Data Entry'!$H$5:$BE$10004,227-4,'Visual SPC'!$B$3)="",0,IF(AND(OR('Visual SPC'!$C$4="",'Data Entry'!$C227&gt;='Visual SPC'!$C$4),OR('Visual SPC'!$E$4="",'Data Entry'!$C227&lt;='Visual SPC'!$E$4),OR('Visual SPC'!$G$4="",'Data Entry'!$D227='Visual SPC'!$G$4),OR('Visual SPC'!$I$4="",'Data Entry'!$E227='Visual SPC'!$I$4),OR('Visual SPC'!$K$4="",'Data Entry'!$F227='Visual SPC'!$K$4)),1,0))</f>
        <v/>
      </c>
      <c r="C227">
        <f>C226+B227</f>
        <v/>
      </c>
      <c r="D227">
        <f>IF(B227=1,INDEX('Data Entry'!$H$5:$BE$10004,227-4,'Visual SPC'!$B$3),"")</f>
        <v/>
      </c>
      <c r="E227">
        <f>IF(B227=1,D227,E226)</f>
        <v/>
      </c>
      <c r="F227">
        <f>IF(AND(B227=1,C227&gt;1,E226&lt;&gt;""),ABS(D227-E226),"")</f>
        <v/>
      </c>
    </row>
    <row r="228">
      <c r="A228" t="n">
        <v>228</v>
      </c>
      <c r="B228">
        <f>IF(INDEX('Data Entry'!$H$5:$BE$10004,228-4,'Visual SPC'!$B$3)="",0,IF(AND(OR('Visual SPC'!$C$4="",'Data Entry'!$C228&gt;='Visual SPC'!$C$4),OR('Visual SPC'!$E$4="",'Data Entry'!$C228&lt;='Visual SPC'!$E$4),OR('Visual SPC'!$G$4="",'Data Entry'!$D228='Visual SPC'!$G$4),OR('Visual SPC'!$I$4="",'Data Entry'!$E228='Visual SPC'!$I$4),OR('Visual SPC'!$K$4="",'Data Entry'!$F228='Visual SPC'!$K$4)),1,0))</f>
        <v/>
      </c>
      <c r="C228">
        <f>C227+B228</f>
        <v/>
      </c>
      <c r="D228">
        <f>IF(B228=1,INDEX('Data Entry'!$H$5:$BE$10004,228-4,'Visual SPC'!$B$3),"")</f>
        <v/>
      </c>
      <c r="E228">
        <f>IF(B228=1,D228,E227)</f>
        <v/>
      </c>
      <c r="F228">
        <f>IF(AND(B228=1,C228&gt;1,E227&lt;&gt;""),ABS(D228-E227),"")</f>
        <v/>
      </c>
    </row>
    <row r="229">
      <c r="A229" t="n">
        <v>229</v>
      </c>
      <c r="B229">
        <f>IF(INDEX('Data Entry'!$H$5:$BE$10004,229-4,'Visual SPC'!$B$3)="",0,IF(AND(OR('Visual SPC'!$C$4="",'Data Entry'!$C229&gt;='Visual SPC'!$C$4),OR('Visual SPC'!$E$4="",'Data Entry'!$C229&lt;='Visual SPC'!$E$4),OR('Visual SPC'!$G$4="",'Data Entry'!$D229='Visual SPC'!$G$4),OR('Visual SPC'!$I$4="",'Data Entry'!$E229='Visual SPC'!$I$4),OR('Visual SPC'!$K$4="",'Data Entry'!$F229='Visual SPC'!$K$4)),1,0))</f>
        <v/>
      </c>
      <c r="C229">
        <f>C228+B229</f>
        <v/>
      </c>
      <c r="D229">
        <f>IF(B229=1,INDEX('Data Entry'!$H$5:$BE$10004,229-4,'Visual SPC'!$B$3),"")</f>
        <v/>
      </c>
      <c r="E229">
        <f>IF(B229=1,D229,E228)</f>
        <v/>
      </c>
      <c r="F229">
        <f>IF(AND(B229=1,C229&gt;1,E228&lt;&gt;""),ABS(D229-E228),"")</f>
        <v/>
      </c>
    </row>
    <row r="230">
      <c r="A230" t="n">
        <v>230</v>
      </c>
      <c r="B230">
        <f>IF(INDEX('Data Entry'!$H$5:$BE$10004,230-4,'Visual SPC'!$B$3)="",0,IF(AND(OR('Visual SPC'!$C$4="",'Data Entry'!$C230&gt;='Visual SPC'!$C$4),OR('Visual SPC'!$E$4="",'Data Entry'!$C230&lt;='Visual SPC'!$E$4),OR('Visual SPC'!$G$4="",'Data Entry'!$D230='Visual SPC'!$G$4),OR('Visual SPC'!$I$4="",'Data Entry'!$E230='Visual SPC'!$I$4),OR('Visual SPC'!$K$4="",'Data Entry'!$F230='Visual SPC'!$K$4)),1,0))</f>
        <v/>
      </c>
      <c r="C230">
        <f>C229+B230</f>
        <v/>
      </c>
      <c r="D230">
        <f>IF(B230=1,INDEX('Data Entry'!$H$5:$BE$10004,230-4,'Visual SPC'!$B$3),"")</f>
        <v/>
      </c>
      <c r="E230">
        <f>IF(B230=1,D230,E229)</f>
        <v/>
      </c>
      <c r="F230">
        <f>IF(AND(B230=1,C230&gt;1,E229&lt;&gt;""),ABS(D230-E229),"")</f>
        <v/>
      </c>
    </row>
    <row r="231">
      <c r="A231" t="n">
        <v>231</v>
      </c>
      <c r="B231">
        <f>IF(INDEX('Data Entry'!$H$5:$BE$10004,231-4,'Visual SPC'!$B$3)="",0,IF(AND(OR('Visual SPC'!$C$4="",'Data Entry'!$C231&gt;='Visual SPC'!$C$4),OR('Visual SPC'!$E$4="",'Data Entry'!$C231&lt;='Visual SPC'!$E$4),OR('Visual SPC'!$G$4="",'Data Entry'!$D231='Visual SPC'!$G$4),OR('Visual SPC'!$I$4="",'Data Entry'!$E231='Visual SPC'!$I$4),OR('Visual SPC'!$K$4="",'Data Entry'!$F231='Visual SPC'!$K$4)),1,0))</f>
        <v/>
      </c>
      <c r="C231">
        <f>C230+B231</f>
        <v/>
      </c>
      <c r="D231">
        <f>IF(B231=1,INDEX('Data Entry'!$H$5:$BE$10004,231-4,'Visual SPC'!$B$3),"")</f>
        <v/>
      </c>
      <c r="E231">
        <f>IF(B231=1,D231,E230)</f>
        <v/>
      </c>
      <c r="F231">
        <f>IF(AND(B231=1,C231&gt;1,E230&lt;&gt;""),ABS(D231-E230),"")</f>
        <v/>
      </c>
    </row>
    <row r="232">
      <c r="A232" t="n">
        <v>232</v>
      </c>
      <c r="B232">
        <f>IF(INDEX('Data Entry'!$H$5:$BE$10004,232-4,'Visual SPC'!$B$3)="",0,IF(AND(OR('Visual SPC'!$C$4="",'Data Entry'!$C232&gt;='Visual SPC'!$C$4),OR('Visual SPC'!$E$4="",'Data Entry'!$C232&lt;='Visual SPC'!$E$4),OR('Visual SPC'!$G$4="",'Data Entry'!$D232='Visual SPC'!$G$4),OR('Visual SPC'!$I$4="",'Data Entry'!$E232='Visual SPC'!$I$4),OR('Visual SPC'!$K$4="",'Data Entry'!$F232='Visual SPC'!$K$4)),1,0))</f>
        <v/>
      </c>
      <c r="C232">
        <f>C231+B232</f>
        <v/>
      </c>
      <c r="D232">
        <f>IF(B232=1,INDEX('Data Entry'!$H$5:$BE$10004,232-4,'Visual SPC'!$B$3),"")</f>
        <v/>
      </c>
      <c r="E232">
        <f>IF(B232=1,D232,E231)</f>
        <v/>
      </c>
      <c r="F232">
        <f>IF(AND(B232=1,C232&gt;1,E231&lt;&gt;""),ABS(D232-E231),"")</f>
        <v/>
      </c>
    </row>
    <row r="233">
      <c r="A233" t="n">
        <v>233</v>
      </c>
      <c r="B233">
        <f>IF(INDEX('Data Entry'!$H$5:$BE$10004,233-4,'Visual SPC'!$B$3)="",0,IF(AND(OR('Visual SPC'!$C$4="",'Data Entry'!$C233&gt;='Visual SPC'!$C$4),OR('Visual SPC'!$E$4="",'Data Entry'!$C233&lt;='Visual SPC'!$E$4),OR('Visual SPC'!$G$4="",'Data Entry'!$D233='Visual SPC'!$G$4),OR('Visual SPC'!$I$4="",'Data Entry'!$E233='Visual SPC'!$I$4),OR('Visual SPC'!$K$4="",'Data Entry'!$F233='Visual SPC'!$K$4)),1,0))</f>
        <v/>
      </c>
      <c r="C233">
        <f>C232+B233</f>
        <v/>
      </c>
      <c r="D233">
        <f>IF(B233=1,INDEX('Data Entry'!$H$5:$BE$10004,233-4,'Visual SPC'!$B$3),"")</f>
        <v/>
      </c>
      <c r="E233">
        <f>IF(B233=1,D233,E232)</f>
        <v/>
      </c>
      <c r="F233">
        <f>IF(AND(B233=1,C233&gt;1,E232&lt;&gt;""),ABS(D233-E232),"")</f>
        <v/>
      </c>
    </row>
    <row r="234">
      <c r="A234" t="n">
        <v>234</v>
      </c>
      <c r="B234">
        <f>IF(INDEX('Data Entry'!$H$5:$BE$10004,234-4,'Visual SPC'!$B$3)="",0,IF(AND(OR('Visual SPC'!$C$4="",'Data Entry'!$C234&gt;='Visual SPC'!$C$4),OR('Visual SPC'!$E$4="",'Data Entry'!$C234&lt;='Visual SPC'!$E$4),OR('Visual SPC'!$G$4="",'Data Entry'!$D234='Visual SPC'!$G$4),OR('Visual SPC'!$I$4="",'Data Entry'!$E234='Visual SPC'!$I$4),OR('Visual SPC'!$K$4="",'Data Entry'!$F234='Visual SPC'!$K$4)),1,0))</f>
        <v/>
      </c>
      <c r="C234">
        <f>C233+B234</f>
        <v/>
      </c>
      <c r="D234">
        <f>IF(B234=1,INDEX('Data Entry'!$H$5:$BE$10004,234-4,'Visual SPC'!$B$3),"")</f>
        <v/>
      </c>
      <c r="E234">
        <f>IF(B234=1,D234,E233)</f>
        <v/>
      </c>
      <c r="F234">
        <f>IF(AND(B234=1,C234&gt;1,E233&lt;&gt;""),ABS(D234-E233),"")</f>
        <v/>
      </c>
    </row>
    <row r="235">
      <c r="A235" t="n">
        <v>235</v>
      </c>
      <c r="B235">
        <f>IF(INDEX('Data Entry'!$H$5:$BE$10004,235-4,'Visual SPC'!$B$3)="",0,IF(AND(OR('Visual SPC'!$C$4="",'Data Entry'!$C235&gt;='Visual SPC'!$C$4),OR('Visual SPC'!$E$4="",'Data Entry'!$C235&lt;='Visual SPC'!$E$4),OR('Visual SPC'!$G$4="",'Data Entry'!$D235='Visual SPC'!$G$4),OR('Visual SPC'!$I$4="",'Data Entry'!$E235='Visual SPC'!$I$4),OR('Visual SPC'!$K$4="",'Data Entry'!$F235='Visual SPC'!$K$4)),1,0))</f>
        <v/>
      </c>
      <c r="C235">
        <f>C234+B235</f>
        <v/>
      </c>
      <c r="D235">
        <f>IF(B235=1,INDEX('Data Entry'!$H$5:$BE$10004,235-4,'Visual SPC'!$B$3),"")</f>
        <v/>
      </c>
      <c r="E235">
        <f>IF(B235=1,D235,E234)</f>
        <v/>
      </c>
      <c r="F235">
        <f>IF(AND(B235=1,C235&gt;1,E234&lt;&gt;""),ABS(D235-E234),"")</f>
        <v/>
      </c>
    </row>
    <row r="236">
      <c r="A236" t="n">
        <v>236</v>
      </c>
      <c r="B236">
        <f>IF(INDEX('Data Entry'!$H$5:$BE$10004,236-4,'Visual SPC'!$B$3)="",0,IF(AND(OR('Visual SPC'!$C$4="",'Data Entry'!$C236&gt;='Visual SPC'!$C$4),OR('Visual SPC'!$E$4="",'Data Entry'!$C236&lt;='Visual SPC'!$E$4),OR('Visual SPC'!$G$4="",'Data Entry'!$D236='Visual SPC'!$G$4),OR('Visual SPC'!$I$4="",'Data Entry'!$E236='Visual SPC'!$I$4),OR('Visual SPC'!$K$4="",'Data Entry'!$F236='Visual SPC'!$K$4)),1,0))</f>
        <v/>
      </c>
      <c r="C236">
        <f>C235+B236</f>
        <v/>
      </c>
      <c r="D236">
        <f>IF(B236=1,INDEX('Data Entry'!$H$5:$BE$10004,236-4,'Visual SPC'!$B$3),"")</f>
        <v/>
      </c>
      <c r="E236">
        <f>IF(B236=1,D236,E235)</f>
        <v/>
      </c>
      <c r="F236">
        <f>IF(AND(B236=1,C236&gt;1,E235&lt;&gt;""),ABS(D236-E235),"")</f>
        <v/>
      </c>
    </row>
    <row r="237">
      <c r="A237" t="n">
        <v>237</v>
      </c>
      <c r="B237">
        <f>IF(INDEX('Data Entry'!$H$5:$BE$10004,237-4,'Visual SPC'!$B$3)="",0,IF(AND(OR('Visual SPC'!$C$4="",'Data Entry'!$C237&gt;='Visual SPC'!$C$4),OR('Visual SPC'!$E$4="",'Data Entry'!$C237&lt;='Visual SPC'!$E$4),OR('Visual SPC'!$G$4="",'Data Entry'!$D237='Visual SPC'!$G$4),OR('Visual SPC'!$I$4="",'Data Entry'!$E237='Visual SPC'!$I$4),OR('Visual SPC'!$K$4="",'Data Entry'!$F237='Visual SPC'!$K$4)),1,0))</f>
        <v/>
      </c>
      <c r="C237">
        <f>C236+B237</f>
        <v/>
      </c>
      <c r="D237">
        <f>IF(B237=1,INDEX('Data Entry'!$H$5:$BE$10004,237-4,'Visual SPC'!$B$3),"")</f>
        <v/>
      </c>
      <c r="E237">
        <f>IF(B237=1,D237,E236)</f>
        <v/>
      </c>
      <c r="F237">
        <f>IF(AND(B237=1,C237&gt;1,E236&lt;&gt;""),ABS(D237-E236),"")</f>
        <v/>
      </c>
    </row>
    <row r="238">
      <c r="A238" t="n">
        <v>238</v>
      </c>
      <c r="B238">
        <f>IF(INDEX('Data Entry'!$H$5:$BE$10004,238-4,'Visual SPC'!$B$3)="",0,IF(AND(OR('Visual SPC'!$C$4="",'Data Entry'!$C238&gt;='Visual SPC'!$C$4),OR('Visual SPC'!$E$4="",'Data Entry'!$C238&lt;='Visual SPC'!$E$4),OR('Visual SPC'!$G$4="",'Data Entry'!$D238='Visual SPC'!$G$4),OR('Visual SPC'!$I$4="",'Data Entry'!$E238='Visual SPC'!$I$4),OR('Visual SPC'!$K$4="",'Data Entry'!$F238='Visual SPC'!$K$4)),1,0))</f>
        <v/>
      </c>
      <c r="C238">
        <f>C237+B238</f>
        <v/>
      </c>
      <c r="D238">
        <f>IF(B238=1,INDEX('Data Entry'!$H$5:$BE$10004,238-4,'Visual SPC'!$B$3),"")</f>
        <v/>
      </c>
      <c r="E238">
        <f>IF(B238=1,D238,E237)</f>
        <v/>
      </c>
      <c r="F238">
        <f>IF(AND(B238=1,C238&gt;1,E237&lt;&gt;""),ABS(D238-E237),"")</f>
        <v/>
      </c>
    </row>
    <row r="239">
      <c r="A239" t="n">
        <v>239</v>
      </c>
      <c r="B239">
        <f>IF(INDEX('Data Entry'!$H$5:$BE$10004,239-4,'Visual SPC'!$B$3)="",0,IF(AND(OR('Visual SPC'!$C$4="",'Data Entry'!$C239&gt;='Visual SPC'!$C$4),OR('Visual SPC'!$E$4="",'Data Entry'!$C239&lt;='Visual SPC'!$E$4),OR('Visual SPC'!$G$4="",'Data Entry'!$D239='Visual SPC'!$G$4),OR('Visual SPC'!$I$4="",'Data Entry'!$E239='Visual SPC'!$I$4),OR('Visual SPC'!$K$4="",'Data Entry'!$F239='Visual SPC'!$K$4)),1,0))</f>
        <v/>
      </c>
      <c r="C239">
        <f>C238+B239</f>
        <v/>
      </c>
      <c r="D239">
        <f>IF(B239=1,INDEX('Data Entry'!$H$5:$BE$10004,239-4,'Visual SPC'!$B$3),"")</f>
        <v/>
      </c>
      <c r="E239">
        <f>IF(B239=1,D239,E238)</f>
        <v/>
      </c>
      <c r="F239">
        <f>IF(AND(B239=1,C239&gt;1,E238&lt;&gt;""),ABS(D239-E238),"")</f>
        <v/>
      </c>
    </row>
    <row r="240">
      <c r="A240" t="n">
        <v>240</v>
      </c>
      <c r="B240">
        <f>IF(INDEX('Data Entry'!$H$5:$BE$10004,240-4,'Visual SPC'!$B$3)="",0,IF(AND(OR('Visual SPC'!$C$4="",'Data Entry'!$C240&gt;='Visual SPC'!$C$4),OR('Visual SPC'!$E$4="",'Data Entry'!$C240&lt;='Visual SPC'!$E$4),OR('Visual SPC'!$G$4="",'Data Entry'!$D240='Visual SPC'!$G$4),OR('Visual SPC'!$I$4="",'Data Entry'!$E240='Visual SPC'!$I$4),OR('Visual SPC'!$K$4="",'Data Entry'!$F240='Visual SPC'!$K$4)),1,0))</f>
        <v/>
      </c>
      <c r="C240">
        <f>C239+B240</f>
        <v/>
      </c>
      <c r="D240">
        <f>IF(B240=1,INDEX('Data Entry'!$H$5:$BE$10004,240-4,'Visual SPC'!$B$3),"")</f>
        <v/>
      </c>
      <c r="E240">
        <f>IF(B240=1,D240,E239)</f>
        <v/>
      </c>
      <c r="F240">
        <f>IF(AND(B240=1,C240&gt;1,E239&lt;&gt;""),ABS(D240-E239),"")</f>
        <v/>
      </c>
    </row>
    <row r="241">
      <c r="A241" t="n">
        <v>241</v>
      </c>
      <c r="B241">
        <f>IF(INDEX('Data Entry'!$H$5:$BE$10004,241-4,'Visual SPC'!$B$3)="",0,IF(AND(OR('Visual SPC'!$C$4="",'Data Entry'!$C241&gt;='Visual SPC'!$C$4),OR('Visual SPC'!$E$4="",'Data Entry'!$C241&lt;='Visual SPC'!$E$4),OR('Visual SPC'!$G$4="",'Data Entry'!$D241='Visual SPC'!$G$4),OR('Visual SPC'!$I$4="",'Data Entry'!$E241='Visual SPC'!$I$4),OR('Visual SPC'!$K$4="",'Data Entry'!$F241='Visual SPC'!$K$4)),1,0))</f>
        <v/>
      </c>
      <c r="C241">
        <f>C240+B241</f>
        <v/>
      </c>
      <c r="D241">
        <f>IF(B241=1,INDEX('Data Entry'!$H$5:$BE$10004,241-4,'Visual SPC'!$B$3),"")</f>
        <v/>
      </c>
      <c r="E241">
        <f>IF(B241=1,D241,E240)</f>
        <v/>
      </c>
      <c r="F241">
        <f>IF(AND(B241=1,C241&gt;1,E240&lt;&gt;""),ABS(D241-E240),"")</f>
        <v/>
      </c>
    </row>
    <row r="242">
      <c r="A242" t="n">
        <v>242</v>
      </c>
      <c r="B242">
        <f>IF(INDEX('Data Entry'!$H$5:$BE$10004,242-4,'Visual SPC'!$B$3)="",0,IF(AND(OR('Visual SPC'!$C$4="",'Data Entry'!$C242&gt;='Visual SPC'!$C$4),OR('Visual SPC'!$E$4="",'Data Entry'!$C242&lt;='Visual SPC'!$E$4),OR('Visual SPC'!$G$4="",'Data Entry'!$D242='Visual SPC'!$G$4),OR('Visual SPC'!$I$4="",'Data Entry'!$E242='Visual SPC'!$I$4),OR('Visual SPC'!$K$4="",'Data Entry'!$F242='Visual SPC'!$K$4)),1,0))</f>
        <v/>
      </c>
      <c r="C242">
        <f>C241+B242</f>
        <v/>
      </c>
      <c r="D242">
        <f>IF(B242=1,INDEX('Data Entry'!$H$5:$BE$10004,242-4,'Visual SPC'!$B$3),"")</f>
        <v/>
      </c>
      <c r="E242">
        <f>IF(B242=1,D242,E241)</f>
        <v/>
      </c>
      <c r="F242">
        <f>IF(AND(B242=1,C242&gt;1,E241&lt;&gt;""),ABS(D242-E241),"")</f>
        <v/>
      </c>
    </row>
    <row r="243">
      <c r="A243" t="n">
        <v>243</v>
      </c>
      <c r="B243">
        <f>IF(INDEX('Data Entry'!$H$5:$BE$10004,243-4,'Visual SPC'!$B$3)="",0,IF(AND(OR('Visual SPC'!$C$4="",'Data Entry'!$C243&gt;='Visual SPC'!$C$4),OR('Visual SPC'!$E$4="",'Data Entry'!$C243&lt;='Visual SPC'!$E$4),OR('Visual SPC'!$G$4="",'Data Entry'!$D243='Visual SPC'!$G$4),OR('Visual SPC'!$I$4="",'Data Entry'!$E243='Visual SPC'!$I$4),OR('Visual SPC'!$K$4="",'Data Entry'!$F243='Visual SPC'!$K$4)),1,0))</f>
        <v/>
      </c>
      <c r="C243">
        <f>C242+B243</f>
        <v/>
      </c>
      <c r="D243">
        <f>IF(B243=1,INDEX('Data Entry'!$H$5:$BE$10004,243-4,'Visual SPC'!$B$3),"")</f>
        <v/>
      </c>
      <c r="E243">
        <f>IF(B243=1,D243,E242)</f>
        <v/>
      </c>
      <c r="F243">
        <f>IF(AND(B243=1,C243&gt;1,E242&lt;&gt;""),ABS(D243-E242),"")</f>
        <v/>
      </c>
    </row>
    <row r="244">
      <c r="A244" t="n">
        <v>244</v>
      </c>
      <c r="B244">
        <f>IF(INDEX('Data Entry'!$H$5:$BE$10004,244-4,'Visual SPC'!$B$3)="",0,IF(AND(OR('Visual SPC'!$C$4="",'Data Entry'!$C244&gt;='Visual SPC'!$C$4),OR('Visual SPC'!$E$4="",'Data Entry'!$C244&lt;='Visual SPC'!$E$4),OR('Visual SPC'!$G$4="",'Data Entry'!$D244='Visual SPC'!$G$4),OR('Visual SPC'!$I$4="",'Data Entry'!$E244='Visual SPC'!$I$4),OR('Visual SPC'!$K$4="",'Data Entry'!$F244='Visual SPC'!$K$4)),1,0))</f>
        <v/>
      </c>
      <c r="C244">
        <f>C243+B244</f>
        <v/>
      </c>
      <c r="D244">
        <f>IF(B244=1,INDEX('Data Entry'!$H$5:$BE$10004,244-4,'Visual SPC'!$B$3),"")</f>
        <v/>
      </c>
      <c r="E244">
        <f>IF(B244=1,D244,E243)</f>
        <v/>
      </c>
      <c r="F244">
        <f>IF(AND(B244=1,C244&gt;1,E243&lt;&gt;""),ABS(D244-E243),"")</f>
        <v/>
      </c>
    </row>
    <row r="245">
      <c r="A245" t="n">
        <v>245</v>
      </c>
      <c r="B245">
        <f>IF(INDEX('Data Entry'!$H$5:$BE$10004,245-4,'Visual SPC'!$B$3)="",0,IF(AND(OR('Visual SPC'!$C$4="",'Data Entry'!$C245&gt;='Visual SPC'!$C$4),OR('Visual SPC'!$E$4="",'Data Entry'!$C245&lt;='Visual SPC'!$E$4),OR('Visual SPC'!$G$4="",'Data Entry'!$D245='Visual SPC'!$G$4),OR('Visual SPC'!$I$4="",'Data Entry'!$E245='Visual SPC'!$I$4),OR('Visual SPC'!$K$4="",'Data Entry'!$F245='Visual SPC'!$K$4)),1,0))</f>
        <v/>
      </c>
      <c r="C245">
        <f>C244+B245</f>
        <v/>
      </c>
      <c r="D245">
        <f>IF(B245=1,INDEX('Data Entry'!$H$5:$BE$10004,245-4,'Visual SPC'!$B$3),"")</f>
        <v/>
      </c>
      <c r="E245">
        <f>IF(B245=1,D245,E244)</f>
        <v/>
      </c>
      <c r="F245">
        <f>IF(AND(B245=1,C245&gt;1,E244&lt;&gt;""),ABS(D245-E244),"")</f>
        <v/>
      </c>
    </row>
    <row r="246">
      <c r="A246" t="n">
        <v>246</v>
      </c>
      <c r="B246">
        <f>IF(INDEX('Data Entry'!$H$5:$BE$10004,246-4,'Visual SPC'!$B$3)="",0,IF(AND(OR('Visual SPC'!$C$4="",'Data Entry'!$C246&gt;='Visual SPC'!$C$4),OR('Visual SPC'!$E$4="",'Data Entry'!$C246&lt;='Visual SPC'!$E$4),OR('Visual SPC'!$G$4="",'Data Entry'!$D246='Visual SPC'!$G$4),OR('Visual SPC'!$I$4="",'Data Entry'!$E246='Visual SPC'!$I$4),OR('Visual SPC'!$K$4="",'Data Entry'!$F246='Visual SPC'!$K$4)),1,0))</f>
        <v/>
      </c>
      <c r="C246">
        <f>C245+B246</f>
        <v/>
      </c>
      <c r="D246">
        <f>IF(B246=1,INDEX('Data Entry'!$H$5:$BE$10004,246-4,'Visual SPC'!$B$3),"")</f>
        <v/>
      </c>
      <c r="E246">
        <f>IF(B246=1,D246,E245)</f>
        <v/>
      </c>
      <c r="F246">
        <f>IF(AND(B246=1,C246&gt;1,E245&lt;&gt;""),ABS(D246-E245),"")</f>
        <v/>
      </c>
    </row>
    <row r="247">
      <c r="A247" t="n">
        <v>247</v>
      </c>
      <c r="B247">
        <f>IF(INDEX('Data Entry'!$H$5:$BE$10004,247-4,'Visual SPC'!$B$3)="",0,IF(AND(OR('Visual SPC'!$C$4="",'Data Entry'!$C247&gt;='Visual SPC'!$C$4),OR('Visual SPC'!$E$4="",'Data Entry'!$C247&lt;='Visual SPC'!$E$4),OR('Visual SPC'!$G$4="",'Data Entry'!$D247='Visual SPC'!$G$4),OR('Visual SPC'!$I$4="",'Data Entry'!$E247='Visual SPC'!$I$4),OR('Visual SPC'!$K$4="",'Data Entry'!$F247='Visual SPC'!$K$4)),1,0))</f>
        <v/>
      </c>
      <c r="C247">
        <f>C246+B247</f>
        <v/>
      </c>
      <c r="D247">
        <f>IF(B247=1,INDEX('Data Entry'!$H$5:$BE$10004,247-4,'Visual SPC'!$B$3),"")</f>
        <v/>
      </c>
      <c r="E247">
        <f>IF(B247=1,D247,E246)</f>
        <v/>
      </c>
      <c r="F247">
        <f>IF(AND(B247=1,C247&gt;1,E246&lt;&gt;""),ABS(D247-E246),"")</f>
        <v/>
      </c>
    </row>
    <row r="248">
      <c r="A248" t="n">
        <v>248</v>
      </c>
      <c r="B248">
        <f>IF(INDEX('Data Entry'!$H$5:$BE$10004,248-4,'Visual SPC'!$B$3)="",0,IF(AND(OR('Visual SPC'!$C$4="",'Data Entry'!$C248&gt;='Visual SPC'!$C$4),OR('Visual SPC'!$E$4="",'Data Entry'!$C248&lt;='Visual SPC'!$E$4),OR('Visual SPC'!$G$4="",'Data Entry'!$D248='Visual SPC'!$G$4),OR('Visual SPC'!$I$4="",'Data Entry'!$E248='Visual SPC'!$I$4),OR('Visual SPC'!$K$4="",'Data Entry'!$F248='Visual SPC'!$K$4)),1,0))</f>
        <v/>
      </c>
      <c r="C248">
        <f>C247+B248</f>
        <v/>
      </c>
      <c r="D248">
        <f>IF(B248=1,INDEX('Data Entry'!$H$5:$BE$10004,248-4,'Visual SPC'!$B$3),"")</f>
        <v/>
      </c>
      <c r="E248">
        <f>IF(B248=1,D248,E247)</f>
        <v/>
      </c>
      <c r="F248">
        <f>IF(AND(B248=1,C248&gt;1,E247&lt;&gt;""),ABS(D248-E247),"")</f>
        <v/>
      </c>
    </row>
    <row r="249">
      <c r="A249" t="n">
        <v>249</v>
      </c>
      <c r="B249">
        <f>IF(INDEX('Data Entry'!$H$5:$BE$10004,249-4,'Visual SPC'!$B$3)="",0,IF(AND(OR('Visual SPC'!$C$4="",'Data Entry'!$C249&gt;='Visual SPC'!$C$4),OR('Visual SPC'!$E$4="",'Data Entry'!$C249&lt;='Visual SPC'!$E$4),OR('Visual SPC'!$G$4="",'Data Entry'!$D249='Visual SPC'!$G$4),OR('Visual SPC'!$I$4="",'Data Entry'!$E249='Visual SPC'!$I$4),OR('Visual SPC'!$K$4="",'Data Entry'!$F249='Visual SPC'!$K$4)),1,0))</f>
        <v/>
      </c>
      <c r="C249">
        <f>C248+B249</f>
        <v/>
      </c>
      <c r="D249">
        <f>IF(B249=1,INDEX('Data Entry'!$H$5:$BE$10004,249-4,'Visual SPC'!$B$3),"")</f>
        <v/>
      </c>
      <c r="E249">
        <f>IF(B249=1,D249,E248)</f>
        <v/>
      </c>
      <c r="F249">
        <f>IF(AND(B249=1,C249&gt;1,E248&lt;&gt;""),ABS(D249-E248),"")</f>
        <v/>
      </c>
    </row>
    <row r="250">
      <c r="A250" t="n">
        <v>250</v>
      </c>
      <c r="B250">
        <f>IF(INDEX('Data Entry'!$H$5:$BE$10004,250-4,'Visual SPC'!$B$3)="",0,IF(AND(OR('Visual SPC'!$C$4="",'Data Entry'!$C250&gt;='Visual SPC'!$C$4),OR('Visual SPC'!$E$4="",'Data Entry'!$C250&lt;='Visual SPC'!$E$4),OR('Visual SPC'!$G$4="",'Data Entry'!$D250='Visual SPC'!$G$4),OR('Visual SPC'!$I$4="",'Data Entry'!$E250='Visual SPC'!$I$4),OR('Visual SPC'!$K$4="",'Data Entry'!$F250='Visual SPC'!$K$4)),1,0))</f>
        <v/>
      </c>
      <c r="C250">
        <f>C249+B250</f>
        <v/>
      </c>
      <c r="D250">
        <f>IF(B250=1,INDEX('Data Entry'!$H$5:$BE$10004,250-4,'Visual SPC'!$B$3),"")</f>
        <v/>
      </c>
      <c r="E250">
        <f>IF(B250=1,D250,E249)</f>
        <v/>
      </c>
      <c r="F250">
        <f>IF(AND(B250=1,C250&gt;1,E249&lt;&gt;""),ABS(D250-E249),"")</f>
        <v/>
      </c>
    </row>
    <row r="251">
      <c r="A251" t="n">
        <v>251</v>
      </c>
      <c r="B251">
        <f>IF(INDEX('Data Entry'!$H$5:$BE$10004,251-4,'Visual SPC'!$B$3)="",0,IF(AND(OR('Visual SPC'!$C$4="",'Data Entry'!$C251&gt;='Visual SPC'!$C$4),OR('Visual SPC'!$E$4="",'Data Entry'!$C251&lt;='Visual SPC'!$E$4),OR('Visual SPC'!$G$4="",'Data Entry'!$D251='Visual SPC'!$G$4),OR('Visual SPC'!$I$4="",'Data Entry'!$E251='Visual SPC'!$I$4),OR('Visual SPC'!$K$4="",'Data Entry'!$F251='Visual SPC'!$K$4)),1,0))</f>
        <v/>
      </c>
      <c r="C251">
        <f>C250+B251</f>
        <v/>
      </c>
      <c r="D251">
        <f>IF(B251=1,INDEX('Data Entry'!$H$5:$BE$10004,251-4,'Visual SPC'!$B$3),"")</f>
        <v/>
      </c>
      <c r="E251">
        <f>IF(B251=1,D251,E250)</f>
        <v/>
      </c>
      <c r="F251">
        <f>IF(AND(B251=1,C251&gt;1,E250&lt;&gt;""),ABS(D251-E250),"")</f>
        <v/>
      </c>
    </row>
    <row r="252">
      <c r="A252" t="n">
        <v>252</v>
      </c>
      <c r="B252">
        <f>IF(INDEX('Data Entry'!$H$5:$BE$10004,252-4,'Visual SPC'!$B$3)="",0,IF(AND(OR('Visual SPC'!$C$4="",'Data Entry'!$C252&gt;='Visual SPC'!$C$4),OR('Visual SPC'!$E$4="",'Data Entry'!$C252&lt;='Visual SPC'!$E$4),OR('Visual SPC'!$G$4="",'Data Entry'!$D252='Visual SPC'!$G$4),OR('Visual SPC'!$I$4="",'Data Entry'!$E252='Visual SPC'!$I$4),OR('Visual SPC'!$K$4="",'Data Entry'!$F252='Visual SPC'!$K$4)),1,0))</f>
        <v/>
      </c>
      <c r="C252">
        <f>C251+B252</f>
        <v/>
      </c>
      <c r="D252">
        <f>IF(B252=1,INDEX('Data Entry'!$H$5:$BE$10004,252-4,'Visual SPC'!$B$3),"")</f>
        <v/>
      </c>
      <c r="E252">
        <f>IF(B252=1,D252,E251)</f>
        <v/>
      </c>
      <c r="F252">
        <f>IF(AND(B252=1,C252&gt;1,E251&lt;&gt;""),ABS(D252-E251),"")</f>
        <v/>
      </c>
    </row>
    <row r="253">
      <c r="A253" t="n">
        <v>253</v>
      </c>
      <c r="B253">
        <f>IF(INDEX('Data Entry'!$H$5:$BE$10004,253-4,'Visual SPC'!$B$3)="",0,IF(AND(OR('Visual SPC'!$C$4="",'Data Entry'!$C253&gt;='Visual SPC'!$C$4),OR('Visual SPC'!$E$4="",'Data Entry'!$C253&lt;='Visual SPC'!$E$4),OR('Visual SPC'!$G$4="",'Data Entry'!$D253='Visual SPC'!$G$4),OR('Visual SPC'!$I$4="",'Data Entry'!$E253='Visual SPC'!$I$4),OR('Visual SPC'!$K$4="",'Data Entry'!$F253='Visual SPC'!$K$4)),1,0))</f>
        <v/>
      </c>
      <c r="C253">
        <f>C252+B253</f>
        <v/>
      </c>
      <c r="D253">
        <f>IF(B253=1,INDEX('Data Entry'!$H$5:$BE$10004,253-4,'Visual SPC'!$B$3),"")</f>
        <v/>
      </c>
      <c r="E253">
        <f>IF(B253=1,D253,E252)</f>
        <v/>
      </c>
      <c r="F253">
        <f>IF(AND(B253=1,C253&gt;1,E252&lt;&gt;""),ABS(D253-E252),"")</f>
        <v/>
      </c>
    </row>
    <row r="254">
      <c r="A254" t="n">
        <v>254</v>
      </c>
      <c r="B254">
        <f>IF(INDEX('Data Entry'!$H$5:$BE$10004,254-4,'Visual SPC'!$B$3)="",0,IF(AND(OR('Visual SPC'!$C$4="",'Data Entry'!$C254&gt;='Visual SPC'!$C$4),OR('Visual SPC'!$E$4="",'Data Entry'!$C254&lt;='Visual SPC'!$E$4),OR('Visual SPC'!$G$4="",'Data Entry'!$D254='Visual SPC'!$G$4),OR('Visual SPC'!$I$4="",'Data Entry'!$E254='Visual SPC'!$I$4),OR('Visual SPC'!$K$4="",'Data Entry'!$F254='Visual SPC'!$K$4)),1,0))</f>
        <v/>
      </c>
      <c r="C254">
        <f>C253+B254</f>
        <v/>
      </c>
      <c r="D254">
        <f>IF(B254=1,INDEX('Data Entry'!$H$5:$BE$10004,254-4,'Visual SPC'!$B$3),"")</f>
        <v/>
      </c>
      <c r="E254">
        <f>IF(B254=1,D254,E253)</f>
        <v/>
      </c>
      <c r="F254">
        <f>IF(AND(B254=1,C254&gt;1,E253&lt;&gt;""),ABS(D254-E253),"")</f>
        <v/>
      </c>
    </row>
    <row r="255">
      <c r="A255" t="n">
        <v>255</v>
      </c>
      <c r="B255">
        <f>IF(INDEX('Data Entry'!$H$5:$BE$10004,255-4,'Visual SPC'!$B$3)="",0,IF(AND(OR('Visual SPC'!$C$4="",'Data Entry'!$C255&gt;='Visual SPC'!$C$4),OR('Visual SPC'!$E$4="",'Data Entry'!$C255&lt;='Visual SPC'!$E$4),OR('Visual SPC'!$G$4="",'Data Entry'!$D255='Visual SPC'!$G$4),OR('Visual SPC'!$I$4="",'Data Entry'!$E255='Visual SPC'!$I$4),OR('Visual SPC'!$K$4="",'Data Entry'!$F255='Visual SPC'!$K$4)),1,0))</f>
        <v/>
      </c>
      <c r="C255">
        <f>C254+B255</f>
        <v/>
      </c>
      <c r="D255">
        <f>IF(B255=1,INDEX('Data Entry'!$H$5:$BE$10004,255-4,'Visual SPC'!$B$3),"")</f>
        <v/>
      </c>
      <c r="E255">
        <f>IF(B255=1,D255,E254)</f>
        <v/>
      </c>
      <c r="F255">
        <f>IF(AND(B255=1,C255&gt;1,E254&lt;&gt;""),ABS(D255-E254),"")</f>
        <v/>
      </c>
    </row>
    <row r="256">
      <c r="A256" t="n">
        <v>256</v>
      </c>
      <c r="B256">
        <f>IF(INDEX('Data Entry'!$H$5:$BE$10004,256-4,'Visual SPC'!$B$3)="",0,IF(AND(OR('Visual SPC'!$C$4="",'Data Entry'!$C256&gt;='Visual SPC'!$C$4),OR('Visual SPC'!$E$4="",'Data Entry'!$C256&lt;='Visual SPC'!$E$4),OR('Visual SPC'!$G$4="",'Data Entry'!$D256='Visual SPC'!$G$4),OR('Visual SPC'!$I$4="",'Data Entry'!$E256='Visual SPC'!$I$4),OR('Visual SPC'!$K$4="",'Data Entry'!$F256='Visual SPC'!$K$4)),1,0))</f>
        <v/>
      </c>
      <c r="C256">
        <f>C255+B256</f>
        <v/>
      </c>
      <c r="D256">
        <f>IF(B256=1,INDEX('Data Entry'!$H$5:$BE$10004,256-4,'Visual SPC'!$B$3),"")</f>
        <v/>
      </c>
      <c r="E256">
        <f>IF(B256=1,D256,E255)</f>
        <v/>
      </c>
      <c r="F256">
        <f>IF(AND(B256=1,C256&gt;1,E255&lt;&gt;""),ABS(D256-E255),"")</f>
        <v/>
      </c>
    </row>
    <row r="257">
      <c r="A257" t="n">
        <v>257</v>
      </c>
      <c r="B257">
        <f>IF(INDEX('Data Entry'!$H$5:$BE$10004,257-4,'Visual SPC'!$B$3)="",0,IF(AND(OR('Visual SPC'!$C$4="",'Data Entry'!$C257&gt;='Visual SPC'!$C$4),OR('Visual SPC'!$E$4="",'Data Entry'!$C257&lt;='Visual SPC'!$E$4),OR('Visual SPC'!$G$4="",'Data Entry'!$D257='Visual SPC'!$G$4),OR('Visual SPC'!$I$4="",'Data Entry'!$E257='Visual SPC'!$I$4),OR('Visual SPC'!$K$4="",'Data Entry'!$F257='Visual SPC'!$K$4)),1,0))</f>
        <v/>
      </c>
      <c r="C257">
        <f>C256+B257</f>
        <v/>
      </c>
      <c r="D257">
        <f>IF(B257=1,INDEX('Data Entry'!$H$5:$BE$10004,257-4,'Visual SPC'!$B$3),"")</f>
        <v/>
      </c>
      <c r="E257">
        <f>IF(B257=1,D257,E256)</f>
        <v/>
      </c>
      <c r="F257">
        <f>IF(AND(B257=1,C257&gt;1,E256&lt;&gt;""),ABS(D257-E256),"")</f>
        <v/>
      </c>
    </row>
    <row r="258">
      <c r="A258" t="n">
        <v>258</v>
      </c>
      <c r="B258">
        <f>IF(INDEX('Data Entry'!$H$5:$BE$10004,258-4,'Visual SPC'!$B$3)="",0,IF(AND(OR('Visual SPC'!$C$4="",'Data Entry'!$C258&gt;='Visual SPC'!$C$4),OR('Visual SPC'!$E$4="",'Data Entry'!$C258&lt;='Visual SPC'!$E$4),OR('Visual SPC'!$G$4="",'Data Entry'!$D258='Visual SPC'!$G$4),OR('Visual SPC'!$I$4="",'Data Entry'!$E258='Visual SPC'!$I$4),OR('Visual SPC'!$K$4="",'Data Entry'!$F258='Visual SPC'!$K$4)),1,0))</f>
        <v/>
      </c>
      <c r="C258">
        <f>C257+B258</f>
        <v/>
      </c>
      <c r="D258">
        <f>IF(B258=1,INDEX('Data Entry'!$H$5:$BE$10004,258-4,'Visual SPC'!$B$3),"")</f>
        <v/>
      </c>
      <c r="E258">
        <f>IF(B258=1,D258,E257)</f>
        <v/>
      </c>
      <c r="F258">
        <f>IF(AND(B258=1,C258&gt;1,E257&lt;&gt;""),ABS(D258-E257),"")</f>
        <v/>
      </c>
    </row>
    <row r="259">
      <c r="A259" t="n">
        <v>259</v>
      </c>
      <c r="B259">
        <f>IF(INDEX('Data Entry'!$H$5:$BE$10004,259-4,'Visual SPC'!$B$3)="",0,IF(AND(OR('Visual SPC'!$C$4="",'Data Entry'!$C259&gt;='Visual SPC'!$C$4),OR('Visual SPC'!$E$4="",'Data Entry'!$C259&lt;='Visual SPC'!$E$4),OR('Visual SPC'!$G$4="",'Data Entry'!$D259='Visual SPC'!$G$4),OR('Visual SPC'!$I$4="",'Data Entry'!$E259='Visual SPC'!$I$4),OR('Visual SPC'!$K$4="",'Data Entry'!$F259='Visual SPC'!$K$4)),1,0))</f>
        <v/>
      </c>
      <c r="C259">
        <f>C258+B259</f>
        <v/>
      </c>
      <c r="D259">
        <f>IF(B259=1,INDEX('Data Entry'!$H$5:$BE$10004,259-4,'Visual SPC'!$B$3),"")</f>
        <v/>
      </c>
      <c r="E259">
        <f>IF(B259=1,D259,E258)</f>
        <v/>
      </c>
      <c r="F259">
        <f>IF(AND(B259=1,C259&gt;1,E258&lt;&gt;""),ABS(D259-E258),"")</f>
        <v/>
      </c>
    </row>
    <row r="260">
      <c r="A260" t="n">
        <v>260</v>
      </c>
      <c r="B260">
        <f>IF(INDEX('Data Entry'!$H$5:$BE$10004,260-4,'Visual SPC'!$B$3)="",0,IF(AND(OR('Visual SPC'!$C$4="",'Data Entry'!$C260&gt;='Visual SPC'!$C$4),OR('Visual SPC'!$E$4="",'Data Entry'!$C260&lt;='Visual SPC'!$E$4),OR('Visual SPC'!$G$4="",'Data Entry'!$D260='Visual SPC'!$G$4),OR('Visual SPC'!$I$4="",'Data Entry'!$E260='Visual SPC'!$I$4),OR('Visual SPC'!$K$4="",'Data Entry'!$F260='Visual SPC'!$K$4)),1,0))</f>
        <v/>
      </c>
      <c r="C260">
        <f>C259+B260</f>
        <v/>
      </c>
      <c r="D260">
        <f>IF(B260=1,INDEX('Data Entry'!$H$5:$BE$10004,260-4,'Visual SPC'!$B$3),"")</f>
        <v/>
      </c>
      <c r="E260">
        <f>IF(B260=1,D260,E259)</f>
        <v/>
      </c>
      <c r="F260">
        <f>IF(AND(B260=1,C260&gt;1,E259&lt;&gt;""),ABS(D260-E259),"")</f>
        <v/>
      </c>
    </row>
    <row r="261">
      <c r="A261" t="n">
        <v>261</v>
      </c>
      <c r="B261">
        <f>IF(INDEX('Data Entry'!$H$5:$BE$10004,261-4,'Visual SPC'!$B$3)="",0,IF(AND(OR('Visual SPC'!$C$4="",'Data Entry'!$C261&gt;='Visual SPC'!$C$4),OR('Visual SPC'!$E$4="",'Data Entry'!$C261&lt;='Visual SPC'!$E$4),OR('Visual SPC'!$G$4="",'Data Entry'!$D261='Visual SPC'!$G$4),OR('Visual SPC'!$I$4="",'Data Entry'!$E261='Visual SPC'!$I$4),OR('Visual SPC'!$K$4="",'Data Entry'!$F261='Visual SPC'!$K$4)),1,0))</f>
        <v/>
      </c>
      <c r="C261">
        <f>C260+B261</f>
        <v/>
      </c>
      <c r="D261">
        <f>IF(B261=1,INDEX('Data Entry'!$H$5:$BE$10004,261-4,'Visual SPC'!$B$3),"")</f>
        <v/>
      </c>
      <c r="E261">
        <f>IF(B261=1,D261,E260)</f>
        <v/>
      </c>
      <c r="F261">
        <f>IF(AND(B261=1,C261&gt;1,E260&lt;&gt;""),ABS(D261-E260),"")</f>
        <v/>
      </c>
    </row>
    <row r="262">
      <c r="A262" t="n">
        <v>262</v>
      </c>
      <c r="B262">
        <f>IF(INDEX('Data Entry'!$H$5:$BE$10004,262-4,'Visual SPC'!$B$3)="",0,IF(AND(OR('Visual SPC'!$C$4="",'Data Entry'!$C262&gt;='Visual SPC'!$C$4),OR('Visual SPC'!$E$4="",'Data Entry'!$C262&lt;='Visual SPC'!$E$4),OR('Visual SPC'!$G$4="",'Data Entry'!$D262='Visual SPC'!$G$4),OR('Visual SPC'!$I$4="",'Data Entry'!$E262='Visual SPC'!$I$4),OR('Visual SPC'!$K$4="",'Data Entry'!$F262='Visual SPC'!$K$4)),1,0))</f>
        <v/>
      </c>
      <c r="C262">
        <f>C261+B262</f>
        <v/>
      </c>
      <c r="D262">
        <f>IF(B262=1,INDEX('Data Entry'!$H$5:$BE$10004,262-4,'Visual SPC'!$B$3),"")</f>
        <v/>
      </c>
      <c r="E262">
        <f>IF(B262=1,D262,E261)</f>
        <v/>
      </c>
      <c r="F262">
        <f>IF(AND(B262=1,C262&gt;1,E261&lt;&gt;""),ABS(D262-E261),"")</f>
        <v/>
      </c>
    </row>
    <row r="263">
      <c r="A263" t="n">
        <v>263</v>
      </c>
      <c r="B263">
        <f>IF(INDEX('Data Entry'!$H$5:$BE$10004,263-4,'Visual SPC'!$B$3)="",0,IF(AND(OR('Visual SPC'!$C$4="",'Data Entry'!$C263&gt;='Visual SPC'!$C$4),OR('Visual SPC'!$E$4="",'Data Entry'!$C263&lt;='Visual SPC'!$E$4),OR('Visual SPC'!$G$4="",'Data Entry'!$D263='Visual SPC'!$G$4),OR('Visual SPC'!$I$4="",'Data Entry'!$E263='Visual SPC'!$I$4),OR('Visual SPC'!$K$4="",'Data Entry'!$F263='Visual SPC'!$K$4)),1,0))</f>
        <v/>
      </c>
      <c r="C263">
        <f>C262+B263</f>
        <v/>
      </c>
      <c r="D263">
        <f>IF(B263=1,INDEX('Data Entry'!$H$5:$BE$10004,263-4,'Visual SPC'!$B$3),"")</f>
        <v/>
      </c>
      <c r="E263">
        <f>IF(B263=1,D263,E262)</f>
        <v/>
      </c>
      <c r="F263">
        <f>IF(AND(B263=1,C263&gt;1,E262&lt;&gt;""),ABS(D263-E262),"")</f>
        <v/>
      </c>
    </row>
    <row r="264">
      <c r="A264" t="n">
        <v>264</v>
      </c>
      <c r="B264">
        <f>IF(INDEX('Data Entry'!$H$5:$BE$10004,264-4,'Visual SPC'!$B$3)="",0,IF(AND(OR('Visual SPC'!$C$4="",'Data Entry'!$C264&gt;='Visual SPC'!$C$4),OR('Visual SPC'!$E$4="",'Data Entry'!$C264&lt;='Visual SPC'!$E$4),OR('Visual SPC'!$G$4="",'Data Entry'!$D264='Visual SPC'!$G$4),OR('Visual SPC'!$I$4="",'Data Entry'!$E264='Visual SPC'!$I$4),OR('Visual SPC'!$K$4="",'Data Entry'!$F264='Visual SPC'!$K$4)),1,0))</f>
        <v/>
      </c>
      <c r="C264">
        <f>C263+B264</f>
        <v/>
      </c>
      <c r="D264">
        <f>IF(B264=1,INDEX('Data Entry'!$H$5:$BE$10004,264-4,'Visual SPC'!$B$3),"")</f>
        <v/>
      </c>
      <c r="E264">
        <f>IF(B264=1,D264,E263)</f>
        <v/>
      </c>
      <c r="F264">
        <f>IF(AND(B264=1,C264&gt;1,E263&lt;&gt;""),ABS(D264-E263),"")</f>
        <v/>
      </c>
    </row>
    <row r="265">
      <c r="A265" t="n">
        <v>265</v>
      </c>
      <c r="B265">
        <f>IF(INDEX('Data Entry'!$H$5:$BE$10004,265-4,'Visual SPC'!$B$3)="",0,IF(AND(OR('Visual SPC'!$C$4="",'Data Entry'!$C265&gt;='Visual SPC'!$C$4),OR('Visual SPC'!$E$4="",'Data Entry'!$C265&lt;='Visual SPC'!$E$4),OR('Visual SPC'!$G$4="",'Data Entry'!$D265='Visual SPC'!$G$4),OR('Visual SPC'!$I$4="",'Data Entry'!$E265='Visual SPC'!$I$4),OR('Visual SPC'!$K$4="",'Data Entry'!$F265='Visual SPC'!$K$4)),1,0))</f>
        <v/>
      </c>
      <c r="C265">
        <f>C264+B265</f>
        <v/>
      </c>
      <c r="D265">
        <f>IF(B265=1,INDEX('Data Entry'!$H$5:$BE$10004,265-4,'Visual SPC'!$B$3),"")</f>
        <v/>
      </c>
      <c r="E265">
        <f>IF(B265=1,D265,E264)</f>
        <v/>
      </c>
      <c r="F265">
        <f>IF(AND(B265=1,C265&gt;1,E264&lt;&gt;""),ABS(D265-E264),"")</f>
        <v/>
      </c>
    </row>
    <row r="266">
      <c r="A266" t="n">
        <v>266</v>
      </c>
      <c r="B266">
        <f>IF(INDEX('Data Entry'!$H$5:$BE$10004,266-4,'Visual SPC'!$B$3)="",0,IF(AND(OR('Visual SPC'!$C$4="",'Data Entry'!$C266&gt;='Visual SPC'!$C$4),OR('Visual SPC'!$E$4="",'Data Entry'!$C266&lt;='Visual SPC'!$E$4),OR('Visual SPC'!$G$4="",'Data Entry'!$D266='Visual SPC'!$G$4),OR('Visual SPC'!$I$4="",'Data Entry'!$E266='Visual SPC'!$I$4),OR('Visual SPC'!$K$4="",'Data Entry'!$F266='Visual SPC'!$K$4)),1,0))</f>
        <v/>
      </c>
      <c r="C266">
        <f>C265+B266</f>
        <v/>
      </c>
      <c r="D266">
        <f>IF(B266=1,INDEX('Data Entry'!$H$5:$BE$10004,266-4,'Visual SPC'!$B$3),"")</f>
        <v/>
      </c>
      <c r="E266">
        <f>IF(B266=1,D266,E265)</f>
        <v/>
      </c>
      <c r="F266">
        <f>IF(AND(B266=1,C266&gt;1,E265&lt;&gt;""),ABS(D266-E265),"")</f>
        <v/>
      </c>
    </row>
    <row r="267">
      <c r="A267" t="n">
        <v>267</v>
      </c>
      <c r="B267">
        <f>IF(INDEX('Data Entry'!$H$5:$BE$10004,267-4,'Visual SPC'!$B$3)="",0,IF(AND(OR('Visual SPC'!$C$4="",'Data Entry'!$C267&gt;='Visual SPC'!$C$4),OR('Visual SPC'!$E$4="",'Data Entry'!$C267&lt;='Visual SPC'!$E$4),OR('Visual SPC'!$G$4="",'Data Entry'!$D267='Visual SPC'!$G$4),OR('Visual SPC'!$I$4="",'Data Entry'!$E267='Visual SPC'!$I$4),OR('Visual SPC'!$K$4="",'Data Entry'!$F267='Visual SPC'!$K$4)),1,0))</f>
        <v/>
      </c>
      <c r="C267">
        <f>C266+B267</f>
        <v/>
      </c>
      <c r="D267">
        <f>IF(B267=1,INDEX('Data Entry'!$H$5:$BE$10004,267-4,'Visual SPC'!$B$3),"")</f>
        <v/>
      </c>
      <c r="E267">
        <f>IF(B267=1,D267,E266)</f>
        <v/>
      </c>
      <c r="F267">
        <f>IF(AND(B267=1,C267&gt;1,E266&lt;&gt;""),ABS(D267-E266),"")</f>
        <v/>
      </c>
    </row>
    <row r="268">
      <c r="A268" t="n">
        <v>268</v>
      </c>
      <c r="B268">
        <f>IF(INDEX('Data Entry'!$H$5:$BE$10004,268-4,'Visual SPC'!$B$3)="",0,IF(AND(OR('Visual SPC'!$C$4="",'Data Entry'!$C268&gt;='Visual SPC'!$C$4),OR('Visual SPC'!$E$4="",'Data Entry'!$C268&lt;='Visual SPC'!$E$4),OR('Visual SPC'!$G$4="",'Data Entry'!$D268='Visual SPC'!$G$4),OR('Visual SPC'!$I$4="",'Data Entry'!$E268='Visual SPC'!$I$4),OR('Visual SPC'!$K$4="",'Data Entry'!$F268='Visual SPC'!$K$4)),1,0))</f>
        <v/>
      </c>
      <c r="C268">
        <f>C267+B268</f>
        <v/>
      </c>
      <c r="D268">
        <f>IF(B268=1,INDEX('Data Entry'!$H$5:$BE$10004,268-4,'Visual SPC'!$B$3),"")</f>
        <v/>
      </c>
      <c r="E268">
        <f>IF(B268=1,D268,E267)</f>
        <v/>
      </c>
      <c r="F268">
        <f>IF(AND(B268=1,C268&gt;1,E267&lt;&gt;""),ABS(D268-E267),"")</f>
        <v/>
      </c>
    </row>
    <row r="269">
      <c r="A269" t="n">
        <v>269</v>
      </c>
      <c r="B269">
        <f>IF(INDEX('Data Entry'!$H$5:$BE$10004,269-4,'Visual SPC'!$B$3)="",0,IF(AND(OR('Visual SPC'!$C$4="",'Data Entry'!$C269&gt;='Visual SPC'!$C$4),OR('Visual SPC'!$E$4="",'Data Entry'!$C269&lt;='Visual SPC'!$E$4),OR('Visual SPC'!$G$4="",'Data Entry'!$D269='Visual SPC'!$G$4),OR('Visual SPC'!$I$4="",'Data Entry'!$E269='Visual SPC'!$I$4),OR('Visual SPC'!$K$4="",'Data Entry'!$F269='Visual SPC'!$K$4)),1,0))</f>
        <v/>
      </c>
      <c r="C269">
        <f>C268+B269</f>
        <v/>
      </c>
      <c r="D269">
        <f>IF(B269=1,INDEX('Data Entry'!$H$5:$BE$10004,269-4,'Visual SPC'!$B$3),"")</f>
        <v/>
      </c>
      <c r="E269">
        <f>IF(B269=1,D269,E268)</f>
        <v/>
      </c>
      <c r="F269">
        <f>IF(AND(B269=1,C269&gt;1,E268&lt;&gt;""),ABS(D269-E268),"")</f>
        <v/>
      </c>
    </row>
    <row r="270">
      <c r="A270" t="n">
        <v>270</v>
      </c>
      <c r="B270">
        <f>IF(INDEX('Data Entry'!$H$5:$BE$10004,270-4,'Visual SPC'!$B$3)="",0,IF(AND(OR('Visual SPC'!$C$4="",'Data Entry'!$C270&gt;='Visual SPC'!$C$4),OR('Visual SPC'!$E$4="",'Data Entry'!$C270&lt;='Visual SPC'!$E$4),OR('Visual SPC'!$G$4="",'Data Entry'!$D270='Visual SPC'!$G$4),OR('Visual SPC'!$I$4="",'Data Entry'!$E270='Visual SPC'!$I$4),OR('Visual SPC'!$K$4="",'Data Entry'!$F270='Visual SPC'!$K$4)),1,0))</f>
        <v/>
      </c>
      <c r="C270">
        <f>C269+B270</f>
        <v/>
      </c>
      <c r="D270">
        <f>IF(B270=1,INDEX('Data Entry'!$H$5:$BE$10004,270-4,'Visual SPC'!$B$3),"")</f>
        <v/>
      </c>
      <c r="E270">
        <f>IF(B270=1,D270,E269)</f>
        <v/>
      </c>
      <c r="F270">
        <f>IF(AND(B270=1,C270&gt;1,E269&lt;&gt;""),ABS(D270-E269),"")</f>
        <v/>
      </c>
    </row>
    <row r="271">
      <c r="A271" t="n">
        <v>271</v>
      </c>
      <c r="B271">
        <f>IF(INDEX('Data Entry'!$H$5:$BE$10004,271-4,'Visual SPC'!$B$3)="",0,IF(AND(OR('Visual SPC'!$C$4="",'Data Entry'!$C271&gt;='Visual SPC'!$C$4),OR('Visual SPC'!$E$4="",'Data Entry'!$C271&lt;='Visual SPC'!$E$4),OR('Visual SPC'!$G$4="",'Data Entry'!$D271='Visual SPC'!$G$4),OR('Visual SPC'!$I$4="",'Data Entry'!$E271='Visual SPC'!$I$4),OR('Visual SPC'!$K$4="",'Data Entry'!$F271='Visual SPC'!$K$4)),1,0))</f>
        <v/>
      </c>
      <c r="C271">
        <f>C270+B271</f>
        <v/>
      </c>
      <c r="D271">
        <f>IF(B271=1,INDEX('Data Entry'!$H$5:$BE$10004,271-4,'Visual SPC'!$B$3),"")</f>
        <v/>
      </c>
      <c r="E271">
        <f>IF(B271=1,D271,E270)</f>
        <v/>
      </c>
      <c r="F271">
        <f>IF(AND(B271=1,C271&gt;1,E270&lt;&gt;""),ABS(D271-E270),"")</f>
        <v/>
      </c>
    </row>
    <row r="272">
      <c r="A272" t="n">
        <v>272</v>
      </c>
      <c r="B272">
        <f>IF(INDEX('Data Entry'!$H$5:$BE$10004,272-4,'Visual SPC'!$B$3)="",0,IF(AND(OR('Visual SPC'!$C$4="",'Data Entry'!$C272&gt;='Visual SPC'!$C$4),OR('Visual SPC'!$E$4="",'Data Entry'!$C272&lt;='Visual SPC'!$E$4),OR('Visual SPC'!$G$4="",'Data Entry'!$D272='Visual SPC'!$G$4),OR('Visual SPC'!$I$4="",'Data Entry'!$E272='Visual SPC'!$I$4),OR('Visual SPC'!$K$4="",'Data Entry'!$F272='Visual SPC'!$K$4)),1,0))</f>
        <v/>
      </c>
      <c r="C272">
        <f>C271+B272</f>
        <v/>
      </c>
      <c r="D272">
        <f>IF(B272=1,INDEX('Data Entry'!$H$5:$BE$10004,272-4,'Visual SPC'!$B$3),"")</f>
        <v/>
      </c>
      <c r="E272">
        <f>IF(B272=1,D272,E271)</f>
        <v/>
      </c>
      <c r="F272">
        <f>IF(AND(B272=1,C272&gt;1,E271&lt;&gt;""),ABS(D272-E271),"")</f>
        <v/>
      </c>
    </row>
    <row r="273">
      <c r="A273" t="n">
        <v>273</v>
      </c>
      <c r="B273">
        <f>IF(INDEX('Data Entry'!$H$5:$BE$10004,273-4,'Visual SPC'!$B$3)="",0,IF(AND(OR('Visual SPC'!$C$4="",'Data Entry'!$C273&gt;='Visual SPC'!$C$4),OR('Visual SPC'!$E$4="",'Data Entry'!$C273&lt;='Visual SPC'!$E$4),OR('Visual SPC'!$G$4="",'Data Entry'!$D273='Visual SPC'!$G$4),OR('Visual SPC'!$I$4="",'Data Entry'!$E273='Visual SPC'!$I$4),OR('Visual SPC'!$K$4="",'Data Entry'!$F273='Visual SPC'!$K$4)),1,0))</f>
        <v/>
      </c>
      <c r="C273">
        <f>C272+B273</f>
        <v/>
      </c>
      <c r="D273">
        <f>IF(B273=1,INDEX('Data Entry'!$H$5:$BE$10004,273-4,'Visual SPC'!$B$3),"")</f>
        <v/>
      </c>
      <c r="E273">
        <f>IF(B273=1,D273,E272)</f>
        <v/>
      </c>
      <c r="F273">
        <f>IF(AND(B273=1,C273&gt;1,E272&lt;&gt;""),ABS(D273-E272),"")</f>
        <v/>
      </c>
    </row>
    <row r="274">
      <c r="A274" t="n">
        <v>274</v>
      </c>
      <c r="B274">
        <f>IF(INDEX('Data Entry'!$H$5:$BE$10004,274-4,'Visual SPC'!$B$3)="",0,IF(AND(OR('Visual SPC'!$C$4="",'Data Entry'!$C274&gt;='Visual SPC'!$C$4),OR('Visual SPC'!$E$4="",'Data Entry'!$C274&lt;='Visual SPC'!$E$4),OR('Visual SPC'!$G$4="",'Data Entry'!$D274='Visual SPC'!$G$4),OR('Visual SPC'!$I$4="",'Data Entry'!$E274='Visual SPC'!$I$4),OR('Visual SPC'!$K$4="",'Data Entry'!$F274='Visual SPC'!$K$4)),1,0))</f>
        <v/>
      </c>
      <c r="C274">
        <f>C273+B274</f>
        <v/>
      </c>
      <c r="D274">
        <f>IF(B274=1,INDEX('Data Entry'!$H$5:$BE$10004,274-4,'Visual SPC'!$B$3),"")</f>
        <v/>
      </c>
      <c r="E274">
        <f>IF(B274=1,D274,E273)</f>
        <v/>
      </c>
      <c r="F274">
        <f>IF(AND(B274=1,C274&gt;1,E273&lt;&gt;""),ABS(D274-E273),"")</f>
        <v/>
      </c>
    </row>
    <row r="275">
      <c r="A275" t="n">
        <v>275</v>
      </c>
      <c r="B275">
        <f>IF(INDEX('Data Entry'!$H$5:$BE$10004,275-4,'Visual SPC'!$B$3)="",0,IF(AND(OR('Visual SPC'!$C$4="",'Data Entry'!$C275&gt;='Visual SPC'!$C$4),OR('Visual SPC'!$E$4="",'Data Entry'!$C275&lt;='Visual SPC'!$E$4),OR('Visual SPC'!$G$4="",'Data Entry'!$D275='Visual SPC'!$G$4),OR('Visual SPC'!$I$4="",'Data Entry'!$E275='Visual SPC'!$I$4),OR('Visual SPC'!$K$4="",'Data Entry'!$F275='Visual SPC'!$K$4)),1,0))</f>
        <v/>
      </c>
      <c r="C275">
        <f>C274+B275</f>
        <v/>
      </c>
      <c r="D275">
        <f>IF(B275=1,INDEX('Data Entry'!$H$5:$BE$10004,275-4,'Visual SPC'!$B$3),"")</f>
        <v/>
      </c>
      <c r="E275">
        <f>IF(B275=1,D275,E274)</f>
        <v/>
      </c>
      <c r="F275">
        <f>IF(AND(B275=1,C275&gt;1,E274&lt;&gt;""),ABS(D275-E274),"")</f>
        <v/>
      </c>
    </row>
    <row r="276">
      <c r="A276" t="n">
        <v>276</v>
      </c>
      <c r="B276">
        <f>IF(INDEX('Data Entry'!$H$5:$BE$10004,276-4,'Visual SPC'!$B$3)="",0,IF(AND(OR('Visual SPC'!$C$4="",'Data Entry'!$C276&gt;='Visual SPC'!$C$4),OR('Visual SPC'!$E$4="",'Data Entry'!$C276&lt;='Visual SPC'!$E$4),OR('Visual SPC'!$G$4="",'Data Entry'!$D276='Visual SPC'!$G$4),OR('Visual SPC'!$I$4="",'Data Entry'!$E276='Visual SPC'!$I$4),OR('Visual SPC'!$K$4="",'Data Entry'!$F276='Visual SPC'!$K$4)),1,0))</f>
        <v/>
      </c>
      <c r="C276">
        <f>C275+B276</f>
        <v/>
      </c>
      <c r="D276">
        <f>IF(B276=1,INDEX('Data Entry'!$H$5:$BE$10004,276-4,'Visual SPC'!$B$3),"")</f>
        <v/>
      </c>
      <c r="E276">
        <f>IF(B276=1,D276,E275)</f>
        <v/>
      </c>
      <c r="F276">
        <f>IF(AND(B276=1,C276&gt;1,E275&lt;&gt;""),ABS(D276-E275),"")</f>
        <v/>
      </c>
    </row>
    <row r="277">
      <c r="A277" t="n">
        <v>277</v>
      </c>
      <c r="B277">
        <f>IF(INDEX('Data Entry'!$H$5:$BE$10004,277-4,'Visual SPC'!$B$3)="",0,IF(AND(OR('Visual SPC'!$C$4="",'Data Entry'!$C277&gt;='Visual SPC'!$C$4),OR('Visual SPC'!$E$4="",'Data Entry'!$C277&lt;='Visual SPC'!$E$4),OR('Visual SPC'!$G$4="",'Data Entry'!$D277='Visual SPC'!$G$4),OR('Visual SPC'!$I$4="",'Data Entry'!$E277='Visual SPC'!$I$4),OR('Visual SPC'!$K$4="",'Data Entry'!$F277='Visual SPC'!$K$4)),1,0))</f>
        <v/>
      </c>
      <c r="C277">
        <f>C276+B277</f>
        <v/>
      </c>
      <c r="D277">
        <f>IF(B277=1,INDEX('Data Entry'!$H$5:$BE$10004,277-4,'Visual SPC'!$B$3),"")</f>
        <v/>
      </c>
      <c r="E277">
        <f>IF(B277=1,D277,E276)</f>
        <v/>
      </c>
      <c r="F277">
        <f>IF(AND(B277=1,C277&gt;1,E276&lt;&gt;""),ABS(D277-E276),"")</f>
        <v/>
      </c>
    </row>
    <row r="278">
      <c r="A278" t="n">
        <v>278</v>
      </c>
      <c r="B278">
        <f>IF(INDEX('Data Entry'!$H$5:$BE$10004,278-4,'Visual SPC'!$B$3)="",0,IF(AND(OR('Visual SPC'!$C$4="",'Data Entry'!$C278&gt;='Visual SPC'!$C$4),OR('Visual SPC'!$E$4="",'Data Entry'!$C278&lt;='Visual SPC'!$E$4),OR('Visual SPC'!$G$4="",'Data Entry'!$D278='Visual SPC'!$G$4),OR('Visual SPC'!$I$4="",'Data Entry'!$E278='Visual SPC'!$I$4),OR('Visual SPC'!$K$4="",'Data Entry'!$F278='Visual SPC'!$K$4)),1,0))</f>
        <v/>
      </c>
      <c r="C278">
        <f>C277+B278</f>
        <v/>
      </c>
      <c r="D278">
        <f>IF(B278=1,INDEX('Data Entry'!$H$5:$BE$10004,278-4,'Visual SPC'!$B$3),"")</f>
        <v/>
      </c>
      <c r="E278">
        <f>IF(B278=1,D278,E277)</f>
        <v/>
      </c>
      <c r="F278">
        <f>IF(AND(B278=1,C278&gt;1,E277&lt;&gt;""),ABS(D278-E277),"")</f>
        <v/>
      </c>
    </row>
    <row r="279">
      <c r="A279" t="n">
        <v>279</v>
      </c>
      <c r="B279">
        <f>IF(INDEX('Data Entry'!$H$5:$BE$10004,279-4,'Visual SPC'!$B$3)="",0,IF(AND(OR('Visual SPC'!$C$4="",'Data Entry'!$C279&gt;='Visual SPC'!$C$4),OR('Visual SPC'!$E$4="",'Data Entry'!$C279&lt;='Visual SPC'!$E$4),OR('Visual SPC'!$G$4="",'Data Entry'!$D279='Visual SPC'!$G$4),OR('Visual SPC'!$I$4="",'Data Entry'!$E279='Visual SPC'!$I$4),OR('Visual SPC'!$K$4="",'Data Entry'!$F279='Visual SPC'!$K$4)),1,0))</f>
        <v/>
      </c>
      <c r="C279">
        <f>C278+B279</f>
        <v/>
      </c>
      <c r="D279">
        <f>IF(B279=1,INDEX('Data Entry'!$H$5:$BE$10004,279-4,'Visual SPC'!$B$3),"")</f>
        <v/>
      </c>
      <c r="E279">
        <f>IF(B279=1,D279,E278)</f>
        <v/>
      </c>
      <c r="F279">
        <f>IF(AND(B279=1,C279&gt;1,E278&lt;&gt;""),ABS(D279-E278),"")</f>
        <v/>
      </c>
    </row>
    <row r="280">
      <c r="A280" t="n">
        <v>280</v>
      </c>
      <c r="B280">
        <f>IF(INDEX('Data Entry'!$H$5:$BE$10004,280-4,'Visual SPC'!$B$3)="",0,IF(AND(OR('Visual SPC'!$C$4="",'Data Entry'!$C280&gt;='Visual SPC'!$C$4),OR('Visual SPC'!$E$4="",'Data Entry'!$C280&lt;='Visual SPC'!$E$4),OR('Visual SPC'!$G$4="",'Data Entry'!$D280='Visual SPC'!$G$4),OR('Visual SPC'!$I$4="",'Data Entry'!$E280='Visual SPC'!$I$4),OR('Visual SPC'!$K$4="",'Data Entry'!$F280='Visual SPC'!$K$4)),1,0))</f>
        <v/>
      </c>
      <c r="C280">
        <f>C279+B280</f>
        <v/>
      </c>
      <c r="D280">
        <f>IF(B280=1,INDEX('Data Entry'!$H$5:$BE$10004,280-4,'Visual SPC'!$B$3),"")</f>
        <v/>
      </c>
      <c r="E280">
        <f>IF(B280=1,D280,E279)</f>
        <v/>
      </c>
      <c r="F280">
        <f>IF(AND(B280=1,C280&gt;1,E279&lt;&gt;""),ABS(D280-E279),"")</f>
        <v/>
      </c>
    </row>
    <row r="281">
      <c r="A281" t="n">
        <v>281</v>
      </c>
      <c r="B281">
        <f>IF(INDEX('Data Entry'!$H$5:$BE$10004,281-4,'Visual SPC'!$B$3)="",0,IF(AND(OR('Visual SPC'!$C$4="",'Data Entry'!$C281&gt;='Visual SPC'!$C$4),OR('Visual SPC'!$E$4="",'Data Entry'!$C281&lt;='Visual SPC'!$E$4),OR('Visual SPC'!$G$4="",'Data Entry'!$D281='Visual SPC'!$G$4),OR('Visual SPC'!$I$4="",'Data Entry'!$E281='Visual SPC'!$I$4),OR('Visual SPC'!$K$4="",'Data Entry'!$F281='Visual SPC'!$K$4)),1,0))</f>
        <v/>
      </c>
      <c r="C281">
        <f>C280+B281</f>
        <v/>
      </c>
      <c r="D281">
        <f>IF(B281=1,INDEX('Data Entry'!$H$5:$BE$10004,281-4,'Visual SPC'!$B$3),"")</f>
        <v/>
      </c>
      <c r="E281">
        <f>IF(B281=1,D281,E280)</f>
        <v/>
      </c>
      <c r="F281">
        <f>IF(AND(B281=1,C281&gt;1,E280&lt;&gt;""),ABS(D281-E280),"")</f>
        <v/>
      </c>
    </row>
    <row r="282">
      <c r="A282" t="n">
        <v>282</v>
      </c>
      <c r="B282">
        <f>IF(INDEX('Data Entry'!$H$5:$BE$10004,282-4,'Visual SPC'!$B$3)="",0,IF(AND(OR('Visual SPC'!$C$4="",'Data Entry'!$C282&gt;='Visual SPC'!$C$4),OR('Visual SPC'!$E$4="",'Data Entry'!$C282&lt;='Visual SPC'!$E$4),OR('Visual SPC'!$G$4="",'Data Entry'!$D282='Visual SPC'!$G$4),OR('Visual SPC'!$I$4="",'Data Entry'!$E282='Visual SPC'!$I$4),OR('Visual SPC'!$K$4="",'Data Entry'!$F282='Visual SPC'!$K$4)),1,0))</f>
        <v/>
      </c>
      <c r="C282">
        <f>C281+B282</f>
        <v/>
      </c>
      <c r="D282">
        <f>IF(B282=1,INDEX('Data Entry'!$H$5:$BE$10004,282-4,'Visual SPC'!$B$3),"")</f>
        <v/>
      </c>
      <c r="E282">
        <f>IF(B282=1,D282,E281)</f>
        <v/>
      </c>
      <c r="F282">
        <f>IF(AND(B282=1,C282&gt;1,E281&lt;&gt;""),ABS(D282-E281),"")</f>
        <v/>
      </c>
    </row>
    <row r="283">
      <c r="A283" t="n">
        <v>283</v>
      </c>
      <c r="B283">
        <f>IF(INDEX('Data Entry'!$H$5:$BE$10004,283-4,'Visual SPC'!$B$3)="",0,IF(AND(OR('Visual SPC'!$C$4="",'Data Entry'!$C283&gt;='Visual SPC'!$C$4),OR('Visual SPC'!$E$4="",'Data Entry'!$C283&lt;='Visual SPC'!$E$4),OR('Visual SPC'!$G$4="",'Data Entry'!$D283='Visual SPC'!$G$4),OR('Visual SPC'!$I$4="",'Data Entry'!$E283='Visual SPC'!$I$4),OR('Visual SPC'!$K$4="",'Data Entry'!$F283='Visual SPC'!$K$4)),1,0))</f>
        <v/>
      </c>
      <c r="C283">
        <f>C282+B283</f>
        <v/>
      </c>
      <c r="D283">
        <f>IF(B283=1,INDEX('Data Entry'!$H$5:$BE$10004,283-4,'Visual SPC'!$B$3),"")</f>
        <v/>
      </c>
      <c r="E283">
        <f>IF(B283=1,D283,E282)</f>
        <v/>
      </c>
      <c r="F283">
        <f>IF(AND(B283=1,C283&gt;1,E282&lt;&gt;""),ABS(D283-E282),"")</f>
        <v/>
      </c>
    </row>
    <row r="284">
      <c r="A284" t="n">
        <v>284</v>
      </c>
      <c r="B284">
        <f>IF(INDEX('Data Entry'!$H$5:$BE$10004,284-4,'Visual SPC'!$B$3)="",0,IF(AND(OR('Visual SPC'!$C$4="",'Data Entry'!$C284&gt;='Visual SPC'!$C$4),OR('Visual SPC'!$E$4="",'Data Entry'!$C284&lt;='Visual SPC'!$E$4),OR('Visual SPC'!$G$4="",'Data Entry'!$D284='Visual SPC'!$G$4),OR('Visual SPC'!$I$4="",'Data Entry'!$E284='Visual SPC'!$I$4),OR('Visual SPC'!$K$4="",'Data Entry'!$F284='Visual SPC'!$K$4)),1,0))</f>
        <v/>
      </c>
      <c r="C284">
        <f>C283+B284</f>
        <v/>
      </c>
      <c r="D284">
        <f>IF(B284=1,INDEX('Data Entry'!$H$5:$BE$10004,284-4,'Visual SPC'!$B$3),"")</f>
        <v/>
      </c>
      <c r="E284">
        <f>IF(B284=1,D284,E283)</f>
        <v/>
      </c>
      <c r="F284">
        <f>IF(AND(B284=1,C284&gt;1,E283&lt;&gt;""),ABS(D284-E283),"")</f>
        <v/>
      </c>
    </row>
    <row r="285">
      <c r="A285" t="n">
        <v>285</v>
      </c>
      <c r="B285">
        <f>IF(INDEX('Data Entry'!$H$5:$BE$10004,285-4,'Visual SPC'!$B$3)="",0,IF(AND(OR('Visual SPC'!$C$4="",'Data Entry'!$C285&gt;='Visual SPC'!$C$4),OR('Visual SPC'!$E$4="",'Data Entry'!$C285&lt;='Visual SPC'!$E$4),OR('Visual SPC'!$G$4="",'Data Entry'!$D285='Visual SPC'!$G$4),OR('Visual SPC'!$I$4="",'Data Entry'!$E285='Visual SPC'!$I$4),OR('Visual SPC'!$K$4="",'Data Entry'!$F285='Visual SPC'!$K$4)),1,0))</f>
        <v/>
      </c>
      <c r="C285">
        <f>C284+B285</f>
        <v/>
      </c>
      <c r="D285">
        <f>IF(B285=1,INDEX('Data Entry'!$H$5:$BE$10004,285-4,'Visual SPC'!$B$3),"")</f>
        <v/>
      </c>
      <c r="E285">
        <f>IF(B285=1,D285,E284)</f>
        <v/>
      </c>
      <c r="F285">
        <f>IF(AND(B285=1,C285&gt;1,E284&lt;&gt;""),ABS(D285-E284),"")</f>
        <v/>
      </c>
    </row>
    <row r="286">
      <c r="A286" t="n">
        <v>286</v>
      </c>
      <c r="B286">
        <f>IF(INDEX('Data Entry'!$H$5:$BE$10004,286-4,'Visual SPC'!$B$3)="",0,IF(AND(OR('Visual SPC'!$C$4="",'Data Entry'!$C286&gt;='Visual SPC'!$C$4),OR('Visual SPC'!$E$4="",'Data Entry'!$C286&lt;='Visual SPC'!$E$4),OR('Visual SPC'!$G$4="",'Data Entry'!$D286='Visual SPC'!$G$4),OR('Visual SPC'!$I$4="",'Data Entry'!$E286='Visual SPC'!$I$4),OR('Visual SPC'!$K$4="",'Data Entry'!$F286='Visual SPC'!$K$4)),1,0))</f>
        <v/>
      </c>
      <c r="C286">
        <f>C285+B286</f>
        <v/>
      </c>
      <c r="D286">
        <f>IF(B286=1,INDEX('Data Entry'!$H$5:$BE$10004,286-4,'Visual SPC'!$B$3),"")</f>
        <v/>
      </c>
      <c r="E286">
        <f>IF(B286=1,D286,E285)</f>
        <v/>
      </c>
      <c r="F286">
        <f>IF(AND(B286=1,C286&gt;1,E285&lt;&gt;""),ABS(D286-E285),"")</f>
        <v/>
      </c>
    </row>
    <row r="287">
      <c r="A287" t="n">
        <v>287</v>
      </c>
      <c r="B287">
        <f>IF(INDEX('Data Entry'!$H$5:$BE$10004,287-4,'Visual SPC'!$B$3)="",0,IF(AND(OR('Visual SPC'!$C$4="",'Data Entry'!$C287&gt;='Visual SPC'!$C$4),OR('Visual SPC'!$E$4="",'Data Entry'!$C287&lt;='Visual SPC'!$E$4),OR('Visual SPC'!$G$4="",'Data Entry'!$D287='Visual SPC'!$G$4),OR('Visual SPC'!$I$4="",'Data Entry'!$E287='Visual SPC'!$I$4),OR('Visual SPC'!$K$4="",'Data Entry'!$F287='Visual SPC'!$K$4)),1,0))</f>
        <v/>
      </c>
      <c r="C287">
        <f>C286+B287</f>
        <v/>
      </c>
      <c r="D287">
        <f>IF(B287=1,INDEX('Data Entry'!$H$5:$BE$10004,287-4,'Visual SPC'!$B$3),"")</f>
        <v/>
      </c>
      <c r="E287">
        <f>IF(B287=1,D287,E286)</f>
        <v/>
      </c>
      <c r="F287">
        <f>IF(AND(B287=1,C287&gt;1,E286&lt;&gt;""),ABS(D287-E286),"")</f>
        <v/>
      </c>
    </row>
    <row r="288">
      <c r="A288" t="n">
        <v>288</v>
      </c>
      <c r="B288">
        <f>IF(INDEX('Data Entry'!$H$5:$BE$10004,288-4,'Visual SPC'!$B$3)="",0,IF(AND(OR('Visual SPC'!$C$4="",'Data Entry'!$C288&gt;='Visual SPC'!$C$4),OR('Visual SPC'!$E$4="",'Data Entry'!$C288&lt;='Visual SPC'!$E$4),OR('Visual SPC'!$G$4="",'Data Entry'!$D288='Visual SPC'!$G$4),OR('Visual SPC'!$I$4="",'Data Entry'!$E288='Visual SPC'!$I$4),OR('Visual SPC'!$K$4="",'Data Entry'!$F288='Visual SPC'!$K$4)),1,0))</f>
        <v/>
      </c>
      <c r="C288">
        <f>C287+B288</f>
        <v/>
      </c>
      <c r="D288">
        <f>IF(B288=1,INDEX('Data Entry'!$H$5:$BE$10004,288-4,'Visual SPC'!$B$3),"")</f>
        <v/>
      </c>
      <c r="E288">
        <f>IF(B288=1,D288,E287)</f>
        <v/>
      </c>
      <c r="F288">
        <f>IF(AND(B288=1,C288&gt;1,E287&lt;&gt;""),ABS(D288-E287),"")</f>
        <v/>
      </c>
    </row>
    <row r="289">
      <c r="A289" t="n">
        <v>289</v>
      </c>
      <c r="B289">
        <f>IF(INDEX('Data Entry'!$H$5:$BE$10004,289-4,'Visual SPC'!$B$3)="",0,IF(AND(OR('Visual SPC'!$C$4="",'Data Entry'!$C289&gt;='Visual SPC'!$C$4),OR('Visual SPC'!$E$4="",'Data Entry'!$C289&lt;='Visual SPC'!$E$4),OR('Visual SPC'!$G$4="",'Data Entry'!$D289='Visual SPC'!$G$4),OR('Visual SPC'!$I$4="",'Data Entry'!$E289='Visual SPC'!$I$4),OR('Visual SPC'!$K$4="",'Data Entry'!$F289='Visual SPC'!$K$4)),1,0))</f>
        <v/>
      </c>
      <c r="C289">
        <f>C288+B289</f>
        <v/>
      </c>
      <c r="D289">
        <f>IF(B289=1,INDEX('Data Entry'!$H$5:$BE$10004,289-4,'Visual SPC'!$B$3),"")</f>
        <v/>
      </c>
      <c r="E289">
        <f>IF(B289=1,D289,E288)</f>
        <v/>
      </c>
      <c r="F289">
        <f>IF(AND(B289=1,C289&gt;1,E288&lt;&gt;""),ABS(D289-E288),"")</f>
        <v/>
      </c>
    </row>
    <row r="290">
      <c r="A290" t="n">
        <v>290</v>
      </c>
      <c r="B290">
        <f>IF(INDEX('Data Entry'!$H$5:$BE$10004,290-4,'Visual SPC'!$B$3)="",0,IF(AND(OR('Visual SPC'!$C$4="",'Data Entry'!$C290&gt;='Visual SPC'!$C$4),OR('Visual SPC'!$E$4="",'Data Entry'!$C290&lt;='Visual SPC'!$E$4),OR('Visual SPC'!$G$4="",'Data Entry'!$D290='Visual SPC'!$G$4),OR('Visual SPC'!$I$4="",'Data Entry'!$E290='Visual SPC'!$I$4),OR('Visual SPC'!$K$4="",'Data Entry'!$F290='Visual SPC'!$K$4)),1,0))</f>
        <v/>
      </c>
      <c r="C290">
        <f>C289+B290</f>
        <v/>
      </c>
      <c r="D290">
        <f>IF(B290=1,INDEX('Data Entry'!$H$5:$BE$10004,290-4,'Visual SPC'!$B$3),"")</f>
        <v/>
      </c>
      <c r="E290">
        <f>IF(B290=1,D290,E289)</f>
        <v/>
      </c>
      <c r="F290">
        <f>IF(AND(B290=1,C290&gt;1,E289&lt;&gt;""),ABS(D290-E289),"")</f>
        <v/>
      </c>
    </row>
    <row r="291">
      <c r="A291" t="n">
        <v>291</v>
      </c>
      <c r="B291">
        <f>IF(INDEX('Data Entry'!$H$5:$BE$10004,291-4,'Visual SPC'!$B$3)="",0,IF(AND(OR('Visual SPC'!$C$4="",'Data Entry'!$C291&gt;='Visual SPC'!$C$4),OR('Visual SPC'!$E$4="",'Data Entry'!$C291&lt;='Visual SPC'!$E$4),OR('Visual SPC'!$G$4="",'Data Entry'!$D291='Visual SPC'!$G$4),OR('Visual SPC'!$I$4="",'Data Entry'!$E291='Visual SPC'!$I$4),OR('Visual SPC'!$K$4="",'Data Entry'!$F291='Visual SPC'!$K$4)),1,0))</f>
        <v/>
      </c>
      <c r="C291">
        <f>C290+B291</f>
        <v/>
      </c>
      <c r="D291">
        <f>IF(B291=1,INDEX('Data Entry'!$H$5:$BE$10004,291-4,'Visual SPC'!$B$3),"")</f>
        <v/>
      </c>
      <c r="E291">
        <f>IF(B291=1,D291,E290)</f>
        <v/>
      </c>
      <c r="F291">
        <f>IF(AND(B291=1,C291&gt;1,E290&lt;&gt;""),ABS(D291-E290),"")</f>
        <v/>
      </c>
    </row>
    <row r="292">
      <c r="A292" t="n">
        <v>292</v>
      </c>
      <c r="B292">
        <f>IF(INDEX('Data Entry'!$H$5:$BE$10004,292-4,'Visual SPC'!$B$3)="",0,IF(AND(OR('Visual SPC'!$C$4="",'Data Entry'!$C292&gt;='Visual SPC'!$C$4),OR('Visual SPC'!$E$4="",'Data Entry'!$C292&lt;='Visual SPC'!$E$4),OR('Visual SPC'!$G$4="",'Data Entry'!$D292='Visual SPC'!$G$4),OR('Visual SPC'!$I$4="",'Data Entry'!$E292='Visual SPC'!$I$4),OR('Visual SPC'!$K$4="",'Data Entry'!$F292='Visual SPC'!$K$4)),1,0))</f>
        <v/>
      </c>
      <c r="C292">
        <f>C291+B292</f>
        <v/>
      </c>
      <c r="D292">
        <f>IF(B292=1,INDEX('Data Entry'!$H$5:$BE$10004,292-4,'Visual SPC'!$B$3),"")</f>
        <v/>
      </c>
      <c r="E292">
        <f>IF(B292=1,D292,E291)</f>
        <v/>
      </c>
      <c r="F292">
        <f>IF(AND(B292=1,C292&gt;1,E291&lt;&gt;""),ABS(D292-E291),"")</f>
        <v/>
      </c>
    </row>
    <row r="293">
      <c r="A293" t="n">
        <v>293</v>
      </c>
      <c r="B293">
        <f>IF(INDEX('Data Entry'!$H$5:$BE$10004,293-4,'Visual SPC'!$B$3)="",0,IF(AND(OR('Visual SPC'!$C$4="",'Data Entry'!$C293&gt;='Visual SPC'!$C$4),OR('Visual SPC'!$E$4="",'Data Entry'!$C293&lt;='Visual SPC'!$E$4),OR('Visual SPC'!$G$4="",'Data Entry'!$D293='Visual SPC'!$G$4),OR('Visual SPC'!$I$4="",'Data Entry'!$E293='Visual SPC'!$I$4),OR('Visual SPC'!$K$4="",'Data Entry'!$F293='Visual SPC'!$K$4)),1,0))</f>
        <v/>
      </c>
      <c r="C293">
        <f>C292+B293</f>
        <v/>
      </c>
      <c r="D293">
        <f>IF(B293=1,INDEX('Data Entry'!$H$5:$BE$10004,293-4,'Visual SPC'!$B$3),"")</f>
        <v/>
      </c>
      <c r="E293">
        <f>IF(B293=1,D293,E292)</f>
        <v/>
      </c>
      <c r="F293">
        <f>IF(AND(B293=1,C293&gt;1,E292&lt;&gt;""),ABS(D293-E292),"")</f>
        <v/>
      </c>
    </row>
    <row r="294">
      <c r="A294" t="n">
        <v>294</v>
      </c>
      <c r="B294">
        <f>IF(INDEX('Data Entry'!$H$5:$BE$10004,294-4,'Visual SPC'!$B$3)="",0,IF(AND(OR('Visual SPC'!$C$4="",'Data Entry'!$C294&gt;='Visual SPC'!$C$4),OR('Visual SPC'!$E$4="",'Data Entry'!$C294&lt;='Visual SPC'!$E$4),OR('Visual SPC'!$G$4="",'Data Entry'!$D294='Visual SPC'!$G$4),OR('Visual SPC'!$I$4="",'Data Entry'!$E294='Visual SPC'!$I$4),OR('Visual SPC'!$K$4="",'Data Entry'!$F294='Visual SPC'!$K$4)),1,0))</f>
        <v/>
      </c>
      <c r="C294">
        <f>C293+B294</f>
        <v/>
      </c>
      <c r="D294">
        <f>IF(B294=1,INDEX('Data Entry'!$H$5:$BE$10004,294-4,'Visual SPC'!$B$3),"")</f>
        <v/>
      </c>
      <c r="E294">
        <f>IF(B294=1,D294,E293)</f>
        <v/>
      </c>
      <c r="F294">
        <f>IF(AND(B294=1,C294&gt;1,E293&lt;&gt;""),ABS(D294-E293),"")</f>
        <v/>
      </c>
    </row>
    <row r="295">
      <c r="A295" t="n">
        <v>295</v>
      </c>
      <c r="B295">
        <f>IF(INDEX('Data Entry'!$H$5:$BE$10004,295-4,'Visual SPC'!$B$3)="",0,IF(AND(OR('Visual SPC'!$C$4="",'Data Entry'!$C295&gt;='Visual SPC'!$C$4),OR('Visual SPC'!$E$4="",'Data Entry'!$C295&lt;='Visual SPC'!$E$4),OR('Visual SPC'!$G$4="",'Data Entry'!$D295='Visual SPC'!$G$4),OR('Visual SPC'!$I$4="",'Data Entry'!$E295='Visual SPC'!$I$4),OR('Visual SPC'!$K$4="",'Data Entry'!$F295='Visual SPC'!$K$4)),1,0))</f>
        <v/>
      </c>
      <c r="C295">
        <f>C294+B295</f>
        <v/>
      </c>
      <c r="D295">
        <f>IF(B295=1,INDEX('Data Entry'!$H$5:$BE$10004,295-4,'Visual SPC'!$B$3),"")</f>
        <v/>
      </c>
      <c r="E295">
        <f>IF(B295=1,D295,E294)</f>
        <v/>
      </c>
      <c r="F295">
        <f>IF(AND(B295=1,C295&gt;1,E294&lt;&gt;""),ABS(D295-E294),"")</f>
        <v/>
      </c>
    </row>
    <row r="296">
      <c r="A296" t="n">
        <v>296</v>
      </c>
      <c r="B296">
        <f>IF(INDEX('Data Entry'!$H$5:$BE$10004,296-4,'Visual SPC'!$B$3)="",0,IF(AND(OR('Visual SPC'!$C$4="",'Data Entry'!$C296&gt;='Visual SPC'!$C$4),OR('Visual SPC'!$E$4="",'Data Entry'!$C296&lt;='Visual SPC'!$E$4),OR('Visual SPC'!$G$4="",'Data Entry'!$D296='Visual SPC'!$G$4),OR('Visual SPC'!$I$4="",'Data Entry'!$E296='Visual SPC'!$I$4),OR('Visual SPC'!$K$4="",'Data Entry'!$F296='Visual SPC'!$K$4)),1,0))</f>
        <v/>
      </c>
      <c r="C296">
        <f>C295+B296</f>
        <v/>
      </c>
      <c r="D296">
        <f>IF(B296=1,INDEX('Data Entry'!$H$5:$BE$10004,296-4,'Visual SPC'!$B$3),"")</f>
        <v/>
      </c>
      <c r="E296">
        <f>IF(B296=1,D296,E295)</f>
        <v/>
      </c>
      <c r="F296">
        <f>IF(AND(B296=1,C296&gt;1,E295&lt;&gt;""),ABS(D296-E295),"")</f>
        <v/>
      </c>
    </row>
    <row r="297">
      <c r="A297" t="n">
        <v>297</v>
      </c>
      <c r="B297">
        <f>IF(INDEX('Data Entry'!$H$5:$BE$10004,297-4,'Visual SPC'!$B$3)="",0,IF(AND(OR('Visual SPC'!$C$4="",'Data Entry'!$C297&gt;='Visual SPC'!$C$4),OR('Visual SPC'!$E$4="",'Data Entry'!$C297&lt;='Visual SPC'!$E$4),OR('Visual SPC'!$G$4="",'Data Entry'!$D297='Visual SPC'!$G$4),OR('Visual SPC'!$I$4="",'Data Entry'!$E297='Visual SPC'!$I$4),OR('Visual SPC'!$K$4="",'Data Entry'!$F297='Visual SPC'!$K$4)),1,0))</f>
        <v/>
      </c>
      <c r="C297">
        <f>C296+B297</f>
        <v/>
      </c>
      <c r="D297">
        <f>IF(B297=1,INDEX('Data Entry'!$H$5:$BE$10004,297-4,'Visual SPC'!$B$3),"")</f>
        <v/>
      </c>
      <c r="E297">
        <f>IF(B297=1,D297,E296)</f>
        <v/>
      </c>
      <c r="F297">
        <f>IF(AND(B297=1,C297&gt;1,E296&lt;&gt;""),ABS(D297-E296),"")</f>
        <v/>
      </c>
    </row>
    <row r="298">
      <c r="A298" t="n">
        <v>298</v>
      </c>
      <c r="B298">
        <f>IF(INDEX('Data Entry'!$H$5:$BE$10004,298-4,'Visual SPC'!$B$3)="",0,IF(AND(OR('Visual SPC'!$C$4="",'Data Entry'!$C298&gt;='Visual SPC'!$C$4),OR('Visual SPC'!$E$4="",'Data Entry'!$C298&lt;='Visual SPC'!$E$4),OR('Visual SPC'!$G$4="",'Data Entry'!$D298='Visual SPC'!$G$4),OR('Visual SPC'!$I$4="",'Data Entry'!$E298='Visual SPC'!$I$4),OR('Visual SPC'!$K$4="",'Data Entry'!$F298='Visual SPC'!$K$4)),1,0))</f>
        <v/>
      </c>
      <c r="C298">
        <f>C297+B298</f>
        <v/>
      </c>
      <c r="D298">
        <f>IF(B298=1,INDEX('Data Entry'!$H$5:$BE$10004,298-4,'Visual SPC'!$B$3),"")</f>
        <v/>
      </c>
      <c r="E298">
        <f>IF(B298=1,D298,E297)</f>
        <v/>
      </c>
      <c r="F298">
        <f>IF(AND(B298=1,C298&gt;1,E297&lt;&gt;""),ABS(D298-E297),"")</f>
        <v/>
      </c>
    </row>
    <row r="299">
      <c r="A299" t="n">
        <v>299</v>
      </c>
      <c r="B299">
        <f>IF(INDEX('Data Entry'!$H$5:$BE$10004,299-4,'Visual SPC'!$B$3)="",0,IF(AND(OR('Visual SPC'!$C$4="",'Data Entry'!$C299&gt;='Visual SPC'!$C$4),OR('Visual SPC'!$E$4="",'Data Entry'!$C299&lt;='Visual SPC'!$E$4),OR('Visual SPC'!$G$4="",'Data Entry'!$D299='Visual SPC'!$G$4),OR('Visual SPC'!$I$4="",'Data Entry'!$E299='Visual SPC'!$I$4),OR('Visual SPC'!$K$4="",'Data Entry'!$F299='Visual SPC'!$K$4)),1,0))</f>
        <v/>
      </c>
      <c r="C299">
        <f>C298+B299</f>
        <v/>
      </c>
      <c r="D299">
        <f>IF(B299=1,INDEX('Data Entry'!$H$5:$BE$10004,299-4,'Visual SPC'!$B$3),"")</f>
        <v/>
      </c>
      <c r="E299">
        <f>IF(B299=1,D299,E298)</f>
        <v/>
      </c>
      <c r="F299">
        <f>IF(AND(B299=1,C299&gt;1,E298&lt;&gt;""),ABS(D299-E298),"")</f>
        <v/>
      </c>
    </row>
    <row r="300">
      <c r="A300" t="n">
        <v>300</v>
      </c>
      <c r="B300">
        <f>IF(INDEX('Data Entry'!$H$5:$BE$10004,300-4,'Visual SPC'!$B$3)="",0,IF(AND(OR('Visual SPC'!$C$4="",'Data Entry'!$C300&gt;='Visual SPC'!$C$4),OR('Visual SPC'!$E$4="",'Data Entry'!$C300&lt;='Visual SPC'!$E$4),OR('Visual SPC'!$G$4="",'Data Entry'!$D300='Visual SPC'!$G$4),OR('Visual SPC'!$I$4="",'Data Entry'!$E300='Visual SPC'!$I$4),OR('Visual SPC'!$K$4="",'Data Entry'!$F300='Visual SPC'!$K$4)),1,0))</f>
        <v/>
      </c>
      <c r="C300">
        <f>C299+B300</f>
        <v/>
      </c>
      <c r="D300">
        <f>IF(B300=1,INDEX('Data Entry'!$H$5:$BE$10004,300-4,'Visual SPC'!$B$3),"")</f>
        <v/>
      </c>
      <c r="E300">
        <f>IF(B300=1,D300,E299)</f>
        <v/>
      </c>
      <c r="F300">
        <f>IF(AND(B300=1,C300&gt;1,E299&lt;&gt;""),ABS(D300-E299),"")</f>
        <v/>
      </c>
    </row>
    <row r="301">
      <c r="A301" t="n">
        <v>301</v>
      </c>
      <c r="B301">
        <f>IF(INDEX('Data Entry'!$H$5:$BE$10004,301-4,'Visual SPC'!$B$3)="",0,IF(AND(OR('Visual SPC'!$C$4="",'Data Entry'!$C301&gt;='Visual SPC'!$C$4),OR('Visual SPC'!$E$4="",'Data Entry'!$C301&lt;='Visual SPC'!$E$4),OR('Visual SPC'!$G$4="",'Data Entry'!$D301='Visual SPC'!$G$4),OR('Visual SPC'!$I$4="",'Data Entry'!$E301='Visual SPC'!$I$4),OR('Visual SPC'!$K$4="",'Data Entry'!$F301='Visual SPC'!$K$4)),1,0))</f>
        <v/>
      </c>
      <c r="C301">
        <f>C300+B301</f>
        <v/>
      </c>
      <c r="D301">
        <f>IF(B301=1,INDEX('Data Entry'!$H$5:$BE$10004,301-4,'Visual SPC'!$B$3),"")</f>
        <v/>
      </c>
      <c r="E301">
        <f>IF(B301=1,D301,E300)</f>
        <v/>
      </c>
      <c r="F301">
        <f>IF(AND(B301=1,C301&gt;1,E300&lt;&gt;""),ABS(D301-E300),"")</f>
        <v/>
      </c>
    </row>
    <row r="302">
      <c r="A302" t="n">
        <v>302</v>
      </c>
      <c r="B302">
        <f>IF(INDEX('Data Entry'!$H$5:$BE$10004,302-4,'Visual SPC'!$B$3)="",0,IF(AND(OR('Visual SPC'!$C$4="",'Data Entry'!$C302&gt;='Visual SPC'!$C$4),OR('Visual SPC'!$E$4="",'Data Entry'!$C302&lt;='Visual SPC'!$E$4),OR('Visual SPC'!$G$4="",'Data Entry'!$D302='Visual SPC'!$G$4),OR('Visual SPC'!$I$4="",'Data Entry'!$E302='Visual SPC'!$I$4),OR('Visual SPC'!$K$4="",'Data Entry'!$F302='Visual SPC'!$K$4)),1,0))</f>
        <v/>
      </c>
      <c r="C302">
        <f>C301+B302</f>
        <v/>
      </c>
      <c r="D302">
        <f>IF(B302=1,INDEX('Data Entry'!$H$5:$BE$10004,302-4,'Visual SPC'!$B$3),"")</f>
        <v/>
      </c>
      <c r="E302">
        <f>IF(B302=1,D302,E301)</f>
        <v/>
      </c>
      <c r="F302">
        <f>IF(AND(B302=1,C302&gt;1,E301&lt;&gt;""),ABS(D302-E301),"")</f>
        <v/>
      </c>
    </row>
    <row r="303">
      <c r="A303" t="n">
        <v>303</v>
      </c>
      <c r="B303">
        <f>IF(INDEX('Data Entry'!$H$5:$BE$10004,303-4,'Visual SPC'!$B$3)="",0,IF(AND(OR('Visual SPC'!$C$4="",'Data Entry'!$C303&gt;='Visual SPC'!$C$4),OR('Visual SPC'!$E$4="",'Data Entry'!$C303&lt;='Visual SPC'!$E$4),OR('Visual SPC'!$G$4="",'Data Entry'!$D303='Visual SPC'!$G$4),OR('Visual SPC'!$I$4="",'Data Entry'!$E303='Visual SPC'!$I$4),OR('Visual SPC'!$K$4="",'Data Entry'!$F303='Visual SPC'!$K$4)),1,0))</f>
        <v/>
      </c>
      <c r="C303">
        <f>C302+B303</f>
        <v/>
      </c>
      <c r="D303">
        <f>IF(B303=1,INDEX('Data Entry'!$H$5:$BE$10004,303-4,'Visual SPC'!$B$3),"")</f>
        <v/>
      </c>
      <c r="E303">
        <f>IF(B303=1,D303,E302)</f>
        <v/>
      </c>
      <c r="F303">
        <f>IF(AND(B303=1,C303&gt;1,E302&lt;&gt;""),ABS(D303-E302),"")</f>
        <v/>
      </c>
    </row>
    <row r="304">
      <c r="A304" t="n">
        <v>304</v>
      </c>
      <c r="B304">
        <f>IF(INDEX('Data Entry'!$H$5:$BE$10004,304-4,'Visual SPC'!$B$3)="",0,IF(AND(OR('Visual SPC'!$C$4="",'Data Entry'!$C304&gt;='Visual SPC'!$C$4),OR('Visual SPC'!$E$4="",'Data Entry'!$C304&lt;='Visual SPC'!$E$4),OR('Visual SPC'!$G$4="",'Data Entry'!$D304='Visual SPC'!$G$4),OR('Visual SPC'!$I$4="",'Data Entry'!$E304='Visual SPC'!$I$4),OR('Visual SPC'!$K$4="",'Data Entry'!$F304='Visual SPC'!$K$4)),1,0))</f>
        <v/>
      </c>
      <c r="C304">
        <f>C303+B304</f>
        <v/>
      </c>
      <c r="D304">
        <f>IF(B304=1,INDEX('Data Entry'!$H$5:$BE$10004,304-4,'Visual SPC'!$B$3),"")</f>
        <v/>
      </c>
      <c r="E304">
        <f>IF(B304=1,D304,E303)</f>
        <v/>
      </c>
      <c r="F304">
        <f>IF(AND(B304=1,C304&gt;1,E303&lt;&gt;""),ABS(D304-E303),"")</f>
        <v/>
      </c>
    </row>
    <row r="305">
      <c r="A305" t="n">
        <v>305</v>
      </c>
      <c r="B305">
        <f>IF(INDEX('Data Entry'!$H$5:$BE$10004,305-4,'Visual SPC'!$B$3)="",0,IF(AND(OR('Visual SPC'!$C$4="",'Data Entry'!$C305&gt;='Visual SPC'!$C$4),OR('Visual SPC'!$E$4="",'Data Entry'!$C305&lt;='Visual SPC'!$E$4),OR('Visual SPC'!$G$4="",'Data Entry'!$D305='Visual SPC'!$G$4),OR('Visual SPC'!$I$4="",'Data Entry'!$E305='Visual SPC'!$I$4),OR('Visual SPC'!$K$4="",'Data Entry'!$F305='Visual SPC'!$K$4)),1,0))</f>
        <v/>
      </c>
      <c r="C305">
        <f>C304+B305</f>
        <v/>
      </c>
      <c r="D305">
        <f>IF(B305=1,INDEX('Data Entry'!$H$5:$BE$10004,305-4,'Visual SPC'!$B$3),"")</f>
        <v/>
      </c>
      <c r="E305">
        <f>IF(B305=1,D305,E304)</f>
        <v/>
      </c>
      <c r="F305">
        <f>IF(AND(B305=1,C305&gt;1,E304&lt;&gt;""),ABS(D305-E304),"")</f>
        <v/>
      </c>
    </row>
    <row r="306">
      <c r="A306" t="n">
        <v>306</v>
      </c>
      <c r="B306">
        <f>IF(INDEX('Data Entry'!$H$5:$BE$10004,306-4,'Visual SPC'!$B$3)="",0,IF(AND(OR('Visual SPC'!$C$4="",'Data Entry'!$C306&gt;='Visual SPC'!$C$4),OR('Visual SPC'!$E$4="",'Data Entry'!$C306&lt;='Visual SPC'!$E$4),OR('Visual SPC'!$G$4="",'Data Entry'!$D306='Visual SPC'!$G$4),OR('Visual SPC'!$I$4="",'Data Entry'!$E306='Visual SPC'!$I$4),OR('Visual SPC'!$K$4="",'Data Entry'!$F306='Visual SPC'!$K$4)),1,0))</f>
        <v/>
      </c>
      <c r="C306">
        <f>C305+B306</f>
        <v/>
      </c>
      <c r="D306">
        <f>IF(B306=1,INDEX('Data Entry'!$H$5:$BE$10004,306-4,'Visual SPC'!$B$3),"")</f>
        <v/>
      </c>
      <c r="E306">
        <f>IF(B306=1,D306,E305)</f>
        <v/>
      </c>
      <c r="F306">
        <f>IF(AND(B306=1,C306&gt;1,E305&lt;&gt;""),ABS(D306-E305),"")</f>
        <v/>
      </c>
    </row>
    <row r="307">
      <c r="A307" t="n">
        <v>307</v>
      </c>
      <c r="B307">
        <f>IF(INDEX('Data Entry'!$H$5:$BE$10004,307-4,'Visual SPC'!$B$3)="",0,IF(AND(OR('Visual SPC'!$C$4="",'Data Entry'!$C307&gt;='Visual SPC'!$C$4),OR('Visual SPC'!$E$4="",'Data Entry'!$C307&lt;='Visual SPC'!$E$4),OR('Visual SPC'!$G$4="",'Data Entry'!$D307='Visual SPC'!$G$4),OR('Visual SPC'!$I$4="",'Data Entry'!$E307='Visual SPC'!$I$4),OR('Visual SPC'!$K$4="",'Data Entry'!$F307='Visual SPC'!$K$4)),1,0))</f>
        <v/>
      </c>
      <c r="C307">
        <f>C306+B307</f>
        <v/>
      </c>
      <c r="D307">
        <f>IF(B307=1,INDEX('Data Entry'!$H$5:$BE$10004,307-4,'Visual SPC'!$B$3),"")</f>
        <v/>
      </c>
      <c r="E307">
        <f>IF(B307=1,D307,E306)</f>
        <v/>
      </c>
      <c r="F307">
        <f>IF(AND(B307=1,C307&gt;1,E306&lt;&gt;""),ABS(D307-E306),"")</f>
        <v/>
      </c>
    </row>
    <row r="308">
      <c r="A308" t="n">
        <v>308</v>
      </c>
      <c r="B308">
        <f>IF(INDEX('Data Entry'!$H$5:$BE$10004,308-4,'Visual SPC'!$B$3)="",0,IF(AND(OR('Visual SPC'!$C$4="",'Data Entry'!$C308&gt;='Visual SPC'!$C$4),OR('Visual SPC'!$E$4="",'Data Entry'!$C308&lt;='Visual SPC'!$E$4),OR('Visual SPC'!$G$4="",'Data Entry'!$D308='Visual SPC'!$G$4),OR('Visual SPC'!$I$4="",'Data Entry'!$E308='Visual SPC'!$I$4),OR('Visual SPC'!$K$4="",'Data Entry'!$F308='Visual SPC'!$K$4)),1,0))</f>
        <v/>
      </c>
      <c r="C308">
        <f>C307+B308</f>
        <v/>
      </c>
      <c r="D308">
        <f>IF(B308=1,INDEX('Data Entry'!$H$5:$BE$10004,308-4,'Visual SPC'!$B$3),"")</f>
        <v/>
      </c>
      <c r="E308">
        <f>IF(B308=1,D308,E307)</f>
        <v/>
      </c>
      <c r="F308">
        <f>IF(AND(B308=1,C308&gt;1,E307&lt;&gt;""),ABS(D308-E307),"")</f>
        <v/>
      </c>
    </row>
    <row r="309">
      <c r="A309" t="n">
        <v>309</v>
      </c>
      <c r="B309">
        <f>IF(INDEX('Data Entry'!$H$5:$BE$10004,309-4,'Visual SPC'!$B$3)="",0,IF(AND(OR('Visual SPC'!$C$4="",'Data Entry'!$C309&gt;='Visual SPC'!$C$4),OR('Visual SPC'!$E$4="",'Data Entry'!$C309&lt;='Visual SPC'!$E$4),OR('Visual SPC'!$G$4="",'Data Entry'!$D309='Visual SPC'!$G$4),OR('Visual SPC'!$I$4="",'Data Entry'!$E309='Visual SPC'!$I$4),OR('Visual SPC'!$K$4="",'Data Entry'!$F309='Visual SPC'!$K$4)),1,0))</f>
        <v/>
      </c>
      <c r="C309">
        <f>C308+B309</f>
        <v/>
      </c>
      <c r="D309">
        <f>IF(B309=1,INDEX('Data Entry'!$H$5:$BE$10004,309-4,'Visual SPC'!$B$3),"")</f>
        <v/>
      </c>
      <c r="E309">
        <f>IF(B309=1,D309,E308)</f>
        <v/>
      </c>
      <c r="F309">
        <f>IF(AND(B309=1,C309&gt;1,E308&lt;&gt;""),ABS(D309-E308),"")</f>
        <v/>
      </c>
    </row>
    <row r="310">
      <c r="A310" t="n">
        <v>310</v>
      </c>
      <c r="B310">
        <f>IF(INDEX('Data Entry'!$H$5:$BE$10004,310-4,'Visual SPC'!$B$3)="",0,IF(AND(OR('Visual SPC'!$C$4="",'Data Entry'!$C310&gt;='Visual SPC'!$C$4),OR('Visual SPC'!$E$4="",'Data Entry'!$C310&lt;='Visual SPC'!$E$4),OR('Visual SPC'!$G$4="",'Data Entry'!$D310='Visual SPC'!$G$4),OR('Visual SPC'!$I$4="",'Data Entry'!$E310='Visual SPC'!$I$4),OR('Visual SPC'!$K$4="",'Data Entry'!$F310='Visual SPC'!$K$4)),1,0))</f>
        <v/>
      </c>
      <c r="C310">
        <f>C309+B310</f>
        <v/>
      </c>
      <c r="D310">
        <f>IF(B310=1,INDEX('Data Entry'!$H$5:$BE$10004,310-4,'Visual SPC'!$B$3),"")</f>
        <v/>
      </c>
      <c r="E310">
        <f>IF(B310=1,D310,E309)</f>
        <v/>
      </c>
      <c r="F310">
        <f>IF(AND(B310=1,C310&gt;1,E309&lt;&gt;""),ABS(D310-E309),"")</f>
        <v/>
      </c>
    </row>
    <row r="311">
      <c r="A311" t="n">
        <v>311</v>
      </c>
      <c r="B311">
        <f>IF(INDEX('Data Entry'!$H$5:$BE$10004,311-4,'Visual SPC'!$B$3)="",0,IF(AND(OR('Visual SPC'!$C$4="",'Data Entry'!$C311&gt;='Visual SPC'!$C$4),OR('Visual SPC'!$E$4="",'Data Entry'!$C311&lt;='Visual SPC'!$E$4),OR('Visual SPC'!$G$4="",'Data Entry'!$D311='Visual SPC'!$G$4),OR('Visual SPC'!$I$4="",'Data Entry'!$E311='Visual SPC'!$I$4),OR('Visual SPC'!$K$4="",'Data Entry'!$F311='Visual SPC'!$K$4)),1,0))</f>
        <v/>
      </c>
      <c r="C311">
        <f>C310+B311</f>
        <v/>
      </c>
      <c r="D311">
        <f>IF(B311=1,INDEX('Data Entry'!$H$5:$BE$10004,311-4,'Visual SPC'!$B$3),"")</f>
        <v/>
      </c>
      <c r="E311">
        <f>IF(B311=1,D311,E310)</f>
        <v/>
      </c>
      <c r="F311">
        <f>IF(AND(B311=1,C311&gt;1,E310&lt;&gt;""),ABS(D311-E310),"")</f>
        <v/>
      </c>
    </row>
    <row r="312">
      <c r="A312" t="n">
        <v>312</v>
      </c>
      <c r="B312">
        <f>IF(INDEX('Data Entry'!$H$5:$BE$10004,312-4,'Visual SPC'!$B$3)="",0,IF(AND(OR('Visual SPC'!$C$4="",'Data Entry'!$C312&gt;='Visual SPC'!$C$4),OR('Visual SPC'!$E$4="",'Data Entry'!$C312&lt;='Visual SPC'!$E$4),OR('Visual SPC'!$G$4="",'Data Entry'!$D312='Visual SPC'!$G$4),OR('Visual SPC'!$I$4="",'Data Entry'!$E312='Visual SPC'!$I$4),OR('Visual SPC'!$K$4="",'Data Entry'!$F312='Visual SPC'!$K$4)),1,0))</f>
        <v/>
      </c>
      <c r="C312">
        <f>C311+B312</f>
        <v/>
      </c>
      <c r="D312">
        <f>IF(B312=1,INDEX('Data Entry'!$H$5:$BE$10004,312-4,'Visual SPC'!$B$3),"")</f>
        <v/>
      </c>
      <c r="E312">
        <f>IF(B312=1,D312,E311)</f>
        <v/>
      </c>
      <c r="F312">
        <f>IF(AND(B312=1,C312&gt;1,E311&lt;&gt;""),ABS(D312-E311),"")</f>
        <v/>
      </c>
    </row>
    <row r="313">
      <c r="A313" t="n">
        <v>313</v>
      </c>
      <c r="B313">
        <f>IF(INDEX('Data Entry'!$H$5:$BE$10004,313-4,'Visual SPC'!$B$3)="",0,IF(AND(OR('Visual SPC'!$C$4="",'Data Entry'!$C313&gt;='Visual SPC'!$C$4),OR('Visual SPC'!$E$4="",'Data Entry'!$C313&lt;='Visual SPC'!$E$4),OR('Visual SPC'!$G$4="",'Data Entry'!$D313='Visual SPC'!$G$4),OR('Visual SPC'!$I$4="",'Data Entry'!$E313='Visual SPC'!$I$4),OR('Visual SPC'!$K$4="",'Data Entry'!$F313='Visual SPC'!$K$4)),1,0))</f>
        <v/>
      </c>
      <c r="C313">
        <f>C312+B313</f>
        <v/>
      </c>
      <c r="D313">
        <f>IF(B313=1,INDEX('Data Entry'!$H$5:$BE$10004,313-4,'Visual SPC'!$B$3),"")</f>
        <v/>
      </c>
      <c r="E313">
        <f>IF(B313=1,D313,E312)</f>
        <v/>
      </c>
      <c r="F313">
        <f>IF(AND(B313=1,C313&gt;1,E312&lt;&gt;""),ABS(D313-E312),"")</f>
        <v/>
      </c>
    </row>
    <row r="314">
      <c r="A314" t="n">
        <v>314</v>
      </c>
      <c r="B314">
        <f>IF(INDEX('Data Entry'!$H$5:$BE$10004,314-4,'Visual SPC'!$B$3)="",0,IF(AND(OR('Visual SPC'!$C$4="",'Data Entry'!$C314&gt;='Visual SPC'!$C$4),OR('Visual SPC'!$E$4="",'Data Entry'!$C314&lt;='Visual SPC'!$E$4),OR('Visual SPC'!$G$4="",'Data Entry'!$D314='Visual SPC'!$G$4),OR('Visual SPC'!$I$4="",'Data Entry'!$E314='Visual SPC'!$I$4),OR('Visual SPC'!$K$4="",'Data Entry'!$F314='Visual SPC'!$K$4)),1,0))</f>
        <v/>
      </c>
      <c r="C314">
        <f>C313+B314</f>
        <v/>
      </c>
      <c r="D314">
        <f>IF(B314=1,INDEX('Data Entry'!$H$5:$BE$10004,314-4,'Visual SPC'!$B$3),"")</f>
        <v/>
      </c>
      <c r="E314">
        <f>IF(B314=1,D314,E313)</f>
        <v/>
      </c>
      <c r="F314">
        <f>IF(AND(B314=1,C314&gt;1,E313&lt;&gt;""),ABS(D314-E313),"")</f>
        <v/>
      </c>
    </row>
    <row r="315">
      <c r="A315" t="n">
        <v>315</v>
      </c>
      <c r="B315">
        <f>IF(INDEX('Data Entry'!$H$5:$BE$10004,315-4,'Visual SPC'!$B$3)="",0,IF(AND(OR('Visual SPC'!$C$4="",'Data Entry'!$C315&gt;='Visual SPC'!$C$4),OR('Visual SPC'!$E$4="",'Data Entry'!$C315&lt;='Visual SPC'!$E$4),OR('Visual SPC'!$G$4="",'Data Entry'!$D315='Visual SPC'!$G$4),OR('Visual SPC'!$I$4="",'Data Entry'!$E315='Visual SPC'!$I$4),OR('Visual SPC'!$K$4="",'Data Entry'!$F315='Visual SPC'!$K$4)),1,0))</f>
        <v/>
      </c>
      <c r="C315">
        <f>C314+B315</f>
        <v/>
      </c>
      <c r="D315">
        <f>IF(B315=1,INDEX('Data Entry'!$H$5:$BE$10004,315-4,'Visual SPC'!$B$3),"")</f>
        <v/>
      </c>
      <c r="E315">
        <f>IF(B315=1,D315,E314)</f>
        <v/>
      </c>
      <c r="F315">
        <f>IF(AND(B315=1,C315&gt;1,E314&lt;&gt;""),ABS(D315-E314),"")</f>
        <v/>
      </c>
    </row>
    <row r="316">
      <c r="A316" t="n">
        <v>316</v>
      </c>
      <c r="B316">
        <f>IF(INDEX('Data Entry'!$H$5:$BE$10004,316-4,'Visual SPC'!$B$3)="",0,IF(AND(OR('Visual SPC'!$C$4="",'Data Entry'!$C316&gt;='Visual SPC'!$C$4),OR('Visual SPC'!$E$4="",'Data Entry'!$C316&lt;='Visual SPC'!$E$4),OR('Visual SPC'!$G$4="",'Data Entry'!$D316='Visual SPC'!$G$4),OR('Visual SPC'!$I$4="",'Data Entry'!$E316='Visual SPC'!$I$4),OR('Visual SPC'!$K$4="",'Data Entry'!$F316='Visual SPC'!$K$4)),1,0))</f>
        <v/>
      </c>
      <c r="C316">
        <f>C315+B316</f>
        <v/>
      </c>
      <c r="D316">
        <f>IF(B316=1,INDEX('Data Entry'!$H$5:$BE$10004,316-4,'Visual SPC'!$B$3),"")</f>
        <v/>
      </c>
      <c r="E316">
        <f>IF(B316=1,D316,E315)</f>
        <v/>
      </c>
      <c r="F316">
        <f>IF(AND(B316=1,C316&gt;1,E315&lt;&gt;""),ABS(D316-E315),"")</f>
        <v/>
      </c>
    </row>
    <row r="317">
      <c r="A317" t="n">
        <v>317</v>
      </c>
      <c r="B317">
        <f>IF(INDEX('Data Entry'!$H$5:$BE$10004,317-4,'Visual SPC'!$B$3)="",0,IF(AND(OR('Visual SPC'!$C$4="",'Data Entry'!$C317&gt;='Visual SPC'!$C$4),OR('Visual SPC'!$E$4="",'Data Entry'!$C317&lt;='Visual SPC'!$E$4),OR('Visual SPC'!$G$4="",'Data Entry'!$D317='Visual SPC'!$G$4),OR('Visual SPC'!$I$4="",'Data Entry'!$E317='Visual SPC'!$I$4),OR('Visual SPC'!$K$4="",'Data Entry'!$F317='Visual SPC'!$K$4)),1,0))</f>
        <v/>
      </c>
      <c r="C317">
        <f>C316+B317</f>
        <v/>
      </c>
      <c r="D317">
        <f>IF(B317=1,INDEX('Data Entry'!$H$5:$BE$10004,317-4,'Visual SPC'!$B$3),"")</f>
        <v/>
      </c>
      <c r="E317">
        <f>IF(B317=1,D317,E316)</f>
        <v/>
      </c>
      <c r="F317">
        <f>IF(AND(B317=1,C317&gt;1,E316&lt;&gt;""),ABS(D317-E316),"")</f>
        <v/>
      </c>
    </row>
    <row r="318">
      <c r="A318" t="n">
        <v>318</v>
      </c>
      <c r="B318">
        <f>IF(INDEX('Data Entry'!$H$5:$BE$10004,318-4,'Visual SPC'!$B$3)="",0,IF(AND(OR('Visual SPC'!$C$4="",'Data Entry'!$C318&gt;='Visual SPC'!$C$4),OR('Visual SPC'!$E$4="",'Data Entry'!$C318&lt;='Visual SPC'!$E$4),OR('Visual SPC'!$G$4="",'Data Entry'!$D318='Visual SPC'!$G$4),OR('Visual SPC'!$I$4="",'Data Entry'!$E318='Visual SPC'!$I$4),OR('Visual SPC'!$K$4="",'Data Entry'!$F318='Visual SPC'!$K$4)),1,0))</f>
        <v/>
      </c>
      <c r="C318">
        <f>C317+B318</f>
        <v/>
      </c>
      <c r="D318">
        <f>IF(B318=1,INDEX('Data Entry'!$H$5:$BE$10004,318-4,'Visual SPC'!$B$3),"")</f>
        <v/>
      </c>
      <c r="E318">
        <f>IF(B318=1,D318,E317)</f>
        <v/>
      </c>
      <c r="F318">
        <f>IF(AND(B318=1,C318&gt;1,E317&lt;&gt;""),ABS(D318-E317),"")</f>
        <v/>
      </c>
    </row>
    <row r="319">
      <c r="A319" t="n">
        <v>319</v>
      </c>
      <c r="B319">
        <f>IF(INDEX('Data Entry'!$H$5:$BE$10004,319-4,'Visual SPC'!$B$3)="",0,IF(AND(OR('Visual SPC'!$C$4="",'Data Entry'!$C319&gt;='Visual SPC'!$C$4),OR('Visual SPC'!$E$4="",'Data Entry'!$C319&lt;='Visual SPC'!$E$4),OR('Visual SPC'!$G$4="",'Data Entry'!$D319='Visual SPC'!$G$4),OR('Visual SPC'!$I$4="",'Data Entry'!$E319='Visual SPC'!$I$4),OR('Visual SPC'!$K$4="",'Data Entry'!$F319='Visual SPC'!$K$4)),1,0))</f>
        <v/>
      </c>
      <c r="C319">
        <f>C318+B319</f>
        <v/>
      </c>
      <c r="D319">
        <f>IF(B319=1,INDEX('Data Entry'!$H$5:$BE$10004,319-4,'Visual SPC'!$B$3),"")</f>
        <v/>
      </c>
      <c r="E319">
        <f>IF(B319=1,D319,E318)</f>
        <v/>
      </c>
      <c r="F319">
        <f>IF(AND(B319=1,C319&gt;1,E318&lt;&gt;""),ABS(D319-E318),"")</f>
        <v/>
      </c>
    </row>
    <row r="320">
      <c r="A320" t="n">
        <v>320</v>
      </c>
      <c r="B320">
        <f>IF(INDEX('Data Entry'!$H$5:$BE$10004,320-4,'Visual SPC'!$B$3)="",0,IF(AND(OR('Visual SPC'!$C$4="",'Data Entry'!$C320&gt;='Visual SPC'!$C$4),OR('Visual SPC'!$E$4="",'Data Entry'!$C320&lt;='Visual SPC'!$E$4),OR('Visual SPC'!$G$4="",'Data Entry'!$D320='Visual SPC'!$G$4),OR('Visual SPC'!$I$4="",'Data Entry'!$E320='Visual SPC'!$I$4),OR('Visual SPC'!$K$4="",'Data Entry'!$F320='Visual SPC'!$K$4)),1,0))</f>
        <v/>
      </c>
      <c r="C320">
        <f>C319+B320</f>
        <v/>
      </c>
      <c r="D320">
        <f>IF(B320=1,INDEX('Data Entry'!$H$5:$BE$10004,320-4,'Visual SPC'!$B$3),"")</f>
        <v/>
      </c>
      <c r="E320">
        <f>IF(B320=1,D320,E319)</f>
        <v/>
      </c>
      <c r="F320">
        <f>IF(AND(B320=1,C320&gt;1,E319&lt;&gt;""),ABS(D320-E319),"")</f>
        <v/>
      </c>
    </row>
    <row r="321">
      <c r="A321" t="n">
        <v>321</v>
      </c>
      <c r="B321">
        <f>IF(INDEX('Data Entry'!$H$5:$BE$10004,321-4,'Visual SPC'!$B$3)="",0,IF(AND(OR('Visual SPC'!$C$4="",'Data Entry'!$C321&gt;='Visual SPC'!$C$4),OR('Visual SPC'!$E$4="",'Data Entry'!$C321&lt;='Visual SPC'!$E$4),OR('Visual SPC'!$G$4="",'Data Entry'!$D321='Visual SPC'!$G$4),OR('Visual SPC'!$I$4="",'Data Entry'!$E321='Visual SPC'!$I$4),OR('Visual SPC'!$K$4="",'Data Entry'!$F321='Visual SPC'!$K$4)),1,0))</f>
        <v/>
      </c>
      <c r="C321">
        <f>C320+B321</f>
        <v/>
      </c>
      <c r="D321">
        <f>IF(B321=1,INDEX('Data Entry'!$H$5:$BE$10004,321-4,'Visual SPC'!$B$3),"")</f>
        <v/>
      </c>
      <c r="E321">
        <f>IF(B321=1,D321,E320)</f>
        <v/>
      </c>
      <c r="F321">
        <f>IF(AND(B321=1,C321&gt;1,E320&lt;&gt;""),ABS(D321-E320),"")</f>
        <v/>
      </c>
    </row>
    <row r="322">
      <c r="A322" t="n">
        <v>322</v>
      </c>
      <c r="B322">
        <f>IF(INDEX('Data Entry'!$H$5:$BE$10004,322-4,'Visual SPC'!$B$3)="",0,IF(AND(OR('Visual SPC'!$C$4="",'Data Entry'!$C322&gt;='Visual SPC'!$C$4),OR('Visual SPC'!$E$4="",'Data Entry'!$C322&lt;='Visual SPC'!$E$4),OR('Visual SPC'!$G$4="",'Data Entry'!$D322='Visual SPC'!$G$4),OR('Visual SPC'!$I$4="",'Data Entry'!$E322='Visual SPC'!$I$4),OR('Visual SPC'!$K$4="",'Data Entry'!$F322='Visual SPC'!$K$4)),1,0))</f>
        <v/>
      </c>
      <c r="C322">
        <f>C321+B322</f>
        <v/>
      </c>
      <c r="D322">
        <f>IF(B322=1,INDEX('Data Entry'!$H$5:$BE$10004,322-4,'Visual SPC'!$B$3),"")</f>
        <v/>
      </c>
      <c r="E322">
        <f>IF(B322=1,D322,E321)</f>
        <v/>
      </c>
      <c r="F322">
        <f>IF(AND(B322=1,C322&gt;1,E321&lt;&gt;""),ABS(D322-E321),"")</f>
        <v/>
      </c>
    </row>
    <row r="323">
      <c r="A323" t="n">
        <v>323</v>
      </c>
      <c r="B323">
        <f>IF(INDEX('Data Entry'!$H$5:$BE$10004,323-4,'Visual SPC'!$B$3)="",0,IF(AND(OR('Visual SPC'!$C$4="",'Data Entry'!$C323&gt;='Visual SPC'!$C$4),OR('Visual SPC'!$E$4="",'Data Entry'!$C323&lt;='Visual SPC'!$E$4),OR('Visual SPC'!$G$4="",'Data Entry'!$D323='Visual SPC'!$G$4),OR('Visual SPC'!$I$4="",'Data Entry'!$E323='Visual SPC'!$I$4),OR('Visual SPC'!$K$4="",'Data Entry'!$F323='Visual SPC'!$K$4)),1,0))</f>
        <v/>
      </c>
      <c r="C323">
        <f>C322+B323</f>
        <v/>
      </c>
      <c r="D323">
        <f>IF(B323=1,INDEX('Data Entry'!$H$5:$BE$10004,323-4,'Visual SPC'!$B$3),"")</f>
        <v/>
      </c>
      <c r="E323">
        <f>IF(B323=1,D323,E322)</f>
        <v/>
      </c>
      <c r="F323">
        <f>IF(AND(B323=1,C323&gt;1,E322&lt;&gt;""),ABS(D323-E322),"")</f>
        <v/>
      </c>
    </row>
    <row r="324">
      <c r="A324" t="n">
        <v>324</v>
      </c>
      <c r="B324">
        <f>IF(INDEX('Data Entry'!$H$5:$BE$10004,324-4,'Visual SPC'!$B$3)="",0,IF(AND(OR('Visual SPC'!$C$4="",'Data Entry'!$C324&gt;='Visual SPC'!$C$4),OR('Visual SPC'!$E$4="",'Data Entry'!$C324&lt;='Visual SPC'!$E$4),OR('Visual SPC'!$G$4="",'Data Entry'!$D324='Visual SPC'!$G$4),OR('Visual SPC'!$I$4="",'Data Entry'!$E324='Visual SPC'!$I$4),OR('Visual SPC'!$K$4="",'Data Entry'!$F324='Visual SPC'!$K$4)),1,0))</f>
        <v/>
      </c>
      <c r="C324">
        <f>C323+B324</f>
        <v/>
      </c>
      <c r="D324">
        <f>IF(B324=1,INDEX('Data Entry'!$H$5:$BE$10004,324-4,'Visual SPC'!$B$3),"")</f>
        <v/>
      </c>
      <c r="E324">
        <f>IF(B324=1,D324,E323)</f>
        <v/>
      </c>
      <c r="F324">
        <f>IF(AND(B324=1,C324&gt;1,E323&lt;&gt;""),ABS(D324-E323),"")</f>
        <v/>
      </c>
    </row>
    <row r="325">
      <c r="A325" t="n">
        <v>325</v>
      </c>
      <c r="B325">
        <f>IF(INDEX('Data Entry'!$H$5:$BE$10004,325-4,'Visual SPC'!$B$3)="",0,IF(AND(OR('Visual SPC'!$C$4="",'Data Entry'!$C325&gt;='Visual SPC'!$C$4),OR('Visual SPC'!$E$4="",'Data Entry'!$C325&lt;='Visual SPC'!$E$4),OR('Visual SPC'!$G$4="",'Data Entry'!$D325='Visual SPC'!$G$4),OR('Visual SPC'!$I$4="",'Data Entry'!$E325='Visual SPC'!$I$4),OR('Visual SPC'!$K$4="",'Data Entry'!$F325='Visual SPC'!$K$4)),1,0))</f>
        <v/>
      </c>
      <c r="C325">
        <f>C324+B325</f>
        <v/>
      </c>
      <c r="D325">
        <f>IF(B325=1,INDEX('Data Entry'!$H$5:$BE$10004,325-4,'Visual SPC'!$B$3),"")</f>
        <v/>
      </c>
      <c r="E325">
        <f>IF(B325=1,D325,E324)</f>
        <v/>
      </c>
      <c r="F325">
        <f>IF(AND(B325=1,C325&gt;1,E324&lt;&gt;""),ABS(D325-E324),"")</f>
        <v/>
      </c>
    </row>
    <row r="326">
      <c r="A326" t="n">
        <v>326</v>
      </c>
      <c r="B326">
        <f>IF(INDEX('Data Entry'!$H$5:$BE$10004,326-4,'Visual SPC'!$B$3)="",0,IF(AND(OR('Visual SPC'!$C$4="",'Data Entry'!$C326&gt;='Visual SPC'!$C$4),OR('Visual SPC'!$E$4="",'Data Entry'!$C326&lt;='Visual SPC'!$E$4),OR('Visual SPC'!$G$4="",'Data Entry'!$D326='Visual SPC'!$G$4),OR('Visual SPC'!$I$4="",'Data Entry'!$E326='Visual SPC'!$I$4),OR('Visual SPC'!$K$4="",'Data Entry'!$F326='Visual SPC'!$K$4)),1,0))</f>
        <v/>
      </c>
      <c r="C326">
        <f>C325+B326</f>
        <v/>
      </c>
      <c r="D326">
        <f>IF(B326=1,INDEX('Data Entry'!$H$5:$BE$10004,326-4,'Visual SPC'!$B$3),"")</f>
        <v/>
      </c>
      <c r="E326">
        <f>IF(B326=1,D326,E325)</f>
        <v/>
      </c>
      <c r="F326">
        <f>IF(AND(B326=1,C326&gt;1,E325&lt;&gt;""),ABS(D326-E325),"")</f>
        <v/>
      </c>
    </row>
    <row r="327">
      <c r="A327" t="n">
        <v>327</v>
      </c>
      <c r="B327">
        <f>IF(INDEX('Data Entry'!$H$5:$BE$10004,327-4,'Visual SPC'!$B$3)="",0,IF(AND(OR('Visual SPC'!$C$4="",'Data Entry'!$C327&gt;='Visual SPC'!$C$4),OR('Visual SPC'!$E$4="",'Data Entry'!$C327&lt;='Visual SPC'!$E$4),OR('Visual SPC'!$G$4="",'Data Entry'!$D327='Visual SPC'!$G$4),OR('Visual SPC'!$I$4="",'Data Entry'!$E327='Visual SPC'!$I$4),OR('Visual SPC'!$K$4="",'Data Entry'!$F327='Visual SPC'!$K$4)),1,0))</f>
        <v/>
      </c>
      <c r="C327">
        <f>C326+B327</f>
        <v/>
      </c>
      <c r="D327">
        <f>IF(B327=1,INDEX('Data Entry'!$H$5:$BE$10004,327-4,'Visual SPC'!$B$3),"")</f>
        <v/>
      </c>
      <c r="E327">
        <f>IF(B327=1,D327,E326)</f>
        <v/>
      </c>
      <c r="F327">
        <f>IF(AND(B327=1,C327&gt;1,E326&lt;&gt;""),ABS(D327-E326),"")</f>
        <v/>
      </c>
    </row>
    <row r="328">
      <c r="A328" t="n">
        <v>328</v>
      </c>
      <c r="B328">
        <f>IF(INDEX('Data Entry'!$H$5:$BE$10004,328-4,'Visual SPC'!$B$3)="",0,IF(AND(OR('Visual SPC'!$C$4="",'Data Entry'!$C328&gt;='Visual SPC'!$C$4),OR('Visual SPC'!$E$4="",'Data Entry'!$C328&lt;='Visual SPC'!$E$4),OR('Visual SPC'!$G$4="",'Data Entry'!$D328='Visual SPC'!$G$4),OR('Visual SPC'!$I$4="",'Data Entry'!$E328='Visual SPC'!$I$4),OR('Visual SPC'!$K$4="",'Data Entry'!$F328='Visual SPC'!$K$4)),1,0))</f>
        <v/>
      </c>
      <c r="C328">
        <f>C327+B328</f>
        <v/>
      </c>
      <c r="D328">
        <f>IF(B328=1,INDEX('Data Entry'!$H$5:$BE$10004,328-4,'Visual SPC'!$B$3),"")</f>
        <v/>
      </c>
      <c r="E328">
        <f>IF(B328=1,D328,E327)</f>
        <v/>
      </c>
      <c r="F328">
        <f>IF(AND(B328=1,C328&gt;1,E327&lt;&gt;""),ABS(D328-E327),"")</f>
        <v/>
      </c>
    </row>
    <row r="329">
      <c r="A329" t="n">
        <v>329</v>
      </c>
      <c r="B329">
        <f>IF(INDEX('Data Entry'!$H$5:$BE$10004,329-4,'Visual SPC'!$B$3)="",0,IF(AND(OR('Visual SPC'!$C$4="",'Data Entry'!$C329&gt;='Visual SPC'!$C$4),OR('Visual SPC'!$E$4="",'Data Entry'!$C329&lt;='Visual SPC'!$E$4),OR('Visual SPC'!$G$4="",'Data Entry'!$D329='Visual SPC'!$G$4),OR('Visual SPC'!$I$4="",'Data Entry'!$E329='Visual SPC'!$I$4),OR('Visual SPC'!$K$4="",'Data Entry'!$F329='Visual SPC'!$K$4)),1,0))</f>
        <v/>
      </c>
      <c r="C329">
        <f>C328+B329</f>
        <v/>
      </c>
      <c r="D329">
        <f>IF(B329=1,INDEX('Data Entry'!$H$5:$BE$10004,329-4,'Visual SPC'!$B$3),"")</f>
        <v/>
      </c>
      <c r="E329">
        <f>IF(B329=1,D329,E328)</f>
        <v/>
      </c>
      <c r="F329">
        <f>IF(AND(B329=1,C329&gt;1,E328&lt;&gt;""),ABS(D329-E328),"")</f>
        <v/>
      </c>
    </row>
    <row r="330">
      <c r="A330" t="n">
        <v>330</v>
      </c>
      <c r="B330">
        <f>IF(INDEX('Data Entry'!$H$5:$BE$10004,330-4,'Visual SPC'!$B$3)="",0,IF(AND(OR('Visual SPC'!$C$4="",'Data Entry'!$C330&gt;='Visual SPC'!$C$4),OR('Visual SPC'!$E$4="",'Data Entry'!$C330&lt;='Visual SPC'!$E$4),OR('Visual SPC'!$G$4="",'Data Entry'!$D330='Visual SPC'!$G$4),OR('Visual SPC'!$I$4="",'Data Entry'!$E330='Visual SPC'!$I$4),OR('Visual SPC'!$K$4="",'Data Entry'!$F330='Visual SPC'!$K$4)),1,0))</f>
        <v/>
      </c>
      <c r="C330">
        <f>C329+B330</f>
        <v/>
      </c>
      <c r="D330">
        <f>IF(B330=1,INDEX('Data Entry'!$H$5:$BE$10004,330-4,'Visual SPC'!$B$3),"")</f>
        <v/>
      </c>
      <c r="E330">
        <f>IF(B330=1,D330,E329)</f>
        <v/>
      </c>
      <c r="F330">
        <f>IF(AND(B330=1,C330&gt;1,E329&lt;&gt;""),ABS(D330-E329),"")</f>
        <v/>
      </c>
    </row>
    <row r="331">
      <c r="A331" t="n">
        <v>331</v>
      </c>
      <c r="B331">
        <f>IF(INDEX('Data Entry'!$H$5:$BE$10004,331-4,'Visual SPC'!$B$3)="",0,IF(AND(OR('Visual SPC'!$C$4="",'Data Entry'!$C331&gt;='Visual SPC'!$C$4),OR('Visual SPC'!$E$4="",'Data Entry'!$C331&lt;='Visual SPC'!$E$4),OR('Visual SPC'!$G$4="",'Data Entry'!$D331='Visual SPC'!$G$4),OR('Visual SPC'!$I$4="",'Data Entry'!$E331='Visual SPC'!$I$4),OR('Visual SPC'!$K$4="",'Data Entry'!$F331='Visual SPC'!$K$4)),1,0))</f>
        <v/>
      </c>
      <c r="C331">
        <f>C330+B331</f>
        <v/>
      </c>
      <c r="D331">
        <f>IF(B331=1,INDEX('Data Entry'!$H$5:$BE$10004,331-4,'Visual SPC'!$B$3),"")</f>
        <v/>
      </c>
      <c r="E331">
        <f>IF(B331=1,D331,E330)</f>
        <v/>
      </c>
      <c r="F331">
        <f>IF(AND(B331=1,C331&gt;1,E330&lt;&gt;""),ABS(D331-E330),"")</f>
        <v/>
      </c>
    </row>
    <row r="332">
      <c r="A332" t="n">
        <v>332</v>
      </c>
      <c r="B332">
        <f>IF(INDEX('Data Entry'!$H$5:$BE$10004,332-4,'Visual SPC'!$B$3)="",0,IF(AND(OR('Visual SPC'!$C$4="",'Data Entry'!$C332&gt;='Visual SPC'!$C$4),OR('Visual SPC'!$E$4="",'Data Entry'!$C332&lt;='Visual SPC'!$E$4),OR('Visual SPC'!$G$4="",'Data Entry'!$D332='Visual SPC'!$G$4),OR('Visual SPC'!$I$4="",'Data Entry'!$E332='Visual SPC'!$I$4),OR('Visual SPC'!$K$4="",'Data Entry'!$F332='Visual SPC'!$K$4)),1,0))</f>
        <v/>
      </c>
      <c r="C332">
        <f>C331+B332</f>
        <v/>
      </c>
      <c r="D332">
        <f>IF(B332=1,INDEX('Data Entry'!$H$5:$BE$10004,332-4,'Visual SPC'!$B$3),"")</f>
        <v/>
      </c>
      <c r="E332">
        <f>IF(B332=1,D332,E331)</f>
        <v/>
      </c>
      <c r="F332">
        <f>IF(AND(B332=1,C332&gt;1,E331&lt;&gt;""),ABS(D332-E331),"")</f>
        <v/>
      </c>
    </row>
    <row r="333">
      <c r="A333" t="n">
        <v>333</v>
      </c>
      <c r="B333">
        <f>IF(INDEX('Data Entry'!$H$5:$BE$10004,333-4,'Visual SPC'!$B$3)="",0,IF(AND(OR('Visual SPC'!$C$4="",'Data Entry'!$C333&gt;='Visual SPC'!$C$4),OR('Visual SPC'!$E$4="",'Data Entry'!$C333&lt;='Visual SPC'!$E$4),OR('Visual SPC'!$G$4="",'Data Entry'!$D333='Visual SPC'!$G$4),OR('Visual SPC'!$I$4="",'Data Entry'!$E333='Visual SPC'!$I$4),OR('Visual SPC'!$K$4="",'Data Entry'!$F333='Visual SPC'!$K$4)),1,0))</f>
        <v/>
      </c>
      <c r="C333">
        <f>C332+B333</f>
        <v/>
      </c>
      <c r="D333">
        <f>IF(B333=1,INDEX('Data Entry'!$H$5:$BE$10004,333-4,'Visual SPC'!$B$3),"")</f>
        <v/>
      </c>
      <c r="E333">
        <f>IF(B333=1,D333,E332)</f>
        <v/>
      </c>
      <c r="F333">
        <f>IF(AND(B333=1,C333&gt;1,E332&lt;&gt;""),ABS(D333-E332),"")</f>
        <v/>
      </c>
    </row>
    <row r="334">
      <c r="A334" t="n">
        <v>334</v>
      </c>
      <c r="B334">
        <f>IF(INDEX('Data Entry'!$H$5:$BE$10004,334-4,'Visual SPC'!$B$3)="",0,IF(AND(OR('Visual SPC'!$C$4="",'Data Entry'!$C334&gt;='Visual SPC'!$C$4),OR('Visual SPC'!$E$4="",'Data Entry'!$C334&lt;='Visual SPC'!$E$4),OR('Visual SPC'!$G$4="",'Data Entry'!$D334='Visual SPC'!$G$4),OR('Visual SPC'!$I$4="",'Data Entry'!$E334='Visual SPC'!$I$4),OR('Visual SPC'!$K$4="",'Data Entry'!$F334='Visual SPC'!$K$4)),1,0))</f>
        <v/>
      </c>
      <c r="C334">
        <f>C333+B334</f>
        <v/>
      </c>
      <c r="D334">
        <f>IF(B334=1,INDEX('Data Entry'!$H$5:$BE$10004,334-4,'Visual SPC'!$B$3),"")</f>
        <v/>
      </c>
      <c r="E334">
        <f>IF(B334=1,D334,E333)</f>
        <v/>
      </c>
      <c r="F334">
        <f>IF(AND(B334=1,C334&gt;1,E333&lt;&gt;""),ABS(D334-E333),"")</f>
        <v/>
      </c>
    </row>
    <row r="335">
      <c r="A335" t="n">
        <v>335</v>
      </c>
      <c r="B335">
        <f>IF(INDEX('Data Entry'!$H$5:$BE$10004,335-4,'Visual SPC'!$B$3)="",0,IF(AND(OR('Visual SPC'!$C$4="",'Data Entry'!$C335&gt;='Visual SPC'!$C$4),OR('Visual SPC'!$E$4="",'Data Entry'!$C335&lt;='Visual SPC'!$E$4),OR('Visual SPC'!$G$4="",'Data Entry'!$D335='Visual SPC'!$G$4),OR('Visual SPC'!$I$4="",'Data Entry'!$E335='Visual SPC'!$I$4),OR('Visual SPC'!$K$4="",'Data Entry'!$F335='Visual SPC'!$K$4)),1,0))</f>
        <v/>
      </c>
      <c r="C335">
        <f>C334+B335</f>
        <v/>
      </c>
      <c r="D335">
        <f>IF(B335=1,INDEX('Data Entry'!$H$5:$BE$10004,335-4,'Visual SPC'!$B$3),"")</f>
        <v/>
      </c>
      <c r="E335">
        <f>IF(B335=1,D335,E334)</f>
        <v/>
      </c>
      <c r="F335">
        <f>IF(AND(B335=1,C335&gt;1,E334&lt;&gt;""),ABS(D335-E334),"")</f>
        <v/>
      </c>
    </row>
    <row r="336">
      <c r="A336" t="n">
        <v>336</v>
      </c>
      <c r="B336">
        <f>IF(INDEX('Data Entry'!$H$5:$BE$10004,336-4,'Visual SPC'!$B$3)="",0,IF(AND(OR('Visual SPC'!$C$4="",'Data Entry'!$C336&gt;='Visual SPC'!$C$4),OR('Visual SPC'!$E$4="",'Data Entry'!$C336&lt;='Visual SPC'!$E$4),OR('Visual SPC'!$G$4="",'Data Entry'!$D336='Visual SPC'!$G$4),OR('Visual SPC'!$I$4="",'Data Entry'!$E336='Visual SPC'!$I$4),OR('Visual SPC'!$K$4="",'Data Entry'!$F336='Visual SPC'!$K$4)),1,0))</f>
        <v/>
      </c>
      <c r="C336">
        <f>C335+B336</f>
        <v/>
      </c>
      <c r="D336">
        <f>IF(B336=1,INDEX('Data Entry'!$H$5:$BE$10004,336-4,'Visual SPC'!$B$3),"")</f>
        <v/>
      </c>
      <c r="E336">
        <f>IF(B336=1,D336,E335)</f>
        <v/>
      </c>
      <c r="F336">
        <f>IF(AND(B336=1,C336&gt;1,E335&lt;&gt;""),ABS(D336-E335),"")</f>
        <v/>
      </c>
    </row>
    <row r="337">
      <c r="A337" t="n">
        <v>337</v>
      </c>
      <c r="B337">
        <f>IF(INDEX('Data Entry'!$H$5:$BE$10004,337-4,'Visual SPC'!$B$3)="",0,IF(AND(OR('Visual SPC'!$C$4="",'Data Entry'!$C337&gt;='Visual SPC'!$C$4),OR('Visual SPC'!$E$4="",'Data Entry'!$C337&lt;='Visual SPC'!$E$4),OR('Visual SPC'!$G$4="",'Data Entry'!$D337='Visual SPC'!$G$4),OR('Visual SPC'!$I$4="",'Data Entry'!$E337='Visual SPC'!$I$4),OR('Visual SPC'!$K$4="",'Data Entry'!$F337='Visual SPC'!$K$4)),1,0))</f>
        <v/>
      </c>
      <c r="C337">
        <f>C336+B337</f>
        <v/>
      </c>
      <c r="D337">
        <f>IF(B337=1,INDEX('Data Entry'!$H$5:$BE$10004,337-4,'Visual SPC'!$B$3),"")</f>
        <v/>
      </c>
      <c r="E337">
        <f>IF(B337=1,D337,E336)</f>
        <v/>
      </c>
      <c r="F337">
        <f>IF(AND(B337=1,C337&gt;1,E336&lt;&gt;""),ABS(D337-E336),"")</f>
        <v/>
      </c>
    </row>
    <row r="338">
      <c r="A338" t="n">
        <v>338</v>
      </c>
      <c r="B338">
        <f>IF(INDEX('Data Entry'!$H$5:$BE$10004,338-4,'Visual SPC'!$B$3)="",0,IF(AND(OR('Visual SPC'!$C$4="",'Data Entry'!$C338&gt;='Visual SPC'!$C$4),OR('Visual SPC'!$E$4="",'Data Entry'!$C338&lt;='Visual SPC'!$E$4),OR('Visual SPC'!$G$4="",'Data Entry'!$D338='Visual SPC'!$G$4),OR('Visual SPC'!$I$4="",'Data Entry'!$E338='Visual SPC'!$I$4),OR('Visual SPC'!$K$4="",'Data Entry'!$F338='Visual SPC'!$K$4)),1,0))</f>
        <v/>
      </c>
      <c r="C338">
        <f>C337+B338</f>
        <v/>
      </c>
      <c r="D338">
        <f>IF(B338=1,INDEX('Data Entry'!$H$5:$BE$10004,338-4,'Visual SPC'!$B$3),"")</f>
        <v/>
      </c>
      <c r="E338">
        <f>IF(B338=1,D338,E337)</f>
        <v/>
      </c>
      <c r="F338">
        <f>IF(AND(B338=1,C338&gt;1,E337&lt;&gt;""),ABS(D338-E337),"")</f>
        <v/>
      </c>
    </row>
    <row r="339">
      <c r="A339" t="n">
        <v>339</v>
      </c>
      <c r="B339">
        <f>IF(INDEX('Data Entry'!$H$5:$BE$10004,339-4,'Visual SPC'!$B$3)="",0,IF(AND(OR('Visual SPC'!$C$4="",'Data Entry'!$C339&gt;='Visual SPC'!$C$4),OR('Visual SPC'!$E$4="",'Data Entry'!$C339&lt;='Visual SPC'!$E$4),OR('Visual SPC'!$G$4="",'Data Entry'!$D339='Visual SPC'!$G$4),OR('Visual SPC'!$I$4="",'Data Entry'!$E339='Visual SPC'!$I$4),OR('Visual SPC'!$K$4="",'Data Entry'!$F339='Visual SPC'!$K$4)),1,0))</f>
        <v/>
      </c>
      <c r="C339">
        <f>C338+B339</f>
        <v/>
      </c>
      <c r="D339">
        <f>IF(B339=1,INDEX('Data Entry'!$H$5:$BE$10004,339-4,'Visual SPC'!$B$3),"")</f>
        <v/>
      </c>
      <c r="E339">
        <f>IF(B339=1,D339,E338)</f>
        <v/>
      </c>
      <c r="F339">
        <f>IF(AND(B339=1,C339&gt;1,E338&lt;&gt;""),ABS(D339-E338),"")</f>
        <v/>
      </c>
    </row>
    <row r="340">
      <c r="A340" t="n">
        <v>340</v>
      </c>
      <c r="B340">
        <f>IF(INDEX('Data Entry'!$H$5:$BE$10004,340-4,'Visual SPC'!$B$3)="",0,IF(AND(OR('Visual SPC'!$C$4="",'Data Entry'!$C340&gt;='Visual SPC'!$C$4),OR('Visual SPC'!$E$4="",'Data Entry'!$C340&lt;='Visual SPC'!$E$4),OR('Visual SPC'!$G$4="",'Data Entry'!$D340='Visual SPC'!$G$4),OR('Visual SPC'!$I$4="",'Data Entry'!$E340='Visual SPC'!$I$4),OR('Visual SPC'!$K$4="",'Data Entry'!$F340='Visual SPC'!$K$4)),1,0))</f>
        <v/>
      </c>
      <c r="C340">
        <f>C339+B340</f>
        <v/>
      </c>
      <c r="D340">
        <f>IF(B340=1,INDEX('Data Entry'!$H$5:$BE$10004,340-4,'Visual SPC'!$B$3),"")</f>
        <v/>
      </c>
      <c r="E340">
        <f>IF(B340=1,D340,E339)</f>
        <v/>
      </c>
      <c r="F340">
        <f>IF(AND(B340=1,C340&gt;1,E339&lt;&gt;""),ABS(D340-E339),"")</f>
        <v/>
      </c>
    </row>
    <row r="341">
      <c r="A341" t="n">
        <v>341</v>
      </c>
      <c r="B341">
        <f>IF(INDEX('Data Entry'!$H$5:$BE$10004,341-4,'Visual SPC'!$B$3)="",0,IF(AND(OR('Visual SPC'!$C$4="",'Data Entry'!$C341&gt;='Visual SPC'!$C$4),OR('Visual SPC'!$E$4="",'Data Entry'!$C341&lt;='Visual SPC'!$E$4),OR('Visual SPC'!$G$4="",'Data Entry'!$D341='Visual SPC'!$G$4),OR('Visual SPC'!$I$4="",'Data Entry'!$E341='Visual SPC'!$I$4),OR('Visual SPC'!$K$4="",'Data Entry'!$F341='Visual SPC'!$K$4)),1,0))</f>
        <v/>
      </c>
      <c r="C341">
        <f>C340+B341</f>
        <v/>
      </c>
      <c r="D341">
        <f>IF(B341=1,INDEX('Data Entry'!$H$5:$BE$10004,341-4,'Visual SPC'!$B$3),"")</f>
        <v/>
      </c>
      <c r="E341">
        <f>IF(B341=1,D341,E340)</f>
        <v/>
      </c>
      <c r="F341">
        <f>IF(AND(B341=1,C341&gt;1,E340&lt;&gt;""),ABS(D341-E340),"")</f>
        <v/>
      </c>
    </row>
    <row r="342">
      <c r="A342" t="n">
        <v>342</v>
      </c>
      <c r="B342">
        <f>IF(INDEX('Data Entry'!$H$5:$BE$10004,342-4,'Visual SPC'!$B$3)="",0,IF(AND(OR('Visual SPC'!$C$4="",'Data Entry'!$C342&gt;='Visual SPC'!$C$4),OR('Visual SPC'!$E$4="",'Data Entry'!$C342&lt;='Visual SPC'!$E$4),OR('Visual SPC'!$G$4="",'Data Entry'!$D342='Visual SPC'!$G$4),OR('Visual SPC'!$I$4="",'Data Entry'!$E342='Visual SPC'!$I$4),OR('Visual SPC'!$K$4="",'Data Entry'!$F342='Visual SPC'!$K$4)),1,0))</f>
        <v/>
      </c>
      <c r="C342">
        <f>C341+B342</f>
        <v/>
      </c>
      <c r="D342">
        <f>IF(B342=1,INDEX('Data Entry'!$H$5:$BE$10004,342-4,'Visual SPC'!$B$3),"")</f>
        <v/>
      </c>
      <c r="E342">
        <f>IF(B342=1,D342,E341)</f>
        <v/>
      </c>
      <c r="F342">
        <f>IF(AND(B342=1,C342&gt;1,E341&lt;&gt;""),ABS(D342-E341),"")</f>
        <v/>
      </c>
    </row>
    <row r="343">
      <c r="A343" t="n">
        <v>343</v>
      </c>
      <c r="B343">
        <f>IF(INDEX('Data Entry'!$H$5:$BE$10004,343-4,'Visual SPC'!$B$3)="",0,IF(AND(OR('Visual SPC'!$C$4="",'Data Entry'!$C343&gt;='Visual SPC'!$C$4),OR('Visual SPC'!$E$4="",'Data Entry'!$C343&lt;='Visual SPC'!$E$4),OR('Visual SPC'!$G$4="",'Data Entry'!$D343='Visual SPC'!$G$4),OR('Visual SPC'!$I$4="",'Data Entry'!$E343='Visual SPC'!$I$4),OR('Visual SPC'!$K$4="",'Data Entry'!$F343='Visual SPC'!$K$4)),1,0))</f>
        <v/>
      </c>
      <c r="C343">
        <f>C342+B343</f>
        <v/>
      </c>
      <c r="D343">
        <f>IF(B343=1,INDEX('Data Entry'!$H$5:$BE$10004,343-4,'Visual SPC'!$B$3),"")</f>
        <v/>
      </c>
      <c r="E343">
        <f>IF(B343=1,D343,E342)</f>
        <v/>
      </c>
      <c r="F343">
        <f>IF(AND(B343=1,C343&gt;1,E342&lt;&gt;""),ABS(D343-E342),"")</f>
        <v/>
      </c>
    </row>
    <row r="344">
      <c r="A344" t="n">
        <v>344</v>
      </c>
      <c r="B344">
        <f>IF(INDEX('Data Entry'!$H$5:$BE$10004,344-4,'Visual SPC'!$B$3)="",0,IF(AND(OR('Visual SPC'!$C$4="",'Data Entry'!$C344&gt;='Visual SPC'!$C$4),OR('Visual SPC'!$E$4="",'Data Entry'!$C344&lt;='Visual SPC'!$E$4),OR('Visual SPC'!$G$4="",'Data Entry'!$D344='Visual SPC'!$G$4),OR('Visual SPC'!$I$4="",'Data Entry'!$E344='Visual SPC'!$I$4),OR('Visual SPC'!$K$4="",'Data Entry'!$F344='Visual SPC'!$K$4)),1,0))</f>
        <v/>
      </c>
      <c r="C344">
        <f>C343+B344</f>
        <v/>
      </c>
      <c r="D344">
        <f>IF(B344=1,INDEX('Data Entry'!$H$5:$BE$10004,344-4,'Visual SPC'!$B$3),"")</f>
        <v/>
      </c>
      <c r="E344">
        <f>IF(B344=1,D344,E343)</f>
        <v/>
      </c>
      <c r="F344">
        <f>IF(AND(B344=1,C344&gt;1,E343&lt;&gt;""),ABS(D344-E343),"")</f>
        <v/>
      </c>
    </row>
    <row r="345">
      <c r="A345" t="n">
        <v>345</v>
      </c>
      <c r="B345">
        <f>IF(INDEX('Data Entry'!$H$5:$BE$10004,345-4,'Visual SPC'!$B$3)="",0,IF(AND(OR('Visual SPC'!$C$4="",'Data Entry'!$C345&gt;='Visual SPC'!$C$4),OR('Visual SPC'!$E$4="",'Data Entry'!$C345&lt;='Visual SPC'!$E$4),OR('Visual SPC'!$G$4="",'Data Entry'!$D345='Visual SPC'!$G$4),OR('Visual SPC'!$I$4="",'Data Entry'!$E345='Visual SPC'!$I$4),OR('Visual SPC'!$K$4="",'Data Entry'!$F345='Visual SPC'!$K$4)),1,0))</f>
        <v/>
      </c>
      <c r="C345">
        <f>C344+B345</f>
        <v/>
      </c>
      <c r="D345">
        <f>IF(B345=1,INDEX('Data Entry'!$H$5:$BE$10004,345-4,'Visual SPC'!$B$3),"")</f>
        <v/>
      </c>
      <c r="E345">
        <f>IF(B345=1,D345,E344)</f>
        <v/>
      </c>
      <c r="F345">
        <f>IF(AND(B345=1,C345&gt;1,E344&lt;&gt;""),ABS(D345-E344),"")</f>
        <v/>
      </c>
    </row>
    <row r="346">
      <c r="A346" t="n">
        <v>346</v>
      </c>
      <c r="B346">
        <f>IF(INDEX('Data Entry'!$H$5:$BE$10004,346-4,'Visual SPC'!$B$3)="",0,IF(AND(OR('Visual SPC'!$C$4="",'Data Entry'!$C346&gt;='Visual SPC'!$C$4),OR('Visual SPC'!$E$4="",'Data Entry'!$C346&lt;='Visual SPC'!$E$4),OR('Visual SPC'!$G$4="",'Data Entry'!$D346='Visual SPC'!$G$4),OR('Visual SPC'!$I$4="",'Data Entry'!$E346='Visual SPC'!$I$4),OR('Visual SPC'!$K$4="",'Data Entry'!$F346='Visual SPC'!$K$4)),1,0))</f>
        <v/>
      </c>
      <c r="C346">
        <f>C345+B346</f>
        <v/>
      </c>
      <c r="D346">
        <f>IF(B346=1,INDEX('Data Entry'!$H$5:$BE$10004,346-4,'Visual SPC'!$B$3),"")</f>
        <v/>
      </c>
      <c r="E346">
        <f>IF(B346=1,D346,E345)</f>
        <v/>
      </c>
      <c r="F346">
        <f>IF(AND(B346=1,C346&gt;1,E345&lt;&gt;""),ABS(D346-E345),"")</f>
        <v/>
      </c>
    </row>
    <row r="347">
      <c r="A347" t="n">
        <v>347</v>
      </c>
      <c r="B347">
        <f>IF(INDEX('Data Entry'!$H$5:$BE$10004,347-4,'Visual SPC'!$B$3)="",0,IF(AND(OR('Visual SPC'!$C$4="",'Data Entry'!$C347&gt;='Visual SPC'!$C$4),OR('Visual SPC'!$E$4="",'Data Entry'!$C347&lt;='Visual SPC'!$E$4),OR('Visual SPC'!$G$4="",'Data Entry'!$D347='Visual SPC'!$G$4),OR('Visual SPC'!$I$4="",'Data Entry'!$E347='Visual SPC'!$I$4),OR('Visual SPC'!$K$4="",'Data Entry'!$F347='Visual SPC'!$K$4)),1,0))</f>
        <v/>
      </c>
      <c r="C347">
        <f>C346+B347</f>
        <v/>
      </c>
      <c r="D347">
        <f>IF(B347=1,INDEX('Data Entry'!$H$5:$BE$10004,347-4,'Visual SPC'!$B$3),"")</f>
        <v/>
      </c>
      <c r="E347">
        <f>IF(B347=1,D347,E346)</f>
        <v/>
      </c>
      <c r="F347">
        <f>IF(AND(B347=1,C347&gt;1,E346&lt;&gt;""),ABS(D347-E346),"")</f>
        <v/>
      </c>
    </row>
    <row r="348">
      <c r="A348" t="n">
        <v>348</v>
      </c>
      <c r="B348">
        <f>IF(INDEX('Data Entry'!$H$5:$BE$10004,348-4,'Visual SPC'!$B$3)="",0,IF(AND(OR('Visual SPC'!$C$4="",'Data Entry'!$C348&gt;='Visual SPC'!$C$4),OR('Visual SPC'!$E$4="",'Data Entry'!$C348&lt;='Visual SPC'!$E$4),OR('Visual SPC'!$G$4="",'Data Entry'!$D348='Visual SPC'!$G$4),OR('Visual SPC'!$I$4="",'Data Entry'!$E348='Visual SPC'!$I$4),OR('Visual SPC'!$K$4="",'Data Entry'!$F348='Visual SPC'!$K$4)),1,0))</f>
        <v/>
      </c>
      <c r="C348">
        <f>C347+B348</f>
        <v/>
      </c>
      <c r="D348">
        <f>IF(B348=1,INDEX('Data Entry'!$H$5:$BE$10004,348-4,'Visual SPC'!$B$3),"")</f>
        <v/>
      </c>
      <c r="E348">
        <f>IF(B348=1,D348,E347)</f>
        <v/>
      </c>
      <c r="F348">
        <f>IF(AND(B348=1,C348&gt;1,E347&lt;&gt;""),ABS(D348-E347),"")</f>
        <v/>
      </c>
    </row>
    <row r="349">
      <c r="A349" t="n">
        <v>349</v>
      </c>
      <c r="B349">
        <f>IF(INDEX('Data Entry'!$H$5:$BE$10004,349-4,'Visual SPC'!$B$3)="",0,IF(AND(OR('Visual SPC'!$C$4="",'Data Entry'!$C349&gt;='Visual SPC'!$C$4),OR('Visual SPC'!$E$4="",'Data Entry'!$C349&lt;='Visual SPC'!$E$4),OR('Visual SPC'!$G$4="",'Data Entry'!$D349='Visual SPC'!$G$4),OR('Visual SPC'!$I$4="",'Data Entry'!$E349='Visual SPC'!$I$4),OR('Visual SPC'!$K$4="",'Data Entry'!$F349='Visual SPC'!$K$4)),1,0))</f>
        <v/>
      </c>
      <c r="C349">
        <f>C348+B349</f>
        <v/>
      </c>
      <c r="D349">
        <f>IF(B349=1,INDEX('Data Entry'!$H$5:$BE$10004,349-4,'Visual SPC'!$B$3),"")</f>
        <v/>
      </c>
      <c r="E349">
        <f>IF(B349=1,D349,E348)</f>
        <v/>
      </c>
      <c r="F349">
        <f>IF(AND(B349=1,C349&gt;1,E348&lt;&gt;""),ABS(D349-E348),"")</f>
        <v/>
      </c>
    </row>
    <row r="350">
      <c r="A350" t="n">
        <v>350</v>
      </c>
      <c r="B350">
        <f>IF(INDEX('Data Entry'!$H$5:$BE$10004,350-4,'Visual SPC'!$B$3)="",0,IF(AND(OR('Visual SPC'!$C$4="",'Data Entry'!$C350&gt;='Visual SPC'!$C$4),OR('Visual SPC'!$E$4="",'Data Entry'!$C350&lt;='Visual SPC'!$E$4),OR('Visual SPC'!$G$4="",'Data Entry'!$D350='Visual SPC'!$G$4),OR('Visual SPC'!$I$4="",'Data Entry'!$E350='Visual SPC'!$I$4),OR('Visual SPC'!$K$4="",'Data Entry'!$F350='Visual SPC'!$K$4)),1,0))</f>
        <v/>
      </c>
      <c r="C350">
        <f>C349+B350</f>
        <v/>
      </c>
      <c r="D350">
        <f>IF(B350=1,INDEX('Data Entry'!$H$5:$BE$10004,350-4,'Visual SPC'!$B$3),"")</f>
        <v/>
      </c>
      <c r="E350">
        <f>IF(B350=1,D350,E349)</f>
        <v/>
      </c>
      <c r="F350">
        <f>IF(AND(B350=1,C350&gt;1,E349&lt;&gt;""),ABS(D350-E349),"")</f>
        <v/>
      </c>
    </row>
    <row r="351">
      <c r="A351" t="n">
        <v>351</v>
      </c>
      <c r="B351">
        <f>IF(INDEX('Data Entry'!$H$5:$BE$10004,351-4,'Visual SPC'!$B$3)="",0,IF(AND(OR('Visual SPC'!$C$4="",'Data Entry'!$C351&gt;='Visual SPC'!$C$4),OR('Visual SPC'!$E$4="",'Data Entry'!$C351&lt;='Visual SPC'!$E$4),OR('Visual SPC'!$G$4="",'Data Entry'!$D351='Visual SPC'!$G$4),OR('Visual SPC'!$I$4="",'Data Entry'!$E351='Visual SPC'!$I$4),OR('Visual SPC'!$K$4="",'Data Entry'!$F351='Visual SPC'!$K$4)),1,0))</f>
        <v/>
      </c>
      <c r="C351">
        <f>C350+B351</f>
        <v/>
      </c>
      <c r="D351">
        <f>IF(B351=1,INDEX('Data Entry'!$H$5:$BE$10004,351-4,'Visual SPC'!$B$3),"")</f>
        <v/>
      </c>
      <c r="E351">
        <f>IF(B351=1,D351,E350)</f>
        <v/>
      </c>
      <c r="F351">
        <f>IF(AND(B351=1,C351&gt;1,E350&lt;&gt;""),ABS(D351-E350),"")</f>
        <v/>
      </c>
    </row>
    <row r="352">
      <c r="A352" t="n">
        <v>352</v>
      </c>
      <c r="B352">
        <f>IF(INDEX('Data Entry'!$H$5:$BE$10004,352-4,'Visual SPC'!$B$3)="",0,IF(AND(OR('Visual SPC'!$C$4="",'Data Entry'!$C352&gt;='Visual SPC'!$C$4),OR('Visual SPC'!$E$4="",'Data Entry'!$C352&lt;='Visual SPC'!$E$4),OR('Visual SPC'!$G$4="",'Data Entry'!$D352='Visual SPC'!$G$4),OR('Visual SPC'!$I$4="",'Data Entry'!$E352='Visual SPC'!$I$4),OR('Visual SPC'!$K$4="",'Data Entry'!$F352='Visual SPC'!$K$4)),1,0))</f>
        <v/>
      </c>
      <c r="C352">
        <f>C351+B352</f>
        <v/>
      </c>
      <c r="D352">
        <f>IF(B352=1,INDEX('Data Entry'!$H$5:$BE$10004,352-4,'Visual SPC'!$B$3),"")</f>
        <v/>
      </c>
      <c r="E352">
        <f>IF(B352=1,D352,E351)</f>
        <v/>
      </c>
      <c r="F352">
        <f>IF(AND(B352=1,C352&gt;1,E351&lt;&gt;""),ABS(D352-E351),"")</f>
        <v/>
      </c>
    </row>
    <row r="353">
      <c r="A353" t="n">
        <v>353</v>
      </c>
      <c r="B353">
        <f>IF(INDEX('Data Entry'!$H$5:$BE$10004,353-4,'Visual SPC'!$B$3)="",0,IF(AND(OR('Visual SPC'!$C$4="",'Data Entry'!$C353&gt;='Visual SPC'!$C$4),OR('Visual SPC'!$E$4="",'Data Entry'!$C353&lt;='Visual SPC'!$E$4),OR('Visual SPC'!$G$4="",'Data Entry'!$D353='Visual SPC'!$G$4),OR('Visual SPC'!$I$4="",'Data Entry'!$E353='Visual SPC'!$I$4),OR('Visual SPC'!$K$4="",'Data Entry'!$F353='Visual SPC'!$K$4)),1,0))</f>
        <v/>
      </c>
      <c r="C353">
        <f>C352+B353</f>
        <v/>
      </c>
      <c r="D353">
        <f>IF(B353=1,INDEX('Data Entry'!$H$5:$BE$10004,353-4,'Visual SPC'!$B$3),"")</f>
        <v/>
      </c>
      <c r="E353">
        <f>IF(B353=1,D353,E352)</f>
        <v/>
      </c>
      <c r="F353">
        <f>IF(AND(B353=1,C353&gt;1,E352&lt;&gt;""),ABS(D353-E352),"")</f>
        <v/>
      </c>
    </row>
    <row r="354">
      <c r="A354" t="n">
        <v>354</v>
      </c>
      <c r="B354">
        <f>IF(INDEX('Data Entry'!$H$5:$BE$10004,354-4,'Visual SPC'!$B$3)="",0,IF(AND(OR('Visual SPC'!$C$4="",'Data Entry'!$C354&gt;='Visual SPC'!$C$4),OR('Visual SPC'!$E$4="",'Data Entry'!$C354&lt;='Visual SPC'!$E$4),OR('Visual SPC'!$G$4="",'Data Entry'!$D354='Visual SPC'!$G$4),OR('Visual SPC'!$I$4="",'Data Entry'!$E354='Visual SPC'!$I$4),OR('Visual SPC'!$K$4="",'Data Entry'!$F354='Visual SPC'!$K$4)),1,0))</f>
        <v/>
      </c>
      <c r="C354">
        <f>C353+B354</f>
        <v/>
      </c>
      <c r="D354">
        <f>IF(B354=1,INDEX('Data Entry'!$H$5:$BE$10004,354-4,'Visual SPC'!$B$3),"")</f>
        <v/>
      </c>
      <c r="E354">
        <f>IF(B354=1,D354,E353)</f>
        <v/>
      </c>
      <c r="F354">
        <f>IF(AND(B354=1,C354&gt;1,E353&lt;&gt;""),ABS(D354-E353),"")</f>
        <v/>
      </c>
    </row>
    <row r="355">
      <c r="A355" t="n">
        <v>355</v>
      </c>
      <c r="B355">
        <f>IF(INDEX('Data Entry'!$H$5:$BE$10004,355-4,'Visual SPC'!$B$3)="",0,IF(AND(OR('Visual SPC'!$C$4="",'Data Entry'!$C355&gt;='Visual SPC'!$C$4),OR('Visual SPC'!$E$4="",'Data Entry'!$C355&lt;='Visual SPC'!$E$4),OR('Visual SPC'!$G$4="",'Data Entry'!$D355='Visual SPC'!$G$4),OR('Visual SPC'!$I$4="",'Data Entry'!$E355='Visual SPC'!$I$4),OR('Visual SPC'!$K$4="",'Data Entry'!$F355='Visual SPC'!$K$4)),1,0))</f>
        <v/>
      </c>
      <c r="C355">
        <f>C354+B355</f>
        <v/>
      </c>
      <c r="D355">
        <f>IF(B355=1,INDEX('Data Entry'!$H$5:$BE$10004,355-4,'Visual SPC'!$B$3),"")</f>
        <v/>
      </c>
      <c r="E355">
        <f>IF(B355=1,D355,E354)</f>
        <v/>
      </c>
      <c r="F355">
        <f>IF(AND(B355=1,C355&gt;1,E354&lt;&gt;""),ABS(D355-E354),"")</f>
        <v/>
      </c>
    </row>
    <row r="356">
      <c r="A356" t="n">
        <v>356</v>
      </c>
      <c r="B356">
        <f>IF(INDEX('Data Entry'!$H$5:$BE$10004,356-4,'Visual SPC'!$B$3)="",0,IF(AND(OR('Visual SPC'!$C$4="",'Data Entry'!$C356&gt;='Visual SPC'!$C$4),OR('Visual SPC'!$E$4="",'Data Entry'!$C356&lt;='Visual SPC'!$E$4),OR('Visual SPC'!$G$4="",'Data Entry'!$D356='Visual SPC'!$G$4),OR('Visual SPC'!$I$4="",'Data Entry'!$E356='Visual SPC'!$I$4),OR('Visual SPC'!$K$4="",'Data Entry'!$F356='Visual SPC'!$K$4)),1,0))</f>
        <v/>
      </c>
      <c r="C356">
        <f>C355+B356</f>
        <v/>
      </c>
      <c r="D356">
        <f>IF(B356=1,INDEX('Data Entry'!$H$5:$BE$10004,356-4,'Visual SPC'!$B$3),"")</f>
        <v/>
      </c>
      <c r="E356">
        <f>IF(B356=1,D356,E355)</f>
        <v/>
      </c>
      <c r="F356">
        <f>IF(AND(B356=1,C356&gt;1,E355&lt;&gt;""),ABS(D356-E355),"")</f>
        <v/>
      </c>
    </row>
    <row r="357">
      <c r="A357" t="n">
        <v>357</v>
      </c>
      <c r="B357">
        <f>IF(INDEX('Data Entry'!$H$5:$BE$10004,357-4,'Visual SPC'!$B$3)="",0,IF(AND(OR('Visual SPC'!$C$4="",'Data Entry'!$C357&gt;='Visual SPC'!$C$4),OR('Visual SPC'!$E$4="",'Data Entry'!$C357&lt;='Visual SPC'!$E$4),OR('Visual SPC'!$G$4="",'Data Entry'!$D357='Visual SPC'!$G$4),OR('Visual SPC'!$I$4="",'Data Entry'!$E357='Visual SPC'!$I$4),OR('Visual SPC'!$K$4="",'Data Entry'!$F357='Visual SPC'!$K$4)),1,0))</f>
        <v/>
      </c>
      <c r="C357">
        <f>C356+B357</f>
        <v/>
      </c>
      <c r="D357">
        <f>IF(B357=1,INDEX('Data Entry'!$H$5:$BE$10004,357-4,'Visual SPC'!$B$3),"")</f>
        <v/>
      </c>
      <c r="E357">
        <f>IF(B357=1,D357,E356)</f>
        <v/>
      </c>
      <c r="F357">
        <f>IF(AND(B357=1,C357&gt;1,E356&lt;&gt;""),ABS(D357-E356),"")</f>
        <v/>
      </c>
    </row>
    <row r="358">
      <c r="A358" t="n">
        <v>358</v>
      </c>
      <c r="B358">
        <f>IF(INDEX('Data Entry'!$H$5:$BE$10004,358-4,'Visual SPC'!$B$3)="",0,IF(AND(OR('Visual SPC'!$C$4="",'Data Entry'!$C358&gt;='Visual SPC'!$C$4),OR('Visual SPC'!$E$4="",'Data Entry'!$C358&lt;='Visual SPC'!$E$4),OR('Visual SPC'!$G$4="",'Data Entry'!$D358='Visual SPC'!$G$4),OR('Visual SPC'!$I$4="",'Data Entry'!$E358='Visual SPC'!$I$4),OR('Visual SPC'!$K$4="",'Data Entry'!$F358='Visual SPC'!$K$4)),1,0))</f>
        <v/>
      </c>
      <c r="C358">
        <f>C357+B358</f>
        <v/>
      </c>
      <c r="D358">
        <f>IF(B358=1,INDEX('Data Entry'!$H$5:$BE$10004,358-4,'Visual SPC'!$B$3),"")</f>
        <v/>
      </c>
      <c r="E358">
        <f>IF(B358=1,D358,E357)</f>
        <v/>
      </c>
      <c r="F358">
        <f>IF(AND(B358=1,C358&gt;1,E357&lt;&gt;""),ABS(D358-E357),"")</f>
        <v/>
      </c>
    </row>
    <row r="359">
      <c r="A359" t="n">
        <v>359</v>
      </c>
      <c r="B359">
        <f>IF(INDEX('Data Entry'!$H$5:$BE$10004,359-4,'Visual SPC'!$B$3)="",0,IF(AND(OR('Visual SPC'!$C$4="",'Data Entry'!$C359&gt;='Visual SPC'!$C$4),OR('Visual SPC'!$E$4="",'Data Entry'!$C359&lt;='Visual SPC'!$E$4),OR('Visual SPC'!$G$4="",'Data Entry'!$D359='Visual SPC'!$G$4),OR('Visual SPC'!$I$4="",'Data Entry'!$E359='Visual SPC'!$I$4),OR('Visual SPC'!$K$4="",'Data Entry'!$F359='Visual SPC'!$K$4)),1,0))</f>
        <v/>
      </c>
      <c r="C359">
        <f>C358+B359</f>
        <v/>
      </c>
      <c r="D359">
        <f>IF(B359=1,INDEX('Data Entry'!$H$5:$BE$10004,359-4,'Visual SPC'!$B$3),"")</f>
        <v/>
      </c>
      <c r="E359">
        <f>IF(B359=1,D359,E358)</f>
        <v/>
      </c>
      <c r="F359">
        <f>IF(AND(B359=1,C359&gt;1,E358&lt;&gt;""),ABS(D359-E358),"")</f>
        <v/>
      </c>
    </row>
    <row r="360">
      <c r="A360" t="n">
        <v>360</v>
      </c>
      <c r="B360">
        <f>IF(INDEX('Data Entry'!$H$5:$BE$10004,360-4,'Visual SPC'!$B$3)="",0,IF(AND(OR('Visual SPC'!$C$4="",'Data Entry'!$C360&gt;='Visual SPC'!$C$4),OR('Visual SPC'!$E$4="",'Data Entry'!$C360&lt;='Visual SPC'!$E$4),OR('Visual SPC'!$G$4="",'Data Entry'!$D360='Visual SPC'!$G$4),OR('Visual SPC'!$I$4="",'Data Entry'!$E360='Visual SPC'!$I$4),OR('Visual SPC'!$K$4="",'Data Entry'!$F360='Visual SPC'!$K$4)),1,0))</f>
        <v/>
      </c>
      <c r="C360">
        <f>C359+B360</f>
        <v/>
      </c>
      <c r="D360">
        <f>IF(B360=1,INDEX('Data Entry'!$H$5:$BE$10004,360-4,'Visual SPC'!$B$3),"")</f>
        <v/>
      </c>
      <c r="E360">
        <f>IF(B360=1,D360,E359)</f>
        <v/>
      </c>
      <c r="F360">
        <f>IF(AND(B360=1,C360&gt;1,E359&lt;&gt;""),ABS(D360-E359),"")</f>
        <v/>
      </c>
    </row>
    <row r="361">
      <c r="A361" t="n">
        <v>361</v>
      </c>
      <c r="B361">
        <f>IF(INDEX('Data Entry'!$H$5:$BE$10004,361-4,'Visual SPC'!$B$3)="",0,IF(AND(OR('Visual SPC'!$C$4="",'Data Entry'!$C361&gt;='Visual SPC'!$C$4),OR('Visual SPC'!$E$4="",'Data Entry'!$C361&lt;='Visual SPC'!$E$4),OR('Visual SPC'!$G$4="",'Data Entry'!$D361='Visual SPC'!$G$4),OR('Visual SPC'!$I$4="",'Data Entry'!$E361='Visual SPC'!$I$4),OR('Visual SPC'!$K$4="",'Data Entry'!$F361='Visual SPC'!$K$4)),1,0))</f>
        <v/>
      </c>
      <c r="C361">
        <f>C360+B361</f>
        <v/>
      </c>
      <c r="D361">
        <f>IF(B361=1,INDEX('Data Entry'!$H$5:$BE$10004,361-4,'Visual SPC'!$B$3),"")</f>
        <v/>
      </c>
      <c r="E361">
        <f>IF(B361=1,D361,E360)</f>
        <v/>
      </c>
      <c r="F361">
        <f>IF(AND(B361=1,C361&gt;1,E360&lt;&gt;""),ABS(D361-E360),"")</f>
        <v/>
      </c>
    </row>
    <row r="362">
      <c r="A362" t="n">
        <v>362</v>
      </c>
      <c r="B362">
        <f>IF(INDEX('Data Entry'!$H$5:$BE$10004,362-4,'Visual SPC'!$B$3)="",0,IF(AND(OR('Visual SPC'!$C$4="",'Data Entry'!$C362&gt;='Visual SPC'!$C$4),OR('Visual SPC'!$E$4="",'Data Entry'!$C362&lt;='Visual SPC'!$E$4),OR('Visual SPC'!$G$4="",'Data Entry'!$D362='Visual SPC'!$G$4),OR('Visual SPC'!$I$4="",'Data Entry'!$E362='Visual SPC'!$I$4),OR('Visual SPC'!$K$4="",'Data Entry'!$F362='Visual SPC'!$K$4)),1,0))</f>
        <v/>
      </c>
      <c r="C362">
        <f>C361+B362</f>
        <v/>
      </c>
      <c r="D362">
        <f>IF(B362=1,INDEX('Data Entry'!$H$5:$BE$10004,362-4,'Visual SPC'!$B$3),"")</f>
        <v/>
      </c>
      <c r="E362">
        <f>IF(B362=1,D362,E361)</f>
        <v/>
      </c>
      <c r="F362">
        <f>IF(AND(B362=1,C362&gt;1,E361&lt;&gt;""),ABS(D362-E361),"")</f>
        <v/>
      </c>
    </row>
    <row r="363">
      <c r="A363" t="n">
        <v>363</v>
      </c>
      <c r="B363">
        <f>IF(INDEX('Data Entry'!$H$5:$BE$10004,363-4,'Visual SPC'!$B$3)="",0,IF(AND(OR('Visual SPC'!$C$4="",'Data Entry'!$C363&gt;='Visual SPC'!$C$4),OR('Visual SPC'!$E$4="",'Data Entry'!$C363&lt;='Visual SPC'!$E$4),OR('Visual SPC'!$G$4="",'Data Entry'!$D363='Visual SPC'!$G$4),OR('Visual SPC'!$I$4="",'Data Entry'!$E363='Visual SPC'!$I$4),OR('Visual SPC'!$K$4="",'Data Entry'!$F363='Visual SPC'!$K$4)),1,0))</f>
        <v/>
      </c>
      <c r="C363">
        <f>C362+B363</f>
        <v/>
      </c>
      <c r="D363">
        <f>IF(B363=1,INDEX('Data Entry'!$H$5:$BE$10004,363-4,'Visual SPC'!$B$3),"")</f>
        <v/>
      </c>
      <c r="E363">
        <f>IF(B363=1,D363,E362)</f>
        <v/>
      </c>
      <c r="F363">
        <f>IF(AND(B363=1,C363&gt;1,E362&lt;&gt;""),ABS(D363-E362),"")</f>
        <v/>
      </c>
    </row>
    <row r="364">
      <c r="A364" t="n">
        <v>364</v>
      </c>
      <c r="B364">
        <f>IF(INDEX('Data Entry'!$H$5:$BE$10004,364-4,'Visual SPC'!$B$3)="",0,IF(AND(OR('Visual SPC'!$C$4="",'Data Entry'!$C364&gt;='Visual SPC'!$C$4),OR('Visual SPC'!$E$4="",'Data Entry'!$C364&lt;='Visual SPC'!$E$4),OR('Visual SPC'!$G$4="",'Data Entry'!$D364='Visual SPC'!$G$4),OR('Visual SPC'!$I$4="",'Data Entry'!$E364='Visual SPC'!$I$4),OR('Visual SPC'!$K$4="",'Data Entry'!$F364='Visual SPC'!$K$4)),1,0))</f>
        <v/>
      </c>
      <c r="C364">
        <f>C363+B364</f>
        <v/>
      </c>
      <c r="D364">
        <f>IF(B364=1,INDEX('Data Entry'!$H$5:$BE$10004,364-4,'Visual SPC'!$B$3),"")</f>
        <v/>
      </c>
      <c r="E364">
        <f>IF(B364=1,D364,E363)</f>
        <v/>
      </c>
      <c r="F364">
        <f>IF(AND(B364=1,C364&gt;1,E363&lt;&gt;""),ABS(D364-E363),"")</f>
        <v/>
      </c>
    </row>
    <row r="365">
      <c r="A365" t="n">
        <v>365</v>
      </c>
      <c r="B365">
        <f>IF(INDEX('Data Entry'!$H$5:$BE$10004,365-4,'Visual SPC'!$B$3)="",0,IF(AND(OR('Visual SPC'!$C$4="",'Data Entry'!$C365&gt;='Visual SPC'!$C$4),OR('Visual SPC'!$E$4="",'Data Entry'!$C365&lt;='Visual SPC'!$E$4),OR('Visual SPC'!$G$4="",'Data Entry'!$D365='Visual SPC'!$G$4),OR('Visual SPC'!$I$4="",'Data Entry'!$E365='Visual SPC'!$I$4),OR('Visual SPC'!$K$4="",'Data Entry'!$F365='Visual SPC'!$K$4)),1,0))</f>
        <v/>
      </c>
      <c r="C365">
        <f>C364+B365</f>
        <v/>
      </c>
      <c r="D365">
        <f>IF(B365=1,INDEX('Data Entry'!$H$5:$BE$10004,365-4,'Visual SPC'!$B$3),"")</f>
        <v/>
      </c>
      <c r="E365">
        <f>IF(B365=1,D365,E364)</f>
        <v/>
      </c>
      <c r="F365">
        <f>IF(AND(B365=1,C365&gt;1,E364&lt;&gt;""),ABS(D365-E364),"")</f>
        <v/>
      </c>
    </row>
    <row r="366">
      <c r="A366" t="n">
        <v>366</v>
      </c>
      <c r="B366">
        <f>IF(INDEX('Data Entry'!$H$5:$BE$10004,366-4,'Visual SPC'!$B$3)="",0,IF(AND(OR('Visual SPC'!$C$4="",'Data Entry'!$C366&gt;='Visual SPC'!$C$4),OR('Visual SPC'!$E$4="",'Data Entry'!$C366&lt;='Visual SPC'!$E$4),OR('Visual SPC'!$G$4="",'Data Entry'!$D366='Visual SPC'!$G$4),OR('Visual SPC'!$I$4="",'Data Entry'!$E366='Visual SPC'!$I$4),OR('Visual SPC'!$K$4="",'Data Entry'!$F366='Visual SPC'!$K$4)),1,0))</f>
        <v/>
      </c>
      <c r="C366">
        <f>C365+B366</f>
        <v/>
      </c>
      <c r="D366">
        <f>IF(B366=1,INDEX('Data Entry'!$H$5:$BE$10004,366-4,'Visual SPC'!$B$3),"")</f>
        <v/>
      </c>
      <c r="E366">
        <f>IF(B366=1,D366,E365)</f>
        <v/>
      </c>
      <c r="F366">
        <f>IF(AND(B366=1,C366&gt;1,E365&lt;&gt;""),ABS(D366-E365),"")</f>
        <v/>
      </c>
    </row>
    <row r="367">
      <c r="A367" t="n">
        <v>367</v>
      </c>
      <c r="B367">
        <f>IF(INDEX('Data Entry'!$H$5:$BE$10004,367-4,'Visual SPC'!$B$3)="",0,IF(AND(OR('Visual SPC'!$C$4="",'Data Entry'!$C367&gt;='Visual SPC'!$C$4),OR('Visual SPC'!$E$4="",'Data Entry'!$C367&lt;='Visual SPC'!$E$4),OR('Visual SPC'!$G$4="",'Data Entry'!$D367='Visual SPC'!$G$4),OR('Visual SPC'!$I$4="",'Data Entry'!$E367='Visual SPC'!$I$4),OR('Visual SPC'!$K$4="",'Data Entry'!$F367='Visual SPC'!$K$4)),1,0))</f>
        <v/>
      </c>
      <c r="C367">
        <f>C366+B367</f>
        <v/>
      </c>
      <c r="D367">
        <f>IF(B367=1,INDEX('Data Entry'!$H$5:$BE$10004,367-4,'Visual SPC'!$B$3),"")</f>
        <v/>
      </c>
      <c r="E367">
        <f>IF(B367=1,D367,E366)</f>
        <v/>
      </c>
      <c r="F367">
        <f>IF(AND(B367=1,C367&gt;1,E366&lt;&gt;""),ABS(D367-E366),"")</f>
        <v/>
      </c>
    </row>
    <row r="368">
      <c r="A368" t="n">
        <v>368</v>
      </c>
      <c r="B368">
        <f>IF(INDEX('Data Entry'!$H$5:$BE$10004,368-4,'Visual SPC'!$B$3)="",0,IF(AND(OR('Visual SPC'!$C$4="",'Data Entry'!$C368&gt;='Visual SPC'!$C$4),OR('Visual SPC'!$E$4="",'Data Entry'!$C368&lt;='Visual SPC'!$E$4),OR('Visual SPC'!$G$4="",'Data Entry'!$D368='Visual SPC'!$G$4),OR('Visual SPC'!$I$4="",'Data Entry'!$E368='Visual SPC'!$I$4),OR('Visual SPC'!$K$4="",'Data Entry'!$F368='Visual SPC'!$K$4)),1,0))</f>
        <v/>
      </c>
      <c r="C368">
        <f>C367+B368</f>
        <v/>
      </c>
      <c r="D368">
        <f>IF(B368=1,INDEX('Data Entry'!$H$5:$BE$10004,368-4,'Visual SPC'!$B$3),"")</f>
        <v/>
      </c>
      <c r="E368">
        <f>IF(B368=1,D368,E367)</f>
        <v/>
      </c>
      <c r="F368">
        <f>IF(AND(B368=1,C368&gt;1,E367&lt;&gt;""),ABS(D368-E367),"")</f>
        <v/>
      </c>
    </row>
    <row r="369">
      <c r="A369" t="n">
        <v>369</v>
      </c>
      <c r="B369">
        <f>IF(INDEX('Data Entry'!$H$5:$BE$10004,369-4,'Visual SPC'!$B$3)="",0,IF(AND(OR('Visual SPC'!$C$4="",'Data Entry'!$C369&gt;='Visual SPC'!$C$4),OR('Visual SPC'!$E$4="",'Data Entry'!$C369&lt;='Visual SPC'!$E$4),OR('Visual SPC'!$G$4="",'Data Entry'!$D369='Visual SPC'!$G$4),OR('Visual SPC'!$I$4="",'Data Entry'!$E369='Visual SPC'!$I$4),OR('Visual SPC'!$K$4="",'Data Entry'!$F369='Visual SPC'!$K$4)),1,0))</f>
        <v/>
      </c>
      <c r="C369">
        <f>C368+B369</f>
        <v/>
      </c>
      <c r="D369">
        <f>IF(B369=1,INDEX('Data Entry'!$H$5:$BE$10004,369-4,'Visual SPC'!$B$3),"")</f>
        <v/>
      </c>
      <c r="E369">
        <f>IF(B369=1,D369,E368)</f>
        <v/>
      </c>
      <c r="F369">
        <f>IF(AND(B369=1,C369&gt;1,E368&lt;&gt;""),ABS(D369-E368),"")</f>
        <v/>
      </c>
    </row>
    <row r="370">
      <c r="A370" t="n">
        <v>370</v>
      </c>
      <c r="B370">
        <f>IF(INDEX('Data Entry'!$H$5:$BE$10004,370-4,'Visual SPC'!$B$3)="",0,IF(AND(OR('Visual SPC'!$C$4="",'Data Entry'!$C370&gt;='Visual SPC'!$C$4),OR('Visual SPC'!$E$4="",'Data Entry'!$C370&lt;='Visual SPC'!$E$4),OR('Visual SPC'!$G$4="",'Data Entry'!$D370='Visual SPC'!$G$4),OR('Visual SPC'!$I$4="",'Data Entry'!$E370='Visual SPC'!$I$4),OR('Visual SPC'!$K$4="",'Data Entry'!$F370='Visual SPC'!$K$4)),1,0))</f>
        <v/>
      </c>
      <c r="C370">
        <f>C369+B370</f>
        <v/>
      </c>
      <c r="D370">
        <f>IF(B370=1,INDEX('Data Entry'!$H$5:$BE$10004,370-4,'Visual SPC'!$B$3),"")</f>
        <v/>
      </c>
      <c r="E370">
        <f>IF(B370=1,D370,E369)</f>
        <v/>
      </c>
      <c r="F370">
        <f>IF(AND(B370=1,C370&gt;1,E369&lt;&gt;""),ABS(D370-E369),"")</f>
        <v/>
      </c>
    </row>
    <row r="371">
      <c r="A371" t="n">
        <v>371</v>
      </c>
      <c r="B371">
        <f>IF(INDEX('Data Entry'!$H$5:$BE$10004,371-4,'Visual SPC'!$B$3)="",0,IF(AND(OR('Visual SPC'!$C$4="",'Data Entry'!$C371&gt;='Visual SPC'!$C$4),OR('Visual SPC'!$E$4="",'Data Entry'!$C371&lt;='Visual SPC'!$E$4),OR('Visual SPC'!$G$4="",'Data Entry'!$D371='Visual SPC'!$G$4),OR('Visual SPC'!$I$4="",'Data Entry'!$E371='Visual SPC'!$I$4),OR('Visual SPC'!$K$4="",'Data Entry'!$F371='Visual SPC'!$K$4)),1,0))</f>
        <v/>
      </c>
      <c r="C371">
        <f>C370+B371</f>
        <v/>
      </c>
      <c r="D371">
        <f>IF(B371=1,INDEX('Data Entry'!$H$5:$BE$10004,371-4,'Visual SPC'!$B$3),"")</f>
        <v/>
      </c>
      <c r="E371">
        <f>IF(B371=1,D371,E370)</f>
        <v/>
      </c>
      <c r="F371">
        <f>IF(AND(B371=1,C371&gt;1,E370&lt;&gt;""),ABS(D371-E370),"")</f>
        <v/>
      </c>
    </row>
    <row r="372">
      <c r="A372" t="n">
        <v>372</v>
      </c>
      <c r="B372">
        <f>IF(INDEX('Data Entry'!$H$5:$BE$10004,372-4,'Visual SPC'!$B$3)="",0,IF(AND(OR('Visual SPC'!$C$4="",'Data Entry'!$C372&gt;='Visual SPC'!$C$4),OR('Visual SPC'!$E$4="",'Data Entry'!$C372&lt;='Visual SPC'!$E$4),OR('Visual SPC'!$G$4="",'Data Entry'!$D372='Visual SPC'!$G$4),OR('Visual SPC'!$I$4="",'Data Entry'!$E372='Visual SPC'!$I$4),OR('Visual SPC'!$K$4="",'Data Entry'!$F372='Visual SPC'!$K$4)),1,0))</f>
        <v/>
      </c>
      <c r="C372">
        <f>C371+B372</f>
        <v/>
      </c>
      <c r="D372">
        <f>IF(B372=1,INDEX('Data Entry'!$H$5:$BE$10004,372-4,'Visual SPC'!$B$3),"")</f>
        <v/>
      </c>
      <c r="E372">
        <f>IF(B372=1,D372,E371)</f>
        <v/>
      </c>
      <c r="F372">
        <f>IF(AND(B372=1,C372&gt;1,E371&lt;&gt;""),ABS(D372-E371),"")</f>
        <v/>
      </c>
    </row>
    <row r="373">
      <c r="A373" t="n">
        <v>373</v>
      </c>
      <c r="B373">
        <f>IF(INDEX('Data Entry'!$H$5:$BE$10004,373-4,'Visual SPC'!$B$3)="",0,IF(AND(OR('Visual SPC'!$C$4="",'Data Entry'!$C373&gt;='Visual SPC'!$C$4),OR('Visual SPC'!$E$4="",'Data Entry'!$C373&lt;='Visual SPC'!$E$4),OR('Visual SPC'!$G$4="",'Data Entry'!$D373='Visual SPC'!$G$4),OR('Visual SPC'!$I$4="",'Data Entry'!$E373='Visual SPC'!$I$4),OR('Visual SPC'!$K$4="",'Data Entry'!$F373='Visual SPC'!$K$4)),1,0))</f>
        <v/>
      </c>
      <c r="C373">
        <f>C372+B373</f>
        <v/>
      </c>
      <c r="D373">
        <f>IF(B373=1,INDEX('Data Entry'!$H$5:$BE$10004,373-4,'Visual SPC'!$B$3),"")</f>
        <v/>
      </c>
      <c r="E373">
        <f>IF(B373=1,D373,E372)</f>
        <v/>
      </c>
      <c r="F373">
        <f>IF(AND(B373=1,C373&gt;1,E372&lt;&gt;""),ABS(D373-E372),"")</f>
        <v/>
      </c>
    </row>
    <row r="374">
      <c r="A374" t="n">
        <v>374</v>
      </c>
      <c r="B374">
        <f>IF(INDEX('Data Entry'!$H$5:$BE$10004,374-4,'Visual SPC'!$B$3)="",0,IF(AND(OR('Visual SPC'!$C$4="",'Data Entry'!$C374&gt;='Visual SPC'!$C$4),OR('Visual SPC'!$E$4="",'Data Entry'!$C374&lt;='Visual SPC'!$E$4),OR('Visual SPC'!$G$4="",'Data Entry'!$D374='Visual SPC'!$G$4),OR('Visual SPC'!$I$4="",'Data Entry'!$E374='Visual SPC'!$I$4),OR('Visual SPC'!$K$4="",'Data Entry'!$F374='Visual SPC'!$K$4)),1,0))</f>
        <v/>
      </c>
      <c r="C374">
        <f>C373+B374</f>
        <v/>
      </c>
      <c r="D374">
        <f>IF(B374=1,INDEX('Data Entry'!$H$5:$BE$10004,374-4,'Visual SPC'!$B$3),"")</f>
        <v/>
      </c>
      <c r="E374">
        <f>IF(B374=1,D374,E373)</f>
        <v/>
      </c>
      <c r="F374">
        <f>IF(AND(B374=1,C374&gt;1,E373&lt;&gt;""),ABS(D374-E373),"")</f>
        <v/>
      </c>
    </row>
    <row r="375">
      <c r="A375" t="n">
        <v>375</v>
      </c>
      <c r="B375">
        <f>IF(INDEX('Data Entry'!$H$5:$BE$10004,375-4,'Visual SPC'!$B$3)="",0,IF(AND(OR('Visual SPC'!$C$4="",'Data Entry'!$C375&gt;='Visual SPC'!$C$4),OR('Visual SPC'!$E$4="",'Data Entry'!$C375&lt;='Visual SPC'!$E$4),OR('Visual SPC'!$G$4="",'Data Entry'!$D375='Visual SPC'!$G$4),OR('Visual SPC'!$I$4="",'Data Entry'!$E375='Visual SPC'!$I$4),OR('Visual SPC'!$K$4="",'Data Entry'!$F375='Visual SPC'!$K$4)),1,0))</f>
        <v/>
      </c>
      <c r="C375">
        <f>C374+B375</f>
        <v/>
      </c>
      <c r="D375">
        <f>IF(B375=1,INDEX('Data Entry'!$H$5:$BE$10004,375-4,'Visual SPC'!$B$3),"")</f>
        <v/>
      </c>
      <c r="E375">
        <f>IF(B375=1,D375,E374)</f>
        <v/>
      </c>
      <c r="F375">
        <f>IF(AND(B375=1,C375&gt;1,E374&lt;&gt;""),ABS(D375-E374),"")</f>
        <v/>
      </c>
    </row>
    <row r="376">
      <c r="A376" t="n">
        <v>376</v>
      </c>
      <c r="B376">
        <f>IF(INDEX('Data Entry'!$H$5:$BE$10004,376-4,'Visual SPC'!$B$3)="",0,IF(AND(OR('Visual SPC'!$C$4="",'Data Entry'!$C376&gt;='Visual SPC'!$C$4),OR('Visual SPC'!$E$4="",'Data Entry'!$C376&lt;='Visual SPC'!$E$4),OR('Visual SPC'!$G$4="",'Data Entry'!$D376='Visual SPC'!$G$4),OR('Visual SPC'!$I$4="",'Data Entry'!$E376='Visual SPC'!$I$4),OR('Visual SPC'!$K$4="",'Data Entry'!$F376='Visual SPC'!$K$4)),1,0))</f>
        <v/>
      </c>
      <c r="C376">
        <f>C375+B376</f>
        <v/>
      </c>
      <c r="D376">
        <f>IF(B376=1,INDEX('Data Entry'!$H$5:$BE$10004,376-4,'Visual SPC'!$B$3),"")</f>
        <v/>
      </c>
      <c r="E376">
        <f>IF(B376=1,D376,E375)</f>
        <v/>
      </c>
      <c r="F376">
        <f>IF(AND(B376=1,C376&gt;1,E375&lt;&gt;""),ABS(D376-E375),"")</f>
        <v/>
      </c>
    </row>
    <row r="377">
      <c r="A377" t="n">
        <v>377</v>
      </c>
      <c r="B377">
        <f>IF(INDEX('Data Entry'!$H$5:$BE$10004,377-4,'Visual SPC'!$B$3)="",0,IF(AND(OR('Visual SPC'!$C$4="",'Data Entry'!$C377&gt;='Visual SPC'!$C$4),OR('Visual SPC'!$E$4="",'Data Entry'!$C377&lt;='Visual SPC'!$E$4),OR('Visual SPC'!$G$4="",'Data Entry'!$D377='Visual SPC'!$G$4),OR('Visual SPC'!$I$4="",'Data Entry'!$E377='Visual SPC'!$I$4),OR('Visual SPC'!$K$4="",'Data Entry'!$F377='Visual SPC'!$K$4)),1,0))</f>
        <v/>
      </c>
      <c r="C377">
        <f>C376+B377</f>
        <v/>
      </c>
      <c r="D377">
        <f>IF(B377=1,INDEX('Data Entry'!$H$5:$BE$10004,377-4,'Visual SPC'!$B$3),"")</f>
        <v/>
      </c>
      <c r="E377">
        <f>IF(B377=1,D377,E376)</f>
        <v/>
      </c>
      <c r="F377">
        <f>IF(AND(B377=1,C377&gt;1,E376&lt;&gt;""),ABS(D377-E376),"")</f>
        <v/>
      </c>
    </row>
    <row r="378">
      <c r="A378" t="n">
        <v>378</v>
      </c>
      <c r="B378">
        <f>IF(INDEX('Data Entry'!$H$5:$BE$10004,378-4,'Visual SPC'!$B$3)="",0,IF(AND(OR('Visual SPC'!$C$4="",'Data Entry'!$C378&gt;='Visual SPC'!$C$4),OR('Visual SPC'!$E$4="",'Data Entry'!$C378&lt;='Visual SPC'!$E$4),OR('Visual SPC'!$G$4="",'Data Entry'!$D378='Visual SPC'!$G$4),OR('Visual SPC'!$I$4="",'Data Entry'!$E378='Visual SPC'!$I$4),OR('Visual SPC'!$K$4="",'Data Entry'!$F378='Visual SPC'!$K$4)),1,0))</f>
        <v/>
      </c>
      <c r="C378">
        <f>C377+B378</f>
        <v/>
      </c>
      <c r="D378">
        <f>IF(B378=1,INDEX('Data Entry'!$H$5:$BE$10004,378-4,'Visual SPC'!$B$3),"")</f>
        <v/>
      </c>
      <c r="E378">
        <f>IF(B378=1,D378,E377)</f>
        <v/>
      </c>
      <c r="F378">
        <f>IF(AND(B378=1,C378&gt;1,E377&lt;&gt;""),ABS(D378-E377),"")</f>
        <v/>
      </c>
    </row>
    <row r="379">
      <c r="A379" t="n">
        <v>379</v>
      </c>
      <c r="B379">
        <f>IF(INDEX('Data Entry'!$H$5:$BE$10004,379-4,'Visual SPC'!$B$3)="",0,IF(AND(OR('Visual SPC'!$C$4="",'Data Entry'!$C379&gt;='Visual SPC'!$C$4),OR('Visual SPC'!$E$4="",'Data Entry'!$C379&lt;='Visual SPC'!$E$4),OR('Visual SPC'!$G$4="",'Data Entry'!$D379='Visual SPC'!$G$4),OR('Visual SPC'!$I$4="",'Data Entry'!$E379='Visual SPC'!$I$4),OR('Visual SPC'!$K$4="",'Data Entry'!$F379='Visual SPC'!$K$4)),1,0))</f>
        <v/>
      </c>
      <c r="C379">
        <f>C378+B379</f>
        <v/>
      </c>
      <c r="D379">
        <f>IF(B379=1,INDEX('Data Entry'!$H$5:$BE$10004,379-4,'Visual SPC'!$B$3),"")</f>
        <v/>
      </c>
      <c r="E379">
        <f>IF(B379=1,D379,E378)</f>
        <v/>
      </c>
      <c r="F379">
        <f>IF(AND(B379=1,C379&gt;1,E378&lt;&gt;""),ABS(D379-E378),"")</f>
        <v/>
      </c>
    </row>
    <row r="380">
      <c r="A380" t="n">
        <v>380</v>
      </c>
      <c r="B380">
        <f>IF(INDEX('Data Entry'!$H$5:$BE$10004,380-4,'Visual SPC'!$B$3)="",0,IF(AND(OR('Visual SPC'!$C$4="",'Data Entry'!$C380&gt;='Visual SPC'!$C$4),OR('Visual SPC'!$E$4="",'Data Entry'!$C380&lt;='Visual SPC'!$E$4),OR('Visual SPC'!$G$4="",'Data Entry'!$D380='Visual SPC'!$G$4),OR('Visual SPC'!$I$4="",'Data Entry'!$E380='Visual SPC'!$I$4),OR('Visual SPC'!$K$4="",'Data Entry'!$F380='Visual SPC'!$K$4)),1,0))</f>
        <v/>
      </c>
      <c r="C380">
        <f>C379+B380</f>
        <v/>
      </c>
      <c r="D380">
        <f>IF(B380=1,INDEX('Data Entry'!$H$5:$BE$10004,380-4,'Visual SPC'!$B$3),"")</f>
        <v/>
      </c>
      <c r="E380">
        <f>IF(B380=1,D380,E379)</f>
        <v/>
      </c>
      <c r="F380">
        <f>IF(AND(B380=1,C380&gt;1,E379&lt;&gt;""),ABS(D380-E379),"")</f>
        <v/>
      </c>
    </row>
    <row r="381">
      <c r="A381" t="n">
        <v>381</v>
      </c>
      <c r="B381">
        <f>IF(INDEX('Data Entry'!$H$5:$BE$10004,381-4,'Visual SPC'!$B$3)="",0,IF(AND(OR('Visual SPC'!$C$4="",'Data Entry'!$C381&gt;='Visual SPC'!$C$4),OR('Visual SPC'!$E$4="",'Data Entry'!$C381&lt;='Visual SPC'!$E$4),OR('Visual SPC'!$G$4="",'Data Entry'!$D381='Visual SPC'!$G$4),OR('Visual SPC'!$I$4="",'Data Entry'!$E381='Visual SPC'!$I$4),OR('Visual SPC'!$K$4="",'Data Entry'!$F381='Visual SPC'!$K$4)),1,0))</f>
        <v/>
      </c>
      <c r="C381">
        <f>C380+B381</f>
        <v/>
      </c>
      <c r="D381">
        <f>IF(B381=1,INDEX('Data Entry'!$H$5:$BE$10004,381-4,'Visual SPC'!$B$3),"")</f>
        <v/>
      </c>
      <c r="E381">
        <f>IF(B381=1,D381,E380)</f>
        <v/>
      </c>
      <c r="F381">
        <f>IF(AND(B381=1,C381&gt;1,E380&lt;&gt;""),ABS(D381-E380),"")</f>
        <v/>
      </c>
    </row>
    <row r="382">
      <c r="A382" t="n">
        <v>382</v>
      </c>
      <c r="B382">
        <f>IF(INDEX('Data Entry'!$H$5:$BE$10004,382-4,'Visual SPC'!$B$3)="",0,IF(AND(OR('Visual SPC'!$C$4="",'Data Entry'!$C382&gt;='Visual SPC'!$C$4),OR('Visual SPC'!$E$4="",'Data Entry'!$C382&lt;='Visual SPC'!$E$4),OR('Visual SPC'!$G$4="",'Data Entry'!$D382='Visual SPC'!$G$4),OR('Visual SPC'!$I$4="",'Data Entry'!$E382='Visual SPC'!$I$4),OR('Visual SPC'!$K$4="",'Data Entry'!$F382='Visual SPC'!$K$4)),1,0))</f>
        <v/>
      </c>
      <c r="C382">
        <f>C381+B382</f>
        <v/>
      </c>
      <c r="D382">
        <f>IF(B382=1,INDEX('Data Entry'!$H$5:$BE$10004,382-4,'Visual SPC'!$B$3),"")</f>
        <v/>
      </c>
      <c r="E382">
        <f>IF(B382=1,D382,E381)</f>
        <v/>
      </c>
      <c r="F382">
        <f>IF(AND(B382=1,C382&gt;1,E381&lt;&gt;""),ABS(D382-E381),"")</f>
        <v/>
      </c>
    </row>
    <row r="383">
      <c r="A383" t="n">
        <v>383</v>
      </c>
      <c r="B383">
        <f>IF(INDEX('Data Entry'!$H$5:$BE$10004,383-4,'Visual SPC'!$B$3)="",0,IF(AND(OR('Visual SPC'!$C$4="",'Data Entry'!$C383&gt;='Visual SPC'!$C$4),OR('Visual SPC'!$E$4="",'Data Entry'!$C383&lt;='Visual SPC'!$E$4),OR('Visual SPC'!$G$4="",'Data Entry'!$D383='Visual SPC'!$G$4),OR('Visual SPC'!$I$4="",'Data Entry'!$E383='Visual SPC'!$I$4),OR('Visual SPC'!$K$4="",'Data Entry'!$F383='Visual SPC'!$K$4)),1,0))</f>
        <v/>
      </c>
      <c r="C383">
        <f>C382+B383</f>
        <v/>
      </c>
      <c r="D383">
        <f>IF(B383=1,INDEX('Data Entry'!$H$5:$BE$10004,383-4,'Visual SPC'!$B$3),"")</f>
        <v/>
      </c>
      <c r="E383">
        <f>IF(B383=1,D383,E382)</f>
        <v/>
      </c>
      <c r="F383">
        <f>IF(AND(B383=1,C383&gt;1,E382&lt;&gt;""),ABS(D383-E382),"")</f>
        <v/>
      </c>
    </row>
    <row r="384">
      <c r="A384" t="n">
        <v>384</v>
      </c>
      <c r="B384">
        <f>IF(INDEX('Data Entry'!$H$5:$BE$10004,384-4,'Visual SPC'!$B$3)="",0,IF(AND(OR('Visual SPC'!$C$4="",'Data Entry'!$C384&gt;='Visual SPC'!$C$4),OR('Visual SPC'!$E$4="",'Data Entry'!$C384&lt;='Visual SPC'!$E$4),OR('Visual SPC'!$G$4="",'Data Entry'!$D384='Visual SPC'!$G$4),OR('Visual SPC'!$I$4="",'Data Entry'!$E384='Visual SPC'!$I$4),OR('Visual SPC'!$K$4="",'Data Entry'!$F384='Visual SPC'!$K$4)),1,0))</f>
        <v/>
      </c>
      <c r="C384">
        <f>C383+B384</f>
        <v/>
      </c>
      <c r="D384">
        <f>IF(B384=1,INDEX('Data Entry'!$H$5:$BE$10004,384-4,'Visual SPC'!$B$3),"")</f>
        <v/>
      </c>
      <c r="E384">
        <f>IF(B384=1,D384,E383)</f>
        <v/>
      </c>
      <c r="F384">
        <f>IF(AND(B384=1,C384&gt;1,E383&lt;&gt;""),ABS(D384-E383),"")</f>
        <v/>
      </c>
    </row>
    <row r="385">
      <c r="A385" t="n">
        <v>385</v>
      </c>
      <c r="B385">
        <f>IF(INDEX('Data Entry'!$H$5:$BE$10004,385-4,'Visual SPC'!$B$3)="",0,IF(AND(OR('Visual SPC'!$C$4="",'Data Entry'!$C385&gt;='Visual SPC'!$C$4),OR('Visual SPC'!$E$4="",'Data Entry'!$C385&lt;='Visual SPC'!$E$4),OR('Visual SPC'!$G$4="",'Data Entry'!$D385='Visual SPC'!$G$4),OR('Visual SPC'!$I$4="",'Data Entry'!$E385='Visual SPC'!$I$4),OR('Visual SPC'!$K$4="",'Data Entry'!$F385='Visual SPC'!$K$4)),1,0))</f>
        <v/>
      </c>
      <c r="C385">
        <f>C384+B385</f>
        <v/>
      </c>
      <c r="D385">
        <f>IF(B385=1,INDEX('Data Entry'!$H$5:$BE$10004,385-4,'Visual SPC'!$B$3),"")</f>
        <v/>
      </c>
      <c r="E385">
        <f>IF(B385=1,D385,E384)</f>
        <v/>
      </c>
      <c r="F385">
        <f>IF(AND(B385=1,C385&gt;1,E384&lt;&gt;""),ABS(D385-E384),"")</f>
        <v/>
      </c>
    </row>
    <row r="386">
      <c r="A386" t="n">
        <v>386</v>
      </c>
      <c r="B386">
        <f>IF(INDEX('Data Entry'!$H$5:$BE$10004,386-4,'Visual SPC'!$B$3)="",0,IF(AND(OR('Visual SPC'!$C$4="",'Data Entry'!$C386&gt;='Visual SPC'!$C$4),OR('Visual SPC'!$E$4="",'Data Entry'!$C386&lt;='Visual SPC'!$E$4),OR('Visual SPC'!$G$4="",'Data Entry'!$D386='Visual SPC'!$G$4),OR('Visual SPC'!$I$4="",'Data Entry'!$E386='Visual SPC'!$I$4),OR('Visual SPC'!$K$4="",'Data Entry'!$F386='Visual SPC'!$K$4)),1,0))</f>
        <v/>
      </c>
      <c r="C386">
        <f>C385+B386</f>
        <v/>
      </c>
      <c r="D386">
        <f>IF(B386=1,INDEX('Data Entry'!$H$5:$BE$10004,386-4,'Visual SPC'!$B$3),"")</f>
        <v/>
      </c>
      <c r="E386">
        <f>IF(B386=1,D386,E385)</f>
        <v/>
      </c>
      <c r="F386">
        <f>IF(AND(B386=1,C386&gt;1,E385&lt;&gt;""),ABS(D386-E385),"")</f>
        <v/>
      </c>
    </row>
    <row r="387">
      <c r="A387" t="n">
        <v>387</v>
      </c>
      <c r="B387">
        <f>IF(INDEX('Data Entry'!$H$5:$BE$10004,387-4,'Visual SPC'!$B$3)="",0,IF(AND(OR('Visual SPC'!$C$4="",'Data Entry'!$C387&gt;='Visual SPC'!$C$4),OR('Visual SPC'!$E$4="",'Data Entry'!$C387&lt;='Visual SPC'!$E$4),OR('Visual SPC'!$G$4="",'Data Entry'!$D387='Visual SPC'!$G$4),OR('Visual SPC'!$I$4="",'Data Entry'!$E387='Visual SPC'!$I$4),OR('Visual SPC'!$K$4="",'Data Entry'!$F387='Visual SPC'!$K$4)),1,0))</f>
        <v/>
      </c>
      <c r="C387">
        <f>C386+B387</f>
        <v/>
      </c>
      <c r="D387">
        <f>IF(B387=1,INDEX('Data Entry'!$H$5:$BE$10004,387-4,'Visual SPC'!$B$3),"")</f>
        <v/>
      </c>
      <c r="E387">
        <f>IF(B387=1,D387,E386)</f>
        <v/>
      </c>
      <c r="F387">
        <f>IF(AND(B387=1,C387&gt;1,E386&lt;&gt;""),ABS(D387-E386),"")</f>
        <v/>
      </c>
    </row>
    <row r="388">
      <c r="A388" t="n">
        <v>388</v>
      </c>
      <c r="B388">
        <f>IF(INDEX('Data Entry'!$H$5:$BE$10004,388-4,'Visual SPC'!$B$3)="",0,IF(AND(OR('Visual SPC'!$C$4="",'Data Entry'!$C388&gt;='Visual SPC'!$C$4),OR('Visual SPC'!$E$4="",'Data Entry'!$C388&lt;='Visual SPC'!$E$4),OR('Visual SPC'!$G$4="",'Data Entry'!$D388='Visual SPC'!$G$4),OR('Visual SPC'!$I$4="",'Data Entry'!$E388='Visual SPC'!$I$4),OR('Visual SPC'!$K$4="",'Data Entry'!$F388='Visual SPC'!$K$4)),1,0))</f>
        <v/>
      </c>
      <c r="C388">
        <f>C387+B388</f>
        <v/>
      </c>
      <c r="D388">
        <f>IF(B388=1,INDEX('Data Entry'!$H$5:$BE$10004,388-4,'Visual SPC'!$B$3),"")</f>
        <v/>
      </c>
      <c r="E388">
        <f>IF(B388=1,D388,E387)</f>
        <v/>
      </c>
      <c r="F388">
        <f>IF(AND(B388=1,C388&gt;1,E387&lt;&gt;""),ABS(D388-E387),"")</f>
        <v/>
      </c>
    </row>
    <row r="389">
      <c r="A389" t="n">
        <v>389</v>
      </c>
      <c r="B389">
        <f>IF(INDEX('Data Entry'!$H$5:$BE$10004,389-4,'Visual SPC'!$B$3)="",0,IF(AND(OR('Visual SPC'!$C$4="",'Data Entry'!$C389&gt;='Visual SPC'!$C$4),OR('Visual SPC'!$E$4="",'Data Entry'!$C389&lt;='Visual SPC'!$E$4),OR('Visual SPC'!$G$4="",'Data Entry'!$D389='Visual SPC'!$G$4),OR('Visual SPC'!$I$4="",'Data Entry'!$E389='Visual SPC'!$I$4),OR('Visual SPC'!$K$4="",'Data Entry'!$F389='Visual SPC'!$K$4)),1,0))</f>
        <v/>
      </c>
      <c r="C389">
        <f>C388+B389</f>
        <v/>
      </c>
      <c r="D389">
        <f>IF(B389=1,INDEX('Data Entry'!$H$5:$BE$10004,389-4,'Visual SPC'!$B$3),"")</f>
        <v/>
      </c>
      <c r="E389">
        <f>IF(B389=1,D389,E388)</f>
        <v/>
      </c>
      <c r="F389">
        <f>IF(AND(B389=1,C389&gt;1,E388&lt;&gt;""),ABS(D389-E388),"")</f>
        <v/>
      </c>
    </row>
    <row r="390">
      <c r="A390" t="n">
        <v>390</v>
      </c>
      <c r="B390">
        <f>IF(INDEX('Data Entry'!$H$5:$BE$10004,390-4,'Visual SPC'!$B$3)="",0,IF(AND(OR('Visual SPC'!$C$4="",'Data Entry'!$C390&gt;='Visual SPC'!$C$4),OR('Visual SPC'!$E$4="",'Data Entry'!$C390&lt;='Visual SPC'!$E$4),OR('Visual SPC'!$G$4="",'Data Entry'!$D390='Visual SPC'!$G$4),OR('Visual SPC'!$I$4="",'Data Entry'!$E390='Visual SPC'!$I$4),OR('Visual SPC'!$K$4="",'Data Entry'!$F390='Visual SPC'!$K$4)),1,0))</f>
        <v/>
      </c>
      <c r="C390">
        <f>C389+B390</f>
        <v/>
      </c>
      <c r="D390">
        <f>IF(B390=1,INDEX('Data Entry'!$H$5:$BE$10004,390-4,'Visual SPC'!$B$3),"")</f>
        <v/>
      </c>
      <c r="E390">
        <f>IF(B390=1,D390,E389)</f>
        <v/>
      </c>
      <c r="F390">
        <f>IF(AND(B390=1,C390&gt;1,E389&lt;&gt;""),ABS(D390-E389),"")</f>
        <v/>
      </c>
    </row>
    <row r="391">
      <c r="A391" t="n">
        <v>391</v>
      </c>
      <c r="B391">
        <f>IF(INDEX('Data Entry'!$H$5:$BE$10004,391-4,'Visual SPC'!$B$3)="",0,IF(AND(OR('Visual SPC'!$C$4="",'Data Entry'!$C391&gt;='Visual SPC'!$C$4),OR('Visual SPC'!$E$4="",'Data Entry'!$C391&lt;='Visual SPC'!$E$4),OR('Visual SPC'!$G$4="",'Data Entry'!$D391='Visual SPC'!$G$4),OR('Visual SPC'!$I$4="",'Data Entry'!$E391='Visual SPC'!$I$4),OR('Visual SPC'!$K$4="",'Data Entry'!$F391='Visual SPC'!$K$4)),1,0))</f>
        <v/>
      </c>
      <c r="C391">
        <f>C390+B391</f>
        <v/>
      </c>
      <c r="D391">
        <f>IF(B391=1,INDEX('Data Entry'!$H$5:$BE$10004,391-4,'Visual SPC'!$B$3),"")</f>
        <v/>
      </c>
      <c r="E391">
        <f>IF(B391=1,D391,E390)</f>
        <v/>
      </c>
      <c r="F391">
        <f>IF(AND(B391=1,C391&gt;1,E390&lt;&gt;""),ABS(D391-E390),"")</f>
        <v/>
      </c>
    </row>
    <row r="392">
      <c r="A392" t="n">
        <v>392</v>
      </c>
      <c r="B392">
        <f>IF(INDEX('Data Entry'!$H$5:$BE$10004,392-4,'Visual SPC'!$B$3)="",0,IF(AND(OR('Visual SPC'!$C$4="",'Data Entry'!$C392&gt;='Visual SPC'!$C$4),OR('Visual SPC'!$E$4="",'Data Entry'!$C392&lt;='Visual SPC'!$E$4),OR('Visual SPC'!$G$4="",'Data Entry'!$D392='Visual SPC'!$G$4),OR('Visual SPC'!$I$4="",'Data Entry'!$E392='Visual SPC'!$I$4),OR('Visual SPC'!$K$4="",'Data Entry'!$F392='Visual SPC'!$K$4)),1,0))</f>
        <v/>
      </c>
      <c r="C392">
        <f>C391+B392</f>
        <v/>
      </c>
      <c r="D392">
        <f>IF(B392=1,INDEX('Data Entry'!$H$5:$BE$10004,392-4,'Visual SPC'!$B$3),"")</f>
        <v/>
      </c>
      <c r="E392">
        <f>IF(B392=1,D392,E391)</f>
        <v/>
      </c>
      <c r="F392">
        <f>IF(AND(B392=1,C392&gt;1,E391&lt;&gt;""),ABS(D392-E391),"")</f>
        <v/>
      </c>
    </row>
    <row r="393">
      <c r="A393" t="n">
        <v>393</v>
      </c>
      <c r="B393">
        <f>IF(INDEX('Data Entry'!$H$5:$BE$10004,393-4,'Visual SPC'!$B$3)="",0,IF(AND(OR('Visual SPC'!$C$4="",'Data Entry'!$C393&gt;='Visual SPC'!$C$4),OR('Visual SPC'!$E$4="",'Data Entry'!$C393&lt;='Visual SPC'!$E$4),OR('Visual SPC'!$G$4="",'Data Entry'!$D393='Visual SPC'!$G$4),OR('Visual SPC'!$I$4="",'Data Entry'!$E393='Visual SPC'!$I$4),OR('Visual SPC'!$K$4="",'Data Entry'!$F393='Visual SPC'!$K$4)),1,0))</f>
        <v/>
      </c>
      <c r="C393">
        <f>C392+B393</f>
        <v/>
      </c>
      <c r="D393">
        <f>IF(B393=1,INDEX('Data Entry'!$H$5:$BE$10004,393-4,'Visual SPC'!$B$3),"")</f>
        <v/>
      </c>
      <c r="E393">
        <f>IF(B393=1,D393,E392)</f>
        <v/>
      </c>
      <c r="F393">
        <f>IF(AND(B393=1,C393&gt;1,E392&lt;&gt;""),ABS(D393-E392),"")</f>
        <v/>
      </c>
    </row>
    <row r="394">
      <c r="A394" t="n">
        <v>394</v>
      </c>
      <c r="B394">
        <f>IF(INDEX('Data Entry'!$H$5:$BE$10004,394-4,'Visual SPC'!$B$3)="",0,IF(AND(OR('Visual SPC'!$C$4="",'Data Entry'!$C394&gt;='Visual SPC'!$C$4),OR('Visual SPC'!$E$4="",'Data Entry'!$C394&lt;='Visual SPC'!$E$4),OR('Visual SPC'!$G$4="",'Data Entry'!$D394='Visual SPC'!$G$4),OR('Visual SPC'!$I$4="",'Data Entry'!$E394='Visual SPC'!$I$4),OR('Visual SPC'!$K$4="",'Data Entry'!$F394='Visual SPC'!$K$4)),1,0))</f>
        <v/>
      </c>
      <c r="C394">
        <f>C393+B394</f>
        <v/>
      </c>
      <c r="D394">
        <f>IF(B394=1,INDEX('Data Entry'!$H$5:$BE$10004,394-4,'Visual SPC'!$B$3),"")</f>
        <v/>
      </c>
      <c r="E394">
        <f>IF(B394=1,D394,E393)</f>
        <v/>
      </c>
      <c r="F394">
        <f>IF(AND(B394=1,C394&gt;1,E393&lt;&gt;""),ABS(D394-E393),"")</f>
        <v/>
      </c>
    </row>
    <row r="395">
      <c r="A395" t="n">
        <v>395</v>
      </c>
      <c r="B395">
        <f>IF(INDEX('Data Entry'!$H$5:$BE$10004,395-4,'Visual SPC'!$B$3)="",0,IF(AND(OR('Visual SPC'!$C$4="",'Data Entry'!$C395&gt;='Visual SPC'!$C$4),OR('Visual SPC'!$E$4="",'Data Entry'!$C395&lt;='Visual SPC'!$E$4),OR('Visual SPC'!$G$4="",'Data Entry'!$D395='Visual SPC'!$G$4),OR('Visual SPC'!$I$4="",'Data Entry'!$E395='Visual SPC'!$I$4),OR('Visual SPC'!$K$4="",'Data Entry'!$F395='Visual SPC'!$K$4)),1,0))</f>
        <v/>
      </c>
      <c r="C395">
        <f>C394+B395</f>
        <v/>
      </c>
      <c r="D395">
        <f>IF(B395=1,INDEX('Data Entry'!$H$5:$BE$10004,395-4,'Visual SPC'!$B$3),"")</f>
        <v/>
      </c>
      <c r="E395">
        <f>IF(B395=1,D395,E394)</f>
        <v/>
      </c>
      <c r="F395">
        <f>IF(AND(B395=1,C395&gt;1,E394&lt;&gt;""),ABS(D395-E394),"")</f>
        <v/>
      </c>
    </row>
    <row r="396">
      <c r="A396" t="n">
        <v>396</v>
      </c>
      <c r="B396">
        <f>IF(INDEX('Data Entry'!$H$5:$BE$10004,396-4,'Visual SPC'!$B$3)="",0,IF(AND(OR('Visual SPC'!$C$4="",'Data Entry'!$C396&gt;='Visual SPC'!$C$4),OR('Visual SPC'!$E$4="",'Data Entry'!$C396&lt;='Visual SPC'!$E$4),OR('Visual SPC'!$G$4="",'Data Entry'!$D396='Visual SPC'!$G$4),OR('Visual SPC'!$I$4="",'Data Entry'!$E396='Visual SPC'!$I$4),OR('Visual SPC'!$K$4="",'Data Entry'!$F396='Visual SPC'!$K$4)),1,0))</f>
        <v/>
      </c>
      <c r="C396">
        <f>C395+B396</f>
        <v/>
      </c>
      <c r="D396">
        <f>IF(B396=1,INDEX('Data Entry'!$H$5:$BE$10004,396-4,'Visual SPC'!$B$3),"")</f>
        <v/>
      </c>
      <c r="E396">
        <f>IF(B396=1,D396,E395)</f>
        <v/>
      </c>
      <c r="F396">
        <f>IF(AND(B396=1,C396&gt;1,E395&lt;&gt;""),ABS(D396-E395),"")</f>
        <v/>
      </c>
    </row>
    <row r="397">
      <c r="A397" t="n">
        <v>397</v>
      </c>
      <c r="B397">
        <f>IF(INDEX('Data Entry'!$H$5:$BE$10004,397-4,'Visual SPC'!$B$3)="",0,IF(AND(OR('Visual SPC'!$C$4="",'Data Entry'!$C397&gt;='Visual SPC'!$C$4),OR('Visual SPC'!$E$4="",'Data Entry'!$C397&lt;='Visual SPC'!$E$4),OR('Visual SPC'!$G$4="",'Data Entry'!$D397='Visual SPC'!$G$4),OR('Visual SPC'!$I$4="",'Data Entry'!$E397='Visual SPC'!$I$4),OR('Visual SPC'!$K$4="",'Data Entry'!$F397='Visual SPC'!$K$4)),1,0))</f>
        <v/>
      </c>
      <c r="C397">
        <f>C396+B397</f>
        <v/>
      </c>
      <c r="D397">
        <f>IF(B397=1,INDEX('Data Entry'!$H$5:$BE$10004,397-4,'Visual SPC'!$B$3),"")</f>
        <v/>
      </c>
      <c r="E397">
        <f>IF(B397=1,D397,E396)</f>
        <v/>
      </c>
      <c r="F397">
        <f>IF(AND(B397=1,C397&gt;1,E396&lt;&gt;""),ABS(D397-E396),"")</f>
        <v/>
      </c>
    </row>
    <row r="398">
      <c r="A398" t="n">
        <v>398</v>
      </c>
      <c r="B398">
        <f>IF(INDEX('Data Entry'!$H$5:$BE$10004,398-4,'Visual SPC'!$B$3)="",0,IF(AND(OR('Visual SPC'!$C$4="",'Data Entry'!$C398&gt;='Visual SPC'!$C$4),OR('Visual SPC'!$E$4="",'Data Entry'!$C398&lt;='Visual SPC'!$E$4),OR('Visual SPC'!$G$4="",'Data Entry'!$D398='Visual SPC'!$G$4),OR('Visual SPC'!$I$4="",'Data Entry'!$E398='Visual SPC'!$I$4),OR('Visual SPC'!$K$4="",'Data Entry'!$F398='Visual SPC'!$K$4)),1,0))</f>
        <v/>
      </c>
      <c r="C398">
        <f>C397+B398</f>
        <v/>
      </c>
      <c r="D398">
        <f>IF(B398=1,INDEX('Data Entry'!$H$5:$BE$10004,398-4,'Visual SPC'!$B$3),"")</f>
        <v/>
      </c>
      <c r="E398">
        <f>IF(B398=1,D398,E397)</f>
        <v/>
      </c>
      <c r="F398">
        <f>IF(AND(B398=1,C398&gt;1,E397&lt;&gt;""),ABS(D398-E397),"")</f>
        <v/>
      </c>
    </row>
    <row r="399">
      <c r="A399" t="n">
        <v>399</v>
      </c>
      <c r="B399">
        <f>IF(INDEX('Data Entry'!$H$5:$BE$10004,399-4,'Visual SPC'!$B$3)="",0,IF(AND(OR('Visual SPC'!$C$4="",'Data Entry'!$C399&gt;='Visual SPC'!$C$4),OR('Visual SPC'!$E$4="",'Data Entry'!$C399&lt;='Visual SPC'!$E$4),OR('Visual SPC'!$G$4="",'Data Entry'!$D399='Visual SPC'!$G$4),OR('Visual SPC'!$I$4="",'Data Entry'!$E399='Visual SPC'!$I$4),OR('Visual SPC'!$K$4="",'Data Entry'!$F399='Visual SPC'!$K$4)),1,0))</f>
        <v/>
      </c>
      <c r="C399">
        <f>C398+B399</f>
        <v/>
      </c>
      <c r="D399">
        <f>IF(B399=1,INDEX('Data Entry'!$H$5:$BE$10004,399-4,'Visual SPC'!$B$3),"")</f>
        <v/>
      </c>
      <c r="E399">
        <f>IF(B399=1,D399,E398)</f>
        <v/>
      </c>
      <c r="F399">
        <f>IF(AND(B399=1,C399&gt;1,E398&lt;&gt;""),ABS(D399-E398),"")</f>
        <v/>
      </c>
    </row>
    <row r="400">
      <c r="A400" t="n">
        <v>400</v>
      </c>
      <c r="B400">
        <f>IF(INDEX('Data Entry'!$H$5:$BE$10004,400-4,'Visual SPC'!$B$3)="",0,IF(AND(OR('Visual SPC'!$C$4="",'Data Entry'!$C400&gt;='Visual SPC'!$C$4),OR('Visual SPC'!$E$4="",'Data Entry'!$C400&lt;='Visual SPC'!$E$4),OR('Visual SPC'!$G$4="",'Data Entry'!$D400='Visual SPC'!$G$4),OR('Visual SPC'!$I$4="",'Data Entry'!$E400='Visual SPC'!$I$4),OR('Visual SPC'!$K$4="",'Data Entry'!$F400='Visual SPC'!$K$4)),1,0))</f>
        <v/>
      </c>
      <c r="C400">
        <f>C399+B400</f>
        <v/>
      </c>
      <c r="D400">
        <f>IF(B400=1,INDEX('Data Entry'!$H$5:$BE$10004,400-4,'Visual SPC'!$B$3),"")</f>
        <v/>
      </c>
      <c r="E400">
        <f>IF(B400=1,D400,E399)</f>
        <v/>
      </c>
      <c r="F400">
        <f>IF(AND(B400=1,C400&gt;1,E399&lt;&gt;""),ABS(D400-E399),"")</f>
        <v/>
      </c>
    </row>
    <row r="401">
      <c r="A401" t="n">
        <v>401</v>
      </c>
      <c r="B401">
        <f>IF(INDEX('Data Entry'!$H$5:$BE$10004,401-4,'Visual SPC'!$B$3)="",0,IF(AND(OR('Visual SPC'!$C$4="",'Data Entry'!$C401&gt;='Visual SPC'!$C$4),OR('Visual SPC'!$E$4="",'Data Entry'!$C401&lt;='Visual SPC'!$E$4),OR('Visual SPC'!$G$4="",'Data Entry'!$D401='Visual SPC'!$G$4),OR('Visual SPC'!$I$4="",'Data Entry'!$E401='Visual SPC'!$I$4),OR('Visual SPC'!$K$4="",'Data Entry'!$F401='Visual SPC'!$K$4)),1,0))</f>
        <v/>
      </c>
      <c r="C401">
        <f>C400+B401</f>
        <v/>
      </c>
      <c r="D401">
        <f>IF(B401=1,INDEX('Data Entry'!$H$5:$BE$10004,401-4,'Visual SPC'!$B$3),"")</f>
        <v/>
      </c>
      <c r="E401">
        <f>IF(B401=1,D401,E400)</f>
        <v/>
      </c>
      <c r="F401">
        <f>IF(AND(B401=1,C401&gt;1,E400&lt;&gt;""),ABS(D401-E400),"")</f>
        <v/>
      </c>
    </row>
    <row r="402">
      <c r="A402" t="n">
        <v>402</v>
      </c>
      <c r="B402">
        <f>IF(INDEX('Data Entry'!$H$5:$BE$10004,402-4,'Visual SPC'!$B$3)="",0,IF(AND(OR('Visual SPC'!$C$4="",'Data Entry'!$C402&gt;='Visual SPC'!$C$4),OR('Visual SPC'!$E$4="",'Data Entry'!$C402&lt;='Visual SPC'!$E$4),OR('Visual SPC'!$G$4="",'Data Entry'!$D402='Visual SPC'!$G$4),OR('Visual SPC'!$I$4="",'Data Entry'!$E402='Visual SPC'!$I$4),OR('Visual SPC'!$K$4="",'Data Entry'!$F402='Visual SPC'!$K$4)),1,0))</f>
        <v/>
      </c>
      <c r="C402">
        <f>C401+B402</f>
        <v/>
      </c>
      <c r="D402">
        <f>IF(B402=1,INDEX('Data Entry'!$H$5:$BE$10004,402-4,'Visual SPC'!$B$3),"")</f>
        <v/>
      </c>
      <c r="E402">
        <f>IF(B402=1,D402,E401)</f>
        <v/>
      </c>
      <c r="F402">
        <f>IF(AND(B402=1,C402&gt;1,E401&lt;&gt;""),ABS(D402-E401),"")</f>
        <v/>
      </c>
    </row>
    <row r="403">
      <c r="A403" t="n">
        <v>403</v>
      </c>
      <c r="B403">
        <f>IF(INDEX('Data Entry'!$H$5:$BE$10004,403-4,'Visual SPC'!$B$3)="",0,IF(AND(OR('Visual SPC'!$C$4="",'Data Entry'!$C403&gt;='Visual SPC'!$C$4),OR('Visual SPC'!$E$4="",'Data Entry'!$C403&lt;='Visual SPC'!$E$4),OR('Visual SPC'!$G$4="",'Data Entry'!$D403='Visual SPC'!$G$4),OR('Visual SPC'!$I$4="",'Data Entry'!$E403='Visual SPC'!$I$4),OR('Visual SPC'!$K$4="",'Data Entry'!$F403='Visual SPC'!$K$4)),1,0))</f>
        <v/>
      </c>
      <c r="C403">
        <f>C402+B403</f>
        <v/>
      </c>
      <c r="D403">
        <f>IF(B403=1,INDEX('Data Entry'!$H$5:$BE$10004,403-4,'Visual SPC'!$B$3),"")</f>
        <v/>
      </c>
      <c r="E403">
        <f>IF(B403=1,D403,E402)</f>
        <v/>
      </c>
      <c r="F403">
        <f>IF(AND(B403=1,C403&gt;1,E402&lt;&gt;""),ABS(D403-E402),"")</f>
        <v/>
      </c>
    </row>
    <row r="404">
      <c r="A404" t="n">
        <v>404</v>
      </c>
      <c r="B404">
        <f>IF(INDEX('Data Entry'!$H$5:$BE$10004,404-4,'Visual SPC'!$B$3)="",0,IF(AND(OR('Visual SPC'!$C$4="",'Data Entry'!$C404&gt;='Visual SPC'!$C$4),OR('Visual SPC'!$E$4="",'Data Entry'!$C404&lt;='Visual SPC'!$E$4),OR('Visual SPC'!$G$4="",'Data Entry'!$D404='Visual SPC'!$G$4),OR('Visual SPC'!$I$4="",'Data Entry'!$E404='Visual SPC'!$I$4),OR('Visual SPC'!$K$4="",'Data Entry'!$F404='Visual SPC'!$K$4)),1,0))</f>
        <v/>
      </c>
      <c r="C404">
        <f>C403+B404</f>
        <v/>
      </c>
      <c r="D404">
        <f>IF(B404=1,INDEX('Data Entry'!$H$5:$BE$10004,404-4,'Visual SPC'!$B$3),"")</f>
        <v/>
      </c>
      <c r="E404">
        <f>IF(B404=1,D404,E403)</f>
        <v/>
      </c>
      <c r="F404">
        <f>IF(AND(B404=1,C404&gt;1,E403&lt;&gt;""),ABS(D404-E403),"")</f>
        <v/>
      </c>
    </row>
    <row r="405">
      <c r="A405" t="n">
        <v>405</v>
      </c>
      <c r="B405">
        <f>IF(INDEX('Data Entry'!$H$5:$BE$10004,405-4,'Visual SPC'!$B$3)="",0,IF(AND(OR('Visual SPC'!$C$4="",'Data Entry'!$C405&gt;='Visual SPC'!$C$4),OR('Visual SPC'!$E$4="",'Data Entry'!$C405&lt;='Visual SPC'!$E$4),OR('Visual SPC'!$G$4="",'Data Entry'!$D405='Visual SPC'!$G$4),OR('Visual SPC'!$I$4="",'Data Entry'!$E405='Visual SPC'!$I$4),OR('Visual SPC'!$K$4="",'Data Entry'!$F405='Visual SPC'!$K$4)),1,0))</f>
        <v/>
      </c>
      <c r="C405">
        <f>C404+B405</f>
        <v/>
      </c>
      <c r="D405">
        <f>IF(B405=1,INDEX('Data Entry'!$H$5:$BE$10004,405-4,'Visual SPC'!$B$3),"")</f>
        <v/>
      </c>
      <c r="E405">
        <f>IF(B405=1,D405,E404)</f>
        <v/>
      </c>
      <c r="F405">
        <f>IF(AND(B405=1,C405&gt;1,E404&lt;&gt;""),ABS(D405-E404),"")</f>
        <v/>
      </c>
    </row>
    <row r="406">
      <c r="A406" t="n">
        <v>406</v>
      </c>
      <c r="B406">
        <f>IF(INDEX('Data Entry'!$H$5:$BE$10004,406-4,'Visual SPC'!$B$3)="",0,IF(AND(OR('Visual SPC'!$C$4="",'Data Entry'!$C406&gt;='Visual SPC'!$C$4),OR('Visual SPC'!$E$4="",'Data Entry'!$C406&lt;='Visual SPC'!$E$4),OR('Visual SPC'!$G$4="",'Data Entry'!$D406='Visual SPC'!$G$4),OR('Visual SPC'!$I$4="",'Data Entry'!$E406='Visual SPC'!$I$4),OR('Visual SPC'!$K$4="",'Data Entry'!$F406='Visual SPC'!$K$4)),1,0))</f>
        <v/>
      </c>
      <c r="C406">
        <f>C405+B406</f>
        <v/>
      </c>
      <c r="D406">
        <f>IF(B406=1,INDEX('Data Entry'!$H$5:$BE$10004,406-4,'Visual SPC'!$B$3),"")</f>
        <v/>
      </c>
      <c r="E406">
        <f>IF(B406=1,D406,E405)</f>
        <v/>
      </c>
      <c r="F406">
        <f>IF(AND(B406=1,C406&gt;1,E405&lt;&gt;""),ABS(D406-E405),"")</f>
        <v/>
      </c>
    </row>
    <row r="407">
      <c r="A407" t="n">
        <v>407</v>
      </c>
      <c r="B407">
        <f>IF(INDEX('Data Entry'!$H$5:$BE$10004,407-4,'Visual SPC'!$B$3)="",0,IF(AND(OR('Visual SPC'!$C$4="",'Data Entry'!$C407&gt;='Visual SPC'!$C$4),OR('Visual SPC'!$E$4="",'Data Entry'!$C407&lt;='Visual SPC'!$E$4),OR('Visual SPC'!$G$4="",'Data Entry'!$D407='Visual SPC'!$G$4),OR('Visual SPC'!$I$4="",'Data Entry'!$E407='Visual SPC'!$I$4),OR('Visual SPC'!$K$4="",'Data Entry'!$F407='Visual SPC'!$K$4)),1,0))</f>
        <v/>
      </c>
      <c r="C407">
        <f>C406+B407</f>
        <v/>
      </c>
      <c r="D407">
        <f>IF(B407=1,INDEX('Data Entry'!$H$5:$BE$10004,407-4,'Visual SPC'!$B$3),"")</f>
        <v/>
      </c>
      <c r="E407">
        <f>IF(B407=1,D407,E406)</f>
        <v/>
      </c>
      <c r="F407">
        <f>IF(AND(B407=1,C407&gt;1,E406&lt;&gt;""),ABS(D407-E406),"")</f>
        <v/>
      </c>
    </row>
    <row r="408">
      <c r="A408" t="n">
        <v>408</v>
      </c>
      <c r="B408">
        <f>IF(INDEX('Data Entry'!$H$5:$BE$10004,408-4,'Visual SPC'!$B$3)="",0,IF(AND(OR('Visual SPC'!$C$4="",'Data Entry'!$C408&gt;='Visual SPC'!$C$4),OR('Visual SPC'!$E$4="",'Data Entry'!$C408&lt;='Visual SPC'!$E$4),OR('Visual SPC'!$G$4="",'Data Entry'!$D408='Visual SPC'!$G$4),OR('Visual SPC'!$I$4="",'Data Entry'!$E408='Visual SPC'!$I$4),OR('Visual SPC'!$K$4="",'Data Entry'!$F408='Visual SPC'!$K$4)),1,0))</f>
        <v/>
      </c>
      <c r="C408">
        <f>C407+B408</f>
        <v/>
      </c>
      <c r="D408">
        <f>IF(B408=1,INDEX('Data Entry'!$H$5:$BE$10004,408-4,'Visual SPC'!$B$3),"")</f>
        <v/>
      </c>
      <c r="E408">
        <f>IF(B408=1,D408,E407)</f>
        <v/>
      </c>
      <c r="F408">
        <f>IF(AND(B408=1,C408&gt;1,E407&lt;&gt;""),ABS(D408-E407),"")</f>
        <v/>
      </c>
    </row>
    <row r="409">
      <c r="A409" t="n">
        <v>409</v>
      </c>
      <c r="B409">
        <f>IF(INDEX('Data Entry'!$H$5:$BE$10004,409-4,'Visual SPC'!$B$3)="",0,IF(AND(OR('Visual SPC'!$C$4="",'Data Entry'!$C409&gt;='Visual SPC'!$C$4),OR('Visual SPC'!$E$4="",'Data Entry'!$C409&lt;='Visual SPC'!$E$4),OR('Visual SPC'!$G$4="",'Data Entry'!$D409='Visual SPC'!$G$4),OR('Visual SPC'!$I$4="",'Data Entry'!$E409='Visual SPC'!$I$4),OR('Visual SPC'!$K$4="",'Data Entry'!$F409='Visual SPC'!$K$4)),1,0))</f>
        <v/>
      </c>
      <c r="C409">
        <f>C408+B409</f>
        <v/>
      </c>
      <c r="D409">
        <f>IF(B409=1,INDEX('Data Entry'!$H$5:$BE$10004,409-4,'Visual SPC'!$B$3),"")</f>
        <v/>
      </c>
      <c r="E409">
        <f>IF(B409=1,D409,E408)</f>
        <v/>
      </c>
      <c r="F409">
        <f>IF(AND(B409=1,C409&gt;1,E408&lt;&gt;""),ABS(D409-E408),"")</f>
        <v/>
      </c>
    </row>
    <row r="410">
      <c r="A410" t="n">
        <v>410</v>
      </c>
      <c r="B410">
        <f>IF(INDEX('Data Entry'!$H$5:$BE$10004,410-4,'Visual SPC'!$B$3)="",0,IF(AND(OR('Visual SPC'!$C$4="",'Data Entry'!$C410&gt;='Visual SPC'!$C$4),OR('Visual SPC'!$E$4="",'Data Entry'!$C410&lt;='Visual SPC'!$E$4),OR('Visual SPC'!$G$4="",'Data Entry'!$D410='Visual SPC'!$G$4),OR('Visual SPC'!$I$4="",'Data Entry'!$E410='Visual SPC'!$I$4),OR('Visual SPC'!$K$4="",'Data Entry'!$F410='Visual SPC'!$K$4)),1,0))</f>
        <v/>
      </c>
      <c r="C410">
        <f>C409+B410</f>
        <v/>
      </c>
      <c r="D410">
        <f>IF(B410=1,INDEX('Data Entry'!$H$5:$BE$10004,410-4,'Visual SPC'!$B$3),"")</f>
        <v/>
      </c>
      <c r="E410">
        <f>IF(B410=1,D410,E409)</f>
        <v/>
      </c>
      <c r="F410">
        <f>IF(AND(B410=1,C410&gt;1,E409&lt;&gt;""),ABS(D410-E409),"")</f>
        <v/>
      </c>
    </row>
    <row r="411">
      <c r="A411" t="n">
        <v>411</v>
      </c>
      <c r="B411">
        <f>IF(INDEX('Data Entry'!$H$5:$BE$10004,411-4,'Visual SPC'!$B$3)="",0,IF(AND(OR('Visual SPC'!$C$4="",'Data Entry'!$C411&gt;='Visual SPC'!$C$4),OR('Visual SPC'!$E$4="",'Data Entry'!$C411&lt;='Visual SPC'!$E$4),OR('Visual SPC'!$G$4="",'Data Entry'!$D411='Visual SPC'!$G$4),OR('Visual SPC'!$I$4="",'Data Entry'!$E411='Visual SPC'!$I$4),OR('Visual SPC'!$K$4="",'Data Entry'!$F411='Visual SPC'!$K$4)),1,0))</f>
        <v/>
      </c>
      <c r="C411">
        <f>C410+B411</f>
        <v/>
      </c>
      <c r="D411">
        <f>IF(B411=1,INDEX('Data Entry'!$H$5:$BE$10004,411-4,'Visual SPC'!$B$3),"")</f>
        <v/>
      </c>
      <c r="E411">
        <f>IF(B411=1,D411,E410)</f>
        <v/>
      </c>
      <c r="F411">
        <f>IF(AND(B411=1,C411&gt;1,E410&lt;&gt;""),ABS(D411-E410),"")</f>
        <v/>
      </c>
    </row>
    <row r="412">
      <c r="A412" t="n">
        <v>412</v>
      </c>
      <c r="B412">
        <f>IF(INDEX('Data Entry'!$H$5:$BE$10004,412-4,'Visual SPC'!$B$3)="",0,IF(AND(OR('Visual SPC'!$C$4="",'Data Entry'!$C412&gt;='Visual SPC'!$C$4),OR('Visual SPC'!$E$4="",'Data Entry'!$C412&lt;='Visual SPC'!$E$4),OR('Visual SPC'!$G$4="",'Data Entry'!$D412='Visual SPC'!$G$4),OR('Visual SPC'!$I$4="",'Data Entry'!$E412='Visual SPC'!$I$4),OR('Visual SPC'!$K$4="",'Data Entry'!$F412='Visual SPC'!$K$4)),1,0))</f>
        <v/>
      </c>
      <c r="C412">
        <f>C411+B412</f>
        <v/>
      </c>
      <c r="D412">
        <f>IF(B412=1,INDEX('Data Entry'!$H$5:$BE$10004,412-4,'Visual SPC'!$B$3),"")</f>
        <v/>
      </c>
      <c r="E412">
        <f>IF(B412=1,D412,E411)</f>
        <v/>
      </c>
      <c r="F412">
        <f>IF(AND(B412=1,C412&gt;1,E411&lt;&gt;""),ABS(D412-E411),"")</f>
        <v/>
      </c>
    </row>
    <row r="413">
      <c r="A413" t="n">
        <v>413</v>
      </c>
      <c r="B413">
        <f>IF(INDEX('Data Entry'!$H$5:$BE$10004,413-4,'Visual SPC'!$B$3)="",0,IF(AND(OR('Visual SPC'!$C$4="",'Data Entry'!$C413&gt;='Visual SPC'!$C$4),OR('Visual SPC'!$E$4="",'Data Entry'!$C413&lt;='Visual SPC'!$E$4),OR('Visual SPC'!$G$4="",'Data Entry'!$D413='Visual SPC'!$G$4),OR('Visual SPC'!$I$4="",'Data Entry'!$E413='Visual SPC'!$I$4),OR('Visual SPC'!$K$4="",'Data Entry'!$F413='Visual SPC'!$K$4)),1,0))</f>
        <v/>
      </c>
      <c r="C413">
        <f>C412+B413</f>
        <v/>
      </c>
      <c r="D413">
        <f>IF(B413=1,INDEX('Data Entry'!$H$5:$BE$10004,413-4,'Visual SPC'!$B$3),"")</f>
        <v/>
      </c>
      <c r="E413">
        <f>IF(B413=1,D413,E412)</f>
        <v/>
      </c>
      <c r="F413">
        <f>IF(AND(B413=1,C413&gt;1,E412&lt;&gt;""),ABS(D413-E412),"")</f>
        <v/>
      </c>
    </row>
    <row r="414">
      <c r="A414" t="n">
        <v>414</v>
      </c>
      <c r="B414">
        <f>IF(INDEX('Data Entry'!$H$5:$BE$10004,414-4,'Visual SPC'!$B$3)="",0,IF(AND(OR('Visual SPC'!$C$4="",'Data Entry'!$C414&gt;='Visual SPC'!$C$4),OR('Visual SPC'!$E$4="",'Data Entry'!$C414&lt;='Visual SPC'!$E$4),OR('Visual SPC'!$G$4="",'Data Entry'!$D414='Visual SPC'!$G$4),OR('Visual SPC'!$I$4="",'Data Entry'!$E414='Visual SPC'!$I$4),OR('Visual SPC'!$K$4="",'Data Entry'!$F414='Visual SPC'!$K$4)),1,0))</f>
        <v/>
      </c>
      <c r="C414">
        <f>C413+B414</f>
        <v/>
      </c>
      <c r="D414">
        <f>IF(B414=1,INDEX('Data Entry'!$H$5:$BE$10004,414-4,'Visual SPC'!$B$3),"")</f>
        <v/>
      </c>
      <c r="E414">
        <f>IF(B414=1,D414,E413)</f>
        <v/>
      </c>
      <c r="F414">
        <f>IF(AND(B414=1,C414&gt;1,E413&lt;&gt;""),ABS(D414-E413),"")</f>
        <v/>
      </c>
    </row>
    <row r="415">
      <c r="A415" t="n">
        <v>415</v>
      </c>
      <c r="B415">
        <f>IF(INDEX('Data Entry'!$H$5:$BE$10004,415-4,'Visual SPC'!$B$3)="",0,IF(AND(OR('Visual SPC'!$C$4="",'Data Entry'!$C415&gt;='Visual SPC'!$C$4),OR('Visual SPC'!$E$4="",'Data Entry'!$C415&lt;='Visual SPC'!$E$4),OR('Visual SPC'!$G$4="",'Data Entry'!$D415='Visual SPC'!$G$4),OR('Visual SPC'!$I$4="",'Data Entry'!$E415='Visual SPC'!$I$4),OR('Visual SPC'!$K$4="",'Data Entry'!$F415='Visual SPC'!$K$4)),1,0))</f>
        <v/>
      </c>
      <c r="C415">
        <f>C414+B415</f>
        <v/>
      </c>
      <c r="D415">
        <f>IF(B415=1,INDEX('Data Entry'!$H$5:$BE$10004,415-4,'Visual SPC'!$B$3),"")</f>
        <v/>
      </c>
      <c r="E415">
        <f>IF(B415=1,D415,E414)</f>
        <v/>
      </c>
      <c r="F415">
        <f>IF(AND(B415=1,C415&gt;1,E414&lt;&gt;""),ABS(D415-E414),"")</f>
        <v/>
      </c>
    </row>
    <row r="416">
      <c r="A416" t="n">
        <v>416</v>
      </c>
      <c r="B416">
        <f>IF(INDEX('Data Entry'!$H$5:$BE$10004,416-4,'Visual SPC'!$B$3)="",0,IF(AND(OR('Visual SPC'!$C$4="",'Data Entry'!$C416&gt;='Visual SPC'!$C$4),OR('Visual SPC'!$E$4="",'Data Entry'!$C416&lt;='Visual SPC'!$E$4),OR('Visual SPC'!$G$4="",'Data Entry'!$D416='Visual SPC'!$G$4),OR('Visual SPC'!$I$4="",'Data Entry'!$E416='Visual SPC'!$I$4),OR('Visual SPC'!$K$4="",'Data Entry'!$F416='Visual SPC'!$K$4)),1,0))</f>
        <v/>
      </c>
      <c r="C416">
        <f>C415+B416</f>
        <v/>
      </c>
      <c r="D416">
        <f>IF(B416=1,INDEX('Data Entry'!$H$5:$BE$10004,416-4,'Visual SPC'!$B$3),"")</f>
        <v/>
      </c>
      <c r="E416">
        <f>IF(B416=1,D416,E415)</f>
        <v/>
      </c>
      <c r="F416">
        <f>IF(AND(B416=1,C416&gt;1,E415&lt;&gt;""),ABS(D416-E415),"")</f>
        <v/>
      </c>
    </row>
    <row r="417">
      <c r="A417" t="n">
        <v>417</v>
      </c>
      <c r="B417">
        <f>IF(INDEX('Data Entry'!$H$5:$BE$10004,417-4,'Visual SPC'!$B$3)="",0,IF(AND(OR('Visual SPC'!$C$4="",'Data Entry'!$C417&gt;='Visual SPC'!$C$4),OR('Visual SPC'!$E$4="",'Data Entry'!$C417&lt;='Visual SPC'!$E$4),OR('Visual SPC'!$G$4="",'Data Entry'!$D417='Visual SPC'!$G$4),OR('Visual SPC'!$I$4="",'Data Entry'!$E417='Visual SPC'!$I$4),OR('Visual SPC'!$K$4="",'Data Entry'!$F417='Visual SPC'!$K$4)),1,0))</f>
        <v/>
      </c>
      <c r="C417">
        <f>C416+B417</f>
        <v/>
      </c>
      <c r="D417">
        <f>IF(B417=1,INDEX('Data Entry'!$H$5:$BE$10004,417-4,'Visual SPC'!$B$3),"")</f>
        <v/>
      </c>
      <c r="E417">
        <f>IF(B417=1,D417,E416)</f>
        <v/>
      </c>
      <c r="F417">
        <f>IF(AND(B417=1,C417&gt;1,E416&lt;&gt;""),ABS(D417-E416),"")</f>
        <v/>
      </c>
    </row>
    <row r="418">
      <c r="A418" t="n">
        <v>418</v>
      </c>
      <c r="B418">
        <f>IF(INDEX('Data Entry'!$H$5:$BE$10004,418-4,'Visual SPC'!$B$3)="",0,IF(AND(OR('Visual SPC'!$C$4="",'Data Entry'!$C418&gt;='Visual SPC'!$C$4),OR('Visual SPC'!$E$4="",'Data Entry'!$C418&lt;='Visual SPC'!$E$4),OR('Visual SPC'!$G$4="",'Data Entry'!$D418='Visual SPC'!$G$4),OR('Visual SPC'!$I$4="",'Data Entry'!$E418='Visual SPC'!$I$4),OR('Visual SPC'!$K$4="",'Data Entry'!$F418='Visual SPC'!$K$4)),1,0))</f>
        <v/>
      </c>
      <c r="C418">
        <f>C417+B418</f>
        <v/>
      </c>
      <c r="D418">
        <f>IF(B418=1,INDEX('Data Entry'!$H$5:$BE$10004,418-4,'Visual SPC'!$B$3),"")</f>
        <v/>
      </c>
      <c r="E418">
        <f>IF(B418=1,D418,E417)</f>
        <v/>
      </c>
      <c r="F418">
        <f>IF(AND(B418=1,C418&gt;1,E417&lt;&gt;""),ABS(D418-E417),"")</f>
        <v/>
      </c>
    </row>
    <row r="419">
      <c r="A419" t="n">
        <v>419</v>
      </c>
      <c r="B419">
        <f>IF(INDEX('Data Entry'!$H$5:$BE$10004,419-4,'Visual SPC'!$B$3)="",0,IF(AND(OR('Visual SPC'!$C$4="",'Data Entry'!$C419&gt;='Visual SPC'!$C$4),OR('Visual SPC'!$E$4="",'Data Entry'!$C419&lt;='Visual SPC'!$E$4),OR('Visual SPC'!$G$4="",'Data Entry'!$D419='Visual SPC'!$G$4),OR('Visual SPC'!$I$4="",'Data Entry'!$E419='Visual SPC'!$I$4),OR('Visual SPC'!$K$4="",'Data Entry'!$F419='Visual SPC'!$K$4)),1,0))</f>
        <v/>
      </c>
      <c r="C419">
        <f>C418+B419</f>
        <v/>
      </c>
      <c r="D419">
        <f>IF(B419=1,INDEX('Data Entry'!$H$5:$BE$10004,419-4,'Visual SPC'!$B$3),"")</f>
        <v/>
      </c>
      <c r="E419">
        <f>IF(B419=1,D419,E418)</f>
        <v/>
      </c>
      <c r="F419">
        <f>IF(AND(B419=1,C419&gt;1,E418&lt;&gt;""),ABS(D419-E418),"")</f>
        <v/>
      </c>
    </row>
    <row r="420">
      <c r="A420" t="n">
        <v>420</v>
      </c>
      <c r="B420">
        <f>IF(INDEX('Data Entry'!$H$5:$BE$10004,420-4,'Visual SPC'!$B$3)="",0,IF(AND(OR('Visual SPC'!$C$4="",'Data Entry'!$C420&gt;='Visual SPC'!$C$4),OR('Visual SPC'!$E$4="",'Data Entry'!$C420&lt;='Visual SPC'!$E$4),OR('Visual SPC'!$G$4="",'Data Entry'!$D420='Visual SPC'!$G$4),OR('Visual SPC'!$I$4="",'Data Entry'!$E420='Visual SPC'!$I$4),OR('Visual SPC'!$K$4="",'Data Entry'!$F420='Visual SPC'!$K$4)),1,0))</f>
        <v/>
      </c>
      <c r="C420">
        <f>C419+B420</f>
        <v/>
      </c>
      <c r="D420">
        <f>IF(B420=1,INDEX('Data Entry'!$H$5:$BE$10004,420-4,'Visual SPC'!$B$3),"")</f>
        <v/>
      </c>
      <c r="E420">
        <f>IF(B420=1,D420,E419)</f>
        <v/>
      </c>
      <c r="F420">
        <f>IF(AND(B420=1,C420&gt;1,E419&lt;&gt;""),ABS(D420-E419),"")</f>
        <v/>
      </c>
    </row>
    <row r="421">
      <c r="A421" t="n">
        <v>421</v>
      </c>
      <c r="B421">
        <f>IF(INDEX('Data Entry'!$H$5:$BE$10004,421-4,'Visual SPC'!$B$3)="",0,IF(AND(OR('Visual SPC'!$C$4="",'Data Entry'!$C421&gt;='Visual SPC'!$C$4),OR('Visual SPC'!$E$4="",'Data Entry'!$C421&lt;='Visual SPC'!$E$4),OR('Visual SPC'!$G$4="",'Data Entry'!$D421='Visual SPC'!$G$4),OR('Visual SPC'!$I$4="",'Data Entry'!$E421='Visual SPC'!$I$4),OR('Visual SPC'!$K$4="",'Data Entry'!$F421='Visual SPC'!$K$4)),1,0))</f>
        <v/>
      </c>
      <c r="C421">
        <f>C420+B421</f>
        <v/>
      </c>
      <c r="D421">
        <f>IF(B421=1,INDEX('Data Entry'!$H$5:$BE$10004,421-4,'Visual SPC'!$B$3),"")</f>
        <v/>
      </c>
      <c r="E421">
        <f>IF(B421=1,D421,E420)</f>
        <v/>
      </c>
      <c r="F421">
        <f>IF(AND(B421=1,C421&gt;1,E420&lt;&gt;""),ABS(D421-E420),"")</f>
        <v/>
      </c>
    </row>
    <row r="422">
      <c r="A422" t="n">
        <v>422</v>
      </c>
      <c r="B422">
        <f>IF(INDEX('Data Entry'!$H$5:$BE$10004,422-4,'Visual SPC'!$B$3)="",0,IF(AND(OR('Visual SPC'!$C$4="",'Data Entry'!$C422&gt;='Visual SPC'!$C$4),OR('Visual SPC'!$E$4="",'Data Entry'!$C422&lt;='Visual SPC'!$E$4),OR('Visual SPC'!$G$4="",'Data Entry'!$D422='Visual SPC'!$G$4),OR('Visual SPC'!$I$4="",'Data Entry'!$E422='Visual SPC'!$I$4),OR('Visual SPC'!$K$4="",'Data Entry'!$F422='Visual SPC'!$K$4)),1,0))</f>
        <v/>
      </c>
      <c r="C422">
        <f>C421+B422</f>
        <v/>
      </c>
      <c r="D422">
        <f>IF(B422=1,INDEX('Data Entry'!$H$5:$BE$10004,422-4,'Visual SPC'!$B$3),"")</f>
        <v/>
      </c>
      <c r="E422">
        <f>IF(B422=1,D422,E421)</f>
        <v/>
      </c>
      <c r="F422">
        <f>IF(AND(B422=1,C422&gt;1,E421&lt;&gt;""),ABS(D422-E421),"")</f>
        <v/>
      </c>
    </row>
    <row r="423">
      <c r="A423" t="n">
        <v>423</v>
      </c>
      <c r="B423">
        <f>IF(INDEX('Data Entry'!$H$5:$BE$10004,423-4,'Visual SPC'!$B$3)="",0,IF(AND(OR('Visual SPC'!$C$4="",'Data Entry'!$C423&gt;='Visual SPC'!$C$4),OR('Visual SPC'!$E$4="",'Data Entry'!$C423&lt;='Visual SPC'!$E$4),OR('Visual SPC'!$G$4="",'Data Entry'!$D423='Visual SPC'!$G$4),OR('Visual SPC'!$I$4="",'Data Entry'!$E423='Visual SPC'!$I$4),OR('Visual SPC'!$K$4="",'Data Entry'!$F423='Visual SPC'!$K$4)),1,0))</f>
        <v/>
      </c>
      <c r="C423">
        <f>C422+B423</f>
        <v/>
      </c>
      <c r="D423">
        <f>IF(B423=1,INDEX('Data Entry'!$H$5:$BE$10004,423-4,'Visual SPC'!$B$3),"")</f>
        <v/>
      </c>
      <c r="E423">
        <f>IF(B423=1,D423,E422)</f>
        <v/>
      </c>
      <c r="F423">
        <f>IF(AND(B423=1,C423&gt;1,E422&lt;&gt;""),ABS(D423-E422),"")</f>
        <v/>
      </c>
    </row>
    <row r="424">
      <c r="A424" t="n">
        <v>424</v>
      </c>
      <c r="B424">
        <f>IF(INDEX('Data Entry'!$H$5:$BE$10004,424-4,'Visual SPC'!$B$3)="",0,IF(AND(OR('Visual SPC'!$C$4="",'Data Entry'!$C424&gt;='Visual SPC'!$C$4),OR('Visual SPC'!$E$4="",'Data Entry'!$C424&lt;='Visual SPC'!$E$4),OR('Visual SPC'!$G$4="",'Data Entry'!$D424='Visual SPC'!$G$4),OR('Visual SPC'!$I$4="",'Data Entry'!$E424='Visual SPC'!$I$4),OR('Visual SPC'!$K$4="",'Data Entry'!$F424='Visual SPC'!$K$4)),1,0))</f>
        <v/>
      </c>
      <c r="C424">
        <f>C423+B424</f>
        <v/>
      </c>
      <c r="D424">
        <f>IF(B424=1,INDEX('Data Entry'!$H$5:$BE$10004,424-4,'Visual SPC'!$B$3),"")</f>
        <v/>
      </c>
      <c r="E424">
        <f>IF(B424=1,D424,E423)</f>
        <v/>
      </c>
      <c r="F424">
        <f>IF(AND(B424=1,C424&gt;1,E423&lt;&gt;""),ABS(D424-E423),"")</f>
        <v/>
      </c>
    </row>
    <row r="425">
      <c r="A425" t="n">
        <v>425</v>
      </c>
      <c r="B425">
        <f>IF(INDEX('Data Entry'!$H$5:$BE$10004,425-4,'Visual SPC'!$B$3)="",0,IF(AND(OR('Visual SPC'!$C$4="",'Data Entry'!$C425&gt;='Visual SPC'!$C$4),OR('Visual SPC'!$E$4="",'Data Entry'!$C425&lt;='Visual SPC'!$E$4),OR('Visual SPC'!$G$4="",'Data Entry'!$D425='Visual SPC'!$G$4),OR('Visual SPC'!$I$4="",'Data Entry'!$E425='Visual SPC'!$I$4),OR('Visual SPC'!$K$4="",'Data Entry'!$F425='Visual SPC'!$K$4)),1,0))</f>
        <v/>
      </c>
      <c r="C425">
        <f>C424+B425</f>
        <v/>
      </c>
      <c r="D425">
        <f>IF(B425=1,INDEX('Data Entry'!$H$5:$BE$10004,425-4,'Visual SPC'!$B$3),"")</f>
        <v/>
      </c>
      <c r="E425">
        <f>IF(B425=1,D425,E424)</f>
        <v/>
      </c>
      <c r="F425">
        <f>IF(AND(B425=1,C425&gt;1,E424&lt;&gt;""),ABS(D425-E424),"")</f>
        <v/>
      </c>
    </row>
    <row r="426">
      <c r="A426" t="n">
        <v>426</v>
      </c>
      <c r="B426">
        <f>IF(INDEX('Data Entry'!$H$5:$BE$10004,426-4,'Visual SPC'!$B$3)="",0,IF(AND(OR('Visual SPC'!$C$4="",'Data Entry'!$C426&gt;='Visual SPC'!$C$4),OR('Visual SPC'!$E$4="",'Data Entry'!$C426&lt;='Visual SPC'!$E$4),OR('Visual SPC'!$G$4="",'Data Entry'!$D426='Visual SPC'!$G$4),OR('Visual SPC'!$I$4="",'Data Entry'!$E426='Visual SPC'!$I$4),OR('Visual SPC'!$K$4="",'Data Entry'!$F426='Visual SPC'!$K$4)),1,0))</f>
        <v/>
      </c>
      <c r="C426">
        <f>C425+B426</f>
        <v/>
      </c>
      <c r="D426">
        <f>IF(B426=1,INDEX('Data Entry'!$H$5:$BE$10004,426-4,'Visual SPC'!$B$3),"")</f>
        <v/>
      </c>
      <c r="E426">
        <f>IF(B426=1,D426,E425)</f>
        <v/>
      </c>
      <c r="F426">
        <f>IF(AND(B426=1,C426&gt;1,E425&lt;&gt;""),ABS(D426-E425),"")</f>
        <v/>
      </c>
    </row>
    <row r="427">
      <c r="A427" t="n">
        <v>427</v>
      </c>
      <c r="B427">
        <f>IF(INDEX('Data Entry'!$H$5:$BE$10004,427-4,'Visual SPC'!$B$3)="",0,IF(AND(OR('Visual SPC'!$C$4="",'Data Entry'!$C427&gt;='Visual SPC'!$C$4),OR('Visual SPC'!$E$4="",'Data Entry'!$C427&lt;='Visual SPC'!$E$4),OR('Visual SPC'!$G$4="",'Data Entry'!$D427='Visual SPC'!$G$4),OR('Visual SPC'!$I$4="",'Data Entry'!$E427='Visual SPC'!$I$4),OR('Visual SPC'!$K$4="",'Data Entry'!$F427='Visual SPC'!$K$4)),1,0))</f>
        <v/>
      </c>
      <c r="C427">
        <f>C426+B427</f>
        <v/>
      </c>
      <c r="D427">
        <f>IF(B427=1,INDEX('Data Entry'!$H$5:$BE$10004,427-4,'Visual SPC'!$B$3),"")</f>
        <v/>
      </c>
      <c r="E427">
        <f>IF(B427=1,D427,E426)</f>
        <v/>
      </c>
      <c r="F427">
        <f>IF(AND(B427=1,C427&gt;1,E426&lt;&gt;""),ABS(D427-E426),"")</f>
        <v/>
      </c>
    </row>
    <row r="428">
      <c r="A428" t="n">
        <v>428</v>
      </c>
      <c r="B428">
        <f>IF(INDEX('Data Entry'!$H$5:$BE$10004,428-4,'Visual SPC'!$B$3)="",0,IF(AND(OR('Visual SPC'!$C$4="",'Data Entry'!$C428&gt;='Visual SPC'!$C$4),OR('Visual SPC'!$E$4="",'Data Entry'!$C428&lt;='Visual SPC'!$E$4),OR('Visual SPC'!$G$4="",'Data Entry'!$D428='Visual SPC'!$G$4),OR('Visual SPC'!$I$4="",'Data Entry'!$E428='Visual SPC'!$I$4),OR('Visual SPC'!$K$4="",'Data Entry'!$F428='Visual SPC'!$K$4)),1,0))</f>
        <v/>
      </c>
      <c r="C428">
        <f>C427+B428</f>
        <v/>
      </c>
      <c r="D428">
        <f>IF(B428=1,INDEX('Data Entry'!$H$5:$BE$10004,428-4,'Visual SPC'!$B$3),"")</f>
        <v/>
      </c>
      <c r="E428">
        <f>IF(B428=1,D428,E427)</f>
        <v/>
      </c>
      <c r="F428">
        <f>IF(AND(B428=1,C428&gt;1,E427&lt;&gt;""),ABS(D428-E427),"")</f>
        <v/>
      </c>
    </row>
    <row r="429">
      <c r="A429" t="n">
        <v>429</v>
      </c>
      <c r="B429">
        <f>IF(INDEX('Data Entry'!$H$5:$BE$10004,429-4,'Visual SPC'!$B$3)="",0,IF(AND(OR('Visual SPC'!$C$4="",'Data Entry'!$C429&gt;='Visual SPC'!$C$4),OR('Visual SPC'!$E$4="",'Data Entry'!$C429&lt;='Visual SPC'!$E$4),OR('Visual SPC'!$G$4="",'Data Entry'!$D429='Visual SPC'!$G$4),OR('Visual SPC'!$I$4="",'Data Entry'!$E429='Visual SPC'!$I$4),OR('Visual SPC'!$K$4="",'Data Entry'!$F429='Visual SPC'!$K$4)),1,0))</f>
        <v/>
      </c>
      <c r="C429">
        <f>C428+B429</f>
        <v/>
      </c>
      <c r="D429">
        <f>IF(B429=1,INDEX('Data Entry'!$H$5:$BE$10004,429-4,'Visual SPC'!$B$3),"")</f>
        <v/>
      </c>
      <c r="E429">
        <f>IF(B429=1,D429,E428)</f>
        <v/>
      </c>
      <c r="F429">
        <f>IF(AND(B429=1,C429&gt;1,E428&lt;&gt;""),ABS(D429-E428),"")</f>
        <v/>
      </c>
    </row>
    <row r="430">
      <c r="A430" t="n">
        <v>430</v>
      </c>
      <c r="B430">
        <f>IF(INDEX('Data Entry'!$H$5:$BE$10004,430-4,'Visual SPC'!$B$3)="",0,IF(AND(OR('Visual SPC'!$C$4="",'Data Entry'!$C430&gt;='Visual SPC'!$C$4),OR('Visual SPC'!$E$4="",'Data Entry'!$C430&lt;='Visual SPC'!$E$4),OR('Visual SPC'!$G$4="",'Data Entry'!$D430='Visual SPC'!$G$4),OR('Visual SPC'!$I$4="",'Data Entry'!$E430='Visual SPC'!$I$4),OR('Visual SPC'!$K$4="",'Data Entry'!$F430='Visual SPC'!$K$4)),1,0))</f>
        <v/>
      </c>
      <c r="C430">
        <f>C429+B430</f>
        <v/>
      </c>
      <c r="D430">
        <f>IF(B430=1,INDEX('Data Entry'!$H$5:$BE$10004,430-4,'Visual SPC'!$B$3),"")</f>
        <v/>
      </c>
      <c r="E430">
        <f>IF(B430=1,D430,E429)</f>
        <v/>
      </c>
      <c r="F430">
        <f>IF(AND(B430=1,C430&gt;1,E429&lt;&gt;""),ABS(D430-E429),"")</f>
        <v/>
      </c>
    </row>
    <row r="431">
      <c r="A431" t="n">
        <v>431</v>
      </c>
      <c r="B431">
        <f>IF(INDEX('Data Entry'!$H$5:$BE$10004,431-4,'Visual SPC'!$B$3)="",0,IF(AND(OR('Visual SPC'!$C$4="",'Data Entry'!$C431&gt;='Visual SPC'!$C$4),OR('Visual SPC'!$E$4="",'Data Entry'!$C431&lt;='Visual SPC'!$E$4),OR('Visual SPC'!$G$4="",'Data Entry'!$D431='Visual SPC'!$G$4),OR('Visual SPC'!$I$4="",'Data Entry'!$E431='Visual SPC'!$I$4),OR('Visual SPC'!$K$4="",'Data Entry'!$F431='Visual SPC'!$K$4)),1,0))</f>
        <v/>
      </c>
      <c r="C431">
        <f>C430+B431</f>
        <v/>
      </c>
      <c r="D431">
        <f>IF(B431=1,INDEX('Data Entry'!$H$5:$BE$10004,431-4,'Visual SPC'!$B$3),"")</f>
        <v/>
      </c>
      <c r="E431">
        <f>IF(B431=1,D431,E430)</f>
        <v/>
      </c>
      <c r="F431">
        <f>IF(AND(B431=1,C431&gt;1,E430&lt;&gt;""),ABS(D431-E430),"")</f>
        <v/>
      </c>
    </row>
    <row r="432">
      <c r="A432" t="n">
        <v>432</v>
      </c>
      <c r="B432">
        <f>IF(INDEX('Data Entry'!$H$5:$BE$10004,432-4,'Visual SPC'!$B$3)="",0,IF(AND(OR('Visual SPC'!$C$4="",'Data Entry'!$C432&gt;='Visual SPC'!$C$4),OR('Visual SPC'!$E$4="",'Data Entry'!$C432&lt;='Visual SPC'!$E$4),OR('Visual SPC'!$G$4="",'Data Entry'!$D432='Visual SPC'!$G$4),OR('Visual SPC'!$I$4="",'Data Entry'!$E432='Visual SPC'!$I$4),OR('Visual SPC'!$K$4="",'Data Entry'!$F432='Visual SPC'!$K$4)),1,0))</f>
        <v/>
      </c>
      <c r="C432">
        <f>C431+B432</f>
        <v/>
      </c>
      <c r="D432">
        <f>IF(B432=1,INDEX('Data Entry'!$H$5:$BE$10004,432-4,'Visual SPC'!$B$3),"")</f>
        <v/>
      </c>
      <c r="E432">
        <f>IF(B432=1,D432,E431)</f>
        <v/>
      </c>
      <c r="F432">
        <f>IF(AND(B432=1,C432&gt;1,E431&lt;&gt;""),ABS(D432-E431),"")</f>
        <v/>
      </c>
    </row>
    <row r="433">
      <c r="A433" t="n">
        <v>433</v>
      </c>
      <c r="B433">
        <f>IF(INDEX('Data Entry'!$H$5:$BE$10004,433-4,'Visual SPC'!$B$3)="",0,IF(AND(OR('Visual SPC'!$C$4="",'Data Entry'!$C433&gt;='Visual SPC'!$C$4),OR('Visual SPC'!$E$4="",'Data Entry'!$C433&lt;='Visual SPC'!$E$4),OR('Visual SPC'!$G$4="",'Data Entry'!$D433='Visual SPC'!$G$4),OR('Visual SPC'!$I$4="",'Data Entry'!$E433='Visual SPC'!$I$4),OR('Visual SPC'!$K$4="",'Data Entry'!$F433='Visual SPC'!$K$4)),1,0))</f>
        <v/>
      </c>
      <c r="C433">
        <f>C432+B433</f>
        <v/>
      </c>
      <c r="D433">
        <f>IF(B433=1,INDEX('Data Entry'!$H$5:$BE$10004,433-4,'Visual SPC'!$B$3),"")</f>
        <v/>
      </c>
      <c r="E433">
        <f>IF(B433=1,D433,E432)</f>
        <v/>
      </c>
      <c r="F433">
        <f>IF(AND(B433=1,C433&gt;1,E432&lt;&gt;""),ABS(D433-E432),"")</f>
        <v/>
      </c>
    </row>
    <row r="434">
      <c r="A434" t="n">
        <v>434</v>
      </c>
      <c r="B434">
        <f>IF(INDEX('Data Entry'!$H$5:$BE$10004,434-4,'Visual SPC'!$B$3)="",0,IF(AND(OR('Visual SPC'!$C$4="",'Data Entry'!$C434&gt;='Visual SPC'!$C$4),OR('Visual SPC'!$E$4="",'Data Entry'!$C434&lt;='Visual SPC'!$E$4),OR('Visual SPC'!$G$4="",'Data Entry'!$D434='Visual SPC'!$G$4),OR('Visual SPC'!$I$4="",'Data Entry'!$E434='Visual SPC'!$I$4),OR('Visual SPC'!$K$4="",'Data Entry'!$F434='Visual SPC'!$K$4)),1,0))</f>
        <v/>
      </c>
      <c r="C434">
        <f>C433+B434</f>
        <v/>
      </c>
      <c r="D434">
        <f>IF(B434=1,INDEX('Data Entry'!$H$5:$BE$10004,434-4,'Visual SPC'!$B$3),"")</f>
        <v/>
      </c>
      <c r="E434">
        <f>IF(B434=1,D434,E433)</f>
        <v/>
      </c>
      <c r="F434">
        <f>IF(AND(B434=1,C434&gt;1,E433&lt;&gt;""),ABS(D434-E433),"")</f>
        <v/>
      </c>
    </row>
    <row r="435">
      <c r="A435" t="n">
        <v>435</v>
      </c>
      <c r="B435">
        <f>IF(INDEX('Data Entry'!$H$5:$BE$10004,435-4,'Visual SPC'!$B$3)="",0,IF(AND(OR('Visual SPC'!$C$4="",'Data Entry'!$C435&gt;='Visual SPC'!$C$4),OR('Visual SPC'!$E$4="",'Data Entry'!$C435&lt;='Visual SPC'!$E$4),OR('Visual SPC'!$G$4="",'Data Entry'!$D435='Visual SPC'!$G$4),OR('Visual SPC'!$I$4="",'Data Entry'!$E435='Visual SPC'!$I$4),OR('Visual SPC'!$K$4="",'Data Entry'!$F435='Visual SPC'!$K$4)),1,0))</f>
        <v/>
      </c>
      <c r="C435">
        <f>C434+B435</f>
        <v/>
      </c>
      <c r="D435">
        <f>IF(B435=1,INDEX('Data Entry'!$H$5:$BE$10004,435-4,'Visual SPC'!$B$3),"")</f>
        <v/>
      </c>
      <c r="E435">
        <f>IF(B435=1,D435,E434)</f>
        <v/>
      </c>
      <c r="F435">
        <f>IF(AND(B435=1,C435&gt;1,E434&lt;&gt;""),ABS(D435-E434),"")</f>
        <v/>
      </c>
    </row>
    <row r="436">
      <c r="A436" t="n">
        <v>436</v>
      </c>
      <c r="B436">
        <f>IF(INDEX('Data Entry'!$H$5:$BE$10004,436-4,'Visual SPC'!$B$3)="",0,IF(AND(OR('Visual SPC'!$C$4="",'Data Entry'!$C436&gt;='Visual SPC'!$C$4),OR('Visual SPC'!$E$4="",'Data Entry'!$C436&lt;='Visual SPC'!$E$4),OR('Visual SPC'!$G$4="",'Data Entry'!$D436='Visual SPC'!$G$4),OR('Visual SPC'!$I$4="",'Data Entry'!$E436='Visual SPC'!$I$4),OR('Visual SPC'!$K$4="",'Data Entry'!$F436='Visual SPC'!$K$4)),1,0))</f>
        <v/>
      </c>
      <c r="C436">
        <f>C435+B436</f>
        <v/>
      </c>
      <c r="D436">
        <f>IF(B436=1,INDEX('Data Entry'!$H$5:$BE$10004,436-4,'Visual SPC'!$B$3),"")</f>
        <v/>
      </c>
      <c r="E436">
        <f>IF(B436=1,D436,E435)</f>
        <v/>
      </c>
      <c r="F436">
        <f>IF(AND(B436=1,C436&gt;1,E435&lt;&gt;""),ABS(D436-E435),"")</f>
        <v/>
      </c>
    </row>
    <row r="437">
      <c r="A437" t="n">
        <v>437</v>
      </c>
      <c r="B437">
        <f>IF(INDEX('Data Entry'!$H$5:$BE$10004,437-4,'Visual SPC'!$B$3)="",0,IF(AND(OR('Visual SPC'!$C$4="",'Data Entry'!$C437&gt;='Visual SPC'!$C$4),OR('Visual SPC'!$E$4="",'Data Entry'!$C437&lt;='Visual SPC'!$E$4),OR('Visual SPC'!$G$4="",'Data Entry'!$D437='Visual SPC'!$G$4),OR('Visual SPC'!$I$4="",'Data Entry'!$E437='Visual SPC'!$I$4),OR('Visual SPC'!$K$4="",'Data Entry'!$F437='Visual SPC'!$K$4)),1,0))</f>
        <v/>
      </c>
      <c r="C437">
        <f>C436+B437</f>
        <v/>
      </c>
      <c r="D437">
        <f>IF(B437=1,INDEX('Data Entry'!$H$5:$BE$10004,437-4,'Visual SPC'!$B$3),"")</f>
        <v/>
      </c>
      <c r="E437">
        <f>IF(B437=1,D437,E436)</f>
        <v/>
      </c>
      <c r="F437">
        <f>IF(AND(B437=1,C437&gt;1,E436&lt;&gt;""),ABS(D437-E436),"")</f>
        <v/>
      </c>
    </row>
    <row r="438">
      <c r="A438" t="n">
        <v>438</v>
      </c>
      <c r="B438">
        <f>IF(INDEX('Data Entry'!$H$5:$BE$10004,438-4,'Visual SPC'!$B$3)="",0,IF(AND(OR('Visual SPC'!$C$4="",'Data Entry'!$C438&gt;='Visual SPC'!$C$4),OR('Visual SPC'!$E$4="",'Data Entry'!$C438&lt;='Visual SPC'!$E$4),OR('Visual SPC'!$G$4="",'Data Entry'!$D438='Visual SPC'!$G$4),OR('Visual SPC'!$I$4="",'Data Entry'!$E438='Visual SPC'!$I$4),OR('Visual SPC'!$K$4="",'Data Entry'!$F438='Visual SPC'!$K$4)),1,0))</f>
        <v/>
      </c>
      <c r="C438">
        <f>C437+B438</f>
        <v/>
      </c>
      <c r="D438">
        <f>IF(B438=1,INDEX('Data Entry'!$H$5:$BE$10004,438-4,'Visual SPC'!$B$3),"")</f>
        <v/>
      </c>
      <c r="E438">
        <f>IF(B438=1,D438,E437)</f>
        <v/>
      </c>
      <c r="F438">
        <f>IF(AND(B438=1,C438&gt;1,E437&lt;&gt;""),ABS(D438-E437),"")</f>
        <v/>
      </c>
    </row>
    <row r="439">
      <c r="A439" t="n">
        <v>439</v>
      </c>
      <c r="B439">
        <f>IF(INDEX('Data Entry'!$H$5:$BE$10004,439-4,'Visual SPC'!$B$3)="",0,IF(AND(OR('Visual SPC'!$C$4="",'Data Entry'!$C439&gt;='Visual SPC'!$C$4),OR('Visual SPC'!$E$4="",'Data Entry'!$C439&lt;='Visual SPC'!$E$4),OR('Visual SPC'!$G$4="",'Data Entry'!$D439='Visual SPC'!$G$4),OR('Visual SPC'!$I$4="",'Data Entry'!$E439='Visual SPC'!$I$4),OR('Visual SPC'!$K$4="",'Data Entry'!$F439='Visual SPC'!$K$4)),1,0))</f>
        <v/>
      </c>
      <c r="C439">
        <f>C438+B439</f>
        <v/>
      </c>
      <c r="D439">
        <f>IF(B439=1,INDEX('Data Entry'!$H$5:$BE$10004,439-4,'Visual SPC'!$B$3),"")</f>
        <v/>
      </c>
      <c r="E439">
        <f>IF(B439=1,D439,E438)</f>
        <v/>
      </c>
      <c r="F439">
        <f>IF(AND(B439=1,C439&gt;1,E438&lt;&gt;""),ABS(D439-E438),"")</f>
        <v/>
      </c>
    </row>
    <row r="440">
      <c r="A440" t="n">
        <v>440</v>
      </c>
      <c r="B440">
        <f>IF(INDEX('Data Entry'!$H$5:$BE$10004,440-4,'Visual SPC'!$B$3)="",0,IF(AND(OR('Visual SPC'!$C$4="",'Data Entry'!$C440&gt;='Visual SPC'!$C$4),OR('Visual SPC'!$E$4="",'Data Entry'!$C440&lt;='Visual SPC'!$E$4),OR('Visual SPC'!$G$4="",'Data Entry'!$D440='Visual SPC'!$G$4),OR('Visual SPC'!$I$4="",'Data Entry'!$E440='Visual SPC'!$I$4),OR('Visual SPC'!$K$4="",'Data Entry'!$F440='Visual SPC'!$K$4)),1,0))</f>
        <v/>
      </c>
      <c r="C440">
        <f>C439+B440</f>
        <v/>
      </c>
      <c r="D440">
        <f>IF(B440=1,INDEX('Data Entry'!$H$5:$BE$10004,440-4,'Visual SPC'!$B$3),"")</f>
        <v/>
      </c>
      <c r="E440">
        <f>IF(B440=1,D440,E439)</f>
        <v/>
      </c>
      <c r="F440">
        <f>IF(AND(B440=1,C440&gt;1,E439&lt;&gt;""),ABS(D440-E439),"")</f>
        <v/>
      </c>
    </row>
    <row r="441">
      <c r="A441" t="n">
        <v>441</v>
      </c>
      <c r="B441">
        <f>IF(INDEX('Data Entry'!$H$5:$BE$10004,441-4,'Visual SPC'!$B$3)="",0,IF(AND(OR('Visual SPC'!$C$4="",'Data Entry'!$C441&gt;='Visual SPC'!$C$4),OR('Visual SPC'!$E$4="",'Data Entry'!$C441&lt;='Visual SPC'!$E$4),OR('Visual SPC'!$G$4="",'Data Entry'!$D441='Visual SPC'!$G$4),OR('Visual SPC'!$I$4="",'Data Entry'!$E441='Visual SPC'!$I$4),OR('Visual SPC'!$K$4="",'Data Entry'!$F441='Visual SPC'!$K$4)),1,0))</f>
        <v/>
      </c>
      <c r="C441">
        <f>C440+B441</f>
        <v/>
      </c>
      <c r="D441">
        <f>IF(B441=1,INDEX('Data Entry'!$H$5:$BE$10004,441-4,'Visual SPC'!$B$3),"")</f>
        <v/>
      </c>
      <c r="E441">
        <f>IF(B441=1,D441,E440)</f>
        <v/>
      </c>
      <c r="F441">
        <f>IF(AND(B441=1,C441&gt;1,E440&lt;&gt;""),ABS(D441-E440),"")</f>
        <v/>
      </c>
    </row>
    <row r="442">
      <c r="A442" t="n">
        <v>442</v>
      </c>
      <c r="B442">
        <f>IF(INDEX('Data Entry'!$H$5:$BE$10004,442-4,'Visual SPC'!$B$3)="",0,IF(AND(OR('Visual SPC'!$C$4="",'Data Entry'!$C442&gt;='Visual SPC'!$C$4),OR('Visual SPC'!$E$4="",'Data Entry'!$C442&lt;='Visual SPC'!$E$4),OR('Visual SPC'!$G$4="",'Data Entry'!$D442='Visual SPC'!$G$4),OR('Visual SPC'!$I$4="",'Data Entry'!$E442='Visual SPC'!$I$4),OR('Visual SPC'!$K$4="",'Data Entry'!$F442='Visual SPC'!$K$4)),1,0))</f>
        <v/>
      </c>
      <c r="C442">
        <f>C441+B442</f>
        <v/>
      </c>
      <c r="D442">
        <f>IF(B442=1,INDEX('Data Entry'!$H$5:$BE$10004,442-4,'Visual SPC'!$B$3),"")</f>
        <v/>
      </c>
      <c r="E442">
        <f>IF(B442=1,D442,E441)</f>
        <v/>
      </c>
      <c r="F442">
        <f>IF(AND(B442=1,C442&gt;1,E441&lt;&gt;""),ABS(D442-E441),"")</f>
        <v/>
      </c>
    </row>
    <row r="443">
      <c r="A443" t="n">
        <v>443</v>
      </c>
      <c r="B443">
        <f>IF(INDEX('Data Entry'!$H$5:$BE$10004,443-4,'Visual SPC'!$B$3)="",0,IF(AND(OR('Visual SPC'!$C$4="",'Data Entry'!$C443&gt;='Visual SPC'!$C$4),OR('Visual SPC'!$E$4="",'Data Entry'!$C443&lt;='Visual SPC'!$E$4),OR('Visual SPC'!$G$4="",'Data Entry'!$D443='Visual SPC'!$G$4),OR('Visual SPC'!$I$4="",'Data Entry'!$E443='Visual SPC'!$I$4),OR('Visual SPC'!$K$4="",'Data Entry'!$F443='Visual SPC'!$K$4)),1,0))</f>
        <v/>
      </c>
      <c r="C443">
        <f>C442+B443</f>
        <v/>
      </c>
      <c r="D443">
        <f>IF(B443=1,INDEX('Data Entry'!$H$5:$BE$10004,443-4,'Visual SPC'!$B$3),"")</f>
        <v/>
      </c>
      <c r="E443">
        <f>IF(B443=1,D443,E442)</f>
        <v/>
      </c>
      <c r="F443">
        <f>IF(AND(B443=1,C443&gt;1,E442&lt;&gt;""),ABS(D443-E442),"")</f>
        <v/>
      </c>
    </row>
    <row r="444">
      <c r="A444" t="n">
        <v>444</v>
      </c>
      <c r="B444">
        <f>IF(INDEX('Data Entry'!$H$5:$BE$10004,444-4,'Visual SPC'!$B$3)="",0,IF(AND(OR('Visual SPC'!$C$4="",'Data Entry'!$C444&gt;='Visual SPC'!$C$4),OR('Visual SPC'!$E$4="",'Data Entry'!$C444&lt;='Visual SPC'!$E$4),OR('Visual SPC'!$G$4="",'Data Entry'!$D444='Visual SPC'!$G$4),OR('Visual SPC'!$I$4="",'Data Entry'!$E444='Visual SPC'!$I$4),OR('Visual SPC'!$K$4="",'Data Entry'!$F444='Visual SPC'!$K$4)),1,0))</f>
        <v/>
      </c>
      <c r="C444">
        <f>C443+B444</f>
        <v/>
      </c>
      <c r="D444">
        <f>IF(B444=1,INDEX('Data Entry'!$H$5:$BE$10004,444-4,'Visual SPC'!$B$3),"")</f>
        <v/>
      </c>
      <c r="E444">
        <f>IF(B444=1,D444,E443)</f>
        <v/>
      </c>
      <c r="F444">
        <f>IF(AND(B444=1,C444&gt;1,E443&lt;&gt;""),ABS(D444-E443),"")</f>
        <v/>
      </c>
    </row>
    <row r="445">
      <c r="A445" t="n">
        <v>445</v>
      </c>
      <c r="B445">
        <f>IF(INDEX('Data Entry'!$H$5:$BE$10004,445-4,'Visual SPC'!$B$3)="",0,IF(AND(OR('Visual SPC'!$C$4="",'Data Entry'!$C445&gt;='Visual SPC'!$C$4),OR('Visual SPC'!$E$4="",'Data Entry'!$C445&lt;='Visual SPC'!$E$4),OR('Visual SPC'!$G$4="",'Data Entry'!$D445='Visual SPC'!$G$4),OR('Visual SPC'!$I$4="",'Data Entry'!$E445='Visual SPC'!$I$4),OR('Visual SPC'!$K$4="",'Data Entry'!$F445='Visual SPC'!$K$4)),1,0))</f>
        <v/>
      </c>
      <c r="C445">
        <f>C444+B445</f>
        <v/>
      </c>
      <c r="D445">
        <f>IF(B445=1,INDEX('Data Entry'!$H$5:$BE$10004,445-4,'Visual SPC'!$B$3),"")</f>
        <v/>
      </c>
      <c r="E445">
        <f>IF(B445=1,D445,E444)</f>
        <v/>
      </c>
      <c r="F445">
        <f>IF(AND(B445=1,C445&gt;1,E444&lt;&gt;""),ABS(D445-E444),"")</f>
        <v/>
      </c>
    </row>
    <row r="446">
      <c r="A446" t="n">
        <v>446</v>
      </c>
      <c r="B446">
        <f>IF(INDEX('Data Entry'!$H$5:$BE$10004,446-4,'Visual SPC'!$B$3)="",0,IF(AND(OR('Visual SPC'!$C$4="",'Data Entry'!$C446&gt;='Visual SPC'!$C$4),OR('Visual SPC'!$E$4="",'Data Entry'!$C446&lt;='Visual SPC'!$E$4),OR('Visual SPC'!$G$4="",'Data Entry'!$D446='Visual SPC'!$G$4),OR('Visual SPC'!$I$4="",'Data Entry'!$E446='Visual SPC'!$I$4),OR('Visual SPC'!$K$4="",'Data Entry'!$F446='Visual SPC'!$K$4)),1,0))</f>
        <v/>
      </c>
      <c r="C446">
        <f>C445+B446</f>
        <v/>
      </c>
      <c r="D446">
        <f>IF(B446=1,INDEX('Data Entry'!$H$5:$BE$10004,446-4,'Visual SPC'!$B$3),"")</f>
        <v/>
      </c>
      <c r="E446">
        <f>IF(B446=1,D446,E445)</f>
        <v/>
      </c>
      <c r="F446">
        <f>IF(AND(B446=1,C446&gt;1,E445&lt;&gt;""),ABS(D446-E445),"")</f>
        <v/>
      </c>
    </row>
    <row r="447">
      <c r="A447" t="n">
        <v>447</v>
      </c>
      <c r="B447">
        <f>IF(INDEX('Data Entry'!$H$5:$BE$10004,447-4,'Visual SPC'!$B$3)="",0,IF(AND(OR('Visual SPC'!$C$4="",'Data Entry'!$C447&gt;='Visual SPC'!$C$4),OR('Visual SPC'!$E$4="",'Data Entry'!$C447&lt;='Visual SPC'!$E$4),OR('Visual SPC'!$G$4="",'Data Entry'!$D447='Visual SPC'!$G$4),OR('Visual SPC'!$I$4="",'Data Entry'!$E447='Visual SPC'!$I$4),OR('Visual SPC'!$K$4="",'Data Entry'!$F447='Visual SPC'!$K$4)),1,0))</f>
        <v/>
      </c>
      <c r="C447">
        <f>C446+B447</f>
        <v/>
      </c>
      <c r="D447">
        <f>IF(B447=1,INDEX('Data Entry'!$H$5:$BE$10004,447-4,'Visual SPC'!$B$3),"")</f>
        <v/>
      </c>
      <c r="E447">
        <f>IF(B447=1,D447,E446)</f>
        <v/>
      </c>
      <c r="F447">
        <f>IF(AND(B447=1,C447&gt;1,E446&lt;&gt;""),ABS(D447-E446),"")</f>
        <v/>
      </c>
    </row>
    <row r="448">
      <c r="A448" t="n">
        <v>448</v>
      </c>
      <c r="B448">
        <f>IF(INDEX('Data Entry'!$H$5:$BE$10004,448-4,'Visual SPC'!$B$3)="",0,IF(AND(OR('Visual SPC'!$C$4="",'Data Entry'!$C448&gt;='Visual SPC'!$C$4),OR('Visual SPC'!$E$4="",'Data Entry'!$C448&lt;='Visual SPC'!$E$4),OR('Visual SPC'!$G$4="",'Data Entry'!$D448='Visual SPC'!$G$4),OR('Visual SPC'!$I$4="",'Data Entry'!$E448='Visual SPC'!$I$4),OR('Visual SPC'!$K$4="",'Data Entry'!$F448='Visual SPC'!$K$4)),1,0))</f>
        <v/>
      </c>
      <c r="C448">
        <f>C447+B448</f>
        <v/>
      </c>
      <c r="D448">
        <f>IF(B448=1,INDEX('Data Entry'!$H$5:$BE$10004,448-4,'Visual SPC'!$B$3),"")</f>
        <v/>
      </c>
      <c r="E448">
        <f>IF(B448=1,D448,E447)</f>
        <v/>
      </c>
      <c r="F448">
        <f>IF(AND(B448=1,C448&gt;1,E447&lt;&gt;""),ABS(D448-E447),"")</f>
        <v/>
      </c>
    </row>
    <row r="449">
      <c r="A449" t="n">
        <v>449</v>
      </c>
      <c r="B449">
        <f>IF(INDEX('Data Entry'!$H$5:$BE$10004,449-4,'Visual SPC'!$B$3)="",0,IF(AND(OR('Visual SPC'!$C$4="",'Data Entry'!$C449&gt;='Visual SPC'!$C$4),OR('Visual SPC'!$E$4="",'Data Entry'!$C449&lt;='Visual SPC'!$E$4),OR('Visual SPC'!$G$4="",'Data Entry'!$D449='Visual SPC'!$G$4),OR('Visual SPC'!$I$4="",'Data Entry'!$E449='Visual SPC'!$I$4),OR('Visual SPC'!$K$4="",'Data Entry'!$F449='Visual SPC'!$K$4)),1,0))</f>
        <v/>
      </c>
      <c r="C449">
        <f>C448+B449</f>
        <v/>
      </c>
      <c r="D449">
        <f>IF(B449=1,INDEX('Data Entry'!$H$5:$BE$10004,449-4,'Visual SPC'!$B$3),"")</f>
        <v/>
      </c>
      <c r="E449">
        <f>IF(B449=1,D449,E448)</f>
        <v/>
      </c>
      <c r="F449">
        <f>IF(AND(B449=1,C449&gt;1,E448&lt;&gt;""),ABS(D449-E448),"")</f>
        <v/>
      </c>
    </row>
    <row r="450">
      <c r="A450" t="n">
        <v>450</v>
      </c>
      <c r="B450">
        <f>IF(INDEX('Data Entry'!$H$5:$BE$10004,450-4,'Visual SPC'!$B$3)="",0,IF(AND(OR('Visual SPC'!$C$4="",'Data Entry'!$C450&gt;='Visual SPC'!$C$4),OR('Visual SPC'!$E$4="",'Data Entry'!$C450&lt;='Visual SPC'!$E$4),OR('Visual SPC'!$G$4="",'Data Entry'!$D450='Visual SPC'!$G$4),OR('Visual SPC'!$I$4="",'Data Entry'!$E450='Visual SPC'!$I$4),OR('Visual SPC'!$K$4="",'Data Entry'!$F450='Visual SPC'!$K$4)),1,0))</f>
        <v/>
      </c>
      <c r="C450">
        <f>C449+B450</f>
        <v/>
      </c>
      <c r="D450">
        <f>IF(B450=1,INDEX('Data Entry'!$H$5:$BE$10004,450-4,'Visual SPC'!$B$3),"")</f>
        <v/>
      </c>
      <c r="E450">
        <f>IF(B450=1,D450,E449)</f>
        <v/>
      </c>
      <c r="F450">
        <f>IF(AND(B450=1,C450&gt;1,E449&lt;&gt;""),ABS(D450-E449),"")</f>
        <v/>
      </c>
    </row>
    <row r="451">
      <c r="A451" t="n">
        <v>451</v>
      </c>
      <c r="B451">
        <f>IF(INDEX('Data Entry'!$H$5:$BE$10004,451-4,'Visual SPC'!$B$3)="",0,IF(AND(OR('Visual SPC'!$C$4="",'Data Entry'!$C451&gt;='Visual SPC'!$C$4),OR('Visual SPC'!$E$4="",'Data Entry'!$C451&lt;='Visual SPC'!$E$4),OR('Visual SPC'!$G$4="",'Data Entry'!$D451='Visual SPC'!$G$4),OR('Visual SPC'!$I$4="",'Data Entry'!$E451='Visual SPC'!$I$4),OR('Visual SPC'!$K$4="",'Data Entry'!$F451='Visual SPC'!$K$4)),1,0))</f>
        <v/>
      </c>
      <c r="C451">
        <f>C450+B451</f>
        <v/>
      </c>
      <c r="D451">
        <f>IF(B451=1,INDEX('Data Entry'!$H$5:$BE$10004,451-4,'Visual SPC'!$B$3),"")</f>
        <v/>
      </c>
      <c r="E451">
        <f>IF(B451=1,D451,E450)</f>
        <v/>
      </c>
      <c r="F451">
        <f>IF(AND(B451=1,C451&gt;1,E450&lt;&gt;""),ABS(D451-E450),"")</f>
        <v/>
      </c>
    </row>
    <row r="452">
      <c r="A452" t="n">
        <v>452</v>
      </c>
      <c r="B452">
        <f>IF(INDEX('Data Entry'!$H$5:$BE$10004,452-4,'Visual SPC'!$B$3)="",0,IF(AND(OR('Visual SPC'!$C$4="",'Data Entry'!$C452&gt;='Visual SPC'!$C$4),OR('Visual SPC'!$E$4="",'Data Entry'!$C452&lt;='Visual SPC'!$E$4),OR('Visual SPC'!$G$4="",'Data Entry'!$D452='Visual SPC'!$G$4),OR('Visual SPC'!$I$4="",'Data Entry'!$E452='Visual SPC'!$I$4),OR('Visual SPC'!$K$4="",'Data Entry'!$F452='Visual SPC'!$K$4)),1,0))</f>
        <v/>
      </c>
      <c r="C452">
        <f>C451+B452</f>
        <v/>
      </c>
      <c r="D452">
        <f>IF(B452=1,INDEX('Data Entry'!$H$5:$BE$10004,452-4,'Visual SPC'!$B$3),"")</f>
        <v/>
      </c>
      <c r="E452">
        <f>IF(B452=1,D452,E451)</f>
        <v/>
      </c>
      <c r="F452">
        <f>IF(AND(B452=1,C452&gt;1,E451&lt;&gt;""),ABS(D452-E451),"")</f>
        <v/>
      </c>
    </row>
    <row r="453">
      <c r="A453" t="n">
        <v>453</v>
      </c>
      <c r="B453">
        <f>IF(INDEX('Data Entry'!$H$5:$BE$10004,453-4,'Visual SPC'!$B$3)="",0,IF(AND(OR('Visual SPC'!$C$4="",'Data Entry'!$C453&gt;='Visual SPC'!$C$4),OR('Visual SPC'!$E$4="",'Data Entry'!$C453&lt;='Visual SPC'!$E$4),OR('Visual SPC'!$G$4="",'Data Entry'!$D453='Visual SPC'!$G$4),OR('Visual SPC'!$I$4="",'Data Entry'!$E453='Visual SPC'!$I$4),OR('Visual SPC'!$K$4="",'Data Entry'!$F453='Visual SPC'!$K$4)),1,0))</f>
        <v/>
      </c>
      <c r="C453">
        <f>C452+B453</f>
        <v/>
      </c>
      <c r="D453">
        <f>IF(B453=1,INDEX('Data Entry'!$H$5:$BE$10004,453-4,'Visual SPC'!$B$3),"")</f>
        <v/>
      </c>
      <c r="E453">
        <f>IF(B453=1,D453,E452)</f>
        <v/>
      </c>
      <c r="F453">
        <f>IF(AND(B453=1,C453&gt;1,E452&lt;&gt;""),ABS(D453-E452),"")</f>
        <v/>
      </c>
    </row>
    <row r="454">
      <c r="A454" t="n">
        <v>454</v>
      </c>
      <c r="B454">
        <f>IF(INDEX('Data Entry'!$H$5:$BE$10004,454-4,'Visual SPC'!$B$3)="",0,IF(AND(OR('Visual SPC'!$C$4="",'Data Entry'!$C454&gt;='Visual SPC'!$C$4),OR('Visual SPC'!$E$4="",'Data Entry'!$C454&lt;='Visual SPC'!$E$4),OR('Visual SPC'!$G$4="",'Data Entry'!$D454='Visual SPC'!$G$4),OR('Visual SPC'!$I$4="",'Data Entry'!$E454='Visual SPC'!$I$4),OR('Visual SPC'!$K$4="",'Data Entry'!$F454='Visual SPC'!$K$4)),1,0))</f>
        <v/>
      </c>
      <c r="C454">
        <f>C453+B454</f>
        <v/>
      </c>
      <c r="D454">
        <f>IF(B454=1,INDEX('Data Entry'!$H$5:$BE$10004,454-4,'Visual SPC'!$B$3),"")</f>
        <v/>
      </c>
      <c r="E454">
        <f>IF(B454=1,D454,E453)</f>
        <v/>
      </c>
      <c r="F454">
        <f>IF(AND(B454=1,C454&gt;1,E453&lt;&gt;""),ABS(D454-E453),"")</f>
        <v/>
      </c>
    </row>
    <row r="455">
      <c r="A455" t="n">
        <v>455</v>
      </c>
      <c r="B455">
        <f>IF(INDEX('Data Entry'!$H$5:$BE$10004,455-4,'Visual SPC'!$B$3)="",0,IF(AND(OR('Visual SPC'!$C$4="",'Data Entry'!$C455&gt;='Visual SPC'!$C$4),OR('Visual SPC'!$E$4="",'Data Entry'!$C455&lt;='Visual SPC'!$E$4),OR('Visual SPC'!$G$4="",'Data Entry'!$D455='Visual SPC'!$G$4),OR('Visual SPC'!$I$4="",'Data Entry'!$E455='Visual SPC'!$I$4),OR('Visual SPC'!$K$4="",'Data Entry'!$F455='Visual SPC'!$K$4)),1,0))</f>
        <v/>
      </c>
      <c r="C455">
        <f>C454+B455</f>
        <v/>
      </c>
      <c r="D455">
        <f>IF(B455=1,INDEX('Data Entry'!$H$5:$BE$10004,455-4,'Visual SPC'!$B$3),"")</f>
        <v/>
      </c>
      <c r="E455">
        <f>IF(B455=1,D455,E454)</f>
        <v/>
      </c>
      <c r="F455">
        <f>IF(AND(B455=1,C455&gt;1,E454&lt;&gt;""),ABS(D455-E454),"")</f>
        <v/>
      </c>
    </row>
    <row r="456">
      <c r="A456" t="n">
        <v>456</v>
      </c>
      <c r="B456">
        <f>IF(INDEX('Data Entry'!$H$5:$BE$10004,456-4,'Visual SPC'!$B$3)="",0,IF(AND(OR('Visual SPC'!$C$4="",'Data Entry'!$C456&gt;='Visual SPC'!$C$4),OR('Visual SPC'!$E$4="",'Data Entry'!$C456&lt;='Visual SPC'!$E$4),OR('Visual SPC'!$G$4="",'Data Entry'!$D456='Visual SPC'!$G$4),OR('Visual SPC'!$I$4="",'Data Entry'!$E456='Visual SPC'!$I$4),OR('Visual SPC'!$K$4="",'Data Entry'!$F456='Visual SPC'!$K$4)),1,0))</f>
        <v/>
      </c>
      <c r="C456">
        <f>C455+B456</f>
        <v/>
      </c>
      <c r="D456">
        <f>IF(B456=1,INDEX('Data Entry'!$H$5:$BE$10004,456-4,'Visual SPC'!$B$3),"")</f>
        <v/>
      </c>
      <c r="E456">
        <f>IF(B456=1,D456,E455)</f>
        <v/>
      </c>
      <c r="F456">
        <f>IF(AND(B456=1,C456&gt;1,E455&lt;&gt;""),ABS(D456-E455),"")</f>
        <v/>
      </c>
    </row>
    <row r="457">
      <c r="A457" t="n">
        <v>457</v>
      </c>
      <c r="B457">
        <f>IF(INDEX('Data Entry'!$H$5:$BE$10004,457-4,'Visual SPC'!$B$3)="",0,IF(AND(OR('Visual SPC'!$C$4="",'Data Entry'!$C457&gt;='Visual SPC'!$C$4),OR('Visual SPC'!$E$4="",'Data Entry'!$C457&lt;='Visual SPC'!$E$4),OR('Visual SPC'!$G$4="",'Data Entry'!$D457='Visual SPC'!$G$4),OR('Visual SPC'!$I$4="",'Data Entry'!$E457='Visual SPC'!$I$4),OR('Visual SPC'!$K$4="",'Data Entry'!$F457='Visual SPC'!$K$4)),1,0))</f>
        <v/>
      </c>
      <c r="C457">
        <f>C456+B457</f>
        <v/>
      </c>
      <c r="D457">
        <f>IF(B457=1,INDEX('Data Entry'!$H$5:$BE$10004,457-4,'Visual SPC'!$B$3),"")</f>
        <v/>
      </c>
      <c r="E457">
        <f>IF(B457=1,D457,E456)</f>
        <v/>
      </c>
      <c r="F457">
        <f>IF(AND(B457=1,C457&gt;1,E456&lt;&gt;""),ABS(D457-E456),"")</f>
        <v/>
      </c>
    </row>
    <row r="458">
      <c r="A458" t="n">
        <v>458</v>
      </c>
      <c r="B458">
        <f>IF(INDEX('Data Entry'!$H$5:$BE$10004,458-4,'Visual SPC'!$B$3)="",0,IF(AND(OR('Visual SPC'!$C$4="",'Data Entry'!$C458&gt;='Visual SPC'!$C$4),OR('Visual SPC'!$E$4="",'Data Entry'!$C458&lt;='Visual SPC'!$E$4),OR('Visual SPC'!$G$4="",'Data Entry'!$D458='Visual SPC'!$G$4),OR('Visual SPC'!$I$4="",'Data Entry'!$E458='Visual SPC'!$I$4),OR('Visual SPC'!$K$4="",'Data Entry'!$F458='Visual SPC'!$K$4)),1,0))</f>
        <v/>
      </c>
      <c r="C458">
        <f>C457+B458</f>
        <v/>
      </c>
      <c r="D458">
        <f>IF(B458=1,INDEX('Data Entry'!$H$5:$BE$10004,458-4,'Visual SPC'!$B$3),"")</f>
        <v/>
      </c>
      <c r="E458">
        <f>IF(B458=1,D458,E457)</f>
        <v/>
      </c>
      <c r="F458">
        <f>IF(AND(B458=1,C458&gt;1,E457&lt;&gt;""),ABS(D458-E457),"")</f>
        <v/>
      </c>
    </row>
    <row r="459">
      <c r="A459" t="n">
        <v>459</v>
      </c>
      <c r="B459">
        <f>IF(INDEX('Data Entry'!$H$5:$BE$10004,459-4,'Visual SPC'!$B$3)="",0,IF(AND(OR('Visual SPC'!$C$4="",'Data Entry'!$C459&gt;='Visual SPC'!$C$4),OR('Visual SPC'!$E$4="",'Data Entry'!$C459&lt;='Visual SPC'!$E$4),OR('Visual SPC'!$G$4="",'Data Entry'!$D459='Visual SPC'!$G$4),OR('Visual SPC'!$I$4="",'Data Entry'!$E459='Visual SPC'!$I$4),OR('Visual SPC'!$K$4="",'Data Entry'!$F459='Visual SPC'!$K$4)),1,0))</f>
        <v/>
      </c>
      <c r="C459">
        <f>C458+B459</f>
        <v/>
      </c>
      <c r="D459">
        <f>IF(B459=1,INDEX('Data Entry'!$H$5:$BE$10004,459-4,'Visual SPC'!$B$3),"")</f>
        <v/>
      </c>
      <c r="E459">
        <f>IF(B459=1,D459,E458)</f>
        <v/>
      </c>
      <c r="F459">
        <f>IF(AND(B459=1,C459&gt;1,E458&lt;&gt;""),ABS(D459-E458),"")</f>
        <v/>
      </c>
    </row>
    <row r="460">
      <c r="A460" t="n">
        <v>460</v>
      </c>
      <c r="B460">
        <f>IF(INDEX('Data Entry'!$H$5:$BE$10004,460-4,'Visual SPC'!$B$3)="",0,IF(AND(OR('Visual SPC'!$C$4="",'Data Entry'!$C460&gt;='Visual SPC'!$C$4),OR('Visual SPC'!$E$4="",'Data Entry'!$C460&lt;='Visual SPC'!$E$4),OR('Visual SPC'!$G$4="",'Data Entry'!$D460='Visual SPC'!$G$4),OR('Visual SPC'!$I$4="",'Data Entry'!$E460='Visual SPC'!$I$4),OR('Visual SPC'!$K$4="",'Data Entry'!$F460='Visual SPC'!$K$4)),1,0))</f>
        <v/>
      </c>
      <c r="C460">
        <f>C459+B460</f>
        <v/>
      </c>
      <c r="D460">
        <f>IF(B460=1,INDEX('Data Entry'!$H$5:$BE$10004,460-4,'Visual SPC'!$B$3),"")</f>
        <v/>
      </c>
      <c r="E460">
        <f>IF(B460=1,D460,E459)</f>
        <v/>
      </c>
      <c r="F460">
        <f>IF(AND(B460=1,C460&gt;1,E459&lt;&gt;""),ABS(D460-E459),"")</f>
        <v/>
      </c>
    </row>
    <row r="461">
      <c r="A461" t="n">
        <v>461</v>
      </c>
      <c r="B461">
        <f>IF(INDEX('Data Entry'!$H$5:$BE$10004,461-4,'Visual SPC'!$B$3)="",0,IF(AND(OR('Visual SPC'!$C$4="",'Data Entry'!$C461&gt;='Visual SPC'!$C$4),OR('Visual SPC'!$E$4="",'Data Entry'!$C461&lt;='Visual SPC'!$E$4),OR('Visual SPC'!$G$4="",'Data Entry'!$D461='Visual SPC'!$G$4),OR('Visual SPC'!$I$4="",'Data Entry'!$E461='Visual SPC'!$I$4),OR('Visual SPC'!$K$4="",'Data Entry'!$F461='Visual SPC'!$K$4)),1,0))</f>
        <v/>
      </c>
      <c r="C461">
        <f>C460+B461</f>
        <v/>
      </c>
      <c r="D461">
        <f>IF(B461=1,INDEX('Data Entry'!$H$5:$BE$10004,461-4,'Visual SPC'!$B$3),"")</f>
        <v/>
      </c>
      <c r="E461">
        <f>IF(B461=1,D461,E460)</f>
        <v/>
      </c>
      <c r="F461">
        <f>IF(AND(B461=1,C461&gt;1,E460&lt;&gt;""),ABS(D461-E460),"")</f>
        <v/>
      </c>
    </row>
    <row r="462">
      <c r="A462" t="n">
        <v>462</v>
      </c>
      <c r="B462">
        <f>IF(INDEX('Data Entry'!$H$5:$BE$10004,462-4,'Visual SPC'!$B$3)="",0,IF(AND(OR('Visual SPC'!$C$4="",'Data Entry'!$C462&gt;='Visual SPC'!$C$4),OR('Visual SPC'!$E$4="",'Data Entry'!$C462&lt;='Visual SPC'!$E$4),OR('Visual SPC'!$G$4="",'Data Entry'!$D462='Visual SPC'!$G$4),OR('Visual SPC'!$I$4="",'Data Entry'!$E462='Visual SPC'!$I$4),OR('Visual SPC'!$K$4="",'Data Entry'!$F462='Visual SPC'!$K$4)),1,0))</f>
        <v/>
      </c>
      <c r="C462">
        <f>C461+B462</f>
        <v/>
      </c>
      <c r="D462">
        <f>IF(B462=1,INDEX('Data Entry'!$H$5:$BE$10004,462-4,'Visual SPC'!$B$3),"")</f>
        <v/>
      </c>
      <c r="E462">
        <f>IF(B462=1,D462,E461)</f>
        <v/>
      </c>
      <c r="F462">
        <f>IF(AND(B462=1,C462&gt;1,E461&lt;&gt;""),ABS(D462-E461),"")</f>
        <v/>
      </c>
    </row>
    <row r="463">
      <c r="A463" t="n">
        <v>463</v>
      </c>
      <c r="B463">
        <f>IF(INDEX('Data Entry'!$H$5:$BE$10004,463-4,'Visual SPC'!$B$3)="",0,IF(AND(OR('Visual SPC'!$C$4="",'Data Entry'!$C463&gt;='Visual SPC'!$C$4),OR('Visual SPC'!$E$4="",'Data Entry'!$C463&lt;='Visual SPC'!$E$4),OR('Visual SPC'!$G$4="",'Data Entry'!$D463='Visual SPC'!$G$4),OR('Visual SPC'!$I$4="",'Data Entry'!$E463='Visual SPC'!$I$4),OR('Visual SPC'!$K$4="",'Data Entry'!$F463='Visual SPC'!$K$4)),1,0))</f>
        <v/>
      </c>
      <c r="C463">
        <f>C462+B463</f>
        <v/>
      </c>
      <c r="D463">
        <f>IF(B463=1,INDEX('Data Entry'!$H$5:$BE$10004,463-4,'Visual SPC'!$B$3),"")</f>
        <v/>
      </c>
      <c r="E463">
        <f>IF(B463=1,D463,E462)</f>
        <v/>
      </c>
      <c r="F463">
        <f>IF(AND(B463=1,C463&gt;1,E462&lt;&gt;""),ABS(D463-E462),"")</f>
        <v/>
      </c>
    </row>
    <row r="464">
      <c r="A464" t="n">
        <v>464</v>
      </c>
      <c r="B464">
        <f>IF(INDEX('Data Entry'!$H$5:$BE$10004,464-4,'Visual SPC'!$B$3)="",0,IF(AND(OR('Visual SPC'!$C$4="",'Data Entry'!$C464&gt;='Visual SPC'!$C$4),OR('Visual SPC'!$E$4="",'Data Entry'!$C464&lt;='Visual SPC'!$E$4),OR('Visual SPC'!$G$4="",'Data Entry'!$D464='Visual SPC'!$G$4),OR('Visual SPC'!$I$4="",'Data Entry'!$E464='Visual SPC'!$I$4),OR('Visual SPC'!$K$4="",'Data Entry'!$F464='Visual SPC'!$K$4)),1,0))</f>
        <v/>
      </c>
      <c r="C464">
        <f>C463+B464</f>
        <v/>
      </c>
      <c r="D464">
        <f>IF(B464=1,INDEX('Data Entry'!$H$5:$BE$10004,464-4,'Visual SPC'!$B$3),"")</f>
        <v/>
      </c>
      <c r="E464">
        <f>IF(B464=1,D464,E463)</f>
        <v/>
      </c>
      <c r="F464">
        <f>IF(AND(B464=1,C464&gt;1,E463&lt;&gt;""),ABS(D464-E463),"")</f>
        <v/>
      </c>
    </row>
    <row r="465">
      <c r="A465" t="n">
        <v>465</v>
      </c>
      <c r="B465">
        <f>IF(INDEX('Data Entry'!$H$5:$BE$10004,465-4,'Visual SPC'!$B$3)="",0,IF(AND(OR('Visual SPC'!$C$4="",'Data Entry'!$C465&gt;='Visual SPC'!$C$4),OR('Visual SPC'!$E$4="",'Data Entry'!$C465&lt;='Visual SPC'!$E$4),OR('Visual SPC'!$G$4="",'Data Entry'!$D465='Visual SPC'!$G$4),OR('Visual SPC'!$I$4="",'Data Entry'!$E465='Visual SPC'!$I$4),OR('Visual SPC'!$K$4="",'Data Entry'!$F465='Visual SPC'!$K$4)),1,0))</f>
        <v/>
      </c>
      <c r="C465">
        <f>C464+B465</f>
        <v/>
      </c>
      <c r="D465">
        <f>IF(B465=1,INDEX('Data Entry'!$H$5:$BE$10004,465-4,'Visual SPC'!$B$3),"")</f>
        <v/>
      </c>
      <c r="E465">
        <f>IF(B465=1,D465,E464)</f>
        <v/>
      </c>
      <c r="F465">
        <f>IF(AND(B465=1,C465&gt;1,E464&lt;&gt;""),ABS(D465-E464),"")</f>
        <v/>
      </c>
    </row>
    <row r="466">
      <c r="A466" t="n">
        <v>466</v>
      </c>
      <c r="B466">
        <f>IF(INDEX('Data Entry'!$H$5:$BE$10004,466-4,'Visual SPC'!$B$3)="",0,IF(AND(OR('Visual SPC'!$C$4="",'Data Entry'!$C466&gt;='Visual SPC'!$C$4),OR('Visual SPC'!$E$4="",'Data Entry'!$C466&lt;='Visual SPC'!$E$4),OR('Visual SPC'!$G$4="",'Data Entry'!$D466='Visual SPC'!$G$4),OR('Visual SPC'!$I$4="",'Data Entry'!$E466='Visual SPC'!$I$4),OR('Visual SPC'!$K$4="",'Data Entry'!$F466='Visual SPC'!$K$4)),1,0))</f>
        <v/>
      </c>
      <c r="C466">
        <f>C465+B466</f>
        <v/>
      </c>
      <c r="D466">
        <f>IF(B466=1,INDEX('Data Entry'!$H$5:$BE$10004,466-4,'Visual SPC'!$B$3),"")</f>
        <v/>
      </c>
      <c r="E466">
        <f>IF(B466=1,D466,E465)</f>
        <v/>
      </c>
      <c r="F466">
        <f>IF(AND(B466=1,C466&gt;1,E465&lt;&gt;""),ABS(D466-E465),"")</f>
        <v/>
      </c>
    </row>
    <row r="467">
      <c r="A467" t="n">
        <v>467</v>
      </c>
      <c r="B467">
        <f>IF(INDEX('Data Entry'!$H$5:$BE$10004,467-4,'Visual SPC'!$B$3)="",0,IF(AND(OR('Visual SPC'!$C$4="",'Data Entry'!$C467&gt;='Visual SPC'!$C$4),OR('Visual SPC'!$E$4="",'Data Entry'!$C467&lt;='Visual SPC'!$E$4),OR('Visual SPC'!$G$4="",'Data Entry'!$D467='Visual SPC'!$G$4),OR('Visual SPC'!$I$4="",'Data Entry'!$E467='Visual SPC'!$I$4),OR('Visual SPC'!$K$4="",'Data Entry'!$F467='Visual SPC'!$K$4)),1,0))</f>
        <v/>
      </c>
      <c r="C467">
        <f>C466+B467</f>
        <v/>
      </c>
      <c r="D467">
        <f>IF(B467=1,INDEX('Data Entry'!$H$5:$BE$10004,467-4,'Visual SPC'!$B$3),"")</f>
        <v/>
      </c>
      <c r="E467">
        <f>IF(B467=1,D467,E466)</f>
        <v/>
      </c>
      <c r="F467">
        <f>IF(AND(B467=1,C467&gt;1,E466&lt;&gt;""),ABS(D467-E466),"")</f>
        <v/>
      </c>
    </row>
    <row r="468">
      <c r="A468" t="n">
        <v>468</v>
      </c>
      <c r="B468">
        <f>IF(INDEX('Data Entry'!$H$5:$BE$10004,468-4,'Visual SPC'!$B$3)="",0,IF(AND(OR('Visual SPC'!$C$4="",'Data Entry'!$C468&gt;='Visual SPC'!$C$4),OR('Visual SPC'!$E$4="",'Data Entry'!$C468&lt;='Visual SPC'!$E$4),OR('Visual SPC'!$G$4="",'Data Entry'!$D468='Visual SPC'!$G$4),OR('Visual SPC'!$I$4="",'Data Entry'!$E468='Visual SPC'!$I$4),OR('Visual SPC'!$K$4="",'Data Entry'!$F468='Visual SPC'!$K$4)),1,0))</f>
        <v/>
      </c>
      <c r="C468">
        <f>C467+B468</f>
        <v/>
      </c>
      <c r="D468">
        <f>IF(B468=1,INDEX('Data Entry'!$H$5:$BE$10004,468-4,'Visual SPC'!$B$3),"")</f>
        <v/>
      </c>
      <c r="E468">
        <f>IF(B468=1,D468,E467)</f>
        <v/>
      </c>
      <c r="F468">
        <f>IF(AND(B468=1,C468&gt;1,E467&lt;&gt;""),ABS(D468-E467),"")</f>
        <v/>
      </c>
    </row>
    <row r="469">
      <c r="A469" t="n">
        <v>469</v>
      </c>
      <c r="B469">
        <f>IF(INDEX('Data Entry'!$H$5:$BE$10004,469-4,'Visual SPC'!$B$3)="",0,IF(AND(OR('Visual SPC'!$C$4="",'Data Entry'!$C469&gt;='Visual SPC'!$C$4),OR('Visual SPC'!$E$4="",'Data Entry'!$C469&lt;='Visual SPC'!$E$4),OR('Visual SPC'!$G$4="",'Data Entry'!$D469='Visual SPC'!$G$4),OR('Visual SPC'!$I$4="",'Data Entry'!$E469='Visual SPC'!$I$4),OR('Visual SPC'!$K$4="",'Data Entry'!$F469='Visual SPC'!$K$4)),1,0))</f>
        <v/>
      </c>
      <c r="C469">
        <f>C468+B469</f>
        <v/>
      </c>
      <c r="D469">
        <f>IF(B469=1,INDEX('Data Entry'!$H$5:$BE$10004,469-4,'Visual SPC'!$B$3),"")</f>
        <v/>
      </c>
      <c r="E469">
        <f>IF(B469=1,D469,E468)</f>
        <v/>
      </c>
      <c r="F469">
        <f>IF(AND(B469=1,C469&gt;1,E468&lt;&gt;""),ABS(D469-E468),"")</f>
        <v/>
      </c>
    </row>
    <row r="470">
      <c r="A470" t="n">
        <v>470</v>
      </c>
      <c r="B470">
        <f>IF(INDEX('Data Entry'!$H$5:$BE$10004,470-4,'Visual SPC'!$B$3)="",0,IF(AND(OR('Visual SPC'!$C$4="",'Data Entry'!$C470&gt;='Visual SPC'!$C$4),OR('Visual SPC'!$E$4="",'Data Entry'!$C470&lt;='Visual SPC'!$E$4),OR('Visual SPC'!$G$4="",'Data Entry'!$D470='Visual SPC'!$G$4),OR('Visual SPC'!$I$4="",'Data Entry'!$E470='Visual SPC'!$I$4),OR('Visual SPC'!$K$4="",'Data Entry'!$F470='Visual SPC'!$K$4)),1,0))</f>
        <v/>
      </c>
      <c r="C470">
        <f>C469+B470</f>
        <v/>
      </c>
      <c r="D470">
        <f>IF(B470=1,INDEX('Data Entry'!$H$5:$BE$10004,470-4,'Visual SPC'!$B$3),"")</f>
        <v/>
      </c>
      <c r="E470">
        <f>IF(B470=1,D470,E469)</f>
        <v/>
      </c>
      <c r="F470">
        <f>IF(AND(B470=1,C470&gt;1,E469&lt;&gt;""),ABS(D470-E469),"")</f>
        <v/>
      </c>
    </row>
    <row r="471">
      <c r="A471" t="n">
        <v>471</v>
      </c>
      <c r="B471">
        <f>IF(INDEX('Data Entry'!$H$5:$BE$10004,471-4,'Visual SPC'!$B$3)="",0,IF(AND(OR('Visual SPC'!$C$4="",'Data Entry'!$C471&gt;='Visual SPC'!$C$4),OR('Visual SPC'!$E$4="",'Data Entry'!$C471&lt;='Visual SPC'!$E$4),OR('Visual SPC'!$G$4="",'Data Entry'!$D471='Visual SPC'!$G$4),OR('Visual SPC'!$I$4="",'Data Entry'!$E471='Visual SPC'!$I$4),OR('Visual SPC'!$K$4="",'Data Entry'!$F471='Visual SPC'!$K$4)),1,0))</f>
        <v/>
      </c>
      <c r="C471">
        <f>C470+B471</f>
        <v/>
      </c>
      <c r="D471">
        <f>IF(B471=1,INDEX('Data Entry'!$H$5:$BE$10004,471-4,'Visual SPC'!$B$3),"")</f>
        <v/>
      </c>
      <c r="E471">
        <f>IF(B471=1,D471,E470)</f>
        <v/>
      </c>
      <c r="F471">
        <f>IF(AND(B471=1,C471&gt;1,E470&lt;&gt;""),ABS(D471-E470),"")</f>
        <v/>
      </c>
    </row>
    <row r="472">
      <c r="A472" t="n">
        <v>472</v>
      </c>
      <c r="B472">
        <f>IF(INDEX('Data Entry'!$H$5:$BE$10004,472-4,'Visual SPC'!$B$3)="",0,IF(AND(OR('Visual SPC'!$C$4="",'Data Entry'!$C472&gt;='Visual SPC'!$C$4),OR('Visual SPC'!$E$4="",'Data Entry'!$C472&lt;='Visual SPC'!$E$4),OR('Visual SPC'!$G$4="",'Data Entry'!$D472='Visual SPC'!$G$4),OR('Visual SPC'!$I$4="",'Data Entry'!$E472='Visual SPC'!$I$4),OR('Visual SPC'!$K$4="",'Data Entry'!$F472='Visual SPC'!$K$4)),1,0))</f>
        <v/>
      </c>
      <c r="C472">
        <f>C471+B472</f>
        <v/>
      </c>
      <c r="D472">
        <f>IF(B472=1,INDEX('Data Entry'!$H$5:$BE$10004,472-4,'Visual SPC'!$B$3),"")</f>
        <v/>
      </c>
      <c r="E472">
        <f>IF(B472=1,D472,E471)</f>
        <v/>
      </c>
      <c r="F472">
        <f>IF(AND(B472=1,C472&gt;1,E471&lt;&gt;""),ABS(D472-E471),"")</f>
        <v/>
      </c>
    </row>
    <row r="473">
      <c r="A473" t="n">
        <v>473</v>
      </c>
      <c r="B473">
        <f>IF(INDEX('Data Entry'!$H$5:$BE$10004,473-4,'Visual SPC'!$B$3)="",0,IF(AND(OR('Visual SPC'!$C$4="",'Data Entry'!$C473&gt;='Visual SPC'!$C$4),OR('Visual SPC'!$E$4="",'Data Entry'!$C473&lt;='Visual SPC'!$E$4),OR('Visual SPC'!$G$4="",'Data Entry'!$D473='Visual SPC'!$G$4),OR('Visual SPC'!$I$4="",'Data Entry'!$E473='Visual SPC'!$I$4),OR('Visual SPC'!$K$4="",'Data Entry'!$F473='Visual SPC'!$K$4)),1,0))</f>
        <v/>
      </c>
      <c r="C473">
        <f>C472+B473</f>
        <v/>
      </c>
      <c r="D473">
        <f>IF(B473=1,INDEX('Data Entry'!$H$5:$BE$10004,473-4,'Visual SPC'!$B$3),"")</f>
        <v/>
      </c>
      <c r="E473">
        <f>IF(B473=1,D473,E472)</f>
        <v/>
      </c>
      <c r="F473">
        <f>IF(AND(B473=1,C473&gt;1,E472&lt;&gt;""),ABS(D473-E472),"")</f>
        <v/>
      </c>
    </row>
    <row r="474">
      <c r="A474" t="n">
        <v>474</v>
      </c>
      <c r="B474">
        <f>IF(INDEX('Data Entry'!$H$5:$BE$10004,474-4,'Visual SPC'!$B$3)="",0,IF(AND(OR('Visual SPC'!$C$4="",'Data Entry'!$C474&gt;='Visual SPC'!$C$4),OR('Visual SPC'!$E$4="",'Data Entry'!$C474&lt;='Visual SPC'!$E$4),OR('Visual SPC'!$G$4="",'Data Entry'!$D474='Visual SPC'!$G$4),OR('Visual SPC'!$I$4="",'Data Entry'!$E474='Visual SPC'!$I$4),OR('Visual SPC'!$K$4="",'Data Entry'!$F474='Visual SPC'!$K$4)),1,0))</f>
        <v/>
      </c>
      <c r="C474">
        <f>C473+B474</f>
        <v/>
      </c>
      <c r="D474">
        <f>IF(B474=1,INDEX('Data Entry'!$H$5:$BE$10004,474-4,'Visual SPC'!$B$3),"")</f>
        <v/>
      </c>
      <c r="E474">
        <f>IF(B474=1,D474,E473)</f>
        <v/>
      </c>
      <c r="F474">
        <f>IF(AND(B474=1,C474&gt;1,E473&lt;&gt;""),ABS(D474-E473),"")</f>
        <v/>
      </c>
    </row>
    <row r="475">
      <c r="A475" t="n">
        <v>475</v>
      </c>
      <c r="B475">
        <f>IF(INDEX('Data Entry'!$H$5:$BE$10004,475-4,'Visual SPC'!$B$3)="",0,IF(AND(OR('Visual SPC'!$C$4="",'Data Entry'!$C475&gt;='Visual SPC'!$C$4),OR('Visual SPC'!$E$4="",'Data Entry'!$C475&lt;='Visual SPC'!$E$4),OR('Visual SPC'!$G$4="",'Data Entry'!$D475='Visual SPC'!$G$4),OR('Visual SPC'!$I$4="",'Data Entry'!$E475='Visual SPC'!$I$4),OR('Visual SPC'!$K$4="",'Data Entry'!$F475='Visual SPC'!$K$4)),1,0))</f>
        <v/>
      </c>
      <c r="C475">
        <f>C474+B475</f>
        <v/>
      </c>
      <c r="D475">
        <f>IF(B475=1,INDEX('Data Entry'!$H$5:$BE$10004,475-4,'Visual SPC'!$B$3),"")</f>
        <v/>
      </c>
      <c r="E475">
        <f>IF(B475=1,D475,E474)</f>
        <v/>
      </c>
      <c r="F475">
        <f>IF(AND(B475=1,C475&gt;1,E474&lt;&gt;""),ABS(D475-E474),"")</f>
        <v/>
      </c>
    </row>
    <row r="476">
      <c r="A476" t="n">
        <v>476</v>
      </c>
      <c r="B476">
        <f>IF(INDEX('Data Entry'!$H$5:$BE$10004,476-4,'Visual SPC'!$B$3)="",0,IF(AND(OR('Visual SPC'!$C$4="",'Data Entry'!$C476&gt;='Visual SPC'!$C$4),OR('Visual SPC'!$E$4="",'Data Entry'!$C476&lt;='Visual SPC'!$E$4),OR('Visual SPC'!$G$4="",'Data Entry'!$D476='Visual SPC'!$G$4),OR('Visual SPC'!$I$4="",'Data Entry'!$E476='Visual SPC'!$I$4),OR('Visual SPC'!$K$4="",'Data Entry'!$F476='Visual SPC'!$K$4)),1,0))</f>
        <v/>
      </c>
      <c r="C476">
        <f>C475+B476</f>
        <v/>
      </c>
      <c r="D476">
        <f>IF(B476=1,INDEX('Data Entry'!$H$5:$BE$10004,476-4,'Visual SPC'!$B$3),"")</f>
        <v/>
      </c>
      <c r="E476">
        <f>IF(B476=1,D476,E475)</f>
        <v/>
      </c>
      <c r="F476">
        <f>IF(AND(B476=1,C476&gt;1,E475&lt;&gt;""),ABS(D476-E475),"")</f>
        <v/>
      </c>
    </row>
    <row r="477">
      <c r="A477" t="n">
        <v>477</v>
      </c>
      <c r="B477">
        <f>IF(INDEX('Data Entry'!$H$5:$BE$10004,477-4,'Visual SPC'!$B$3)="",0,IF(AND(OR('Visual SPC'!$C$4="",'Data Entry'!$C477&gt;='Visual SPC'!$C$4),OR('Visual SPC'!$E$4="",'Data Entry'!$C477&lt;='Visual SPC'!$E$4),OR('Visual SPC'!$G$4="",'Data Entry'!$D477='Visual SPC'!$G$4),OR('Visual SPC'!$I$4="",'Data Entry'!$E477='Visual SPC'!$I$4),OR('Visual SPC'!$K$4="",'Data Entry'!$F477='Visual SPC'!$K$4)),1,0))</f>
        <v/>
      </c>
      <c r="C477">
        <f>C476+B477</f>
        <v/>
      </c>
      <c r="D477">
        <f>IF(B477=1,INDEX('Data Entry'!$H$5:$BE$10004,477-4,'Visual SPC'!$B$3),"")</f>
        <v/>
      </c>
      <c r="E477">
        <f>IF(B477=1,D477,E476)</f>
        <v/>
      </c>
      <c r="F477">
        <f>IF(AND(B477=1,C477&gt;1,E476&lt;&gt;""),ABS(D477-E476),"")</f>
        <v/>
      </c>
    </row>
    <row r="478">
      <c r="A478" t="n">
        <v>478</v>
      </c>
      <c r="B478">
        <f>IF(INDEX('Data Entry'!$H$5:$BE$10004,478-4,'Visual SPC'!$B$3)="",0,IF(AND(OR('Visual SPC'!$C$4="",'Data Entry'!$C478&gt;='Visual SPC'!$C$4),OR('Visual SPC'!$E$4="",'Data Entry'!$C478&lt;='Visual SPC'!$E$4),OR('Visual SPC'!$G$4="",'Data Entry'!$D478='Visual SPC'!$G$4),OR('Visual SPC'!$I$4="",'Data Entry'!$E478='Visual SPC'!$I$4),OR('Visual SPC'!$K$4="",'Data Entry'!$F478='Visual SPC'!$K$4)),1,0))</f>
        <v/>
      </c>
      <c r="C478">
        <f>C477+B478</f>
        <v/>
      </c>
      <c r="D478">
        <f>IF(B478=1,INDEX('Data Entry'!$H$5:$BE$10004,478-4,'Visual SPC'!$B$3),"")</f>
        <v/>
      </c>
      <c r="E478">
        <f>IF(B478=1,D478,E477)</f>
        <v/>
      </c>
      <c r="F478">
        <f>IF(AND(B478=1,C478&gt;1,E477&lt;&gt;""),ABS(D478-E477),"")</f>
        <v/>
      </c>
    </row>
    <row r="479">
      <c r="A479" t="n">
        <v>479</v>
      </c>
      <c r="B479">
        <f>IF(INDEX('Data Entry'!$H$5:$BE$10004,479-4,'Visual SPC'!$B$3)="",0,IF(AND(OR('Visual SPC'!$C$4="",'Data Entry'!$C479&gt;='Visual SPC'!$C$4),OR('Visual SPC'!$E$4="",'Data Entry'!$C479&lt;='Visual SPC'!$E$4),OR('Visual SPC'!$G$4="",'Data Entry'!$D479='Visual SPC'!$G$4),OR('Visual SPC'!$I$4="",'Data Entry'!$E479='Visual SPC'!$I$4),OR('Visual SPC'!$K$4="",'Data Entry'!$F479='Visual SPC'!$K$4)),1,0))</f>
        <v/>
      </c>
      <c r="C479">
        <f>C478+B479</f>
        <v/>
      </c>
      <c r="D479">
        <f>IF(B479=1,INDEX('Data Entry'!$H$5:$BE$10004,479-4,'Visual SPC'!$B$3),"")</f>
        <v/>
      </c>
      <c r="E479">
        <f>IF(B479=1,D479,E478)</f>
        <v/>
      </c>
      <c r="F479">
        <f>IF(AND(B479=1,C479&gt;1,E478&lt;&gt;""),ABS(D479-E478),"")</f>
        <v/>
      </c>
    </row>
    <row r="480">
      <c r="A480" t="n">
        <v>480</v>
      </c>
      <c r="B480">
        <f>IF(INDEX('Data Entry'!$H$5:$BE$10004,480-4,'Visual SPC'!$B$3)="",0,IF(AND(OR('Visual SPC'!$C$4="",'Data Entry'!$C480&gt;='Visual SPC'!$C$4),OR('Visual SPC'!$E$4="",'Data Entry'!$C480&lt;='Visual SPC'!$E$4),OR('Visual SPC'!$G$4="",'Data Entry'!$D480='Visual SPC'!$G$4),OR('Visual SPC'!$I$4="",'Data Entry'!$E480='Visual SPC'!$I$4),OR('Visual SPC'!$K$4="",'Data Entry'!$F480='Visual SPC'!$K$4)),1,0))</f>
        <v/>
      </c>
      <c r="C480">
        <f>C479+B480</f>
        <v/>
      </c>
      <c r="D480">
        <f>IF(B480=1,INDEX('Data Entry'!$H$5:$BE$10004,480-4,'Visual SPC'!$B$3),"")</f>
        <v/>
      </c>
      <c r="E480">
        <f>IF(B480=1,D480,E479)</f>
        <v/>
      </c>
      <c r="F480">
        <f>IF(AND(B480=1,C480&gt;1,E479&lt;&gt;""),ABS(D480-E479),"")</f>
        <v/>
      </c>
    </row>
    <row r="481">
      <c r="A481" t="n">
        <v>481</v>
      </c>
      <c r="B481">
        <f>IF(INDEX('Data Entry'!$H$5:$BE$10004,481-4,'Visual SPC'!$B$3)="",0,IF(AND(OR('Visual SPC'!$C$4="",'Data Entry'!$C481&gt;='Visual SPC'!$C$4),OR('Visual SPC'!$E$4="",'Data Entry'!$C481&lt;='Visual SPC'!$E$4),OR('Visual SPC'!$G$4="",'Data Entry'!$D481='Visual SPC'!$G$4),OR('Visual SPC'!$I$4="",'Data Entry'!$E481='Visual SPC'!$I$4),OR('Visual SPC'!$K$4="",'Data Entry'!$F481='Visual SPC'!$K$4)),1,0))</f>
        <v/>
      </c>
      <c r="C481">
        <f>C480+B481</f>
        <v/>
      </c>
      <c r="D481">
        <f>IF(B481=1,INDEX('Data Entry'!$H$5:$BE$10004,481-4,'Visual SPC'!$B$3),"")</f>
        <v/>
      </c>
      <c r="E481">
        <f>IF(B481=1,D481,E480)</f>
        <v/>
      </c>
      <c r="F481">
        <f>IF(AND(B481=1,C481&gt;1,E480&lt;&gt;""),ABS(D481-E480),"")</f>
        <v/>
      </c>
    </row>
    <row r="482">
      <c r="A482" t="n">
        <v>482</v>
      </c>
      <c r="B482">
        <f>IF(INDEX('Data Entry'!$H$5:$BE$10004,482-4,'Visual SPC'!$B$3)="",0,IF(AND(OR('Visual SPC'!$C$4="",'Data Entry'!$C482&gt;='Visual SPC'!$C$4),OR('Visual SPC'!$E$4="",'Data Entry'!$C482&lt;='Visual SPC'!$E$4),OR('Visual SPC'!$G$4="",'Data Entry'!$D482='Visual SPC'!$G$4),OR('Visual SPC'!$I$4="",'Data Entry'!$E482='Visual SPC'!$I$4),OR('Visual SPC'!$K$4="",'Data Entry'!$F482='Visual SPC'!$K$4)),1,0))</f>
        <v/>
      </c>
      <c r="C482">
        <f>C481+B482</f>
        <v/>
      </c>
      <c r="D482">
        <f>IF(B482=1,INDEX('Data Entry'!$H$5:$BE$10004,482-4,'Visual SPC'!$B$3),"")</f>
        <v/>
      </c>
      <c r="E482">
        <f>IF(B482=1,D482,E481)</f>
        <v/>
      </c>
      <c r="F482">
        <f>IF(AND(B482=1,C482&gt;1,E481&lt;&gt;""),ABS(D482-E481),"")</f>
        <v/>
      </c>
    </row>
    <row r="483">
      <c r="A483" t="n">
        <v>483</v>
      </c>
      <c r="B483">
        <f>IF(INDEX('Data Entry'!$H$5:$BE$10004,483-4,'Visual SPC'!$B$3)="",0,IF(AND(OR('Visual SPC'!$C$4="",'Data Entry'!$C483&gt;='Visual SPC'!$C$4),OR('Visual SPC'!$E$4="",'Data Entry'!$C483&lt;='Visual SPC'!$E$4),OR('Visual SPC'!$G$4="",'Data Entry'!$D483='Visual SPC'!$G$4),OR('Visual SPC'!$I$4="",'Data Entry'!$E483='Visual SPC'!$I$4),OR('Visual SPC'!$K$4="",'Data Entry'!$F483='Visual SPC'!$K$4)),1,0))</f>
        <v/>
      </c>
      <c r="C483">
        <f>C482+B483</f>
        <v/>
      </c>
      <c r="D483">
        <f>IF(B483=1,INDEX('Data Entry'!$H$5:$BE$10004,483-4,'Visual SPC'!$B$3),"")</f>
        <v/>
      </c>
      <c r="E483">
        <f>IF(B483=1,D483,E482)</f>
        <v/>
      </c>
      <c r="F483">
        <f>IF(AND(B483=1,C483&gt;1,E482&lt;&gt;""),ABS(D483-E482),"")</f>
        <v/>
      </c>
    </row>
    <row r="484">
      <c r="A484" t="n">
        <v>484</v>
      </c>
      <c r="B484">
        <f>IF(INDEX('Data Entry'!$H$5:$BE$10004,484-4,'Visual SPC'!$B$3)="",0,IF(AND(OR('Visual SPC'!$C$4="",'Data Entry'!$C484&gt;='Visual SPC'!$C$4),OR('Visual SPC'!$E$4="",'Data Entry'!$C484&lt;='Visual SPC'!$E$4),OR('Visual SPC'!$G$4="",'Data Entry'!$D484='Visual SPC'!$G$4),OR('Visual SPC'!$I$4="",'Data Entry'!$E484='Visual SPC'!$I$4),OR('Visual SPC'!$K$4="",'Data Entry'!$F484='Visual SPC'!$K$4)),1,0))</f>
        <v/>
      </c>
      <c r="C484">
        <f>C483+B484</f>
        <v/>
      </c>
      <c r="D484">
        <f>IF(B484=1,INDEX('Data Entry'!$H$5:$BE$10004,484-4,'Visual SPC'!$B$3),"")</f>
        <v/>
      </c>
      <c r="E484">
        <f>IF(B484=1,D484,E483)</f>
        <v/>
      </c>
      <c r="F484">
        <f>IF(AND(B484=1,C484&gt;1,E483&lt;&gt;""),ABS(D484-E483),"")</f>
        <v/>
      </c>
    </row>
    <row r="485">
      <c r="A485" t="n">
        <v>485</v>
      </c>
      <c r="B485">
        <f>IF(INDEX('Data Entry'!$H$5:$BE$10004,485-4,'Visual SPC'!$B$3)="",0,IF(AND(OR('Visual SPC'!$C$4="",'Data Entry'!$C485&gt;='Visual SPC'!$C$4),OR('Visual SPC'!$E$4="",'Data Entry'!$C485&lt;='Visual SPC'!$E$4),OR('Visual SPC'!$G$4="",'Data Entry'!$D485='Visual SPC'!$G$4),OR('Visual SPC'!$I$4="",'Data Entry'!$E485='Visual SPC'!$I$4),OR('Visual SPC'!$K$4="",'Data Entry'!$F485='Visual SPC'!$K$4)),1,0))</f>
        <v/>
      </c>
      <c r="C485">
        <f>C484+B485</f>
        <v/>
      </c>
      <c r="D485">
        <f>IF(B485=1,INDEX('Data Entry'!$H$5:$BE$10004,485-4,'Visual SPC'!$B$3),"")</f>
        <v/>
      </c>
      <c r="E485">
        <f>IF(B485=1,D485,E484)</f>
        <v/>
      </c>
      <c r="F485">
        <f>IF(AND(B485=1,C485&gt;1,E484&lt;&gt;""),ABS(D485-E484),"")</f>
        <v/>
      </c>
    </row>
    <row r="486">
      <c r="A486" t="n">
        <v>486</v>
      </c>
      <c r="B486">
        <f>IF(INDEX('Data Entry'!$H$5:$BE$10004,486-4,'Visual SPC'!$B$3)="",0,IF(AND(OR('Visual SPC'!$C$4="",'Data Entry'!$C486&gt;='Visual SPC'!$C$4),OR('Visual SPC'!$E$4="",'Data Entry'!$C486&lt;='Visual SPC'!$E$4),OR('Visual SPC'!$G$4="",'Data Entry'!$D486='Visual SPC'!$G$4),OR('Visual SPC'!$I$4="",'Data Entry'!$E486='Visual SPC'!$I$4),OR('Visual SPC'!$K$4="",'Data Entry'!$F486='Visual SPC'!$K$4)),1,0))</f>
        <v/>
      </c>
      <c r="C486">
        <f>C485+B486</f>
        <v/>
      </c>
      <c r="D486">
        <f>IF(B486=1,INDEX('Data Entry'!$H$5:$BE$10004,486-4,'Visual SPC'!$B$3),"")</f>
        <v/>
      </c>
      <c r="E486">
        <f>IF(B486=1,D486,E485)</f>
        <v/>
      </c>
      <c r="F486">
        <f>IF(AND(B486=1,C486&gt;1,E485&lt;&gt;""),ABS(D486-E485),"")</f>
        <v/>
      </c>
    </row>
    <row r="487">
      <c r="A487" t="n">
        <v>487</v>
      </c>
      <c r="B487">
        <f>IF(INDEX('Data Entry'!$H$5:$BE$10004,487-4,'Visual SPC'!$B$3)="",0,IF(AND(OR('Visual SPC'!$C$4="",'Data Entry'!$C487&gt;='Visual SPC'!$C$4),OR('Visual SPC'!$E$4="",'Data Entry'!$C487&lt;='Visual SPC'!$E$4),OR('Visual SPC'!$G$4="",'Data Entry'!$D487='Visual SPC'!$G$4),OR('Visual SPC'!$I$4="",'Data Entry'!$E487='Visual SPC'!$I$4),OR('Visual SPC'!$K$4="",'Data Entry'!$F487='Visual SPC'!$K$4)),1,0))</f>
        <v/>
      </c>
      <c r="C487">
        <f>C486+B487</f>
        <v/>
      </c>
      <c r="D487">
        <f>IF(B487=1,INDEX('Data Entry'!$H$5:$BE$10004,487-4,'Visual SPC'!$B$3),"")</f>
        <v/>
      </c>
      <c r="E487">
        <f>IF(B487=1,D487,E486)</f>
        <v/>
      </c>
      <c r="F487">
        <f>IF(AND(B487=1,C487&gt;1,E486&lt;&gt;""),ABS(D487-E486),"")</f>
        <v/>
      </c>
    </row>
    <row r="488">
      <c r="A488" t="n">
        <v>488</v>
      </c>
      <c r="B488">
        <f>IF(INDEX('Data Entry'!$H$5:$BE$10004,488-4,'Visual SPC'!$B$3)="",0,IF(AND(OR('Visual SPC'!$C$4="",'Data Entry'!$C488&gt;='Visual SPC'!$C$4),OR('Visual SPC'!$E$4="",'Data Entry'!$C488&lt;='Visual SPC'!$E$4),OR('Visual SPC'!$G$4="",'Data Entry'!$D488='Visual SPC'!$G$4),OR('Visual SPC'!$I$4="",'Data Entry'!$E488='Visual SPC'!$I$4),OR('Visual SPC'!$K$4="",'Data Entry'!$F488='Visual SPC'!$K$4)),1,0))</f>
        <v/>
      </c>
      <c r="C488">
        <f>C487+B488</f>
        <v/>
      </c>
      <c r="D488">
        <f>IF(B488=1,INDEX('Data Entry'!$H$5:$BE$10004,488-4,'Visual SPC'!$B$3),"")</f>
        <v/>
      </c>
      <c r="E488">
        <f>IF(B488=1,D488,E487)</f>
        <v/>
      </c>
      <c r="F488">
        <f>IF(AND(B488=1,C488&gt;1,E487&lt;&gt;""),ABS(D488-E487),"")</f>
        <v/>
      </c>
    </row>
    <row r="489">
      <c r="A489" t="n">
        <v>489</v>
      </c>
      <c r="B489">
        <f>IF(INDEX('Data Entry'!$H$5:$BE$10004,489-4,'Visual SPC'!$B$3)="",0,IF(AND(OR('Visual SPC'!$C$4="",'Data Entry'!$C489&gt;='Visual SPC'!$C$4),OR('Visual SPC'!$E$4="",'Data Entry'!$C489&lt;='Visual SPC'!$E$4),OR('Visual SPC'!$G$4="",'Data Entry'!$D489='Visual SPC'!$G$4),OR('Visual SPC'!$I$4="",'Data Entry'!$E489='Visual SPC'!$I$4),OR('Visual SPC'!$K$4="",'Data Entry'!$F489='Visual SPC'!$K$4)),1,0))</f>
        <v/>
      </c>
      <c r="C489">
        <f>C488+B489</f>
        <v/>
      </c>
      <c r="D489">
        <f>IF(B489=1,INDEX('Data Entry'!$H$5:$BE$10004,489-4,'Visual SPC'!$B$3),"")</f>
        <v/>
      </c>
      <c r="E489">
        <f>IF(B489=1,D489,E488)</f>
        <v/>
      </c>
      <c r="F489">
        <f>IF(AND(B489=1,C489&gt;1,E488&lt;&gt;""),ABS(D489-E488),"")</f>
        <v/>
      </c>
    </row>
    <row r="490">
      <c r="A490" t="n">
        <v>490</v>
      </c>
      <c r="B490">
        <f>IF(INDEX('Data Entry'!$H$5:$BE$10004,490-4,'Visual SPC'!$B$3)="",0,IF(AND(OR('Visual SPC'!$C$4="",'Data Entry'!$C490&gt;='Visual SPC'!$C$4),OR('Visual SPC'!$E$4="",'Data Entry'!$C490&lt;='Visual SPC'!$E$4),OR('Visual SPC'!$G$4="",'Data Entry'!$D490='Visual SPC'!$G$4),OR('Visual SPC'!$I$4="",'Data Entry'!$E490='Visual SPC'!$I$4),OR('Visual SPC'!$K$4="",'Data Entry'!$F490='Visual SPC'!$K$4)),1,0))</f>
        <v/>
      </c>
      <c r="C490">
        <f>C489+B490</f>
        <v/>
      </c>
      <c r="D490">
        <f>IF(B490=1,INDEX('Data Entry'!$H$5:$BE$10004,490-4,'Visual SPC'!$B$3),"")</f>
        <v/>
      </c>
      <c r="E490">
        <f>IF(B490=1,D490,E489)</f>
        <v/>
      </c>
      <c r="F490">
        <f>IF(AND(B490=1,C490&gt;1,E489&lt;&gt;""),ABS(D490-E489),"")</f>
        <v/>
      </c>
    </row>
    <row r="491">
      <c r="A491" t="n">
        <v>491</v>
      </c>
      <c r="B491">
        <f>IF(INDEX('Data Entry'!$H$5:$BE$10004,491-4,'Visual SPC'!$B$3)="",0,IF(AND(OR('Visual SPC'!$C$4="",'Data Entry'!$C491&gt;='Visual SPC'!$C$4),OR('Visual SPC'!$E$4="",'Data Entry'!$C491&lt;='Visual SPC'!$E$4),OR('Visual SPC'!$G$4="",'Data Entry'!$D491='Visual SPC'!$G$4),OR('Visual SPC'!$I$4="",'Data Entry'!$E491='Visual SPC'!$I$4),OR('Visual SPC'!$K$4="",'Data Entry'!$F491='Visual SPC'!$K$4)),1,0))</f>
        <v/>
      </c>
      <c r="C491">
        <f>C490+B491</f>
        <v/>
      </c>
      <c r="D491">
        <f>IF(B491=1,INDEX('Data Entry'!$H$5:$BE$10004,491-4,'Visual SPC'!$B$3),"")</f>
        <v/>
      </c>
      <c r="E491">
        <f>IF(B491=1,D491,E490)</f>
        <v/>
      </c>
      <c r="F491">
        <f>IF(AND(B491=1,C491&gt;1,E490&lt;&gt;""),ABS(D491-E490),"")</f>
        <v/>
      </c>
    </row>
    <row r="492">
      <c r="A492" t="n">
        <v>492</v>
      </c>
      <c r="B492">
        <f>IF(INDEX('Data Entry'!$H$5:$BE$10004,492-4,'Visual SPC'!$B$3)="",0,IF(AND(OR('Visual SPC'!$C$4="",'Data Entry'!$C492&gt;='Visual SPC'!$C$4),OR('Visual SPC'!$E$4="",'Data Entry'!$C492&lt;='Visual SPC'!$E$4),OR('Visual SPC'!$G$4="",'Data Entry'!$D492='Visual SPC'!$G$4),OR('Visual SPC'!$I$4="",'Data Entry'!$E492='Visual SPC'!$I$4),OR('Visual SPC'!$K$4="",'Data Entry'!$F492='Visual SPC'!$K$4)),1,0))</f>
        <v/>
      </c>
      <c r="C492">
        <f>C491+B492</f>
        <v/>
      </c>
      <c r="D492">
        <f>IF(B492=1,INDEX('Data Entry'!$H$5:$BE$10004,492-4,'Visual SPC'!$B$3),"")</f>
        <v/>
      </c>
      <c r="E492">
        <f>IF(B492=1,D492,E491)</f>
        <v/>
      </c>
      <c r="F492">
        <f>IF(AND(B492=1,C492&gt;1,E491&lt;&gt;""),ABS(D492-E491),"")</f>
        <v/>
      </c>
    </row>
    <row r="493">
      <c r="A493" t="n">
        <v>493</v>
      </c>
      <c r="B493">
        <f>IF(INDEX('Data Entry'!$H$5:$BE$10004,493-4,'Visual SPC'!$B$3)="",0,IF(AND(OR('Visual SPC'!$C$4="",'Data Entry'!$C493&gt;='Visual SPC'!$C$4),OR('Visual SPC'!$E$4="",'Data Entry'!$C493&lt;='Visual SPC'!$E$4),OR('Visual SPC'!$G$4="",'Data Entry'!$D493='Visual SPC'!$G$4),OR('Visual SPC'!$I$4="",'Data Entry'!$E493='Visual SPC'!$I$4),OR('Visual SPC'!$K$4="",'Data Entry'!$F493='Visual SPC'!$K$4)),1,0))</f>
        <v/>
      </c>
      <c r="C493">
        <f>C492+B493</f>
        <v/>
      </c>
      <c r="D493">
        <f>IF(B493=1,INDEX('Data Entry'!$H$5:$BE$10004,493-4,'Visual SPC'!$B$3),"")</f>
        <v/>
      </c>
      <c r="E493">
        <f>IF(B493=1,D493,E492)</f>
        <v/>
      </c>
      <c r="F493">
        <f>IF(AND(B493=1,C493&gt;1,E492&lt;&gt;""),ABS(D493-E492),"")</f>
        <v/>
      </c>
    </row>
    <row r="494">
      <c r="A494" t="n">
        <v>494</v>
      </c>
      <c r="B494">
        <f>IF(INDEX('Data Entry'!$H$5:$BE$10004,494-4,'Visual SPC'!$B$3)="",0,IF(AND(OR('Visual SPC'!$C$4="",'Data Entry'!$C494&gt;='Visual SPC'!$C$4),OR('Visual SPC'!$E$4="",'Data Entry'!$C494&lt;='Visual SPC'!$E$4),OR('Visual SPC'!$G$4="",'Data Entry'!$D494='Visual SPC'!$G$4),OR('Visual SPC'!$I$4="",'Data Entry'!$E494='Visual SPC'!$I$4),OR('Visual SPC'!$K$4="",'Data Entry'!$F494='Visual SPC'!$K$4)),1,0))</f>
        <v/>
      </c>
      <c r="C494">
        <f>C493+B494</f>
        <v/>
      </c>
      <c r="D494">
        <f>IF(B494=1,INDEX('Data Entry'!$H$5:$BE$10004,494-4,'Visual SPC'!$B$3),"")</f>
        <v/>
      </c>
      <c r="E494">
        <f>IF(B494=1,D494,E493)</f>
        <v/>
      </c>
      <c r="F494">
        <f>IF(AND(B494=1,C494&gt;1,E493&lt;&gt;""),ABS(D494-E493),"")</f>
        <v/>
      </c>
    </row>
    <row r="495">
      <c r="A495" t="n">
        <v>495</v>
      </c>
      <c r="B495">
        <f>IF(INDEX('Data Entry'!$H$5:$BE$10004,495-4,'Visual SPC'!$B$3)="",0,IF(AND(OR('Visual SPC'!$C$4="",'Data Entry'!$C495&gt;='Visual SPC'!$C$4),OR('Visual SPC'!$E$4="",'Data Entry'!$C495&lt;='Visual SPC'!$E$4),OR('Visual SPC'!$G$4="",'Data Entry'!$D495='Visual SPC'!$G$4),OR('Visual SPC'!$I$4="",'Data Entry'!$E495='Visual SPC'!$I$4),OR('Visual SPC'!$K$4="",'Data Entry'!$F495='Visual SPC'!$K$4)),1,0))</f>
        <v/>
      </c>
      <c r="C495">
        <f>C494+B495</f>
        <v/>
      </c>
      <c r="D495">
        <f>IF(B495=1,INDEX('Data Entry'!$H$5:$BE$10004,495-4,'Visual SPC'!$B$3),"")</f>
        <v/>
      </c>
      <c r="E495">
        <f>IF(B495=1,D495,E494)</f>
        <v/>
      </c>
      <c r="F495">
        <f>IF(AND(B495=1,C495&gt;1,E494&lt;&gt;""),ABS(D495-E494),"")</f>
        <v/>
      </c>
    </row>
    <row r="496">
      <c r="A496" t="n">
        <v>496</v>
      </c>
      <c r="B496">
        <f>IF(INDEX('Data Entry'!$H$5:$BE$10004,496-4,'Visual SPC'!$B$3)="",0,IF(AND(OR('Visual SPC'!$C$4="",'Data Entry'!$C496&gt;='Visual SPC'!$C$4),OR('Visual SPC'!$E$4="",'Data Entry'!$C496&lt;='Visual SPC'!$E$4),OR('Visual SPC'!$G$4="",'Data Entry'!$D496='Visual SPC'!$G$4),OR('Visual SPC'!$I$4="",'Data Entry'!$E496='Visual SPC'!$I$4),OR('Visual SPC'!$K$4="",'Data Entry'!$F496='Visual SPC'!$K$4)),1,0))</f>
        <v/>
      </c>
      <c r="C496">
        <f>C495+B496</f>
        <v/>
      </c>
      <c r="D496">
        <f>IF(B496=1,INDEX('Data Entry'!$H$5:$BE$10004,496-4,'Visual SPC'!$B$3),"")</f>
        <v/>
      </c>
      <c r="E496">
        <f>IF(B496=1,D496,E495)</f>
        <v/>
      </c>
      <c r="F496">
        <f>IF(AND(B496=1,C496&gt;1,E495&lt;&gt;""),ABS(D496-E495),"")</f>
        <v/>
      </c>
    </row>
    <row r="497">
      <c r="A497" t="n">
        <v>497</v>
      </c>
      <c r="B497">
        <f>IF(INDEX('Data Entry'!$H$5:$BE$10004,497-4,'Visual SPC'!$B$3)="",0,IF(AND(OR('Visual SPC'!$C$4="",'Data Entry'!$C497&gt;='Visual SPC'!$C$4),OR('Visual SPC'!$E$4="",'Data Entry'!$C497&lt;='Visual SPC'!$E$4),OR('Visual SPC'!$G$4="",'Data Entry'!$D497='Visual SPC'!$G$4),OR('Visual SPC'!$I$4="",'Data Entry'!$E497='Visual SPC'!$I$4),OR('Visual SPC'!$K$4="",'Data Entry'!$F497='Visual SPC'!$K$4)),1,0))</f>
        <v/>
      </c>
      <c r="C497">
        <f>C496+B497</f>
        <v/>
      </c>
      <c r="D497">
        <f>IF(B497=1,INDEX('Data Entry'!$H$5:$BE$10004,497-4,'Visual SPC'!$B$3),"")</f>
        <v/>
      </c>
      <c r="E497">
        <f>IF(B497=1,D497,E496)</f>
        <v/>
      </c>
      <c r="F497">
        <f>IF(AND(B497=1,C497&gt;1,E496&lt;&gt;""),ABS(D497-E496),"")</f>
        <v/>
      </c>
    </row>
    <row r="498">
      <c r="A498" t="n">
        <v>498</v>
      </c>
      <c r="B498">
        <f>IF(INDEX('Data Entry'!$H$5:$BE$10004,498-4,'Visual SPC'!$B$3)="",0,IF(AND(OR('Visual SPC'!$C$4="",'Data Entry'!$C498&gt;='Visual SPC'!$C$4),OR('Visual SPC'!$E$4="",'Data Entry'!$C498&lt;='Visual SPC'!$E$4),OR('Visual SPC'!$G$4="",'Data Entry'!$D498='Visual SPC'!$G$4),OR('Visual SPC'!$I$4="",'Data Entry'!$E498='Visual SPC'!$I$4),OR('Visual SPC'!$K$4="",'Data Entry'!$F498='Visual SPC'!$K$4)),1,0))</f>
        <v/>
      </c>
      <c r="C498">
        <f>C497+B498</f>
        <v/>
      </c>
      <c r="D498">
        <f>IF(B498=1,INDEX('Data Entry'!$H$5:$BE$10004,498-4,'Visual SPC'!$B$3),"")</f>
        <v/>
      </c>
      <c r="E498">
        <f>IF(B498=1,D498,E497)</f>
        <v/>
      </c>
      <c r="F498">
        <f>IF(AND(B498=1,C498&gt;1,E497&lt;&gt;""),ABS(D498-E497),"")</f>
        <v/>
      </c>
    </row>
    <row r="499">
      <c r="A499" t="n">
        <v>499</v>
      </c>
      <c r="B499">
        <f>IF(INDEX('Data Entry'!$H$5:$BE$10004,499-4,'Visual SPC'!$B$3)="",0,IF(AND(OR('Visual SPC'!$C$4="",'Data Entry'!$C499&gt;='Visual SPC'!$C$4),OR('Visual SPC'!$E$4="",'Data Entry'!$C499&lt;='Visual SPC'!$E$4),OR('Visual SPC'!$G$4="",'Data Entry'!$D499='Visual SPC'!$G$4),OR('Visual SPC'!$I$4="",'Data Entry'!$E499='Visual SPC'!$I$4),OR('Visual SPC'!$K$4="",'Data Entry'!$F499='Visual SPC'!$K$4)),1,0))</f>
        <v/>
      </c>
      <c r="C499">
        <f>C498+B499</f>
        <v/>
      </c>
      <c r="D499">
        <f>IF(B499=1,INDEX('Data Entry'!$H$5:$BE$10004,499-4,'Visual SPC'!$B$3),"")</f>
        <v/>
      </c>
      <c r="E499">
        <f>IF(B499=1,D499,E498)</f>
        <v/>
      </c>
      <c r="F499">
        <f>IF(AND(B499=1,C499&gt;1,E498&lt;&gt;""),ABS(D499-E498),"")</f>
        <v/>
      </c>
    </row>
    <row r="500">
      <c r="A500" t="n">
        <v>500</v>
      </c>
      <c r="B500">
        <f>IF(INDEX('Data Entry'!$H$5:$BE$10004,500-4,'Visual SPC'!$B$3)="",0,IF(AND(OR('Visual SPC'!$C$4="",'Data Entry'!$C500&gt;='Visual SPC'!$C$4),OR('Visual SPC'!$E$4="",'Data Entry'!$C500&lt;='Visual SPC'!$E$4),OR('Visual SPC'!$G$4="",'Data Entry'!$D500='Visual SPC'!$G$4),OR('Visual SPC'!$I$4="",'Data Entry'!$E500='Visual SPC'!$I$4),OR('Visual SPC'!$K$4="",'Data Entry'!$F500='Visual SPC'!$K$4)),1,0))</f>
        <v/>
      </c>
      <c r="C500">
        <f>C499+B500</f>
        <v/>
      </c>
      <c r="D500">
        <f>IF(B500=1,INDEX('Data Entry'!$H$5:$BE$10004,500-4,'Visual SPC'!$B$3),"")</f>
        <v/>
      </c>
      <c r="E500">
        <f>IF(B500=1,D500,E499)</f>
        <v/>
      </c>
      <c r="F500">
        <f>IF(AND(B500=1,C500&gt;1,E499&lt;&gt;""),ABS(D500-E499),"")</f>
        <v/>
      </c>
    </row>
    <row r="501">
      <c r="A501" t="n">
        <v>501</v>
      </c>
      <c r="B501">
        <f>IF(INDEX('Data Entry'!$H$5:$BE$10004,501-4,'Visual SPC'!$B$3)="",0,IF(AND(OR('Visual SPC'!$C$4="",'Data Entry'!$C501&gt;='Visual SPC'!$C$4),OR('Visual SPC'!$E$4="",'Data Entry'!$C501&lt;='Visual SPC'!$E$4),OR('Visual SPC'!$G$4="",'Data Entry'!$D501='Visual SPC'!$G$4),OR('Visual SPC'!$I$4="",'Data Entry'!$E501='Visual SPC'!$I$4),OR('Visual SPC'!$K$4="",'Data Entry'!$F501='Visual SPC'!$K$4)),1,0))</f>
        <v/>
      </c>
      <c r="C501">
        <f>C500+B501</f>
        <v/>
      </c>
      <c r="D501">
        <f>IF(B501=1,INDEX('Data Entry'!$H$5:$BE$10004,501-4,'Visual SPC'!$B$3),"")</f>
        <v/>
      </c>
      <c r="E501">
        <f>IF(B501=1,D501,E500)</f>
        <v/>
      </c>
      <c r="F501">
        <f>IF(AND(B501=1,C501&gt;1,E500&lt;&gt;""),ABS(D501-E500),"")</f>
        <v/>
      </c>
    </row>
    <row r="502">
      <c r="A502" t="n">
        <v>502</v>
      </c>
      <c r="B502">
        <f>IF(INDEX('Data Entry'!$H$5:$BE$10004,502-4,'Visual SPC'!$B$3)="",0,IF(AND(OR('Visual SPC'!$C$4="",'Data Entry'!$C502&gt;='Visual SPC'!$C$4),OR('Visual SPC'!$E$4="",'Data Entry'!$C502&lt;='Visual SPC'!$E$4),OR('Visual SPC'!$G$4="",'Data Entry'!$D502='Visual SPC'!$G$4),OR('Visual SPC'!$I$4="",'Data Entry'!$E502='Visual SPC'!$I$4),OR('Visual SPC'!$K$4="",'Data Entry'!$F502='Visual SPC'!$K$4)),1,0))</f>
        <v/>
      </c>
      <c r="C502">
        <f>C501+B502</f>
        <v/>
      </c>
      <c r="D502">
        <f>IF(B502=1,INDEX('Data Entry'!$H$5:$BE$10004,502-4,'Visual SPC'!$B$3),"")</f>
        <v/>
      </c>
      <c r="E502">
        <f>IF(B502=1,D502,E501)</f>
        <v/>
      </c>
      <c r="F502">
        <f>IF(AND(B502=1,C502&gt;1,E501&lt;&gt;""),ABS(D502-E501),"")</f>
        <v/>
      </c>
    </row>
    <row r="503">
      <c r="A503" t="n">
        <v>503</v>
      </c>
      <c r="B503">
        <f>IF(INDEX('Data Entry'!$H$5:$BE$10004,503-4,'Visual SPC'!$B$3)="",0,IF(AND(OR('Visual SPC'!$C$4="",'Data Entry'!$C503&gt;='Visual SPC'!$C$4),OR('Visual SPC'!$E$4="",'Data Entry'!$C503&lt;='Visual SPC'!$E$4),OR('Visual SPC'!$G$4="",'Data Entry'!$D503='Visual SPC'!$G$4),OR('Visual SPC'!$I$4="",'Data Entry'!$E503='Visual SPC'!$I$4),OR('Visual SPC'!$K$4="",'Data Entry'!$F503='Visual SPC'!$K$4)),1,0))</f>
        <v/>
      </c>
      <c r="C503">
        <f>C502+B503</f>
        <v/>
      </c>
      <c r="D503">
        <f>IF(B503=1,INDEX('Data Entry'!$H$5:$BE$10004,503-4,'Visual SPC'!$B$3),"")</f>
        <v/>
      </c>
      <c r="E503">
        <f>IF(B503=1,D503,E502)</f>
        <v/>
      </c>
      <c r="F503">
        <f>IF(AND(B503=1,C503&gt;1,E502&lt;&gt;""),ABS(D503-E502),"")</f>
        <v/>
      </c>
    </row>
    <row r="504">
      <c r="A504" t="n">
        <v>504</v>
      </c>
      <c r="B504">
        <f>IF(INDEX('Data Entry'!$H$5:$BE$10004,504-4,'Visual SPC'!$B$3)="",0,IF(AND(OR('Visual SPC'!$C$4="",'Data Entry'!$C504&gt;='Visual SPC'!$C$4),OR('Visual SPC'!$E$4="",'Data Entry'!$C504&lt;='Visual SPC'!$E$4),OR('Visual SPC'!$G$4="",'Data Entry'!$D504='Visual SPC'!$G$4),OR('Visual SPC'!$I$4="",'Data Entry'!$E504='Visual SPC'!$I$4),OR('Visual SPC'!$K$4="",'Data Entry'!$F504='Visual SPC'!$K$4)),1,0))</f>
        <v/>
      </c>
      <c r="C504">
        <f>C503+B504</f>
        <v/>
      </c>
      <c r="D504">
        <f>IF(B504=1,INDEX('Data Entry'!$H$5:$BE$10004,504-4,'Visual SPC'!$B$3),"")</f>
        <v/>
      </c>
      <c r="E504">
        <f>IF(B504=1,D504,E503)</f>
        <v/>
      </c>
      <c r="F504">
        <f>IF(AND(B504=1,C504&gt;1,E503&lt;&gt;""),ABS(D504-E503),"")</f>
        <v/>
      </c>
    </row>
    <row r="505">
      <c r="A505" t="n">
        <v>505</v>
      </c>
      <c r="B505">
        <f>IF(INDEX('Data Entry'!$H$5:$BE$10004,505-4,'Visual SPC'!$B$3)="",0,IF(AND(OR('Visual SPC'!$C$4="",'Data Entry'!$C505&gt;='Visual SPC'!$C$4),OR('Visual SPC'!$E$4="",'Data Entry'!$C505&lt;='Visual SPC'!$E$4),OR('Visual SPC'!$G$4="",'Data Entry'!$D505='Visual SPC'!$G$4),OR('Visual SPC'!$I$4="",'Data Entry'!$E505='Visual SPC'!$I$4),OR('Visual SPC'!$K$4="",'Data Entry'!$F505='Visual SPC'!$K$4)),1,0))</f>
        <v/>
      </c>
      <c r="C505">
        <f>C504+B505</f>
        <v/>
      </c>
      <c r="D505">
        <f>IF(B505=1,INDEX('Data Entry'!$H$5:$BE$10004,505-4,'Visual SPC'!$B$3),"")</f>
        <v/>
      </c>
      <c r="E505">
        <f>IF(B505=1,D505,E504)</f>
        <v/>
      </c>
      <c r="F505">
        <f>IF(AND(B505=1,C505&gt;1,E504&lt;&gt;""),ABS(D505-E504),"")</f>
        <v/>
      </c>
    </row>
    <row r="506">
      <c r="A506" t="n">
        <v>506</v>
      </c>
      <c r="B506">
        <f>IF(INDEX('Data Entry'!$H$5:$BE$10004,506-4,'Visual SPC'!$B$3)="",0,IF(AND(OR('Visual SPC'!$C$4="",'Data Entry'!$C506&gt;='Visual SPC'!$C$4),OR('Visual SPC'!$E$4="",'Data Entry'!$C506&lt;='Visual SPC'!$E$4),OR('Visual SPC'!$G$4="",'Data Entry'!$D506='Visual SPC'!$G$4),OR('Visual SPC'!$I$4="",'Data Entry'!$E506='Visual SPC'!$I$4),OR('Visual SPC'!$K$4="",'Data Entry'!$F506='Visual SPC'!$K$4)),1,0))</f>
        <v/>
      </c>
      <c r="C506">
        <f>C505+B506</f>
        <v/>
      </c>
      <c r="D506">
        <f>IF(B506=1,INDEX('Data Entry'!$H$5:$BE$10004,506-4,'Visual SPC'!$B$3),"")</f>
        <v/>
      </c>
      <c r="E506">
        <f>IF(B506=1,D506,E505)</f>
        <v/>
      </c>
      <c r="F506">
        <f>IF(AND(B506=1,C506&gt;1,E505&lt;&gt;""),ABS(D506-E505),"")</f>
        <v/>
      </c>
    </row>
    <row r="507">
      <c r="A507" t="n">
        <v>507</v>
      </c>
      <c r="B507">
        <f>IF(INDEX('Data Entry'!$H$5:$BE$10004,507-4,'Visual SPC'!$B$3)="",0,IF(AND(OR('Visual SPC'!$C$4="",'Data Entry'!$C507&gt;='Visual SPC'!$C$4),OR('Visual SPC'!$E$4="",'Data Entry'!$C507&lt;='Visual SPC'!$E$4),OR('Visual SPC'!$G$4="",'Data Entry'!$D507='Visual SPC'!$G$4),OR('Visual SPC'!$I$4="",'Data Entry'!$E507='Visual SPC'!$I$4),OR('Visual SPC'!$K$4="",'Data Entry'!$F507='Visual SPC'!$K$4)),1,0))</f>
        <v/>
      </c>
      <c r="C507">
        <f>C506+B507</f>
        <v/>
      </c>
      <c r="D507">
        <f>IF(B507=1,INDEX('Data Entry'!$H$5:$BE$10004,507-4,'Visual SPC'!$B$3),"")</f>
        <v/>
      </c>
      <c r="E507">
        <f>IF(B507=1,D507,E506)</f>
        <v/>
      </c>
      <c r="F507">
        <f>IF(AND(B507=1,C507&gt;1,E506&lt;&gt;""),ABS(D507-E506),"")</f>
        <v/>
      </c>
    </row>
    <row r="508">
      <c r="A508" t="n">
        <v>508</v>
      </c>
      <c r="B508">
        <f>IF(INDEX('Data Entry'!$H$5:$BE$10004,508-4,'Visual SPC'!$B$3)="",0,IF(AND(OR('Visual SPC'!$C$4="",'Data Entry'!$C508&gt;='Visual SPC'!$C$4),OR('Visual SPC'!$E$4="",'Data Entry'!$C508&lt;='Visual SPC'!$E$4),OR('Visual SPC'!$G$4="",'Data Entry'!$D508='Visual SPC'!$G$4),OR('Visual SPC'!$I$4="",'Data Entry'!$E508='Visual SPC'!$I$4),OR('Visual SPC'!$K$4="",'Data Entry'!$F508='Visual SPC'!$K$4)),1,0))</f>
        <v/>
      </c>
      <c r="C508">
        <f>C507+B508</f>
        <v/>
      </c>
      <c r="D508">
        <f>IF(B508=1,INDEX('Data Entry'!$H$5:$BE$10004,508-4,'Visual SPC'!$B$3),"")</f>
        <v/>
      </c>
      <c r="E508">
        <f>IF(B508=1,D508,E507)</f>
        <v/>
      </c>
      <c r="F508">
        <f>IF(AND(B508=1,C508&gt;1,E507&lt;&gt;""),ABS(D508-E507),"")</f>
        <v/>
      </c>
    </row>
    <row r="509">
      <c r="A509" t="n">
        <v>509</v>
      </c>
      <c r="B509">
        <f>IF(INDEX('Data Entry'!$H$5:$BE$10004,509-4,'Visual SPC'!$B$3)="",0,IF(AND(OR('Visual SPC'!$C$4="",'Data Entry'!$C509&gt;='Visual SPC'!$C$4),OR('Visual SPC'!$E$4="",'Data Entry'!$C509&lt;='Visual SPC'!$E$4),OR('Visual SPC'!$G$4="",'Data Entry'!$D509='Visual SPC'!$G$4),OR('Visual SPC'!$I$4="",'Data Entry'!$E509='Visual SPC'!$I$4),OR('Visual SPC'!$K$4="",'Data Entry'!$F509='Visual SPC'!$K$4)),1,0))</f>
        <v/>
      </c>
      <c r="C509">
        <f>C508+B509</f>
        <v/>
      </c>
      <c r="D509">
        <f>IF(B509=1,INDEX('Data Entry'!$H$5:$BE$10004,509-4,'Visual SPC'!$B$3),"")</f>
        <v/>
      </c>
      <c r="E509">
        <f>IF(B509=1,D509,E508)</f>
        <v/>
      </c>
      <c r="F509">
        <f>IF(AND(B509=1,C509&gt;1,E508&lt;&gt;""),ABS(D509-E508),"")</f>
        <v/>
      </c>
    </row>
    <row r="510">
      <c r="A510" t="n">
        <v>510</v>
      </c>
      <c r="B510">
        <f>IF(INDEX('Data Entry'!$H$5:$BE$10004,510-4,'Visual SPC'!$B$3)="",0,IF(AND(OR('Visual SPC'!$C$4="",'Data Entry'!$C510&gt;='Visual SPC'!$C$4),OR('Visual SPC'!$E$4="",'Data Entry'!$C510&lt;='Visual SPC'!$E$4),OR('Visual SPC'!$G$4="",'Data Entry'!$D510='Visual SPC'!$G$4),OR('Visual SPC'!$I$4="",'Data Entry'!$E510='Visual SPC'!$I$4),OR('Visual SPC'!$K$4="",'Data Entry'!$F510='Visual SPC'!$K$4)),1,0))</f>
        <v/>
      </c>
      <c r="C510">
        <f>C509+B510</f>
        <v/>
      </c>
      <c r="D510">
        <f>IF(B510=1,INDEX('Data Entry'!$H$5:$BE$10004,510-4,'Visual SPC'!$B$3),"")</f>
        <v/>
      </c>
      <c r="E510">
        <f>IF(B510=1,D510,E509)</f>
        <v/>
      </c>
      <c r="F510">
        <f>IF(AND(B510=1,C510&gt;1,E509&lt;&gt;""),ABS(D510-E509),"")</f>
        <v/>
      </c>
    </row>
    <row r="511">
      <c r="A511" t="n">
        <v>511</v>
      </c>
      <c r="B511">
        <f>IF(INDEX('Data Entry'!$H$5:$BE$10004,511-4,'Visual SPC'!$B$3)="",0,IF(AND(OR('Visual SPC'!$C$4="",'Data Entry'!$C511&gt;='Visual SPC'!$C$4),OR('Visual SPC'!$E$4="",'Data Entry'!$C511&lt;='Visual SPC'!$E$4),OR('Visual SPC'!$G$4="",'Data Entry'!$D511='Visual SPC'!$G$4),OR('Visual SPC'!$I$4="",'Data Entry'!$E511='Visual SPC'!$I$4),OR('Visual SPC'!$K$4="",'Data Entry'!$F511='Visual SPC'!$K$4)),1,0))</f>
        <v/>
      </c>
      <c r="C511">
        <f>C510+B511</f>
        <v/>
      </c>
      <c r="D511">
        <f>IF(B511=1,INDEX('Data Entry'!$H$5:$BE$10004,511-4,'Visual SPC'!$B$3),"")</f>
        <v/>
      </c>
      <c r="E511">
        <f>IF(B511=1,D511,E510)</f>
        <v/>
      </c>
      <c r="F511">
        <f>IF(AND(B511=1,C511&gt;1,E510&lt;&gt;""),ABS(D511-E510),"")</f>
        <v/>
      </c>
    </row>
    <row r="512">
      <c r="A512" t="n">
        <v>512</v>
      </c>
      <c r="B512">
        <f>IF(INDEX('Data Entry'!$H$5:$BE$10004,512-4,'Visual SPC'!$B$3)="",0,IF(AND(OR('Visual SPC'!$C$4="",'Data Entry'!$C512&gt;='Visual SPC'!$C$4),OR('Visual SPC'!$E$4="",'Data Entry'!$C512&lt;='Visual SPC'!$E$4),OR('Visual SPC'!$G$4="",'Data Entry'!$D512='Visual SPC'!$G$4),OR('Visual SPC'!$I$4="",'Data Entry'!$E512='Visual SPC'!$I$4),OR('Visual SPC'!$K$4="",'Data Entry'!$F512='Visual SPC'!$K$4)),1,0))</f>
        <v/>
      </c>
      <c r="C512">
        <f>C511+B512</f>
        <v/>
      </c>
      <c r="D512">
        <f>IF(B512=1,INDEX('Data Entry'!$H$5:$BE$10004,512-4,'Visual SPC'!$B$3),"")</f>
        <v/>
      </c>
      <c r="E512">
        <f>IF(B512=1,D512,E511)</f>
        <v/>
      </c>
      <c r="F512">
        <f>IF(AND(B512=1,C512&gt;1,E511&lt;&gt;""),ABS(D512-E511),"")</f>
        <v/>
      </c>
    </row>
    <row r="513">
      <c r="A513" t="n">
        <v>513</v>
      </c>
      <c r="B513">
        <f>IF(INDEX('Data Entry'!$H$5:$BE$10004,513-4,'Visual SPC'!$B$3)="",0,IF(AND(OR('Visual SPC'!$C$4="",'Data Entry'!$C513&gt;='Visual SPC'!$C$4),OR('Visual SPC'!$E$4="",'Data Entry'!$C513&lt;='Visual SPC'!$E$4),OR('Visual SPC'!$G$4="",'Data Entry'!$D513='Visual SPC'!$G$4),OR('Visual SPC'!$I$4="",'Data Entry'!$E513='Visual SPC'!$I$4),OR('Visual SPC'!$K$4="",'Data Entry'!$F513='Visual SPC'!$K$4)),1,0))</f>
        <v/>
      </c>
      <c r="C513">
        <f>C512+B513</f>
        <v/>
      </c>
      <c r="D513">
        <f>IF(B513=1,INDEX('Data Entry'!$H$5:$BE$10004,513-4,'Visual SPC'!$B$3),"")</f>
        <v/>
      </c>
      <c r="E513">
        <f>IF(B513=1,D513,E512)</f>
        <v/>
      </c>
      <c r="F513">
        <f>IF(AND(B513=1,C513&gt;1,E512&lt;&gt;""),ABS(D513-E512),"")</f>
        <v/>
      </c>
    </row>
    <row r="514">
      <c r="A514" t="n">
        <v>514</v>
      </c>
      <c r="B514">
        <f>IF(INDEX('Data Entry'!$H$5:$BE$10004,514-4,'Visual SPC'!$B$3)="",0,IF(AND(OR('Visual SPC'!$C$4="",'Data Entry'!$C514&gt;='Visual SPC'!$C$4),OR('Visual SPC'!$E$4="",'Data Entry'!$C514&lt;='Visual SPC'!$E$4),OR('Visual SPC'!$G$4="",'Data Entry'!$D514='Visual SPC'!$G$4),OR('Visual SPC'!$I$4="",'Data Entry'!$E514='Visual SPC'!$I$4),OR('Visual SPC'!$K$4="",'Data Entry'!$F514='Visual SPC'!$K$4)),1,0))</f>
        <v/>
      </c>
      <c r="C514">
        <f>C513+B514</f>
        <v/>
      </c>
      <c r="D514">
        <f>IF(B514=1,INDEX('Data Entry'!$H$5:$BE$10004,514-4,'Visual SPC'!$B$3),"")</f>
        <v/>
      </c>
      <c r="E514">
        <f>IF(B514=1,D514,E513)</f>
        <v/>
      </c>
      <c r="F514">
        <f>IF(AND(B514=1,C514&gt;1,E513&lt;&gt;""),ABS(D514-E513),"")</f>
        <v/>
      </c>
    </row>
    <row r="515">
      <c r="A515" t="n">
        <v>515</v>
      </c>
      <c r="B515">
        <f>IF(INDEX('Data Entry'!$H$5:$BE$10004,515-4,'Visual SPC'!$B$3)="",0,IF(AND(OR('Visual SPC'!$C$4="",'Data Entry'!$C515&gt;='Visual SPC'!$C$4),OR('Visual SPC'!$E$4="",'Data Entry'!$C515&lt;='Visual SPC'!$E$4),OR('Visual SPC'!$G$4="",'Data Entry'!$D515='Visual SPC'!$G$4),OR('Visual SPC'!$I$4="",'Data Entry'!$E515='Visual SPC'!$I$4),OR('Visual SPC'!$K$4="",'Data Entry'!$F515='Visual SPC'!$K$4)),1,0))</f>
        <v/>
      </c>
      <c r="C515">
        <f>C514+B515</f>
        <v/>
      </c>
      <c r="D515">
        <f>IF(B515=1,INDEX('Data Entry'!$H$5:$BE$10004,515-4,'Visual SPC'!$B$3),"")</f>
        <v/>
      </c>
      <c r="E515">
        <f>IF(B515=1,D515,E514)</f>
        <v/>
      </c>
      <c r="F515">
        <f>IF(AND(B515=1,C515&gt;1,E514&lt;&gt;""),ABS(D515-E514),"")</f>
        <v/>
      </c>
    </row>
    <row r="516">
      <c r="A516" t="n">
        <v>516</v>
      </c>
      <c r="B516">
        <f>IF(INDEX('Data Entry'!$H$5:$BE$10004,516-4,'Visual SPC'!$B$3)="",0,IF(AND(OR('Visual SPC'!$C$4="",'Data Entry'!$C516&gt;='Visual SPC'!$C$4),OR('Visual SPC'!$E$4="",'Data Entry'!$C516&lt;='Visual SPC'!$E$4),OR('Visual SPC'!$G$4="",'Data Entry'!$D516='Visual SPC'!$G$4),OR('Visual SPC'!$I$4="",'Data Entry'!$E516='Visual SPC'!$I$4),OR('Visual SPC'!$K$4="",'Data Entry'!$F516='Visual SPC'!$K$4)),1,0))</f>
        <v/>
      </c>
      <c r="C516">
        <f>C515+B516</f>
        <v/>
      </c>
      <c r="D516">
        <f>IF(B516=1,INDEX('Data Entry'!$H$5:$BE$10004,516-4,'Visual SPC'!$B$3),"")</f>
        <v/>
      </c>
      <c r="E516">
        <f>IF(B516=1,D516,E515)</f>
        <v/>
      </c>
      <c r="F516">
        <f>IF(AND(B516=1,C516&gt;1,E515&lt;&gt;""),ABS(D516-E515),"")</f>
        <v/>
      </c>
    </row>
    <row r="517">
      <c r="A517" t="n">
        <v>517</v>
      </c>
      <c r="B517">
        <f>IF(INDEX('Data Entry'!$H$5:$BE$10004,517-4,'Visual SPC'!$B$3)="",0,IF(AND(OR('Visual SPC'!$C$4="",'Data Entry'!$C517&gt;='Visual SPC'!$C$4),OR('Visual SPC'!$E$4="",'Data Entry'!$C517&lt;='Visual SPC'!$E$4),OR('Visual SPC'!$G$4="",'Data Entry'!$D517='Visual SPC'!$G$4),OR('Visual SPC'!$I$4="",'Data Entry'!$E517='Visual SPC'!$I$4),OR('Visual SPC'!$K$4="",'Data Entry'!$F517='Visual SPC'!$K$4)),1,0))</f>
        <v/>
      </c>
      <c r="C517">
        <f>C516+B517</f>
        <v/>
      </c>
      <c r="D517">
        <f>IF(B517=1,INDEX('Data Entry'!$H$5:$BE$10004,517-4,'Visual SPC'!$B$3),"")</f>
        <v/>
      </c>
      <c r="E517">
        <f>IF(B517=1,D517,E516)</f>
        <v/>
      </c>
      <c r="F517">
        <f>IF(AND(B517=1,C517&gt;1,E516&lt;&gt;""),ABS(D517-E516),"")</f>
        <v/>
      </c>
    </row>
    <row r="518">
      <c r="A518" t="n">
        <v>518</v>
      </c>
      <c r="B518">
        <f>IF(INDEX('Data Entry'!$H$5:$BE$10004,518-4,'Visual SPC'!$B$3)="",0,IF(AND(OR('Visual SPC'!$C$4="",'Data Entry'!$C518&gt;='Visual SPC'!$C$4),OR('Visual SPC'!$E$4="",'Data Entry'!$C518&lt;='Visual SPC'!$E$4),OR('Visual SPC'!$G$4="",'Data Entry'!$D518='Visual SPC'!$G$4),OR('Visual SPC'!$I$4="",'Data Entry'!$E518='Visual SPC'!$I$4),OR('Visual SPC'!$K$4="",'Data Entry'!$F518='Visual SPC'!$K$4)),1,0))</f>
        <v/>
      </c>
      <c r="C518">
        <f>C517+B518</f>
        <v/>
      </c>
      <c r="D518">
        <f>IF(B518=1,INDEX('Data Entry'!$H$5:$BE$10004,518-4,'Visual SPC'!$B$3),"")</f>
        <v/>
      </c>
      <c r="E518">
        <f>IF(B518=1,D518,E517)</f>
        <v/>
      </c>
      <c r="F518">
        <f>IF(AND(B518=1,C518&gt;1,E517&lt;&gt;""),ABS(D518-E517),"")</f>
        <v/>
      </c>
    </row>
    <row r="519">
      <c r="A519" t="n">
        <v>519</v>
      </c>
      <c r="B519">
        <f>IF(INDEX('Data Entry'!$H$5:$BE$10004,519-4,'Visual SPC'!$B$3)="",0,IF(AND(OR('Visual SPC'!$C$4="",'Data Entry'!$C519&gt;='Visual SPC'!$C$4),OR('Visual SPC'!$E$4="",'Data Entry'!$C519&lt;='Visual SPC'!$E$4),OR('Visual SPC'!$G$4="",'Data Entry'!$D519='Visual SPC'!$G$4),OR('Visual SPC'!$I$4="",'Data Entry'!$E519='Visual SPC'!$I$4),OR('Visual SPC'!$K$4="",'Data Entry'!$F519='Visual SPC'!$K$4)),1,0))</f>
        <v/>
      </c>
      <c r="C519">
        <f>C518+B519</f>
        <v/>
      </c>
      <c r="D519">
        <f>IF(B519=1,INDEX('Data Entry'!$H$5:$BE$10004,519-4,'Visual SPC'!$B$3),"")</f>
        <v/>
      </c>
      <c r="E519">
        <f>IF(B519=1,D519,E518)</f>
        <v/>
      </c>
      <c r="F519">
        <f>IF(AND(B519=1,C519&gt;1,E518&lt;&gt;""),ABS(D519-E518),"")</f>
        <v/>
      </c>
    </row>
    <row r="520">
      <c r="A520" t="n">
        <v>520</v>
      </c>
      <c r="B520">
        <f>IF(INDEX('Data Entry'!$H$5:$BE$10004,520-4,'Visual SPC'!$B$3)="",0,IF(AND(OR('Visual SPC'!$C$4="",'Data Entry'!$C520&gt;='Visual SPC'!$C$4),OR('Visual SPC'!$E$4="",'Data Entry'!$C520&lt;='Visual SPC'!$E$4),OR('Visual SPC'!$G$4="",'Data Entry'!$D520='Visual SPC'!$G$4),OR('Visual SPC'!$I$4="",'Data Entry'!$E520='Visual SPC'!$I$4),OR('Visual SPC'!$K$4="",'Data Entry'!$F520='Visual SPC'!$K$4)),1,0))</f>
        <v/>
      </c>
      <c r="C520">
        <f>C519+B520</f>
        <v/>
      </c>
      <c r="D520">
        <f>IF(B520=1,INDEX('Data Entry'!$H$5:$BE$10004,520-4,'Visual SPC'!$B$3),"")</f>
        <v/>
      </c>
      <c r="E520">
        <f>IF(B520=1,D520,E519)</f>
        <v/>
      </c>
      <c r="F520">
        <f>IF(AND(B520=1,C520&gt;1,E519&lt;&gt;""),ABS(D520-E519),"")</f>
        <v/>
      </c>
    </row>
    <row r="521">
      <c r="A521" t="n">
        <v>521</v>
      </c>
      <c r="B521">
        <f>IF(INDEX('Data Entry'!$H$5:$BE$10004,521-4,'Visual SPC'!$B$3)="",0,IF(AND(OR('Visual SPC'!$C$4="",'Data Entry'!$C521&gt;='Visual SPC'!$C$4),OR('Visual SPC'!$E$4="",'Data Entry'!$C521&lt;='Visual SPC'!$E$4),OR('Visual SPC'!$G$4="",'Data Entry'!$D521='Visual SPC'!$G$4),OR('Visual SPC'!$I$4="",'Data Entry'!$E521='Visual SPC'!$I$4),OR('Visual SPC'!$K$4="",'Data Entry'!$F521='Visual SPC'!$K$4)),1,0))</f>
        <v/>
      </c>
      <c r="C521">
        <f>C520+B521</f>
        <v/>
      </c>
      <c r="D521">
        <f>IF(B521=1,INDEX('Data Entry'!$H$5:$BE$10004,521-4,'Visual SPC'!$B$3),"")</f>
        <v/>
      </c>
      <c r="E521">
        <f>IF(B521=1,D521,E520)</f>
        <v/>
      </c>
      <c r="F521">
        <f>IF(AND(B521=1,C521&gt;1,E520&lt;&gt;""),ABS(D521-E520),"")</f>
        <v/>
      </c>
    </row>
    <row r="522">
      <c r="A522" t="n">
        <v>522</v>
      </c>
      <c r="B522">
        <f>IF(INDEX('Data Entry'!$H$5:$BE$10004,522-4,'Visual SPC'!$B$3)="",0,IF(AND(OR('Visual SPC'!$C$4="",'Data Entry'!$C522&gt;='Visual SPC'!$C$4),OR('Visual SPC'!$E$4="",'Data Entry'!$C522&lt;='Visual SPC'!$E$4),OR('Visual SPC'!$G$4="",'Data Entry'!$D522='Visual SPC'!$G$4),OR('Visual SPC'!$I$4="",'Data Entry'!$E522='Visual SPC'!$I$4),OR('Visual SPC'!$K$4="",'Data Entry'!$F522='Visual SPC'!$K$4)),1,0))</f>
        <v/>
      </c>
      <c r="C522">
        <f>C521+B522</f>
        <v/>
      </c>
      <c r="D522">
        <f>IF(B522=1,INDEX('Data Entry'!$H$5:$BE$10004,522-4,'Visual SPC'!$B$3),"")</f>
        <v/>
      </c>
      <c r="E522">
        <f>IF(B522=1,D522,E521)</f>
        <v/>
      </c>
      <c r="F522">
        <f>IF(AND(B522=1,C522&gt;1,E521&lt;&gt;""),ABS(D522-E521),"")</f>
        <v/>
      </c>
    </row>
    <row r="523">
      <c r="A523" t="n">
        <v>523</v>
      </c>
      <c r="B523">
        <f>IF(INDEX('Data Entry'!$H$5:$BE$10004,523-4,'Visual SPC'!$B$3)="",0,IF(AND(OR('Visual SPC'!$C$4="",'Data Entry'!$C523&gt;='Visual SPC'!$C$4),OR('Visual SPC'!$E$4="",'Data Entry'!$C523&lt;='Visual SPC'!$E$4),OR('Visual SPC'!$G$4="",'Data Entry'!$D523='Visual SPC'!$G$4),OR('Visual SPC'!$I$4="",'Data Entry'!$E523='Visual SPC'!$I$4),OR('Visual SPC'!$K$4="",'Data Entry'!$F523='Visual SPC'!$K$4)),1,0))</f>
        <v/>
      </c>
      <c r="C523">
        <f>C522+B523</f>
        <v/>
      </c>
      <c r="D523">
        <f>IF(B523=1,INDEX('Data Entry'!$H$5:$BE$10004,523-4,'Visual SPC'!$B$3),"")</f>
        <v/>
      </c>
      <c r="E523">
        <f>IF(B523=1,D523,E522)</f>
        <v/>
      </c>
      <c r="F523">
        <f>IF(AND(B523=1,C523&gt;1,E522&lt;&gt;""),ABS(D523-E522),"")</f>
        <v/>
      </c>
    </row>
    <row r="524">
      <c r="A524" t="n">
        <v>524</v>
      </c>
      <c r="B524">
        <f>IF(INDEX('Data Entry'!$H$5:$BE$10004,524-4,'Visual SPC'!$B$3)="",0,IF(AND(OR('Visual SPC'!$C$4="",'Data Entry'!$C524&gt;='Visual SPC'!$C$4),OR('Visual SPC'!$E$4="",'Data Entry'!$C524&lt;='Visual SPC'!$E$4),OR('Visual SPC'!$G$4="",'Data Entry'!$D524='Visual SPC'!$G$4),OR('Visual SPC'!$I$4="",'Data Entry'!$E524='Visual SPC'!$I$4),OR('Visual SPC'!$K$4="",'Data Entry'!$F524='Visual SPC'!$K$4)),1,0))</f>
        <v/>
      </c>
      <c r="C524">
        <f>C523+B524</f>
        <v/>
      </c>
      <c r="D524">
        <f>IF(B524=1,INDEX('Data Entry'!$H$5:$BE$10004,524-4,'Visual SPC'!$B$3),"")</f>
        <v/>
      </c>
      <c r="E524">
        <f>IF(B524=1,D524,E523)</f>
        <v/>
      </c>
      <c r="F524">
        <f>IF(AND(B524=1,C524&gt;1,E523&lt;&gt;""),ABS(D524-E523),"")</f>
        <v/>
      </c>
    </row>
    <row r="525">
      <c r="A525" t="n">
        <v>525</v>
      </c>
      <c r="B525">
        <f>IF(INDEX('Data Entry'!$H$5:$BE$10004,525-4,'Visual SPC'!$B$3)="",0,IF(AND(OR('Visual SPC'!$C$4="",'Data Entry'!$C525&gt;='Visual SPC'!$C$4),OR('Visual SPC'!$E$4="",'Data Entry'!$C525&lt;='Visual SPC'!$E$4),OR('Visual SPC'!$G$4="",'Data Entry'!$D525='Visual SPC'!$G$4),OR('Visual SPC'!$I$4="",'Data Entry'!$E525='Visual SPC'!$I$4),OR('Visual SPC'!$K$4="",'Data Entry'!$F525='Visual SPC'!$K$4)),1,0))</f>
        <v/>
      </c>
      <c r="C525">
        <f>C524+B525</f>
        <v/>
      </c>
      <c r="D525">
        <f>IF(B525=1,INDEX('Data Entry'!$H$5:$BE$10004,525-4,'Visual SPC'!$B$3),"")</f>
        <v/>
      </c>
      <c r="E525">
        <f>IF(B525=1,D525,E524)</f>
        <v/>
      </c>
      <c r="F525">
        <f>IF(AND(B525=1,C525&gt;1,E524&lt;&gt;""),ABS(D525-E524),"")</f>
        <v/>
      </c>
    </row>
    <row r="526">
      <c r="A526" t="n">
        <v>526</v>
      </c>
      <c r="B526">
        <f>IF(INDEX('Data Entry'!$H$5:$BE$10004,526-4,'Visual SPC'!$B$3)="",0,IF(AND(OR('Visual SPC'!$C$4="",'Data Entry'!$C526&gt;='Visual SPC'!$C$4),OR('Visual SPC'!$E$4="",'Data Entry'!$C526&lt;='Visual SPC'!$E$4),OR('Visual SPC'!$G$4="",'Data Entry'!$D526='Visual SPC'!$G$4),OR('Visual SPC'!$I$4="",'Data Entry'!$E526='Visual SPC'!$I$4),OR('Visual SPC'!$K$4="",'Data Entry'!$F526='Visual SPC'!$K$4)),1,0))</f>
        <v/>
      </c>
      <c r="C526">
        <f>C525+B526</f>
        <v/>
      </c>
      <c r="D526">
        <f>IF(B526=1,INDEX('Data Entry'!$H$5:$BE$10004,526-4,'Visual SPC'!$B$3),"")</f>
        <v/>
      </c>
      <c r="E526">
        <f>IF(B526=1,D526,E525)</f>
        <v/>
      </c>
      <c r="F526">
        <f>IF(AND(B526=1,C526&gt;1,E525&lt;&gt;""),ABS(D526-E525),"")</f>
        <v/>
      </c>
    </row>
    <row r="527">
      <c r="A527" t="n">
        <v>527</v>
      </c>
      <c r="B527">
        <f>IF(INDEX('Data Entry'!$H$5:$BE$10004,527-4,'Visual SPC'!$B$3)="",0,IF(AND(OR('Visual SPC'!$C$4="",'Data Entry'!$C527&gt;='Visual SPC'!$C$4),OR('Visual SPC'!$E$4="",'Data Entry'!$C527&lt;='Visual SPC'!$E$4),OR('Visual SPC'!$G$4="",'Data Entry'!$D527='Visual SPC'!$G$4),OR('Visual SPC'!$I$4="",'Data Entry'!$E527='Visual SPC'!$I$4),OR('Visual SPC'!$K$4="",'Data Entry'!$F527='Visual SPC'!$K$4)),1,0))</f>
        <v/>
      </c>
      <c r="C527">
        <f>C526+B527</f>
        <v/>
      </c>
      <c r="D527">
        <f>IF(B527=1,INDEX('Data Entry'!$H$5:$BE$10004,527-4,'Visual SPC'!$B$3),"")</f>
        <v/>
      </c>
      <c r="E527">
        <f>IF(B527=1,D527,E526)</f>
        <v/>
      </c>
      <c r="F527">
        <f>IF(AND(B527=1,C527&gt;1,E526&lt;&gt;""),ABS(D527-E526),"")</f>
        <v/>
      </c>
    </row>
    <row r="528">
      <c r="A528" t="n">
        <v>528</v>
      </c>
      <c r="B528">
        <f>IF(INDEX('Data Entry'!$H$5:$BE$10004,528-4,'Visual SPC'!$B$3)="",0,IF(AND(OR('Visual SPC'!$C$4="",'Data Entry'!$C528&gt;='Visual SPC'!$C$4),OR('Visual SPC'!$E$4="",'Data Entry'!$C528&lt;='Visual SPC'!$E$4),OR('Visual SPC'!$G$4="",'Data Entry'!$D528='Visual SPC'!$G$4),OR('Visual SPC'!$I$4="",'Data Entry'!$E528='Visual SPC'!$I$4),OR('Visual SPC'!$K$4="",'Data Entry'!$F528='Visual SPC'!$K$4)),1,0))</f>
        <v/>
      </c>
      <c r="C528">
        <f>C527+B528</f>
        <v/>
      </c>
      <c r="D528">
        <f>IF(B528=1,INDEX('Data Entry'!$H$5:$BE$10004,528-4,'Visual SPC'!$B$3),"")</f>
        <v/>
      </c>
      <c r="E528">
        <f>IF(B528=1,D528,E527)</f>
        <v/>
      </c>
      <c r="F528">
        <f>IF(AND(B528=1,C528&gt;1,E527&lt;&gt;""),ABS(D528-E527),"")</f>
        <v/>
      </c>
    </row>
    <row r="529">
      <c r="A529" t="n">
        <v>529</v>
      </c>
      <c r="B529">
        <f>IF(INDEX('Data Entry'!$H$5:$BE$10004,529-4,'Visual SPC'!$B$3)="",0,IF(AND(OR('Visual SPC'!$C$4="",'Data Entry'!$C529&gt;='Visual SPC'!$C$4),OR('Visual SPC'!$E$4="",'Data Entry'!$C529&lt;='Visual SPC'!$E$4),OR('Visual SPC'!$G$4="",'Data Entry'!$D529='Visual SPC'!$G$4),OR('Visual SPC'!$I$4="",'Data Entry'!$E529='Visual SPC'!$I$4),OR('Visual SPC'!$K$4="",'Data Entry'!$F529='Visual SPC'!$K$4)),1,0))</f>
        <v/>
      </c>
      <c r="C529">
        <f>C528+B529</f>
        <v/>
      </c>
      <c r="D529">
        <f>IF(B529=1,INDEX('Data Entry'!$H$5:$BE$10004,529-4,'Visual SPC'!$B$3),"")</f>
        <v/>
      </c>
      <c r="E529">
        <f>IF(B529=1,D529,E528)</f>
        <v/>
      </c>
      <c r="F529">
        <f>IF(AND(B529=1,C529&gt;1,E528&lt;&gt;""),ABS(D529-E528),"")</f>
        <v/>
      </c>
    </row>
    <row r="530">
      <c r="A530" t="n">
        <v>530</v>
      </c>
      <c r="B530">
        <f>IF(INDEX('Data Entry'!$H$5:$BE$10004,530-4,'Visual SPC'!$B$3)="",0,IF(AND(OR('Visual SPC'!$C$4="",'Data Entry'!$C530&gt;='Visual SPC'!$C$4),OR('Visual SPC'!$E$4="",'Data Entry'!$C530&lt;='Visual SPC'!$E$4),OR('Visual SPC'!$G$4="",'Data Entry'!$D530='Visual SPC'!$G$4),OR('Visual SPC'!$I$4="",'Data Entry'!$E530='Visual SPC'!$I$4),OR('Visual SPC'!$K$4="",'Data Entry'!$F530='Visual SPC'!$K$4)),1,0))</f>
        <v/>
      </c>
      <c r="C530">
        <f>C529+B530</f>
        <v/>
      </c>
      <c r="D530">
        <f>IF(B530=1,INDEX('Data Entry'!$H$5:$BE$10004,530-4,'Visual SPC'!$B$3),"")</f>
        <v/>
      </c>
      <c r="E530">
        <f>IF(B530=1,D530,E529)</f>
        <v/>
      </c>
      <c r="F530">
        <f>IF(AND(B530=1,C530&gt;1,E529&lt;&gt;""),ABS(D530-E529),"")</f>
        <v/>
      </c>
    </row>
    <row r="531">
      <c r="A531" t="n">
        <v>531</v>
      </c>
      <c r="B531">
        <f>IF(INDEX('Data Entry'!$H$5:$BE$10004,531-4,'Visual SPC'!$B$3)="",0,IF(AND(OR('Visual SPC'!$C$4="",'Data Entry'!$C531&gt;='Visual SPC'!$C$4),OR('Visual SPC'!$E$4="",'Data Entry'!$C531&lt;='Visual SPC'!$E$4),OR('Visual SPC'!$G$4="",'Data Entry'!$D531='Visual SPC'!$G$4),OR('Visual SPC'!$I$4="",'Data Entry'!$E531='Visual SPC'!$I$4),OR('Visual SPC'!$K$4="",'Data Entry'!$F531='Visual SPC'!$K$4)),1,0))</f>
        <v/>
      </c>
      <c r="C531">
        <f>C530+B531</f>
        <v/>
      </c>
      <c r="D531">
        <f>IF(B531=1,INDEX('Data Entry'!$H$5:$BE$10004,531-4,'Visual SPC'!$B$3),"")</f>
        <v/>
      </c>
      <c r="E531">
        <f>IF(B531=1,D531,E530)</f>
        <v/>
      </c>
      <c r="F531">
        <f>IF(AND(B531=1,C531&gt;1,E530&lt;&gt;""),ABS(D531-E530),"")</f>
        <v/>
      </c>
    </row>
    <row r="532">
      <c r="A532" t="n">
        <v>532</v>
      </c>
      <c r="B532">
        <f>IF(INDEX('Data Entry'!$H$5:$BE$10004,532-4,'Visual SPC'!$B$3)="",0,IF(AND(OR('Visual SPC'!$C$4="",'Data Entry'!$C532&gt;='Visual SPC'!$C$4),OR('Visual SPC'!$E$4="",'Data Entry'!$C532&lt;='Visual SPC'!$E$4),OR('Visual SPC'!$G$4="",'Data Entry'!$D532='Visual SPC'!$G$4),OR('Visual SPC'!$I$4="",'Data Entry'!$E532='Visual SPC'!$I$4),OR('Visual SPC'!$K$4="",'Data Entry'!$F532='Visual SPC'!$K$4)),1,0))</f>
        <v/>
      </c>
      <c r="C532">
        <f>C531+B532</f>
        <v/>
      </c>
      <c r="D532">
        <f>IF(B532=1,INDEX('Data Entry'!$H$5:$BE$10004,532-4,'Visual SPC'!$B$3),"")</f>
        <v/>
      </c>
      <c r="E532">
        <f>IF(B532=1,D532,E531)</f>
        <v/>
      </c>
      <c r="F532">
        <f>IF(AND(B532=1,C532&gt;1,E531&lt;&gt;""),ABS(D532-E531),"")</f>
        <v/>
      </c>
    </row>
    <row r="533">
      <c r="A533" t="n">
        <v>533</v>
      </c>
      <c r="B533">
        <f>IF(INDEX('Data Entry'!$H$5:$BE$10004,533-4,'Visual SPC'!$B$3)="",0,IF(AND(OR('Visual SPC'!$C$4="",'Data Entry'!$C533&gt;='Visual SPC'!$C$4),OR('Visual SPC'!$E$4="",'Data Entry'!$C533&lt;='Visual SPC'!$E$4),OR('Visual SPC'!$G$4="",'Data Entry'!$D533='Visual SPC'!$G$4),OR('Visual SPC'!$I$4="",'Data Entry'!$E533='Visual SPC'!$I$4),OR('Visual SPC'!$K$4="",'Data Entry'!$F533='Visual SPC'!$K$4)),1,0))</f>
        <v/>
      </c>
      <c r="C533">
        <f>C532+B533</f>
        <v/>
      </c>
      <c r="D533">
        <f>IF(B533=1,INDEX('Data Entry'!$H$5:$BE$10004,533-4,'Visual SPC'!$B$3),"")</f>
        <v/>
      </c>
      <c r="E533">
        <f>IF(B533=1,D533,E532)</f>
        <v/>
      </c>
      <c r="F533">
        <f>IF(AND(B533=1,C533&gt;1,E532&lt;&gt;""),ABS(D533-E532),"")</f>
        <v/>
      </c>
    </row>
    <row r="534">
      <c r="A534" t="n">
        <v>534</v>
      </c>
      <c r="B534">
        <f>IF(INDEX('Data Entry'!$H$5:$BE$10004,534-4,'Visual SPC'!$B$3)="",0,IF(AND(OR('Visual SPC'!$C$4="",'Data Entry'!$C534&gt;='Visual SPC'!$C$4),OR('Visual SPC'!$E$4="",'Data Entry'!$C534&lt;='Visual SPC'!$E$4),OR('Visual SPC'!$G$4="",'Data Entry'!$D534='Visual SPC'!$G$4),OR('Visual SPC'!$I$4="",'Data Entry'!$E534='Visual SPC'!$I$4),OR('Visual SPC'!$K$4="",'Data Entry'!$F534='Visual SPC'!$K$4)),1,0))</f>
        <v/>
      </c>
      <c r="C534">
        <f>C533+B534</f>
        <v/>
      </c>
      <c r="D534">
        <f>IF(B534=1,INDEX('Data Entry'!$H$5:$BE$10004,534-4,'Visual SPC'!$B$3),"")</f>
        <v/>
      </c>
      <c r="E534">
        <f>IF(B534=1,D534,E533)</f>
        <v/>
      </c>
      <c r="F534">
        <f>IF(AND(B534=1,C534&gt;1,E533&lt;&gt;""),ABS(D534-E533),"")</f>
        <v/>
      </c>
    </row>
    <row r="535">
      <c r="A535" t="n">
        <v>535</v>
      </c>
      <c r="B535">
        <f>IF(INDEX('Data Entry'!$H$5:$BE$10004,535-4,'Visual SPC'!$B$3)="",0,IF(AND(OR('Visual SPC'!$C$4="",'Data Entry'!$C535&gt;='Visual SPC'!$C$4),OR('Visual SPC'!$E$4="",'Data Entry'!$C535&lt;='Visual SPC'!$E$4),OR('Visual SPC'!$G$4="",'Data Entry'!$D535='Visual SPC'!$G$4),OR('Visual SPC'!$I$4="",'Data Entry'!$E535='Visual SPC'!$I$4),OR('Visual SPC'!$K$4="",'Data Entry'!$F535='Visual SPC'!$K$4)),1,0))</f>
        <v/>
      </c>
      <c r="C535">
        <f>C534+B535</f>
        <v/>
      </c>
      <c r="D535">
        <f>IF(B535=1,INDEX('Data Entry'!$H$5:$BE$10004,535-4,'Visual SPC'!$B$3),"")</f>
        <v/>
      </c>
      <c r="E535">
        <f>IF(B535=1,D535,E534)</f>
        <v/>
      </c>
      <c r="F535">
        <f>IF(AND(B535=1,C535&gt;1,E534&lt;&gt;""),ABS(D535-E534),"")</f>
        <v/>
      </c>
    </row>
    <row r="536">
      <c r="A536" t="n">
        <v>536</v>
      </c>
      <c r="B536">
        <f>IF(INDEX('Data Entry'!$H$5:$BE$10004,536-4,'Visual SPC'!$B$3)="",0,IF(AND(OR('Visual SPC'!$C$4="",'Data Entry'!$C536&gt;='Visual SPC'!$C$4),OR('Visual SPC'!$E$4="",'Data Entry'!$C536&lt;='Visual SPC'!$E$4),OR('Visual SPC'!$G$4="",'Data Entry'!$D536='Visual SPC'!$G$4),OR('Visual SPC'!$I$4="",'Data Entry'!$E536='Visual SPC'!$I$4),OR('Visual SPC'!$K$4="",'Data Entry'!$F536='Visual SPC'!$K$4)),1,0))</f>
        <v/>
      </c>
      <c r="C536">
        <f>C535+B536</f>
        <v/>
      </c>
      <c r="D536">
        <f>IF(B536=1,INDEX('Data Entry'!$H$5:$BE$10004,536-4,'Visual SPC'!$B$3),"")</f>
        <v/>
      </c>
      <c r="E536">
        <f>IF(B536=1,D536,E535)</f>
        <v/>
      </c>
      <c r="F536">
        <f>IF(AND(B536=1,C536&gt;1,E535&lt;&gt;""),ABS(D536-E535),"")</f>
        <v/>
      </c>
    </row>
    <row r="537">
      <c r="A537" t="n">
        <v>537</v>
      </c>
      <c r="B537">
        <f>IF(INDEX('Data Entry'!$H$5:$BE$10004,537-4,'Visual SPC'!$B$3)="",0,IF(AND(OR('Visual SPC'!$C$4="",'Data Entry'!$C537&gt;='Visual SPC'!$C$4),OR('Visual SPC'!$E$4="",'Data Entry'!$C537&lt;='Visual SPC'!$E$4),OR('Visual SPC'!$G$4="",'Data Entry'!$D537='Visual SPC'!$G$4),OR('Visual SPC'!$I$4="",'Data Entry'!$E537='Visual SPC'!$I$4),OR('Visual SPC'!$K$4="",'Data Entry'!$F537='Visual SPC'!$K$4)),1,0))</f>
        <v/>
      </c>
      <c r="C537">
        <f>C536+B537</f>
        <v/>
      </c>
      <c r="D537">
        <f>IF(B537=1,INDEX('Data Entry'!$H$5:$BE$10004,537-4,'Visual SPC'!$B$3),"")</f>
        <v/>
      </c>
      <c r="E537">
        <f>IF(B537=1,D537,E536)</f>
        <v/>
      </c>
      <c r="F537">
        <f>IF(AND(B537=1,C537&gt;1,E536&lt;&gt;""),ABS(D537-E536),"")</f>
        <v/>
      </c>
    </row>
    <row r="538">
      <c r="A538" t="n">
        <v>538</v>
      </c>
      <c r="B538">
        <f>IF(INDEX('Data Entry'!$H$5:$BE$10004,538-4,'Visual SPC'!$B$3)="",0,IF(AND(OR('Visual SPC'!$C$4="",'Data Entry'!$C538&gt;='Visual SPC'!$C$4),OR('Visual SPC'!$E$4="",'Data Entry'!$C538&lt;='Visual SPC'!$E$4),OR('Visual SPC'!$G$4="",'Data Entry'!$D538='Visual SPC'!$G$4),OR('Visual SPC'!$I$4="",'Data Entry'!$E538='Visual SPC'!$I$4),OR('Visual SPC'!$K$4="",'Data Entry'!$F538='Visual SPC'!$K$4)),1,0))</f>
        <v/>
      </c>
      <c r="C538">
        <f>C537+B538</f>
        <v/>
      </c>
      <c r="D538">
        <f>IF(B538=1,INDEX('Data Entry'!$H$5:$BE$10004,538-4,'Visual SPC'!$B$3),"")</f>
        <v/>
      </c>
      <c r="E538">
        <f>IF(B538=1,D538,E537)</f>
        <v/>
      </c>
      <c r="F538">
        <f>IF(AND(B538=1,C538&gt;1,E537&lt;&gt;""),ABS(D538-E537),"")</f>
        <v/>
      </c>
    </row>
    <row r="539">
      <c r="A539" t="n">
        <v>539</v>
      </c>
      <c r="B539">
        <f>IF(INDEX('Data Entry'!$H$5:$BE$10004,539-4,'Visual SPC'!$B$3)="",0,IF(AND(OR('Visual SPC'!$C$4="",'Data Entry'!$C539&gt;='Visual SPC'!$C$4),OR('Visual SPC'!$E$4="",'Data Entry'!$C539&lt;='Visual SPC'!$E$4),OR('Visual SPC'!$G$4="",'Data Entry'!$D539='Visual SPC'!$G$4),OR('Visual SPC'!$I$4="",'Data Entry'!$E539='Visual SPC'!$I$4),OR('Visual SPC'!$K$4="",'Data Entry'!$F539='Visual SPC'!$K$4)),1,0))</f>
        <v/>
      </c>
      <c r="C539">
        <f>C538+B539</f>
        <v/>
      </c>
      <c r="D539">
        <f>IF(B539=1,INDEX('Data Entry'!$H$5:$BE$10004,539-4,'Visual SPC'!$B$3),"")</f>
        <v/>
      </c>
      <c r="E539">
        <f>IF(B539=1,D539,E538)</f>
        <v/>
      </c>
      <c r="F539">
        <f>IF(AND(B539=1,C539&gt;1,E538&lt;&gt;""),ABS(D539-E538),"")</f>
        <v/>
      </c>
    </row>
    <row r="540">
      <c r="A540" t="n">
        <v>540</v>
      </c>
      <c r="B540">
        <f>IF(INDEX('Data Entry'!$H$5:$BE$10004,540-4,'Visual SPC'!$B$3)="",0,IF(AND(OR('Visual SPC'!$C$4="",'Data Entry'!$C540&gt;='Visual SPC'!$C$4),OR('Visual SPC'!$E$4="",'Data Entry'!$C540&lt;='Visual SPC'!$E$4),OR('Visual SPC'!$G$4="",'Data Entry'!$D540='Visual SPC'!$G$4),OR('Visual SPC'!$I$4="",'Data Entry'!$E540='Visual SPC'!$I$4),OR('Visual SPC'!$K$4="",'Data Entry'!$F540='Visual SPC'!$K$4)),1,0))</f>
        <v/>
      </c>
      <c r="C540">
        <f>C539+B540</f>
        <v/>
      </c>
      <c r="D540">
        <f>IF(B540=1,INDEX('Data Entry'!$H$5:$BE$10004,540-4,'Visual SPC'!$B$3),"")</f>
        <v/>
      </c>
      <c r="E540">
        <f>IF(B540=1,D540,E539)</f>
        <v/>
      </c>
      <c r="F540">
        <f>IF(AND(B540=1,C540&gt;1,E539&lt;&gt;""),ABS(D540-E539),"")</f>
        <v/>
      </c>
    </row>
    <row r="541">
      <c r="A541" t="n">
        <v>541</v>
      </c>
      <c r="B541">
        <f>IF(INDEX('Data Entry'!$H$5:$BE$10004,541-4,'Visual SPC'!$B$3)="",0,IF(AND(OR('Visual SPC'!$C$4="",'Data Entry'!$C541&gt;='Visual SPC'!$C$4),OR('Visual SPC'!$E$4="",'Data Entry'!$C541&lt;='Visual SPC'!$E$4),OR('Visual SPC'!$G$4="",'Data Entry'!$D541='Visual SPC'!$G$4),OR('Visual SPC'!$I$4="",'Data Entry'!$E541='Visual SPC'!$I$4),OR('Visual SPC'!$K$4="",'Data Entry'!$F541='Visual SPC'!$K$4)),1,0))</f>
        <v/>
      </c>
      <c r="C541">
        <f>C540+B541</f>
        <v/>
      </c>
      <c r="D541">
        <f>IF(B541=1,INDEX('Data Entry'!$H$5:$BE$10004,541-4,'Visual SPC'!$B$3),"")</f>
        <v/>
      </c>
      <c r="E541">
        <f>IF(B541=1,D541,E540)</f>
        <v/>
      </c>
      <c r="F541">
        <f>IF(AND(B541=1,C541&gt;1,E540&lt;&gt;""),ABS(D541-E540),"")</f>
        <v/>
      </c>
    </row>
    <row r="542">
      <c r="A542" t="n">
        <v>542</v>
      </c>
      <c r="B542">
        <f>IF(INDEX('Data Entry'!$H$5:$BE$10004,542-4,'Visual SPC'!$B$3)="",0,IF(AND(OR('Visual SPC'!$C$4="",'Data Entry'!$C542&gt;='Visual SPC'!$C$4),OR('Visual SPC'!$E$4="",'Data Entry'!$C542&lt;='Visual SPC'!$E$4),OR('Visual SPC'!$G$4="",'Data Entry'!$D542='Visual SPC'!$G$4),OR('Visual SPC'!$I$4="",'Data Entry'!$E542='Visual SPC'!$I$4),OR('Visual SPC'!$K$4="",'Data Entry'!$F542='Visual SPC'!$K$4)),1,0))</f>
        <v/>
      </c>
      <c r="C542">
        <f>C541+B542</f>
        <v/>
      </c>
      <c r="D542">
        <f>IF(B542=1,INDEX('Data Entry'!$H$5:$BE$10004,542-4,'Visual SPC'!$B$3),"")</f>
        <v/>
      </c>
      <c r="E542">
        <f>IF(B542=1,D542,E541)</f>
        <v/>
      </c>
      <c r="F542">
        <f>IF(AND(B542=1,C542&gt;1,E541&lt;&gt;""),ABS(D542-E541),"")</f>
        <v/>
      </c>
    </row>
    <row r="543">
      <c r="A543" t="n">
        <v>543</v>
      </c>
      <c r="B543">
        <f>IF(INDEX('Data Entry'!$H$5:$BE$10004,543-4,'Visual SPC'!$B$3)="",0,IF(AND(OR('Visual SPC'!$C$4="",'Data Entry'!$C543&gt;='Visual SPC'!$C$4),OR('Visual SPC'!$E$4="",'Data Entry'!$C543&lt;='Visual SPC'!$E$4),OR('Visual SPC'!$G$4="",'Data Entry'!$D543='Visual SPC'!$G$4),OR('Visual SPC'!$I$4="",'Data Entry'!$E543='Visual SPC'!$I$4),OR('Visual SPC'!$K$4="",'Data Entry'!$F543='Visual SPC'!$K$4)),1,0))</f>
        <v/>
      </c>
      <c r="C543">
        <f>C542+B543</f>
        <v/>
      </c>
      <c r="D543">
        <f>IF(B543=1,INDEX('Data Entry'!$H$5:$BE$10004,543-4,'Visual SPC'!$B$3),"")</f>
        <v/>
      </c>
      <c r="E543">
        <f>IF(B543=1,D543,E542)</f>
        <v/>
      </c>
      <c r="F543">
        <f>IF(AND(B543=1,C543&gt;1,E542&lt;&gt;""),ABS(D543-E542),"")</f>
        <v/>
      </c>
    </row>
    <row r="544">
      <c r="A544" t="n">
        <v>544</v>
      </c>
      <c r="B544">
        <f>IF(INDEX('Data Entry'!$H$5:$BE$10004,544-4,'Visual SPC'!$B$3)="",0,IF(AND(OR('Visual SPC'!$C$4="",'Data Entry'!$C544&gt;='Visual SPC'!$C$4),OR('Visual SPC'!$E$4="",'Data Entry'!$C544&lt;='Visual SPC'!$E$4),OR('Visual SPC'!$G$4="",'Data Entry'!$D544='Visual SPC'!$G$4),OR('Visual SPC'!$I$4="",'Data Entry'!$E544='Visual SPC'!$I$4),OR('Visual SPC'!$K$4="",'Data Entry'!$F544='Visual SPC'!$K$4)),1,0))</f>
        <v/>
      </c>
      <c r="C544">
        <f>C543+B544</f>
        <v/>
      </c>
      <c r="D544">
        <f>IF(B544=1,INDEX('Data Entry'!$H$5:$BE$10004,544-4,'Visual SPC'!$B$3),"")</f>
        <v/>
      </c>
      <c r="E544">
        <f>IF(B544=1,D544,E543)</f>
        <v/>
      </c>
      <c r="F544">
        <f>IF(AND(B544=1,C544&gt;1,E543&lt;&gt;""),ABS(D544-E543),"")</f>
        <v/>
      </c>
    </row>
    <row r="545">
      <c r="A545" t="n">
        <v>545</v>
      </c>
      <c r="B545">
        <f>IF(INDEX('Data Entry'!$H$5:$BE$10004,545-4,'Visual SPC'!$B$3)="",0,IF(AND(OR('Visual SPC'!$C$4="",'Data Entry'!$C545&gt;='Visual SPC'!$C$4),OR('Visual SPC'!$E$4="",'Data Entry'!$C545&lt;='Visual SPC'!$E$4),OR('Visual SPC'!$G$4="",'Data Entry'!$D545='Visual SPC'!$G$4),OR('Visual SPC'!$I$4="",'Data Entry'!$E545='Visual SPC'!$I$4),OR('Visual SPC'!$K$4="",'Data Entry'!$F545='Visual SPC'!$K$4)),1,0))</f>
        <v/>
      </c>
      <c r="C545">
        <f>C544+B545</f>
        <v/>
      </c>
      <c r="D545">
        <f>IF(B545=1,INDEX('Data Entry'!$H$5:$BE$10004,545-4,'Visual SPC'!$B$3),"")</f>
        <v/>
      </c>
      <c r="E545">
        <f>IF(B545=1,D545,E544)</f>
        <v/>
      </c>
      <c r="F545">
        <f>IF(AND(B545=1,C545&gt;1,E544&lt;&gt;""),ABS(D545-E544),"")</f>
        <v/>
      </c>
    </row>
    <row r="546">
      <c r="A546" t="n">
        <v>546</v>
      </c>
      <c r="B546">
        <f>IF(INDEX('Data Entry'!$H$5:$BE$10004,546-4,'Visual SPC'!$B$3)="",0,IF(AND(OR('Visual SPC'!$C$4="",'Data Entry'!$C546&gt;='Visual SPC'!$C$4),OR('Visual SPC'!$E$4="",'Data Entry'!$C546&lt;='Visual SPC'!$E$4),OR('Visual SPC'!$G$4="",'Data Entry'!$D546='Visual SPC'!$G$4),OR('Visual SPC'!$I$4="",'Data Entry'!$E546='Visual SPC'!$I$4),OR('Visual SPC'!$K$4="",'Data Entry'!$F546='Visual SPC'!$K$4)),1,0))</f>
        <v/>
      </c>
      <c r="C546">
        <f>C545+B546</f>
        <v/>
      </c>
      <c r="D546">
        <f>IF(B546=1,INDEX('Data Entry'!$H$5:$BE$10004,546-4,'Visual SPC'!$B$3),"")</f>
        <v/>
      </c>
      <c r="E546">
        <f>IF(B546=1,D546,E545)</f>
        <v/>
      </c>
      <c r="F546">
        <f>IF(AND(B546=1,C546&gt;1,E545&lt;&gt;""),ABS(D546-E545),"")</f>
        <v/>
      </c>
    </row>
    <row r="547">
      <c r="A547" t="n">
        <v>547</v>
      </c>
      <c r="B547">
        <f>IF(INDEX('Data Entry'!$H$5:$BE$10004,547-4,'Visual SPC'!$B$3)="",0,IF(AND(OR('Visual SPC'!$C$4="",'Data Entry'!$C547&gt;='Visual SPC'!$C$4),OR('Visual SPC'!$E$4="",'Data Entry'!$C547&lt;='Visual SPC'!$E$4),OR('Visual SPC'!$G$4="",'Data Entry'!$D547='Visual SPC'!$G$4),OR('Visual SPC'!$I$4="",'Data Entry'!$E547='Visual SPC'!$I$4),OR('Visual SPC'!$K$4="",'Data Entry'!$F547='Visual SPC'!$K$4)),1,0))</f>
        <v/>
      </c>
      <c r="C547">
        <f>C546+B547</f>
        <v/>
      </c>
      <c r="D547">
        <f>IF(B547=1,INDEX('Data Entry'!$H$5:$BE$10004,547-4,'Visual SPC'!$B$3),"")</f>
        <v/>
      </c>
      <c r="E547">
        <f>IF(B547=1,D547,E546)</f>
        <v/>
      </c>
      <c r="F547">
        <f>IF(AND(B547=1,C547&gt;1,E546&lt;&gt;""),ABS(D547-E546),"")</f>
        <v/>
      </c>
    </row>
    <row r="548">
      <c r="A548" t="n">
        <v>548</v>
      </c>
      <c r="B548">
        <f>IF(INDEX('Data Entry'!$H$5:$BE$10004,548-4,'Visual SPC'!$B$3)="",0,IF(AND(OR('Visual SPC'!$C$4="",'Data Entry'!$C548&gt;='Visual SPC'!$C$4),OR('Visual SPC'!$E$4="",'Data Entry'!$C548&lt;='Visual SPC'!$E$4),OR('Visual SPC'!$G$4="",'Data Entry'!$D548='Visual SPC'!$G$4),OR('Visual SPC'!$I$4="",'Data Entry'!$E548='Visual SPC'!$I$4),OR('Visual SPC'!$K$4="",'Data Entry'!$F548='Visual SPC'!$K$4)),1,0))</f>
        <v/>
      </c>
      <c r="C548">
        <f>C547+B548</f>
        <v/>
      </c>
      <c r="D548">
        <f>IF(B548=1,INDEX('Data Entry'!$H$5:$BE$10004,548-4,'Visual SPC'!$B$3),"")</f>
        <v/>
      </c>
      <c r="E548">
        <f>IF(B548=1,D548,E547)</f>
        <v/>
      </c>
      <c r="F548">
        <f>IF(AND(B548=1,C548&gt;1,E547&lt;&gt;""),ABS(D548-E547),"")</f>
        <v/>
      </c>
    </row>
    <row r="549">
      <c r="A549" t="n">
        <v>549</v>
      </c>
      <c r="B549">
        <f>IF(INDEX('Data Entry'!$H$5:$BE$10004,549-4,'Visual SPC'!$B$3)="",0,IF(AND(OR('Visual SPC'!$C$4="",'Data Entry'!$C549&gt;='Visual SPC'!$C$4),OR('Visual SPC'!$E$4="",'Data Entry'!$C549&lt;='Visual SPC'!$E$4),OR('Visual SPC'!$G$4="",'Data Entry'!$D549='Visual SPC'!$G$4),OR('Visual SPC'!$I$4="",'Data Entry'!$E549='Visual SPC'!$I$4),OR('Visual SPC'!$K$4="",'Data Entry'!$F549='Visual SPC'!$K$4)),1,0))</f>
        <v/>
      </c>
      <c r="C549">
        <f>C548+B549</f>
        <v/>
      </c>
      <c r="D549">
        <f>IF(B549=1,INDEX('Data Entry'!$H$5:$BE$10004,549-4,'Visual SPC'!$B$3),"")</f>
        <v/>
      </c>
      <c r="E549">
        <f>IF(B549=1,D549,E548)</f>
        <v/>
      </c>
      <c r="F549">
        <f>IF(AND(B549=1,C549&gt;1,E548&lt;&gt;""),ABS(D549-E548),"")</f>
        <v/>
      </c>
    </row>
    <row r="550">
      <c r="A550" t="n">
        <v>550</v>
      </c>
      <c r="B550">
        <f>IF(INDEX('Data Entry'!$H$5:$BE$10004,550-4,'Visual SPC'!$B$3)="",0,IF(AND(OR('Visual SPC'!$C$4="",'Data Entry'!$C550&gt;='Visual SPC'!$C$4),OR('Visual SPC'!$E$4="",'Data Entry'!$C550&lt;='Visual SPC'!$E$4),OR('Visual SPC'!$G$4="",'Data Entry'!$D550='Visual SPC'!$G$4),OR('Visual SPC'!$I$4="",'Data Entry'!$E550='Visual SPC'!$I$4),OR('Visual SPC'!$K$4="",'Data Entry'!$F550='Visual SPC'!$K$4)),1,0))</f>
        <v/>
      </c>
      <c r="C550">
        <f>C549+B550</f>
        <v/>
      </c>
      <c r="D550">
        <f>IF(B550=1,INDEX('Data Entry'!$H$5:$BE$10004,550-4,'Visual SPC'!$B$3),"")</f>
        <v/>
      </c>
      <c r="E550">
        <f>IF(B550=1,D550,E549)</f>
        <v/>
      </c>
      <c r="F550">
        <f>IF(AND(B550=1,C550&gt;1,E549&lt;&gt;""),ABS(D550-E549),"")</f>
        <v/>
      </c>
    </row>
    <row r="551">
      <c r="A551" t="n">
        <v>551</v>
      </c>
      <c r="B551">
        <f>IF(INDEX('Data Entry'!$H$5:$BE$10004,551-4,'Visual SPC'!$B$3)="",0,IF(AND(OR('Visual SPC'!$C$4="",'Data Entry'!$C551&gt;='Visual SPC'!$C$4),OR('Visual SPC'!$E$4="",'Data Entry'!$C551&lt;='Visual SPC'!$E$4),OR('Visual SPC'!$G$4="",'Data Entry'!$D551='Visual SPC'!$G$4),OR('Visual SPC'!$I$4="",'Data Entry'!$E551='Visual SPC'!$I$4),OR('Visual SPC'!$K$4="",'Data Entry'!$F551='Visual SPC'!$K$4)),1,0))</f>
        <v/>
      </c>
      <c r="C551">
        <f>C550+B551</f>
        <v/>
      </c>
      <c r="D551">
        <f>IF(B551=1,INDEX('Data Entry'!$H$5:$BE$10004,551-4,'Visual SPC'!$B$3),"")</f>
        <v/>
      </c>
      <c r="E551">
        <f>IF(B551=1,D551,E550)</f>
        <v/>
      </c>
      <c r="F551">
        <f>IF(AND(B551=1,C551&gt;1,E550&lt;&gt;""),ABS(D551-E550),"")</f>
        <v/>
      </c>
    </row>
    <row r="552">
      <c r="A552" t="n">
        <v>552</v>
      </c>
      <c r="B552">
        <f>IF(INDEX('Data Entry'!$H$5:$BE$10004,552-4,'Visual SPC'!$B$3)="",0,IF(AND(OR('Visual SPC'!$C$4="",'Data Entry'!$C552&gt;='Visual SPC'!$C$4),OR('Visual SPC'!$E$4="",'Data Entry'!$C552&lt;='Visual SPC'!$E$4),OR('Visual SPC'!$G$4="",'Data Entry'!$D552='Visual SPC'!$G$4),OR('Visual SPC'!$I$4="",'Data Entry'!$E552='Visual SPC'!$I$4),OR('Visual SPC'!$K$4="",'Data Entry'!$F552='Visual SPC'!$K$4)),1,0))</f>
        <v/>
      </c>
      <c r="C552">
        <f>C551+B552</f>
        <v/>
      </c>
      <c r="D552">
        <f>IF(B552=1,INDEX('Data Entry'!$H$5:$BE$10004,552-4,'Visual SPC'!$B$3),"")</f>
        <v/>
      </c>
      <c r="E552">
        <f>IF(B552=1,D552,E551)</f>
        <v/>
      </c>
      <c r="F552">
        <f>IF(AND(B552=1,C552&gt;1,E551&lt;&gt;""),ABS(D552-E551),"")</f>
        <v/>
      </c>
    </row>
    <row r="553">
      <c r="A553" t="n">
        <v>553</v>
      </c>
      <c r="B553">
        <f>IF(INDEX('Data Entry'!$H$5:$BE$10004,553-4,'Visual SPC'!$B$3)="",0,IF(AND(OR('Visual SPC'!$C$4="",'Data Entry'!$C553&gt;='Visual SPC'!$C$4),OR('Visual SPC'!$E$4="",'Data Entry'!$C553&lt;='Visual SPC'!$E$4),OR('Visual SPC'!$G$4="",'Data Entry'!$D553='Visual SPC'!$G$4),OR('Visual SPC'!$I$4="",'Data Entry'!$E553='Visual SPC'!$I$4),OR('Visual SPC'!$K$4="",'Data Entry'!$F553='Visual SPC'!$K$4)),1,0))</f>
        <v/>
      </c>
      <c r="C553">
        <f>C552+B553</f>
        <v/>
      </c>
      <c r="D553">
        <f>IF(B553=1,INDEX('Data Entry'!$H$5:$BE$10004,553-4,'Visual SPC'!$B$3),"")</f>
        <v/>
      </c>
      <c r="E553">
        <f>IF(B553=1,D553,E552)</f>
        <v/>
      </c>
      <c r="F553">
        <f>IF(AND(B553=1,C553&gt;1,E552&lt;&gt;""),ABS(D553-E552),"")</f>
        <v/>
      </c>
    </row>
    <row r="554">
      <c r="A554" t="n">
        <v>554</v>
      </c>
      <c r="B554">
        <f>IF(INDEX('Data Entry'!$H$5:$BE$10004,554-4,'Visual SPC'!$B$3)="",0,IF(AND(OR('Visual SPC'!$C$4="",'Data Entry'!$C554&gt;='Visual SPC'!$C$4),OR('Visual SPC'!$E$4="",'Data Entry'!$C554&lt;='Visual SPC'!$E$4),OR('Visual SPC'!$G$4="",'Data Entry'!$D554='Visual SPC'!$G$4),OR('Visual SPC'!$I$4="",'Data Entry'!$E554='Visual SPC'!$I$4),OR('Visual SPC'!$K$4="",'Data Entry'!$F554='Visual SPC'!$K$4)),1,0))</f>
        <v/>
      </c>
      <c r="C554">
        <f>C553+B554</f>
        <v/>
      </c>
      <c r="D554">
        <f>IF(B554=1,INDEX('Data Entry'!$H$5:$BE$10004,554-4,'Visual SPC'!$B$3),"")</f>
        <v/>
      </c>
      <c r="E554">
        <f>IF(B554=1,D554,E553)</f>
        <v/>
      </c>
      <c r="F554">
        <f>IF(AND(B554=1,C554&gt;1,E553&lt;&gt;""),ABS(D554-E553),"")</f>
        <v/>
      </c>
    </row>
    <row r="555">
      <c r="A555" t="n">
        <v>555</v>
      </c>
      <c r="B555">
        <f>IF(INDEX('Data Entry'!$H$5:$BE$10004,555-4,'Visual SPC'!$B$3)="",0,IF(AND(OR('Visual SPC'!$C$4="",'Data Entry'!$C555&gt;='Visual SPC'!$C$4),OR('Visual SPC'!$E$4="",'Data Entry'!$C555&lt;='Visual SPC'!$E$4),OR('Visual SPC'!$G$4="",'Data Entry'!$D555='Visual SPC'!$G$4),OR('Visual SPC'!$I$4="",'Data Entry'!$E555='Visual SPC'!$I$4),OR('Visual SPC'!$K$4="",'Data Entry'!$F555='Visual SPC'!$K$4)),1,0))</f>
        <v/>
      </c>
      <c r="C555">
        <f>C554+B555</f>
        <v/>
      </c>
      <c r="D555">
        <f>IF(B555=1,INDEX('Data Entry'!$H$5:$BE$10004,555-4,'Visual SPC'!$B$3),"")</f>
        <v/>
      </c>
      <c r="E555">
        <f>IF(B555=1,D555,E554)</f>
        <v/>
      </c>
      <c r="F555">
        <f>IF(AND(B555=1,C555&gt;1,E554&lt;&gt;""),ABS(D555-E554),"")</f>
        <v/>
      </c>
    </row>
    <row r="556">
      <c r="A556" t="n">
        <v>556</v>
      </c>
      <c r="B556">
        <f>IF(INDEX('Data Entry'!$H$5:$BE$10004,556-4,'Visual SPC'!$B$3)="",0,IF(AND(OR('Visual SPC'!$C$4="",'Data Entry'!$C556&gt;='Visual SPC'!$C$4),OR('Visual SPC'!$E$4="",'Data Entry'!$C556&lt;='Visual SPC'!$E$4),OR('Visual SPC'!$G$4="",'Data Entry'!$D556='Visual SPC'!$G$4),OR('Visual SPC'!$I$4="",'Data Entry'!$E556='Visual SPC'!$I$4),OR('Visual SPC'!$K$4="",'Data Entry'!$F556='Visual SPC'!$K$4)),1,0))</f>
        <v/>
      </c>
      <c r="C556">
        <f>C555+B556</f>
        <v/>
      </c>
      <c r="D556">
        <f>IF(B556=1,INDEX('Data Entry'!$H$5:$BE$10004,556-4,'Visual SPC'!$B$3),"")</f>
        <v/>
      </c>
      <c r="E556">
        <f>IF(B556=1,D556,E555)</f>
        <v/>
      </c>
      <c r="F556">
        <f>IF(AND(B556=1,C556&gt;1,E555&lt;&gt;""),ABS(D556-E555),"")</f>
        <v/>
      </c>
    </row>
    <row r="557">
      <c r="A557" t="n">
        <v>557</v>
      </c>
      <c r="B557">
        <f>IF(INDEX('Data Entry'!$H$5:$BE$10004,557-4,'Visual SPC'!$B$3)="",0,IF(AND(OR('Visual SPC'!$C$4="",'Data Entry'!$C557&gt;='Visual SPC'!$C$4),OR('Visual SPC'!$E$4="",'Data Entry'!$C557&lt;='Visual SPC'!$E$4),OR('Visual SPC'!$G$4="",'Data Entry'!$D557='Visual SPC'!$G$4),OR('Visual SPC'!$I$4="",'Data Entry'!$E557='Visual SPC'!$I$4),OR('Visual SPC'!$K$4="",'Data Entry'!$F557='Visual SPC'!$K$4)),1,0))</f>
        <v/>
      </c>
      <c r="C557">
        <f>C556+B557</f>
        <v/>
      </c>
      <c r="D557">
        <f>IF(B557=1,INDEX('Data Entry'!$H$5:$BE$10004,557-4,'Visual SPC'!$B$3),"")</f>
        <v/>
      </c>
      <c r="E557">
        <f>IF(B557=1,D557,E556)</f>
        <v/>
      </c>
      <c r="F557">
        <f>IF(AND(B557=1,C557&gt;1,E556&lt;&gt;""),ABS(D557-E556),"")</f>
        <v/>
      </c>
    </row>
    <row r="558">
      <c r="A558" t="n">
        <v>558</v>
      </c>
      <c r="B558">
        <f>IF(INDEX('Data Entry'!$H$5:$BE$10004,558-4,'Visual SPC'!$B$3)="",0,IF(AND(OR('Visual SPC'!$C$4="",'Data Entry'!$C558&gt;='Visual SPC'!$C$4),OR('Visual SPC'!$E$4="",'Data Entry'!$C558&lt;='Visual SPC'!$E$4),OR('Visual SPC'!$G$4="",'Data Entry'!$D558='Visual SPC'!$G$4),OR('Visual SPC'!$I$4="",'Data Entry'!$E558='Visual SPC'!$I$4),OR('Visual SPC'!$K$4="",'Data Entry'!$F558='Visual SPC'!$K$4)),1,0))</f>
        <v/>
      </c>
      <c r="C558">
        <f>C557+B558</f>
        <v/>
      </c>
      <c r="D558">
        <f>IF(B558=1,INDEX('Data Entry'!$H$5:$BE$10004,558-4,'Visual SPC'!$B$3),"")</f>
        <v/>
      </c>
      <c r="E558">
        <f>IF(B558=1,D558,E557)</f>
        <v/>
      </c>
      <c r="F558">
        <f>IF(AND(B558=1,C558&gt;1,E557&lt;&gt;""),ABS(D558-E557),"")</f>
        <v/>
      </c>
    </row>
    <row r="559">
      <c r="A559" t="n">
        <v>559</v>
      </c>
      <c r="B559">
        <f>IF(INDEX('Data Entry'!$H$5:$BE$10004,559-4,'Visual SPC'!$B$3)="",0,IF(AND(OR('Visual SPC'!$C$4="",'Data Entry'!$C559&gt;='Visual SPC'!$C$4),OR('Visual SPC'!$E$4="",'Data Entry'!$C559&lt;='Visual SPC'!$E$4),OR('Visual SPC'!$G$4="",'Data Entry'!$D559='Visual SPC'!$G$4),OR('Visual SPC'!$I$4="",'Data Entry'!$E559='Visual SPC'!$I$4),OR('Visual SPC'!$K$4="",'Data Entry'!$F559='Visual SPC'!$K$4)),1,0))</f>
        <v/>
      </c>
      <c r="C559">
        <f>C558+B559</f>
        <v/>
      </c>
      <c r="D559">
        <f>IF(B559=1,INDEX('Data Entry'!$H$5:$BE$10004,559-4,'Visual SPC'!$B$3),"")</f>
        <v/>
      </c>
      <c r="E559">
        <f>IF(B559=1,D559,E558)</f>
        <v/>
      </c>
      <c r="F559">
        <f>IF(AND(B559=1,C559&gt;1,E558&lt;&gt;""),ABS(D559-E558),"")</f>
        <v/>
      </c>
    </row>
    <row r="560">
      <c r="A560" t="n">
        <v>560</v>
      </c>
      <c r="B560">
        <f>IF(INDEX('Data Entry'!$H$5:$BE$10004,560-4,'Visual SPC'!$B$3)="",0,IF(AND(OR('Visual SPC'!$C$4="",'Data Entry'!$C560&gt;='Visual SPC'!$C$4),OR('Visual SPC'!$E$4="",'Data Entry'!$C560&lt;='Visual SPC'!$E$4),OR('Visual SPC'!$G$4="",'Data Entry'!$D560='Visual SPC'!$G$4),OR('Visual SPC'!$I$4="",'Data Entry'!$E560='Visual SPC'!$I$4),OR('Visual SPC'!$K$4="",'Data Entry'!$F560='Visual SPC'!$K$4)),1,0))</f>
        <v/>
      </c>
      <c r="C560">
        <f>C559+B560</f>
        <v/>
      </c>
      <c r="D560">
        <f>IF(B560=1,INDEX('Data Entry'!$H$5:$BE$10004,560-4,'Visual SPC'!$B$3),"")</f>
        <v/>
      </c>
      <c r="E560">
        <f>IF(B560=1,D560,E559)</f>
        <v/>
      </c>
      <c r="F560">
        <f>IF(AND(B560=1,C560&gt;1,E559&lt;&gt;""),ABS(D560-E559),"")</f>
        <v/>
      </c>
    </row>
    <row r="561">
      <c r="A561" t="n">
        <v>561</v>
      </c>
      <c r="B561">
        <f>IF(INDEX('Data Entry'!$H$5:$BE$10004,561-4,'Visual SPC'!$B$3)="",0,IF(AND(OR('Visual SPC'!$C$4="",'Data Entry'!$C561&gt;='Visual SPC'!$C$4),OR('Visual SPC'!$E$4="",'Data Entry'!$C561&lt;='Visual SPC'!$E$4),OR('Visual SPC'!$G$4="",'Data Entry'!$D561='Visual SPC'!$G$4),OR('Visual SPC'!$I$4="",'Data Entry'!$E561='Visual SPC'!$I$4),OR('Visual SPC'!$K$4="",'Data Entry'!$F561='Visual SPC'!$K$4)),1,0))</f>
        <v/>
      </c>
      <c r="C561">
        <f>C560+B561</f>
        <v/>
      </c>
      <c r="D561">
        <f>IF(B561=1,INDEX('Data Entry'!$H$5:$BE$10004,561-4,'Visual SPC'!$B$3),"")</f>
        <v/>
      </c>
      <c r="E561">
        <f>IF(B561=1,D561,E560)</f>
        <v/>
      </c>
      <c r="F561">
        <f>IF(AND(B561=1,C561&gt;1,E560&lt;&gt;""),ABS(D561-E560),"")</f>
        <v/>
      </c>
    </row>
    <row r="562">
      <c r="A562" t="n">
        <v>562</v>
      </c>
      <c r="B562">
        <f>IF(INDEX('Data Entry'!$H$5:$BE$10004,562-4,'Visual SPC'!$B$3)="",0,IF(AND(OR('Visual SPC'!$C$4="",'Data Entry'!$C562&gt;='Visual SPC'!$C$4),OR('Visual SPC'!$E$4="",'Data Entry'!$C562&lt;='Visual SPC'!$E$4),OR('Visual SPC'!$G$4="",'Data Entry'!$D562='Visual SPC'!$G$4),OR('Visual SPC'!$I$4="",'Data Entry'!$E562='Visual SPC'!$I$4),OR('Visual SPC'!$K$4="",'Data Entry'!$F562='Visual SPC'!$K$4)),1,0))</f>
        <v/>
      </c>
      <c r="C562">
        <f>C561+B562</f>
        <v/>
      </c>
      <c r="D562">
        <f>IF(B562=1,INDEX('Data Entry'!$H$5:$BE$10004,562-4,'Visual SPC'!$B$3),"")</f>
        <v/>
      </c>
      <c r="E562">
        <f>IF(B562=1,D562,E561)</f>
        <v/>
      </c>
      <c r="F562">
        <f>IF(AND(B562=1,C562&gt;1,E561&lt;&gt;""),ABS(D562-E561),"")</f>
        <v/>
      </c>
    </row>
    <row r="563">
      <c r="A563" t="n">
        <v>563</v>
      </c>
      <c r="B563">
        <f>IF(INDEX('Data Entry'!$H$5:$BE$10004,563-4,'Visual SPC'!$B$3)="",0,IF(AND(OR('Visual SPC'!$C$4="",'Data Entry'!$C563&gt;='Visual SPC'!$C$4),OR('Visual SPC'!$E$4="",'Data Entry'!$C563&lt;='Visual SPC'!$E$4),OR('Visual SPC'!$G$4="",'Data Entry'!$D563='Visual SPC'!$G$4),OR('Visual SPC'!$I$4="",'Data Entry'!$E563='Visual SPC'!$I$4),OR('Visual SPC'!$K$4="",'Data Entry'!$F563='Visual SPC'!$K$4)),1,0))</f>
        <v/>
      </c>
      <c r="C563">
        <f>C562+B563</f>
        <v/>
      </c>
      <c r="D563">
        <f>IF(B563=1,INDEX('Data Entry'!$H$5:$BE$10004,563-4,'Visual SPC'!$B$3),"")</f>
        <v/>
      </c>
      <c r="E563">
        <f>IF(B563=1,D563,E562)</f>
        <v/>
      </c>
      <c r="F563">
        <f>IF(AND(B563=1,C563&gt;1,E562&lt;&gt;""),ABS(D563-E562),"")</f>
        <v/>
      </c>
    </row>
    <row r="564">
      <c r="A564" t="n">
        <v>564</v>
      </c>
      <c r="B564">
        <f>IF(INDEX('Data Entry'!$H$5:$BE$10004,564-4,'Visual SPC'!$B$3)="",0,IF(AND(OR('Visual SPC'!$C$4="",'Data Entry'!$C564&gt;='Visual SPC'!$C$4),OR('Visual SPC'!$E$4="",'Data Entry'!$C564&lt;='Visual SPC'!$E$4),OR('Visual SPC'!$G$4="",'Data Entry'!$D564='Visual SPC'!$G$4),OR('Visual SPC'!$I$4="",'Data Entry'!$E564='Visual SPC'!$I$4),OR('Visual SPC'!$K$4="",'Data Entry'!$F564='Visual SPC'!$K$4)),1,0))</f>
        <v/>
      </c>
      <c r="C564">
        <f>C563+B564</f>
        <v/>
      </c>
      <c r="D564">
        <f>IF(B564=1,INDEX('Data Entry'!$H$5:$BE$10004,564-4,'Visual SPC'!$B$3),"")</f>
        <v/>
      </c>
      <c r="E564">
        <f>IF(B564=1,D564,E563)</f>
        <v/>
      </c>
      <c r="F564">
        <f>IF(AND(B564=1,C564&gt;1,E563&lt;&gt;""),ABS(D564-E563),"")</f>
        <v/>
      </c>
    </row>
    <row r="565">
      <c r="A565" t="n">
        <v>565</v>
      </c>
      <c r="B565">
        <f>IF(INDEX('Data Entry'!$H$5:$BE$10004,565-4,'Visual SPC'!$B$3)="",0,IF(AND(OR('Visual SPC'!$C$4="",'Data Entry'!$C565&gt;='Visual SPC'!$C$4),OR('Visual SPC'!$E$4="",'Data Entry'!$C565&lt;='Visual SPC'!$E$4),OR('Visual SPC'!$G$4="",'Data Entry'!$D565='Visual SPC'!$G$4),OR('Visual SPC'!$I$4="",'Data Entry'!$E565='Visual SPC'!$I$4),OR('Visual SPC'!$K$4="",'Data Entry'!$F565='Visual SPC'!$K$4)),1,0))</f>
        <v/>
      </c>
      <c r="C565">
        <f>C564+B565</f>
        <v/>
      </c>
      <c r="D565">
        <f>IF(B565=1,INDEX('Data Entry'!$H$5:$BE$10004,565-4,'Visual SPC'!$B$3),"")</f>
        <v/>
      </c>
      <c r="E565">
        <f>IF(B565=1,D565,E564)</f>
        <v/>
      </c>
      <c r="F565">
        <f>IF(AND(B565=1,C565&gt;1,E564&lt;&gt;""),ABS(D565-E564),"")</f>
        <v/>
      </c>
    </row>
    <row r="566">
      <c r="A566" t="n">
        <v>566</v>
      </c>
      <c r="B566">
        <f>IF(INDEX('Data Entry'!$H$5:$BE$10004,566-4,'Visual SPC'!$B$3)="",0,IF(AND(OR('Visual SPC'!$C$4="",'Data Entry'!$C566&gt;='Visual SPC'!$C$4),OR('Visual SPC'!$E$4="",'Data Entry'!$C566&lt;='Visual SPC'!$E$4),OR('Visual SPC'!$G$4="",'Data Entry'!$D566='Visual SPC'!$G$4),OR('Visual SPC'!$I$4="",'Data Entry'!$E566='Visual SPC'!$I$4),OR('Visual SPC'!$K$4="",'Data Entry'!$F566='Visual SPC'!$K$4)),1,0))</f>
        <v/>
      </c>
      <c r="C566">
        <f>C565+B566</f>
        <v/>
      </c>
      <c r="D566">
        <f>IF(B566=1,INDEX('Data Entry'!$H$5:$BE$10004,566-4,'Visual SPC'!$B$3),"")</f>
        <v/>
      </c>
      <c r="E566">
        <f>IF(B566=1,D566,E565)</f>
        <v/>
      </c>
      <c r="F566">
        <f>IF(AND(B566=1,C566&gt;1,E565&lt;&gt;""),ABS(D566-E565),"")</f>
        <v/>
      </c>
    </row>
    <row r="567">
      <c r="A567" t="n">
        <v>567</v>
      </c>
      <c r="B567">
        <f>IF(INDEX('Data Entry'!$H$5:$BE$10004,567-4,'Visual SPC'!$B$3)="",0,IF(AND(OR('Visual SPC'!$C$4="",'Data Entry'!$C567&gt;='Visual SPC'!$C$4),OR('Visual SPC'!$E$4="",'Data Entry'!$C567&lt;='Visual SPC'!$E$4),OR('Visual SPC'!$G$4="",'Data Entry'!$D567='Visual SPC'!$G$4),OR('Visual SPC'!$I$4="",'Data Entry'!$E567='Visual SPC'!$I$4),OR('Visual SPC'!$K$4="",'Data Entry'!$F567='Visual SPC'!$K$4)),1,0))</f>
        <v/>
      </c>
      <c r="C567">
        <f>C566+B567</f>
        <v/>
      </c>
      <c r="D567">
        <f>IF(B567=1,INDEX('Data Entry'!$H$5:$BE$10004,567-4,'Visual SPC'!$B$3),"")</f>
        <v/>
      </c>
      <c r="E567">
        <f>IF(B567=1,D567,E566)</f>
        <v/>
      </c>
      <c r="F567">
        <f>IF(AND(B567=1,C567&gt;1,E566&lt;&gt;""),ABS(D567-E566),"")</f>
        <v/>
      </c>
    </row>
    <row r="568">
      <c r="A568" t="n">
        <v>568</v>
      </c>
      <c r="B568">
        <f>IF(INDEX('Data Entry'!$H$5:$BE$10004,568-4,'Visual SPC'!$B$3)="",0,IF(AND(OR('Visual SPC'!$C$4="",'Data Entry'!$C568&gt;='Visual SPC'!$C$4),OR('Visual SPC'!$E$4="",'Data Entry'!$C568&lt;='Visual SPC'!$E$4),OR('Visual SPC'!$G$4="",'Data Entry'!$D568='Visual SPC'!$G$4),OR('Visual SPC'!$I$4="",'Data Entry'!$E568='Visual SPC'!$I$4),OR('Visual SPC'!$K$4="",'Data Entry'!$F568='Visual SPC'!$K$4)),1,0))</f>
        <v/>
      </c>
      <c r="C568">
        <f>C567+B568</f>
        <v/>
      </c>
      <c r="D568">
        <f>IF(B568=1,INDEX('Data Entry'!$H$5:$BE$10004,568-4,'Visual SPC'!$B$3),"")</f>
        <v/>
      </c>
      <c r="E568">
        <f>IF(B568=1,D568,E567)</f>
        <v/>
      </c>
      <c r="F568">
        <f>IF(AND(B568=1,C568&gt;1,E567&lt;&gt;""),ABS(D568-E567),"")</f>
        <v/>
      </c>
    </row>
    <row r="569">
      <c r="A569" t="n">
        <v>569</v>
      </c>
      <c r="B569">
        <f>IF(INDEX('Data Entry'!$H$5:$BE$10004,569-4,'Visual SPC'!$B$3)="",0,IF(AND(OR('Visual SPC'!$C$4="",'Data Entry'!$C569&gt;='Visual SPC'!$C$4),OR('Visual SPC'!$E$4="",'Data Entry'!$C569&lt;='Visual SPC'!$E$4),OR('Visual SPC'!$G$4="",'Data Entry'!$D569='Visual SPC'!$G$4),OR('Visual SPC'!$I$4="",'Data Entry'!$E569='Visual SPC'!$I$4),OR('Visual SPC'!$K$4="",'Data Entry'!$F569='Visual SPC'!$K$4)),1,0))</f>
        <v/>
      </c>
      <c r="C569">
        <f>C568+B569</f>
        <v/>
      </c>
      <c r="D569">
        <f>IF(B569=1,INDEX('Data Entry'!$H$5:$BE$10004,569-4,'Visual SPC'!$B$3),"")</f>
        <v/>
      </c>
      <c r="E569">
        <f>IF(B569=1,D569,E568)</f>
        <v/>
      </c>
      <c r="F569">
        <f>IF(AND(B569=1,C569&gt;1,E568&lt;&gt;""),ABS(D569-E568),"")</f>
        <v/>
      </c>
    </row>
    <row r="570">
      <c r="A570" t="n">
        <v>570</v>
      </c>
      <c r="B570">
        <f>IF(INDEX('Data Entry'!$H$5:$BE$10004,570-4,'Visual SPC'!$B$3)="",0,IF(AND(OR('Visual SPC'!$C$4="",'Data Entry'!$C570&gt;='Visual SPC'!$C$4),OR('Visual SPC'!$E$4="",'Data Entry'!$C570&lt;='Visual SPC'!$E$4),OR('Visual SPC'!$G$4="",'Data Entry'!$D570='Visual SPC'!$G$4),OR('Visual SPC'!$I$4="",'Data Entry'!$E570='Visual SPC'!$I$4),OR('Visual SPC'!$K$4="",'Data Entry'!$F570='Visual SPC'!$K$4)),1,0))</f>
        <v/>
      </c>
      <c r="C570">
        <f>C569+B570</f>
        <v/>
      </c>
      <c r="D570">
        <f>IF(B570=1,INDEX('Data Entry'!$H$5:$BE$10004,570-4,'Visual SPC'!$B$3),"")</f>
        <v/>
      </c>
      <c r="E570">
        <f>IF(B570=1,D570,E569)</f>
        <v/>
      </c>
      <c r="F570">
        <f>IF(AND(B570=1,C570&gt;1,E569&lt;&gt;""),ABS(D570-E569),"")</f>
        <v/>
      </c>
    </row>
    <row r="571">
      <c r="A571" t="n">
        <v>571</v>
      </c>
      <c r="B571">
        <f>IF(INDEX('Data Entry'!$H$5:$BE$10004,571-4,'Visual SPC'!$B$3)="",0,IF(AND(OR('Visual SPC'!$C$4="",'Data Entry'!$C571&gt;='Visual SPC'!$C$4),OR('Visual SPC'!$E$4="",'Data Entry'!$C571&lt;='Visual SPC'!$E$4),OR('Visual SPC'!$G$4="",'Data Entry'!$D571='Visual SPC'!$G$4),OR('Visual SPC'!$I$4="",'Data Entry'!$E571='Visual SPC'!$I$4),OR('Visual SPC'!$K$4="",'Data Entry'!$F571='Visual SPC'!$K$4)),1,0))</f>
        <v/>
      </c>
      <c r="C571">
        <f>C570+B571</f>
        <v/>
      </c>
      <c r="D571">
        <f>IF(B571=1,INDEX('Data Entry'!$H$5:$BE$10004,571-4,'Visual SPC'!$B$3),"")</f>
        <v/>
      </c>
      <c r="E571">
        <f>IF(B571=1,D571,E570)</f>
        <v/>
      </c>
      <c r="F571">
        <f>IF(AND(B571=1,C571&gt;1,E570&lt;&gt;""),ABS(D571-E570),"")</f>
        <v/>
      </c>
    </row>
    <row r="572">
      <c r="A572" t="n">
        <v>572</v>
      </c>
      <c r="B572">
        <f>IF(INDEX('Data Entry'!$H$5:$BE$10004,572-4,'Visual SPC'!$B$3)="",0,IF(AND(OR('Visual SPC'!$C$4="",'Data Entry'!$C572&gt;='Visual SPC'!$C$4),OR('Visual SPC'!$E$4="",'Data Entry'!$C572&lt;='Visual SPC'!$E$4),OR('Visual SPC'!$G$4="",'Data Entry'!$D572='Visual SPC'!$G$4),OR('Visual SPC'!$I$4="",'Data Entry'!$E572='Visual SPC'!$I$4),OR('Visual SPC'!$K$4="",'Data Entry'!$F572='Visual SPC'!$K$4)),1,0))</f>
        <v/>
      </c>
      <c r="C572">
        <f>C571+B572</f>
        <v/>
      </c>
      <c r="D572">
        <f>IF(B572=1,INDEX('Data Entry'!$H$5:$BE$10004,572-4,'Visual SPC'!$B$3),"")</f>
        <v/>
      </c>
      <c r="E572">
        <f>IF(B572=1,D572,E571)</f>
        <v/>
      </c>
      <c r="F572">
        <f>IF(AND(B572=1,C572&gt;1,E571&lt;&gt;""),ABS(D572-E571),"")</f>
        <v/>
      </c>
    </row>
    <row r="573">
      <c r="A573" t="n">
        <v>573</v>
      </c>
      <c r="B573">
        <f>IF(INDEX('Data Entry'!$H$5:$BE$10004,573-4,'Visual SPC'!$B$3)="",0,IF(AND(OR('Visual SPC'!$C$4="",'Data Entry'!$C573&gt;='Visual SPC'!$C$4),OR('Visual SPC'!$E$4="",'Data Entry'!$C573&lt;='Visual SPC'!$E$4),OR('Visual SPC'!$G$4="",'Data Entry'!$D573='Visual SPC'!$G$4),OR('Visual SPC'!$I$4="",'Data Entry'!$E573='Visual SPC'!$I$4),OR('Visual SPC'!$K$4="",'Data Entry'!$F573='Visual SPC'!$K$4)),1,0))</f>
        <v/>
      </c>
      <c r="C573">
        <f>C572+B573</f>
        <v/>
      </c>
      <c r="D573">
        <f>IF(B573=1,INDEX('Data Entry'!$H$5:$BE$10004,573-4,'Visual SPC'!$B$3),"")</f>
        <v/>
      </c>
      <c r="E573">
        <f>IF(B573=1,D573,E572)</f>
        <v/>
      </c>
      <c r="F573">
        <f>IF(AND(B573=1,C573&gt;1,E572&lt;&gt;""),ABS(D573-E572),"")</f>
        <v/>
      </c>
    </row>
    <row r="574">
      <c r="A574" t="n">
        <v>574</v>
      </c>
      <c r="B574">
        <f>IF(INDEX('Data Entry'!$H$5:$BE$10004,574-4,'Visual SPC'!$B$3)="",0,IF(AND(OR('Visual SPC'!$C$4="",'Data Entry'!$C574&gt;='Visual SPC'!$C$4),OR('Visual SPC'!$E$4="",'Data Entry'!$C574&lt;='Visual SPC'!$E$4),OR('Visual SPC'!$G$4="",'Data Entry'!$D574='Visual SPC'!$G$4),OR('Visual SPC'!$I$4="",'Data Entry'!$E574='Visual SPC'!$I$4),OR('Visual SPC'!$K$4="",'Data Entry'!$F574='Visual SPC'!$K$4)),1,0))</f>
        <v/>
      </c>
      <c r="C574">
        <f>C573+B574</f>
        <v/>
      </c>
      <c r="D574">
        <f>IF(B574=1,INDEX('Data Entry'!$H$5:$BE$10004,574-4,'Visual SPC'!$B$3),"")</f>
        <v/>
      </c>
      <c r="E574">
        <f>IF(B574=1,D574,E573)</f>
        <v/>
      </c>
      <c r="F574">
        <f>IF(AND(B574=1,C574&gt;1,E573&lt;&gt;""),ABS(D574-E573),"")</f>
        <v/>
      </c>
    </row>
    <row r="575">
      <c r="A575" t="n">
        <v>575</v>
      </c>
      <c r="B575">
        <f>IF(INDEX('Data Entry'!$H$5:$BE$10004,575-4,'Visual SPC'!$B$3)="",0,IF(AND(OR('Visual SPC'!$C$4="",'Data Entry'!$C575&gt;='Visual SPC'!$C$4),OR('Visual SPC'!$E$4="",'Data Entry'!$C575&lt;='Visual SPC'!$E$4),OR('Visual SPC'!$G$4="",'Data Entry'!$D575='Visual SPC'!$G$4),OR('Visual SPC'!$I$4="",'Data Entry'!$E575='Visual SPC'!$I$4),OR('Visual SPC'!$K$4="",'Data Entry'!$F575='Visual SPC'!$K$4)),1,0))</f>
        <v/>
      </c>
      <c r="C575">
        <f>C574+B575</f>
        <v/>
      </c>
      <c r="D575">
        <f>IF(B575=1,INDEX('Data Entry'!$H$5:$BE$10004,575-4,'Visual SPC'!$B$3),"")</f>
        <v/>
      </c>
      <c r="E575">
        <f>IF(B575=1,D575,E574)</f>
        <v/>
      </c>
      <c r="F575">
        <f>IF(AND(B575=1,C575&gt;1,E574&lt;&gt;""),ABS(D575-E574),"")</f>
        <v/>
      </c>
    </row>
    <row r="576">
      <c r="A576" t="n">
        <v>576</v>
      </c>
      <c r="B576">
        <f>IF(INDEX('Data Entry'!$H$5:$BE$10004,576-4,'Visual SPC'!$B$3)="",0,IF(AND(OR('Visual SPC'!$C$4="",'Data Entry'!$C576&gt;='Visual SPC'!$C$4),OR('Visual SPC'!$E$4="",'Data Entry'!$C576&lt;='Visual SPC'!$E$4),OR('Visual SPC'!$G$4="",'Data Entry'!$D576='Visual SPC'!$G$4),OR('Visual SPC'!$I$4="",'Data Entry'!$E576='Visual SPC'!$I$4),OR('Visual SPC'!$K$4="",'Data Entry'!$F576='Visual SPC'!$K$4)),1,0))</f>
        <v/>
      </c>
      <c r="C576">
        <f>C575+B576</f>
        <v/>
      </c>
      <c r="D576">
        <f>IF(B576=1,INDEX('Data Entry'!$H$5:$BE$10004,576-4,'Visual SPC'!$B$3),"")</f>
        <v/>
      </c>
      <c r="E576">
        <f>IF(B576=1,D576,E575)</f>
        <v/>
      </c>
      <c r="F576">
        <f>IF(AND(B576=1,C576&gt;1,E575&lt;&gt;""),ABS(D576-E575),"")</f>
        <v/>
      </c>
    </row>
    <row r="577">
      <c r="A577" t="n">
        <v>577</v>
      </c>
      <c r="B577">
        <f>IF(INDEX('Data Entry'!$H$5:$BE$10004,577-4,'Visual SPC'!$B$3)="",0,IF(AND(OR('Visual SPC'!$C$4="",'Data Entry'!$C577&gt;='Visual SPC'!$C$4),OR('Visual SPC'!$E$4="",'Data Entry'!$C577&lt;='Visual SPC'!$E$4),OR('Visual SPC'!$G$4="",'Data Entry'!$D577='Visual SPC'!$G$4),OR('Visual SPC'!$I$4="",'Data Entry'!$E577='Visual SPC'!$I$4),OR('Visual SPC'!$K$4="",'Data Entry'!$F577='Visual SPC'!$K$4)),1,0))</f>
        <v/>
      </c>
      <c r="C577">
        <f>C576+B577</f>
        <v/>
      </c>
      <c r="D577">
        <f>IF(B577=1,INDEX('Data Entry'!$H$5:$BE$10004,577-4,'Visual SPC'!$B$3),"")</f>
        <v/>
      </c>
      <c r="E577">
        <f>IF(B577=1,D577,E576)</f>
        <v/>
      </c>
      <c r="F577">
        <f>IF(AND(B577=1,C577&gt;1,E576&lt;&gt;""),ABS(D577-E576),"")</f>
        <v/>
      </c>
    </row>
    <row r="578">
      <c r="A578" t="n">
        <v>578</v>
      </c>
      <c r="B578">
        <f>IF(INDEX('Data Entry'!$H$5:$BE$10004,578-4,'Visual SPC'!$B$3)="",0,IF(AND(OR('Visual SPC'!$C$4="",'Data Entry'!$C578&gt;='Visual SPC'!$C$4),OR('Visual SPC'!$E$4="",'Data Entry'!$C578&lt;='Visual SPC'!$E$4),OR('Visual SPC'!$G$4="",'Data Entry'!$D578='Visual SPC'!$G$4),OR('Visual SPC'!$I$4="",'Data Entry'!$E578='Visual SPC'!$I$4),OR('Visual SPC'!$K$4="",'Data Entry'!$F578='Visual SPC'!$K$4)),1,0))</f>
        <v/>
      </c>
      <c r="C578">
        <f>C577+B578</f>
        <v/>
      </c>
      <c r="D578">
        <f>IF(B578=1,INDEX('Data Entry'!$H$5:$BE$10004,578-4,'Visual SPC'!$B$3),"")</f>
        <v/>
      </c>
      <c r="E578">
        <f>IF(B578=1,D578,E577)</f>
        <v/>
      </c>
      <c r="F578">
        <f>IF(AND(B578=1,C578&gt;1,E577&lt;&gt;""),ABS(D578-E577),"")</f>
        <v/>
      </c>
    </row>
    <row r="579">
      <c r="A579" t="n">
        <v>579</v>
      </c>
      <c r="B579">
        <f>IF(INDEX('Data Entry'!$H$5:$BE$10004,579-4,'Visual SPC'!$B$3)="",0,IF(AND(OR('Visual SPC'!$C$4="",'Data Entry'!$C579&gt;='Visual SPC'!$C$4),OR('Visual SPC'!$E$4="",'Data Entry'!$C579&lt;='Visual SPC'!$E$4),OR('Visual SPC'!$G$4="",'Data Entry'!$D579='Visual SPC'!$G$4),OR('Visual SPC'!$I$4="",'Data Entry'!$E579='Visual SPC'!$I$4),OR('Visual SPC'!$K$4="",'Data Entry'!$F579='Visual SPC'!$K$4)),1,0))</f>
        <v/>
      </c>
      <c r="C579">
        <f>C578+B579</f>
        <v/>
      </c>
      <c r="D579">
        <f>IF(B579=1,INDEX('Data Entry'!$H$5:$BE$10004,579-4,'Visual SPC'!$B$3),"")</f>
        <v/>
      </c>
      <c r="E579">
        <f>IF(B579=1,D579,E578)</f>
        <v/>
      </c>
      <c r="F579">
        <f>IF(AND(B579=1,C579&gt;1,E578&lt;&gt;""),ABS(D579-E578),"")</f>
        <v/>
      </c>
    </row>
    <row r="580">
      <c r="A580" t="n">
        <v>580</v>
      </c>
      <c r="B580">
        <f>IF(INDEX('Data Entry'!$H$5:$BE$10004,580-4,'Visual SPC'!$B$3)="",0,IF(AND(OR('Visual SPC'!$C$4="",'Data Entry'!$C580&gt;='Visual SPC'!$C$4),OR('Visual SPC'!$E$4="",'Data Entry'!$C580&lt;='Visual SPC'!$E$4),OR('Visual SPC'!$G$4="",'Data Entry'!$D580='Visual SPC'!$G$4),OR('Visual SPC'!$I$4="",'Data Entry'!$E580='Visual SPC'!$I$4),OR('Visual SPC'!$K$4="",'Data Entry'!$F580='Visual SPC'!$K$4)),1,0))</f>
        <v/>
      </c>
      <c r="C580">
        <f>C579+B580</f>
        <v/>
      </c>
      <c r="D580">
        <f>IF(B580=1,INDEX('Data Entry'!$H$5:$BE$10004,580-4,'Visual SPC'!$B$3),"")</f>
        <v/>
      </c>
      <c r="E580">
        <f>IF(B580=1,D580,E579)</f>
        <v/>
      </c>
      <c r="F580">
        <f>IF(AND(B580=1,C580&gt;1,E579&lt;&gt;""),ABS(D580-E579),"")</f>
        <v/>
      </c>
    </row>
    <row r="581">
      <c r="A581" t="n">
        <v>581</v>
      </c>
      <c r="B581">
        <f>IF(INDEX('Data Entry'!$H$5:$BE$10004,581-4,'Visual SPC'!$B$3)="",0,IF(AND(OR('Visual SPC'!$C$4="",'Data Entry'!$C581&gt;='Visual SPC'!$C$4),OR('Visual SPC'!$E$4="",'Data Entry'!$C581&lt;='Visual SPC'!$E$4),OR('Visual SPC'!$G$4="",'Data Entry'!$D581='Visual SPC'!$G$4),OR('Visual SPC'!$I$4="",'Data Entry'!$E581='Visual SPC'!$I$4),OR('Visual SPC'!$K$4="",'Data Entry'!$F581='Visual SPC'!$K$4)),1,0))</f>
        <v/>
      </c>
      <c r="C581">
        <f>C580+B581</f>
        <v/>
      </c>
      <c r="D581">
        <f>IF(B581=1,INDEX('Data Entry'!$H$5:$BE$10004,581-4,'Visual SPC'!$B$3),"")</f>
        <v/>
      </c>
      <c r="E581">
        <f>IF(B581=1,D581,E580)</f>
        <v/>
      </c>
      <c r="F581">
        <f>IF(AND(B581=1,C581&gt;1,E580&lt;&gt;""),ABS(D581-E580),"")</f>
        <v/>
      </c>
    </row>
    <row r="582">
      <c r="A582" t="n">
        <v>582</v>
      </c>
      <c r="B582">
        <f>IF(INDEX('Data Entry'!$H$5:$BE$10004,582-4,'Visual SPC'!$B$3)="",0,IF(AND(OR('Visual SPC'!$C$4="",'Data Entry'!$C582&gt;='Visual SPC'!$C$4),OR('Visual SPC'!$E$4="",'Data Entry'!$C582&lt;='Visual SPC'!$E$4),OR('Visual SPC'!$G$4="",'Data Entry'!$D582='Visual SPC'!$G$4),OR('Visual SPC'!$I$4="",'Data Entry'!$E582='Visual SPC'!$I$4),OR('Visual SPC'!$K$4="",'Data Entry'!$F582='Visual SPC'!$K$4)),1,0))</f>
        <v/>
      </c>
      <c r="C582">
        <f>C581+B582</f>
        <v/>
      </c>
      <c r="D582">
        <f>IF(B582=1,INDEX('Data Entry'!$H$5:$BE$10004,582-4,'Visual SPC'!$B$3),"")</f>
        <v/>
      </c>
      <c r="E582">
        <f>IF(B582=1,D582,E581)</f>
        <v/>
      </c>
      <c r="F582">
        <f>IF(AND(B582=1,C582&gt;1,E581&lt;&gt;""),ABS(D582-E581),"")</f>
        <v/>
      </c>
    </row>
    <row r="583">
      <c r="A583" t="n">
        <v>583</v>
      </c>
      <c r="B583">
        <f>IF(INDEX('Data Entry'!$H$5:$BE$10004,583-4,'Visual SPC'!$B$3)="",0,IF(AND(OR('Visual SPC'!$C$4="",'Data Entry'!$C583&gt;='Visual SPC'!$C$4),OR('Visual SPC'!$E$4="",'Data Entry'!$C583&lt;='Visual SPC'!$E$4),OR('Visual SPC'!$G$4="",'Data Entry'!$D583='Visual SPC'!$G$4),OR('Visual SPC'!$I$4="",'Data Entry'!$E583='Visual SPC'!$I$4),OR('Visual SPC'!$K$4="",'Data Entry'!$F583='Visual SPC'!$K$4)),1,0))</f>
        <v/>
      </c>
      <c r="C583">
        <f>C582+B583</f>
        <v/>
      </c>
      <c r="D583">
        <f>IF(B583=1,INDEX('Data Entry'!$H$5:$BE$10004,583-4,'Visual SPC'!$B$3),"")</f>
        <v/>
      </c>
      <c r="E583">
        <f>IF(B583=1,D583,E582)</f>
        <v/>
      </c>
      <c r="F583">
        <f>IF(AND(B583=1,C583&gt;1,E582&lt;&gt;""),ABS(D583-E582),"")</f>
        <v/>
      </c>
    </row>
    <row r="584">
      <c r="A584" t="n">
        <v>584</v>
      </c>
      <c r="B584">
        <f>IF(INDEX('Data Entry'!$H$5:$BE$10004,584-4,'Visual SPC'!$B$3)="",0,IF(AND(OR('Visual SPC'!$C$4="",'Data Entry'!$C584&gt;='Visual SPC'!$C$4),OR('Visual SPC'!$E$4="",'Data Entry'!$C584&lt;='Visual SPC'!$E$4),OR('Visual SPC'!$G$4="",'Data Entry'!$D584='Visual SPC'!$G$4),OR('Visual SPC'!$I$4="",'Data Entry'!$E584='Visual SPC'!$I$4),OR('Visual SPC'!$K$4="",'Data Entry'!$F584='Visual SPC'!$K$4)),1,0))</f>
        <v/>
      </c>
      <c r="C584">
        <f>C583+B584</f>
        <v/>
      </c>
      <c r="D584">
        <f>IF(B584=1,INDEX('Data Entry'!$H$5:$BE$10004,584-4,'Visual SPC'!$B$3),"")</f>
        <v/>
      </c>
      <c r="E584">
        <f>IF(B584=1,D584,E583)</f>
        <v/>
      </c>
      <c r="F584">
        <f>IF(AND(B584=1,C584&gt;1,E583&lt;&gt;""),ABS(D584-E583),"")</f>
        <v/>
      </c>
    </row>
    <row r="585">
      <c r="A585" t="n">
        <v>585</v>
      </c>
      <c r="B585">
        <f>IF(INDEX('Data Entry'!$H$5:$BE$10004,585-4,'Visual SPC'!$B$3)="",0,IF(AND(OR('Visual SPC'!$C$4="",'Data Entry'!$C585&gt;='Visual SPC'!$C$4),OR('Visual SPC'!$E$4="",'Data Entry'!$C585&lt;='Visual SPC'!$E$4),OR('Visual SPC'!$G$4="",'Data Entry'!$D585='Visual SPC'!$G$4),OR('Visual SPC'!$I$4="",'Data Entry'!$E585='Visual SPC'!$I$4),OR('Visual SPC'!$K$4="",'Data Entry'!$F585='Visual SPC'!$K$4)),1,0))</f>
        <v/>
      </c>
      <c r="C585">
        <f>C584+B585</f>
        <v/>
      </c>
      <c r="D585">
        <f>IF(B585=1,INDEX('Data Entry'!$H$5:$BE$10004,585-4,'Visual SPC'!$B$3),"")</f>
        <v/>
      </c>
      <c r="E585">
        <f>IF(B585=1,D585,E584)</f>
        <v/>
      </c>
      <c r="F585">
        <f>IF(AND(B585=1,C585&gt;1,E584&lt;&gt;""),ABS(D585-E584),"")</f>
        <v/>
      </c>
    </row>
    <row r="586">
      <c r="A586" t="n">
        <v>586</v>
      </c>
      <c r="B586">
        <f>IF(INDEX('Data Entry'!$H$5:$BE$10004,586-4,'Visual SPC'!$B$3)="",0,IF(AND(OR('Visual SPC'!$C$4="",'Data Entry'!$C586&gt;='Visual SPC'!$C$4),OR('Visual SPC'!$E$4="",'Data Entry'!$C586&lt;='Visual SPC'!$E$4),OR('Visual SPC'!$G$4="",'Data Entry'!$D586='Visual SPC'!$G$4),OR('Visual SPC'!$I$4="",'Data Entry'!$E586='Visual SPC'!$I$4),OR('Visual SPC'!$K$4="",'Data Entry'!$F586='Visual SPC'!$K$4)),1,0))</f>
        <v/>
      </c>
      <c r="C586">
        <f>C585+B586</f>
        <v/>
      </c>
      <c r="D586">
        <f>IF(B586=1,INDEX('Data Entry'!$H$5:$BE$10004,586-4,'Visual SPC'!$B$3),"")</f>
        <v/>
      </c>
      <c r="E586">
        <f>IF(B586=1,D586,E585)</f>
        <v/>
      </c>
      <c r="F586">
        <f>IF(AND(B586=1,C586&gt;1,E585&lt;&gt;""),ABS(D586-E585),"")</f>
        <v/>
      </c>
    </row>
    <row r="587">
      <c r="A587" t="n">
        <v>587</v>
      </c>
      <c r="B587">
        <f>IF(INDEX('Data Entry'!$H$5:$BE$10004,587-4,'Visual SPC'!$B$3)="",0,IF(AND(OR('Visual SPC'!$C$4="",'Data Entry'!$C587&gt;='Visual SPC'!$C$4),OR('Visual SPC'!$E$4="",'Data Entry'!$C587&lt;='Visual SPC'!$E$4),OR('Visual SPC'!$G$4="",'Data Entry'!$D587='Visual SPC'!$G$4),OR('Visual SPC'!$I$4="",'Data Entry'!$E587='Visual SPC'!$I$4),OR('Visual SPC'!$K$4="",'Data Entry'!$F587='Visual SPC'!$K$4)),1,0))</f>
        <v/>
      </c>
      <c r="C587">
        <f>C586+B587</f>
        <v/>
      </c>
      <c r="D587">
        <f>IF(B587=1,INDEX('Data Entry'!$H$5:$BE$10004,587-4,'Visual SPC'!$B$3),"")</f>
        <v/>
      </c>
      <c r="E587">
        <f>IF(B587=1,D587,E586)</f>
        <v/>
      </c>
      <c r="F587">
        <f>IF(AND(B587=1,C587&gt;1,E586&lt;&gt;""),ABS(D587-E586),"")</f>
        <v/>
      </c>
    </row>
    <row r="588">
      <c r="A588" t="n">
        <v>588</v>
      </c>
      <c r="B588">
        <f>IF(INDEX('Data Entry'!$H$5:$BE$10004,588-4,'Visual SPC'!$B$3)="",0,IF(AND(OR('Visual SPC'!$C$4="",'Data Entry'!$C588&gt;='Visual SPC'!$C$4),OR('Visual SPC'!$E$4="",'Data Entry'!$C588&lt;='Visual SPC'!$E$4),OR('Visual SPC'!$G$4="",'Data Entry'!$D588='Visual SPC'!$G$4),OR('Visual SPC'!$I$4="",'Data Entry'!$E588='Visual SPC'!$I$4),OR('Visual SPC'!$K$4="",'Data Entry'!$F588='Visual SPC'!$K$4)),1,0))</f>
        <v/>
      </c>
      <c r="C588">
        <f>C587+B588</f>
        <v/>
      </c>
      <c r="D588">
        <f>IF(B588=1,INDEX('Data Entry'!$H$5:$BE$10004,588-4,'Visual SPC'!$B$3),"")</f>
        <v/>
      </c>
      <c r="E588">
        <f>IF(B588=1,D588,E587)</f>
        <v/>
      </c>
      <c r="F588">
        <f>IF(AND(B588=1,C588&gt;1,E587&lt;&gt;""),ABS(D588-E587),"")</f>
        <v/>
      </c>
    </row>
    <row r="589">
      <c r="A589" t="n">
        <v>589</v>
      </c>
      <c r="B589">
        <f>IF(INDEX('Data Entry'!$H$5:$BE$10004,589-4,'Visual SPC'!$B$3)="",0,IF(AND(OR('Visual SPC'!$C$4="",'Data Entry'!$C589&gt;='Visual SPC'!$C$4),OR('Visual SPC'!$E$4="",'Data Entry'!$C589&lt;='Visual SPC'!$E$4),OR('Visual SPC'!$G$4="",'Data Entry'!$D589='Visual SPC'!$G$4),OR('Visual SPC'!$I$4="",'Data Entry'!$E589='Visual SPC'!$I$4),OR('Visual SPC'!$K$4="",'Data Entry'!$F589='Visual SPC'!$K$4)),1,0))</f>
        <v/>
      </c>
      <c r="C589">
        <f>C588+B589</f>
        <v/>
      </c>
      <c r="D589">
        <f>IF(B589=1,INDEX('Data Entry'!$H$5:$BE$10004,589-4,'Visual SPC'!$B$3),"")</f>
        <v/>
      </c>
      <c r="E589">
        <f>IF(B589=1,D589,E588)</f>
        <v/>
      </c>
      <c r="F589">
        <f>IF(AND(B589=1,C589&gt;1,E588&lt;&gt;""),ABS(D589-E588),"")</f>
        <v/>
      </c>
    </row>
    <row r="590">
      <c r="A590" t="n">
        <v>590</v>
      </c>
      <c r="B590">
        <f>IF(INDEX('Data Entry'!$H$5:$BE$10004,590-4,'Visual SPC'!$B$3)="",0,IF(AND(OR('Visual SPC'!$C$4="",'Data Entry'!$C590&gt;='Visual SPC'!$C$4),OR('Visual SPC'!$E$4="",'Data Entry'!$C590&lt;='Visual SPC'!$E$4),OR('Visual SPC'!$G$4="",'Data Entry'!$D590='Visual SPC'!$G$4),OR('Visual SPC'!$I$4="",'Data Entry'!$E590='Visual SPC'!$I$4),OR('Visual SPC'!$K$4="",'Data Entry'!$F590='Visual SPC'!$K$4)),1,0))</f>
        <v/>
      </c>
      <c r="C590">
        <f>C589+B590</f>
        <v/>
      </c>
      <c r="D590">
        <f>IF(B590=1,INDEX('Data Entry'!$H$5:$BE$10004,590-4,'Visual SPC'!$B$3),"")</f>
        <v/>
      </c>
      <c r="E590">
        <f>IF(B590=1,D590,E589)</f>
        <v/>
      </c>
      <c r="F590">
        <f>IF(AND(B590=1,C590&gt;1,E589&lt;&gt;""),ABS(D590-E589),"")</f>
        <v/>
      </c>
    </row>
    <row r="591">
      <c r="A591" t="n">
        <v>591</v>
      </c>
      <c r="B591">
        <f>IF(INDEX('Data Entry'!$H$5:$BE$10004,591-4,'Visual SPC'!$B$3)="",0,IF(AND(OR('Visual SPC'!$C$4="",'Data Entry'!$C591&gt;='Visual SPC'!$C$4),OR('Visual SPC'!$E$4="",'Data Entry'!$C591&lt;='Visual SPC'!$E$4),OR('Visual SPC'!$G$4="",'Data Entry'!$D591='Visual SPC'!$G$4),OR('Visual SPC'!$I$4="",'Data Entry'!$E591='Visual SPC'!$I$4),OR('Visual SPC'!$K$4="",'Data Entry'!$F591='Visual SPC'!$K$4)),1,0))</f>
        <v/>
      </c>
      <c r="C591">
        <f>C590+B591</f>
        <v/>
      </c>
      <c r="D591">
        <f>IF(B591=1,INDEX('Data Entry'!$H$5:$BE$10004,591-4,'Visual SPC'!$B$3),"")</f>
        <v/>
      </c>
      <c r="E591">
        <f>IF(B591=1,D591,E590)</f>
        <v/>
      </c>
      <c r="F591">
        <f>IF(AND(B591=1,C591&gt;1,E590&lt;&gt;""),ABS(D591-E590),"")</f>
        <v/>
      </c>
    </row>
    <row r="592">
      <c r="A592" t="n">
        <v>592</v>
      </c>
      <c r="B592">
        <f>IF(INDEX('Data Entry'!$H$5:$BE$10004,592-4,'Visual SPC'!$B$3)="",0,IF(AND(OR('Visual SPC'!$C$4="",'Data Entry'!$C592&gt;='Visual SPC'!$C$4),OR('Visual SPC'!$E$4="",'Data Entry'!$C592&lt;='Visual SPC'!$E$4),OR('Visual SPC'!$G$4="",'Data Entry'!$D592='Visual SPC'!$G$4),OR('Visual SPC'!$I$4="",'Data Entry'!$E592='Visual SPC'!$I$4),OR('Visual SPC'!$K$4="",'Data Entry'!$F592='Visual SPC'!$K$4)),1,0))</f>
        <v/>
      </c>
      <c r="C592">
        <f>C591+B592</f>
        <v/>
      </c>
      <c r="D592">
        <f>IF(B592=1,INDEX('Data Entry'!$H$5:$BE$10004,592-4,'Visual SPC'!$B$3),"")</f>
        <v/>
      </c>
      <c r="E592">
        <f>IF(B592=1,D592,E591)</f>
        <v/>
      </c>
      <c r="F592">
        <f>IF(AND(B592=1,C592&gt;1,E591&lt;&gt;""),ABS(D592-E591),"")</f>
        <v/>
      </c>
    </row>
    <row r="593">
      <c r="A593" t="n">
        <v>593</v>
      </c>
      <c r="B593">
        <f>IF(INDEX('Data Entry'!$H$5:$BE$10004,593-4,'Visual SPC'!$B$3)="",0,IF(AND(OR('Visual SPC'!$C$4="",'Data Entry'!$C593&gt;='Visual SPC'!$C$4),OR('Visual SPC'!$E$4="",'Data Entry'!$C593&lt;='Visual SPC'!$E$4),OR('Visual SPC'!$G$4="",'Data Entry'!$D593='Visual SPC'!$G$4),OR('Visual SPC'!$I$4="",'Data Entry'!$E593='Visual SPC'!$I$4),OR('Visual SPC'!$K$4="",'Data Entry'!$F593='Visual SPC'!$K$4)),1,0))</f>
        <v/>
      </c>
      <c r="C593">
        <f>C592+B593</f>
        <v/>
      </c>
      <c r="D593">
        <f>IF(B593=1,INDEX('Data Entry'!$H$5:$BE$10004,593-4,'Visual SPC'!$B$3),"")</f>
        <v/>
      </c>
      <c r="E593">
        <f>IF(B593=1,D593,E592)</f>
        <v/>
      </c>
      <c r="F593">
        <f>IF(AND(B593=1,C593&gt;1,E592&lt;&gt;""),ABS(D593-E592),"")</f>
        <v/>
      </c>
    </row>
    <row r="594">
      <c r="A594" t="n">
        <v>594</v>
      </c>
      <c r="B594">
        <f>IF(INDEX('Data Entry'!$H$5:$BE$10004,594-4,'Visual SPC'!$B$3)="",0,IF(AND(OR('Visual SPC'!$C$4="",'Data Entry'!$C594&gt;='Visual SPC'!$C$4),OR('Visual SPC'!$E$4="",'Data Entry'!$C594&lt;='Visual SPC'!$E$4),OR('Visual SPC'!$G$4="",'Data Entry'!$D594='Visual SPC'!$G$4),OR('Visual SPC'!$I$4="",'Data Entry'!$E594='Visual SPC'!$I$4),OR('Visual SPC'!$K$4="",'Data Entry'!$F594='Visual SPC'!$K$4)),1,0))</f>
        <v/>
      </c>
      <c r="C594">
        <f>C593+B594</f>
        <v/>
      </c>
      <c r="D594">
        <f>IF(B594=1,INDEX('Data Entry'!$H$5:$BE$10004,594-4,'Visual SPC'!$B$3),"")</f>
        <v/>
      </c>
      <c r="E594">
        <f>IF(B594=1,D594,E593)</f>
        <v/>
      </c>
      <c r="F594">
        <f>IF(AND(B594=1,C594&gt;1,E593&lt;&gt;""),ABS(D594-E593),"")</f>
        <v/>
      </c>
    </row>
    <row r="595">
      <c r="A595" t="n">
        <v>595</v>
      </c>
      <c r="B595">
        <f>IF(INDEX('Data Entry'!$H$5:$BE$10004,595-4,'Visual SPC'!$B$3)="",0,IF(AND(OR('Visual SPC'!$C$4="",'Data Entry'!$C595&gt;='Visual SPC'!$C$4),OR('Visual SPC'!$E$4="",'Data Entry'!$C595&lt;='Visual SPC'!$E$4),OR('Visual SPC'!$G$4="",'Data Entry'!$D595='Visual SPC'!$G$4),OR('Visual SPC'!$I$4="",'Data Entry'!$E595='Visual SPC'!$I$4),OR('Visual SPC'!$K$4="",'Data Entry'!$F595='Visual SPC'!$K$4)),1,0))</f>
        <v/>
      </c>
      <c r="C595">
        <f>C594+B595</f>
        <v/>
      </c>
      <c r="D595">
        <f>IF(B595=1,INDEX('Data Entry'!$H$5:$BE$10004,595-4,'Visual SPC'!$B$3),"")</f>
        <v/>
      </c>
      <c r="E595">
        <f>IF(B595=1,D595,E594)</f>
        <v/>
      </c>
      <c r="F595">
        <f>IF(AND(B595=1,C595&gt;1,E594&lt;&gt;""),ABS(D595-E594),"")</f>
        <v/>
      </c>
    </row>
    <row r="596">
      <c r="A596" t="n">
        <v>596</v>
      </c>
      <c r="B596">
        <f>IF(INDEX('Data Entry'!$H$5:$BE$10004,596-4,'Visual SPC'!$B$3)="",0,IF(AND(OR('Visual SPC'!$C$4="",'Data Entry'!$C596&gt;='Visual SPC'!$C$4),OR('Visual SPC'!$E$4="",'Data Entry'!$C596&lt;='Visual SPC'!$E$4),OR('Visual SPC'!$G$4="",'Data Entry'!$D596='Visual SPC'!$G$4),OR('Visual SPC'!$I$4="",'Data Entry'!$E596='Visual SPC'!$I$4),OR('Visual SPC'!$K$4="",'Data Entry'!$F596='Visual SPC'!$K$4)),1,0))</f>
        <v/>
      </c>
      <c r="C596">
        <f>C595+B596</f>
        <v/>
      </c>
      <c r="D596">
        <f>IF(B596=1,INDEX('Data Entry'!$H$5:$BE$10004,596-4,'Visual SPC'!$B$3),"")</f>
        <v/>
      </c>
      <c r="E596">
        <f>IF(B596=1,D596,E595)</f>
        <v/>
      </c>
      <c r="F596">
        <f>IF(AND(B596=1,C596&gt;1,E595&lt;&gt;""),ABS(D596-E595),"")</f>
        <v/>
      </c>
    </row>
    <row r="597">
      <c r="A597" t="n">
        <v>597</v>
      </c>
      <c r="B597">
        <f>IF(INDEX('Data Entry'!$H$5:$BE$10004,597-4,'Visual SPC'!$B$3)="",0,IF(AND(OR('Visual SPC'!$C$4="",'Data Entry'!$C597&gt;='Visual SPC'!$C$4),OR('Visual SPC'!$E$4="",'Data Entry'!$C597&lt;='Visual SPC'!$E$4),OR('Visual SPC'!$G$4="",'Data Entry'!$D597='Visual SPC'!$G$4),OR('Visual SPC'!$I$4="",'Data Entry'!$E597='Visual SPC'!$I$4),OR('Visual SPC'!$K$4="",'Data Entry'!$F597='Visual SPC'!$K$4)),1,0))</f>
        <v/>
      </c>
      <c r="C597">
        <f>C596+B597</f>
        <v/>
      </c>
      <c r="D597">
        <f>IF(B597=1,INDEX('Data Entry'!$H$5:$BE$10004,597-4,'Visual SPC'!$B$3),"")</f>
        <v/>
      </c>
      <c r="E597">
        <f>IF(B597=1,D597,E596)</f>
        <v/>
      </c>
      <c r="F597">
        <f>IF(AND(B597=1,C597&gt;1,E596&lt;&gt;""),ABS(D597-E596),"")</f>
        <v/>
      </c>
    </row>
    <row r="598">
      <c r="A598" t="n">
        <v>598</v>
      </c>
      <c r="B598">
        <f>IF(INDEX('Data Entry'!$H$5:$BE$10004,598-4,'Visual SPC'!$B$3)="",0,IF(AND(OR('Visual SPC'!$C$4="",'Data Entry'!$C598&gt;='Visual SPC'!$C$4),OR('Visual SPC'!$E$4="",'Data Entry'!$C598&lt;='Visual SPC'!$E$4),OR('Visual SPC'!$G$4="",'Data Entry'!$D598='Visual SPC'!$G$4),OR('Visual SPC'!$I$4="",'Data Entry'!$E598='Visual SPC'!$I$4),OR('Visual SPC'!$K$4="",'Data Entry'!$F598='Visual SPC'!$K$4)),1,0))</f>
        <v/>
      </c>
      <c r="C598">
        <f>C597+B598</f>
        <v/>
      </c>
      <c r="D598">
        <f>IF(B598=1,INDEX('Data Entry'!$H$5:$BE$10004,598-4,'Visual SPC'!$B$3),"")</f>
        <v/>
      </c>
      <c r="E598">
        <f>IF(B598=1,D598,E597)</f>
        <v/>
      </c>
      <c r="F598">
        <f>IF(AND(B598=1,C598&gt;1,E597&lt;&gt;""),ABS(D598-E597),"")</f>
        <v/>
      </c>
    </row>
    <row r="599">
      <c r="A599" t="n">
        <v>599</v>
      </c>
      <c r="B599">
        <f>IF(INDEX('Data Entry'!$H$5:$BE$10004,599-4,'Visual SPC'!$B$3)="",0,IF(AND(OR('Visual SPC'!$C$4="",'Data Entry'!$C599&gt;='Visual SPC'!$C$4),OR('Visual SPC'!$E$4="",'Data Entry'!$C599&lt;='Visual SPC'!$E$4),OR('Visual SPC'!$G$4="",'Data Entry'!$D599='Visual SPC'!$G$4),OR('Visual SPC'!$I$4="",'Data Entry'!$E599='Visual SPC'!$I$4),OR('Visual SPC'!$K$4="",'Data Entry'!$F599='Visual SPC'!$K$4)),1,0))</f>
        <v/>
      </c>
      <c r="C599">
        <f>C598+B599</f>
        <v/>
      </c>
      <c r="D599">
        <f>IF(B599=1,INDEX('Data Entry'!$H$5:$BE$10004,599-4,'Visual SPC'!$B$3),"")</f>
        <v/>
      </c>
      <c r="E599">
        <f>IF(B599=1,D599,E598)</f>
        <v/>
      </c>
      <c r="F599">
        <f>IF(AND(B599=1,C599&gt;1,E598&lt;&gt;""),ABS(D599-E598),"")</f>
        <v/>
      </c>
    </row>
    <row r="600">
      <c r="A600" t="n">
        <v>600</v>
      </c>
      <c r="B600">
        <f>IF(INDEX('Data Entry'!$H$5:$BE$10004,600-4,'Visual SPC'!$B$3)="",0,IF(AND(OR('Visual SPC'!$C$4="",'Data Entry'!$C600&gt;='Visual SPC'!$C$4),OR('Visual SPC'!$E$4="",'Data Entry'!$C600&lt;='Visual SPC'!$E$4),OR('Visual SPC'!$G$4="",'Data Entry'!$D600='Visual SPC'!$G$4),OR('Visual SPC'!$I$4="",'Data Entry'!$E600='Visual SPC'!$I$4),OR('Visual SPC'!$K$4="",'Data Entry'!$F600='Visual SPC'!$K$4)),1,0))</f>
        <v/>
      </c>
      <c r="C600">
        <f>C599+B600</f>
        <v/>
      </c>
      <c r="D600">
        <f>IF(B600=1,INDEX('Data Entry'!$H$5:$BE$10004,600-4,'Visual SPC'!$B$3),"")</f>
        <v/>
      </c>
      <c r="E600">
        <f>IF(B600=1,D600,E599)</f>
        <v/>
      </c>
      <c r="F600">
        <f>IF(AND(B600=1,C600&gt;1,E599&lt;&gt;""),ABS(D600-E599),"")</f>
        <v/>
      </c>
    </row>
    <row r="601">
      <c r="A601" t="n">
        <v>601</v>
      </c>
      <c r="B601">
        <f>IF(INDEX('Data Entry'!$H$5:$BE$10004,601-4,'Visual SPC'!$B$3)="",0,IF(AND(OR('Visual SPC'!$C$4="",'Data Entry'!$C601&gt;='Visual SPC'!$C$4),OR('Visual SPC'!$E$4="",'Data Entry'!$C601&lt;='Visual SPC'!$E$4),OR('Visual SPC'!$G$4="",'Data Entry'!$D601='Visual SPC'!$G$4),OR('Visual SPC'!$I$4="",'Data Entry'!$E601='Visual SPC'!$I$4),OR('Visual SPC'!$K$4="",'Data Entry'!$F601='Visual SPC'!$K$4)),1,0))</f>
        <v/>
      </c>
      <c r="C601">
        <f>C600+B601</f>
        <v/>
      </c>
      <c r="D601">
        <f>IF(B601=1,INDEX('Data Entry'!$H$5:$BE$10004,601-4,'Visual SPC'!$B$3),"")</f>
        <v/>
      </c>
      <c r="E601">
        <f>IF(B601=1,D601,E600)</f>
        <v/>
      </c>
      <c r="F601">
        <f>IF(AND(B601=1,C601&gt;1,E600&lt;&gt;""),ABS(D601-E600),"")</f>
        <v/>
      </c>
    </row>
    <row r="602">
      <c r="A602" t="n">
        <v>602</v>
      </c>
      <c r="B602">
        <f>IF(INDEX('Data Entry'!$H$5:$BE$10004,602-4,'Visual SPC'!$B$3)="",0,IF(AND(OR('Visual SPC'!$C$4="",'Data Entry'!$C602&gt;='Visual SPC'!$C$4),OR('Visual SPC'!$E$4="",'Data Entry'!$C602&lt;='Visual SPC'!$E$4),OR('Visual SPC'!$G$4="",'Data Entry'!$D602='Visual SPC'!$G$4),OR('Visual SPC'!$I$4="",'Data Entry'!$E602='Visual SPC'!$I$4),OR('Visual SPC'!$K$4="",'Data Entry'!$F602='Visual SPC'!$K$4)),1,0))</f>
        <v/>
      </c>
      <c r="C602">
        <f>C601+B602</f>
        <v/>
      </c>
      <c r="D602">
        <f>IF(B602=1,INDEX('Data Entry'!$H$5:$BE$10004,602-4,'Visual SPC'!$B$3),"")</f>
        <v/>
      </c>
      <c r="E602">
        <f>IF(B602=1,D602,E601)</f>
        <v/>
      </c>
      <c r="F602">
        <f>IF(AND(B602=1,C602&gt;1,E601&lt;&gt;""),ABS(D602-E601),"")</f>
        <v/>
      </c>
    </row>
    <row r="603">
      <c r="A603" t="n">
        <v>603</v>
      </c>
      <c r="B603">
        <f>IF(INDEX('Data Entry'!$H$5:$BE$10004,603-4,'Visual SPC'!$B$3)="",0,IF(AND(OR('Visual SPC'!$C$4="",'Data Entry'!$C603&gt;='Visual SPC'!$C$4),OR('Visual SPC'!$E$4="",'Data Entry'!$C603&lt;='Visual SPC'!$E$4),OR('Visual SPC'!$G$4="",'Data Entry'!$D603='Visual SPC'!$G$4),OR('Visual SPC'!$I$4="",'Data Entry'!$E603='Visual SPC'!$I$4),OR('Visual SPC'!$K$4="",'Data Entry'!$F603='Visual SPC'!$K$4)),1,0))</f>
        <v/>
      </c>
      <c r="C603">
        <f>C602+B603</f>
        <v/>
      </c>
      <c r="D603">
        <f>IF(B603=1,INDEX('Data Entry'!$H$5:$BE$10004,603-4,'Visual SPC'!$B$3),"")</f>
        <v/>
      </c>
      <c r="E603">
        <f>IF(B603=1,D603,E602)</f>
        <v/>
      </c>
      <c r="F603">
        <f>IF(AND(B603=1,C603&gt;1,E602&lt;&gt;""),ABS(D603-E602),"")</f>
        <v/>
      </c>
    </row>
    <row r="604">
      <c r="A604" t="n">
        <v>604</v>
      </c>
      <c r="B604">
        <f>IF(INDEX('Data Entry'!$H$5:$BE$10004,604-4,'Visual SPC'!$B$3)="",0,IF(AND(OR('Visual SPC'!$C$4="",'Data Entry'!$C604&gt;='Visual SPC'!$C$4),OR('Visual SPC'!$E$4="",'Data Entry'!$C604&lt;='Visual SPC'!$E$4),OR('Visual SPC'!$G$4="",'Data Entry'!$D604='Visual SPC'!$G$4),OR('Visual SPC'!$I$4="",'Data Entry'!$E604='Visual SPC'!$I$4),OR('Visual SPC'!$K$4="",'Data Entry'!$F604='Visual SPC'!$K$4)),1,0))</f>
        <v/>
      </c>
      <c r="C604">
        <f>C603+B604</f>
        <v/>
      </c>
      <c r="D604">
        <f>IF(B604=1,INDEX('Data Entry'!$H$5:$BE$10004,604-4,'Visual SPC'!$B$3),"")</f>
        <v/>
      </c>
      <c r="E604">
        <f>IF(B604=1,D604,E603)</f>
        <v/>
      </c>
      <c r="F604">
        <f>IF(AND(B604=1,C604&gt;1,E603&lt;&gt;""),ABS(D604-E603),"")</f>
        <v/>
      </c>
    </row>
    <row r="605">
      <c r="A605" t="n">
        <v>605</v>
      </c>
      <c r="B605">
        <f>IF(INDEX('Data Entry'!$H$5:$BE$10004,605-4,'Visual SPC'!$B$3)="",0,IF(AND(OR('Visual SPC'!$C$4="",'Data Entry'!$C605&gt;='Visual SPC'!$C$4),OR('Visual SPC'!$E$4="",'Data Entry'!$C605&lt;='Visual SPC'!$E$4),OR('Visual SPC'!$G$4="",'Data Entry'!$D605='Visual SPC'!$G$4),OR('Visual SPC'!$I$4="",'Data Entry'!$E605='Visual SPC'!$I$4),OR('Visual SPC'!$K$4="",'Data Entry'!$F605='Visual SPC'!$K$4)),1,0))</f>
        <v/>
      </c>
      <c r="C605">
        <f>C604+B605</f>
        <v/>
      </c>
      <c r="D605">
        <f>IF(B605=1,INDEX('Data Entry'!$H$5:$BE$10004,605-4,'Visual SPC'!$B$3),"")</f>
        <v/>
      </c>
      <c r="E605">
        <f>IF(B605=1,D605,E604)</f>
        <v/>
      </c>
      <c r="F605">
        <f>IF(AND(B605=1,C605&gt;1,E604&lt;&gt;""),ABS(D605-E604),"")</f>
        <v/>
      </c>
    </row>
    <row r="606">
      <c r="A606" t="n">
        <v>606</v>
      </c>
      <c r="B606">
        <f>IF(INDEX('Data Entry'!$H$5:$BE$10004,606-4,'Visual SPC'!$B$3)="",0,IF(AND(OR('Visual SPC'!$C$4="",'Data Entry'!$C606&gt;='Visual SPC'!$C$4),OR('Visual SPC'!$E$4="",'Data Entry'!$C606&lt;='Visual SPC'!$E$4),OR('Visual SPC'!$G$4="",'Data Entry'!$D606='Visual SPC'!$G$4),OR('Visual SPC'!$I$4="",'Data Entry'!$E606='Visual SPC'!$I$4),OR('Visual SPC'!$K$4="",'Data Entry'!$F606='Visual SPC'!$K$4)),1,0))</f>
        <v/>
      </c>
      <c r="C606">
        <f>C605+B606</f>
        <v/>
      </c>
      <c r="D606">
        <f>IF(B606=1,INDEX('Data Entry'!$H$5:$BE$10004,606-4,'Visual SPC'!$B$3),"")</f>
        <v/>
      </c>
      <c r="E606">
        <f>IF(B606=1,D606,E605)</f>
        <v/>
      </c>
      <c r="F606">
        <f>IF(AND(B606=1,C606&gt;1,E605&lt;&gt;""),ABS(D606-E605),"")</f>
        <v/>
      </c>
    </row>
    <row r="607">
      <c r="A607" t="n">
        <v>607</v>
      </c>
      <c r="B607">
        <f>IF(INDEX('Data Entry'!$H$5:$BE$10004,607-4,'Visual SPC'!$B$3)="",0,IF(AND(OR('Visual SPC'!$C$4="",'Data Entry'!$C607&gt;='Visual SPC'!$C$4),OR('Visual SPC'!$E$4="",'Data Entry'!$C607&lt;='Visual SPC'!$E$4),OR('Visual SPC'!$G$4="",'Data Entry'!$D607='Visual SPC'!$G$4),OR('Visual SPC'!$I$4="",'Data Entry'!$E607='Visual SPC'!$I$4),OR('Visual SPC'!$K$4="",'Data Entry'!$F607='Visual SPC'!$K$4)),1,0))</f>
        <v/>
      </c>
      <c r="C607">
        <f>C606+B607</f>
        <v/>
      </c>
      <c r="D607">
        <f>IF(B607=1,INDEX('Data Entry'!$H$5:$BE$10004,607-4,'Visual SPC'!$B$3),"")</f>
        <v/>
      </c>
      <c r="E607">
        <f>IF(B607=1,D607,E606)</f>
        <v/>
      </c>
      <c r="F607">
        <f>IF(AND(B607=1,C607&gt;1,E606&lt;&gt;""),ABS(D607-E606),"")</f>
        <v/>
      </c>
    </row>
    <row r="608">
      <c r="A608" t="n">
        <v>608</v>
      </c>
      <c r="B608">
        <f>IF(INDEX('Data Entry'!$H$5:$BE$10004,608-4,'Visual SPC'!$B$3)="",0,IF(AND(OR('Visual SPC'!$C$4="",'Data Entry'!$C608&gt;='Visual SPC'!$C$4),OR('Visual SPC'!$E$4="",'Data Entry'!$C608&lt;='Visual SPC'!$E$4),OR('Visual SPC'!$G$4="",'Data Entry'!$D608='Visual SPC'!$G$4),OR('Visual SPC'!$I$4="",'Data Entry'!$E608='Visual SPC'!$I$4),OR('Visual SPC'!$K$4="",'Data Entry'!$F608='Visual SPC'!$K$4)),1,0))</f>
        <v/>
      </c>
      <c r="C608">
        <f>C607+B608</f>
        <v/>
      </c>
      <c r="D608">
        <f>IF(B608=1,INDEX('Data Entry'!$H$5:$BE$10004,608-4,'Visual SPC'!$B$3),"")</f>
        <v/>
      </c>
      <c r="E608">
        <f>IF(B608=1,D608,E607)</f>
        <v/>
      </c>
      <c r="F608">
        <f>IF(AND(B608=1,C608&gt;1,E607&lt;&gt;""),ABS(D608-E607),"")</f>
        <v/>
      </c>
    </row>
    <row r="609">
      <c r="A609" t="n">
        <v>609</v>
      </c>
      <c r="B609">
        <f>IF(INDEX('Data Entry'!$H$5:$BE$10004,609-4,'Visual SPC'!$B$3)="",0,IF(AND(OR('Visual SPC'!$C$4="",'Data Entry'!$C609&gt;='Visual SPC'!$C$4),OR('Visual SPC'!$E$4="",'Data Entry'!$C609&lt;='Visual SPC'!$E$4),OR('Visual SPC'!$G$4="",'Data Entry'!$D609='Visual SPC'!$G$4),OR('Visual SPC'!$I$4="",'Data Entry'!$E609='Visual SPC'!$I$4),OR('Visual SPC'!$K$4="",'Data Entry'!$F609='Visual SPC'!$K$4)),1,0))</f>
        <v/>
      </c>
      <c r="C609">
        <f>C608+B609</f>
        <v/>
      </c>
      <c r="D609">
        <f>IF(B609=1,INDEX('Data Entry'!$H$5:$BE$10004,609-4,'Visual SPC'!$B$3),"")</f>
        <v/>
      </c>
      <c r="E609">
        <f>IF(B609=1,D609,E608)</f>
        <v/>
      </c>
      <c r="F609">
        <f>IF(AND(B609=1,C609&gt;1,E608&lt;&gt;""),ABS(D609-E608),"")</f>
        <v/>
      </c>
    </row>
    <row r="610">
      <c r="A610" t="n">
        <v>610</v>
      </c>
      <c r="B610">
        <f>IF(INDEX('Data Entry'!$H$5:$BE$10004,610-4,'Visual SPC'!$B$3)="",0,IF(AND(OR('Visual SPC'!$C$4="",'Data Entry'!$C610&gt;='Visual SPC'!$C$4),OR('Visual SPC'!$E$4="",'Data Entry'!$C610&lt;='Visual SPC'!$E$4),OR('Visual SPC'!$G$4="",'Data Entry'!$D610='Visual SPC'!$G$4),OR('Visual SPC'!$I$4="",'Data Entry'!$E610='Visual SPC'!$I$4),OR('Visual SPC'!$K$4="",'Data Entry'!$F610='Visual SPC'!$K$4)),1,0))</f>
        <v/>
      </c>
      <c r="C610">
        <f>C609+B610</f>
        <v/>
      </c>
      <c r="D610">
        <f>IF(B610=1,INDEX('Data Entry'!$H$5:$BE$10004,610-4,'Visual SPC'!$B$3),"")</f>
        <v/>
      </c>
      <c r="E610">
        <f>IF(B610=1,D610,E609)</f>
        <v/>
      </c>
      <c r="F610">
        <f>IF(AND(B610=1,C610&gt;1,E609&lt;&gt;""),ABS(D610-E609),"")</f>
        <v/>
      </c>
    </row>
    <row r="611">
      <c r="A611" t="n">
        <v>611</v>
      </c>
      <c r="B611">
        <f>IF(INDEX('Data Entry'!$H$5:$BE$10004,611-4,'Visual SPC'!$B$3)="",0,IF(AND(OR('Visual SPC'!$C$4="",'Data Entry'!$C611&gt;='Visual SPC'!$C$4),OR('Visual SPC'!$E$4="",'Data Entry'!$C611&lt;='Visual SPC'!$E$4),OR('Visual SPC'!$G$4="",'Data Entry'!$D611='Visual SPC'!$G$4),OR('Visual SPC'!$I$4="",'Data Entry'!$E611='Visual SPC'!$I$4),OR('Visual SPC'!$K$4="",'Data Entry'!$F611='Visual SPC'!$K$4)),1,0))</f>
        <v/>
      </c>
      <c r="C611">
        <f>C610+B611</f>
        <v/>
      </c>
      <c r="D611">
        <f>IF(B611=1,INDEX('Data Entry'!$H$5:$BE$10004,611-4,'Visual SPC'!$B$3),"")</f>
        <v/>
      </c>
      <c r="E611">
        <f>IF(B611=1,D611,E610)</f>
        <v/>
      </c>
      <c r="F611">
        <f>IF(AND(B611=1,C611&gt;1,E610&lt;&gt;""),ABS(D611-E610),"")</f>
        <v/>
      </c>
    </row>
    <row r="612">
      <c r="A612" t="n">
        <v>612</v>
      </c>
      <c r="B612">
        <f>IF(INDEX('Data Entry'!$H$5:$BE$10004,612-4,'Visual SPC'!$B$3)="",0,IF(AND(OR('Visual SPC'!$C$4="",'Data Entry'!$C612&gt;='Visual SPC'!$C$4),OR('Visual SPC'!$E$4="",'Data Entry'!$C612&lt;='Visual SPC'!$E$4),OR('Visual SPC'!$G$4="",'Data Entry'!$D612='Visual SPC'!$G$4),OR('Visual SPC'!$I$4="",'Data Entry'!$E612='Visual SPC'!$I$4),OR('Visual SPC'!$K$4="",'Data Entry'!$F612='Visual SPC'!$K$4)),1,0))</f>
        <v/>
      </c>
      <c r="C612">
        <f>C611+B612</f>
        <v/>
      </c>
      <c r="D612">
        <f>IF(B612=1,INDEX('Data Entry'!$H$5:$BE$10004,612-4,'Visual SPC'!$B$3),"")</f>
        <v/>
      </c>
      <c r="E612">
        <f>IF(B612=1,D612,E611)</f>
        <v/>
      </c>
      <c r="F612">
        <f>IF(AND(B612=1,C612&gt;1,E611&lt;&gt;""),ABS(D612-E611),"")</f>
        <v/>
      </c>
    </row>
    <row r="613">
      <c r="A613" t="n">
        <v>613</v>
      </c>
      <c r="B613">
        <f>IF(INDEX('Data Entry'!$H$5:$BE$10004,613-4,'Visual SPC'!$B$3)="",0,IF(AND(OR('Visual SPC'!$C$4="",'Data Entry'!$C613&gt;='Visual SPC'!$C$4),OR('Visual SPC'!$E$4="",'Data Entry'!$C613&lt;='Visual SPC'!$E$4),OR('Visual SPC'!$G$4="",'Data Entry'!$D613='Visual SPC'!$G$4),OR('Visual SPC'!$I$4="",'Data Entry'!$E613='Visual SPC'!$I$4),OR('Visual SPC'!$K$4="",'Data Entry'!$F613='Visual SPC'!$K$4)),1,0))</f>
        <v/>
      </c>
      <c r="C613">
        <f>C612+B613</f>
        <v/>
      </c>
      <c r="D613">
        <f>IF(B613=1,INDEX('Data Entry'!$H$5:$BE$10004,613-4,'Visual SPC'!$B$3),"")</f>
        <v/>
      </c>
      <c r="E613">
        <f>IF(B613=1,D613,E612)</f>
        <v/>
      </c>
      <c r="F613">
        <f>IF(AND(B613=1,C613&gt;1,E612&lt;&gt;""),ABS(D613-E612),"")</f>
        <v/>
      </c>
    </row>
    <row r="614">
      <c r="A614" t="n">
        <v>614</v>
      </c>
      <c r="B614">
        <f>IF(INDEX('Data Entry'!$H$5:$BE$10004,614-4,'Visual SPC'!$B$3)="",0,IF(AND(OR('Visual SPC'!$C$4="",'Data Entry'!$C614&gt;='Visual SPC'!$C$4),OR('Visual SPC'!$E$4="",'Data Entry'!$C614&lt;='Visual SPC'!$E$4),OR('Visual SPC'!$G$4="",'Data Entry'!$D614='Visual SPC'!$G$4),OR('Visual SPC'!$I$4="",'Data Entry'!$E614='Visual SPC'!$I$4),OR('Visual SPC'!$K$4="",'Data Entry'!$F614='Visual SPC'!$K$4)),1,0))</f>
        <v/>
      </c>
      <c r="C614">
        <f>C613+B614</f>
        <v/>
      </c>
      <c r="D614">
        <f>IF(B614=1,INDEX('Data Entry'!$H$5:$BE$10004,614-4,'Visual SPC'!$B$3),"")</f>
        <v/>
      </c>
      <c r="E614">
        <f>IF(B614=1,D614,E613)</f>
        <v/>
      </c>
      <c r="F614">
        <f>IF(AND(B614=1,C614&gt;1,E613&lt;&gt;""),ABS(D614-E613),"")</f>
        <v/>
      </c>
    </row>
    <row r="615">
      <c r="A615" t="n">
        <v>615</v>
      </c>
      <c r="B615">
        <f>IF(INDEX('Data Entry'!$H$5:$BE$10004,615-4,'Visual SPC'!$B$3)="",0,IF(AND(OR('Visual SPC'!$C$4="",'Data Entry'!$C615&gt;='Visual SPC'!$C$4),OR('Visual SPC'!$E$4="",'Data Entry'!$C615&lt;='Visual SPC'!$E$4),OR('Visual SPC'!$G$4="",'Data Entry'!$D615='Visual SPC'!$G$4),OR('Visual SPC'!$I$4="",'Data Entry'!$E615='Visual SPC'!$I$4),OR('Visual SPC'!$K$4="",'Data Entry'!$F615='Visual SPC'!$K$4)),1,0))</f>
        <v/>
      </c>
      <c r="C615">
        <f>C614+B615</f>
        <v/>
      </c>
      <c r="D615">
        <f>IF(B615=1,INDEX('Data Entry'!$H$5:$BE$10004,615-4,'Visual SPC'!$B$3),"")</f>
        <v/>
      </c>
      <c r="E615">
        <f>IF(B615=1,D615,E614)</f>
        <v/>
      </c>
      <c r="F615">
        <f>IF(AND(B615=1,C615&gt;1,E614&lt;&gt;""),ABS(D615-E614),"")</f>
        <v/>
      </c>
    </row>
    <row r="616">
      <c r="A616" t="n">
        <v>616</v>
      </c>
      <c r="B616">
        <f>IF(INDEX('Data Entry'!$H$5:$BE$10004,616-4,'Visual SPC'!$B$3)="",0,IF(AND(OR('Visual SPC'!$C$4="",'Data Entry'!$C616&gt;='Visual SPC'!$C$4),OR('Visual SPC'!$E$4="",'Data Entry'!$C616&lt;='Visual SPC'!$E$4),OR('Visual SPC'!$G$4="",'Data Entry'!$D616='Visual SPC'!$G$4),OR('Visual SPC'!$I$4="",'Data Entry'!$E616='Visual SPC'!$I$4),OR('Visual SPC'!$K$4="",'Data Entry'!$F616='Visual SPC'!$K$4)),1,0))</f>
        <v/>
      </c>
      <c r="C616">
        <f>C615+B616</f>
        <v/>
      </c>
      <c r="D616">
        <f>IF(B616=1,INDEX('Data Entry'!$H$5:$BE$10004,616-4,'Visual SPC'!$B$3),"")</f>
        <v/>
      </c>
      <c r="E616">
        <f>IF(B616=1,D616,E615)</f>
        <v/>
      </c>
      <c r="F616">
        <f>IF(AND(B616=1,C616&gt;1,E615&lt;&gt;""),ABS(D616-E615),"")</f>
        <v/>
      </c>
    </row>
    <row r="617">
      <c r="A617" t="n">
        <v>617</v>
      </c>
      <c r="B617">
        <f>IF(INDEX('Data Entry'!$H$5:$BE$10004,617-4,'Visual SPC'!$B$3)="",0,IF(AND(OR('Visual SPC'!$C$4="",'Data Entry'!$C617&gt;='Visual SPC'!$C$4),OR('Visual SPC'!$E$4="",'Data Entry'!$C617&lt;='Visual SPC'!$E$4),OR('Visual SPC'!$G$4="",'Data Entry'!$D617='Visual SPC'!$G$4),OR('Visual SPC'!$I$4="",'Data Entry'!$E617='Visual SPC'!$I$4),OR('Visual SPC'!$K$4="",'Data Entry'!$F617='Visual SPC'!$K$4)),1,0))</f>
        <v/>
      </c>
      <c r="C617">
        <f>C616+B617</f>
        <v/>
      </c>
      <c r="D617">
        <f>IF(B617=1,INDEX('Data Entry'!$H$5:$BE$10004,617-4,'Visual SPC'!$B$3),"")</f>
        <v/>
      </c>
      <c r="E617">
        <f>IF(B617=1,D617,E616)</f>
        <v/>
      </c>
      <c r="F617">
        <f>IF(AND(B617=1,C617&gt;1,E616&lt;&gt;""),ABS(D617-E616),"")</f>
        <v/>
      </c>
    </row>
    <row r="618">
      <c r="A618" t="n">
        <v>618</v>
      </c>
      <c r="B618">
        <f>IF(INDEX('Data Entry'!$H$5:$BE$10004,618-4,'Visual SPC'!$B$3)="",0,IF(AND(OR('Visual SPC'!$C$4="",'Data Entry'!$C618&gt;='Visual SPC'!$C$4),OR('Visual SPC'!$E$4="",'Data Entry'!$C618&lt;='Visual SPC'!$E$4),OR('Visual SPC'!$G$4="",'Data Entry'!$D618='Visual SPC'!$G$4),OR('Visual SPC'!$I$4="",'Data Entry'!$E618='Visual SPC'!$I$4),OR('Visual SPC'!$K$4="",'Data Entry'!$F618='Visual SPC'!$K$4)),1,0))</f>
        <v/>
      </c>
      <c r="C618">
        <f>C617+B618</f>
        <v/>
      </c>
      <c r="D618">
        <f>IF(B618=1,INDEX('Data Entry'!$H$5:$BE$10004,618-4,'Visual SPC'!$B$3),"")</f>
        <v/>
      </c>
      <c r="E618">
        <f>IF(B618=1,D618,E617)</f>
        <v/>
      </c>
      <c r="F618">
        <f>IF(AND(B618=1,C618&gt;1,E617&lt;&gt;""),ABS(D618-E617),"")</f>
        <v/>
      </c>
    </row>
    <row r="619">
      <c r="A619" t="n">
        <v>619</v>
      </c>
      <c r="B619">
        <f>IF(INDEX('Data Entry'!$H$5:$BE$10004,619-4,'Visual SPC'!$B$3)="",0,IF(AND(OR('Visual SPC'!$C$4="",'Data Entry'!$C619&gt;='Visual SPC'!$C$4),OR('Visual SPC'!$E$4="",'Data Entry'!$C619&lt;='Visual SPC'!$E$4),OR('Visual SPC'!$G$4="",'Data Entry'!$D619='Visual SPC'!$G$4),OR('Visual SPC'!$I$4="",'Data Entry'!$E619='Visual SPC'!$I$4),OR('Visual SPC'!$K$4="",'Data Entry'!$F619='Visual SPC'!$K$4)),1,0))</f>
        <v/>
      </c>
      <c r="C619">
        <f>C618+B619</f>
        <v/>
      </c>
      <c r="D619">
        <f>IF(B619=1,INDEX('Data Entry'!$H$5:$BE$10004,619-4,'Visual SPC'!$B$3),"")</f>
        <v/>
      </c>
      <c r="E619">
        <f>IF(B619=1,D619,E618)</f>
        <v/>
      </c>
      <c r="F619">
        <f>IF(AND(B619=1,C619&gt;1,E618&lt;&gt;""),ABS(D619-E618),"")</f>
        <v/>
      </c>
    </row>
    <row r="620">
      <c r="A620" t="n">
        <v>620</v>
      </c>
      <c r="B620">
        <f>IF(INDEX('Data Entry'!$H$5:$BE$10004,620-4,'Visual SPC'!$B$3)="",0,IF(AND(OR('Visual SPC'!$C$4="",'Data Entry'!$C620&gt;='Visual SPC'!$C$4),OR('Visual SPC'!$E$4="",'Data Entry'!$C620&lt;='Visual SPC'!$E$4),OR('Visual SPC'!$G$4="",'Data Entry'!$D620='Visual SPC'!$G$4),OR('Visual SPC'!$I$4="",'Data Entry'!$E620='Visual SPC'!$I$4),OR('Visual SPC'!$K$4="",'Data Entry'!$F620='Visual SPC'!$K$4)),1,0))</f>
        <v/>
      </c>
      <c r="C620">
        <f>C619+B620</f>
        <v/>
      </c>
      <c r="D620">
        <f>IF(B620=1,INDEX('Data Entry'!$H$5:$BE$10004,620-4,'Visual SPC'!$B$3),"")</f>
        <v/>
      </c>
      <c r="E620">
        <f>IF(B620=1,D620,E619)</f>
        <v/>
      </c>
      <c r="F620">
        <f>IF(AND(B620=1,C620&gt;1,E619&lt;&gt;""),ABS(D620-E619),"")</f>
        <v/>
      </c>
    </row>
    <row r="621">
      <c r="A621" t="n">
        <v>621</v>
      </c>
      <c r="B621">
        <f>IF(INDEX('Data Entry'!$H$5:$BE$10004,621-4,'Visual SPC'!$B$3)="",0,IF(AND(OR('Visual SPC'!$C$4="",'Data Entry'!$C621&gt;='Visual SPC'!$C$4),OR('Visual SPC'!$E$4="",'Data Entry'!$C621&lt;='Visual SPC'!$E$4),OR('Visual SPC'!$G$4="",'Data Entry'!$D621='Visual SPC'!$G$4),OR('Visual SPC'!$I$4="",'Data Entry'!$E621='Visual SPC'!$I$4),OR('Visual SPC'!$K$4="",'Data Entry'!$F621='Visual SPC'!$K$4)),1,0))</f>
        <v/>
      </c>
      <c r="C621">
        <f>C620+B621</f>
        <v/>
      </c>
      <c r="D621">
        <f>IF(B621=1,INDEX('Data Entry'!$H$5:$BE$10004,621-4,'Visual SPC'!$B$3),"")</f>
        <v/>
      </c>
      <c r="E621">
        <f>IF(B621=1,D621,E620)</f>
        <v/>
      </c>
      <c r="F621">
        <f>IF(AND(B621=1,C621&gt;1,E620&lt;&gt;""),ABS(D621-E620),"")</f>
        <v/>
      </c>
    </row>
    <row r="622">
      <c r="A622" t="n">
        <v>622</v>
      </c>
      <c r="B622">
        <f>IF(INDEX('Data Entry'!$H$5:$BE$10004,622-4,'Visual SPC'!$B$3)="",0,IF(AND(OR('Visual SPC'!$C$4="",'Data Entry'!$C622&gt;='Visual SPC'!$C$4),OR('Visual SPC'!$E$4="",'Data Entry'!$C622&lt;='Visual SPC'!$E$4),OR('Visual SPC'!$G$4="",'Data Entry'!$D622='Visual SPC'!$G$4),OR('Visual SPC'!$I$4="",'Data Entry'!$E622='Visual SPC'!$I$4),OR('Visual SPC'!$K$4="",'Data Entry'!$F622='Visual SPC'!$K$4)),1,0))</f>
        <v/>
      </c>
      <c r="C622">
        <f>C621+B622</f>
        <v/>
      </c>
      <c r="D622">
        <f>IF(B622=1,INDEX('Data Entry'!$H$5:$BE$10004,622-4,'Visual SPC'!$B$3),"")</f>
        <v/>
      </c>
      <c r="E622">
        <f>IF(B622=1,D622,E621)</f>
        <v/>
      </c>
      <c r="F622">
        <f>IF(AND(B622=1,C622&gt;1,E621&lt;&gt;""),ABS(D622-E621),"")</f>
        <v/>
      </c>
    </row>
    <row r="623">
      <c r="A623" t="n">
        <v>623</v>
      </c>
      <c r="B623">
        <f>IF(INDEX('Data Entry'!$H$5:$BE$10004,623-4,'Visual SPC'!$B$3)="",0,IF(AND(OR('Visual SPC'!$C$4="",'Data Entry'!$C623&gt;='Visual SPC'!$C$4),OR('Visual SPC'!$E$4="",'Data Entry'!$C623&lt;='Visual SPC'!$E$4),OR('Visual SPC'!$G$4="",'Data Entry'!$D623='Visual SPC'!$G$4),OR('Visual SPC'!$I$4="",'Data Entry'!$E623='Visual SPC'!$I$4),OR('Visual SPC'!$K$4="",'Data Entry'!$F623='Visual SPC'!$K$4)),1,0))</f>
        <v/>
      </c>
      <c r="C623">
        <f>C622+B623</f>
        <v/>
      </c>
      <c r="D623">
        <f>IF(B623=1,INDEX('Data Entry'!$H$5:$BE$10004,623-4,'Visual SPC'!$B$3),"")</f>
        <v/>
      </c>
      <c r="E623">
        <f>IF(B623=1,D623,E622)</f>
        <v/>
      </c>
      <c r="F623">
        <f>IF(AND(B623=1,C623&gt;1,E622&lt;&gt;""),ABS(D623-E622),"")</f>
        <v/>
      </c>
    </row>
    <row r="624">
      <c r="A624" t="n">
        <v>624</v>
      </c>
      <c r="B624">
        <f>IF(INDEX('Data Entry'!$H$5:$BE$10004,624-4,'Visual SPC'!$B$3)="",0,IF(AND(OR('Visual SPC'!$C$4="",'Data Entry'!$C624&gt;='Visual SPC'!$C$4),OR('Visual SPC'!$E$4="",'Data Entry'!$C624&lt;='Visual SPC'!$E$4),OR('Visual SPC'!$G$4="",'Data Entry'!$D624='Visual SPC'!$G$4),OR('Visual SPC'!$I$4="",'Data Entry'!$E624='Visual SPC'!$I$4),OR('Visual SPC'!$K$4="",'Data Entry'!$F624='Visual SPC'!$K$4)),1,0))</f>
        <v/>
      </c>
      <c r="C624">
        <f>C623+B624</f>
        <v/>
      </c>
      <c r="D624">
        <f>IF(B624=1,INDEX('Data Entry'!$H$5:$BE$10004,624-4,'Visual SPC'!$B$3),"")</f>
        <v/>
      </c>
      <c r="E624">
        <f>IF(B624=1,D624,E623)</f>
        <v/>
      </c>
      <c r="F624">
        <f>IF(AND(B624=1,C624&gt;1,E623&lt;&gt;""),ABS(D624-E623),"")</f>
        <v/>
      </c>
    </row>
    <row r="625">
      <c r="A625" t="n">
        <v>625</v>
      </c>
      <c r="B625">
        <f>IF(INDEX('Data Entry'!$H$5:$BE$10004,625-4,'Visual SPC'!$B$3)="",0,IF(AND(OR('Visual SPC'!$C$4="",'Data Entry'!$C625&gt;='Visual SPC'!$C$4),OR('Visual SPC'!$E$4="",'Data Entry'!$C625&lt;='Visual SPC'!$E$4),OR('Visual SPC'!$G$4="",'Data Entry'!$D625='Visual SPC'!$G$4),OR('Visual SPC'!$I$4="",'Data Entry'!$E625='Visual SPC'!$I$4),OR('Visual SPC'!$K$4="",'Data Entry'!$F625='Visual SPC'!$K$4)),1,0))</f>
        <v/>
      </c>
      <c r="C625">
        <f>C624+B625</f>
        <v/>
      </c>
      <c r="D625">
        <f>IF(B625=1,INDEX('Data Entry'!$H$5:$BE$10004,625-4,'Visual SPC'!$B$3),"")</f>
        <v/>
      </c>
      <c r="E625">
        <f>IF(B625=1,D625,E624)</f>
        <v/>
      </c>
      <c r="F625">
        <f>IF(AND(B625=1,C625&gt;1,E624&lt;&gt;""),ABS(D625-E624),"")</f>
        <v/>
      </c>
    </row>
    <row r="626">
      <c r="A626" t="n">
        <v>626</v>
      </c>
      <c r="B626">
        <f>IF(INDEX('Data Entry'!$H$5:$BE$10004,626-4,'Visual SPC'!$B$3)="",0,IF(AND(OR('Visual SPC'!$C$4="",'Data Entry'!$C626&gt;='Visual SPC'!$C$4),OR('Visual SPC'!$E$4="",'Data Entry'!$C626&lt;='Visual SPC'!$E$4),OR('Visual SPC'!$G$4="",'Data Entry'!$D626='Visual SPC'!$G$4),OR('Visual SPC'!$I$4="",'Data Entry'!$E626='Visual SPC'!$I$4),OR('Visual SPC'!$K$4="",'Data Entry'!$F626='Visual SPC'!$K$4)),1,0))</f>
        <v/>
      </c>
      <c r="C626">
        <f>C625+B626</f>
        <v/>
      </c>
      <c r="D626">
        <f>IF(B626=1,INDEX('Data Entry'!$H$5:$BE$10004,626-4,'Visual SPC'!$B$3),"")</f>
        <v/>
      </c>
      <c r="E626">
        <f>IF(B626=1,D626,E625)</f>
        <v/>
      </c>
      <c r="F626">
        <f>IF(AND(B626=1,C626&gt;1,E625&lt;&gt;""),ABS(D626-E625),"")</f>
        <v/>
      </c>
    </row>
    <row r="627">
      <c r="A627" t="n">
        <v>627</v>
      </c>
      <c r="B627">
        <f>IF(INDEX('Data Entry'!$H$5:$BE$10004,627-4,'Visual SPC'!$B$3)="",0,IF(AND(OR('Visual SPC'!$C$4="",'Data Entry'!$C627&gt;='Visual SPC'!$C$4),OR('Visual SPC'!$E$4="",'Data Entry'!$C627&lt;='Visual SPC'!$E$4),OR('Visual SPC'!$G$4="",'Data Entry'!$D627='Visual SPC'!$G$4),OR('Visual SPC'!$I$4="",'Data Entry'!$E627='Visual SPC'!$I$4),OR('Visual SPC'!$K$4="",'Data Entry'!$F627='Visual SPC'!$K$4)),1,0))</f>
        <v/>
      </c>
      <c r="C627">
        <f>C626+B627</f>
        <v/>
      </c>
      <c r="D627">
        <f>IF(B627=1,INDEX('Data Entry'!$H$5:$BE$10004,627-4,'Visual SPC'!$B$3),"")</f>
        <v/>
      </c>
      <c r="E627">
        <f>IF(B627=1,D627,E626)</f>
        <v/>
      </c>
      <c r="F627">
        <f>IF(AND(B627=1,C627&gt;1,E626&lt;&gt;""),ABS(D627-E626),"")</f>
        <v/>
      </c>
    </row>
    <row r="628">
      <c r="A628" t="n">
        <v>628</v>
      </c>
      <c r="B628">
        <f>IF(INDEX('Data Entry'!$H$5:$BE$10004,628-4,'Visual SPC'!$B$3)="",0,IF(AND(OR('Visual SPC'!$C$4="",'Data Entry'!$C628&gt;='Visual SPC'!$C$4),OR('Visual SPC'!$E$4="",'Data Entry'!$C628&lt;='Visual SPC'!$E$4),OR('Visual SPC'!$G$4="",'Data Entry'!$D628='Visual SPC'!$G$4),OR('Visual SPC'!$I$4="",'Data Entry'!$E628='Visual SPC'!$I$4),OR('Visual SPC'!$K$4="",'Data Entry'!$F628='Visual SPC'!$K$4)),1,0))</f>
        <v/>
      </c>
      <c r="C628">
        <f>C627+B628</f>
        <v/>
      </c>
      <c r="D628">
        <f>IF(B628=1,INDEX('Data Entry'!$H$5:$BE$10004,628-4,'Visual SPC'!$B$3),"")</f>
        <v/>
      </c>
      <c r="E628">
        <f>IF(B628=1,D628,E627)</f>
        <v/>
      </c>
      <c r="F628">
        <f>IF(AND(B628=1,C628&gt;1,E627&lt;&gt;""),ABS(D628-E627),"")</f>
        <v/>
      </c>
    </row>
    <row r="629">
      <c r="A629" t="n">
        <v>629</v>
      </c>
      <c r="B629">
        <f>IF(INDEX('Data Entry'!$H$5:$BE$10004,629-4,'Visual SPC'!$B$3)="",0,IF(AND(OR('Visual SPC'!$C$4="",'Data Entry'!$C629&gt;='Visual SPC'!$C$4),OR('Visual SPC'!$E$4="",'Data Entry'!$C629&lt;='Visual SPC'!$E$4),OR('Visual SPC'!$G$4="",'Data Entry'!$D629='Visual SPC'!$G$4),OR('Visual SPC'!$I$4="",'Data Entry'!$E629='Visual SPC'!$I$4),OR('Visual SPC'!$K$4="",'Data Entry'!$F629='Visual SPC'!$K$4)),1,0))</f>
        <v/>
      </c>
      <c r="C629">
        <f>C628+B629</f>
        <v/>
      </c>
      <c r="D629">
        <f>IF(B629=1,INDEX('Data Entry'!$H$5:$BE$10004,629-4,'Visual SPC'!$B$3),"")</f>
        <v/>
      </c>
      <c r="E629">
        <f>IF(B629=1,D629,E628)</f>
        <v/>
      </c>
      <c r="F629">
        <f>IF(AND(B629=1,C629&gt;1,E628&lt;&gt;""),ABS(D629-E628),"")</f>
        <v/>
      </c>
    </row>
    <row r="630">
      <c r="A630" t="n">
        <v>630</v>
      </c>
      <c r="B630">
        <f>IF(INDEX('Data Entry'!$H$5:$BE$10004,630-4,'Visual SPC'!$B$3)="",0,IF(AND(OR('Visual SPC'!$C$4="",'Data Entry'!$C630&gt;='Visual SPC'!$C$4),OR('Visual SPC'!$E$4="",'Data Entry'!$C630&lt;='Visual SPC'!$E$4),OR('Visual SPC'!$G$4="",'Data Entry'!$D630='Visual SPC'!$G$4),OR('Visual SPC'!$I$4="",'Data Entry'!$E630='Visual SPC'!$I$4),OR('Visual SPC'!$K$4="",'Data Entry'!$F630='Visual SPC'!$K$4)),1,0))</f>
        <v/>
      </c>
      <c r="C630">
        <f>C629+B630</f>
        <v/>
      </c>
      <c r="D630">
        <f>IF(B630=1,INDEX('Data Entry'!$H$5:$BE$10004,630-4,'Visual SPC'!$B$3),"")</f>
        <v/>
      </c>
      <c r="E630">
        <f>IF(B630=1,D630,E629)</f>
        <v/>
      </c>
      <c r="F630">
        <f>IF(AND(B630=1,C630&gt;1,E629&lt;&gt;""),ABS(D630-E629),"")</f>
        <v/>
      </c>
    </row>
    <row r="631">
      <c r="A631" t="n">
        <v>631</v>
      </c>
      <c r="B631">
        <f>IF(INDEX('Data Entry'!$H$5:$BE$10004,631-4,'Visual SPC'!$B$3)="",0,IF(AND(OR('Visual SPC'!$C$4="",'Data Entry'!$C631&gt;='Visual SPC'!$C$4),OR('Visual SPC'!$E$4="",'Data Entry'!$C631&lt;='Visual SPC'!$E$4),OR('Visual SPC'!$G$4="",'Data Entry'!$D631='Visual SPC'!$G$4),OR('Visual SPC'!$I$4="",'Data Entry'!$E631='Visual SPC'!$I$4),OR('Visual SPC'!$K$4="",'Data Entry'!$F631='Visual SPC'!$K$4)),1,0))</f>
        <v/>
      </c>
      <c r="C631">
        <f>C630+B631</f>
        <v/>
      </c>
      <c r="D631">
        <f>IF(B631=1,INDEX('Data Entry'!$H$5:$BE$10004,631-4,'Visual SPC'!$B$3),"")</f>
        <v/>
      </c>
      <c r="E631">
        <f>IF(B631=1,D631,E630)</f>
        <v/>
      </c>
      <c r="F631">
        <f>IF(AND(B631=1,C631&gt;1,E630&lt;&gt;""),ABS(D631-E630),"")</f>
        <v/>
      </c>
    </row>
    <row r="632">
      <c r="A632" t="n">
        <v>632</v>
      </c>
      <c r="B632">
        <f>IF(INDEX('Data Entry'!$H$5:$BE$10004,632-4,'Visual SPC'!$B$3)="",0,IF(AND(OR('Visual SPC'!$C$4="",'Data Entry'!$C632&gt;='Visual SPC'!$C$4),OR('Visual SPC'!$E$4="",'Data Entry'!$C632&lt;='Visual SPC'!$E$4),OR('Visual SPC'!$G$4="",'Data Entry'!$D632='Visual SPC'!$G$4),OR('Visual SPC'!$I$4="",'Data Entry'!$E632='Visual SPC'!$I$4),OR('Visual SPC'!$K$4="",'Data Entry'!$F632='Visual SPC'!$K$4)),1,0))</f>
        <v/>
      </c>
      <c r="C632">
        <f>C631+B632</f>
        <v/>
      </c>
      <c r="D632">
        <f>IF(B632=1,INDEX('Data Entry'!$H$5:$BE$10004,632-4,'Visual SPC'!$B$3),"")</f>
        <v/>
      </c>
      <c r="E632">
        <f>IF(B632=1,D632,E631)</f>
        <v/>
      </c>
      <c r="F632">
        <f>IF(AND(B632=1,C632&gt;1,E631&lt;&gt;""),ABS(D632-E631),"")</f>
        <v/>
      </c>
    </row>
    <row r="633">
      <c r="A633" t="n">
        <v>633</v>
      </c>
      <c r="B633">
        <f>IF(INDEX('Data Entry'!$H$5:$BE$10004,633-4,'Visual SPC'!$B$3)="",0,IF(AND(OR('Visual SPC'!$C$4="",'Data Entry'!$C633&gt;='Visual SPC'!$C$4),OR('Visual SPC'!$E$4="",'Data Entry'!$C633&lt;='Visual SPC'!$E$4),OR('Visual SPC'!$G$4="",'Data Entry'!$D633='Visual SPC'!$G$4),OR('Visual SPC'!$I$4="",'Data Entry'!$E633='Visual SPC'!$I$4),OR('Visual SPC'!$K$4="",'Data Entry'!$F633='Visual SPC'!$K$4)),1,0))</f>
        <v/>
      </c>
      <c r="C633">
        <f>C632+B633</f>
        <v/>
      </c>
      <c r="D633">
        <f>IF(B633=1,INDEX('Data Entry'!$H$5:$BE$10004,633-4,'Visual SPC'!$B$3),"")</f>
        <v/>
      </c>
      <c r="E633">
        <f>IF(B633=1,D633,E632)</f>
        <v/>
      </c>
      <c r="F633">
        <f>IF(AND(B633=1,C633&gt;1,E632&lt;&gt;""),ABS(D633-E632),"")</f>
        <v/>
      </c>
    </row>
    <row r="634">
      <c r="A634" t="n">
        <v>634</v>
      </c>
      <c r="B634">
        <f>IF(INDEX('Data Entry'!$H$5:$BE$10004,634-4,'Visual SPC'!$B$3)="",0,IF(AND(OR('Visual SPC'!$C$4="",'Data Entry'!$C634&gt;='Visual SPC'!$C$4),OR('Visual SPC'!$E$4="",'Data Entry'!$C634&lt;='Visual SPC'!$E$4),OR('Visual SPC'!$G$4="",'Data Entry'!$D634='Visual SPC'!$G$4),OR('Visual SPC'!$I$4="",'Data Entry'!$E634='Visual SPC'!$I$4),OR('Visual SPC'!$K$4="",'Data Entry'!$F634='Visual SPC'!$K$4)),1,0))</f>
        <v/>
      </c>
      <c r="C634">
        <f>C633+B634</f>
        <v/>
      </c>
      <c r="D634">
        <f>IF(B634=1,INDEX('Data Entry'!$H$5:$BE$10004,634-4,'Visual SPC'!$B$3),"")</f>
        <v/>
      </c>
      <c r="E634">
        <f>IF(B634=1,D634,E633)</f>
        <v/>
      </c>
      <c r="F634">
        <f>IF(AND(B634=1,C634&gt;1,E633&lt;&gt;""),ABS(D634-E633),"")</f>
        <v/>
      </c>
    </row>
    <row r="635">
      <c r="A635" t="n">
        <v>635</v>
      </c>
      <c r="B635">
        <f>IF(INDEX('Data Entry'!$H$5:$BE$10004,635-4,'Visual SPC'!$B$3)="",0,IF(AND(OR('Visual SPC'!$C$4="",'Data Entry'!$C635&gt;='Visual SPC'!$C$4),OR('Visual SPC'!$E$4="",'Data Entry'!$C635&lt;='Visual SPC'!$E$4),OR('Visual SPC'!$G$4="",'Data Entry'!$D635='Visual SPC'!$G$4),OR('Visual SPC'!$I$4="",'Data Entry'!$E635='Visual SPC'!$I$4),OR('Visual SPC'!$K$4="",'Data Entry'!$F635='Visual SPC'!$K$4)),1,0))</f>
        <v/>
      </c>
      <c r="C635">
        <f>C634+B635</f>
        <v/>
      </c>
      <c r="D635">
        <f>IF(B635=1,INDEX('Data Entry'!$H$5:$BE$10004,635-4,'Visual SPC'!$B$3),"")</f>
        <v/>
      </c>
      <c r="E635">
        <f>IF(B635=1,D635,E634)</f>
        <v/>
      </c>
      <c r="F635">
        <f>IF(AND(B635=1,C635&gt;1,E634&lt;&gt;""),ABS(D635-E634),"")</f>
        <v/>
      </c>
    </row>
    <row r="636">
      <c r="A636" t="n">
        <v>636</v>
      </c>
      <c r="B636">
        <f>IF(INDEX('Data Entry'!$H$5:$BE$10004,636-4,'Visual SPC'!$B$3)="",0,IF(AND(OR('Visual SPC'!$C$4="",'Data Entry'!$C636&gt;='Visual SPC'!$C$4),OR('Visual SPC'!$E$4="",'Data Entry'!$C636&lt;='Visual SPC'!$E$4),OR('Visual SPC'!$G$4="",'Data Entry'!$D636='Visual SPC'!$G$4),OR('Visual SPC'!$I$4="",'Data Entry'!$E636='Visual SPC'!$I$4),OR('Visual SPC'!$K$4="",'Data Entry'!$F636='Visual SPC'!$K$4)),1,0))</f>
        <v/>
      </c>
      <c r="C636">
        <f>C635+B636</f>
        <v/>
      </c>
      <c r="D636">
        <f>IF(B636=1,INDEX('Data Entry'!$H$5:$BE$10004,636-4,'Visual SPC'!$B$3),"")</f>
        <v/>
      </c>
      <c r="E636">
        <f>IF(B636=1,D636,E635)</f>
        <v/>
      </c>
      <c r="F636">
        <f>IF(AND(B636=1,C636&gt;1,E635&lt;&gt;""),ABS(D636-E635),"")</f>
        <v/>
      </c>
    </row>
    <row r="637">
      <c r="A637" t="n">
        <v>637</v>
      </c>
      <c r="B637">
        <f>IF(INDEX('Data Entry'!$H$5:$BE$10004,637-4,'Visual SPC'!$B$3)="",0,IF(AND(OR('Visual SPC'!$C$4="",'Data Entry'!$C637&gt;='Visual SPC'!$C$4),OR('Visual SPC'!$E$4="",'Data Entry'!$C637&lt;='Visual SPC'!$E$4),OR('Visual SPC'!$G$4="",'Data Entry'!$D637='Visual SPC'!$G$4),OR('Visual SPC'!$I$4="",'Data Entry'!$E637='Visual SPC'!$I$4),OR('Visual SPC'!$K$4="",'Data Entry'!$F637='Visual SPC'!$K$4)),1,0))</f>
        <v/>
      </c>
      <c r="C637">
        <f>C636+B637</f>
        <v/>
      </c>
      <c r="D637">
        <f>IF(B637=1,INDEX('Data Entry'!$H$5:$BE$10004,637-4,'Visual SPC'!$B$3),"")</f>
        <v/>
      </c>
      <c r="E637">
        <f>IF(B637=1,D637,E636)</f>
        <v/>
      </c>
      <c r="F637">
        <f>IF(AND(B637=1,C637&gt;1,E636&lt;&gt;""),ABS(D637-E636),"")</f>
        <v/>
      </c>
    </row>
    <row r="638">
      <c r="A638" t="n">
        <v>638</v>
      </c>
      <c r="B638">
        <f>IF(INDEX('Data Entry'!$H$5:$BE$10004,638-4,'Visual SPC'!$B$3)="",0,IF(AND(OR('Visual SPC'!$C$4="",'Data Entry'!$C638&gt;='Visual SPC'!$C$4),OR('Visual SPC'!$E$4="",'Data Entry'!$C638&lt;='Visual SPC'!$E$4),OR('Visual SPC'!$G$4="",'Data Entry'!$D638='Visual SPC'!$G$4),OR('Visual SPC'!$I$4="",'Data Entry'!$E638='Visual SPC'!$I$4),OR('Visual SPC'!$K$4="",'Data Entry'!$F638='Visual SPC'!$K$4)),1,0))</f>
        <v/>
      </c>
      <c r="C638">
        <f>C637+B638</f>
        <v/>
      </c>
      <c r="D638">
        <f>IF(B638=1,INDEX('Data Entry'!$H$5:$BE$10004,638-4,'Visual SPC'!$B$3),"")</f>
        <v/>
      </c>
      <c r="E638">
        <f>IF(B638=1,D638,E637)</f>
        <v/>
      </c>
      <c r="F638">
        <f>IF(AND(B638=1,C638&gt;1,E637&lt;&gt;""),ABS(D638-E637),"")</f>
        <v/>
      </c>
    </row>
    <row r="639">
      <c r="A639" t="n">
        <v>639</v>
      </c>
      <c r="B639">
        <f>IF(INDEX('Data Entry'!$H$5:$BE$10004,639-4,'Visual SPC'!$B$3)="",0,IF(AND(OR('Visual SPC'!$C$4="",'Data Entry'!$C639&gt;='Visual SPC'!$C$4),OR('Visual SPC'!$E$4="",'Data Entry'!$C639&lt;='Visual SPC'!$E$4),OR('Visual SPC'!$G$4="",'Data Entry'!$D639='Visual SPC'!$G$4),OR('Visual SPC'!$I$4="",'Data Entry'!$E639='Visual SPC'!$I$4),OR('Visual SPC'!$K$4="",'Data Entry'!$F639='Visual SPC'!$K$4)),1,0))</f>
        <v/>
      </c>
      <c r="C639">
        <f>C638+B639</f>
        <v/>
      </c>
      <c r="D639">
        <f>IF(B639=1,INDEX('Data Entry'!$H$5:$BE$10004,639-4,'Visual SPC'!$B$3),"")</f>
        <v/>
      </c>
      <c r="E639">
        <f>IF(B639=1,D639,E638)</f>
        <v/>
      </c>
      <c r="F639">
        <f>IF(AND(B639=1,C639&gt;1,E638&lt;&gt;""),ABS(D639-E638),"")</f>
        <v/>
      </c>
    </row>
    <row r="640">
      <c r="A640" t="n">
        <v>640</v>
      </c>
      <c r="B640">
        <f>IF(INDEX('Data Entry'!$H$5:$BE$10004,640-4,'Visual SPC'!$B$3)="",0,IF(AND(OR('Visual SPC'!$C$4="",'Data Entry'!$C640&gt;='Visual SPC'!$C$4),OR('Visual SPC'!$E$4="",'Data Entry'!$C640&lt;='Visual SPC'!$E$4),OR('Visual SPC'!$G$4="",'Data Entry'!$D640='Visual SPC'!$G$4),OR('Visual SPC'!$I$4="",'Data Entry'!$E640='Visual SPC'!$I$4),OR('Visual SPC'!$K$4="",'Data Entry'!$F640='Visual SPC'!$K$4)),1,0))</f>
        <v/>
      </c>
      <c r="C640">
        <f>C639+B640</f>
        <v/>
      </c>
      <c r="D640">
        <f>IF(B640=1,INDEX('Data Entry'!$H$5:$BE$10004,640-4,'Visual SPC'!$B$3),"")</f>
        <v/>
      </c>
      <c r="E640">
        <f>IF(B640=1,D640,E639)</f>
        <v/>
      </c>
      <c r="F640">
        <f>IF(AND(B640=1,C640&gt;1,E639&lt;&gt;""),ABS(D640-E639),"")</f>
        <v/>
      </c>
    </row>
    <row r="641">
      <c r="A641" t="n">
        <v>641</v>
      </c>
      <c r="B641">
        <f>IF(INDEX('Data Entry'!$H$5:$BE$10004,641-4,'Visual SPC'!$B$3)="",0,IF(AND(OR('Visual SPC'!$C$4="",'Data Entry'!$C641&gt;='Visual SPC'!$C$4),OR('Visual SPC'!$E$4="",'Data Entry'!$C641&lt;='Visual SPC'!$E$4),OR('Visual SPC'!$G$4="",'Data Entry'!$D641='Visual SPC'!$G$4),OR('Visual SPC'!$I$4="",'Data Entry'!$E641='Visual SPC'!$I$4),OR('Visual SPC'!$K$4="",'Data Entry'!$F641='Visual SPC'!$K$4)),1,0))</f>
        <v/>
      </c>
      <c r="C641">
        <f>C640+B641</f>
        <v/>
      </c>
      <c r="D641">
        <f>IF(B641=1,INDEX('Data Entry'!$H$5:$BE$10004,641-4,'Visual SPC'!$B$3),"")</f>
        <v/>
      </c>
      <c r="E641">
        <f>IF(B641=1,D641,E640)</f>
        <v/>
      </c>
      <c r="F641">
        <f>IF(AND(B641=1,C641&gt;1,E640&lt;&gt;""),ABS(D641-E640),"")</f>
        <v/>
      </c>
    </row>
    <row r="642">
      <c r="A642" t="n">
        <v>642</v>
      </c>
      <c r="B642">
        <f>IF(INDEX('Data Entry'!$H$5:$BE$10004,642-4,'Visual SPC'!$B$3)="",0,IF(AND(OR('Visual SPC'!$C$4="",'Data Entry'!$C642&gt;='Visual SPC'!$C$4),OR('Visual SPC'!$E$4="",'Data Entry'!$C642&lt;='Visual SPC'!$E$4),OR('Visual SPC'!$G$4="",'Data Entry'!$D642='Visual SPC'!$G$4),OR('Visual SPC'!$I$4="",'Data Entry'!$E642='Visual SPC'!$I$4),OR('Visual SPC'!$K$4="",'Data Entry'!$F642='Visual SPC'!$K$4)),1,0))</f>
        <v/>
      </c>
      <c r="C642">
        <f>C641+B642</f>
        <v/>
      </c>
      <c r="D642">
        <f>IF(B642=1,INDEX('Data Entry'!$H$5:$BE$10004,642-4,'Visual SPC'!$B$3),"")</f>
        <v/>
      </c>
      <c r="E642">
        <f>IF(B642=1,D642,E641)</f>
        <v/>
      </c>
      <c r="F642">
        <f>IF(AND(B642=1,C642&gt;1,E641&lt;&gt;""),ABS(D642-E641),"")</f>
        <v/>
      </c>
    </row>
    <row r="643">
      <c r="A643" t="n">
        <v>643</v>
      </c>
      <c r="B643">
        <f>IF(INDEX('Data Entry'!$H$5:$BE$10004,643-4,'Visual SPC'!$B$3)="",0,IF(AND(OR('Visual SPC'!$C$4="",'Data Entry'!$C643&gt;='Visual SPC'!$C$4),OR('Visual SPC'!$E$4="",'Data Entry'!$C643&lt;='Visual SPC'!$E$4),OR('Visual SPC'!$G$4="",'Data Entry'!$D643='Visual SPC'!$G$4),OR('Visual SPC'!$I$4="",'Data Entry'!$E643='Visual SPC'!$I$4),OR('Visual SPC'!$K$4="",'Data Entry'!$F643='Visual SPC'!$K$4)),1,0))</f>
        <v/>
      </c>
      <c r="C643">
        <f>C642+B643</f>
        <v/>
      </c>
      <c r="D643">
        <f>IF(B643=1,INDEX('Data Entry'!$H$5:$BE$10004,643-4,'Visual SPC'!$B$3),"")</f>
        <v/>
      </c>
      <c r="E643">
        <f>IF(B643=1,D643,E642)</f>
        <v/>
      </c>
      <c r="F643">
        <f>IF(AND(B643=1,C643&gt;1,E642&lt;&gt;""),ABS(D643-E642),"")</f>
        <v/>
      </c>
    </row>
    <row r="644">
      <c r="A644" t="n">
        <v>644</v>
      </c>
      <c r="B644">
        <f>IF(INDEX('Data Entry'!$H$5:$BE$10004,644-4,'Visual SPC'!$B$3)="",0,IF(AND(OR('Visual SPC'!$C$4="",'Data Entry'!$C644&gt;='Visual SPC'!$C$4),OR('Visual SPC'!$E$4="",'Data Entry'!$C644&lt;='Visual SPC'!$E$4),OR('Visual SPC'!$G$4="",'Data Entry'!$D644='Visual SPC'!$G$4),OR('Visual SPC'!$I$4="",'Data Entry'!$E644='Visual SPC'!$I$4),OR('Visual SPC'!$K$4="",'Data Entry'!$F644='Visual SPC'!$K$4)),1,0))</f>
        <v/>
      </c>
      <c r="C644">
        <f>C643+B644</f>
        <v/>
      </c>
      <c r="D644">
        <f>IF(B644=1,INDEX('Data Entry'!$H$5:$BE$10004,644-4,'Visual SPC'!$B$3),"")</f>
        <v/>
      </c>
      <c r="E644">
        <f>IF(B644=1,D644,E643)</f>
        <v/>
      </c>
      <c r="F644">
        <f>IF(AND(B644=1,C644&gt;1,E643&lt;&gt;""),ABS(D644-E643),"")</f>
        <v/>
      </c>
    </row>
    <row r="645">
      <c r="A645" t="n">
        <v>645</v>
      </c>
      <c r="B645">
        <f>IF(INDEX('Data Entry'!$H$5:$BE$10004,645-4,'Visual SPC'!$B$3)="",0,IF(AND(OR('Visual SPC'!$C$4="",'Data Entry'!$C645&gt;='Visual SPC'!$C$4),OR('Visual SPC'!$E$4="",'Data Entry'!$C645&lt;='Visual SPC'!$E$4),OR('Visual SPC'!$G$4="",'Data Entry'!$D645='Visual SPC'!$G$4),OR('Visual SPC'!$I$4="",'Data Entry'!$E645='Visual SPC'!$I$4),OR('Visual SPC'!$K$4="",'Data Entry'!$F645='Visual SPC'!$K$4)),1,0))</f>
        <v/>
      </c>
      <c r="C645">
        <f>C644+B645</f>
        <v/>
      </c>
      <c r="D645">
        <f>IF(B645=1,INDEX('Data Entry'!$H$5:$BE$10004,645-4,'Visual SPC'!$B$3),"")</f>
        <v/>
      </c>
      <c r="E645">
        <f>IF(B645=1,D645,E644)</f>
        <v/>
      </c>
      <c r="F645">
        <f>IF(AND(B645=1,C645&gt;1,E644&lt;&gt;""),ABS(D645-E644),"")</f>
        <v/>
      </c>
    </row>
    <row r="646">
      <c r="A646" t="n">
        <v>646</v>
      </c>
      <c r="B646">
        <f>IF(INDEX('Data Entry'!$H$5:$BE$10004,646-4,'Visual SPC'!$B$3)="",0,IF(AND(OR('Visual SPC'!$C$4="",'Data Entry'!$C646&gt;='Visual SPC'!$C$4),OR('Visual SPC'!$E$4="",'Data Entry'!$C646&lt;='Visual SPC'!$E$4),OR('Visual SPC'!$G$4="",'Data Entry'!$D646='Visual SPC'!$G$4),OR('Visual SPC'!$I$4="",'Data Entry'!$E646='Visual SPC'!$I$4),OR('Visual SPC'!$K$4="",'Data Entry'!$F646='Visual SPC'!$K$4)),1,0))</f>
        <v/>
      </c>
      <c r="C646">
        <f>C645+B646</f>
        <v/>
      </c>
      <c r="D646">
        <f>IF(B646=1,INDEX('Data Entry'!$H$5:$BE$10004,646-4,'Visual SPC'!$B$3),"")</f>
        <v/>
      </c>
      <c r="E646">
        <f>IF(B646=1,D646,E645)</f>
        <v/>
      </c>
      <c r="F646">
        <f>IF(AND(B646=1,C646&gt;1,E645&lt;&gt;""),ABS(D646-E645),"")</f>
        <v/>
      </c>
    </row>
    <row r="647">
      <c r="A647" t="n">
        <v>647</v>
      </c>
      <c r="B647">
        <f>IF(INDEX('Data Entry'!$H$5:$BE$10004,647-4,'Visual SPC'!$B$3)="",0,IF(AND(OR('Visual SPC'!$C$4="",'Data Entry'!$C647&gt;='Visual SPC'!$C$4),OR('Visual SPC'!$E$4="",'Data Entry'!$C647&lt;='Visual SPC'!$E$4),OR('Visual SPC'!$G$4="",'Data Entry'!$D647='Visual SPC'!$G$4),OR('Visual SPC'!$I$4="",'Data Entry'!$E647='Visual SPC'!$I$4),OR('Visual SPC'!$K$4="",'Data Entry'!$F647='Visual SPC'!$K$4)),1,0))</f>
        <v/>
      </c>
      <c r="C647">
        <f>C646+B647</f>
        <v/>
      </c>
      <c r="D647">
        <f>IF(B647=1,INDEX('Data Entry'!$H$5:$BE$10004,647-4,'Visual SPC'!$B$3),"")</f>
        <v/>
      </c>
      <c r="E647">
        <f>IF(B647=1,D647,E646)</f>
        <v/>
      </c>
      <c r="F647">
        <f>IF(AND(B647=1,C647&gt;1,E646&lt;&gt;""),ABS(D647-E646),"")</f>
        <v/>
      </c>
    </row>
    <row r="648">
      <c r="A648" t="n">
        <v>648</v>
      </c>
      <c r="B648">
        <f>IF(INDEX('Data Entry'!$H$5:$BE$10004,648-4,'Visual SPC'!$B$3)="",0,IF(AND(OR('Visual SPC'!$C$4="",'Data Entry'!$C648&gt;='Visual SPC'!$C$4),OR('Visual SPC'!$E$4="",'Data Entry'!$C648&lt;='Visual SPC'!$E$4),OR('Visual SPC'!$G$4="",'Data Entry'!$D648='Visual SPC'!$G$4),OR('Visual SPC'!$I$4="",'Data Entry'!$E648='Visual SPC'!$I$4),OR('Visual SPC'!$K$4="",'Data Entry'!$F648='Visual SPC'!$K$4)),1,0))</f>
        <v/>
      </c>
      <c r="C648">
        <f>C647+B648</f>
        <v/>
      </c>
      <c r="D648">
        <f>IF(B648=1,INDEX('Data Entry'!$H$5:$BE$10004,648-4,'Visual SPC'!$B$3),"")</f>
        <v/>
      </c>
      <c r="E648">
        <f>IF(B648=1,D648,E647)</f>
        <v/>
      </c>
      <c r="F648">
        <f>IF(AND(B648=1,C648&gt;1,E647&lt;&gt;""),ABS(D648-E647),"")</f>
        <v/>
      </c>
    </row>
    <row r="649">
      <c r="A649" t="n">
        <v>649</v>
      </c>
      <c r="B649">
        <f>IF(INDEX('Data Entry'!$H$5:$BE$10004,649-4,'Visual SPC'!$B$3)="",0,IF(AND(OR('Visual SPC'!$C$4="",'Data Entry'!$C649&gt;='Visual SPC'!$C$4),OR('Visual SPC'!$E$4="",'Data Entry'!$C649&lt;='Visual SPC'!$E$4),OR('Visual SPC'!$G$4="",'Data Entry'!$D649='Visual SPC'!$G$4),OR('Visual SPC'!$I$4="",'Data Entry'!$E649='Visual SPC'!$I$4),OR('Visual SPC'!$K$4="",'Data Entry'!$F649='Visual SPC'!$K$4)),1,0))</f>
        <v/>
      </c>
      <c r="C649">
        <f>C648+B649</f>
        <v/>
      </c>
      <c r="D649">
        <f>IF(B649=1,INDEX('Data Entry'!$H$5:$BE$10004,649-4,'Visual SPC'!$B$3),"")</f>
        <v/>
      </c>
      <c r="E649">
        <f>IF(B649=1,D649,E648)</f>
        <v/>
      </c>
      <c r="F649">
        <f>IF(AND(B649=1,C649&gt;1,E648&lt;&gt;""),ABS(D649-E648),"")</f>
        <v/>
      </c>
    </row>
    <row r="650">
      <c r="A650" t="n">
        <v>650</v>
      </c>
      <c r="B650">
        <f>IF(INDEX('Data Entry'!$H$5:$BE$10004,650-4,'Visual SPC'!$B$3)="",0,IF(AND(OR('Visual SPC'!$C$4="",'Data Entry'!$C650&gt;='Visual SPC'!$C$4),OR('Visual SPC'!$E$4="",'Data Entry'!$C650&lt;='Visual SPC'!$E$4),OR('Visual SPC'!$G$4="",'Data Entry'!$D650='Visual SPC'!$G$4),OR('Visual SPC'!$I$4="",'Data Entry'!$E650='Visual SPC'!$I$4),OR('Visual SPC'!$K$4="",'Data Entry'!$F650='Visual SPC'!$K$4)),1,0))</f>
        <v/>
      </c>
      <c r="C650">
        <f>C649+B650</f>
        <v/>
      </c>
      <c r="D650">
        <f>IF(B650=1,INDEX('Data Entry'!$H$5:$BE$10004,650-4,'Visual SPC'!$B$3),"")</f>
        <v/>
      </c>
      <c r="E650">
        <f>IF(B650=1,D650,E649)</f>
        <v/>
      </c>
      <c r="F650">
        <f>IF(AND(B650=1,C650&gt;1,E649&lt;&gt;""),ABS(D650-E649),"")</f>
        <v/>
      </c>
    </row>
    <row r="651">
      <c r="A651" t="n">
        <v>651</v>
      </c>
      <c r="B651">
        <f>IF(INDEX('Data Entry'!$H$5:$BE$10004,651-4,'Visual SPC'!$B$3)="",0,IF(AND(OR('Visual SPC'!$C$4="",'Data Entry'!$C651&gt;='Visual SPC'!$C$4),OR('Visual SPC'!$E$4="",'Data Entry'!$C651&lt;='Visual SPC'!$E$4),OR('Visual SPC'!$G$4="",'Data Entry'!$D651='Visual SPC'!$G$4),OR('Visual SPC'!$I$4="",'Data Entry'!$E651='Visual SPC'!$I$4),OR('Visual SPC'!$K$4="",'Data Entry'!$F651='Visual SPC'!$K$4)),1,0))</f>
        <v/>
      </c>
      <c r="C651">
        <f>C650+B651</f>
        <v/>
      </c>
      <c r="D651">
        <f>IF(B651=1,INDEX('Data Entry'!$H$5:$BE$10004,651-4,'Visual SPC'!$B$3),"")</f>
        <v/>
      </c>
      <c r="E651">
        <f>IF(B651=1,D651,E650)</f>
        <v/>
      </c>
      <c r="F651">
        <f>IF(AND(B651=1,C651&gt;1,E650&lt;&gt;""),ABS(D651-E650),"")</f>
        <v/>
      </c>
    </row>
    <row r="652">
      <c r="A652" t="n">
        <v>652</v>
      </c>
      <c r="B652">
        <f>IF(INDEX('Data Entry'!$H$5:$BE$10004,652-4,'Visual SPC'!$B$3)="",0,IF(AND(OR('Visual SPC'!$C$4="",'Data Entry'!$C652&gt;='Visual SPC'!$C$4),OR('Visual SPC'!$E$4="",'Data Entry'!$C652&lt;='Visual SPC'!$E$4),OR('Visual SPC'!$G$4="",'Data Entry'!$D652='Visual SPC'!$G$4),OR('Visual SPC'!$I$4="",'Data Entry'!$E652='Visual SPC'!$I$4),OR('Visual SPC'!$K$4="",'Data Entry'!$F652='Visual SPC'!$K$4)),1,0))</f>
        <v/>
      </c>
      <c r="C652">
        <f>C651+B652</f>
        <v/>
      </c>
      <c r="D652">
        <f>IF(B652=1,INDEX('Data Entry'!$H$5:$BE$10004,652-4,'Visual SPC'!$B$3),"")</f>
        <v/>
      </c>
      <c r="E652">
        <f>IF(B652=1,D652,E651)</f>
        <v/>
      </c>
      <c r="F652">
        <f>IF(AND(B652=1,C652&gt;1,E651&lt;&gt;""),ABS(D652-E651),"")</f>
        <v/>
      </c>
    </row>
    <row r="653">
      <c r="A653" t="n">
        <v>653</v>
      </c>
      <c r="B653">
        <f>IF(INDEX('Data Entry'!$H$5:$BE$10004,653-4,'Visual SPC'!$B$3)="",0,IF(AND(OR('Visual SPC'!$C$4="",'Data Entry'!$C653&gt;='Visual SPC'!$C$4),OR('Visual SPC'!$E$4="",'Data Entry'!$C653&lt;='Visual SPC'!$E$4),OR('Visual SPC'!$G$4="",'Data Entry'!$D653='Visual SPC'!$G$4),OR('Visual SPC'!$I$4="",'Data Entry'!$E653='Visual SPC'!$I$4),OR('Visual SPC'!$K$4="",'Data Entry'!$F653='Visual SPC'!$K$4)),1,0))</f>
        <v/>
      </c>
      <c r="C653">
        <f>C652+B653</f>
        <v/>
      </c>
      <c r="D653">
        <f>IF(B653=1,INDEX('Data Entry'!$H$5:$BE$10004,653-4,'Visual SPC'!$B$3),"")</f>
        <v/>
      </c>
      <c r="E653">
        <f>IF(B653=1,D653,E652)</f>
        <v/>
      </c>
      <c r="F653">
        <f>IF(AND(B653=1,C653&gt;1,E652&lt;&gt;""),ABS(D653-E652),"")</f>
        <v/>
      </c>
    </row>
    <row r="654">
      <c r="A654" t="n">
        <v>654</v>
      </c>
      <c r="B654">
        <f>IF(INDEX('Data Entry'!$H$5:$BE$10004,654-4,'Visual SPC'!$B$3)="",0,IF(AND(OR('Visual SPC'!$C$4="",'Data Entry'!$C654&gt;='Visual SPC'!$C$4),OR('Visual SPC'!$E$4="",'Data Entry'!$C654&lt;='Visual SPC'!$E$4),OR('Visual SPC'!$G$4="",'Data Entry'!$D654='Visual SPC'!$G$4),OR('Visual SPC'!$I$4="",'Data Entry'!$E654='Visual SPC'!$I$4),OR('Visual SPC'!$K$4="",'Data Entry'!$F654='Visual SPC'!$K$4)),1,0))</f>
        <v/>
      </c>
      <c r="C654">
        <f>C653+B654</f>
        <v/>
      </c>
      <c r="D654">
        <f>IF(B654=1,INDEX('Data Entry'!$H$5:$BE$10004,654-4,'Visual SPC'!$B$3),"")</f>
        <v/>
      </c>
      <c r="E654">
        <f>IF(B654=1,D654,E653)</f>
        <v/>
      </c>
      <c r="F654">
        <f>IF(AND(B654=1,C654&gt;1,E653&lt;&gt;""),ABS(D654-E653),"")</f>
        <v/>
      </c>
    </row>
    <row r="655">
      <c r="A655" t="n">
        <v>655</v>
      </c>
      <c r="B655">
        <f>IF(INDEX('Data Entry'!$H$5:$BE$10004,655-4,'Visual SPC'!$B$3)="",0,IF(AND(OR('Visual SPC'!$C$4="",'Data Entry'!$C655&gt;='Visual SPC'!$C$4),OR('Visual SPC'!$E$4="",'Data Entry'!$C655&lt;='Visual SPC'!$E$4),OR('Visual SPC'!$G$4="",'Data Entry'!$D655='Visual SPC'!$G$4),OR('Visual SPC'!$I$4="",'Data Entry'!$E655='Visual SPC'!$I$4),OR('Visual SPC'!$K$4="",'Data Entry'!$F655='Visual SPC'!$K$4)),1,0))</f>
        <v/>
      </c>
      <c r="C655">
        <f>C654+B655</f>
        <v/>
      </c>
      <c r="D655">
        <f>IF(B655=1,INDEX('Data Entry'!$H$5:$BE$10004,655-4,'Visual SPC'!$B$3),"")</f>
        <v/>
      </c>
      <c r="E655">
        <f>IF(B655=1,D655,E654)</f>
        <v/>
      </c>
      <c r="F655">
        <f>IF(AND(B655=1,C655&gt;1,E654&lt;&gt;""),ABS(D655-E654),"")</f>
        <v/>
      </c>
    </row>
    <row r="656">
      <c r="A656" t="n">
        <v>656</v>
      </c>
      <c r="B656">
        <f>IF(INDEX('Data Entry'!$H$5:$BE$10004,656-4,'Visual SPC'!$B$3)="",0,IF(AND(OR('Visual SPC'!$C$4="",'Data Entry'!$C656&gt;='Visual SPC'!$C$4),OR('Visual SPC'!$E$4="",'Data Entry'!$C656&lt;='Visual SPC'!$E$4),OR('Visual SPC'!$G$4="",'Data Entry'!$D656='Visual SPC'!$G$4),OR('Visual SPC'!$I$4="",'Data Entry'!$E656='Visual SPC'!$I$4),OR('Visual SPC'!$K$4="",'Data Entry'!$F656='Visual SPC'!$K$4)),1,0))</f>
        <v/>
      </c>
      <c r="C656">
        <f>C655+B656</f>
        <v/>
      </c>
      <c r="D656">
        <f>IF(B656=1,INDEX('Data Entry'!$H$5:$BE$10004,656-4,'Visual SPC'!$B$3),"")</f>
        <v/>
      </c>
      <c r="E656">
        <f>IF(B656=1,D656,E655)</f>
        <v/>
      </c>
      <c r="F656">
        <f>IF(AND(B656=1,C656&gt;1,E655&lt;&gt;""),ABS(D656-E655),"")</f>
        <v/>
      </c>
    </row>
    <row r="657">
      <c r="A657" t="n">
        <v>657</v>
      </c>
      <c r="B657">
        <f>IF(INDEX('Data Entry'!$H$5:$BE$10004,657-4,'Visual SPC'!$B$3)="",0,IF(AND(OR('Visual SPC'!$C$4="",'Data Entry'!$C657&gt;='Visual SPC'!$C$4),OR('Visual SPC'!$E$4="",'Data Entry'!$C657&lt;='Visual SPC'!$E$4),OR('Visual SPC'!$G$4="",'Data Entry'!$D657='Visual SPC'!$G$4),OR('Visual SPC'!$I$4="",'Data Entry'!$E657='Visual SPC'!$I$4),OR('Visual SPC'!$K$4="",'Data Entry'!$F657='Visual SPC'!$K$4)),1,0))</f>
        <v/>
      </c>
      <c r="C657">
        <f>C656+B657</f>
        <v/>
      </c>
      <c r="D657">
        <f>IF(B657=1,INDEX('Data Entry'!$H$5:$BE$10004,657-4,'Visual SPC'!$B$3),"")</f>
        <v/>
      </c>
      <c r="E657">
        <f>IF(B657=1,D657,E656)</f>
        <v/>
      </c>
      <c r="F657">
        <f>IF(AND(B657=1,C657&gt;1,E656&lt;&gt;""),ABS(D657-E656),"")</f>
        <v/>
      </c>
    </row>
    <row r="658">
      <c r="A658" t="n">
        <v>658</v>
      </c>
      <c r="B658">
        <f>IF(INDEX('Data Entry'!$H$5:$BE$10004,658-4,'Visual SPC'!$B$3)="",0,IF(AND(OR('Visual SPC'!$C$4="",'Data Entry'!$C658&gt;='Visual SPC'!$C$4),OR('Visual SPC'!$E$4="",'Data Entry'!$C658&lt;='Visual SPC'!$E$4),OR('Visual SPC'!$G$4="",'Data Entry'!$D658='Visual SPC'!$G$4),OR('Visual SPC'!$I$4="",'Data Entry'!$E658='Visual SPC'!$I$4),OR('Visual SPC'!$K$4="",'Data Entry'!$F658='Visual SPC'!$K$4)),1,0))</f>
        <v/>
      </c>
      <c r="C658">
        <f>C657+B658</f>
        <v/>
      </c>
      <c r="D658">
        <f>IF(B658=1,INDEX('Data Entry'!$H$5:$BE$10004,658-4,'Visual SPC'!$B$3),"")</f>
        <v/>
      </c>
      <c r="E658">
        <f>IF(B658=1,D658,E657)</f>
        <v/>
      </c>
      <c r="F658">
        <f>IF(AND(B658=1,C658&gt;1,E657&lt;&gt;""),ABS(D658-E657),"")</f>
        <v/>
      </c>
    </row>
    <row r="659">
      <c r="A659" t="n">
        <v>659</v>
      </c>
      <c r="B659">
        <f>IF(INDEX('Data Entry'!$H$5:$BE$10004,659-4,'Visual SPC'!$B$3)="",0,IF(AND(OR('Visual SPC'!$C$4="",'Data Entry'!$C659&gt;='Visual SPC'!$C$4),OR('Visual SPC'!$E$4="",'Data Entry'!$C659&lt;='Visual SPC'!$E$4),OR('Visual SPC'!$G$4="",'Data Entry'!$D659='Visual SPC'!$G$4),OR('Visual SPC'!$I$4="",'Data Entry'!$E659='Visual SPC'!$I$4),OR('Visual SPC'!$K$4="",'Data Entry'!$F659='Visual SPC'!$K$4)),1,0))</f>
        <v/>
      </c>
      <c r="C659">
        <f>C658+B659</f>
        <v/>
      </c>
      <c r="D659">
        <f>IF(B659=1,INDEX('Data Entry'!$H$5:$BE$10004,659-4,'Visual SPC'!$B$3),"")</f>
        <v/>
      </c>
      <c r="E659">
        <f>IF(B659=1,D659,E658)</f>
        <v/>
      </c>
      <c r="F659">
        <f>IF(AND(B659=1,C659&gt;1,E658&lt;&gt;""),ABS(D659-E658),"")</f>
        <v/>
      </c>
    </row>
    <row r="660">
      <c r="A660" t="n">
        <v>660</v>
      </c>
      <c r="B660">
        <f>IF(INDEX('Data Entry'!$H$5:$BE$10004,660-4,'Visual SPC'!$B$3)="",0,IF(AND(OR('Visual SPC'!$C$4="",'Data Entry'!$C660&gt;='Visual SPC'!$C$4),OR('Visual SPC'!$E$4="",'Data Entry'!$C660&lt;='Visual SPC'!$E$4),OR('Visual SPC'!$G$4="",'Data Entry'!$D660='Visual SPC'!$G$4),OR('Visual SPC'!$I$4="",'Data Entry'!$E660='Visual SPC'!$I$4),OR('Visual SPC'!$K$4="",'Data Entry'!$F660='Visual SPC'!$K$4)),1,0))</f>
        <v/>
      </c>
      <c r="C660">
        <f>C659+B660</f>
        <v/>
      </c>
      <c r="D660">
        <f>IF(B660=1,INDEX('Data Entry'!$H$5:$BE$10004,660-4,'Visual SPC'!$B$3),"")</f>
        <v/>
      </c>
      <c r="E660">
        <f>IF(B660=1,D660,E659)</f>
        <v/>
      </c>
      <c r="F660">
        <f>IF(AND(B660=1,C660&gt;1,E659&lt;&gt;""),ABS(D660-E659),"")</f>
        <v/>
      </c>
    </row>
    <row r="661">
      <c r="A661" t="n">
        <v>661</v>
      </c>
      <c r="B661">
        <f>IF(INDEX('Data Entry'!$H$5:$BE$10004,661-4,'Visual SPC'!$B$3)="",0,IF(AND(OR('Visual SPC'!$C$4="",'Data Entry'!$C661&gt;='Visual SPC'!$C$4),OR('Visual SPC'!$E$4="",'Data Entry'!$C661&lt;='Visual SPC'!$E$4),OR('Visual SPC'!$G$4="",'Data Entry'!$D661='Visual SPC'!$G$4),OR('Visual SPC'!$I$4="",'Data Entry'!$E661='Visual SPC'!$I$4),OR('Visual SPC'!$K$4="",'Data Entry'!$F661='Visual SPC'!$K$4)),1,0))</f>
        <v/>
      </c>
      <c r="C661">
        <f>C660+B661</f>
        <v/>
      </c>
      <c r="D661">
        <f>IF(B661=1,INDEX('Data Entry'!$H$5:$BE$10004,661-4,'Visual SPC'!$B$3),"")</f>
        <v/>
      </c>
      <c r="E661">
        <f>IF(B661=1,D661,E660)</f>
        <v/>
      </c>
      <c r="F661">
        <f>IF(AND(B661=1,C661&gt;1,E660&lt;&gt;""),ABS(D661-E660),"")</f>
        <v/>
      </c>
    </row>
    <row r="662">
      <c r="A662" t="n">
        <v>662</v>
      </c>
      <c r="B662">
        <f>IF(INDEX('Data Entry'!$H$5:$BE$10004,662-4,'Visual SPC'!$B$3)="",0,IF(AND(OR('Visual SPC'!$C$4="",'Data Entry'!$C662&gt;='Visual SPC'!$C$4),OR('Visual SPC'!$E$4="",'Data Entry'!$C662&lt;='Visual SPC'!$E$4),OR('Visual SPC'!$G$4="",'Data Entry'!$D662='Visual SPC'!$G$4),OR('Visual SPC'!$I$4="",'Data Entry'!$E662='Visual SPC'!$I$4),OR('Visual SPC'!$K$4="",'Data Entry'!$F662='Visual SPC'!$K$4)),1,0))</f>
        <v/>
      </c>
      <c r="C662">
        <f>C661+B662</f>
        <v/>
      </c>
      <c r="D662">
        <f>IF(B662=1,INDEX('Data Entry'!$H$5:$BE$10004,662-4,'Visual SPC'!$B$3),"")</f>
        <v/>
      </c>
      <c r="E662">
        <f>IF(B662=1,D662,E661)</f>
        <v/>
      </c>
      <c r="F662">
        <f>IF(AND(B662=1,C662&gt;1,E661&lt;&gt;""),ABS(D662-E661),"")</f>
        <v/>
      </c>
    </row>
    <row r="663">
      <c r="A663" t="n">
        <v>663</v>
      </c>
      <c r="B663">
        <f>IF(INDEX('Data Entry'!$H$5:$BE$10004,663-4,'Visual SPC'!$B$3)="",0,IF(AND(OR('Visual SPC'!$C$4="",'Data Entry'!$C663&gt;='Visual SPC'!$C$4),OR('Visual SPC'!$E$4="",'Data Entry'!$C663&lt;='Visual SPC'!$E$4),OR('Visual SPC'!$G$4="",'Data Entry'!$D663='Visual SPC'!$G$4),OR('Visual SPC'!$I$4="",'Data Entry'!$E663='Visual SPC'!$I$4),OR('Visual SPC'!$K$4="",'Data Entry'!$F663='Visual SPC'!$K$4)),1,0))</f>
        <v/>
      </c>
      <c r="C663">
        <f>C662+B663</f>
        <v/>
      </c>
      <c r="D663">
        <f>IF(B663=1,INDEX('Data Entry'!$H$5:$BE$10004,663-4,'Visual SPC'!$B$3),"")</f>
        <v/>
      </c>
      <c r="E663">
        <f>IF(B663=1,D663,E662)</f>
        <v/>
      </c>
      <c r="F663">
        <f>IF(AND(B663=1,C663&gt;1,E662&lt;&gt;""),ABS(D663-E662),"")</f>
        <v/>
      </c>
    </row>
    <row r="664">
      <c r="A664" t="n">
        <v>664</v>
      </c>
      <c r="B664">
        <f>IF(INDEX('Data Entry'!$H$5:$BE$10004,664-4,'Visual SPC'!$B$3)="",0,IF(AND(OR('Visual SPC'!$C$4="",'Data Entry'!$C664&gt;='Visual SPC'!$C$4),OR('Visual SPC'!$E$4="",'Data Entry'!$C664&lt;='Visual SPC'!$E$4),OR('Visual SPC'!$G$4="",'Data Entry'!$D664='Visual SPC'!$G$4),OR('Visual SPC'!$I$4="",'Data Entry'!$E664='Visual SPC'!$I$4),OR('Visual SPC'!$K$4="",'Data Entry'!$F664='Visual SPC'!$K$4)),1,0))</f>
        <v/>
      </c>
      <c r="C664">
        <f>C663+B664</f>
        <v/>
      </c>
      <c r="D664">
        <f>IF(B664=1,INDEX('Data Entry'!$H$5:$BE$10004,664-4,'Visual SPC'!$B$3),"")</f>
        <v/>
      </c>
      <c r="E664">
        <f>IF(B664=1,D664,E663)</f>
        <v/>
      </c>
      <c r="F664">
        <f>IF(AND(B664=1,C664&gt;1,E663&lt;&gt;""),ABS(D664-E663),"")</f>
        <v/>
      </c>
    </row>
    <row r="665">
      <c r="A665" t="n">
        <v>665</v>
      </c>
      <c r="B665">
        <f>IF(INDEX('Data Entry'!$H$5:$BE$10004,665-4,'Visual SPC'!$B$3)="",0,IF(AND(OR('Visual SPC'!$C$4="",'Data Entry'!$C665&gt;='Visual SPC'!$C$4),OR('Visual SPC'!$E$4="",'Data Entry'!$C665&lt;='Visual SPC'!$E$4),OR('Visual SPC'!$G$4="",'Data Entry'!$D665='Visual SPC'!$G$4),OR('Visual SPC'!$I$4="",'Data Entry'!$E665='Visual SPC'!$I$4),OR('Visual SPC'!$K$4="",'Data Entry'!$F665='Visual SPC'!$K$4)),1,0))</f>
        <v/>
      </c>
      <c r="C665">
        <f>C664+B665</f>
        <v/>
      </c>
      <c r="D665">
        <f>IF(B665=1,INDEX('Data Entry'!$H$5:$BE$10004,665-4,'Visual SPC'!$B$3),"")</f>
        <v/>
      </c>
      <c r="E665">
        <f>IF(B665=1,D665,E664)</f>
        <v/>
      </c>
      <c r="F665">
        <f>IF(AND(B665=1,C665&gt;1,E664&lt;&gt;""),ABS(D665-E664),"")</f>
        <v/>
      </c>
    </row>
    <row r="666">
      <c r="A666" t="n">
        <v>666</v>
      </c>
      <c r="B666">
        <f>IF(INDEX('Data Entry'!$H$5:$BE$10004,666-4,'Visual SPC'!$B$3)="",0,IF(AND(OR('Visual SPC'!$C$4="",'Data Entry'!$C666&gt;='Visual SPC'!$C$4),OR('Visual SPC'!$E$4="",'Data Entry'!$C666&lt;='Visual SPC'!$E$4),OR('Visual SPC'!$G$4="",'Data Entry'!$D666='Visual SPC'!$G$4),OR('Visual SPC'!$I$4="",'Data Entry'!$E666='Visual SPC'!$I$4),OR('Visual SPC'!$K$4="",'Data Entry'!$F666='Visual SPC'!$K$4)),1,0))</f>
        <v/>
      </c>
      <c r="C666">
        <f>C665+B666</f>
        <v/>
      </c>
      <c r="D666">
        <f>IF(B666=1,INDEX('Data Entry'!$H$5:$BE$10004,666-4,'Visual SPC'!$B$3),"")</f>
        <v/>
      </c>
      <c r="E666">
        <f>IF(B666=1,D666,E665)</f>
        <v/>
      </c>
      <c r="F666">
        <f>IF(AND(B666=1,C666&gt;1,E665&lt;&gt;""),ABS(D666-E665),"")</f>
        <v/>
      </c>
    </row>
    <row r="667">
      <c r="A667" t="n">
        <v>667</v>
      </c>
      <c r="B667">
        <f>IF(INDEX('Data Entry'!$H$5:$BE$10004,667-4,'Visual SPC'!$B$3)="",0,IF(AND(OR('Visual SPC'!$C$4="",'Data Entry'!$C667&gt;='Visual SPC'!$C$4),OR('Visual SPC'!$E$4="",'Data Entry'!$C667&lt;='Visual SPC'!$E$4),OR('Visual SPC'!$G$4="",'Data Entry'!$D667='Visual SPC'!$G$4),OR('Visual SPC'!$I$4="",'Data Entry'!$E667='Visual SPC'!$I$4),OR('Visual SPC'!$K$4="",'Data Entry'!$F667='Visual SPC'!$K$4)),1,0))</f>
        <v/>
      </c>
      <c r="C667">
        <f>C666+B667</f>
        <v/>
      </c>
      <c r="D667">
        <f>IF(B667=1,INDEX('Data Entry'!$H$5:$BE$10004,667-4,'Visual SPC'!$B$3),"")</f>
        <v/>
      </c>
      <c r="E667">
        <f>IF(B667=1,D667,E666)</f>
        <v/>
      </c>
      <c r="F667">
        <f>IF(AND(B667=1,C667&gt;1,E666&lt;&gt;""),ABS(D667-E666),"")</f>
        <v/>
      </c>
    </row>
    <row r="668">
      <c r="A668" t="n">
        <v>668</v>
      </c>
      <c r="B668">
        <f>IF(INDEX('Data Entry'!$H$5:$BE$10004,668-4,'Visual SPC'!$B$3)="",0,IF(AND(OR('Visual SPC'!$C$4="",'Data Entry'!$C668&gt;='Visual SPC'!$C$4),OR('Visual SPC'!$E$4="",'Data Entry'!$C668&lt;='Visual SPC'!$E$4),OR('Visual SPC'!$G$4="",'Data Entry'!$D668='Visual SPC'!$G$4),OR('Visual SPC'!$I$4="",'Data Entry'!$E668='Visual SPC'!$I$4),OR('Visual SPC'!$K$4="",'Data Entry'!$F668='Visual SPC'!$K$4)),1,0))</f>
        <v/>
      </c>
      <c r="C668">
        <f>C667+B668</f>
        <v/>
      </c>
      <c r="D668">
        <f>IF(B668=1,INDEX('Data Entry'!$H$5:$BE$10004,668-4,'Visual SPC'!$B$3),"")</f>
        <v/>
      </c>
      <c r="E668">
        <f>IF(B668=1,D668,E667)</f>
        <v/>
      </c>
      <c r="F668">
        <f>IF(AND(B668=1,C668&gt;1,E667&lt;&gt;""),ABS(D668-E667),"")</f>
        <v/>
      </c>
    </row>
    <row r="669">
      <c r="A669" t="n">
        <v>669</v>
      </c>
      <c r="B669">
        <f>IF(INDEX('Data Entry'!$H$5:$BE$10004,669-4,'Visual SPC'!$B$3)="",0,IF(AND(OR('Visual SPC'!$C$4="",'Data Entry'!$C669&gt;='Visual SPC'!$C$4),OR('Visual SPC'!$E$4="",'Data Entry'!$C669&lt;='Visual SPC'!$E$4),OR('Visual SPC'!$G$4="",'Data Entry'!$D669='Visual SPC'!$G$4),OR('Visual SPC'!$I$4="",'Data Entry'!$E669='Visual SPC'!$I$4),OR('Visual SPC'!$K$4="",'Data Entry'!$F669='Visual SPC'!$K$4)),1,0))</f>
        <v/>
      </c>
      <c r="C669">
        <f>C668+B669</f>
        <v/>
      </c>
      <c r="D669">
        <f>IF(B669=1,INDEX('Data Entry'!$H$5:$BE$10004,669-4,'Visual SPC'!$B$3),"")</f>
        <v/>
      </c>
      <c r="E669">
        <f>IF(B669=1,D669,E668)</f>
        <v/>
      </c>
      <c r="F669">
        <f>IF(AND(B669=1,C669&gt;1,E668&lt;&gt;""),ABS(D669-E668),"")</f>
        <v/>
      </c>
    </row>
    <row r="670">
      <c r="A670" t="n">
        <v>670</v>
      </c>
      <c r="B670">
        <f>IF(INDEX('Data Entry'!$H$5:$BE$10004,670-4,'Visual SPC'!$B$3)="",0,IF(AND(OR('Visual SPC'!$C$4="",'Data Entry'!$C670&gt;='Visual SPC'!$C$4),OR('Visual SPC'!$E$4="",'Data Entry'!$C670&lt;='Visual SPC'!$E$4),OR('Visual SPC'!$G$4="",'Data Entry'!$D670='Visual SPC'!$G$4),OR('Visual SPC'!$I$4="",'Data Entry'!$E670='Visual SPC'!$I$4),OR('Visual SPC'!$K$4="",'Data Entry'!$F670='Visual SPC'!$K$4)),1,0))</f>
        <v/>
      </c>
      <c r="C670">
        <f>C669+B670</f>
        <v/>
      </c>
      <c r="D670">
        <f>IF(B670=1,INDEX('Data Entry'!$H$5:$BE$10004,670-4,'Visual SPC'!$B$3),"")</f>
        <v/>
      </c>
      <c r="E670">
        <f>IF(B670=1,D670,E669)</f>
        <v/>
      </c>
      <c r="F670">
        <f>IF(AND(B670=1,C670&gt;1,E669&lt;&gt;""),ABS(D670-E669),"")</f>
        <v/>
      </c>
    </row>
    <row r="671">
      <c r="A671" t="n">
        <v>671</v>
      </c>
      <c r="B671">
        <f>IF(INDEX('Data Entry'!$H$5:$BE$10004,671-4,'Visual SPC'!$B$3)="",0,IF(AND(OR('Visual SPC'!$C$4="",'Data Entry'!$C671&gt;='Visual SPC'!$C$4),OR('Visual SPC'!$E$4="",'Data Entry'!$C671&lt;='Visual SPC'!$E$4),OR('Visual SPC'!$G$4="",'Data Entry'!$D671='Visual SPC'!$G$4),OR('Visual SPC'!$I$4="",'Data Entry'!$E671='Visual SPC'!$I$4),OR('Visual SPC'!$K$4="",'Data Entry'!$F671='Visual SPC'!$K$4)),1,0))</f>
        <v/>
      </c>
      <c r="C671">
        <f>C670+B671</f>
        <v/>
      </c>
      <c r="D671">
        <f>IF(B671=1,INDEX('Data Entry'!$H$5:$BE$10004,671-4,'Visual SPC'!$B$3),"")</f>
        <v/>
      </c>
      <c r="E671">
        <f>IF(B671=1,D671,E670)</f>
        <v/>
      </c>
      <c r="F671">
        <f>IF(AND(B671=1,C671&gt;1,E670&lt;&gt;""),ABS(D671-E670),"")</f>
        <v/>
      </c>
    </row>
    <row r="672">
      <c r="A672" t="n">
        <v>672</v>
      </c>
      <c r="B672">
        <f>IF(INDEX('Data Entry'!$H$5:$BE$10004,672-4,'Visual SPC'!$B$3)="",0,IF(AND(OR('Visual SPC'!$C$4="",'Data Entry'!$C672&gt;='Visual SPC'!$C$4),OR('Visual SPC'!$E$4="",'Data Entry'!$C672&lt;='Visual SPC'!$E$4),OR('Visual SPC'!$G$4="",'Data Entry'!$D672='Visual SPC'!$G$4),OR('Visual SPC'!$I$4="",'Data Entry'!$E672='Visual SPC'!$I$4),OR('Visual SPC'!$K$4="",'Data Entry'!$F672='Visual SPC'!$K$4)),1,0))</f>
        <v/>
      </c>
      <c r="C672">
        <f>C671+B672</f>
        <v/>
      </c>
      <c r="D672">
        <f>IF(B672=1,INDEX('Data Entry'!$H$5:$BE$10004,672-4,'Visual SPC'!$B$3),"")</f>
        <v/>
      </c>
      <c r="E672">
        <f>IF(B672=1,D672,E671)</f>
        <v/>
      </c>
      <c r="F672">
        <f>IF(AND(B672=1,C672&gt;1,E671&lt;&gt;""),ABS(D672-E671),"")</f>
        <v/>
      </c>
    </row>
    <row r="673">
      <c r="A673" t="n">
        <v>673</v>
      </c>
      <c r="B673">
        <f>IF(INDEX('Data Entry'!$H$5:$BE$10004,673-4,'Visual SPC'!$B$3)="",0,IF(AND(OR('Visual SPC'!$C$4="",'Data Entry'!$C673&gt;='Visual SPC'!$C$4),OR('Visual SPC'!$E$4="",'Data Entry'!$C673&lt;='Visual SPC'!$E$4),OR('Visual SPC'!$G$4="",'Data Entry'!$D673='Visual SPC'!$G$4),OR('Visual SPC'!$I$4="",'Data Entry'!$E673='Visual SPC'!$I$4),OR('Visual SPC'!$K$4="",'Data Entry'!$F673='Visual SPC'!$K$4)),1,0))</f>
        <v/>
      </c>
      <c r="C673">
        <f>C672+B673</f>
        <v/>
      </c>
      <c r="D673">
        <f>IF(B673=1,INDEX('Data Entry'!$H$5:$BE$10004,673-4,'Visual SPC'!$B$3),"")</f>
        <v/>
      </c>
      <c r="E673">
        <f>IF(B673=1,D673,E672)</f>
        <v/>
      </c>
      <c r="F673">
        <f>IF(AND(B673=1,C673&gt;1,E672&lt;&gt;""),ABS(D673-E672),"")</f>
        <v/>
      </c>
    </row>
    <row r="674">
      <c r="A674" t="n">
        <v>674</v>
      </c>
      <c r="B674">
        <f>IF(INDEX('Data Entry'!$H$5:$BE$10004,674-4,'Visual SPC'!$B$3)="",0,IF(AND(OR('Visual SPC'!$C$4="",'Data Entry'!$C674&gt;='Visual SPC'!$C$4),OR('Visual SPC'!$E$4="",'Data Entry'!$C674&lt;='Visual SPC'!$E$4),OR('Visual SPC'!$G$4="",'Data Entry'!$D674='Visual SPC'!$G$4),OR('Visual SPC'!$I$4="",'Data Entry'!$E674='Visual SPC'!$I$4),OR('Visual SPC'!$K$4="",'Data Entry'!$F674='Visual SPC'!$K$4)),1,0))</f>
        <v/>
      </c>
      <c r="C674">
        <f>C673+B674</f>
        <v/>
      </c>
      <c r="D674">
        <f>IF(B674=1,INDEX('Data Entry'!$H$5:$BE$10004,674-4,'Visual SPC'!$B$3),"")</f>
        <v/>
      </c>
      <c r="E674">
        <f>IF(B674=1,D674,E673)</f>
        <v/>
      </c>
      <c r="F674">
        <f>IF(AND(B674=1,C674&gt;1,E673&lt;&gt;""),ABS(D674-E673),"")</f>
        <v/>
      </c>
    </row>
    <row r="675">
      <c r="A675" t="n">
        <v>675</v>
      </c>
      <c r="B675">
        <f>IF(INDEX('Data Entry'!$H$5:$BE$10004,675-4,'Visual SPC'!$B$3)="",0,IF(AND(OR('Visual SPC'!$C$4="",'Data Entry'!$C675&gt;='Visual SPC'!$C$4),OR('Visual SPC'!$E$4="",'Data Entry'!$C675&lt;='Visual SPC'!$E$4),OR('Visual SPC'!$G$4="",'Data Entry'!$D675='Visual SPC'!$G$4),OR('Visual SPC'!$I$4="",'Data Entry'!$E675='Visual SPC'!$I$4),OR('Visual SPC'!$K$4="",'Data Entry'!$F675='Visual SPC'!$K$4)),1,0))</f>
        <v/>
      </c>
      <c r="C675">
        <f>C674+B675</f>
        <v/>
      </c>
      <c r="D675">
        <f>IF(B675=1,INDEX('Data Entry'!$H$5:$BE$10004,675-4,'Visual SPC'!$B$3),"")</f>
        <v/>
      </c>
      <c r="E675">
        <f>IF(B675=1,D675,E674)</f>
        <v/>
      </c>
      <c r="F675">
        <f>IF(AND(B675=1,C675&gt;1,E674&lt;&gt;""),ABS(D675-E674),"")</f>
        <v/>
      </c>
    </row>
    <row r="676">
      <c r="A676" t="n">
        <v>676</v>
      </c>
      <c r="B676">
        <f>IF(INDEX('Data Entry'!$H$5:$BE$10004,676-4,'Visual SPC'!$B$3)="",0,IF(AND(OR('Visual SPC'!$C$4="",'Data Entry'!$C676&gt;='Visual SPC'!$C$4),OR('Visual SPC'!$E$4="",'Data Entry'!$C676&lt;='Visual SPC'!$E$4),OR('Visual SPC'!$G$4="",'Data Entry'!$D676='Visual SPC'!$G$4),OR('Visual SPC'!$I$4="",'Data Entry'!$E676='Visual SPC'!$I$4),OR('Visual SPC'!$K$4="",'Data Entry'!$F676='Visual SPC'!$K$4)),1,0))</f>
        <v/>
      </c>
      <c r="C676">
        <f>C675+B676</f>
        <v/>
      </c>
      <c r="D676">
        <f>IF(B676=1,INDEX('Data Entry'!$H$5:$BE$10004,676-4,'Visual SPC'!$B$3),"")</f>
        <v/>
      </c>
      <c r="E676">
        <f>IF(B676=1,D676,E675)</f>
        <v/>
      </c>
      <c r="F676">
        <f>IF(AND(B676=1,C676&gt;1,E675&lt;&gt;""),ABS(D676-E675),"")</f>
        <v/>
      </c>
    </row>
    <row r="677">
      <c r="A677" t="n">
        <v>677</v>
      </c>
      <c r="B677">
        <f>IF(INDEX('Data Entry'!$H$5:$BE$10004,677-4,'Visual SPC'!$B$3)="",0,IF(AND(OR('Visual SPC'!$C$4="",'Data Entry'!$C677&gt;='Visual SPC'!$C$4),OR('Visual SPC'!$E$4="",'Data Entry'!$C677&lt;='Visual SPC'!$E$4),OR('Visual SPC'!$G$4="",'Data Entry'!$D677='Visual SPC'!$G$4),OR('Visual SPC'!$I$4="",'Data Entry'!$E677='Visual SPC'!$I$4),OR('Visual SPC'!$K$4="",'Data Entry'!$F677='Visual SPC'!$K$4)),1,0))</f>
        <v/>
      </c>
      <c r="C677">
        <f>C676+B677</f>
        <v/>
      </c>
      <c r="D677">
        <f>IF(B677=1,INDEX('Data Entry'!$H$5:$BE$10004,677-4,'Visual SPC'!$B$3),"")</f>
        <v/>
      </c>
      <c r="E677">
        <f>IF(B677=1,D677,E676)</f>
        <v/>
      </c>
      <c r="F677">
        <f>IF(AND(B677=1,C677&gt;1,E676&lt;&gt;""),ABS(D677-E676),"")</f>
        <v/>
      </c>
    </row>
    <row r="678">
      <c r="A678" t="n">
        <v>678</v>
      </c>
      <c r="B678">
        <f>IF(INDEX('Data Entry'!$H$5:$BE$10004,678-4,'Visual SPC'!$B$3)="",0,IF(AND(OR('Visual SPC'!$C$4="",'Data Entry'!$C678&gt;='Visual SPC'!$C$4),OR('Visual SPC'!$E$4="",'Data Entry'!$C678&lt;='Visual SPC'!$E$4),OR('Visual SPC'!$G$4="",'Data Entry'!$D678='Visual SPC'!$G$4),OR('Visual SPC'!$I$4="",'Data Entry'!$E678='Visual SPC'!$I$4),OR('Visual SPC'!$K$4="",'Data Entry'!$F678='Visual SPC'!$K$4)),1,0))</f>
        <v/>
      </c>
      <c r="C678">
        <f>C677+B678</f>
        <v/>
      </c>
      <c r="D678">
        <f>IF(B678=1,INDEX('Data Entry'!$H$5:$BE$10004,678-4,'Visual SPC'!$B$3),"")</f>
        <v/>
      </c>
      <c r="E678">
        <f>IF(B678=1,D678,E677)</f>
        <v/>
      </c>
      <c r="F678">
        <f>IF(AND(B678=1,C678&gt;1,E677&lt;&gt;""),ABS(D678-E677),"")</f>
        <v/>
      </c>
    </row>
    <row r="679">
      <c r="A679" t="n">
        <v>679</v>
      </c>
      <c r="B679">
        <f>IF(INDEX('Data Entry'!$H$5:$BE$10004,679-4,'Visual SPC'!$B$3)="",0,IF(AND(OR('Visual SPC'!$C$4="",'Data Entry'!$C679&gt;='Visual SPC'!$C$4),OR('Visual SPC'!$E$4="",'Data Entry'!$C679&lt;='Visual SPC'!$E$4),OR('Visual SPC'!$G$4="",'Data Entry'!$D679='Visual SPC'!$G$4),OR('Visual SPC'!$I$4="",'Data Entry'!$E679='Visual SPC'!$I$4),OR('Visual SPC'!$K$4="",'Data Entry'!$F679='Visual SPC'!$K$4)),1,0))</f>
        <v/>
      </c>
      <c r="C679">
        <f>C678+B679</f>
        <v/>
      </c>
      <c r="D679">
        <f>IF(B679=1,INDEX('Data Entry'!$H$5:$BE$10004,679-4,'Visual SPC'!$B$3),"")</f>
        <v/>
      </c>
      <c r="E679">
        <f>IF(B679=1,D679,E678)</f>
        <v/>
      </c>
      <c r="F679">
        <f>IF(AND(B679=1,C679&gt;1,E678&lt;&gt;""),ABS(D679-E678),"")</f>
        <v/>
      </c>
    </row>
    <row r="680">
      <c r="A680" t="n">
        <v>680</v>
      </c>
      <c r="B680">
        <f>IF(INDEX('Data Entry'!$H$5:$BE$10004,680-4,'Visual SPC'!$B$3)="",0,IF(AND(OR('Visual SPC'!$C$4="",'Data Entry'!$C680&gt;='Visual SPC'!$C$4),OR('Visual SPC'!$E$4="",'Data Entry'!$C680&lt;='Visual SPC'!$E$4),OR('Visual SPC'!$G$4="",'Data Entry'!$D680='Visual SPC'!$G$4),OR('Visual SPC'!$I$4="",'Data Entry'!$E680='Visual SPC'!$I$4),OR('Visual SPC'!$K$4="",'Data Entry'!$F680='Visual SPC'!$K$4)),1,0))</f>
        <v/>
      </c>
      <c r="C680">
        <f>C679+B680</f>
        <v/>
      </c>
      <c r="D680">
        <f>IF(B680=1,INDEX('Data Entry'!$H$5:$BE$10004,680-4,'Visual SPC'!$B$3),"")</f>
        <v/>
      </c>
      <c r="E680">
        <f>IF(B680=1,D680,E679)</f>
        <v/>
      </c>
      <c r="F680">
        <f>IF(AND(B680=1,C680&gt;1,E679&lt;&gt;""),ABS(D680-E679),"")</f>
        <v/>
      </c>
    </row>
    <row r="681">
      <c r="A681" t="n">
        <v>681</v>
      </c>
      <c r="B681">
        <f>IF(INDEX('Data Entry'!$H$5:$BE$10004,681-4,'Visual SPC'!$B$3)="",0,IF(AND(OR('Visual SPC'!$C$4="",'Data Entry'!$C681&gt;='Visual SPC'!$C$4),OR('Visual SPC'!$E$4="",'Data Entry'!$C681&lt;='Visual SPC'!$E$4),OR('Visual SPC'!$G$4="",'Data Entry'!$D681='Visual SPC'!$G$4),OR('Visual SPC'!$I$4="",'Data Entry'!$E681='Visual SPC'!$I$4),OR('Visual SPC'!$K$4="",'Data Entry'!$F681='Visual SPC'!$K$4)),1,0))</f>
        <v/>
      </c>
      <c r="C681">
        <f>C680+B681</f>
        <v/>
      </c>
      <c r="D681">
        <f>IF(B681=1,INDEX('Data Entry'!$H$5:$BE$10004,681-4,'Visual SPC'!$B$3),"")</f>
        <v/>
      </c>
      <c r="E681">
        <f>IF(B681=1,D681,E680)</f>
        <v/>
      </c>
      <c r="F681">
        <f>IF(AND(B681=1,C681&gt;1,E680&lt;&gt;""),ABS(D681-E680),"")</f>
        <v/>
      </c>
    </row>
    <row r="682">
      <c r="A682" t="n">
        <v>682</v>
      </c>
      <c r="B682">
        <f>IF(INDEX('Data Entry'!$H$5:$BE$10004,682-4,'Visual SPC'!$B$3)="",0,IF(AND(OR('Visual SPC'!$C$4="",'Data Entry'!$C682&gt;='Visual SPC'!$C$4),OR('Visual SPC'!$E$4="",'Data Entry'!$C682&lt;='Visual SPC'!$E$4),OR('Visual SPC'!$G$4="",'Data Entry'!$D682='Visual SPC'!$G$4),OR('Visual SPC'!$I$4="",'Data Entry'!$E682='Visual SPC'!$I$4),OR('Visual SPC'!$K$4="",'Data Entry'!$F682='Visual SPC'!$K$4)),1,0))</f>
        <v/>
      </c>
      <c r="C682">
        <f>C681+B682</f>
        <v/>
      </c>
      <c r="D682">
        <f>IF(B682=1,INDEX('Data Entry'!$H$5:$BE$10004,682-4,'Visual SPC'!$B$3),"")</f>
        <v/>
      </c>
      <c r="E682">
        <f>IF(B682=1,D682,E681)</f>
        <v/>
      </c>
      <c r="F682">
        <f>IF(AND(B682=1,C682&gt;1,E681&lt;&gt;""),ABS(D682-E681),"")</f>
        <v/>
      </c>
    </row>
    <row r="683">
      <c r="A683" t="n">
        <v>683</v>
      </c>
      <c r="B683">
        <f>IF(INDEX('Data Entry'!$H$5:$BE$10004,683-4,'Visual SPC'!$B$3)="",0,IF(AND(OR('Visual SPC'!$C$4="",'Data Entry'!$C683&gt;='Visual SPC'!$C$4),OR('Visual SPC'!$E$4="",'Data Entry'!$C683&lt;='Visual SPC'!$E$4),OR('Visual SPC'!$G$4="",'Data Entry'!$D683='Visual SPC'!$G$4),OR('Visual SPC'!$I$4="",'Data Entry'!$E683='Visual SPC'!$I$4),OR('Visual SPC'!$K$4="",'Data Entry'!$F683='Visual SPC'!$K$4)),1,0))</f>
        <v/>
      </c>
      <c r="C683">
        <f>C682+B683</f>
        <v/>
      </c>
      <c r="D683">
        <f>IF(B683=1,INDEX('Data Entry'!$H$5:$BE$10004,683-4,'Visual SPC'!$B$3),"")</f>
        <v/>
      </c>
      <c r="E683">
        <f>IF(B683=1,D683,E682)</f>
        <v/>
      </c>
      <c r="F683">
        <f>IF(AND(B683=1,C683&gt;1,E682&lt;&gt;""),ABS(D683-E682),"")</f>
        <v/>
      </c>
    </row>
    <row r="684">
      <c r="A684" t="n">
        <v>684</v>
      </c>
      <c r="B684">
        <f>IF(INDEX('Data Entry'!$H$5:$BE$10004,684-4,'Visual SPC'!$B$3)="",0,IF(AND(OR('Visual SPC'!$C$4="",'Data Entry'!$C684&gt;='Visual SPC'!$C$4),OR('Visual SPC'!$E$4="",'Data Entry'!$C684&lt;='Visual SPC'!$E$4),OR('Visual SPC'!$G$4="",'Data Entry'!$D684='Visual SPC'!$G$4),OR('Visual SPC'!$I$4="",'Data Entry'!$E684='Visual SPC'!$I$4),OR('Visual SPC'!$K$4="",'Data Entry'!$F684='Visual SPC'!$K$4)),1,0))</f>
        <v/>
      </c>
      <c r="C684">
        <f>C683+B684</f>
        <v/>
      </c>
      <c r="D684">
        <f>IF(B684=1,INDEX('Data Entry'!$H$5:$BE$10004,684-4,'Visual SPC'!$B$3),"")</f>
        <v/>
      </c>
      <c r="E684">
        <f>IF(B684=1,D684,E683)</f>
        <v/>
      </c>
      <c r="F684">
        <f>IF(AND(B684=1,C684&gt;1,E683&lt;&gt;""),ABS(D684-E683),"")</f>
        <v/>
      </c>
    </row>
    <row r="685">
      <c r="A685" t="n">
        <v>685</v>
      </c>
      <c r="B685">
        <f>IF(INDEX('Data Entry'!$H$5:$BE$10004,685-4,'Visual SPC'!$B$3)="",0,IF(AND(OR('Visual SPC'!$C$4="",'Data Entry'!$C685&gt;='Visual SPC'!$C$4),OR('Visual SPC'!$E$4="",'Data Entry'!$C685&lt;='Visual SPC'!$E$4),OR('Visual SPC'!$G$4="",'Data Entry'!$D685='Visual SPC'!$G$4),OR('Visual SPC'!$I$4="",'Data Entry'!$E685='Visual SPC'!$I$4),OR('Visual SPC'!$K$4="",'Data Entry'!$F685='Visual SPC'!$K$4)),1,0))</f>
        <v/>
      </c>
      <c r="C685">
        <f>C684+B685</f>
        <v/>
      </c>
      <c r="D685">
        <f>IF(B685=1,INDEX('Data Entry'!$H$5:$BE$10004,685-4,'Visual SPC'!$B$3),"")</f>
        <v/>
      </c>
      <c r="E685">
        <f>IF(B685=1,D685,E684)</f>
        <v/>
      </c>
      <c r="F685">
        <f>IF(AND(B685=1,C685&gt;1,E684&lt;&gt;""),ABS(D685-E684),"")</f>
        <v/>
      </c>
    </row>
    <row r="686">
      <c r="A686" t="n">
        <v>686</v>
      </c>
      <c r="B686">
        <f>IF(INDEX('Data Entry'!$H$5:$BE$10004,686-4,'Visual SPC'!$B$3)="",0,IF(AND(OR('Visual SPC'!$C$4="",'Data Entry'!$C686&gt;='Visual SPC'!$C$4),OR('Visual SPC'!$E$4="",'Data Entry'!$C686&lt;='Visual SPC'!$E$4),OR('Visual SPC'!$G$4="",'Data Entry'!$D686='Visual SPC'!$G$4),OR('Visual SPC'!$I$4="",'Data Entry'!$E686='Visual SPC'!$I$4),OR('Visual SPC'!$K$4="",'Data Entry'!$F686='Visual SPC'!$K$4)),1,0))</f>
        <v/>
      </c>
      <c r="C686">
        <f>C685+B686</f>
        <v/>
      </c>
      <c r="D686">
        <f>IF(B686=1,INDEX('Data Entry'!$H$5:$BE$10004,686-4,'Visual SPC'!$B$3),"")</f>
        <v/>
      </c>
      <c r="E686">
        <f>IF(B686=1,D686,E685)</f>
        <v/>
      </c>
      <c r="F686">
        <f>IF(AND(B686=1,C686&gt;1,E685&lt;&gt;""),ABS(D686-E685),"")</f>
        <v/>
      </c>
    </row>
    <row r="687">
      <c r="A687" t="n">
        <v>687</v>
      </c>
      <c r="B687">
        <f>IF(INDEX('Data Entry'!$H$5:$BE$10004,687-4,'Visual SPC'!$B$3)="",0,IF(AND(OR('Visual SPC'!$C$4="",'Data Entry'!$C687&gt;='Visual SPC'!$C$4),OR('Visual SPC'!$E$4="",'Data Entry'!$C687&lt;='Visual SPC'!$E$4),OR('Visual SPC'!$G$4="",'Data Entry'!$D687='Visual SPC'!$G$4),OR('Visual SPC'!$I$4="",'Data Entry'!$E687='Visual SPC'!$I$4),OR('Visual SPC'!$K$4="",'Data Entry'!$F687='Visual SPC'!$K$4)),1,0))</f>
        <v/>
      </c>
      <c r="C687">
        <f>C686+B687</f>
        <v/>
      </c>
      <c r="D687">
        <f>IF(B687=1,INDEX('Data Entry'!$H$5:$BE$10004,687-4,'Visual SPC'!$B$3),"")</f>
        <v/>
      </c>
      <c r="E687">
        <f>IF(B687=1,D687,E686)</f>
        <v/>
      </c>
      <c r="F687">
        <f>IF(AND(B687=1,C687&gt;1,E686&lt;&gt;""),ABS(D687-E686),"")</f>
        <v/>
      </c>
    </row>
    <row r="688">
      <c r="A688" t="n">
        <v>688</v>
      </c>
      <c r="B688">
        <f>IF(INDEX('Data Entry'!$H$5:$BE$10004,688-4,'Visual SPC'!$B$3)="",0,IF(AND(OR('Visual SPC'!$C$4="",'Data Entry'!$C688&gt;='Visual SPC'!$C$4),OR('Visual SPC'!$E$4="",'Data Entry'!$C688&lt;='Visual SPC'!$E$4),OR('Visual SPC'!$G$4="",'Data Entry'!$D688='Visual SPC'!$G$4),OR('Visual SPC'!$I$4="",'Data Entry'!$E688='Visual SPC'!$I$4),OR('Visual SPC'!$K$4="",'Data Entry'!$F688='Visual SPC'!$K$4)),1,0))</f>
        <v/>
      </c>
      <c r="C688">
        <f>C687+B688</f>
        <v/>
      </c>
      <c r="D688">
        <f>IF(B688=1,INDEX('Data Entry'!$H$5:$BE$10004,688-4,'Visual SPC'!$B$3),"")</f>
        <v/>
      </c>
      <c r="E688">
        <f>IF(B688=1,D688,E687)</f>
        <v/>
      </c>
      <c r="F688">
        <f>IF(AND(B688=1,C688&gt;1,E687&lt;&gt;""),ABS(D688-E687),"")</f>
        <v/>
      </c>
    </row>
    <row r="689">
      <c r="A689" t="n">
        <v>689</v>
      </c>
      <c r="B689">
        <f>IF(INDEX('Data Entry'!$H$5:$BE$10004,689-4,'Visual SPC'!$B$3)="",0,IF(AND(OR('Visual SPC'!$C$4="",'Data Entry'!$C689&gt;='Visual SPC'!$C$4),OR('Visual SPC'!$E$4="",'Data Entry'!$C689&lt;='Visual SPC'!$E$4),OR('Visual SPC'!$G$4="",'Data Entry'!$D689='Visual SPC'!$G$4),OR('Visual SPC'!$I$4="",'Data Entry'!$E689='Visual SPC'!$I$4),OR('Visual SPC'!$K$4="",'Data Entry'!$F689='Visual SPC'!$K$4)),1,0))</f>
        <v/>
      </c>
      <c r="C689">
        <f>C688+B689</f>
        <v/>
      </c>
      <c r="D689">
        <f>IF(B689=1,INDEX('Data Entry'!$H$5:$BE$10004,689-4,'Visual SPC'!$B$3),"")</f>
        <v/>
      </c>
      <c r="E689">
        <f>IF(B689=1,D689,E688)</f>
        <v/>
      </c>
      <c r="F689">
        <f>IF(AND(B689=1,C689&gt;1,E688&lt;&gt;""),ABS(D689-E688),"")</f>
        <v/>
      </c>
    </row>
    <row r="690">
      <c r="A690" t="n">
        <v>690</v>
      </c>
      <c r="B690">
        <f>IF(INDEX('Data Entry'!$H$5:$BE$10004,690-4,'Visual SPC'!$B$3)="",0,IF(AND(OR('Visual SPC'!$C$4="",'Data Entry'!$C690&gt;='Visual SPC'!$C$4),OR('Visual SPC'!$E$4="",'Data Entry'!$C690&lt;='Visual SPC'!$E$4),OR('Visual SPC'!$G$4="",'Data Entry'!$D690='Visual SPC'!$G$4),OR('Visual SPC'!$I$4="",'Data Entry'!$E690='Visual SPC'!$I$4),OR('Visual SPC'!$K$4="",'Data Entry'!$F690='Visual SPC'!$K$4)),1,0))</f>
        <v/>
      </c>
      <c r="C690">
        <f>C689+B690</f>
        <v/>
      </c>
      <c r="D690">
        <f>IF(B690=1,INDEX('Data Entry'!$H$5:$BE$10004,690-4,'Visual SPC'!$B$3),"")</f>
        <v/>
      </c>
      <c r="E690">
        <f>IF(B690=1,D690,E689)</f>
        <v/>
      </c>
      <c r="F690">
        <f>IF(AND(B690=1,C690&gt;1,E689&lt;&gt;""),ABS(D690-E689),"")</f>
        <v/>
      </c>
    </row>
    <row r="691">
      <c r="A691" t="n">
        <v>691</v>
      </c>
      <c r="B691">
        <f>IF(INDEX('Data Entry'!$H$5:$BE$10004,691-4,'Visual SPC'!$B$3)="",0,IF(AND(OR('Visual SPC'!$C$4="",'Data Entry'!$C691&gt;='Visual SPC'!$C$4),OR('Visual SPC'!$E$4="",'Data Entry'!$C691&lt;='Visual SPC'!$E$4),OR('Visual SPC'!$G$4="",'Data Entry'!$D691='Visual SPC'!$G$4),OR('Visual SPC'!$I$4="",'Data Entry'!$E691='Visual SPC'!$I$4),OR('Visual SPC'!$K$4="",'Data Entry'!$F691='Visual SPC'!$K$4)),1,0))</f>
        <v/>
      </c>
      <c r="C691">
        <f>C690+B691</f>
        <v/>
      </c>
      <c r="D691">
        <f>IF(B691=1,INDEX('Data Entry'!$H$5:$BE$10004,691-4,'Visual SPC'!$B$3),"")</f>
        <v/>
      </c>
      <c r="E691">
        <f>IF(B691=1,D691,E690)</f>
        <v/>
      </c>
      <c r="F691">
        <f>IF(AND(B691=1,C691&gt;1,E690&lt;&gt;""),ABS(D691-E690),"")</f>
        <v/>
      </c>
    </row>
    <row r="692">
      <c r="A692" t="n">
        <v>692</v>
      </c>
      <c r="B692">
        <f>IF(INDEX('Data Entry'!$H$5:$BE$10004,692-4,'Visual SPC'!$B$3)="",0,IF(AND(OR('Visual SPC'!$C$4="",'Data Entry'!$C692&gt;='Visual SPC'!$C$4),OR('Visual SPC'!$E$4="",'Data Entry'!$C692&lt;='Visual SPC'!$E$4),OR('Visual SPC'!$G$4="",'Data Entry'!$D692='Visual SPC'!$G$4),OR('Visual SPC'!$I$4="",'Data Entry'!$E692='Visual SPC'!$I$4),OR('Visual SPC'!$K$4="",'Data Entry'!$F692='Visual SPC'!$K$4)),1,0))</f>
        <v/>
      </c>
      <c r="C692">
        <f>C691+B692</f>
        <v/>
      </c>
      <c r="D692">
        <f>IF(B692=1,INDEX('Data Entry'!$H$5:$BE$10004,692-4,'Visual SPC'!$B$3),"")</f>
        <v/>
      </c>
      <c r="E692">
        <f>IF(B692=1,D692,E691)</f>
        <v/>
      </c>
      <c r="F692">
        <f>IF(AND(B692=1,C692&gt;1,E691&lt;&gt;""),ABS(D692-E691),"")</f>
        <v/>
      </c>
    </row>
    <row r="693">
      <c r="A693" t="n">
        <v>693</v>
      </c>
      <c r="B693">
        <f>IF(INDEX('Data Entry'!$H$5:$BE$10004,693-4,'Visual SPC'!$B$3)="",0,IF(AND(OR('Visual SPC'!$C$4="",'Data Entry'!$C693&gt;='Visual SPC'!$C$4),OR('Visual SPC'!$E$4="",'Data Entry'!$C693&lt;='Visual SPC'!$E$4),OR('Visual SPC'!$G$4="",'Data Entry'!$D693='Visual SPC'!$G$4),OR('Visual SPC'!$I$4="",'Data Entry'!$E693='Visual SPC'!$I$4),OR('Visual SPC'!$K$4="",'Data Entry'!$F693='Visual SPC'!$K$4)),1,0))</f>
        <v/>
      </c>
      <c r="C693">
        <f>C692+B693</f>
        <v/>
      </c>
      <c r="D693">
        <f>IF(B693=1,INDEX('Data Entry'!$H$5:$BE$10004,693-4,'Visual SPC'!$B$3),"")</f>
        <v/>
      </c>
      <c r="E693">
        <f>IF(B693=1,D693,E692)</f>
        <v/>
      </c>
      <c r="F693">
        <f>IF(AND(B693=1,C693&gt;1,E692&lt;&gt;""),ABS(D693-E692),"")</f>
        <v/>
      </c>
    </row>
    <row r="694">
      <c r="A694" t="n">
        <v>694</v>
      </c>
      <c r="B694">
        <f>IF(INDEX('Data Entry'!$H$5:$BE$10004,694-4,'Visual SPC'!$B$3)="",0,IF(AND(OR('Visual SPC'!$C$4="",'Data Entry'!$C694&gt;='Visual SPC'!$C$4),OR('Visual SPC'!$E$4="",'Data Entry'!$C694&lt;='Visual SPC'!$E$4),OR('Visual SPC'!$G$4="",'Data Entry'!$D694='Visual SPC'!$G$4),OR('Visual SPC'!$I$4="",'Data Entry'!$E694='Visual SPC'!$I$4),OR('Visual SPC'!$K$4="",'Data Entry'!$F694='Visual SPC'!$K$4)),1,0))</f>
        <v/>
      </c>
      <c r="C694">
        <f>C693+B694</f>
        <v/>
      </c>
      <c r="D694">
        <f>IF(B694=1,INDEX('Data Entry'!$H$5:$BE$10004,694-4,'Visual SPC'!$B$3),"")</f>
        <v/>
      </c>
      <c r="E694">
        <f>IF(B694=1,D694,E693)</f>
        <v/>
      </c>
      <c r="F694">
        <f>IF(AND(B694=1,C694&gt;1,E693&lt;&gt;""),ABS(D694-E693),"")</f>
        <v/>
      </c>
    </row>
    <row r="695">
      <c r="A695" t="n">
        <v>695</v>
      </c>
      <c r="B695">
        <f>IF(INDEX('Data Entry'!$H$5:$BE$10004,695-4,'Visual SPC'!$B$3)="",0,IF(AND(OR('Visual SPC'!$C$4="",'Data Entry'!$C695&gt;='Visual SPC'!$C$4),OR('Visual SPC'!$E$4="",'Data Entry'!$C695&lt;='Visual SPC'!$E$4),OR('Visual SPC'!$G$4="",'Data Entry'!$D695='Visual SPC'!$G$4),OR('Visual SPC'!$I$4="",'Data Entry'!$E695='Visual SPC'!$I$4),OR('Visual SPC'!$K$4="",'Data Entry'!$F695='Visual SPC'!$K$4)),1,0))</f>
        <v/>
      </c>
      <c r="C695">
        <f>C694+B695</f>
        <v/>
      </c>
      <c r="D695">
        <f>IF(B695=1,INDEX('Data Entry'!$H$5:$BE$10004,695-4,'Visual SPC'!$B$3),"")</f>
        <v/>
      </c>
      <c r="E695">
        <f>IF(B695=1,D695,E694)</f>
        <v/>
      </c>
      <c r="F695">
        <f>IF(AND(B695=1,C695&gt;1,E694&lt;&gt;""),ABS(D695-E694),"")</f>
        <v/>
      </c>
    </row>
    <row r="696">
      <c r="A696" t="n">
        <v>696</v>
      </c>
      <c r="B696">
        <f>IF(INDEX('Data Entry'!$H$5:$BE$10004,696-4,'Visual SPC'!$B$3)="",0,IF(AND(OR('Visual SPC'!$C$4="",'Data Entry'!$C696&gt;='Visual SPC'!$C$4),OR('Visual SPC'!$E$4="",'Data Entry'!$C696&lt;='Visual SPC'!$E$4),OR('Visual SPC'!$G$4="",'Data Entry'!$D696='Visual SPC'!$G$4),OR('Visual SPC'!$I$4="",'Data Entry'!$E696='Visual SPC'!$I$4),OR('Visual SPC'!$K$4="",'Data Entry'!$F696='Visual SPC'!$K$4)),1,0))</f>
        <v/>
      </c>
      <c r="C696">
        <f>C695+B696</f>
        <v/>
      </c>
      <c r="D696">
        <f>IF(B696=1,INDEX('Data Entry'!$H$5:$BE$10004,696-4,'Visual SPC'!$B$3),"")</f>
        <v/>
      </c>
      <c r="E696">
        <f>IF(B696=1,D696,E695)</f>
        <v/>
      </c>
      <c r="F696">
        <f>IF(AND(B696=1,C696&gt;1,E695&lt;&gt;""),ABS(D696-E695),"")</f>
        <v/>
      </c>
    </row>
    <row r="697">
      <c r="A697" t="n">
        <v>697</v>
      </c>
      <c r="B697">
        <f>IF(INDEX('Data Entry'!$H$5:$BE$10004,697-4,'Visual SPC'!$B$3)="",0,IF(AND(OR('Visual SPC'!$C$4="",'Data Entry'!$C697&gt;='Visual SPC'!$C$4),OR('Visual SPC'!$E$4="",'Data Entry'!$C697&lt;='Visual SPC'!$E$4),OR('Visual SPC'!$G$4="",'Data Entry'!$D697='Visual SPC'!$G$4),OR('Visual SPC'!$I$4="",'Data Entry'!$E697='Visual SPC'!$I$4),OR('Visual SPC'!$K$4="",'Data Entry'!$F697='Visual SPC'!$K$4)),1,0))</f>
        <v/>
      </c>
      <c r="C697">
        <f>C696+B697</f>
        <v/>
      </c>
      <c r="D697">
        <f>IF(B697=1,INDEX('Data Entry'!$H$5:$BE$10004,697-4,'Visual SPC'!$B$3),"")</f>
        <v/>
      </c>
      <c r="E697">
        <f>IF(B697=1,D697,E696)</f>
        <v/>
      </c>
      <c r="F697">
        <f>IF(AND(B697=1,C697&gt;1,E696&lt;&gt;""),ABS(D697-E696),"")</f>
        <v/>
      </c>
    </row>
    <row r="698">
      <c r="A698" t="n">
        <v>698</v>
      </c>
      <c r="B698">
        <f>IF(INDEX('Data Entry'!$H$5:$BE$10004,698-4,'Visual SPC'!$B$3)="",0,IF(AND(OR('Visual SPC'!$C$4="",'Data Entry'!$C698&gt;='Visual SPC'!$C$4),OR('Visual SPC'!$E$4="",'Data Entry'!$C698&lt;='Visual SPC'!$E$4),OR('Visual SPC'!$G$4="",'Data Entry'!$D698='Visual SPC'!$G$4),OR('Visual SPC'!$I$4="",'Data Entry'!$E698='Visual SPC'!$I$4),OR('Visual SPC'!$K$4="",'Data Entry'!$F698='Visual SPC'!$K$4)),1,0))</f>
        <v/>
      </c>
      <c r="C698">
        <f>C697+B698</f>
        <v/>
      </c>
      <c r="D698">
        <f>IF(B698=1,INDEX('Data Entry'!$H$5:$BE$10004,698-4,'Visual SPC'!$B$3),"")</f>
        <v/>
      </c>
      <c r="E698">
        <f>IF(B698=1,D698,E697)</f>
        <v/>
      </c>
      <c r="F698">
        <f>IF(AND(B698=1,C698&gt;1,E697&lt;&gt;""),ABS(D698-E697),"")</f>
        <v/>
      </c>
    </row>
    <row r="699">
      <c r="A699" t="n">
        <v>699</v>
      </c>
      <c r="B699">
        <f>IF(INDEX('Data Entry'!$H$5:$BE$10004,699-4,'Visual SPC'!$B$3)="",0,IF(AND(OR('Visual SPC'!$C$4="",'Data Entry'!$C699&gt;='Visual SPC'!$C$4),OR('Visual SPC'!$E$4="",'Data Entry'!$C699&lt;='Visual SPC'!$E$4),OR('Visual SPC'!$G$4="",'Data Entry'!$D699='Visual SPC'!$G$4),OR('Visual SPC'!$I$4="",'Data Entry'!$E699='Visual SPC'!$I$4),OR('Visual SPC'!$K$4="",'Data Entry'!$F699='Visual SPC'!$K$4)),1,0))</f>
        <v/>
      </c>
      <c r="C699">
        <f>C698+B699</f>
        <v/>
      </c>
      <c r="D699">
        <f>IF(B699=1,INDEX('Data Entry'!$H$5:$BE$10004,699-4,'Visual SPC'!$B$3),"")</f>
        <v/>
      </c>
      <c r="E699">
        <f>IF(B699=1,D699,E698)</f>
        <v/>
      </c>
      <c r="F699">
        <f>IF(AND(B699=1,C699&gt;1,E698&lt;&gt;""),ABS(D699-E698),"")</f>
        <v/>
      </c>
    </row>
    <row r="700">
      <c r="A700" t="n">
        <v>700</v>
      </c>
      <c r="B700">
        <f>IF(INDEX('Data Entry'!$H$5:$BE$10004,700-4,'Visual SPC'!$B$3)="",0,IF(AND(OR('Visual SPC'!$C$4="",'Data Entry'!$C700&gt;='Visual SPC'!$C$4),OR('Visual SPC'!$E$4="",'Data Entry'!$C700&lt;='Visual SPC'!$E$4),OR('Visual SPC'!$G$4="",'Data Entry'!$D700='Visual SPC'!$G$4),OR('Visual SPC'!$I$4="",'Data Entry'!$E700='Visual SPC'!$I$4),OR('Visual SPC'!$K$4="",'Data Entry'!$F700='Visual SPC'!$K$4)),1,0))</f>
        <v/>
      </c>
      <c r="C700">
        <f>C699+B700</f>
        <v/>
      </c>
      <c r="D700">
        <f>IF(B700=1,INDEX('Data Entry'!$H$5:$BE$10004,700-4,'Visual SPC'!$B$3),"")</f>
        <v/>
      </c>
      <c r="E700">
        <f>IF(B700=1,D700,E699)</f>
        <v/>
      </c>
      <c r="F700">
        <f>IF(AND(B700=1,C700&gt;1,E699&lt;&gt;""),ABS(D700-E699),"")</f>
        <v/>
      </c>
    </row>
    <row r="701">
      <c r="A701" t="n">
        <v>701</v>
      </c>
      <c r="B701">
        <f>IF(INDEX('Data Entry'!$H$5:$BE$10004,701-4,'Visual SPC'!$B$3)="",0,IF(AND(OR('Visual SPC'!$C$4="",'Data Entry'!$C701&gt;='Visual SPC'!$C$4),OR('Visual SPC'!$E$4="",'Data Entry'!$C701&lt;='Visual SPC'!$E$4),OR('Visual SPC'!$G$4="",'Data Entry'!$D701='Visual SPC'!$G$4),OR('Visual SPC'!$I$4="",'Data Entry'!$E701='Visual SPC'!$I$4),OR('Visual SPC'!$K$4="",'Data Entry'!$F701='Visual SPC'!$K$4)),1,0))</f>
        <v/>
      </c>
      <c r="C701">
        <f>C700+B701</f>
        <v/>
      </c>
      <c r="D701">
        <f>IF(B701=1,INDEX('Data Entry'!$H$5:$BE$10004,701-4,'Visual SPC'!$B$3),"")</f>
        <v/>
      </c>
      <c r="E701">
        <f>IF(B701=1,D701,E700)</f>
        <v/>
      </c>
      <c r="F701">
        <f>IF(AND(B701=1,C701&gt;1,E700&lt;&gt;""),ABS(D701-E700),"")</f>
        <v/>
      </c>
    </row>
    <row r="702">
      <c r="A702" t="n">
        <v>702</v>
      </c>
      <c r="B702">
        <f>IF(INDEX('Data Entry'!$H$5:$BE$10004,702-4,'Visual SPC'!$B$3)="",0,IF(AND(OR('Visual SPC'!$C$4="",'Data Entry'!$C702&gt;='Visual SPC'!$C$4),OR('Visual SPC'!$E$4="",'Data Entry'!$C702&lt;='Visual SPC'!$E$4),OR('Visual SPC'!$G$4="",'Data Entry'!$D702='Visual SPC'!$G$4),OR('Visual SPC'!$I$4="",'Data Entry'!$E702='Visual SPC'!$I$4),OR('Visual SPC'!$K$4="",'Data Entry'!$F702='Visual SPC'!$K$4)),1,0))</f>
        <v/>
      </c>
      <c r="C702">
        <f>C701+B702</f>
        <v/>
      </c>
      <c r="D702">
        <f>IF(B702=1,INDEX('Data Entry'!$H$5:$BE$10004,702-4,'Visual SPC'!$B$3),"")</f>
        <v/>
      </c>
      <c r="E702">
        <f>IF(B702=1,D702,E701)</f>
        <v/>
      </c>
      <c r="F702">
        <f>IF(AND(B702=1,C702&gt;1,E701&lt;&gt;""),ABS(D702-E701),"")</f>
        <v/>
      </c>
    </row>
    <row r="703">
      <c r="A703" t="n">
        <v>703</v>
      </c>
      <c r="B703">
        <f>IF(INDEX('Data Entry'!$H$5:$BE$10004,703-4,'Visual SPC'!$B$3)="",0,IF(AND(OR('Visual SPC'!$C$4="",'Data Entry'!$C703&gt;='Visual SPC'!$C$4),OR('Visual SPC'!$E$4="",'Data Entry'!$C703&lt;='Visual SPC'!$E$4),OR('Visual SPC'!$G$4="",'Data Entry'!$D703='Visual SPC'!$G$4),OR('Visual SPC'!$I$4="",'Data Entry'!$E703='Visual SPC'!$I$4),OR('Visual SPC'!$K$4="",'Data Entry'!$F703='Visual SPC'!$K$4)),1,0))</f>
        <v/>
      </c>
      <c r="C703">
        <f>C702+B703</f>
        <v/>
      </c>
      <c r="D703">
        <f>IF(B703=1,INDEX('Data Entry'!$H$5:$BE$10004,703-4,'Visual SPC'!$B$3),"")</f>
        <v/>
      </c>
      <c r="E703">
        <f>IF(B703=1,D703,E702)</f>
        <v/>
      </c>
      <c r="F703">
        <f>IF(AND(B703=1,C703&gt;1,E702&lt;&gt;""),ABS(D703-E702),"")</f>
        <v/>
      </c>
    </row>
    <row r="704">
      <c r="A704" t="n">
        <v>704</v>
      </c>
      <c r="B704">
        <f>IF(INDEX('Data Entry'!$H$5:$BE$10004,704-4,'Visual SPC'!$B$3)="",0,IF(AND(OR('Visual SPC'!$C$4="",'Data Entry'!$C704&gt;='Visual SPC'!$C$4),OR('Visual SPC'!$E$4="",'Data Entry'!$C704&lt;='Visual SPC'!$E$4),OR('Visual SPC'!$G$4="",'Data Entry'!$D704='Visual SPC'!$G$4),OR('Visual SPC'!$I$4="",'Data Entry'!$E704='Visual SPC'!$I$4),OR('Visual SPC'!$K$4="",'Data Entry'!$F704='Visual SPC'!$K$4)),1,0))</f>
        <v/>
      </c>
      <c r="C704">
        <f>C703+B704</f>
        <v/>
      </c>
      <c r="D704">
        <f>IF(B704=1,INDEX('Data Entry'!$H$5:$BE$10004,704-4,'Visual SPC'!$B$3),"")</f>
        <v/>
      </c>
      <c r="E704">
        <f>IF(B704=1,D704,E703)</f>
        <v/>
      </c>
      <c r="F704">
        <f>IF(AND(B704=1,C704&gt;1,E703&lt;&gt;""),ABS(D704-E703),"")</f>
        <v/>
      </c>
    </row>
    <row r="705">
      <c r="A705" t="n">
        <v>705</v>
      </c>
      <c r="B705">
        <f>IF(INDEX('Data Entry'!$H$5:$BE$10004,705-4,'Visual SPC'!$B$3)="",0,IF(AND(OR('Visual SPC'!$C$4="",'Data Entry'!$C705&gt;='Visual SPC'!$C$4),OR('Visual SPC'!$E$4="",'Data Entry'!$C705&lt;='Visual SPC'!$E$4),OR('Visual SPC'!$G$4="",'Data Entry'!$D705='Visual SPC'!$G$4),OR('Visual SPC'!$I$4="",'Data Entry'!$E705='Visual SPC'!$I$4),OR('Visual SPC'!$K$4="",'Data Entry'!$F705='Visual SPC'!$K$4)),1,0))</f>
        <v/>
      </c>
      <c r="C705">
        <f>C704+B705</f>
        <v/>
      </c>
      <c r="D705">
        <f>IF(B705=1,INDEX('Data Entry'!$H$5:$BE$10004,705-4,'Visual SPC'!$B$3),"")</f>
        <v/>
      </c>
      <c r="E705">
        <f>IF(B705=1,D705,E704)</f>
        <v/>
      </c>
      <c r="F705">
        <f>IF(AND(B705=1,C705&gt;1,E704&lt;&gt;""),ABS(D705-E704),"")</f>
        <v/>
      </c>
    </row>
    <row r="706">
      <c r="A706" t="n">
        <v>706</v>
      </c>
      <c r="B706">
        <f>IF(INDEX('Data Entry'!$H$5:$BE$10004,706-4,'Visual SPC'!$B$3)="",0,IF(AND(OR('Visual SPC'!$C$4="",'Data Entry'!$C706&gt;='Visual SPC'!$C$4),OR('Visual SPC'!$E$4="",'Data Entry'!$C706&lt;='Visual SPC'!$E$4),OR('Visual SPC'!$G$4="",'Data Entry'!$D706='Visual SPC'!$G$4),OR('Visual SPC'!$I$4="",'Data Entry'!$E706='Visual SPC'!$I$4),OR('Visual SPC'!$K$4="",'Data Entry'!$F706='Visual SPC'!$K$4)),1,0))</f>
        <v/>
      </c>
      <c r="C706">
        <f>C705+B706</f>
        <v/>
      </c>
      <c r="D706">
        <f>IF(B706=1,INDEX('Data Entry'!$H$5:$BE$10004,706-4,'Visual SPC'!$B$3),"")</f>
        <v/>
      </c>
      <c r="E706">
        <f>IF(B706=1,D706,E705)</f>
        <v/>
      </c>
      <c r="F706">
        <f>IF(AND(B706=1,C706&gt;1,E705&lt;&gt;""),ABS(D706-E705),"")</f>
        <v/>
      </c>
    </row>
    <row r="707">
      <c r="A707" t="n">
        <v>707</v>
      </c>
      <c r="B707">
        <f>IF(INDEX('Data Entry'!$H$5:$BE$10004,707-4,'Visual SPC'!$B$3)="",0,IF(AND(OR('Visual SPC'!$C$4="",'Data Entry'!$C707&gt;='Visual SPC'!$C$4),OR('Visual SPC'!$E$4="",'Data Entry'!$C707&lt;='Visual SPC'!$E$4),OR('Visual SPC'!$G$4="",'Data Entry'!$D707='Visual SPC'!$G$4),OR('Visual SPC'!$I$4="",'Data Entry'!$E707='Visual SPC'!$I$4),OR('Visual SPC'!$K$4="",'Data Entry'!$F707='Visual SPC'!$K$4)),1,0))</f>
        <v/>
      </c>
      <c r="C707">
        <f>C706+B707</f>
        <v/>
      </c>
      <c r="D707">
        <f>IF(B707=1,INDEX('Data Entry'!$H$5:$BE$10004,707-4,'Visual SPC'!$B$3),"")</f>
        <v/>
      </c>
      <c r="E707">
        <f>IF(B707=1,D707,E706)</f>
        <v/>
      </c>
      <c r="F707">
        <f>IF(AND(B707=1,C707&gt;1,E706&lt;&gt;""),ABS(D707-E706),"")</f>
        <v/>
      </c>
    </row>
    <row r="708">
      <c r="A708" t="n">
        <v>708</v>
      </c>
      <c r="B708">
        <f>IF(INDEX('Data Entry'!$H$5:$BE$10004,708-4,'Visual SPC'!$B$3)="",0,IF(AND(OR('Visual SPC'!$C$4="",'Data Entry'!$C708&gt;='Visual SPC'!$C$4),OR('Visual SPC'!$E$4="",'Data Entry'!$C708&lt;='Visual SPC'!$E$4),OR('Visual SPC'!$G$4="",'Data Entry'!$D708='Visual SPC'!$G$4),OR('Visual SPC'!$I$4="",'Data Entry'!$E708='Visual SPC'!$I$4),OR('Visual SPC'!$K$4="",'Data Entry'!$F708='Visual SPC'!$K$4)),1,0))</f>
        <v/>
      </c>
      <c r="C708">
        <f>C707+B708</f>
        <v/>
      </c>
      <c r="D708">
        <f>IF(B708=1,INDEX('Data Entry'!$H$5:$BE$10004,708-4,'Visual SPC'!$B$3),"")</f>
        <v/>
      </c>
      <c r="E708">
        <f>IF(B708=1,D708,E707)</f>
        <v/>
      </c>
      <c r="F708">
        <f>IF(AND(B708=1,C708&gt;1,E707&lt;&gt;""),ABS(D708-E707),"")</f>
        <v/>
      </c>
    </row>
    <row r="709">
      <c r="A709" t="n">
        <v>709</v>
      </c>
      <c r="B709">
        <f>IF(INDEX('Data Entry'!$H$5:$BE$10004,709-4,'Visual SPC'!$B$3)="",0,IF(AND(OR('Visual SPC'!$C$4="",'Data Entry'!$C709&gt;='Visual SPC'!$C$4),OR('Visual SPC'!$E$4="",'Data Entry'!$C709&lt;='Visual SPC'!$E$4),OR('Visual SPC'!$G$4="",'Data Entry'!$D709='Visual SPC'!$G$4),OR('Visual SPC'!$I$4="",'Data Entry'!$E709='Visual SPC'!$I$4),OR('Visual SPC'!$K$4="",'Data Entry'!$F709='Visual SPC'!$K$4)),1,0))</f>
        <v/>
      </c>
      <c r="C709">
        <f>C708+B709</f>
        <v/>
      </c>
      <c r="D709">
        <f>IF(B709=1,INDEX('Data Entry'!$H$5:$BE$10004,709-4,'Visual SPC'!$B$3),"")</f>
        <v/>
      </c>
      <c r="E709">
        <f>IF(B709=1,D709,E708)</f>
        <v/>
      </c>
      <c r="F709">
        <f>IF(AND(B709=1,C709&gt;1,E708&lt;&gt;""),ABS(D709-E708),"")</f>
        <v/>
      </c>
    </row>
    <row r="710">
      <c r="A710" t="n">
        <v>710</v>
      </c>
      <c r="B710">
        <f>IF(INDEX('Data Entry'!$H$5:$BE$10004,710-4,'Visual SPC'!$B$3)="",0,IF(AND(OR('Visual SPC'!$C$4="",'Data Entry'!$C710&gt;='Visual SPC'!$C$4),OR('Visual SPC'!$E$4="",'Data Entry'!$C710&lt;='Visual SPC'!$E$4),OR('Visual SPC'!$G$4="",'Data Entry'!$D710='Visual SPC'!$G$4),OR('Visual SPC'!$I$4="",'Data Entry'!$E710='Visual SPC'!$I$4),OR('Visual SPC'!$K$4="",'Data Entry'!$F710='Visual SPC'!$K$4)),1,0))</f>
        <v/>
      </c>
      <c r="C710">
        <f>C709+B710</f>
        <v/>
      </c>
      <c r="D710">
        <f>IF(B710=1,INDEX('Data Entry'!$H$5:$BE$10004,710-4,'Visual SPC'!$B$3),"")</f>
        <v/>
      </c>
      <c r="E710">
        <f>IF(B710=1,D710,E709)</f>
        <v/>
      </c>
      <c r="F710">
        <f>IF(AND(B710=1,C710&gt;1,E709&lt;&gt;""),ABS(D710-E709),"")</f>
        <v/>
      </c>
    </row>
    <row r="711">
      <c r="A711" t="n">
        <v>711</v>
      </c>
      <c r="B711">
        <f>IF(INDEX('Data Entry'!$H$5:$BE$10004,711-4,'Visual SPC'!$B$3)="",0,IF(AND(OR('Visual SPC'!$C$4="",'Data Entry'!$C711&gt;='Visual SPC'!$C$4),OR('Visual SPC'!$E$4="",'Data Entry'!$C711&lt;='Visual SPC'!$E$4),OR('Visual SPC'!$G$4="",'Data Entry'!$D711='Visual SPC'!$G$4),OR('Visual SPC'!$I$4="",'Data Entry'!$E711='Visual SPC'!$I$4),OR('Visual SPC'!$K$4="",'Data Entry'!$F711='Visual SPC'!$K$4)),1,0))</f>
        <v/>
      </c>
      <c r="C711">
        <f>C710+B711</f>
        <v/>
      </c>
      <c r="D711">
        <f>IF(B711=1,INDEX('Data Entry'!$H$5:$BE$10004,711-4,'Visual SPC'!$B$3),"")</f>
        <v/>
      </c>
      <c r="E711">
        <f>IF(B711=1,D711,E710)</f>
        <v/>
      </c>
      <c r="F711">
        <f>IF(AND(B711=1,C711&gt;1,E710&lt;&gt;""),ABS(D711-E710),"")</f>
        <v/>
      </c>
    </row>
    <row r="712">
      <c r="A712" t="n">
        <v>712</v>
      </c>
      <c r="B712">
        <f>IF(INDEX('Data Entry'!$H$5:$BE$10004,712-4,'Visual SPC'!$B$3)="",0,IF(AND(OR('Visual SPC'!$C$4="",'Data Entry'!$C712&gt;='Visual SPC'!$C$4),OR('Visual SPC'!$E$4="",'Data Entry'!$C712&lt;='Visual SPC'!$E$4),OR('Visual SPC'!$G$4="",'Data Entry'!$D712='Visual SPC'!$G$4),OR('Visual SPC'!$I$4="",'Data Entry'!$E712='Visual SPC'!$I$4),OR('Visual SPC'!$K$4="",'Data Entry'!$F712='Visual SPC'!$K$4)),1,0))</f>
        <v/>
      </c>
      <c r="C712">
        <f>C711+B712</f>
        <v/>
      </c>
      <c r="D712">
        <f>IF(B712=1,INDEX('Data Entry'!$H$5:$BE$10004,712-4,'Visual SPC'!$B$3),"")</f>
        <v/>
      </c>
      <c r="E712">
        <f>IF(B712=1,D712,E711)</f>
        <v/>
      </c>
      <c r="F712">
        <f>IF(AND(B712=1,C712&gt;1,E711&lt;&gt;""),ABS(D712-E711),"")</f>
        <v/>
      </c>
    </row>
    <row r="713">
      <c r="A713" t="n">
        <v>713</v>
      </c>
      <c r="B713">
        <f>IF(INDEX('Data Entry'!$H$5:$BE$10004,713-4,'Visual SPC'!$B$3)="",0,IF(AND(OR('Visual SPC'!$C$4="",'Data Entry'!$C713&gt;='Visual SPC'!$C$4),OR('Visual SPC'!$E$4="",'Data Entry'!$C713&lt;='Visual SPC'!$E$4),OR('Visual SPC'!$G$4="",'Data Entry'!$D713='Visual SPC'!$G$4),OR('Visual SPC'!$I$4="",'Data Entry'!$E713='Visual SPC'!$I$4),OR('Visual SPC'!$K$4="",'Data Entry'!$F713='Visual SPC'!$K$4)),1,0))</f>
        <v/>
      </c>
      <c r="C713">
        <f>C712+B713</f>
        <v/>
      </c>
      <c r="D713">
        <f>IF(B713=1,INDEX('Data Entry'!$H$5:$BE$10004,713-4,'Visual SPC'!$B$3),"")</f>
        <v/>
      </c>
      <c r="E713">
        <f>IF(B713=1,D713,E712)</f>
        <v/>
      </c>
      <c r="F713">
        <f>IF(AND(B713=1,C713&gt;1,E712&lt;&gt;""),ABS(D713-E712),"")</f>
        <v/>
      </c>
    </row>
    <row r="714">
      <c r="A714" t="n">
        <v>714</v>
      </c>
      <c r="B714">
        <f>IF(INDEX('Data Entry'!$H$5:$BE$10004,714-4,'Visual SPC'!$B$3)="",0,IF(AND(OR('Visual SPC'!$C$4="",'Data Entry'!$C714&gt;='Visual SPC'!$C$4),OR('Visual SPC'!$E$4="",'Data Entry'!$C714&lt;='Visual SPC'!$E$4),OR('Visual SPC'!$G$4="",'Data Entry'!$D714='Visual SPC'!$G$4),OR('Visual SPC'!$I$4="",'Data Entry'!$E714='Visual SPC'!$I$4),OR('Visual SPC'!$K$4="",'Data Entry'!$F714='Visual SPC'!$K$4)),1,0))</f>
        <v/>
      </c>
      <c r="C714">
        <f>C713+B714</f>
        <v/>
      </c>
      <c r="D714">
        <f>IF(B714=1,INDEX('Data Entry'!$H$5:$BE$10004,714-4,'Visual SPC'!$B$3),"")</f>
        <v/>
      </c>
      <c r="E714">
        <f>IF(B714=1,D714,E713)</f>
        <v/>
      </c>
      <c r="F714">
        <f>IF(AND(B714=1,C714&gt;1,E713&lt;&gt;""),ABS(D714-E713),"")</f>
        <v/>
      </c>
    </row>
    <row r="715">
      <c r="A715" t="n">
        <v>715</v>
      </c>
      <c r="B715">
        <f>IF(INDEX('Data Entry'!$H$5:$BE$10004,715-4,'Visual SPC'!$B$3)="",0,IF(AND(OR('Visual SPC'!$C$4="",'Data Entry'!$C715&gt;='Visual SPC'!$C$4),OR('Visual SPC'!$E$4="",'Data Entry'!$C715&lt;='Visual SPC'!$E$4),OR('Visual SPC'!$G$4="",'Data Entry'!$D715='Visual SPC'!$G$4),OR('Visual SPC'!$I$4="",'Data Entry'!$E715='Visual SPC'!$I$4),OR('Visual SPC'!$K$4="",'Data Entry'!$F715='Visual SPC'!$K$4)),1,0))</f>
        <v/>
      </c>
      <c r="C715">
        <f>C714+B715</f>
        <v/>
      </c>
      <c r="D715">
        <f>IF(B715=1,INDEX('Data Entry'!$H$5:$BE$10004,715-4,'Visual SPC'!$B$3),"")</f>
        <v/>
      </c>
      <c r="E715">
        <f>IF(B715=1,D715,E714)</f>
        <v/>
      </c>
      <c r="F715">
        <f>IF(AND(B715=1,C715&gt;1,E714&lt;&gt;""),ABS(D715-E714),"")</f>
        <v/>
      </c>
    </row>
    <row r="716">
      <c r="A716" t="n">
        <v>716</v>
      </c>
      <c r="B716">
        <f>IF(INDEX('Data Entry'!$H$5:$BE$10004,716-4,'Visual SPC'!$B$3)="",0,IF(AND(OR('Visual SPC'!$C$4="",'Data Entry'!$C716&gt;='Visual SPC'!$C$4),OR('Visual SPC'!$E$4="",'Data Entry'!$C716&lt;='Visual SPC'!$E$4),OR('Visual SPC'!$G$4="",'Data Entry'!$D716='Visual SPC'!$G$4),OR('Visual SPC'!$I$4="",'Data Entry'!$E716='Visual SPC'!$I$4),OR('Visual SPC'!$K$4="",'Data Entry'!$F716='Visual SPC'!$K$4)),1,0))</f>
        <v/>
      </c>
      <c r="C716">
        <f>C715+B716</f>
        <v/>
      </c>
      <c r="D716">
        <f>IF(B716=1,INDEX('Data Entry'!$H$5:$BE$10004,716-4,'Visual SPC'!$B$3),"")</f>
        <v/>
      </c>
      <c r="E716">
        <f>IF(B716=1,D716,E715)</f>
        <v/>
      </c>
      <c r="F716">
        <f>IF(AND(B716=1,C716&gt;1,E715&lt;&gt;""),ABS(D716-E715),"")</f>
        <v/>
      </c>
    </row>
    <row r="717">
      <c r="A717" t="n">
        <v>717</v>
      </c>
      <c r="B717">
        <f>IF(INDEX('Data Entry'!$H$5:$BE$10004,717-4,'Visual SPC'!$B$3)="",0,IF(AND(OR('Visual SPC'!$C$4="",'Data Entry'!$C717&gt;='Visual SPC'!$C$4),OR('Visual SPC'!$E$4="",'Data Entry'!$C717&lt;='Visual SPC'!$E$4),OR('Visual SPC'!$G$4="",'Data Entry'!$D717='Visual SPC'!$G$4),OR('Visual SPC'!$I$4="",'Data Entry'!$E717='Visual SPC'!$I$4),OR('Visual SPC'!$K$4="",'Data Entry'!$F717='Visual SPC'!$K$4)),1,0))</f>
        <v/>
      </c>
      <c r="C717">
        <f>C716+B717</f>
        <v/>
      </c>
      <c r="D717">
        <f>IF(B717=1,INDEX('Data Entry'!$H$5:$BE$10004,717-4,'Visual SPC'!$B$3),"")</f>
        <v/>
      </c>
      <c r="E717">
        <f>IF(B717=1,D717,E716)</f>
        <v/>
      </c>
      <c r="F717">
        <f>IF(AND(B717=1,C717&gt;1,E716&lt;&gt;""),ABS(D717-E716),"")</f>
        <v/>
      </c>
    </row>
    <row r="718">
      <c r="A718" t="n">
        <v>718</v>
      </c>
      <c r="B718">
        <f>IF(INDEX('Data Entry'!$H$5:$BE$10004,718-4,'Visual SPC'!$B$3)="",0,IF(AND(OR('Visual SPC'!$C$4="",'Data Entry'!$C718&gt;='Visual SPC'!$C$4),OR('Visual SPC'!$E$4="",'Data Entry'!$C718&lt;='Visual SPC'!$E$4),OR('Visual SPC'!$G$4="",'Data Entry'!$D718='Visual SPC'!$G$4),OR('Visual SPC'!$I$4="",'Data Entry'!$E718='Visual SPC'!$I$4),OR('Visual SPC'!$K$4="",'Data Entry'!$F718='Visual SPC'!$K$4)),1,0))</f>
        <v/>
      </c>
      <c r="C718">
        <f>C717+B718</f>
        <v/>
      </c>
      <c r="D718">
        <f>IF(B718=1,INDEX('Data Entry'!$H$5:$BE$10004,718-4,'Visual SPC'!$B$3),"")</f>
        <v/>
      </c>
      <c r="E718">
        <f>IF(B718=1,D718,E717)</f>
        <v/>
      </c>
      <c r="F718">
        <f>IF(AND(B718=1,C718&gt;1,E717&lt;&gt;""),ABS(D718-E717),"")</f>
        <v/>
      </c>
    </row>
    <row r="719">
      <c r="A719" t="n">
        <v>719</v>
      </c>
      <c r="B719">
        <f>IF(INDEX('Data Entry'!$H$5:$BE$10004,719-4,'Visual SPC'!$B$3)="",0,IF(AND(OR('Visual SPC'!$C$4="",'Data Entry'!$C719&gt;='Visual SPC'!$C$4),OR('Visual SPC'!$E$4="",'Data Entry'!$C719&lt;='Visual SPC'!$E$4),OR('Visual SPC'!$G$4="",'Data Entry'!$D719='Visual SPC'!$G$4),OR('Visual SPC'!$I$4="",'Data Entry'!$E719='Visual SPC'!$I$4),OR('Visual SPC'!$K$4="",'Data Entry'!$F719='Visual SPC'!$K$4)),1,0))</f>
        <v/>
      </c>
      <c r="C719">
        <f>C718+B719</f>
        <v/>
      </c>
      <c r="D719">
        <f>IF(B719=1,INDEX('Data Entry'!$H$5:$BE$10004,719-4,'Visual SPC'!$B$3),"")</f>
        <v/>
      </c>
      <c r="E719">
        <f>IF(B719=1,D719,E718)</f>
        <v/>
      </c>
      <c r="F719">
        <f>IF(AND(B719=1,C719&gt;1,E718&lt;&gt;""),ABS(D719-E718),"")</f>
        <v/>
      </c>
    </row>
    <row r="720">
      <c r="A720" t="n">
        <v>720</v>
      </c>
      <c r="B720">
        <f>IF(INDEX('Data Entry'!$H$5:$BE$10004,720-4,'Visual SPC'!$B$3)="",0,IF(AND(OR('Visual SPC'!$C$4="",'Data Entry'!$C720&gt;='Visual SPC'!$C$4),OR('Visual SPC'!$E$4="",'Data Entry'!$C720&lt;='Visual SPC'!$E$4),OR('Visual SPC'!$G$4="",'Data Entry'!$D720='Visual SPC'!$G$4),OR('Visual SPC'!$I$4="",'Data Entry'!$E720='Visual SPC'!$I$4),OR('Visual SPC'!$K$4="",'Data Entry'!$F720='Visual SPC'!$K$4)),1,0))</f>
        <v/>
      </c>
      <c r="C720">
        <f>C719+B720</f>
        <v/>
      </c>
      <c r="D720">
        <f>IF(B720=1,INDEX('Data Entry'!$H$5:$BE$10004,720-4,'Visual SPC'!$B$3),"")</f>
        <v/>
      </c>
      <c r="E720">
        <f>IF(B720=1,D720,E719)</f>
        <v/>
      </c>
      <c r="F720">
        <f>IF(AND(B720=1,C720&gt;1,E719&lt;&gt;""),ABS(D720-E719),"")</f>
        <v/>
      </c>
    </row>
    <row r="721">
      <c r="A721" t="n">
        <v>721</v>
      </c>
      <c r="B721">
        <f>IF(INDEX('Data Entry'!$H$5:$BE$10004,721-4,'Visual SPC'!$B$3)="",0,IF(AND(OR('Visual SPC'!$C$4="",'Data Entry'!$C721&gt;='Visual SPC'!$C$4),OR('Visual SPC'!$E$4="",'Data Entry'!$C721&lt;='Visual SPC'!$E$4),OR('Visual SPC'!$G$4="",'Data Entry'!$D721='Visual SPC'!$G$4),OR('Visual SPC'!$I$4="",'Data Entry'!$E721='Visual SPC'!$I$4),OR('Visual SPC'!$K$4="",'Data Entry'!$F721='Visual SPC'!$K$4)),1,0))</f>
        <v/>
      </c>
      <c r="C721">
        <f>C720+B721</f>
        <v/>
      </c>
      <c r="D721">
        <f>IF(B721=1,INDEX('Data Entry'!$H$5:$BE$10004,721-4,'Visual SPC'!$B$3),"")</f>
        <v/>
      </c>
      <c r="E721">
        <f>IF(B721=1,D721,E720)</f>
        <v/>
      </c>
      <c r="F721">
        <f>IF(AND(B721=1,C721&gt;1,E720&lt;&gt;""),ABS(D721-E720),"")</f>
        <v/>
      </c>
    </row>
    <row r="722">
      <c r="A722" t="n">
        <v>722</v>
      </c>
      <c r="B722">
        <f>IF(INDEX('Data Entry'!$H$5:$BE$10004,722-4,'Visual SPC'!$B$3)="",0,IF(AND(OR('Visual SPC'!$C$4="",'Data Entry'!$C722&gt;='Visual SPC'!$C$4),OR('Visual SPC'!$E$4="",'Data Entry'!$C722&lt;='Visual SPC'!$E$4),OR('Visual SPC'!$G$4="",'Data Entry'!$D722='Visual SPC'!$G$4),OR('Visual SPC'!$I$4="",'Data Entry'!$E722='Visual SPC'!$I$4),OR('Visual SPC'!$K$4="",'Data Entry'!$F722='Visual SPC'!$K$4)),1,0))</f>
        <v/>
      </c>
      <c r="C722">
        <f>C721+B722</f>
        <v/>
      </c>
      <c r="D722">
        <f>IF(B722=1,INDEX('Data Entry'!$H$5:$BE$10004,722-4,'Visual SPC'!$B$3),"")</f>
        <v/>
      </c>
      <c r="E722">
        <f>IF(B722=1,D722,E721)</f>
        <v/>
      </c>
      <c r="F722">
        <f>IF(AND(B722=1,C722&gt;1,E721&lt;&gt;""),ABS(D722-E721),"")</f>
        <v/>
      </c>
    </row>
    <row r="723">
      <c r="A723" t="n">
        <v>723</v>
      </c>
      <c r="B723">
        <f>IF(INDEX('Data Entry'!$H$5:$BE$10004,723-4,'Visual SPC'!$B$3)="",0,IF(AND(OR('Visual SPC'!$C$4="",'Data Entry'!$C723&gt;='Visual SPC'!$C$4),OR('Visual SPC'!$E$4="",'Data Entry'!$C723&lt;='Visual SPC'!$E$4),OR('Visual SPC'!$G$4="",'Data Entry'!$D723='Visual SPC'!$G$4),OR('Visual SPC'!$I$4="",'Data Entry'!$E723='Visual SPC'!$I$4),OR('Visual SPC'!$K$4="",'Data Entry'!$F723='Visual SPC'!$K$4)),1,0))</f>
        <v/>
      </c>
      <c r="C723">
        <f>C722+B723</f>
        <v/>
      </c>
      <c r="D723">
        <f>IF(B723=1,INDEX('Data Entry'!$H$5:$BE$10004,723-4,'Visual SPC'!$B$3),"")</f>
        <v/>
      </c>
      <c r="E723">
        <f>IF(B723=1,D723,E722)</f>
        <v/>
      </c>
      <c r="F723">
        <f>IF(AND(B723=1,C723&gt;1,E722&lt;&gt;""),ABS(D723-E722),"")</f>
        <v/>
      </c>
    </row>
    <row r="724">
      <c r="A724" t="n">
        <v>724</v>
      </c>
      <c r="B724">
        <f>IF(INDEX('Data Entry'!$H$5:$BE$10004,724-4,'Visual SPC'!$B$3)="",0,IF(AND(OR('Visual SPC'!$C$4="",'Data Entry'!$C724&gt;='Visual SPC'!$C$4),OR('Visual SPC'!$E$4="",'Data Entry'!$C724&lt;='Visual SPC'!$E$4),OR('Visual SPC'!$G$4="",'Data Entry'!$D724='Visual SPC'!$G$4),OR('Visual SPC'!$I$4="",'Data Entry'!$E724='Visual SPC'!$I$4),OR('Visual SPC'!$K$4="",'Data Entry'!$F724='Visual SPC'!$K$4)),1,0))</f>
        <v/>
      </c>
      <c r="C724">
        <f>C723+B724</f>
        <v/>
      </c>
      <c r="D724">
        <f>IF(B724=1,INDEX('Data Entry'!$H$5:$BE$10004,724-4,'Visual SPC'!$B$3),"")</f>
        <v/>
      </c>
      <c r="E724">
        <f>IF(B724=1,D724,E723)</f>
        <v/>
      </c>
      <c r="F724">
        <f>IF(AND(B724=1,C724&gt;1,E723&lt;&gt;""),ABS(D724-E723),"")</f>
        <v/>
      </c>
    </row>
    <row r="725">
      <c r="A725" t="n">
        <v>725</v>
      </c>
      <c r="B725">
        <f>IF(INDEX('Data Entry'!$H$5:$BE$10004,725-4,'Visual SPC'!$B$3)="",0,IF(AND(OR('Visual SPC'!$C$4="",'Data Entry'!$C725&gt;='Visual SPC'!$C$4),OR('Visual SPC'!$E$4="",'Data Entry'!$C725&lt;='Visual SPC'!$E$4),OR('Visual SPC'!$G$4="",'Data Entry'!$D725='Visual SPC'!$G$4),OR('Visual SPC'!$I$4="",'Data Entry'!$E725='Visual SPC'!$I$4),OR('Visual SPC'!$K$4="",'Data Entry'!$F725='Visual SPC'!$K$4)),1,0))</f>
        <v/>
      </c>
      <c r="C725">
        <f>C724+B725</f>
        <v/>
      </c>
      <c r="D725">
        <f>IF(B725=1,INDEX('Data Entry'!$H$5:$BE$10004,725-4,'Visual SPC'!$B$3),"")</f>
        <v/>
      </c>
      <c r="E725">
        <f>IF(B725=1,D725,E724)</f>
        <v/>
      </c>
      <c r="F725">
        <f>IF(AND(B725=1,C725&gt;1,E724&lt;&gt;""),ABS(D725-E724),"")</f>
        <v/>
      </c>
    </row>
    <row r="726">
      <c r="A726" t="n">
        <v>726</v>
      </c>
      <c r="B726">
        <f>IF(INDEX('Data Entry'!$H$5:$BE$10004,726-4,'Visual SPC'!$B$3)="",0,IF(AND(OR('Visual SPC'!$C$4="",'Data Entry'!$C726&gt;='Visual SPC'!$C$4),OR('Visual SPC'!$E$4="",'Data Entry'!$C726&lt;='Visual SPC'!$E$4),OR('Visual SPC'!$G$4="",'Data Entry'!$D726='Visual SPC'!$G$4),OR('Visual SPC'!$I$4="",'Data Entry'!$E726='Visual SPC'!$I$4),OR('Visual SPC'!$K$4="",'Data Entry'!$F726='Visual SPC'!$K$4)),1,0))</f>
        <v/>
      </c>
      <c r="C726">
        <f>C725+B726</f>
        <v/>
      </c>
      <c r="D726">
        <f>IF(B726=1,INDEX('Data Entry'!$H$5:$BE$10004,726-4,'Visual SPC'!$B$3),"")</f>
        <v/>
      </c>
      <c r="E726">
        <f>IF(B726=1,D726,E725)</f>
        <v/>
      </c>
      <c r="F726">
        <f>IF(AND(B726=1,C726&gt;1,E725&lt;&gt;""),ABS(D726-E725),"")</f>
        <v/>
      </c>
    </row>
    <row r="727">
      <c r="A727" t="n">
        <v>727</v>
      </c>
      <c r="B727">
        <f>IF(INDEX('Data Entry'!$H$5:$BE$10004,727-4,'Visual SPC'!$B$3)="",0,IF(AND(OR('Visual SPC'!$C$4="",'Data Entry'!$C727&gt;='Visual SPC'!$C$4),OR('Visual SPC'!$E$4="",'Data Entry'!$C727&lt;='Visual SPC'!$E$4),OR('Visual SPC'!$G$4="",'Data Entry'!$D727='Visual SPC'!$G$4),OR('Visual SPC'!$I$4="",'Data Entry'!$E727='Visual SPC'!$I$4),OR('Visual SPC'!$K$4="",'Data Entry'!$F727='Visual SPC'!$K$4)),1,0))</f>
        <v/>
      </c>
      <c r="C727">
        <f>C726+B727</f>
        <v/>
      </c>
      <c r="D727">
        <f>IF(B727=1,INDEX('Data Entry'!$H$5:$BE$10004,727-4,'Visual SPC'!$B$3),"")</f>
        <v/>
      </c>
      <c r="E727">
        <f>IF(B727=1,D727,E726)</f>
        <v/>
      </c>
      <c r="F727">
        <f>IF(AND(B727=1,C727&gt;1,E726&lt;&gt;""),ABS(D727-E726),"")</f>
        <v/>
      </c>
    </row>
    <row r="728">
      <c r="A728" t="n">
        <v>728</v>
      </c>
      <c r="B728">
        <f>IF(INDEX('Data Entry'!$H$5:$BE$10004,728-4,'Visual SPC'!$B$3)="",0,IF(AND(OR('Visual SPC'!$C$4="",'Data Entry'!$C728&gt;='Visual SPC'!$C$4),OR('Visual SPC'!$E$4="",'Data Entry'!$C728&lt;='Visual SPC'!$E$4),OR('Visual SPC'!$G$4="",'Data Entry'!$D728='Visual SPC'!$G$4),OR('Visual SPC'!$I$4="",'Data Entry'!$E728='Visual SPC'!$I$4),OR('Visual SPC'!$K$4="",'Data Entry'!$F728='Visual SPC'!$K$4)),1,0))</f>
        <v/>
      </c>
      <c r="C728">
        <f>C727+B728</f>
        <v/>
      </c>
      <c r="D728">
        <f>IF(B728=1,INDEX('Data Entry'!$H$5:$BE$10004,728-4,'Visual SPC'!$B$3),"")</f>
        <v/>
      </c>
      <c r="E728">
        <f>IF(B728=1,D728,E727)</f>
        <v/>
      </c>
      <c r="F728">
        <f>IF(AND(B728=1,C728&gt;1,E727&lt;&gt;""),ABS(D728-E727),"")</f>
        <v/>
      </c>
    </row>
    <row r="729">
      <c r="A729" t="n">
        <v>729</v>
      </c>
      <c r="B729">
        <f>IF(INDEX('Data Entry'!$H$5:$BE$10004,729-4,'Visual SPC'!$B$3)="",0,IF(AND(OR('Visual SPC'!$C$4="",'Data Entry'!$C729&gt;='Visual SPC'!$C$4),OR('Visual SPC'!$E$4="",'Data Entry'!$C729&lt;='Visual SPC'!$E$4),OR('Visual SPC'!$G$4="",'Data Entry'!$D729='Visual SPC'!$G$4),OR('Visual SPC'!$I$4="",'Data Entry'!$E729='Visual SPC'!$I$4),OR('Visual SPC'!$K$4="",'Data Entry'!$F729='Visual SPC'!$K$4)),1,0))</f>
        <v/>
      </c>
      <c r="C729">
        <f>C728+B729</f>
        <v/>
      </c>
      <c r="D729">
        <f>IF(B729=1,INDEX('Data Entry'!$H$5:$BE$10004,729-4,'Visual SPC'!$B$3),"")</f>
        <v/>
      </c>
      <c r="E729">
        <f>IF(B729=1,D729,E728)</f>
        <v/>
      </c>
      <c r="F729">
        <f>IF(AND(B729=1,C729&gt;1,E728&lt;&gt;""),ABS(D729-E728),"")</f>
        <v/>
      </c>
    </row>
    <row r="730">
      <c r="A730" t="n">
        <v>730</v>
      </c>
      <c r="B730">
        <f>IF(INDEX('Data Entry'!$H$5:$BE$10004,730-4,'Visual SPC'!$B$3)="",0,IF(AND(OR('Visual SPC'!$C$4="",'Data Entry'!$C730&gt;='Visual SPC'!$C$4),OR('Visual SPC'!$E$4="",'Data Entry'!$C730&lt;='Visual SPC'!$E$4),OR('Visual SPC'!$G$4="",'Data Entry'!$D730='Visual SPC'!$G$4),OR('Visual SPC'!$I$4="",'Data Entry'!$E730='Visual SPC'!$I$4),OR('Visual SPC'!$K$4="",'Data Entry'!$F730='Visual SPC'!$K$4)),1,0))</f>
        <v/>
      </c>
      <c r="C730">
        <f>C729+B730</f>
        <v/>
      </c>
      <c r="D730">
        <f>IF(B730=1,INDEX('Data Entry'!$H$5:$BE$10004,730-4,'Visual SPC'!$B$3),"")</f>
        <v/>
      </c>
      <c r="E730">
        <f>IF(B730=1,D730,E729)</f>
        <v/>
      </c>
      <c r="F730">
        <f>IF(AND(B730=1,C730&gt;1,E729&lt;&gt;""),ABS(D730-E729),"")</f>
        <v/>
      </c>
    </row>
    <row r="731">
      <c r="A731" t="n">
        <v>731</v>
      </c>
      <c r="B731">
        <f>IF(INDEX('Data Entry'!$H$5:$BE$10004,731-4,'Visual SPC'!$B$3)="",0,IF(AND(OR('Visual SPC'!$C$4="",'Data Entry'!$C731&gt;='Visual SPC'!$C$4),OR('Visual SPC'!$E$4="",'Data Entry'!$C731&lt;='Visual SPC'!$E$4),OR('Visual SPC'!$G$4="",'Data Entry'!$D731='Visual SPC'!$G$4),OR('Visual SPC'!$I$4="",'Data Entry'!$E731='Visual SPC'!$I$4),OR('Visual SPC'!$K$4="",'Data Entry'!$F731='Visual SPC'!$K$4)),1,0))</f>
        <v/>
      </c>
      <c r="C731">
        <f>C730+B731</f>
        <v/>
      </c>
      <c r="D731">
        <f>IF(B731=1,INDEX('Data Entry'!$H$5:$BE$10004,731-4,'Visual SPC'!$B$3),"")</f>
        <v/>
      </c>
      <c r="E731">
        <f>IF(B731=1,D731,E730)</f>
        <v/>
      </c>
      <c r="F731">
        <f>IF(AND(B731=1,C731&gt;1,E730&lt;&gt;""),ABS(D731-E730),"")</f>
        <v/>
      </c>
    </row>
    <row r="732">
      <c r="A732" t="n">
        <v>732</v>
      </c>
      <c r="B732">
        <f>IF(INDEX('Data Entry'!$H$5:$BE$10004,732-4,'Visual SPC'!$B$3)="",0,IF(AND(OR('Visual SPC'!$C$4="",'Data Entry'!$C732&gt;='Visual SPC'!$C$4),OR('Visual SPC'!$E$4="",'Data Entry'!$C732&lt;='Visual SPC'!$E$4),OR('Visual SPC'!$G$4="",'Data Entry'!$D732='Visual SPC'!$G$4),OR('Visual SPC'!$I$4="",'Data Entry'!$E732='Visual SPC'!$I$4),OR('Visual SPC'!$K$4="",'Data Entry'!$F732='Visual SPC'!$K$4)),1,0))</f>
        <v/>
      </c>
      <c r="C732">
        <f>C731+B732</f>
        <v/>
      </c>
      <c r="D732">
        <f>IF(B732=1,INDEX('Data Entry'!$H$5:$BE$10004,732-4,'Visual SPC'!$B$3),"")</f>
        <v/>
      </c>
      <c r="E732">
        <f>IF(B732=1,D732,E731)</f>
        <v/>
      </c>
      <c r="F732">
        <f>IF(AND(B732=1,C732&gt;1,E731&lt;&gt;""),ABS(D732-E731),"")</f>
        <v/>
      </c>
    </row>
    <row r="733">
      <c r="A733" t="n">
        <v>733</v>
      </c>
      <c r="B733">
        <f>IF(INDEX('Data Entry'!$H$5:$BE$10004,733-4,'Visual SPC'!$B$3)="",0,IF(AND(OR('Visual SPC'!$C$4="",'Data Entry'!$C733&gt;='Visual SPC'!$C$4),OR('Visual SPC'!$E$4="",'Data Entry'!$C733&lt;='Visual SPC'!$E$4),OR('Visual SPC'!$G$4="",'Data Entry'!$D733='Visual SPC'!$G$4),OR('Visual SPC'!$I$4="",'Data Entry'!$E733='Visual SPC'!$I$4),OR('Visual SPC'!$K$4="",'Data Entry'!$F733='Visual SPC'!$K$4)),1,0))</f>
        <v/>
      </c>
      <c r="C733">
        <f>C732+B733</f>
        <v/>
      </c>
      <c r="D733">
        <f>IF(B733=1,INDEX('Data Entry'!$H$5:$BE$10004,733-4,'Visual SPC'!$B$3),"")</f>
        <v/>
      </c>
      <c r="E733">
        <f>IF(B733=1,D733,E732)</f>
        <v/>
      </c>
      <c r="F733">
        <f>IF(AND(B733=1,C733&gt;1,E732&lt;&gt;""),ABS(D733-E732),"")</f>
        <v/>
      </c>
    </row>
    <row r="734">
      <c r="A734" t="n">
        <v>734</v>
      </c>
      <c r="B734">
        <f>IF(INDEX('Data Entry'!$H$5:$BE$10004,734-4,'Visual SPC'!$B$3)="",0,IF(AND(OR('Visual SPC'!$C$4="",'Data Entry'!$C734&gt;='Visual SPC'!$C$4),OR('Visual SPC'!$E$4="",'Data Entry'!$C734&lt;='Visual SPC'!$E$4),OR('Visual SPC'!$G$4="",'Data Entry'!$D734='Visual SPC'!$G$4),OR('Visual SPC'!$I$4="",'Data Entry'!$E734='Visual SPC'!$I$4),OR('Visual SPC'!$K$4="",'Data Entry'!$F734='Visual SPC'!$K$4)),1,0))</f>
        <v/>
      </c>
      <c r="C734">
        <f>C733+B734</f>
        <v/>
      </c>
      <c r="D734">
        <f>IF(B734=1,INDEX('Data Entry'!$H$5:$BE$10004,734-4,'Visual SPC'!$B$3),"")</f>
        <v/>
      </c>
      <c r="E734">
        <f>IF(B734=1,D734,E733)</f>
        <v/>
      </c>
      <c r="F734">
        <f>IF(AND(B734=1,C734&gt;1,E733&lt;&gt;""),ABS(D734-E733),"")</f>
        <v/>
      </c>
    </row>
    <row r="735">
      <c r="A735" t="n">
        <v>735</v>
      </c>
      <c r="B735">
        <f>IF(INDEX('Data Entry'!$H$5:$BE$10004,735-4,'Visual SPC'!$B$3)="",0,IF(AND(OR('Visual SPC'!$C$4="",'Data Entry'!$C735&gt;='Visual SPC'!$C$4),OR('Visual SPC'!$E$4="",'Data Entry'!$C735&lt;='Visual SPC'!$E$4),OR('Visual SPC'!$G$4="",'Data Entry'!$D735='Visual SPC'!$G$4),OR('Visual SPC'!$I$4="",'Data Entry'!$E735='Visual SPC'!$I$4),OR('Visual SPC'!$K$4="",'Data Entry'!$F735='Visual SPC'!$K$4)),1,0))</f>
        <v/>
      </c>
      <c r="C735">
        <f>C734+B735</f>
        <v/>
      </c>
      <c r="D735">
        <f>IF(B735=1,INDEX('Data Entry'!$H$5:$BE$10004,735-4,'Visual SPC'!$B$3),"")</f>
        <v/>
      </c>
      <c r="E735">
        <f>IF(B735=1,D735,E734)</f>
        <v/>
      </c>
      <c r="F735">
        <f>IF(AND(B735=1,C735&gt;1,E734&lt;&gt;""),ABS(D735-E734),"")</f>
        <v/>
      </c>
    </row>
    <row r="736">
      <c r="A736" t="n">
        <v>736</v>
      </c>
      <c r="B736">
        <f>IF(INDEX('Data Entry'!$H$5:$BE$10004,736-4,'Visual SPC'!$B$3)="",0,IF(AND(OR('Visual SPC'!$C$4="",'Data Entry'!$C736&gt;='Visual SPC'!$C$4),OR('Visual SPC'!$E$4="",'Data Entry'!$C736&lt;='Visual SPC'!$E$4),OR('Visual SPC'!$G$4="",'Data Entry'!$D736='Visual SPC'!$G$4),OR('Visual SPC'!$I$4="",'Data Entry'!$E736='Visual SPC'!$I$4),OR('Visual SPC'!$K$4="",'Data Entry'!$F736='Visual SPC'!$K$4)),1,0))</f>
        <v/>
      </c>
      <c r="C736">
        <f>C735+B736</f>
        <v/>
      </c>
      <c r="D736">
        <f>IF(B736=1,INDEX('Data Entry'!$H$5:$BE$10004,736-4,'Visual SPC'!$B$3),"")</f>
        <v/>
      </c>
      <c r="E736">
        <f>IF(B736=1,D736,E735)</f>
        <v/>
      </c>
      <c r="F736">
        <f>IF(AND(B736=1,C736&gt;1,E735&lt;&gt;""),ABS(D736-E735),"")</f>
        <v/>
      </c>
    </row>
    <row r="737">
      <c r="A737" t="n">
        <v>737</v>
      </c>
      <c r="B737">
        <f>IF(INDEX('Data Entry'!$H$5:$BE$10004,737-4,'Visual SPC'!$B$3)="",0,IF(AND(OR('Visual SPC'!$C$4="",'Data Entry'!$C737&gt;='Visual SPC'!$C$4),OR('Visual SPC'!$E$4="",'Data Entry'!$C737&lt;='Visual SPC'!$E$4),OR('Visual SPC'!$G$4="",'Data Entry'!$D737='Visual SPC'!$G$4),OR('Visual SPC'!$I$4="",'Data Entry'!$E737='Visual SPC'!$I$4),OR('Visual SPC'!$K$4="",'Data Entry'!$F737='Visual SPC'!$K$4)),1,0))</f>
        <v/>
      </c>
      <c r="C737">
        <f>C736+B737</f>
        <v/>
      </c>
      <c r="D737">
        <f>IF(B737=1,INDEX('Data Entry'!$H$5:$BE$10004,737-4,'Visual SPC'!$B$3),"")</f>
        <v/>
      </c>
      <c r="E737">
        <f>IF(B737=1,D737,E736)</f>
        <v/>
      </c>
      <c r="F737">
        <f>IF(AND(B737=1,C737&gt;1,E736&lt;&gt;""),ABS(D737-E736),"")</f>
        <v/>
      </c>
    </row>
    <row r="738">
      <c r="A738" t="n">
        <v>738</v>
      </c>
      <c r="B738">
        <f>IF(INDEX('Data Entry'!$H$5:$BE$10004,738-4,'Visual SPC'!$B$3)="",0,IF(AND(OR('Visual SPC'!$C$4="",'Data Entry'!$C738&gt;='Visual SPC'!$C$4),OR('Visual SPC'!$E$4="",'Data Entry'!$C738&lt;='Visual SPC'!$E$4),OR('Visual SPC'!$G$4="",'Data Entry'!$D738='Visual SPC'!$G$4),OR('Visual SPC'!$I$4="",'Data Entry'!$E738='Visual SPC'!$I$4),OR('Visual SPC'!$K$4="",'Data Entry'!$F738='Visual SPC'!$K$4)),1,0))</f>
        <v/>
      </c>
      <c r="C738">
        <f>C737+B738</f>
        <v/>
      </c>
      <c r="D738">
        <f>IF(B738=1,INDEX('Data Entry'!$H$5:$BE$10004,738-4,'Visual SPC'!$B$3),"")</f>
        <v/>
      </c>
      <c r="E738">
        <f>IF(B738=1,D738,E737)</f>
        <v/>
      </c>
      <c r="F738">
        <f>IF(AND(B738=1,C738&gt;1,E737&lt;&gt;""),ABS(D738-E737),"")</f>
        <v/>
      </c>
    </row>
    <row r="739">
      <c r="A739" t="n">
        <v>739</v>
      </c>
      <c r="B739">
        <f>IF(INDEX('Data Entry'!$H$5:$BE$10004,739-4,'Visual SPC'!$B$3)="",0,IF(AND(OR('Visual SPC'!$C$4="",'Data Entry'!$C739&gt;='Visual SPC'!$C$4),OR('Visual SPC'!$E$4="",'Data Entry'!$C739&lt;='Visual SPC'!$E$4),OR('Visual SPC'!$G$4="",'Data Entry'!$D739='Visual SPC'!$G$4),OR('Visual SPC'!$I$4="",'Data Entry'!$E739='Visual SPC'!$I$4),OR('Visual SPC'!$K$4="",'Data Entry'!$F739='Visual SPC'!$K$4)),1,0))</f>
        <v/>
      </c>
      <c r="C739">
        <f>C738+B739</f>
        <v/>
      </c>
      <c r="D739">
        <f>IF(B739=1,INDEX('Data Entry'!$H$5:$BE$10004,739-4,'Visual SPC'!$B$3),"")</f>
        <v/>
      </c>
      <c r="E739">
        <f>IF(B739=1,D739,E738)</f>
        <v/>
      </c>
      <c r="F739">
        <f>IF(AND(B739=1,C739&gt;1,E738&lt;&gt;""),ABS(D739-E738),"")</f>
        <v/>
      </c>
    </row>
    <row r="740">
      <c r="A740" t="n">
        <v>740</v>
      </c>
      <c r="B740">
        <f>IF(INDEX('Data Entry'!$H$5:$BE$10004,740-4,'Visual SPC'!$B$3)="",0,IF(AND(OR('Visual SPC'!$C$4="",'Data Entry'!$C740&gt;='Visual SPC'!$C$4),OR('Visual SPC'!$E$4="",'Data Entry'!$C740&lt;='Visual SPC'!$E$4),OR('Visual SPC'!$G$4="",'Data Entry'!$D740='Visual SPC'!$G$4),OR('Visual SPC'!$I$4="",'Data Entry'!$E740='Visual SPC'!$I$4),OR('Visual SPC'!$K$4="",'Data Entry'!$F740='Visual SPC'!$K$4)),1,0))</f>
        <v/>
      </c>
      <c r="C740">
        <f>C739+B740</f>
        <v/>
      </c>
      <c r="D740">
        <f>IF(B740=1,INDEX('Data Entry'!$H$5:$BE$10004,740-4,'Visual SPC'!$B$3),"")</f>
        <v/>
      </c>
      <c r="E740">
        <f>IF(B740=1,D740,E739)</f>
        <v/>
      </c>
      <c r="F740">
        <f>IF(AND(B740=1,C740&gt;1,E739&lt;&gt;""),ABS(D740-E739),"")</f>
        <v/>
      </c>
    </row>
    <row r="741">
      <c r="A741" t="n">
        <v>741</v>
      </c>
      <c r="B741">
        <f>IF(INDEX('Data Entry'!$H$5:$BE$10004,741-4,'Visual SPC'!$B$3)="",0,IF(AND(OR('Visual SPC'!$C$4="",'Data Entry'!$C741&gt;='Visual SPC'!$C$4),OR('Visual SPC'!$E$4="",'Data Entry'!$C741&lt;='Visual SPC'!$E$4),OR('Visual SPC'!$G$4="",'Data Entry'!$D741='Visual SPC'!$G$4),OR('Visual SPC'!$I$4="",'Data Entry'!$E741='Visual SPC'!$I$4),OR('Visual SPC'!$K$4="",'Data Entry'!$F741='Visual SPC'!$K$4)),1,0))</f>
        <v/>
      </c>
      <c r="C741">
        <f>C740+B741</f>
        <v/>
      </c>
      <c r="D741">
        <f>IF(B741=1,INDEX('Data Entry'!$H$5:$BE$10004,741-4,'Visual SPC'!$B$3),"")</f>
        <v/>
      </c>
      <c r="E741">
        <f>IF(B741=1,D741,E740)</f>
        <v/>
      </c>
      <c r="F741">
        <f>IF(AND(B741=1,C741&gt;1,E740&lt;&gt;""),ABS(D741-E740),"")</f>
        <v/>
      </c>
    </row>
    <row r="742">
      <c r="A742" t="n">
        <v>742</v>
      </c>
      <c r="B742">
        <f>IF(INDEX('Data Entry'!$H$5:$BE$10004,742-4,'Visual SPC'!$B$3)="",0,IF(AND(OR('Visual SPC'!$C$4="",'Data Entry'!$C742&gt;='Visual SPC'!$C$4),OR('Visual SPC'!$E$4="",'Data Entry'!$C742&lt;='Visual SPC'!$E$4),OR('Visual SPC'!$G$4="",'Data Entry'!$D742='Visual SPC'!$G$4),OR('Visual SPC'!$I$4="",'Data Entry'!$E742='Visual SPC'!$I$4),OR('Visual SPC'!$K$4="",'Data Entry'!$F742='Visual SPC'!$K$4)),1,0))</f>
        <v/>
      </c>
      <c r="C742">
        <f>C741+B742</f>
        <v/>
      </c>
      <c r="D742">
        <f>IF(B742=1,INDEX('Data Entry'!$H$5:$BE$10004,742-4,'Visual SPC'!$B$3),"")</f>
        <v/>
      </c>
      <c r="E742">
        <f>IF(B742=1,D742,E741)</f>
        <v/>
      </c>
      <c r="F742">
        <f>IF(AND(B742=1,C742&gt;1,E741&lt;&gt;""),ABS(D742-E741),"")</f>
        <v/>
      </c>
    </row>
    <row r="743">
      <c r="A743" t="n">
        <v>743</v>
      </c>
      <c r="B743">
        <f>IF(INDEX('Data Entry'!$H$5:$BE$10004,743-4,'Visual SPC'!$B$3)="",0,IF(AND(OR('Visual SPC'!$C$4="",'Data Entry'!$C743&gt;='Visual SPC'!$C$4),OR('Visual SPC'!$E$4="",'Data Entry'!$C743&lt;='Visual SPC'!$E$4),OR('Visual SPC'!$G$4="",'Data Entry'!$D743='Visual SPC'!$G$4),OR('Visual SPC'!$I$4="",'Data Entry'!$E743='Visual SPC'!$I$4),OR('Visual SPC'!$K$4="",'Data Entry'!$F743='Visual SPC'!$K$4)),1,0))</f>
        <v/>
      </c>
      <c r="C743">
        <f>C742+B743</f>
        <v/>
      </c>
      <c r="D743">
        <f>IF(B743=1,INDEX('Data Entry'!$H$5:$BE$10004,743-4,'Visual SPC'!$B$3),"")</f>
        <v/>
      </c>
      <c r="E743">
        <f>IF(B743=1,D743,E742)</f>
        <v/>
      </c>
      <c r="F743">
        <f>IF(AND(B743=1,C743&gt;1,E742&lt;&gt;""),ABS(D743-E742),"")</f>
        <v/>
      </c>
    </row>
    <row r="744">
      <c r="A744" t="n">
        <v>744</v>
      </c>
      <c r="B744">
        <f>IF(INDEX('Data Entry'!$H$5:$BE$10004,744-4,'Visual SPC'!$B$3)="",0,IF(AND(OR('Visual SPC'!$C$4="",'Data Entry'!$C744&gt;='Visual SPC'!$C$4),OR('Visual SPC'!$E$4="",'Data Entry'!$C744&lt;='Visual SPC'!$E$4),OR('Visual SPC'!$G$4="",'Data Entry'!$D744='Visual SPC'!$G$4),OR('Visual SPC'!$I$4="",'Data Entry'!$E744='Visual SPC'!$I$4),OR('Visual SPC'!$K$4="",'Data Entry'!$F744='Visual SPC'!$K$4)),1,0))</f>
        <v/>
      </c>
      <c r="C744">
        <f>C743+B744</f>
        <v/>
      </c>
      <c r="D744">
        <f>IF(B744=1,INDEX('Data Entry'!$H$5:$BE$10004,744-4,'Visual SPC'!$B$3),"")</f>
        <v/>
      </c>
      <c r="E744">
        <f>IF(B744=1,D744,E743)</f>
        <v/>
      </c>
      <c r="F744">
        <f>IF(AND(B744=1,C744&gt;1,E743&lt;&gt;""),ABS(D744-E743),"")</f>
        <v/>
      </c>
    </row>
    <row r="745">
      <c r="A745" t="n">
        <v>745</v>
      </c>
      <c r="B745">
        <f>IF(INDEX('Data Entry'!$H$5:$BE$10004,745-4,'Visual SPC'!$B$3)="",0,IF(AND(OR('Visual SPC'!$C$4="",'Data Entry'!$C745&gt;='Visual SPC'!$C$4),OR('Visual SPC'!$E$4="",'Data Entry'!$C745&lt;='Visual SPC'!$E$4),OR('Visual SPC'!$G$4="",'Data Entry'!$D745='Visual SPC'!$G$4),OR('Visual SPC'!$I$4="",'Data Entry'!$E745='Visual SPC'!$I$4),OR('Visual SPC'!$K$4="",'Data Entry'!$F745='Visual SPC'!$K$4)),1,0))</f>
        <v/>
      </c>
      <c r="C745">
        <f>C744+B745</f>
        <v/>
      </c>
      <c r="D745">
        <f>IF(B745=1,INDEX('Data Entry'!$H$5:$BE$10004,745-4,'Visual SPC'!$B$3),"")</f>
        <v/>
      </c>
      <c r="E745">
        <f>IF(B745=1,D745,E744)</f>
        <v/>
      </c>
      <c r="F745">
        <f>IF(AND(B745=1,C745&gt;1,E744&lt;&gt;""),ABS(D745-E744),"")</f>
        <v/>
      </c>
    </row>
    <row r="746">
      <c r="A746" t="n">
        <v>746</v>
      </c>
      <c r="B746">
        <f>IF(INDEX('Data Entry'!$H$5:$BE$10004,746-4,'Visual SPC'!$B$3)="",0,IF(AND(OR('Visual SPC'!$C$4="",'Data Entry'!$C746&gt;='Visual SPC'!$C$4),OR('Visual SPC'!$E$4="",'Data Entry'!$C746&lt;='Visual SPC'!$E$4),OR('Visual SPC'!$G$4="",'Data Entry'!$D746='Visual SPC'!$G$4),OR('Visual SPC'!$I$4="",'Data Entry'!$E746='Visual SPC'!$I$4),OR('Visual SPC'!$K$4="",'Data Entry'!$F746='Visual SPC'!$K$4)),1,0))</f>
        <v/>
      </c>
      <c r="C746">
        <f>C745+B746</f>
        <v/>
      </c>
      <c r="D746">
        <f>IF(B746=1,INDEX('Data Entry'!$H$5:$BE$10004,746-4,'Visual SPC'!$B$3),"")</f>
        <v/>
      </c>
      <c r="E746">
        <f>IF(B746=1,D746,E745)</f>
        <v/>
      </c>
      <c r="F746">
        <f>IF(AND(B746=1,C746&gt;1,E745&lt;&gt;""),ABS(D746-E745),"")</f>
        <v/>
      </c>
    </row>
    <row r="747">
      <c r="A747" t="n">
        <v>747</v>
      </c>
      <c r="B747">
        <f>IF(INDEX('Data Entry'!$H$5:$BE$10004,747-4,'Visual SPC'!$B$3)="",0,IF(AND(OR('Visual SPC'!$C$4="",'Data Entry'!$C747&gt;='Visual SPC'!$C$4),OR('Visual SPC'!$E$4="",'Data Entry'!$C747&lt;='Visual SPC'!$E$4),OR('Visual SPC'!$G$4="",'Data Entry'!$D747='Visual SPC'!$G$4),OR('Visual SPC'!$I$4="",'Data Entry'!$E747='Visual SPC'!$I$4),OR('Visual SPC'!$K$4="",'Data Entry'!$F747='Visual SPC'!$K$4)),1,0))</f>
        <v/>
      </c>
      <c r="C747">
        <f>C746+B747</f>
        <v/>
      </c>
      <c r="D747">
        <f>IF(B747=1,INDEX('Data Entry'!$H$5:$BE$10004,747-4,'Visual SPC'!$B$3),"")</f>
        <v/>
      </c>
      <c r="E747">
        <f>IF(B747=1,D747,E746)</f>
        <v/>
      </c>
      <c r="F747">
        <f>IF(AND(B747=1,C747&gt;1,E746&lt;&gt;""),ABS(D747-E746),"")</f>
        <v/>
      </c>
    </row>
    <row r="748">
      <c r="A748" t="n">
        <v>748</v>
      </c>
      <c r="B748">
        <f>IF(INDEX('Data Entry'!$H$5:$BE$10004,748-4,'Visual SPC'!$B$3)="",0,IF(AND(OR('Visual SPC'!$C$4="",'Data Entry'!$C748&gt;='Visual SPC'!$C$4),OR('Visual SPC'!$E$4="",'Data Entry'!$C748&lt;='Visual SPC'!$E$4),OR('Visual SPC'!$G$4="",'Data Entry'!$D748='Visual SPC'!$G$4),OR('Visual SPC'!$I$4="",'Data Entry'!$E748='Visual SPC'!$I$4),OR('Visual SPC'!$K$4="",'Data Entry'!$F748='Visual SPC'!$K$4)),1,0))</f>
        <v/>
      </c>
      <c r="C748">
        <f>C747+B748</f>
        <v/>
      </c>
      <c r="D748">
        <f>IF(B748=1,INDEX('Data Entry'!$H$5:$BE$10004,748-4,'Visual SPC'!$B$3),"")</f>
        <v/>
      </c>
      <c r="E748">
        <f>IF(B748=1,D748,E747)</f>
        <v/>
      </c>
      <c r="F748">
        <f>IF(AND(B748=1,C748&gt;1,E747&lt;&gt;""),ABS(D748-E747),"")</f>
        <v/>
      </c>
    </row>
    <row r="749">
      <c r="A749" t="n">
        <v>749</v>
      </c>
      <c r="B749">
        <f>IF(INDEX('Data Entry'!$H$5:$BE$10004,749-4,'Visual SPC'!$B$3)="",0,IF(AND(OR('Visual SPC'!$C$4="",'Data Entry'!$C749&gt;='Visual SPC'!$C$4),OR('Visual SPC'!$E$4="",'Data Entry'!$C749&lt;='Visual SPC'!$E$4),OR('Visual SPC'!$G$4="",'Data Entry'!$D749='Visual SPC'!$G$4),OR('Visual SPC'!$I$4="",'Data Entry'!$E749='Visual SPC'!$I$4),OR('Visual SPC'!$K$4="",'Data Entry'!$F749='Visual SPC'!$K$4)),1,0))</f>
        <v/>
      </c>
      <c r="C749">
        <f>C748+B749</f>
        <v/>
      </c>
      <c r="D749">
        <f>IF(B749=1,INDEX('Data Entry'!$H$5:$BE$10004,749-4,'Visual SPC'!$B$3),"")</f>
        <v/>
      </c>
      <c r="E749">
        <f>IF(B749=1,D749,E748)</f>
        <v/>
      </c>
      <c r="F749">
        <f>IF(AND(B749=1,C749&gt;1,E748&lt;&gt;""),ABS(D749-E748),"")</f>
        <v/>
      </c>
    </row>
    <row r="750">
      <c r="A750" t="n">
        <v>750</v>
      </c>
      <c r="B750">
        <f>IF(INDEX('Data Entry'!$H$5:$BE$10004,750-4,'Visual SPC'!$B$3)="",0,IF(AND(OR('Visual SPC'!$C$4="",'Data Entry'!$C750&gt;='Visual SPC'!$C$4),OR('Visual SPC'!$E$4="",'Data Entry'!$C750&lt;='Visual SPC'!$E$4),OR('Visual SPC'!$G$4="",'Data Entry'!$D750='Visual SPC'!$G$4),OR('Visual SPC'!$I$4="",'Data Entry'!$E750='Visual SPC'!$I$4),OR('Visual SPC'!$K$4="",'Data Entry'!$F750='Visual SPC'!$K$4)),1,0))</f>
        <v/>
      </c>
      <c r="C750">
        <f>C749+B750</f>
        <v/>
      </c>
      <c r="D750">
        <f>IF(B750=1,INDEX('Data Entry'!$H$5:$BE$10004,750-4,'Visual SPC'!$B$3),"")</f>
        <v/>
      </c>
      <c r="E750">
        <f>IF(B750=1,D750,E749)</f>
        <v/>
      </c>
      <c r="F750">
        <f>IF(AND(B750=1,C750&gt;1,E749&lt;&gt;""),ABS(D750-E749),"")</f>
        <v/>
      </c>
    </row>
    <row r="751">
      <c r="A751" t="n">
        <v>751</v>
      </c>
      <c r="B751">
        <f>IF(INDEX('Data Entry'!$H$5:$BE$10004,751-4,'Visual SPC'!$B$3)="",0,IF(AND(OR('Visual SPC'!$C$4="",'Data Entry'!$C751&gt;='Visual SPC'!$C$4),OR('Visual SPC'!$E$4="",'Data Entry'!$C751&lt;='Visual SPC'!$E$4),OR('Visual SPC'!$G$4="",'Data Entry'!$D751='Visual SPC'!$G$4),OR('Visual SPC'!$I$4="",'Data Entry'!$E751='Visual SPC'!$I$4),OR('Visual SPC'!$K$4="",'Data Entry'!$F751='Visual SPC'!$K$4)),1,0))</f>
        <v/>
      </c>
      <c r="C751">
        <f>C750+B751</f>
        <v/>
      </c>
      <c r="D751">
        <f>IF(B751=1,INDEX('Data Entry'!$H$5:$BE$10004,751-4,'Visual SPC'!$B$3),"")</f>
        <v/>
      </c>
      <c r="E751">
        <f>IF(B751=1,D751,E750)</f>
        <v/>
      </c>
      <c r="F751">
        <f>IF(AND(B751=1,C751&gt;1,E750&lt;&gt;""),ABS(D751-E750),"")</f>
        <v/>
      </c>
    </row>
    <row r="752">
      <c r="A752" t="n">
        <v>752</v>
      </c>
      <c r="B752">
        <f>IF(INDEX('Data Entry'!$H$5:$BE$10004,752-4,'Visual SPC'!$B$3)="",0,IF(AND(OR('Visual SPC'!$C$4="",'Data Entry'!$C752&gt;='Visual SPC'!$C$4),OR('Visual SPC'!$E$4="",'Data Entry'!$C752&lt;='Visual SPC'!$E$4),OR('Visual SPC'!$G$4="",'Data Entry'!$D752='Visual SPC'!$G$4),OR('Visual SPC'!$I$4="",'Data Entry'!$E752='Visual SPC'!$I$4),OR('Visual SPC'!$K$4="",'Data Entry'!$F752='Visual SPC'!$K$4)),1,0))</f>
        <v/>
      </c>
      <c r="C752">
        <f>C751+B752</f>
        <v/>
      </c>
      <c r="D752">
        <f>IF(B752=1,INDEX('Data Entry'!$H$5:$BE$10004,752-4,'Visual SPC'!$B$3),"")</f>
        <v/>
      </c>
      <c r="E752">
        <f>IF(B752=1,D752,E751)</f>
        <v/>
      </c>
      <c r="F752">
        <f>IF(AND(B752=1,C752&gt;1,E751&lt;&gt;""),ABS(D752-E751),"")</f>
        <v/>
      </c>
    </row>
    <row r="753">
      <c r="A753" t="n">
        <v>753</v>
      </c>
      <c r="B753">
        <f>IF(INDEX('Data Entry'!$H$5:$BE$10004,753-4,'Visual SPC'!$B$3)="",0,IF(AND(OR('Visual SPC'!$C$4="",'Data Entry'!$C753&gt;='Visual SPC'!$C$4),OR('Visual SPC'!$E$4="",'Data Entry'!$C753&lt;='Visual SPC'!$E$4),OR('Visual SPC'!$G$4="",'Data Entry'!$D753='Visual SPC'!$G$4),OR('Visual SPC'!$I$4="",'Data Entry'!$E753='Visual SPC'!$I$4),OR('Visual SPC'!$K$4="",'Data Entry'!$F753='Visual SPC'!$K$4)),1,0))</f>
        <v/>
      </c>
      <c r="C753">
        <f>C752+B753</f>
        <v/>
      </c>
      <c r="D753">
        <f>IF(B753=1,INDEX('Data Entry'!$H$5:$BE$10004,753-4,'Visual SPC'!$B$3),"")</f>
        <v/>
      </c>
      <c r="E753">
        <f>IF(B753=1,D753,E752)</f>
        <v/>
      </c>
      <c r="F753">
        <f>IF(AND(B753=1,C753&gt;1,E752&lt;&gt;""),ABS(D753-E752),"")</f>
        <v/>
      </c>
    </row>
    <row r="754">
      <c r="A754" t="n">
        <v>754</v>
      </c>
      <c r="B754">
        <f>IF(INDEX('Data Entry'!$H$5:$BE$10004,754-4,'Visual SPC'!$B$3)="",0,IF(AND(OR('Visual SPC'!$C$4="",'Data Entry'!$C754&gt;='Visual SPC'!$C$4),OR('Visual SPC'!$E$4="",'Data Entry'!$C754&lt;='Visual SPC'!$E$4),OR('Visual SPC'!$G$4="",'Data Entry'!$D754='Visual SPC'!$G$4),OR('Visual SPC'!$I$4="",'Data Entry'!$E754='Visual SPC'!$I$4),OR('Visual SPC'!$K$4="",'Data Entry'!$F754='Visual SPC'!$K$4)),1,0))</f>
        <v/>
      </c>
      <c r="C754">
        <f>C753+B754</f>
        <v/>
      </c>
      <c r="D754">
        <f>IF(B754=1,INDEX('Data Entry'!$H$5:$BE$10004,754-4,'Visual SPC'!$B$3),"")</f>
        <v/>
      </c>
      <c r="E754">
        <f>IF(B754=1,D754,E753)</f>
        <v/>
      </c>
      <c r="F754">
        <f>IF(AND(B754=1,C754&gt;1,E753&lt;&gt;""),ABS(D754-E753),"")</f>
        <v/>
      </c>
    </row>
    <row r="755">
      <c r="A755" t="n">
        <v>755</v>
      </c>
      <c r="B755">
        <f>IF(INDEX('Data Entry'!$H$5:$BE$10004,755-4,'Visual SPC'!$B$3)="",0,IF(AND(OR('Visual SPC'!$C$4="",'Data Entry'!$C755&gt;='Visual SPC'!$C$4),OR('Visual SPC'!$E$4="",'Data Entry'!$C755&lt;='Visual SPC'!$E$4),OR('Visual SPC'!$G$4="",'Data Entry'!$D755='Visual SPC'!$G$4),OR('Visual SPC'!$I$4="",'Data Entry'!$E755='Visual SPC'!$I$4),OR('Visual SPC'!$K$4="",'Data Entry'!$F755='Visual SPC'!$K$4)),1,0))</f>
        <v/>
      </c>
      <c r="C755">
        <f>C754+B755</f>
        <v/>
      </c>
      <c r="D755">
        <f>IF(B755=1,INDEX('Data Entry'!$H$5:$BE$10004,755-4,'Visual SPC'!$B$3),"")</f>
        <v/>
      </c>
      <c r="E755">
        <f>IF(B755=1,D755,E754)</f>
        <v/>
      </c>
      <c r="F755">
        <f>IF(AND(B755=1,C755&gt;1,E754&lt;&gt;""),ABS(D755-E754),"")</f>
        <v/>
      </c>
    </row>
    <row r="756">
      <c r="A756" t="n">
        <v>756</v>
      </c>
      <c r="B756">
        <f>IF(INDEX('Data Entry'!$H$5:$BE$10004,756-4,'Visual SPC'!$B$3)="",0,IF(AND(OR('Visual SPC'!$C$4="",'Data Entry'!$C756&gt;='Visual SPC'!$C$4),OR('Visual SPC'!$E$4="",'Data Entry'!$C756&lt;='Visual SPC'!$E$4),OR('Visual SPC'!$G$4="",'Data Entry'!$D756='Visual SPC'!$G$4),OR('Visual SPC'!$I$4="",'Data Entry'!$E756='Visual SPC'!$I$4),OR('Visual SPC'!$K$4="",'Data Entry'!$F756='Visual SPC'!$K$4)),1,0))</f>
        <v/>
      </c>
      <c r="C756">
        <f>C755+B756</f>
        <v/>
      </c>
      <c r="D756">
        <f>IF(B756=1,INDEX('Data Entry'!$H$5:$BE$10004,756-4,'Visual SPC'!$B$3),"")</f>
        <v/>
      </c>
      <c r="E756">
        <f>IF(B756=1,D756,E755)</f>
        <v/>
      </c>
      <c r="F756">
        <f>IF(AND(B756=1,C756&gt;1,E755&lt;&gt;""),ABS(D756-E755),"")</f>
        <v/>
      </c>
    </row>
    <row r="757">
      <c r="A757" t="n">
        <v>757</v>
      </c>
      <c r="B757">
        <f>IF(INDEX('Data Entry'!$H$5:$BE$10004,757-4,'Visual SPC'!$B$3)="",0,IF(AND(OR('Visual SPC'!$C$4="",'Data Entry'!$C757&gt;='Visual SPC'!$C$4),OR('Visual SPC'!$E$4="",'Data Entry'!$C757&lt;='Visual SPC'!$E$4),OR('Visual SPC'!$G$4="",'Data Entry'!$D757='Visual SPC'!$G$4),OR('Visual SPC'!$I$4="",'Data Entry'!$E757='Visual SPC'!$I$4),OR('Visual SPC'!$K$4="",'Data Entry'!$F757='Visual SPC'!$K$4)),1,0))</f>
        <v/>
      </c>
      <c r="C757">
        <f>C756+B757</f>
        <v/>
      </c>
      <c r="D757">
        <f>IF(B757=1,INDEX('Data Entry'!$H$5:$BE$10004,757-4,'Visual SPC'!$B$3),"")</f>
        <v/>
      </c>
      <c r="E757">
        <f>IF(B757=1,D757,E756)</f>
        <v/>
      </c>
      <c r="F757">
        <f>IF(AND(B757=1,C757&gt;1,E756&lt;&gt;""),ABS(D757-E756),"")</f>
        <v/>
      </c>
    </row>
    <row r="758">
      <c r="A758" t="n">
        <v>758</v>
      </c>
      <c r="B758">
        <f>IF(INDEX('Data Entry'!$H$5:$BE$10004,758-4,'Visual SPC'!$B$3)="",0,IF(AND(OR('Visual SPC'!$C$4="",'Data Entry'!$C758&gt;='Visual SPC'!$C$4),OR('Visual SPC'!$E$4="",'Data Entry'!$C758&lt;='Visual SPC'!$E$4),OR('Visual SPC'!$G$4="",'Data Entry'!$D758='Visual SPC'!$G$4),OR('Visual SPC'!$I$4="",'Data Entry'!$E758='Visual SPC'!$I$4),OR('Visual SPC'!$K$4="",'Data Entry'!$F758='Visual SPC'!$K$4)),1,0))</f>
        <v/>
      </c>
      <c r="C758">
        <f>C757+B758</f>
        <v/>
      </c>
      <c r="D758">
        <f>IF(B758=1,INDEX('Data Entry'!$H$5:$BE$10004,758-4,'Visual SPC'!$B$3),"")</f>
        <v/>
      </c>
      <c r="E758">
        <f>IF(B758=1,D758,E757)</f>
        <v/>
      </c>
      <c r="F758">
        <f>IF(AND(B758=1,C758&gt;1,E757&lt;&gt;""),ABS(D758-E757),"")</f>
        <v/>
      </c>
    </row>
    <row r="759">
      <c r="A759" t="n">
        <v>759</v>
      </c>
      <c r="B759">
        <f>IF(INDEX('Data Entry'!$H$5:$BE$10004,759-4,'Visual SPC'!$B$3)="",0,IF(AND(OR('Visual SPC'!$C$4="",'Data Entry'!$C759&gt;='Visual SPC'!$C$4),OR('Visual SPC'!$E$4="",'Data Entry'!$C759&lt;='Visual SPC'!$E$4),OR('Visual SPC'!$G$4="",'Data Entry'!$D759='Visual SPC'!$G$4),OR('Visual SPC'!$I$4="",'Data Entry'!$E759='Visual SPC'!$I$4),OR('Visual SPC'!$K$4="",'Data Entry'!$F759='Visual SPC'!$K$4)),1,0))</f>
        <v/>
      </c>
      <c r="C759">
        <f>C758+B759</f>
        <v/>
      </c>
      <c r="D759">
        <f>IF(B759=1,INDEX('Data Entry'!$H$5:$BE$10004,759-4,'Visual SPC'!$B$3),"")</f>
        <v/>
      </c>
      <c r="E759">
        <f>IF(B759=1,D759,E758)</f>
        <v/>
      </c>
      <c r="F759">
        <f>IF(AND(B759=1,C759&gt;1,E758&lt;&gt;""),ABS(D759-E758),"")</f>
        <v/>
      </c>
    </row>
    <row r="760">
      <c r="A760" t="n">
        <v>760</v>
      </c>
      <c r="B760">
        <f>IF(INDEX('Data Entry'!$H$5:$BE$10004,760-4,'Visual SPC'!$B$3)="",0,IF(AND(OR('Visual SPC'!$C$4="",'Data Entry'!$C760&gt;='Visual SPC'!$C$4),OR('Visual SPC'!$E$4="",'Data Entry'!$C760&lt;='Visual SPC'!$E$4),OR('Visual SPC'!$G$4="",'Data Entry'!$D760='Visual SPC'!$G$4),OR('Visual SPC'!$I$4="",'Data Entry'!$E760='Visual SPC'!$I$4),OR('Visual SPC'!$K$4="",'Data Entry'!$F760='Visual SPC'!$K$4)),1,0))</f>
        <v/>
      </c>
      <c r="C760">
        <f>C759+B760</f>
        <v/>
      </c>
      <c r="D760">
        <f>IF(B760=1,INDEX('Data Entry'!$H$5:$BE$10004,760-4,'Visual SPC'!$B$3),"")</f>
        <v/>
      </c>
      <c r="E760">
        <f>IF(B760=1,D760,E759)</f>
        <v/>
      </c>
      <c r="F760">
        <f>IF(AND(B760=1,C760&gt;1,E759&lt;&gt;""),ABS(D760-E759),"")</f>
        <v/>
      </c>
    </row>
    <row r="761">
      <c r="A761" t="n">
        <v>761</v>
      </c>
      <c r="B761">
        <f>IF(INDEX('Data Entry'!$H$5:$BE$10004,761-4,'Visual SPC'!$B$3)="",0,IF(AND(OR('Visual SPC'!$C$4="",'Data Entry'!$C761&gt;='Visual SPC'!$C$4),OR('Visual SPC'!$E$4="",'Data Entry'!$C761&lt;='Visual SPC'!$E$4),OR('Visual SPC'!$G$4="",'Data Entry'!$D761='Visual SPC'!$G$4),OR('Visual SPC'!$I$4="",'Data Entry'!$E761='Visual SPC'!$I$4),OR('Visual SPC'!$K$4="",'Data Entry'!$F761='Visual SPC'!$K$4)),1,0))</f>
        <v/>
      </c>
      <c r="C761">
        <f>C760+B761</f>
        <v/>
      </c>
      <c r="D761">
        <f>IF(B761=1,INDEX('Data Entry'!$H$5:$BE$10004,761-4,'Visual SPC'!$B$3),"")</f>
        <v/>
      </c>
      <c r="E761">
        <f>IF(B761=1,D761,E760)</f>
        <v/>
      </c>
      <c r="F761">
        <f>IF(AND(B761=1,C761&gt;1,E760&lt;&gt;""),ABS(D761-E760),"")</f>
        <v/>
      </c>
    </row>
    <row r="762">
      <c r="A762" t="n">
        <v>762</v>
      </c>
      <c r="B762">
        <f>IF(INDEX('Data Entry'!$H$5:$BE$10004,762-4,'Visual SPC'!$B$3)="",0,IF(AND(OR('Visual SPC'!$C$4="",'Data Entry'!$C762&gt;='Visual SPC'!$C$4),OR('Visual SPC'!$E$4="",'Data Entry'!$C762&lt;='Visual SPC'!$E$4),OR('Visual SPC'!$G$4="",'Data Entry'!$D762='Visual SPC'!$G$4),OR('Visual SPC'!$I$4="",'Data Entry'!$E762='Visual SPC'!$I$4),OR('Visual SPC'!$K$4="",'Data Entry'!$F762='Visual SPC'!$K$4)),1,0))</f>
        <v/>
      </c>
      <c r="C762">
        <f>C761+B762</f>
        <v/>
      </c>
      <c r="D762">
        <f>IF(B762=1,INDEX('Data Entry'!$H$5:$BE$10004,762-4,'Visual SPC'!$B$3),"")</f>
        <v/>
      </c>
      <c r="E762">
        <f>IF(B762=1,D762,E761)</f>
        <v/>
      </c>
      <c r="F762">
        <f>IF(AND(B762=1,C762&gt;1,E761&lt;&gt;""),ABS(D762-E761),"")</f>
        <v/>
      </c>
    </row>
    <row r="763">
      <c r="A763" t="n">
        <v>763</v>
      </c>
      <c r="B763">
        <f>IF(INDEX('Data Entry'!$H$5:$BE$10004,763-4,'Visual SPC'!$B$3)="",0,IF(AND(OR('Visual SPC'!$C$4="",'Data Entry'!$C763&gt;='Visual SPC'!$C$4),OR('Visual SPC'!$E$4="",'Data Entry'!$C763&lt;='Visual SPC'!$E$4),OR('Visual SPC'!$G$4="",'Data Entry'!$D763='Visual SPC'!$G$4),OR('Visual SPC'!$I$4="",'Data Entry'!$E763='Visual SPC'!$I$4),OR('Visual SPC'!$K$4="",'Data Entry'!$F763='Visual SPC'!$K$4)),1,0))</f>
        <v/>
      </c>
      <c r="C763">
        <f>C762+B763</f>
        <v/>
      </c>
      <c r="D763">
        <f>IF(B763=1,INDEX('Data Entry'!$H$5:$BE$10004,763-4,'Visual SPC'!$B$3),"")</f>
        <v/>
      </c>
      <c r="E763">
        <f>IF(B763=1,D763,E762)</f>
        <v/>
      </c>
      <c r="F763">
        <f>IF(AND(B763=1,C763&gt;1,E762&lt;&gt;""),ABS(D763-E762),"")</f>
        <v/>
      </c>
    </row>
    <row r="764">
      <c r="A764" t="n">
        <v>764</v>
      </c>
      <c r="B764">
        <f>IF(INDEX('Data Entry'!$H$5:$BE$10004,764-4,'Visual SPC'!$B$3)="",0,IF(AND(OR('Visual SPC'!$C$4="",'Data Entry'!$C764&gt;='Visual SPC'!$C$4),OR('Visual SPC'!$E$4="",'Data Entry'!$C764&lt;='Visual SPC'!$E$4),OR('Visual SPC'!$G$4="",'Data Entry'!$D764='Visual SPC'!$G$4),OR('Visual SPC'!$I$4="",'Data Entry'!$E764='Visual SPC'!$I$4),OR('Visual SPC'!$K$4="",'Data Entry'!$F764='Visual SPC'!$K$4)),1,0))</f>
        <v/>
      </c>
      <c r="C764">
        <f>C763+B764</f>
        <v/>
      </c>
      <c r="D764">
        <f>IF(B764=1,INDEX('Data Entry'!$H$5:$BE$10004,764-4,'Visual SPC'!$B$3),"")</f>
        <v/>
      </c>
      <c r="E764">
        <f>IF(B764=1,D764,E763)</f>
        <v/>
      </c>
      <c r="F764">
        <f>IF(AND(B764=1,C764&gt;1,E763&lt;&gt;""),ABS(D764-E763),"")</f>
        <v/>
      </c>
    </row>
    <row r="765">
      <c r="A765" t="n">
        <v>765</v>
      </c>
      <c r="B765">
        <f>IF(INDEX('Data Entry'!$H$5:$BE$10004,765-4,'Visual SPC'!$B$3)="",0,IF(AND(OR('Visual SPC'!$C$4="",'Data Entry'!$C765&gt;='Visual SPC'!$C$4),OR('Visual SPC'!$E$4="",'Data Entry'!$C765&lt;='Visual SPC'!$E$4),OR('Visual SPC'!$G$4="",'Data Entry'!$D765='Visual SPC'!$G$4),OR('Visual SPC'!$I$4="",'Data Entry'!$E765='Visual SPC'!$I$4),OR('Visual SPC'!$K$4="",'Data Entry'!$F765='Visual SPC'!$K$4)),1,0))</f>
        <v/>
      </c>
      <c r="C765">
        <f>C764+B765</f>
        <v/>
      </c>
      <c r="D765">
        <f>IF(B765=1,INDEX('Data Entry'!$H$5:$BE$10004,765-4,'Visual SPC'!$B$3),"")</f>
        <v/>
      </c>
      <c r="E765">
        <f>IF(B765=1,D765,E764)</f>
        <v/>
      </c>
      <c r="F765">
        <f>IF(AND(B765=1,C765&gt;1,E764&lt;&gt;""),ABS(D765-E764),"")</f>
        <v/>
      </c>
    </row>
    <row r="766">
      <c r="A766" t="n">
        <v>766</v>
      </c>
      <c r="B766">
        <f>IF(INDEX('Data Entry'!$H$5:$BE$10004,766-4,'Visual SPC'!$B$3)="",0,IF(AND(OR('Visual SPC'!$C$4="",'Data Entry'!$C766&gt;='Visual SPC'!$C$4),OR('Visual SPC'!$E$4="",'Data Entry'!$C766&lt;='Visual SPC'!$E$4),OR('Visual SPC'!$G$4="",'Data Entry'!$D766='Visual SPC'!$G$4),OR('Visual SPC'!$I$4="",'Data Entry'!$E766='Visual SPC'!$I$4),OR('Visual SPC'!$K$4="",'Data Entry'!$F766='Visual SPC'!$K$4)),1,0))</f>
        <v/>
      </c>
      <c r="C766">
        <f>C765+B766</f>
        <v/>
      </c>
      <c r="D766">
        <f>IF(B766=1,INDEX('Data Entry'!$H$5:$BE$10004,766-4,'Visual SPC'!$B$3),"")</f>
        <v/>
      </c>
      <c r="E766">
        <f>IF(B766=1,D766,E765)</f>
        <v/>
      </c>
      <c r="F766">
        <f>IF(AND(B766=1,C766&gt;1,E765&lt;&gt;""),ABS(D766-E765),"")</f>
        <v/>
      </c>
    </row>
    <row r="767">
      <c r="A767" t="n">
        <v>767</v>
      </c>
      <c r="B767">
        <f>IF(INDEX('Data Entry'!$H$5:$BE$10004,767-4,'Visual SPC'!$B$3)="",0,IF(AND(OR('Visual SPC'!$C$4="",'Data Entry'!$C767&gt;='Visual SPC'!$C$4),OR('Visual SPC'!$E$4="",'Data Entry'!$C767&lt;='Visual SPC'!$E$4),OR('Visual SPC'!$G$4="",'Data Entry'!$D767='Visual SPC'!$G$4),OR('Visual SPC'!$I$4="",'Data Entry'!$E767='Visual SPC'!$I$4),OR('Visual SPC'!$K$4="",'Data Entry'!$F767='Visual SPC'!$K$4)),1,0))</f>
        <v/>
      </c>
      <c r="C767">
        <f>C766+B767</f>
        <v/>
      </c>
      <c r="D767">
        <f>IF(B767=1,INDEX('Data Entry'!$H$5:$BE$10004,767-4,'Visual SPC'!$B$3),"")</f>
        <v/>
      </c>
      <c r="E767">
        <f>IF(B767=1,D767,E766)</f>
        <v/>
      </c>
      <c r="F767">
        <f>IF(AND(B767=1,C767&gt;1,E766&lt;&gt;""),ABS(D767-E766),"")</f>
        <v/>
      </c>
    </row>
    <row r="768">
      <c r="A768" t="n">
        <v>768</v>
      </c>
      <c r="B768">
        <f>IF(INDEX('Data Entry'!$H$5:$BE$10004,768-4,'Visual SPC'!$B$3)="",0,IF(AND(OR('Visual SPC'!$C$4="",'Data Entry'!$C768&gt;='Visual SPC'!$C$4),OR('Visual SPC'!$E$4="",'Data Entry'!$C768&lt;='Visual SPC'!$E$4),OR('Visual SPC'!$G$4="",'Data Entry'!$D768='Visual SPC'!$G$4),OR('Visual SPC'!$I$4="",'Data Entry'!$E768='Visual SPC'!$I$4),OR('Visual SPC'!$K$4="",'Data Entry'!$F768='Visual SPC'!$K$4)),1,0))</f>
        <v/>
      </c>
      <c r="C768">
        <f>C767+B768</f>
        <v/>
      </c>
      <c r="D768">
        <f>IF(B768=1,INDEX('Data Entry'!$H$5:$BE$10004,768-4,'Visual SPC'!$B$3),"")</f>
        <v/>
      </c>
      <c r="E768">
        <f>IF(B768=1,D768,E767)</f>
        <v/>
      </c>
      <c r="F768">
        <f>IF(AND(B768=1,C768&gt;1,E767&lt;&gt;""),ABS(D768-E767),"")</f>
        <v/>
      </c>
    </row>
    <row r="769">
      <c r="A769" t="n">
        <v>769</v>
      </c>
      <c r="B769">
        <f>IF(INDEX('Data Entry'!$H$5:$BE$10004,769-4,'Visual SPC'!$B$3)="",0,IF(AND(OR('Visual SPC'!$C$4="",'Data Entry'!$C769&gt;='Visual SPC'!$C$4),OR('Visual SPC'!$E$4="",'Data Entry'!$C769&lt;='Visual SPC'!$E$4),OR('Visual SPC'!$G$4="",'Data Entry'!$D769='Visual SPC'!$G$4),OR('Visual SPC'!$I$4="",'Data Entry'!$E769='Visual SPC'!$I$4),OR('Visual SPC'!$K$4="",'Data Entry'!$F769='Visual SPC'!$K$4)),1,0))</f>
        <v/>
      </c>
      <c r="C769">
        <f>C768+B769</f>
        <v/>
      </c>
      <c r="D769">
        <f>IF(B769=1,INDEX('Data Entry'!$H$5:$BE$10004,769-4,'Visual SPC'!$B$3),"")</f>
        <v/>
      </c>
      <c r="E769">
        <f>IF(B769=1,D769,E768)</f>
        <v/>
      </c>
      <c r="F769">
        <f>IF(AND(B769=1,C769&gt;1,E768&lt;&gt;""),ABS(D769-E768),"")</f>
        <v/>
      </c>
    </row>
    <row r="770">
      <c r="A770" t="n">
        <v>770</v>
      </c>
      <c r="B770">
        <f>IF(INDEX('Data Entry'!$H$5:$BE$10004,770-4,'Visual SPC'!$B$3)="",0,IF(AND(OR('Visual SPC'!$C$4="",'Data Entry'!$C770&gt;='Visual SPC'!$C$4),OR('Visual SPC'!$E$4="",'Data Entry'!$C770&lt;='Visual SPC'!$E$4),OR('Visual SPC'!$G$4="",'Data Entry'!$D770='Visual SPC'!$G$4),OR('Visual SPC'!$I$4="",'Data Entry'!$E770='Visual SPC'!$I$4),OR('Visual SPC'!$K$4="",'Data Entry'!$F770='Visual SPC'!$K$4)),1,0))</f>
        <v/>
      </c>
      <c r="C770">
        <f>C769+B770</f>
        <v/>
      </c>
      <c r="D770">
        <f>IF(B770=1,INDEX('Data Entry'!$H$5:$BE$10004,770-4,'Visual SPC'!$B$3),"")</f>
        <v/>
      </c>
      <c r="E770">
        <f>IF(B770=1,D770,E769)</f>
        <v/>
      </c>
      <c r="F770">
        <f>IF(AND(B770=1,C770&gt;1,E769&lt;&gt;""),ABS(D770-E769),"")</f>
        <v/>
      </c>
    </row>
    <row r="771">
      <c r="A771" t="n">
        <v>771</v>
      </c>
      <c r="B771">
        <f>IF(INDEX('Data Entry'!$H$5:$BE$10004,771-4,'Visual SPC'!$B$3)="",0,IF(AND(OR('Visual SPC'!$C$4="",'Data Entry'!$C771&gt;='Visual SPC'!$C$4),OR('Visual SPC'!$E$4="",'Data Entry'!$C771&lt;='Visual SPC'!$E$4),OR('Visual SPC'!$G$4="",'Data Entry'!$D771='Visual SPC'!$G$4),OR('Visual SPC'!$I$4="",'Data Entry'!$E771='Visual SPC'!$I$4),OR('Visual SPC'!$K$4="",'Data Entry'!$F771='Visual SPC'!$K$4)),1,0))</f>
        <v/>
      </c>
      <c r="C771">
        <f>C770+B771</f>
        <v/>
      </c>
      <c r="D771">
        <f>IF(B771=1,INDEX('Data Entry'!$H$5:$BE$10004,771-4,'Visual SPC'!$B$3),"")</f>
        <v/>
      </c>
      <c r="E771">
        <f>IF(B771=1,D771,E770)</f>
        <v/>
      </c>
      <c r="F771">
        <f>IF(AND(B771=1,C771&gt;1,E770&lt;&gt;""),ABS(D771-E770),"")</f>
        <v/>
      </c>
    </row>
    <row r="772">
      <c r="A772" t="n">
        <v>772</v>
      </c>
      <c r="B772">
        <f>IF(INDEX('Data Entry'!$H$5:$BE$10004,772-4,'Visual SPC'!$B$3)="",0,IF(AND(OR('Visual SPC'!$C$4="",'Data Entry'!$C772&gt;='Visual SPC'!$C$4),OR('Visual SPC'!$E$4="",'Data Entry'!$C772&lt;='Visual SPC'!$E$4),OR('Visual SPC'!$G$4="",'Data Entry'!$D772='Visual SPC'!$G$4),OR('Visual SPC'!$I$4="",'Data Entry'!$E772='Visual SPC'!$I$4),OR('Visual SPC'!$K$4="",'Data Entry'!$F772='Visual SPC'!$K$4)),1,0))</f>
        <v/>
      </c>
      <c r="C772">
        <f>C771+B772</f>
        <v/>
      </c>
      <c r="D772">
        <f>IF(B772=1,INDEX('Data Entry'!$H$5:$BE$10004,772-4,'Visual SPC'!$B$3),"")</f>
        <v/>
      </c>
      <c r="E772">
        <f>IF(B772=1,D772,E771)</f>
        <v/>
      </c>
      <c r="F772">
        <f>IF(AND(B772=1,C772&gt;1,E771&lt;&gt;""),ABS(D772-E771),"")</f>
        <v/>
      </c>
    </row>
    <row r="773">
      <c r="A773" t="n">
        <v>773</v>
      </c>
      <c r="B773">
        <f>IF(INDEX('Data Entry'!$H$5:$BE$10004,773-4,'Visual SPC'!$B$3)="",0,IF(AND(OR('Visual SPC'!$C$4="",'Data Entry'!$C773&gt;='Visual SPC'!$C$4),OR('Visual SPC'!$E$4="",'Data Entry'!$C773&lt;='Visual SPC'!$E$4),OR('Visual SPC'!$G$4="",'Data Entry'!$D773='Visual SPC'!$G$4),OR('Visual SPC'!$I$4="",'Data Entry'!$E773='Visual SPC'!$I$4),OR('Visual SPC'!$K$4="",'Data Entry'!$F773='Visual SPC'!$K$4)),1,0))</f>
        <v/>
      </c>
      <c r="C773">
        <f>C772+B773</f>
        <v/>
      </c>
      <c r="D773">
        <f>IF(B773=1,INDEX('Data Entry'!$H$5:$BE$10004,773-4,'Visual SPC'!$B$3),"")</f>
        <v/>
      </c>
      <c r="E773">
        <f>IF(B773=1,D773,E772)</f>
        <v/>
      </c>
      <c r="F773">
        <f>IF(AND(B773=1,C773&gt;1,E772&lt;&gt;""),ABS(D773-E772),"")</f>
        <v/>
      </c>
    </row>
    <row r="774">
      <c r="A774" t="n">
        <v>774</v>
      </c>
      <c r="B774">
        <f>IF(INDEX('Data Entry'!$H$5:$BE$10004,774-4,'Visual SPC'!$B$3)="",0,IF(AND(OR('Visual SPC'!$C$4="",'Data Entry'!$C774&gt;='Visual SPC'!$C$4),OR('Visual SPC'!$E$4="",'Data Entry'!$C774&lt;='Visual SPC'!$E$4),OR('Visual SPC'!$G$4="",'Data Entry'!$D774='Visual SPC'!$G$4),OR('Visual SPC'!$I$4="",'Data Entry'!$E774='Visual SPC'!$I$4),OR('Visual SPC'!$K$4="",'Data Entry'!$F774='Visual SPC'!$K$4)),1,0))</f>
        <v/>
      </c>
      <c r="C774">
        <f>C773+B774</f>
        <v/>
      </c>
      <c r="D774">
        <f>IF(B774=1,INDEX('Data Entry'!$H$5:$BE$10004,774-4,'Visual SPC'!$B$3),"")</f>
        <v/>
      </c>
      <c r="E774">
        <f>IF(B774=1,D774,E773)</f>
        <v/>
      </c>
      <c r="F774">
        <f>IF(AND(B774=1,C774&gt;1,E773&lt;&gt;""),ABS(D774-E773),"")</f>
        <v/>
      </c>
    </row>
    <row r="775">
      <c r="A775" t="n">
        <v>775</v>
      </c>
      <c r="B775">
        <f>IF(INDEX('Data Entry'!$H$5:$BE$10004,775-4,'Visual SPC'!$B$3)="",0,IF(AND(OR('Visual SPC'!$C$4="",'Data Entry'!$C775&gt;='Visual SPC'!$C$4),OR('Visual SPC'!$E$4="",'Data Entry'!$C775&lt;='Visual SPC'!$E$4),OR('Visual SPC'!$G$4="",'Data Entry'!$D775='Visual SPC'!$G$4),OR('Visual SPC'!$I$4="",'Data Entry'!$E775='Visual SPC'!$I$4),OR('Visual SPC'!$K$4="",'Data Entry'!$F775='Visual SPC'!$K$4)),1,0))</f>
        <v/>
      </c>
      <c r="C775">
        <f>C774+B775</f>
        <v/>
      </c>
      <c r="D775">
        <f>IF(B775=1,INDEX('Data Entry'!$H$5:$BE$10004,775-4,'Visual SPC'!$B$3),"")</f>
        <v/>
      </c>
      <c r="E775">
        <f>IF(B775=1,D775,E774)</f>
        <v/>
      </c>
      <c r="F775">
        <f>IF(AND(B775=1,C775&gt;1,E774&lt;&gt;""),ABS(D775-E774),"")</f>
        <v/>
      </c>
    </row>
    <row r="776">
      <c r="A776" t="n">
        <v>776</v>
      </c>
      <c r="B776">
        <f>IF(INDEX('Data Entry'!$H$5:$BE$10004,776-4,'Visual SPC'!$B$3)="",0,IF(AND(OR('Visual SPC'!$C$4="",'Data Entry'!$C776&gt;='Visual SPC'!$C$4),OR('Visual SPC'!$E$4="",'Data Entry'!$C776&lt;='Visual SPC'!$E$4),OR('Visual SPC'!$G$4="",'Data Entry'!$D776='Visual SPC'!$G$4),OR('Visual SPC'!$I$4="",'Data Entry'!$E776='Visual SPC'!$I$4),OR('Visual SPC'!$K$4="",'Data Entry'!$F776='Visual SPC'!$K$4)),1,0))</f>
        <v/>
      </c>
      <c r="C776">
        <f>C775+B776</f>
        <v/>
      </c>
      <c r="D776">
        <f>IF(B776=1,INDEX('Data Entry'!$H$5:$BE$10004,776-4,'Visual SPC'!$B$3),"")</f>
        <v/>
      </c>
      <c r="E776">
        <f>IF(B776=1,D776,E775)</f>
        <v/>
      </c>
      <c r="F776">
        <f>IF(AND(B776=1,C776&gt;1,E775&lt;&gt;""),ABS(D776-E775),"")</f>
        <v/>
      </c>
    </row>
    <row r="777">
      <c r="A777" t="n">
        <v>777</v>
      </c>
      <c r="B777">
        <f>IF(INDEX('Data Entry'!$H$5:$BE$10004,777-4,'Visual SPC'!$B$3)="",0,IF(AND(OR('Visual SPC'!$C$4="",'Data Entry'!$C777&gt;='Visual SPC'!$C$4),OR('Visual SPC'!$E$4="",'Data Entry'!$C777&lt;='Visual SPC'!$E$4),OR('Visual SPC'!$G$4="",'Data Entry'!$D777='Visual SPC'!$G$4),OR('Visual SPC'!$I$4="",'Data Entry'!$E777='Visual SPC'!$I$4),OR('Visual SPC'!$K$4="",'Data Entry'!$F777='Visual SPC'!$K$4)),1,0))</f>
        <v/>
      </c>
      <c r="C777">
        <f>C776+B777</f>
        <v/>
      </c>
      <c r="D777">
        <f>IF(B777=1,INDEX('Data Entry'!$H$5:$BE$10004,777-4,'Visual SPC'!$B$3),"")</f>
        <v/>
      </c>
      <c r="E777">
        <f>IF(B777=1,D777,E776)</f>
        <v/>
      </c>
      <c r="F777">
        <f>IF(AND(B777=1,C777&gt;1,E776&lt;&gt;""),ABS(D777-E776),"")</f>
        <v/>
      </c>
    </row>
    <row r="778">
      <c r="A778" t="n">
        <v>778</v>
      </c>
      <c r="B778">
        <f>IF(INDEX('Data Entry'!$H$5:$BE$10004,778-4,'Visual SPC'!$B$3)="",0,IF(AND(OR('Visual SPC'!$C$4="",'Data Entry'!$C778&gt;='Visual SPC'!$C$4),OR('Visual SPC'!$E$4="",'Data Entry'!$C778&lt;='Visual SPC'!$E$4),OR('Visual SPC'!$G$4="",'Data Entry'!$D778='Visual SPC'!$G$4),OR('Visual SPC'!$I$4="",'Data Entry'!$E778='Visual SPC'!$I$4),OR('Visual SPC'!$K$4="",'Data Entry'!$F778='Visual SPC'!$K$4)),1,0))</f>
        <v/>
      </c>
      <c r="C778">
        <f>C777+B778</f>
        <v/>
      </c>
      <c r="D778">
        <f>IF(B778=1,INDEX('Data Entry'!$H$5:$BE$10004,778-4,'Visual SPC'!$B$3),"")</f>
        <v/>
      </c>
      <c r="E778">
        <f>IF(B778=1,D778,E777)</f>
        <v/>
      </c>
      <c r="F778">
        <f>IF(AND(B778=1,C778&gt;1,E777&lt;&gt;""),ABS(D778-E777),"")</f>
        <v/>
      </c>
    </row>
    <row r="779">
      <c r="A779" t="n">
        <v>779</v>
      </c>
      <c r="B779">
        <f>IF(INDEX('Data Entry'!$H$5:$BE$10004,779-4,'Visual SPC'!$B$3)="",0,IF(AND(OR('Visual SPC'!$C$4="",'Data Entry'!$C779&gt;='Visual SPC'!$C$4),OR('Visual SPC'!$E$4="",'Data Entry'!$C779&lt;='Visual SPC'!$E$4),OR('Visual SPC'!$G$4="",'Data Entry'!$D779='Visual SPC'!$G$4),OR('Visual SPC'!$I$4="",'Data Entry'!$E779='Visual SPC'!$I$4),OR('Visual SPC'!$K$4="",'Data Entry'!$F779='Visual SPC'!$K$4)),1,0))</f>
        <v/>
      </c>
      <c r="C779">
        <f>C778+B779</f>
        <v/>
      </c>
      <c r="D779">
        <f>IF(B779=1,INDEX('Data Entry'!$H$5:$BE$10004,779-4,'Visual SPC'!$B$3),"")</f>
        <v/>
      </c>
      <c r="E779">
        <f>IF(B779=1,D779,E778)</f>
        <v/>
      </c>
      <c r="F779">
        <f>IF(AND(B779=1,C779&gt;1,E778&lt;&gt;""),ABS(D779-E778),"")</f>
        <v/>
      </c>
    </row>
    <row r="780">
      <c r="A780" t="n">
        <v>780</v>
      </c>
      <c r="B780">
        <f>IF(INDEX('Data Entry'!$H$5:$BE$10004,780-4,'Visual SPC'!$B$3)="",0,IF(AND(OR('Visual SPC'!$C$4="",'Data Entry'!$C780&gt;='Visual SPC'!$C$4),OR('Visual SPC'!$E$4="",'Data Entry'!$C780&lt;='Visual SPC'!$E$4),OR('Visual SPC'!$G$4="",'Data Entry'!$D780='Visual SPC'!$G$4),OR('Visual SPC'!$I$4="",'Data Entry'!$E780='Visual SPC'!$I$4),OR('Visual SPC'!$K$4="",'Data Entry'!$F780='Visual SPC'!$K$4)),1,0))</f>
        <v/>
      </c>
      <c r="C780">
        <f>C779+B780</f>
        <v/>
      </c>
      <c r="D780">
        <f>IF(B780=1,INDEX('Data Entry'!$H$5:$BE$10004,780-4,'Visual SPC'!$B$3),"")</f>
        <v/>
      </c>
      <c r="E780">
        <f>IF(B780=1,D780,E779)</f>
        <v/>
      </c>
      <c r="F780">
        <f>IF(AND(B780=1,C780&gt;1,E779&lt;&gt;""),ABS(D780-E779),"")</f>
        <v/>
      </c>
    </row>
    <row r="781">
      <c r="A781" t="n">
        <v>781</v>
      </c>
      <c r="B781">
        <f>IF(INDEX('Data Entry'!$H$5:$BE$10004,781-4,'Visual SPC'!$B$3)="",0,IF(AND(OR('Visual SPC'!$C$4="",'Data Entry'!$C781&gt;='Visual SPC'!$C$4),OR('Visual SPC'!$E$4="",'Data Entry'!$C781&lt;='Visual SPC'!$E$4),OR('Visual SPC'!$G$4="",'Data Entry'!$D781='Visual SPC'!$G$4),OR('Visual SPC'!$I$4="",'Data Entry'!$E781='Visual SPC'!$I$4),OR('Visual SPC'!$K$4="",'Data Entry'!$F781='Visual SPC'!$K$4)),1,0))</f>
        <v/>
      </c>
      <c r="C781">
        <f>C780+B781</f>
        <v/>
      </c>
      <c r="D781">
        <f>IF(B781=1,INDEX('Data Entry'!$H$5:$BE$10004,781-4,'Visual SPC'!$B$3),"")</f>
        <v/>
      </c>
      <c r="E781">
        <f>IF(B781=1,D781,E780)</f>
        <v/>
      </c>
      <c r="F781">
        <f>IF(AND(B781=1,C781&gt;1,E780&lt;&gt;""),ABS(D781-E780),"")</f>
        <v/>
      </c>
    </row>
    <row r="782">
      <c r="A782" t="n">
        <v>782</v>
      </c>
      <c r="B782">
        <f>IF(INDEX('Data Entry'!$H$5:$BE$10004,782-4,'Visual SPC'!$B$3)="",0,IF(AND(OR('Visual SPC'!$C$4="",'Data Entry'!$C782&gt;='Visual SPC'!$C$4),OR('Visual SPC'!$E$4="",'Data Entry'!$C782&lt;='Visual SPC'!$E$4),OR('Visual SPC'!$G$4="",'Data Entry'!$D782='Visual SPC'!$G$4),OR('Visual SPC'!$I$4="",'Data Entry'!$E782='Visual SPC'!$I$4),OR('Visual SPC'!$K$4="",'Data Entry'!$F782='Visual SPC'!$K$4)),1,0))</f>
        <v/>
      </c>
      <c r="C782">
        <f>C781+B782</f>
        <v/>
      </c>
      <c r="D782">
        <f>IF(B782=1,INDEX('Data Entry'!$H$5:$BE$10004,782-4,'Visual SPC'!$B$3),"")</f>
        <v/>
      </c>
      <c r="E782">
        <f>IF(B782=1,D782,E781)</f>
        <v/>
      </c>
      <c r="F782">
        <f>IF(AND(B782=1,C782&gt;1,E781&lt;&gt;""),ABS(D782-E781),"")</f>
        <v/>
      </c>
    </row>
    <row r="783">
      <c r="A783" t="n">
        <v>783</v>
      </c>
      <c r="B783">
        <f>IF(INDEX('Data Entry'!$H$5:$BE$10004,783-4,'Visual SPC'!$B$3)="",0,IF(AND(OR('Visual SPC'!$C$4="",'Data Entry'!$C783&gt;='Visual SPC'!$C$4),OR('Visual SPC'!$E$4="",'Data Entry'!$C783&lt;='Visual SPC'!$E$4),OR('Visual SPC'!$G$4="",'Data Entry'!$D783='Visual SPC'!$G$4),OR('Visual SPC'!$I$4="",'Data Entry'!$E783='Visual SPC'!$I$4),OR('Visual SPC'!$K$4="",'Data Entry'!$F783='Visual SPC'!$K$4)),1,0))</f>
        <v/>
      </c>
      <c r="C783">
        <f>C782+B783</f>
        <v/>
      </c>
      <c r="D783">
        <f>IF(B783=1,INDEX('Data Entry'!$H$5:$BE$10004,783-4,'Visual SPC'!$B$3),"")</f>
        <v/>
      </c>
      <c r="E783">
        <f>IF(B783=1,D783,E782)</f>
        <v/>
      </c>
      <c r="F783">
        <f>IF(AND(B783=1,C783&gt;1,E782&lt;&gt;""),ABS(D783-E782),"")</f>
        <v/>
      </c>
    </row>
    <row r="784">
      <c r="A784" t="n">
        <v>784</v>
      </c>
      <c r="B784">
        <f>IF(INDEX('Data Entry'!$H$5:$BE$10004,784-4,'Visual SPC'!$B$3)="",0,IF(AND(OR('Visual SPC'!$C$4="",'Data Entry'!$C784&gt;='Visual SPC'!$C$4),OR('Visual SPC'!$E$4="",'Data Entry'!$C784&lt;='Visual SPC'!$E$4),OR('Visual SPC'!$G$4="",'Data Entry'!$D784='Visual SPC'!$G$4),OR('Visual SPC'!$I$4="",'Data Entry'!$E784='Visual SPC'!$I$4),OR('Visual SPC'!$K$4="",'Data Entry'!$F784='Visual SPC'!$K$4)),1,0))</f>
        <v/>
      </c>
      <c r="C784">
        <f>C783+B784</f>
        <v/>
      </c>
      <c r="D784">
        <f>IF(B784=1,INDEX('Data Entry'!$H$5:$BE$10004,784-4,'Visual SPC'!$B$3),"")</f>
        <v/>
      </c>
      <c r="E784">
        <f>IF(B784=1,D784,E783)</f>
        <v/>
      </c>
      <c r="F784">
        <f>IF(AND(B784=1,C784&gt;1,E783&lt;&gt;""),ABS(D784-E783),"")</f>
        <v/>
      </c>
    </row>
    <row r="785">
      <c r="A785" t="n">
        <v>785</v>
      </c>
      <c r="B785">
        <f>IF(INDEX('Data Entry'!$H$5:$BE$10004,785-4,'Visual SPC'!$B$3)="",0,IF(AND(OR('Visual SPC'!$C$4="",'Data Entry'!$C785&gt;='Visual SPC'!$C$4),OR('Visual SPC'!$E$4="",'Data Entry'!$C785&lt;='Visual SPC'!$E$4),OR('Visual SPC'!$G$4="",'Data Entry'!$D785='Visual SPC'!$G$4),OR('Visual SPC'!$I$4="",'Data Entry'!$E785='Visual SPC'!$I$4),OR('Visual SPC'!$K$4="",'Data Entry'!$F785='Visual SPC'!$K$4)),1,0))</f>
        <v/>
      </c>
      <c r="C785">
        <f>C784+B785</f>
        <v/>
      </c>
      <c r="D785">
        <f>IF(B785=1,INDEX('Data Entry'!$H$5:$BE$10004,785-4,'Visual SPC'!$B$3),"")</f>
        <v/>
      </c>
      <c r="E785">
        <f>IF(B785=1,D785,E784)</f>
        <v/>
      </c>
      <c r="F785">
        <f>IF(AND(B785=1,C785&gt;1,E784&lt;&gt;""),ABS(D785-E784),"")</f>
        <v/>
      </c>
    </row>
    <row r="786">
      <c r="A786" t="n">
        <v>786</v>
      </c>
      <c r="B786">
        <f>IF(INDEX('Data Entry'!$H$5:$BE$10004,786-4,'Visual SPC'!$B$3)="",0,IF(AND(OR('Visual SPC'!$C$4="",'Data Entry'!$C786&gt;='Visual SPC'!$C$4),OR('Visual SPC'!$E$4="",'Data Entry'!$C786&lt;='Visual SPC'!$E$4),OR('Visual SPC'!$G$4="",'Data Entry'!$D786='Visual SPC'!$G$4),OR('Visual SPC'!$I$4="",'Data Entry'!$E786='Visual SPC'!$I$4),OR('Visual SPC'!$K$4="",'Data Entry'!$F786='Visual SPC'!$K$4)),1,0))</f>
        <v/>
      </c>
      <c r="C786">
        <f>C785+B786</f>
        <v/>
      </c>
      <c r="D786">
        <f>IF(B786=1,INDEX('Data Entry'!$H$5:$BE$10004,786-4,'Visual SPC'!$B$3),"")</f>
        <v/>
      </c>
      <c r="E786">
        <f>IF(B786=1,D786,E785)</f>
        <v/>
      </c>
      <c r="F786">
        <f>IF(AND(B786=1,C786&gt;1,E785&lt;&gt;""),ABS(D786-E785),"")</f>
        <v/>
      </c>
    </row>
    <row r="787">
      <c r="A787" t="n">
        <v>787</v>
      </c>
      <c r="B787">
        <f>IF(INDEX('Data Entry'!$H$5:$BE$10004,787-4,'Visual SPC'!$B$3)="",0,IF(AND(OR('Visual SPC'!$C$4="",'Data Entry'!$C787&gt;='Visual SPC'!$C$4),OR('Visual SPC'!$E$4="",'Data Entry'!$C787&lt;='Visual SPC'!$E$4),OR('Visual SPC'!$G$4="",'Data Entry'!$D787='Visual SPC'!$G$4),OR('Visual SPC'!$I$4="",'Data Entry'!$E787='Visual SPC'!$I$4),OR('Visual SPC'!$K$4="",'Data Entry'!$F787='Visual SPC'!$K$4)),1,0))</f>
        <v/>
      </c>
      <c r="C787">
        <f>C786+B787</f>
        <v/>
      </c>
      <c r="D787">
        <f>IF(B787=1,INDEX('Data Entry'!$H$5:$BE$10004,787-4,'Visual SPC'!$B$3),"")</f>
        <v/>
      </c>
      <c r="E787">
        <f>IF(B787=1,D787,E786)</f>
        <v/>
      </c>
      <c r="F787">
        <f>IF(AND(B787=1,C787&gt;1,E786&lt;&gt;""),ABS(D787-E786),"")</f>
        <v/>
      </c>
    </row>
    <row r="788">
      <c r="A788" t="n">
        <v>788</v>
      </c>
      <c r="B788">
        <f>IF(INDEX('Data Entry'!$H$5:$BE$10004,788-4,'Visual SPC'!$B$3)="",0,IF(AND(OR('Visual SPC'!$C$4="",'Data Entry'!$C788&gt;='Visual SPC'!$C$4),OR('Visual SPC'!$E$4="",'Data Entry'!$C788&lt;='Visual SPC'!$E$4),OR('Visual SPC'!$G$4="",'Data Entry'!$D788='Visual SPC'!$G$4),OR('Visual SPC'!$I$4="",'Data Entry'!$E788='Visual SPC'!$I$4),OR('Visual SPC'!$K$4="",'Data Entry'!$F788='Visual SPC'!$K$4)),1,0))</f>
        <v/>
      </c>
      <c r="C788">
        <f>C787+B788</f>
        <v/>
      </c>
      <c r="D788">
        <f>IF(B788=1,INDEX('Data Entry'!$H$5:$BE$10004,788-4,'Visual SPC'!$B$3),"")</f>
        <v/>
      </c>
      <c r="E788">
        <f>IF(B788=1,D788,E787)</f>
        <v/>
      </c>
      <c r="F788">
        <f>IF(AND(B788=1,C788&gt;1,E787&lt;&gt;""),ABS(D788-E787),"")</f>
        <v/>
      </c>
    </row>
    <row r="789">
      <c r="A789" t="n">
        <v>789</v>
      </c>
      <c r="B789">
        <f>IF(INDEX('Data Entry'!$H$5:$BE$10004,789-4,'Visual SPC'!$B$3)="",0,IF(AND(OR('Visual SPC'!$C$4="",'Data Entry'!$C789&gt;='Visual SPC'!$C$4),OR('Visual SPC'!$E$4="",'Data Entry'!$C789&lt;='Visual SPC'!$E$4),OR('Visual SPC'!$G$4="",'Data Entry'!$D789='Visual SPC'!$G$4),OR('Visual SPC'!$I$4="",'Data Entry'!$E789='Visual SPC'!$I$4),OR('Visual SPC'!$K$4="",'Data Entry'!$F789='Visual SPC'!$K$4)),1,0))</f>
        <v/>
      </c>
      <c r="C789">
        <f>C788+B789</f>
        <v/>
      </c>
      <c r="D789">
        <f>IF(B789=1,INDEX('Data Entry'!$H$5:$BE$10004,789-4,'Visual SPC'!$B$3),"")</f>
        <v/>
      </c>
      <c r="E789">
        <f>IF(B789=1,D789,E788)</f>
        <v/>
      </c>
      <c r="F789">
        <f>IF(AND(B789=1,C789&gt;1,E788&lt;&gt;""),ABS(D789-E788),"")</f>
        <v/>
      </c>
    </row>
    <row r="790">
      <c r="A790" t="n">
        <v>790</v>
      </c>
      <c r="B790">
        <f>IF(INDEX('Data Entry'!$H$5:$BE$10004,790-4,'Visual SPC'!$B$3)="",0,IF(AND(OR('Visual SPC'!$C$4="",'Data Entry'!$C790&gt;='Visual SPC'!$C$4),OR('Visual SPC'!$E$4="",'Data Entry'!$C790&lt;='Visual SPC'!$E$4),OR('Visual SPC'!$G$4="",'Data Entry'!$D790='Visual SPC'!$G$4),OR('Visual SPC'!$I$4="",'Data Entry'!$E790='Visual SPC'!$I$4),OR('Visual SPC'!$K$4="",'Data Entry'!$F790='Visual SPC'!$K$4)),1,0))</f>
        <v/>
      </c>
      <c r="C790">
        <f>C789+B790</f>
        <v/>
      </c>
      <c r="D790">
        <f>IF(B790=1,INDEX('Data Entry'!$H$5:$BE$10004,790-4,'Visual SPC'!$B$3),"")</f>
        <v/>
      </c>
      <c r="E790">
        <f>IF(B790=1,D790,E789)</f>
        <v/>
      </c>
      <c r="F790">
        <f>IF(AND(B790=1,C790&gt;1,E789&lt;&gt;""),ABS(D790-E789),"")</f>
        <v/>
      </c>
    </row>
    <row r="791">
      <c r="A791" t="n">
        <v>791</v>
      </c>
      <c r="B791">
        <f>IF(INDEX('Data Entry'!$H$5:$BE$10004,791-4,'Visual SPC'!$B$3)="",0,IF(AND(OR('Visual SPC'!$C$4="",'Data Entry'!$C791&gt;='Visual SPC'!$C$4),OR('Visual SPC'!$E$4="",'Data Entry'!$C791&lt;='Visual SPC'!$E$4),OR('Visual SPC'!$G$4="",'Data Entry'!$D791='Visual SPC'!$G$4),OR('Visual SPC'!$I$4="",'Data Entry'!$E791='Visual SPC'!$I$4),OR('Visual SPC'!$K$4="",'Data Entry'!$F791='Visual SPC'!$K$4)),1,0))</f>
        <v/>
      </c>
      <c r="C791">
        <f>C790+B791</f>
        <v/>
      </c>
      <c r="D791">
        <f>IF(B791=1,INDEX('Data Entry'!$H$5:$BE$10004,791-4,'Visual SPC'!$B$3),"")</f>
        <v/>
      </c>
      <c r="E791">
        <f>IF(B791=1,D791,E790)</f>
        <v/>
      </c>
      <c r="F791">
        <f>IF(AND(B791=1,C791&gt;1,E790&lt;&gt;""),ABS(D791-E790),"")</f>
        <v/>
      </c>
    </row>
    <row r="792">
      <c r="A792" t="n">
        <v>792</v>
      </c>
      <c r="B792">
        <f>IF(INDEX('Data Entry'!$H$5:$BE$10004,792-4,'Visual SPC'!$B$3)="",0,IF(AND(OR('Visual SPC'!$C$4="",'Data Entry'!$C792&gt;='Visual SPC'!$C$4),OR('Visual SPC'!$E$4="",'Data Entry'!$C792&lt;='Visual SPC'!$E$4),OR('Visual SPC'!$G$4="",'Data Entry'!$D792='Visual SPC'!$G$4),OR('Visual SPC'!$I$4="",'Data Entry'!$E792='Visual SPC'!$I$4),OR('Visual SPC'!$K$4="",'Data Entry'!$F792='Visual SPC'!$K$4)),1,0))</f>
        <v/>
      </c>
      <c r="C792">
        <f>C791+B792</f>
        <v/>
      </c>
      <c r="D792">
        <f>IF(B792=1,INDEX('Data Entry'!$H$5:$BE$10004,792-4,'Visual SPC'!$B$3),"")</f>
        <v/>
      </c>
      <c r="E792">
        <f>IF(B792=1,D792,E791)</f>
        <v/>
      </c>
      <c r="F792">
        <f>IF(AND(B792=1,C792&gt;1,E791&lt;&gt;""),ABS(D792-E791),"")</f>
        <v/>
      </c>
    </row>
    <row r="793">
      <c r="A793" t="n">
        <v>793</v>
      </c>
      <c r="B793">
        <f>IF(INDEX('Data Entry'!$H$5:$BE$10004,793-4,'Visual SPC'!$B$3)="",0,IF(AND(OR('Visual SPC'!$C$4="",'Data Entry'!$C793&gt;='Visual SPC'!$C$4),OR('Visual SPC'!$E$4="",'Data Entry'!$C793&lt;='Visual SPC'!$E$4),OR('Visual SPC'!$G$4="",'Data Entry'!$D793='Visual SPC'!$G$4),OR('Visual SPC'!$I$4="",'Data Entry'!$E793='Visual SPC'!$I$4),OR('Visual SPC'!$K$4="",'Data Entry'!$F793='Visual SPC'!$K$4)),1,0))</f>
        <v/>
      </c>
      <c r="C793">
        <f>C792+B793</f>
        <v/>
      </c>
      <c r="D793">
        <f>IF(B793=1,INDEX('Data Entry'!$H$5:$BE$10004,793-4,'Visual SPC'!$B$3),"")</f>
        <v/>
      </c>
      <c r="E793">
        <f>IF(B793=1,D793,E792)</f>
        <v/>
      </c>
      <c r="F793">
        <f>IF(AND(B793=1,C793&gt;1,E792&lt;&gt;""),ABS(D793-E792),"")</f>
        <v/>
      </c>
    </row>
    <row r="794">
      <c r="A794" t="n">
        <v>794</v>
      </c>
      <c r="B794">
        <f>IF(INDEX('Data Entry'!$H$5:$BE$10004,794-4,'Visual SPC'!$B$3)="",0,IF(AND(OR('Visual SPC'!$C$4="",'Data Entry'!$C794&gt;='Visual SPC'!$C$4),OR('Visual SPC'!$E$4="",'Data Entry'!$C794&lt;='Visual SPC'!$E$4),OR('Visual SPC'!$G$4="",'Data Entry'!$D794='Visual SPC'!$G$4),OR('Visual SPC'!$I$4="",'Data Entry'!$E794='Visual SPC'!$I$4),OR('Visual SPC'!$K$4="",'Data Entry'!$F794='Visual SPC'!$K$4)),1,0))</f>
        <v/>
      </c>
      <c r="C794">
        <f>C793+B794</f>
        <v/>
      </c>
      <c r="D794">
        <f>IF(B794=1,INDEX('Data Entry'!$H$5:$BE$10004,794-4,'Visual SPC'!$B$3),"")</f>
        <v/>
      </c>
      <c r="E794">
        <f>IF(B794=1,D794,E793)</f>
        <v/>
      </c>
      <c r="F794">
        <f>IF(AND(B794=1,C794&gt;1,E793&lt;&gt;""),ABS(D794-E793),"")</f>
        <v/>
      </c>
    </row>
    <row r="795">
      <c r="A795" t="n">
        <v>795</v>
      </c>
      <c r="B795">
        <f>IF(INDEX('Data Entry'!$H$5:$BE$10004,795-4,'Visual SPC'!$B$3)="",0,IF(AND(OR('Visual SPC'!$C$4="",'Data Entry'!$C795&gt;='Visual SPC'!$C$4),OR('Visual SPC'!$E$4="",'Data Entry'!$C795&lt;='Visual SPC'!$E$4),OR('Visual SPC'!$G$4="",'Data Entry'!$D795='Visual SPC'!$G$4),OR('Visual SPC'!$I$4="",'Data Entry'!$E795='Visual SPC'!$I$4),OR('Visual SPC'!$K$4="",'Data Entry'!$F795='Visual SPC'!$K$4)),1,0))</f>
        <v/>
      </c>
      <c r="C795">
        <f>C794+B795</f>
        <v/>
      </c>
      <c r="D795">
        <f>IF(B795=1,INDEX('Data Entry'!$H$5:$BE$10004,795-4,'Visual SPC'!$B$3),"")</f>
        <v/>
      </c>
      <c r="E795">
        <f>IF(B795=1,D795,E794)</f>
        <v/>
      </c>
      <c r="F795">
        <f>IF(AND(B795=1,C795&gt;1,E794&lt;&gt;""),ABS(D795-E794),"")</f>
        <v/>
      </c>
    </row>
    <row r="796">
      <c r="A796" t="n">
        <v>796</v>
      </c>
      <c r="B796">
        <f>IF(INDEX('Data Entry'!$H$5:$BE$10004,796-4,'Visual SPC'!$B$3)="",0,IF(AND(OR('Visual SPC'!$C$4="",'Data Entry'!$C796&gt;='Visual SPC'!$C$4),OR('Visual SPC'!$E$4="",'Data Entry'!$C796&lt;='Visual SPC'!$E$4),OR('Visual SPC'!$G$4="",'Data Entry'!$D796='Visual SPC'!$G$4),OR('Visual SPC'!$I$4="",'Data Entry'!$E796='Visual SPC'!$I$4),OR('Visual SPC'!$K$4="",'Data Entry'!$F796='Visual SPC'!$K$4)),1,0))</f>
        <v/>
      </c>
      <c r="C796">
        <f>C795+B796</f>
        <v/>
      </c>
      <c r="D796">
        <f>IF(B796=1,INDEX('Data Entry'!$H$5:$BE$10004,796-4,'Visual SPC'!$B$3),"")</f>
        <v/>
      </c>
      <c r="E796">
        <f>IF(B796=1,D796,E795)</f>
        <v/>
      </c>
      <c r="F796">
        <f>IF(AND(B796=1,C796&gt;1,E795&lt;&gt;""),ABS(D796-E795),"")</f>
        <v/>
      </c>
    </row>
    <row r="797">
      <c r="A797" t="n">
        <v>797</v>
      </c>
      <c r="B797">
        <f>IF(INDEX('Data Entry'!$H$5:$BE$10004,797-4,'Visual SPC'!$B$3)="",0,IF(AND(OR('Visual SPC'!$C$4="",'Data Entry'!$C797&gt;='Visual SPC'!$C$4),OR('Visual SPC'!$E$4="",'Data Entry'!$C797&lt;='Visual SPC'!$E$4),OR('Visual SPC'!$G$4="",'Data Entry'!$D797='Visual SPC'!$G$4),OR('Visual SPC'!$I$4="",'Data Entry'!$E797='Visual SPC'!$I$4),OR('Visual SPC'!$K$4="",'Data Entry'!$F797='Visual SPC'!$K$4)),1,0))</f>
        <v/>
      </c>
      <c r="C797">
        <f>C796+B797</f>
        <v/>
      </c>
      <c r="D797">
        <f>IF(B797=1,INDEX('Data Entry'!$H$5:$BE$10004,797-4,'Visual SPC'!$B$3),"")</f>
        <v/>
      </c>
      <c r="E797">
        <f>IF(B797=1,D797,E796)</f>
        <v/>
      </c>
      <c r="F797">
        <f>IF(AND(B797=1,C797&gt;1,E796&lt;&gt;""),ABS(D797-E796),"")</f>
        <v/>
      </c>
    </row>
    <row r="798">
      <c r="A798" t="n">
        <v>798</v>
      </c>
      <c r="B798">
        <f>IF(INDEX('Data Entry'!$H$5:$BE$10004,798-4,'Visual SPC'!$B$3)="",0,IF(AND(OR('Visual SPC'!$C$4="",'Data Entry'!$C798&gt;='Visual SPC'!$C$4),OR('Visual SPC'!$E$4="",'Data Entry'!$C798&lt;='Visual SPC'!$E$4),OR('Visual SPC'!$G$4="",'Data Entry'!$D798='Visual SPC'!$G$4),OR('Visual SPC'!$I$4="",'Data Entry'!$E798='Visual SPC'!$I$4),OR('Visual SPC'!$K$4="",'Data Entry'!$F798='Visual SPC'!$K$4)),1,0))</f>
        <v/>
      </c>
      <c r="C798">
        <f>C797+B798</f>
        <v/>
      </c>
      <c r="D798">
        <f>IF(B798=1,INDEX('Data Entry'!$H$5:$BE$10004,798-4,'Visual SPC'!$B$3),"")</f>
        <v/>
      </c>
      <c r="E798">
        <f>IF(B798=1,D798,E797)</f>
        <v/>
      </c>
      <c r="F798">
        <f>IF(AND(B798=1,C798&gt;1,E797&lt;&gt;""),ABS(D798-E797),"")</f>
        <v/>
      </c>
    </row>
    <row r="799">
      <c r="A799" t="n">
        <v>799</v>
      </c>
      <c r="B799">
        <f>IF(INDEX('Data Entry'!$H$5:$BE$10004,799-4,'Visual SPC'!$B$3)="",0,IF(AND(OR('Visual SPC'!$C$4="",'Data Entry'!$C799&gt;='Visual SPC'!$C$4),OR('Visual SPC'!$E$4="",'Data Entry'!$C799&lt;='Visual SPC'!$E$4),OR('Visual SPC'!$G$4="",'Data Entry'!$D799='Visual SPC'!$G$4),OR('Visual SPC'!$I$4="",'Data Entry'!$E799='Visual SPC'!$I$4),OR('Visual SPC'!$K$4="",'Data Entry'!$F799='Visual SPC'!$K$4)),1,0))</f>
        <v/>
      </c>
      <c r="C799">
        <f>C798+B799</f>
        <v/>
      </c>
      <c r="D799">
        <f>IF(B799=1,INDEX('Data Entry'!$H$5:$BE$10004,799-4,'Visual SPC'!$B$3),"")</f>
        <v/>
      </c>
      <c r="E799">
        <f>IF(B799=1,D799,E798)</f>
        <v/>
      </c>
      <c r="F799">
        <f>IF(AND(B799=1,C799&gt;1,E798&lt;&gt;""),ABS(D799-E798),"")</f>
        <v/>
      </c>
    </row>
    <row r="800">
      <c r="A800" t="n">
        <v>800</v>
      </c>
      <c r="B800">
        <f>IF(INDEX('Data Entry'!$H$5:$BE$10004,800-4,'Visual SPC'!$B$3)="",0,IF(AND(OR('Visual SPC'!$C$4="",'Data Entry'!$C800&gt;='Visual SPC'!$C$4),OR('Visual SPC'!$E$4="",'Data Entry'!$C800&lt;='Visual SPC'!$E$4),OR('Visual SPC'!$G$4="",'Data Entry'!$D800='Visual SPC'!$G$4),OR('Visual SPC'!$I$4="",'Data Entry'!$E800='Visual SPC'!$I$4),OR('Visual SPC'!$K$4="",'Data Entry'!$F800='Visual SPC'!$K$4)),1,0))</f>
        <v/>
      </c>
      <c r="C800">
        <f>C799+B800</f>
        <v/>
      </c>
      <c r="D800">
        <f>IF(B800=1,INDEX('Data Entry'!$H$5:$BE$10004,800-4,'Visual SPC'!$B$3),"")</f>
        <v/>
      </c>
      <c r="E800">
        <f>IF(B800=1,D800,E799)</f>
        <v/>
      </c>
      <c r="F800">
        <f>IF(AND(B800=1,C800&gt;1,E799&lt;&gt;""),ABS(D800-E799),"")</f>
        <v/>
      </c>
    </row>
    <row r="801">
      <c r="A801" t="n">
        <v>801</v>
      </c>
      <c r="B801">
        <f>IF(INDEX('Data Entry'!$H$5:$BE$10004,801-4,'Visual SPC'!$B$3)="",0,IF(AND(OR('Visual SPC'!$C$4="",'Data Entry'!$C801&gt;='Visual SPC'!$C$4),OR('Visual SPC'!$E$4="",'Data Entry'!$C801&lt;='Visual SPC'!$E$4),OR('Visual SPC'!$G$4="",'Data Entry'!$D801='Visual SPC'!$G$4),OR('Visual SPC'!$I$4="",'Data Entry'!$E801='Visual SPC'!$I$4),OR('Visual SPC'!$K$4="",'Data Entry'!$F801='Visual SPC'!$K$4)),1,0))</f>
        <v/>
      </c>
      <c r="C801">
        <f>C800+B801</f>
        <v/>
      </c>
      <c r="D801">
        <f>IF(B801=1,INDEX('Data Entry'!$H$5:$BE$10004,801-4,'Visual SPC'!$B$3),"")</f>
        <v/>
      </c>
      <c r="E801">
        <f>IF(B801=1,D801,E800)</f>
        <v/>
      </c>
      <c r="F801">
        <f>IF(AND(B801=1,C801&gt;1,E800&lt;&gt;""),ABS(D801-E800),"")</f>
        <v/>
      </c>
    </row>
    <row r="802">
      <c r="A802" t="n">
        <v>802</v>
      </c>
      <c r="B802">
        <f>IF(INDEX('Data Entry'!$H$5:$BE$10004,802-4,'Visual SPC'!$B$3)="",0,IF(AND(OR('Visual SPC'!$C$4="",'Data Entry'!$C802&gt;='Visual SPC'!$C$4),OR('Visual SPC'!$E$4="",'Data Entry'!$C802&lt;='Visual SPC'!$E$4),OR('Visual SPC'!$G$4="",'Data Entry'!$D802='Visual SPC'!$G$4),OR('Visual SPC'!$I$4="",'Data Entry'!$E802='Visual SPC'!$I$4),OR('Visual SPC'!$K$4="",'Data Entry'!$F802='Visual SPC'!$K$4)),1,0))</f>
        <v/>
      </c>
      <c r="C802">
        <f>C801+B802</f>
        <v/>
      </c>
      <c r="D802">
        <f>IF(B802=1,INDEX('Data Entry'!$H$5:$BE$10004,802-4,'Visual SPC'!$B$3),"")</f>
        <v/>
      </c>
      <c r="E802">
        <f>IF(B802=1,D802,E801)</f>
        <v/>
      </c>
      <c r="F802">
        <f>IF(AND(B802=1,C802&gt;1,E801&lt;&gt;""),ABS(D802-E801),"")</f>
        <v/>
      </c>
    </row>
    <row r="803">
      <c r="A803" t="n">
        <v>803</v>
      </c>
      <c r="B803">
        <f>IF(INDEX('Data Entry'!$H$5:$BE$10004,803-4,'Visual SPC'!$B$3)="",0,IF(AND(OR('Visual SPC'!$C$4="",'Data Entry'!$C803&gt;='Visual SPC'!$C$4),OR('Visual SPC'!$E$4="",'Data Entry'!$C803&lt;='Visual SPC'!$E$4),OR('Visual SPC'!$G$4="",'Data Entry'!$D803='Visual SPC'!$G$4),OR('Visual SPC'!$I$4="",'Data Entry'!$E803='Visual SPC'!$I$4),OR('Visual SPC'!$K$4="",'Data Entry'!$F803='Visual SPC'!$K$4)),1,0))</f>
        <v/>
      </c>
      <c r="C803">
        <f>C802+B803</f>
        <v/>
      </c>
      <c r="D803">
        <f>IF(B803=1,INDEX('Data Entry'!$H$5:$BE$10004,803-4,'Visual SPC'!$B$3),"")</f>
        <v/>
      </c>
      <c r="E803">
        <f>IF(B803=1,D803,E802)</f>
        <v/>
      </c>
      <c r="F803">
        <f>IF(AND(B803=1,C803&gt;1,E802&lt;&gt;""),ABS(D803-E802),"")</f>
        <v/>
      </c>
    </row>
    <row r="804">
      <c r="A804" t="n">
        <v>804</v>
      </c>
      <c r="B804">
        <f>IF(INDEX('Data Entry'!$H$5:$BE$10004,804-4,'Visual SPC'!$B$3)="",0,IF(AND(OR('Visual SPC'!$C$4="",'Data Entry'!$C804&gt;='Visual SPC'!$C$4),OR('Visual SPC'!$E$4="",'Data Entry'!$C804&lt;='Visual SPC'!$E$4),OR('Visual SPC'!$G$4="",'Data Entry'!$D804='Visual SPC'!$G$4),OR('Visual SPC'!$I$4="",'Data Entry'!$E804='Visual SPC'!$I$4),OR('Visual SPC'!$K$4="",'Data Entry'!$F804='Visual SPC'!$K$4)),1,0))</f>
        <v/>
      </c>
      <c r="C804">
        <f>C803+B804</f>
        <v/>
      </c>
      <c r="D804">
        <f>IF(B804=1,INDEX('Data Entry'!$H$5:$BE$10004,804-4,'Visual SPC'!$B$3),"")</f>
        <v/>
      </c>
      <c r="E804">
        <f>IF(B804=1,D804,E803)</f>
        <v/>
      </c>
      <c r="F804">
        <f>IF(AND(B804=1,C804&gt;1,E803&lt;&gt;""),ABS(D804-E803),"")</f>
        <v/>
      </c>
    </row>
    <row r="805">
      <c r="A805" t="n">
        <v>805</v>
      </c>
      <c r="B805">
        <f>IF(INDEX('Data Entry'!$H$5:$BE$10004,805-4,'Visual SPC'!$B$3)="",0,IF(AND(OR('Visual SPC'!$C$4="",'Data Entry'!$C805&gt;='Visual SPC'!$C$4),OR('Visual SPC'!$E$4="",'Data Entry'!$C805&lt;='Visual SPC'!$E$4),OR('Visual SPC'!$G$4="",'Data Entry'!$D805='Visual SPC'!$G$4),OR('Visual SPC'!$I$4="",'Data Entry'!$E805='Visual SPC'!$I$4),OR('Visual SPC'!$K$4="",'Data Entry'!$F805='Visual SPC'!$K$4)),1,0))</f>
        <v/>
      </c>
      <c r="C805">
        <f>C804+B805</f>
        <v/>
      </c>
      <c r="D805">
        <f>IF(B805=1,INDEX('Data Entry'!$H$5:$BE$10004,805-4,'Visual SPC'!$B$3),"")</f>
        <v/>
      </c>
      <c r="E805">
        <f>IF(B805=1,D805,E804)</f>
        <v/>
      </c>
      <c r="F805">
        <f>IF(AND(B805=1,C805&gt;1,E804&lt;&gt;""),ABS(D805-E804),"")</f>
        <v/>
      </c>
    </row>
    <row r="806">
      <c r="A806" t="n">
        <v>806</v>
      </c>
      <c r="B806">
        <f>IF(INDEX('Data Entry'!$H$5:$BE$10004,806-4,'Visual SPC'!$B$3)="",0,IF(AND(OR('Visual SPC'!$C$4="",'Data Entry'!$C806&gt;='Visual SPC'!$C$4),OR('Visual SPC'!$E$4="",'Data Entry'!$C806&lt;='Visual SPC'!$E$4),OR('Visual SPC'!$G$4="",'Data Entry'!$D806='Visual SPC'!$G$4),OR('Visual SPC'!$I$4="",'Data Entry'!$E806='Visual SPC'!$I$4),OR('Visual SPC'!$K$4="",'Data Entry'!$F806='Visual SPC'!$K$4)),1,0))</f>
        <v/>
      </c>
      <c r="C806">
        <f>C805+B806</f>
        <v/>
      </c>
      <c r="D806">
        <f>IF(B806=1,INDEX('Data Entry'!$H$5:$BE$10004,806-4,'Visual SPC'!$B$3),"")</f>
        <v/>
      </c>
      <c r="E806">
        <f>IF(B806=1,D806,E805)</f>
        <v/>
      </c>
      <c r="F806">
        <f>IF(AND(B806=1,C806&gt;1,E805&lt;&gt;""),ABS(D806-E805),"")</f>
        <v/>
      </c>
    </row>
    <row r="807">
      <c r="A807" t="n">
        <v>807</v>
      </c>
      <c r="B807">
        <f>IF(INDEX('Data Entry'!$H$5:$BE$10004,807-4,'Visual SPC'!$B$3)="",0,IF(AND(OR('Visual SPC'!$C$4="",'Data Entry'!$C807&gt;='Visual SPC'!$C$4),OR('Visual SPC'!$E$4="",'Data Entry'!$C807&lt;='Visual SPC'!$E$4),OR('Visual SPC'!$G$4="",'Data Entry'!$D807='Visual SPC'!$G$4),OR('Visual SPC'!$I$4="",'Data Entry'!$E807='Visual SPC'!$I$4),OR('Visual SPC'!$K$4="",'Data Entry'!$F807='Visual SPC'!$K$4)),1,0))</f>
        <v/>
      </c>
      <c r="C807">
        <f>C806+B807</f>
        <v/>
      </c>
      <c r="D807">
        <f>IF(B807=1,INDEX('Data Entry'!$H$5:$BE$10004,807-4,'Visual SPC'!$B$3),"")</f>
        <v/>
      </c>
      <c r="E807">
        <f>IF(B807=1,D807,E806)</f>
        <v/>
      </c>
      <c r="F807">
        <f>IF(AND(B807=1,C807&gt;1,E806&lt;&gt;""),ABS(D807-E806),"")</f>
        <v/>
      </c>
    </row>
    <row r="808">
      <c r="A808" t="n">
        <v>808</v>
      </c>
      <c r="B808">
        <f>IF(INDEX('Data Entry'!$H$5:$BE$10004,808-4,'Visual SPC'!$B$3)="",0,IF(AND(OR('Visual SPC'!$C$4="",'Data Entry'!$C808&gt;='Visual SPC'!$C$4),OR('Visual SPC'!$E$4="",'Data Entry'!$C808&lt;='Visual SPC'!$E$4),OR('Visual SPC'!$G$4="",'Data Entry'!$D808='Visual SPC'!$G$4),OR('Visual SPC'!$I$4="",'Data Entry'!$E808='Visual SPC'!$I$4),OR('Visual SPC'!$K$4="",'Data Entry'!$F808='Visual SPC'!$K$4)),1,0))</f>
        <v/>
      </c>
      <c r="C808">
        <f>C807+B808</f>
        <v/>
      </c>
      <c r="D808">
        <f>IF(B808=1,INDEX('Data Entry'!$H$5:$BE$10004,808-4,'Visual SPC'!$B$3),"")</f>
        <v/>
      </c>
      <c r="E808">
        <f>IF(B808=1,D808,E807)</f>
        <v/>
      </c>
      <c r="F808">
        <f>IF(AND(B808=1,C808&gt;1,E807&lt;&gt;""),ABS(D808-E807),"")</f>
        <v/>
      </c>
    </row>
    <row r="809">
      <c r="A809" t="n">
        <v>809</v>
      </c>
      <c r="B809">
        <f>IF(INDEX('Data Entry'!$H$5:$BE$10004,809-4,'Visual SPC'!$B$3)="",0,IF(AND(OR('Visual SPC'!$C$4="",'Data Entry'!$C809&gt;='Visual SPC'!$C$4),OR('Visual SPC'!$E$4="",'Data Entry'!$C809&lt;='Visual SPC'!$E$4),OR('Visual SPC'!$G$4="",'Data Entry'!$D809='Visual SPC'!$G$4),OR('Visual SPC'!$I$4="",'Data Entry'!$E809='Visual SPC'!$I$4),OR('Visual SPC'!$K$4="",'Data Entry'!$F809='Visual SPC'!$K$4)),1,0))</f>
        <v/>
      </c>
      <c r="C809">
        <f>C808+B809</f>
        <v/>
      </c>
      <c r="D809">
        <f>IF(B809=1,INDEX('Data Entry'!$H$5:$BE$10004,809-4,'Visual SPC'!$B$3),"")</f>
        <v/>
      </c>
      <c r="E809">
        <f>IF(B809=1,D809,E808)</f>
        <v/>
      </c>
      <c r="F809">
        <f>IF(AND(B809=1,C809&gt;1,E808&lt;&gt;""),ABS(D809-E808),"")</f>
        <v/>
      </c>
    </row>
    <row r="810">
      <c r="A810" t="n">
        <v>810</v>
      </c>
      <c r="B810">
        <f>IF(INDEX('Data Entry'!$H$5:$BE$10004,810-4,'Visual SPC'!$B$3)="",0,IF(AND(OR('Visual SPC'!$C$4="",'Data Entry'!$C810&gt;='Visual SPC'!$C$4),OR('Visual SPC'!$E$4="",'Data Entry'!$C810&lt;='Visual SPC'!$E$4),OR('Visual SPC'!$G$4="",'Data Entry'!$D810='Visual SPC'!$G$4),OR('Visual SPC'!$I$4="",'Data Entry'!$E810='Visual SPC'!$I$4),OR('Visual SPC'!$K$4="",'Data Entry'!$F810='Visual SPC'!$K$4)),1,0))</f>
        <v/>
      </c>
      <c r="C810">
        <f>C809+B810</f>
        <v/>
      </c>
      <c r="D810">
        <f>IF(B810=1,INDEX('Data Entry'!$H$5:$BE$10004,810-4,'Visual SPC'!$B$3),"")</f>
        <v/>
      </c>
      <c r="E810">
        <f>IF(B810=1,D810,E809)</f>
        <v/>
      </c>
      <c r="F810">
        <f>IF(AND(B810=1,C810&gt;1,E809&lt;&gt;""),ABS(D810-E809),"")</f>
        <v/>
      </c>
    </row>
    <row r="811">
      <c r="A811" t="n">
        <v>811</v>
      </c>
      <c r="B811">
        <f>IF(INDEX('Data Entry'!$H$5:$BE$10004,811-4,'Visual SPC'!$B$3)="",0,IF(AND(OR('Visual SPC'!$C$4="",'Data Entry'!$C811&gt;='Visual SPC'!$C$4),OR('Visual SPC'!$E$4="",'Data Entry'!$C811&lt;='Visual SPC'!$E$4),OR('Visual SPC'!$G$4="",'Data Entry'!$D811='Visual SPC'!$G$4),OR('Visual SPC'!$I$4="",'Data Entry'!$E811='Visual SPC'!$I$4),OR('Visual SPC'!$K$4="",'Data Entry'!$F811='Visual SPC'!$K$4)),1,0))</f>
        <v/>
      </c>
      <c r="C811">
        <f>C810+B811</f>
        <v/>
      </c>
      <c r="D811">
        <f>IF(B811=1,INDEX('Data Entry'!$H$5:$BE$10004,811-4,'Visual SPC'!$B$3),"")</f>
        <v/>
      </c>
      <c r="E811">
        <f>IF(B811=1,D811,E810)</f>
        <v/>
      </c>
      <c r="F811">
        <f>IF(AND(B811=1,C811&gt;1,E810&lt;&gt;""),ABS(D811-E810),"")</f>
        <v/>
      </c>
    </row>
    <row r="812">
      <c r="A812" t="n">
        <v>812</v>
      </c>
      <c r="B812">
        <f>IF(INDEX('Data Entry'!$H$5:$BE$10004,812-4,'Visual SPC'!$B$3)="",0,IF(AND(OR('Visual SPC'!$C$4="",'Data Entry'!$C812&gt;='Visual SPC'!$C$4),OR('Visual SPC'!$E$4="",'Data Entry'!$C812&lt;='Visual SPC'!$E$4),OR('Visual SPC'!$G$4="",'Data Entry'!$D812='Visual SPC'!$G$4),OR('Visual SPC'!$I$4="",'Data Entry'!$E812='Visual SPC'!$I$4),OR('Visual SPC'!$K$4="",'Data Entry'!$F812='Visual SPC'!$K$4)),1,0))</f>
        <v/>
      </c>
      <c r="C812">
        <f>C811+B812</f>
        <v/>
      </c>
      <c r="D812">
        <f>IF(B812=1,INDEX('Data Entry'!$H$5:$BE$10004,812-4,'Visual SPC'!$B$3),"")</f>
        <v/>
      </c>
      <c r="E812">
        <f>IF(B812=1,D812,E811)</f>
        <v/>
      </c>
      <c r="F812">
        <f>IF(AND(B812=1,C812&gt;1,E811&lt;&gt;""),ABS(D812-E811),"")</f>
        <v/>
      </c>
    </row>
    <row r="813">
      <c r="A813" t="n">
        <v>813</v>
      </c>
      <c r="B813">
        <f>IF(INDEX('Data Entry'!$H$5:$BE$10004,813-4,'Visual SPC'!$B$3)="",0,IF(AND(OR('Visual SPC'!$C$4="",'Data Entry'!$C813&gt;='Visual SPC'!$C$4),OR('Visual SPC'!$E$4="",'Data Entry'!$C813&lt;='Visual SPC'!$E$4),OR('Visual SPC'!$G$4="",'Data Entry'!$D813='Visual SPC'!$G$4),OR('Visual SPC'!$I$4="",'Data Entry'!$E813='Visual SPC'!$I$4),OR('Visual SPC'!$K$4="",'Data Entry'!$F813='Visual SPC'!$K$4)),1,0))</f>
        <v/>
      </c>
      <c r="C813">
        <f>C812+B813</f>
        <v/>
      </c>
      <c r="D813">
        <f>IF(B813=1,INDEX('Data Entry'!$H$5:$BE$10004,813-4,'Visual SPC'!$B$3),"")</f>
        <v/>
      </c>
      <c r="E813">
        <f>IF(B813=1,D813,E812)</f>
        <v/>
      </c>
      <c r="F813">
        <f>IF(AND(B813=1,C813&gt;1,E812&lt;&gt;""),ABS(D813-E812),"")</f>
        <v/>
      </c>
    </row>
    <row r="814">
      <c r="A814" t="n">
        <v>814</v>
      </c>
      <c r="B814">
        <f>IF(INDEX('Data Entry'!$H$5:$BE$10004,814-4,'Visual SPC'!$B$3)="",0,IF(AND(OR('Visual SPC'!$C$4="",'Data Entry'!$C814&gt;='Visual SPC'!$C$4),OR('Visual SPC'!$E$4="",'Data Entry'!$C814&lt;='Visual SPC'!$E$4),OR('Visual SPC'!$G$4="",'Data Entry'!$D814='Visual SPC'!$G$4),OR('Visual SPC'!$I$4="",'Data Entry'!$E814='Visual SPC'!$I$4),OR('Visual SPC'!$K$4="",'Data Entry'!$F814='Visual SPC'!$K$4)),1,0))</f>
        <v/>
      </c>
      <c r="C814">
        <f>C813+B814</f>
        <v/>
      </c>
      <c r="D814">
        <f>IF(B814=1,INDEX('Data Entry'!$H$5:$BE$10004,814-4,'Visual SPC'!$B$3),"")</f>
        <v/>
      </c>
      <c r="E814">
        <f>IF(B814=1,D814,E813)</f>
        <v/>
      </c>
      <c r="F814">
        <f>IF(AND(B814=1,C814&gt;1,E813&lt;&gt;""),ABS(D814-E813),"")</f>
        <v/>
      </c>
    </row>
    <row r="815">
      <c r="A815" t="n">
        <v>815</v>
      </c>
      <c r="B815">
        <f>IF(INDEX('Data Entry'!$H$5:$BE$10004,815-4,'Visual SPC'!$B$3)="",0,IF(AND(OR('Visual SPC'!$C$4="",'Data Entry'!$C815&gt;='Visual SPC'!$C$4),OR('Visual SPC'!$E$4="",'Data Entry'!$C815&lt;='Visual SPC'!$E$4),OR('Visual SPC'!$G$4="",'Data Entry'!$D815='Visual SPC'!$G$4),OR('Visual SPC'!$I$4="",'Data Entry'!$E815='Visual SPC'!$I$4),OR('Visual SPC'!$K$4="",'Data Entry'!$F815='Visual SPC'!$K$4)),1,0))</f>
        <v/>
      </c>
      <c r="C815">
        <f>C814+B815</f>
        <v/>
      </c>
      <c r="D815">
        <f>IF(B815=1,INDEX('Data Entry'!$H$5:$BE$10004,815-4,'Visual SPC'!$B$3),"")</f>
        <v/>
      </c>
      <c r="E815">
        <f>IF(B815=1,D815,E814)</f>
        <v/>
      </c>
      <c r="F815">
        <f>IF(AND(B815=1,C815&gt;1,E814&lt;&gt;""),ABS(D815-E814),"")</f>
        <v/>
      </c>
    </row>
    <row r="816">
      <c r="A816" t="n">
        <v>816</v>
      </c>
      <c r="B816">
        <f>IF(INDEX('Data Entry'!$H$5:$BE$10004,816-4,'Visual SPC'!$B$3)="",0,IF(AND(OR('Visual SPC'!$C$4="",'Data Entry'!$C816&gt;='Visual SPC'!$C$4),OR('Visual SPC'!$E$4="",'Data Entry'!$C816&lt;='Visual SPC'!$E$4),OR('Visual SPC'!$G$4="",'Data Entry'!$D816='Visual SPC'!$G$4),OR('Visual SPC'!$I$4="",'Data Entry'!$E816='Visual SPC'!$I$4),OR('Visual SPC'!$K$4="",'Data Entry'!$F816='Visual SPC'!$K$4)),1,0))</f>
        <v/>
      </c>
      <c r="C816">
        <f>C815+B816</f>
        <v/>
      </c>
      <c r="D816">
        <f>IF(B816=1,INDEX('Data Entry'!$H$5:$BE$10004,816-4,'Visual SPC'!$B$3),"")</f>
        <v/>
      </c>
      <c r="E816">
        <f>IF(B816=1,D816,E815)</f>
        <v/>
      </c>
      <c r="F816">
        <f>IF(AND(B816=1,C816&gt;1,E815&lt;&gt;""),ABS(D816-E815),"")</f>
        <v/>
      </c>
    </row>
    <row r="817">
      <c r="A817" t="n">
        <v>817</v>
      </c>
      <c r="B817">
        <f>IF(INDEX('Data Entry'!$H$5:$BE$10004,817-4,'Visual SPC'!$B$3)="",0,IF(AND(OR('Visual SPC'!$C$4="",'Data Entry'!$C817&gt;='Visual SPC'!$C$4),OR('Visual SPC'!$E$4="",'Data Entry'!$C817&lt;='Visual SPC'!$E$4),OR('Visual SPC'!$G$4="",'Data Entry'!$D817='Visual SPC'!$G$4),OR('Visual SPC'!$I$4="",'Data Entry'!$E817='Visual SPC'!$I$4),OR('Visual SPC'!$K$4="",'Data Entry'!$F817='Visual SPC'!$K$4)),1,0))</f>
        <v/>
      </c>
      <c r="C817">
        <f>C816+B817</f>
        <v/>
      </c>
      <c r="D817">
        <f>IF(B817=1,INDEX('Data Entry'!$H$5:$BE$10004,817-4,'Visual SPC'!$B$3),"")</f>
        <v/>
      </c>
      <c r="E817">
        <f>IF(B817=1,D817,E816)</f>
        <v/>
      </c>
      <c r="F817">
        <f>IF(AND(B817=1,C817&gt;1,E816&lt;&gt;""),ABS(D817-E816),"")</f>
        <v/>
      </c>
    </row>
    <row r="818">
      <c r="A818" t="n">
        <v>818</v>
      </c>
      <c r="B818">
        <f>IF(INDEX('Data Entry'!$H$5:$BE$10004,818-4,'Visual SPC'!$B$3)="",0,IF(AND(OR('Visual SPC'!$C$4="",'Data Entry'!$C818&gt;='Visual SPC'!$C$4),OR('Visual SPC'!$E$4="",'Data Entry'!$C818&lt;='Visual SPC'!$E$4),OR('Visual SPC'!$G$4="",'Data Entry'!$D818='Visual SPC'!$G$4),OR('Visual SPC'!$I$4="",'Data Entry'!$E818='Visual SPC'!$I$4),OR('Visual SPC'!$K$4="",'Data Entry'!$F818='Visual SPC'!$K$4)),1,0))</f>
        <v/>
      </c>
      <c r="C818">
        <f>C817+B818</f>
        <v/>
      </c>
      <c r="D818">
        <f>IF(B818=1,INDEX('Data Entry'!$H$5:$BE$10004,818-4,'Visual SPC'!$B$3),"")</f>
        <v/>
      </c>
      <c r="E818">
        <f>IF(B818=1,D818,E817)</f>
        <v/>
      </c>
      <c r="F818">
        <f>IF(AND(B818=1,C818&gt;1,E817&lt;&gt;""),ABS(D818-E817),"")</f>
        <v/>
      </c>
    </row>
    <row r="819">
      <c r="A819" t="n">
        <v>819</v>
      </c>
      <c r="B819">
        <f>IF(INDEX('Data Entry'!$H$5:$BE$10004,819-4,'Visual SPC'!$B$3)="",0,IF(AND(OR('Visual SPC'!$C$4="",'Data Entry'!$C819&gt;='Visual SPC'!$C$4),OR('Visual SPC'!$E$4="",'Data Entry'!$C819&lt;='Visual SPC'!$E$4),OR('Visual SPC'!$G$4="",'Data Entry'!$D819='Visual SPC'!$G$4),OR('Visual SPC'!$I$4="",'Data Entry'!$E819='Visual SPC'!$I$4),OR('Visual SPC'!$K$4="",'Data Entry'!$F819='Visual SPC'!$K$4)),1,0))</f>
        <v/>
      </c>
      <c r="C819">
        <f>C818+B819</f>
        <v/>
      </c>
      <c r="D819">
        <f>IF(B819=1,INDEX('Data Entry'!$H$5:$BE$10004,819-4,'Visual SPC'!$B$3),"")</f>
        <v/>
      </c>
      <c r="E819">
        <f>IF(B819=1,D819,E818)</f>
        <v/>
      </c>
      <c r="F819">
        <f>IF(AND(B819=1,C819&gt;1,E818&lt;&gt;""),ABS(D819-E818),"")</f>
        <v/>
      </c>
    </row>
    <row r="820">
      <c r="A820" t="n">
        <v>820</v>
      </c>
      <c r="B820">
        <f>IF(INDEX('Data Entry'!$H$5:$BE$10004,820-4,'Visual SPC'!$B$3)="",0,IF(AND(OR('Visual SPC'!$C$4="",'Data Entry'!$C820&gt;='Visual SPC'!$C$4),OR('Visual SPC'!$E$4="",'Data Entry'!$C820&lt;='Visual SPC'!$E$4),OR('Visual SPC'!$G$4="",'Data Entry'!$D820='Visual SPC'!$G$4),OR('Visual SPC'!$I$4="",'Data Entry'!$E820='Visual SPC'!$I$4),OR('Visual SPC'!$K$4="",'Data Entry'!$F820='Visual SPC'!$K$4)),1,0))</f>
        <v/>
      </c>
      <c r="C820">
        <f>C819+B820</f>
        <v/>
      </c>
      <c r="D820">
        <f>IF(B820=1,INDEX('Data Entry'!$H$5:$BE$10004,820-4,'Visual SPC'!$B$3),"")</f>
        <v/>
      </c>
      <c r="E820">
        <f>IF(B820=1,D820,E819)</f>
        <v/>
      </c>
      <c r="F820">
        <f>IF(AND(B820=1,C820&gt;1,E819&lt;&gt;""),ABS(D820-E819),"")</f>
        <v/>
      </c>
    </row>
    <row r="821">
      <c r="A821" t="n">
        <v>821</v>
      </c>
      <c r="B821">
        <f>IF(INDEX('Data Entry'!$H$5:$BE$10004,821-4,'Visual SPC'!$B$3)="",0,IF(AND(OR('Visual SPC'!$C$4="",'Data Entry'!$C821&gt;='Visual SPC'!$C$4),OR('Visual SPC'!$E$4="",'Data Entry'!$C821&lt;='Visual SPC'!$E$4),OR('Visual SPC'!$G$4="",'Data Entry'!$D821='Visual SPC'!$G$4),OR('Visual SPC'!$I$4="",'Data Entry'!$E821='Visual SPC'!$I$4),OR('Visual SPC'!$K$4="",'Data Entry'!$F821='Visual SPC'!$K$4)),1,0))</f>
        <v/>
      </c>
      <c r="C821">
        <f>C820+B821</f>
        <v/>
      </c>
      <c r="D821">
        <f>IF(B821=1,INDEX('Data Entry'!$H$5:$BE$10004,821-4,'Visual SPC'!$B$3),"")</f>
        <v/>
      </c>
      <c r="E821">
        <f>IF(B821=1,D821,E820)</f>
        <v/>
      </c>
      <c r="F821">
        <f>IF(AND(B821=1,C821&gt;1,E820&lt;&gt;""),ABS(D821-E820),"")</f>
        <v/>
      </c>
    </row>
    <row r="822">
      <c r="A822" t="n">
        <v>822</v>
      </c>
      <c r="B822">
        <f>IF(INDEX('Data Entry'!$H$5:$BE$10004,822-4,'Visual SPC'!$B$3)="",0,IF(AND(OR('Visual SPC'!$C$4="",'Data Entry'!$C822&gt;='Visual SPC'!$C$4),OR('Visual SPC'!$E$4="",'Data Entry'!$C822&lt;='Visual SPC'!$E$4),OR('Visual SPC'!$G$4="",'Data Entry'!$D822='Visual SPC'!$G$4),OR('Visual SPC'!$I$4="",'Data Entry'!$E822='Visual SPC'!$I$4),OR('Visual SPC'!$K$4="",'Data Entry'!$F822='Visual SPC'!$K$4)),1,0))</f>
        <v/>
      </c>
      <c r="C822">
        <f>C821+B822</f>
        <v/>
      </c>
      <c r="D822">
        <f>IF(B822=1,INDEX('Data Entry'!$H$5:$BE$10004,822-4,'Visual SPC'!$B$3),"")</f>
        <v/>
      </c>
      <c r="E822">
        <f>IF(B822=1,D822,E821)</f>
        <v/>
      </c>
      <c r="F822">
        <f>IF(AND(B822=1,C822&gt;1,E821&lt;&gt;""),ABS(D822-E821),"")</f>
        <v/>
      </c>
    </row>
    <row r="823">
      <c r="A823" t="n">
        <v>823</v>
      </c>
      <c r="B823">
        <f>IF(INDEX('Data Entry'!$H$5:$BE$10004,823-4,'Visual SPC'!$B$3)="",0,IF(AND(OR('Visual SPC'!$C$4="",'Data Entry'!$C823&gt;='Visual SPC'!$C$4),OR('Visual SPC'!$E$4="",'Data Entry'!$C823&lt;='Visual SPC'!$E$4),OR('Visual SPC'!$G$4="",'Data Entry'!$D823='Visual SPC'!$G$4),OR('Visual SPC'!$I$4="",'Data Entry'!$E823='Visual SPC'!$I$4),OR('Visual SPC'!$K$4="",'Data Entry'!$F823='Visual SPC'!$K$4)),1,0))</f>
        <v/>
      </c>
      <c r="C823">
        <f>C822+B823</f>
        <v/>
      </c>
      <c r="D823">
        <f>IF(B823=1,INDEX('Data Entry'!$H$5:$BE$10004,823-4,'Visual SPC'!$B$3),"")</f>
        <v/>
      </c>
      <c r="E823">
        <f>IF(B823=1,D823,E822)</f>
        <v/>
      </c>
      <c r="F823">
        <f>IF(AND(B823=1,C823&gt;1,E822&lt;&gt;""),ABS(D823-E822),"")</f>
        <v/>
      </c>
    </row>
    <row r="824">
      <c r="A824" t="n">
        <v>824</v>
      </c>
      <c r="B824">
        <f>IF(INDEX('Data Entry'!$H$5:$BE$10004,824-4,'Visual SPC'!$B$3)="",0,IF(AND(OR('Visual SPC'!$C$4="",'Data Entry'!$C824&gt;='Visual SPC'!$C$4),OR('Visual SPC'!$E$4="",'Data Entry'!$C824&lt;='Visual SPC'!$E$4),OR('Visual SPC'!$G$4="",'Data Entry'!$D824='Visual SPC'!$G$4),OR('Visual SPC'!$I$4="",'Data Entry'!$E824='Visual SPC'!$I$4),OR('Visual SPC'!$K$4="",'Data Entry'!$F824='Visual SPC'!$K$4)),1,0))</f>
        <v/>
      </c>
      <c r="C824">
        <f>C823+B824</f>
        <v/>
      </c>
      <c r="D824">
        <f>IF(B824=1,INDEX('Data Entry'!$H$5:$BE$10004,824-4,'Visual SPC'!$B$3),"")</f>
        <v/>
      </c>
      <c r="E824">
        <f>IF(B824=1,D824,E823)</f>
        <v/>
      </c>
      <c r="F824">
        <f>IF(AND(B824=1,C824&gt;1,E823&lt;&gt;""),ABS(D824-E823),"")</f>
        <v/>
      </c>
    </row>
    <row r="825">
      <c r="A825" t="n">
        <v>825</v>
      </c>
      <c r="B825">
        <f>IF(INDEX('Data Entry'!$H$5:$BE$10004,825-4,'Visual SPC'!$B$3)="",0,IF(AND(OR('Visual SPC'!$C$4="",'Data Entry'!$C825&gt;='Visual SPC'!$C$4),OR('Visual SPC'!$E$4="",'Data Entry'!$C825&lt;='Visual SPC'!$E$4),OR('Visual SPC'!$G$4="",'Data Entry'!$D825='Visual SPC'!$G$4),OR('Visual SPC'!$I$4="",'Data Entry'!$E825='Visual SPC'!$I$4),OR('Visual SPC'!$K$4="",'Data Entry'!$F825='Visual SPC'!$K$4)),1,0))</f>
        <v/>
      </c>
      <c r="C825">
        <f>C824+B825</f>
        <v/>
      </c>
      <c r="D825">
        <f>IF(B825=1,INDEX('Data Entry'!$H$5:$BE$10004,825-4,'Visual SPC'!$B$3),"")</f>
        <v/>
      </c>
      <c r="E825">
        <f>IF(B825=1,D825,E824)</f>
        <v/>
      </c>
      <c r="F825">
        <f>IF(AND(B825=1,C825&gt;1,E824&lt;&gt;""),ABS(D825-E824),"")</f>
        <v/>
      </c>
    </row>
    <row r="826">
      <c r="A826" t="n">
        <v>826</v>
      </c>
      <c r="B826">
        <f>IF(INDEX('Data Entry'!$H$5:$BE$10004,826-4,'Visual SPC'!$B$3)="",0,IF(AND(OR('Visual SPC'!$C$4="",'Data Entry'!$C826&gt;='Visual SPC'!$C$4),OR('Visual SPC'!$E$4="",'Data Entry'!$C826&lt;='Visual SPC'!$E$4),OR('Visual SPC'!$G$4="",'Data Entry'!$D826='Visual SPC'!$G$4),OR('Visual SPC'!$I$4="",'Data Entry'!$E826='Visual SPC'!$I$4),OR('Visual SPC'!$K$4="",'Data Entry'!$F826='Visual SPC'!$K$4)),1,0))</f>
        <v/>
      </c>
      <c r="C826">
        <f>C825+B826</f>
        <v/>
      </c>
      <c r="D826">
        <f>IF(B826=1,INDEX('Data Entry'!$H$5:$BE$10004,826-4,'Visual SPC'!$B$3),"")</f>
        <v/>
      </c>
      <c r="E826">
        <f>IF(B826=1,D826,E825)</f>
        <v/>
      </c>
      <c r="F826">
        <f>IF(AND(B826=1,C826&gt;1,E825&lt;&gt;""),ABS(D826-E825),"")</f>
        <v/>
      </c>
    </row>
    <row r="827">
      <c r="A827" t="n">
        <v>827</v>
      </c>
      <c r="B827">
        <f>IF(INDEX('Data Entry'!$H$5:$BE$10004,827-4,'Visual SPC'!$B$3)="",0,IF(AND(OR('Visual SPC'!$C$4="",'Data Entry'!$C827&gt;='Visual SPC'!$C$4),OR('Visual SPC'!$E$4="",'Data Entry'!$C827&lt;='Visual SPC'!$E$4),OR('Visual SPC'!$G$4="",'Data Entry'!$D827='Visual SPC'!$G$4),OR('Visual SPC'!$I$4="",'Data Entry'!$E827='Visual SPC'!$I$4),OR('Visual SPC'!$K$4="",'Data Entry'!$F827='Visual SPC'!$K$4)),1,0))</f>
        <v/>
      </c>
      <c r="C827">
        <f>C826+B827</f>
        <v/>
      </c>
      <c r="D827">
        <f>IF(B827=1,INDEX('Data Entry'!$H$5:$BE$10004,827-4,'Visual SPC'!$B$3),"")</f>
        <v/>
      </c>
      <c r="E827">
        <f>IF(B827=1,D827,E826)</f>
        <v/>
      </c>
      <c r="F827">
        <f>IF(AND(B827=1,C827&gt;1,E826&lt;&gt;""),ABS(D827-E826),"")</f>
        <v/>
      </c>
    </row>
    <row r="828">
      <c r="A828" t="n">
        <v>828</v>
      </c>
      <c r="B828">
        <f>IF(INDEX('Data Entry'!$H$5:$BE$10004,828-4,'Visual SPC'!$B$3)="",0,IF(AND(OR('Visual SPC'!$C$4="",'Data Entry'!$C828&gt;='Visual SPC'!$C$4),OR('Visual SPC'!$E$4="",'Data Entry'!$C828&lt;='Visual SPC'!$E$4),OR('Visual SPC'!$G$4="",'Data Entry'!$D828='Visual SPC'!$G$4),OR('Visual SPC'!$I$4="",'Data Entry'!$E828='Visual SPC'!$I$4),OR('Visual SPC'!$K$4="",'Data Entry'!$F828='Visual SPC'!$K$4)),1,0))</f>
        <v/>
      </c>
      <c r="C828">
        <f>C827+B828</f>
        <v/>
      </c>
      <c r="D828">
        <f>IF(B828=1,INDEX('Data Entry'!$H$5:$BE$10004,828-4,'Visual SPC'!$B$3),"")</f>
        <v/>
      </c>
      <c r="E828">
        <f>IF(B828=1,D828,E827)</f>
        <v/>
      </c>
      <c r="F828">
        <f>IF(AND(B828=1,C828&gt;1,E827&lt;&gt;""),ABS(D828-E827),"")</f>
        <v/>
      </c>
    </row>
    <row r="829">
      <c r="A829" t="n">
        <v>829</v>
      </c>
      <c r="B829">
        <f>IF(INDEX('Data Entry'!$H$5:$BE$10004,829-4,'Visual SPC'!$B$3)="",0,IF(AND(OR('Visual SPC'!$C$4="",'Data Entry'!$C829&gt;='Visual SPC'!$C$4),OR('Visual SPC'!$E$4="",'Data Entry'!$C829&lt;='Visual SPC'!$E$4),OR('Visual SPC'!$G$4="",'Data Entry'!$D829='Visual SPC'!$G$4),OR('Visual SPC'!$I$4="",'Data Entry'!$E829='Visual SPC'!$I$4),OR('Visual SPC'!$K$4="",'Data Entry'!$F829='Visual SPC'!$K$4)),1,0))</f>
        <v/>
      </c>
      <c r="C829">
        <f>C828+B829</f>
        <v/>
      </c>
      <c r="D829">
        <f>IF(B829=1,INDEX('Data Entry'!$H$5:$BE$10004,829-4,'Visual SPC'!$B$3),"")</f>
        <v/>
      </c>
      <c r="E829">
        <f>IF(B829=1,D829,E828)</f>
        <v/>
      </c>
      <c r="F829">
        <f>IF(AND(B829=1,C829&gt;1,E828&lt;&gt;""),ABS(D829-E828),"")</f>
        <v/>
      </c>
    </row>
    <row r="830">
      <c r="A830" t="n">
        <v>830</v>
      </c>
      <c r="B830">
        <f>IF(INDEX('Data Entry'!$H$5:$BE$10004,830-4,'Visual SPC'!$B$3)="",0,IF(AND(OR('Visual SPC'!$C$4="",'Data Entry'!$C830&gt;='Visual SPC'!$C$4),OR('Visual SPC'!$E$4="",'Data Entry'!$C830&lt;='Visual SPC'!$E$4),OR('Visual SPC'!$G$4="",'Data Entry'!$D830='Visual SPC'!$G$4),OR('Visual SPC'!$I$4="",'Data Entry'!$E830='Visual SPC'!$I$4),OR('Visual SPC'!$K$4="",'Data Entry'!$F830='Visual SPC'!$K$4)),1,0))</f>
        <v/>
      </c>
      <c r="C830">
        <f>C829+B830</f>
        <v/>
      </c>
      <c r="D830">
        <f>IF(B830=1,INDEX('Data Entry'!$H$5:$BE$10004,830-4,'Visual SPC'!$B$3),"")</f>
        <v/>
      </c>
      <c r="E830">
        <f>IF(B830=1,D830,E829)</f>
        <v/>
      </c>
      <c r="F830">
        <f>IF(AND(B830=1,C830&gt;1,E829&lt;&gt;""),ABS(D830-E829),"")</f>
        <v/>
      </c>
    </row>
    <row r="831">
      <c r="A831" t="n">
        <v>831</v>
      </c>
      <c r="B831">
        <f>IF(INDEX('Data Entry'!$H$5:$BE$10004,831-4,'Visual SPC'!$B$3)="",0,IF(AND(OR('Visual SPC'!$C$4="",'Data Entry'!$C831&gt;='Visual SPC'!$C$4),OR('Visual SPC'!$E$4="",'Data Entry'!$C831&lt;='Visual SPC'!$E$4),OR('Visual SPC'!$G$4="",'Data Entry'!$D831='Visual SPC'!$G$4),OR('Visual SPC'!$I$4="",'Data Entry'!$E831='Visual SPC'!$I$4),OR('Visual SPC'!$K$4="",'Data Entry'!$F831='Visual SPC'!$K$4)),1,0))</f>
        <v/>
      </c>
      <c r="C831">
        <f>C830+B831</f>
        <v/>
      </c>
      <c r="D831">
        <f>IF(B831=1,INDEX('Data Entry'!$H$5:$BE$10004,831-4,'Visual SPC'!$B$3),"")</f>
        <v/>
      </c>
      <c r="E831">
        <f>IF(B831=1,D831,E830)</f>
        <v/>
      </c>
      <c r="F831">
        <f>IF(AND(B831=1,C831&gt;1,E830&lt;&gt;""),ABS(D831-E830),"")</f>
        <v/>
      </c>
    </row>
    <row r="832">
      <c r="A832" t="n">
        <v>832</v>
      </c>
      <c r="B832">
        <f>IF(INDEX('Data Entry'!$H$5:$BE$10004,832-4,'Visual SPC'!$B$3)="",0,IF(AND(OR('Visual SPC'!$C$4="",'Data Entry'!$C832&gt;='Visual SPC'!$C$4),OR('Visual SPC'!$E$4="",'Data Entry'!$C832&lt;='Visual SPC'!$E$4),OR('Visual SPC'!$G$4="",'Data Entry'!$D832='Visual SPC'!$G$4),OR('Visual SPC'!$I$4="",'Data Entry'!$E832='Visual SPC'!$I$4),OR('Visual SPC'!$K$4="",'Data Entry'!$F832='Visual SPC'!$K$4)),1,0))</f>
        <v/>
      </c>
      <c r="C832">
        <f>C831+B832</f>
        <v/>
      </c>
      <c r="D832">
        <f>IF(B832=1,INDEX('Data Entry'!$H$5:$BE$10004,832-4,'Visual SPC'!$B$3),"")</f>
        <v/>
      </c>
      <c r="E832">
        <f>IF(B832=1,D832,E831)</f>
        <v/>
      </c>
      <c r="F832">
        <f>IF(AND(B832=1,C832&gt;1,E831&lt;&gt;""),ABS(D832-E831),"")</f>
        <v/>
      </c>
    </row>
    <row r="833">
      <c r="A833" t="n">
        <v>833</v>
      </c>
      <c r="B833">
        <f>IF(INDEX('Data Entry'!$H$5:$BE$10004,833-4,'Visual SPC'!$B$3)="",0,IF(AND(OR('Visual SPC'!$C$4="",'Data Entry'!$C833&gt;='Visual SPC'!$C$4),OR('Visual SPC'!$E$4="",'Data Entry'!$C833&lt;='Visual SPC'!$E$4),OR('Visual SPC'!$G$4="",'Data Entry'!$D833='Visual SPC'!$G$4),OR('Visual SPC'!$I$4="",'Data Entry'!$E833='Visual SPC'!$I$4),OR('Visual SPC'!$K$4="",'Data Entry'!$F833='Visual SPC'!$K$4)),1,0))</f>
        <v/>
      </c>
      <c r="C833">
        <f>C832+B833</f>
        <v/>
      </c>
      <c r="D833">
        <f>IF(B833=1,INDEX('Data Entry'!$H$5:$BE$10004,833-4,'Visual SPC'!$B$3),"")</f>
        <v/>
      </c>
      <c r="E833">
        <f>IF(B833=1,D833,E832)</f>
        <v/>
      </c>
      <c r="F833">
        <f>IF(AND(B833=1,C833&gt;1,E832&lt;&gt;""),ABS(D833-E832),"")</f>
        <v/>
      </c>
    </row>
    <row r="834">
      <c r="A834" t="n">
        <v>834</v>
      </c>
      <c r="B834">
        <f>IF(INDEX('Data Entry'!$H$5:$BE$10004,834-4,'Visual SPC'!$B$3)="",0,IF(AND(OR('Visual SPC'!$C$4="",'Data Entry'!$C834&gt;='Visual SPC'!$C$4),OR('Visual SPC'!$E$4="",'Data Entry'!$C834&lt;='Visual SPC'!$E$4),OR('Visual SPC'!$G$4="",'Data Entry'!$D834='Visual SPC'!$G$4),OR('Visual SPC'!$I$4="",'Data Entry'!$E834='Visual SPC'!$I$4),OR('Visual SPC'!$K$4="",'Data Entry'!$F834='Visual SPC'!$K$4)),1,0))</f>
        <v/>
      </c>
      <c r="C834">
        <f>C833+B834</f>
        <v/>
      </c>
      <c r="D834">
        <f>IF(B834=1,INDEX('Data Entry'!$H$5:$BE$10004,834-4,'Visual SPC'!$B$3),"")</f>
        <v/>
      </c>
      <c r="E834">
        <f>IF(B834=1,D834,E833)</f>
        <v/>
      </c>
      <c r="F834">
        <f>IF(AND(B834=1,C834&gt;1,E833&lt;&gt;""),ABS(D834-E833),"")</f>
        <v/>
      </c>
    </row>
    <row r="835">
      <c r="A835" t="n">
        <v>835</v>
      </c>
      <c r="B835">
        <f>IF(INDEX('Data Entry'!$H$5:$BE$10004,835-4,'Visual SPC'!$B$3)="",0,IF(AND(OR('Visual SPC'!$C$4="",'Data Entry'!$C835&gt;='Visual SPC'!$C$4),OR('Visual SPC'!$E$4="",'Data Entry'!$C835&lt;='Visual SPC'!$E$4),OR('Visual SPC'!$G$4="",'Data Entry'!$D835='Visual SPC'!$G$4),OR('Visual SPC'!$I$4="",'Data Entry'!$E835='Visual SPC'!$I$4),OR('Visual SPC'!$K$4="",'Data Entry'!$F835='Visual SPC'!$K$4)),1,0))</f>
        <v/>
      </c>
      <c r="C835">
        <f>C834+B835</f>
        <v/>
      </c>
      <c r="D835">
        <f>IF(B835=1,INDEX('Data Entry'!$H$5:$BE$10004,835-4,'Visual SPC'!$B$3),"")</f>
        <v/>
      </c>
      <c r="E835">
        <f>IF(B835=1,D835,E834)</f>
        <v/>
      </c>
      <c r="F835">
        <f>IF(AND(B835=1,C835&gt;1,E834&lt;&gt;""),ABS(D835-E834),"")</f>
        <v/>
      </c>
    </row>
    <row r="836">
      <c r="A836" t="n">
        <v>836</v>
      </c>
      <c r="B836">
        <f>IF(INDEX('Data Entry'!$H$5:$BE$10004,836-4,'Visual SPC'!$B$3)="",0,IF(AND(OR('Visual SPC'!$C$4="",'Data Entry'!$C836&gt;='Visual SPC'!$C$4),OR('Visual SPC'!$E$4="",'Data Entry'!$C836&lt;='Visual SPC'!$E$4),OR('Visual SPC'!$G$4="",'Data Entry'!$D836='Visual SPC'!$G$4),OR('Visual SPC'!$I$4="",'Data Entry'!$E836='Visual SPC'!$I$4),OR('Visual SPC'!$K$4="",'Data Entry'!$F836='Visual SPC'!$K$4)),1,0))</f>
        <v/>
      </c>
      <c r="C836">
        <f>C835+B836</f>
        <v/>
      </c>
      <c r="D836">
        <f>IF(B836=1,INDEX('Data Entry'!$H$5:$BE$10004,836-4,'Visual SPC'!$B$3),"")</f>
        <v/>
      </c>
      <c r="E836">
        <f>IF(B836=1,D836,E835)</f>
        <v/>
      </c>
      <c r="F836">
        <f>IF(AND(B836=1,C836&gt;1,E835&lt;&gt;""),ABS(D836-E835),"")</f>
        <v/>
      </c>
    </row>
    <row r="837">
      <c r="A837" t="n">
        <v>837</v>
      </c>
      <c r="B837">
        <f>IF(INDEX('Data Entry'!$H$5:$BE$10004,837-4,'Visual SPC'!$B$3)="",0,IF(AND(OR('Visual SPC'!$C$4="",'Data Entry'!$C837&gt;='Visual SPC'!$C$4),OR('Visual SPC'!$E$4="",'Data Entry'!$C837&lt;='Visual SPC'!$E$4),OR('Visual SPC'!$G$4="",'Data Entry'!$D837='Visual SPC'!$G$4),OR('Visual SPC'!$I$4="",'Data Entry'!$E837='Visual SPC'!$I$4),OR('Visual SPC'!$K$4="",'Data Entry'!$F837='Visual SPC'!$K$4)),1,0))</f>
        <v/>
      </c>
      <c r="C837">
        <f>C836+B837</f>
        <v/>
      </c>
      <c r="D837">
        <f>IF(B837=1,INDEX('Data Entry'!$H$5:$BE$10004,837-4,'Visual SPC'!$B$3),"")</f>
        <v/>
      </c>
      <c r="E837">
        <f>IF(B837=1,D837,E836)</f>
        <v/>
      </c>
      <c r="F837">
        <f>IF(AND(B837=1,C837&gt;1,E836&lt;&gt;""),ABS(D837-E836),"")</f>
        <v/>
      </c>
    </row>
    <row r="838">
      <c r="A838" t="n">
        <v>838</v>
      </c>
      <c r="B838">
        <f>IF(INDEX('Data Entry'!$H$5:$BE$10004,838-4,'Visual SPC'!$B$3)="",0,IF(AND(OR('Visual SPC'!$C$4="",'Data Entry'!$C838&gt;='Visual SPC'!$C$4),OR('Visual SPC'!$E$4="",'Data Entry'!$C838&lt;='Visual SPC'!$E$4),OR('Visual SPC'!$G$4="",'Data Entry'!$D838='Visual SPC'!$G$4),OR('Visual SPC'!$I$4="",'Data Entry'!$E838='Visual SPC'!$I$4),OR('Visual SPC'!$K$4="",'Data Entry'!$F838='Visual SPC'!$K$4)),1,0))</f>
        <v/>
      </c>
      <c r="C838">
        <f>C837+B838</f>
        <v/>
      </c>
      <c r="D838">
        <f>IF(B838=1,INDEX('Data Entry'!$H$5:$BE$10004,838-4,'Visual SPC'!$B$3),"")</f>
        <v/>
      </c>
      <c r="E838">
        <f>IF(B838=1,D838,E837)</f>
        <v/>
      </c>
      <c r="F838">
        <f>IF(AND(B838=1,C838&gt;1,E837&lt;&gt;""),ABS(D838-E837),"")</f>
        <v/>
      </c>
    </row>
    <row r="839">
      <c r="A839" t="n">
        <v>839</v>
      </c>
      <c r="B839">
        <f>IF(INDEX('Data Entry'!$H$5:$BE$10004,839-4,'Visual SPC'!$B$3)="",0,IF(AND(OR('Visual SPC'!$C$4="",'Data Entry'!$C839&gt;='Visual SPC'!$C$4),OR('Visual SPC'!$E$4="",'Data Entry'!$C839&lt;='Visual SPC'!$E$4),OR('Visual SPC'!$G$4="",'Data Entry'!$D839='Visual SPC'!$G$4),OR('Visual SPC'!$I$4="",'Data Entry'!$E839='Visual SPC'!$I$4),OR('Visual SPC'!$K$4="",'Data Entry'!$F839='Visual SPC'!$K$4)),1,0))</f>
        <v/>
      </c>
      <c r="C839">
        <f>C838+B839</f>
        <v/>
      </c>
      <c r="D839">
        <f>IF(B839=1,INDEX('Data Entry'!$H$5:$BE$10004,839-4,'Visual SPC'!$B$3),"")</f>
        <v/>
      </c>
      <c r="E839">
        <f>IF(B839=1,D839,E838)</f>
        <v/>
      </c>
      <c r="F839">
        <f>IF(AND(B839=1,C839&gt;1,E838&lt;&gt;""),ABS(D839-E838),"")</f>
        <v/>
      </c>
    </row>
    <row r="840">
      <c r="A840" t="n">
        <v>840</v>
      </c>
      <c r="B840">
        <f>IF(INDEX('Data Entry'!$H$5:$BE$10004,840-4,'Visual SPC'!$B$3)="",0,IF(AND(OR('Visual SPC'!$C$4="",'Data Entry'!$C840&gt;='Visual SPC'!$C$4),OR('Visual SPC'!$E$4="",'Data Entry'!$C840&lt;='Visual SPC'!$E$4),OR('Visual SPC'!$G$4="",'Data Entry'!$D840='Visual SPC'!$G$4),OR('Visual SPC'!$I$4="",'Data Entry'!$E840='Visual SPC'!$I$4),OR('Visual SPC'!$K$4="",'Data Entry'!$F840='Visual SPC'!$K$4)),1,0))</f>
        <v/>
      </c>
      <c r="C840">
        <f>C839+B840</f>
        <v/>
      </c>
      <c r="D840">
        <f>IF(B840=1,INDEX('Data Entry'!$H$5:$BE$10004,840-4,'Visual SPC'!$B$3),"")</f>
        <v/>
      </c>
      <c r="E840">
        <f>IF(B840=1,D840,E839)</f>
        <v/>
      </c>
      <c r="F840">
        <f>IF(AND(B840=1,C840&gt;1,E839&lt;&gt;""),ABS(D840-E839),"")</f>
        <v/>
      </c>
    </row>
    <row r="841">
      <c r="A841" t="n">
        <v>841</v>
      </c>
      <c r="B841">
        <f>IF(INDEX('Data Entry'!$H$5:$BE$10004,841-4,'Visual SPC'!$B$3)="",0,IF(AND(OR('Visual SPC'!$C$4="",'Data Entry'!$C841&gt;='Visual SPC'!$C$4),OR('Visual SPC'!$E$4="",'Data Entry'!$C841&lt;='Visual SPC'!$E$4),OR('Visual SPC'!$G$4="",'Data Entry'!$D841='Visual SPC'!$G$4),OR('Visual SPC'!$I$4="",'Data Entry'!$E841='Visual SPC'!$I$4),OR('Visual SPC'!$K$4="",'Data Entry'!$F841='Visual SPC'!$K$4)),1,0))</f>
        <v/>
      </c>
      <c r="C841">
        <f>C840+B841</f>
        <v/>
      </c>
      <c r="D841">
        <f>IF(B841=1,INDEX('Data Entry'!$H$5:$BE$10004,841-4,'Visual SPC'!$B$3),"")</f>
        <v/>
      </c>
      <c r="E841">
        <f>IF(B841=1,D841,E840)</f>
        <v/>
      </c>
      <c r="F841">
        <f>IF(AND(B841=1,C841&gt;1,E840&lt;&gt;""),ABS(D841-E840),"")</f>
        <v/>
      </c>
    </row>
    <row r="842">
      <c r="A842" t="n">
        <v>842</v>
      </c>
      <c r="B842">
        <f>IF(INDEX('Data Entry'!$H$5:$BE$10004,842-4,'Visual SPC'!$B$3)="",0,IF(AND(OR('Visual SPC'!$C$4="",'Data Entry'!$C842&gt;='Visual SPC'!$C$4),OR('Visual SPC'!$E$4="",'Data Entry'!$C842&lt;='Visual SPC'!$E$4),OR('Visual SPC'!$G$4="",'Data Entry'!$D842='Visual SPC'!$G$4),OR('Visual SPC'!$I$4="",'Data Entry'!$E842='Visual SPC'!$I$4),OR('Visual SPC'!$K$4="",'Data Entry'!$F842='Visual SPC'!$K$4)),1,0))</f>
        <v/>
      </c>
      <c r="C842">
        <f>C841+B842</f>
        <v/>
      </c>
      <c r="D842">
        <f>IF(B842=1,INDEX('Data Entry'!$H$5:$BE$10004,842-4,'Visual SPC'!$B$3),"")</f>
        <v/>
      </c>
      <c r="E842">
        <f>IF(B842=1,D842,E841)</f>
        <v/>
      </c>
      <c r="F842">
        <f>IF(AND(B842=1,C842&gt;1,E841&lt;&gt;""),ABS(D842-E841),"")</f>
        <v/>
      </c>
    </row>
    <row r="843">
      <c r="A843" t="n">
        <v>843</v>
      </c>
      <c r="B843">
        <f>IF(INDEX('Data Entry'!$H$5:$BE$10004,843-4,'Visual SPC'!$B$3)="",0,IF(AND(OR('Visual SPC'!$C$4="",'Data Entry'!$C843&gt;='Visual SPC'!$C$4),OR('Visual SPC'!$E$4="",'Data Entry'!$C843&lt;='Visual SPC'!$E$4),OR('Visual SPC'!$G$4="",'Data Entry'!$D843='Visual SPC'!$G$4),OR('Visual SPC'!$I$4="",'Data Entry'!$E843='Visual SPC'!$I$4),OR('Visual SPC'!$K$4="",'Data Entry'!$F843='Visual SPC'!$K$4)),1,0))</f>
        <v/>
      </c>
      <c r="C843">
        <f>C842+B843</f>
        <v/>
      </c>
      <c r="D843">
        <f>IF(B843=1,INDEX('Data Entry'!$H$5:$BE$10004,843-4,'Visual SPC'!$B$3),"")</f>
        <v/>
      </c>
      <c r="E843">
        <f>IF(B843=1,D843,E842)</f>
        <v/>
      </c>
      <c r="F843">
        <f>IF(AND(B843=1,C843&gt;1,E842&lt;&gt;""),ABS(D843-E842),"")</f>
        <v/>
      </c>
    </row>
    <row r="844">
      <c r="A844" t="n">
        <v>844</v>
      </c>
      <c r="B844">
        <f>IF(INDEX('Data Entry'!$H$5:$BE$10004,844-4,'Visual SPC'!$B$3)="",0,IF(AND(OR('Visual SPC'!$C$4="",'Data Entry'!$C844&gt;='Visual SPC'!$C$4),OR('Visual SPC'!$E$4="",'Data Entry'!$C844&lt;='Visual SPC'!$E$4),OR('Visual SPC'!$G$4="",'Data Entry'!$D844='Visual SPC'!$G$4),OR('Visual SPC'!$I$4="",'Data Entry'!$E844='Visual SPC'!$I$4),OR('Visual SPC'!$K$4="",'Data Entry'!$F844='Visual SPC'!$K$4)),1,0))</f>
        <v/>
      </c>
      <c r="C844">
        <f>C843+B844</f>
        <v/>
      </c>
      <c r="D844">
        <f>IF(B844=1,INDEX('Data Entry'!$H$5:$BE$10004,844-4,'Visual SPC'!$B$3),"")</f>
        <v/>
      </c>
      <c r="E844">
        <f>IF(B844=1,D844,E843)</f>
        <v/>
      </c>
      <c r="F844">
        <f>IF(AND(B844=1,C844&gt;1,E843&lt;&gt;""),ABS(D844-E843),"")</f>
        <v/>
      </c>
    </row>
    <row r="845">
      <c r="A845" t="n">
        <v>845</v>
      </c>
      <c r="B845">
        <f>IF(INDEX('Data Entry'!$H$5:$BE$10004,845-4,'Visual SPC'!$B$3)="",0,IF(AND(OR('Visual SPC'!$C$4="",'Data Entry'!$C845&gt;='Visual SPC'!$C$4),OR('Visual SPC'!$E$4="",'Data Entry'!$C845&lt;='Visual SPC'!$E$4),OR('Visual SPC'!$G$4="",'Data Entry'!$D845='Visual SPC'!$G$4),OR('Visual SPC'!$I$4="",'Data Entry'!$E845='Visual SPC'!$I$4),OR('Visual SPC'!$K$4="",'Data Entry'!$F845='Visual SPC'!$K$4)),1,0))</f>
        <v/>
      </c>
      <c r="C845">
        <f>C844+B845</f>
        <v/>
      </c>
      <c r="D845">
        <f>IF(B845=1,INDEX('Data Entry'!$H$5:$BE$10004,845-4,'Visual SPC'!$B$3),"")</f>
        <v/>
      </c>
      <c r="E845">
        <f>IF(B845=1,D845,E844)</f>
        <v/>
      </c>
      <c r="F845">
        <f>IF(AND(B845=1,C845&gt;1,E844&lt;&gt;""),ABS(D845-E844),"")</f>
        <v/>
      </c>
    </row>
    <row r="846">
      <c r="A846" t="n">
        <v>846</v>
      </c>
      <c r="B846">
        <f>IF(INDEX('Data Entry'!$H$5:$BE$10004,846-4,'Visual SPC'!$B$3)="",0,IF(AND(OR('Visual SPC'!$C$4="",'Data Entry'!$C846&gt;='Visual SPC'!$C$4),OR('Visual SPC'!$E$4="",'Data Entry'!$C846&lt;='Visual SPC'!$E$4),OR('Visual SPC'!$G$4="",'Data Entry'!$D846='Visual SPC'!$G$4),OR('Visual SPC'!$I$4="",'Data Entry'!$E846='Visual SPC'!$I$4),OR('Visual SPC'!$K$4="",'Data Entry'!$F846='Visual SPC'!$K$4)),1,0))</f>
        <v/>
      </c>
      <c r="C846">
        <f>C845+B846</f>
        <v/>
      </c>
      <c r="D846">
        <f>IF(B846=1,INDEX('Data Entry'!$H$5:$BE$10004,846-4,'Visual SPC'!$B$3),"")</f>
        <v/>
      </c>
      <c r="E846">
        <f>IF(B846=1,D846,E845)</f>
        <v/>
      </c>
      <c r="F846">
        <f>IF(AND(B846=1,C846&gt;1,E845&lt;&gt;""),ABS(D846-E845),"")</f>
        <v/>
      </c>
    </row>
    <row r="847">
      <c r="A847" t="n">
        <v>847</v>
      </c>
      <c r="B847">
        <f>IF(INDEX('Data Entry'!$H$5:$BE$10004,847-4,'Visual SPC'!$B$3)="",0,IF(AND(OR('Visual SPC'!$C$4="",'Data Entry'!$C847&gt;='Visual SPC'!$C$4),OR('Visual SPC'!$E$4="",'Data Entry'!$C847&lt;='Visual SPC'!$E$4),OR('Visual SPC'!$G$4="",'Data Entry'!$D847='Visual SPC'!$G$4),OR('Visual SPC'!$I$4="",'Data Entry'!$E847='Visual SPC'!$I$4),OR('Visual SPC'!$K$4="",'Data Entry'!$F847='Visual SPC'!$K$4)),1,0))</f>
        <v/>
      </c>
      <c r="C847">
        <f>C846+B847</f>
        <v/>
      </c>
      <c r="D847">
        <f>IF(B847=1,INDEX('Data Entry'!$H$5:$BE$10004,847-4,'Visual SPC'!$B$3),"")</f>
        <v/>
      </c>
      <c r="E847">
        <f>IF(B847=1,D847,E846)</f>
        <v/>
      </c>
      <c r="F847">
        <f>IF(AND(B847=1,C847&gt;1,E846&lt;&gt;""),ABS(D847-E846),"")</f>
        <v/>
      </c>
    </row>
    <row r="848">
      <c r="A848" t="n">
        <v>848</v>
      </c>
      <c r="B848">
        <f>IF(INDEX('Data Entry'!$H$5:$BE$10004,848-4,'Visual SPC'!$B$3)="",0,IF(AND(OR('Visual SPC'!$C$4="",'Data Entry'!$C848&gt;='Visual SPC'!$C$4),OR('Visual SPC'!$E$4="",'Data Entry'!$C848&lt;='Visual SPC'!$E$4),OR('Visual SPC'!$G$4="",'Data Entry'!$D848='Visual SPC'!$G$4),OR('Visual SPC'!$I$4="",'Data Entry'!$E848='Visual SPC'!$I$4),OR('Visual SPC'!$K$4="",'Data Entry'!$F848='Visual SPC'!$K$4)),1,0))</f>
        <v/>
      </c>
      <c r="C848">
        <f>C847+B848</f>
        <v/>
      </c>
      <c r="D848">
        <f>IF(B848=1,INDEX('Data Entry'!$H$5:$BE$10004,848-4,'Visual SPC'!$B$3),"")</f>
        <v/>
      </c>
      <c r="E848">
        <f>IF(B848=1,D848,E847)</f>
        <v/>
      </c>
      <c r="F848">
        <f>IF(AND(B848=1,C848&gt;1,E847&lt;&gt;""),ABS(D848-E847),"")</f>
        <v/>
      </c>
    </row>
    <row r="849">
      <c r="A849" t="n">
        <v>849</v>
      </c>
      <c r="B849">
        <f>IF(INDEX('Data Entry'!$H$5:$BE$10004,849-4,'Visual SPC'!$B$3)="",0,IF(AND(OR('Visual SPC'!$C$4="",'Data Entry'!$C849&gt;='Visual SPC'!$C$4),OR('Visual SPC'!$E$4="",'Data Entry'!$C849&lt;='Visual SPC'!$E$4),OR('Visual SPC'!$G$4="",'Data Entry'!$D849='Visual SPC'!$G$4),OR('Visual SPC'!$I$4="",'Data Entry'!$E849='Visual SPC'!$I$4),OR('Visual SPC'!$K$4="",'Data Entry'!$F849='Visual SPC'!$K$4)),1,0))</f>
        <v/>
      </c>
      <c r="C849">
        <f>C848+B849</f>
        <v/>
      </c>
      <c r="D849">
        <f>IF(B849=1,INDEX('Data Entry'!$H$5:$BE$10004,849-4,'Visual SPC'!$B$3),"")</f>
        <v/>
      </c>
      <c r="E849">
        <f>IF(B849=1,D849,E848)</f>
        <v/>
      </c>
      <c r="F849">
        <f>IF(AND(B849=1,C849&gt;1,E848&lt;&gt;""),ABS(D849-E848),"")</f>
        <v/>
      </c>
    </row>
    <row r="850">
      <c r="A850" t="n">
        <v>850</v>
      </c>
      <c r="B850">
        <f>IF(INDEX('Data Entry'!$H$5:$BE$10004,850-4,'Visual SPC'!$B$3)="",0,IF(AND(OR('Visual SPC'!$C$4="",'Data Entry'!$C850&gt;='Visual SPC'!$C$4),OR('Visual SPC'!$E$4="",'Data Entry'!$C850&lt;='Visual SPC'!$E$4),OR('Visual SPC'!$G$4="",'Data Entry'!$D850='Visual SPC'!$G$4),OR('Visual SPC'!$I$4="",'Data Entry'!$E850='Visual SPC'!$I$4),OR('Visual SPC'!$K$4="",'Data Entry'!$F850='Visual SPC'!$K$4)),1,0))</f>
        <v/>
      </c>
      <c r="C850">
        <f>C849+B850</f>
        <v/>
      </c>
      <c r="D850">
        <f>IF(B850=1,INDEX('Data Entry'!$H$5:$BE$10004,850-4,'Visual SPC'!$B$3),"")</f>
        <v/>
      </c>
      <c r="E850">
        <f>IF(B850=1,D850,E849)</f>
        <v/>
      </c>
      <c r="F850">
        <f>IF(AND(B850=1,C850&gt;1,E849&lt;&gt;""),ABS(D850-E849),"")</f>
        <v/>
      </c>
    </row>
    <row r="851">
      <c r="A851" t="n">
        <v>851</v>
      </c>
      <c r="B851">
        <f>IF(INDEX('Data Entry'!$H$5:$BE$10004,851-4,'Visual SPC'!$B$3)="",0,IF(AND(OR('Visual SPC'!$C$4="",'Data Entry'!$C851&gt;='Visual SPC'!$C$4),OR('Visual SPC'!$E$4="",'Data Entry'!$C851&lt;='Visual SPC'!$E$4),OR('Visual SPC'!$G$4="",'Data Entry'!$D851='Visual SPC'!$G$4),OR('Visual SPC'!$I$4="",'Data Entry'!$E851='Visual SPC'!$I$4),OR('Visual SPC'!$K$4="",'Data Entry'!$F851='Visual SPC'!$K$4)),1,0))</f>
        <v/>
      </c>
      <c r="C851">
        <f>C850+B851</f>
        <v/>
      </c>
      <c r="D851">
        <f>IF(B851=1,INDEX('Data Entry'!$H$5:$BE$10004,851-4,'Visual SPC'!$B$3),"")</f>
        <v/>
      </c>
      <c r="E851">
        <f>IF(B851=1,D851,E850)</f>
        <v/>
      </c>
      <c r="F851">
        <f>IF(AND(B851=1,C851&gt;1,E850&lt;&gt;""),ABS(D851-E850),"")</f>
        <v/>
      </c>
    </row>
    <row r="852">
      <c r="A852" t="n">
        <v>852</v>
      </c>
      <c r="B852">
        <f>IF(INDEX('Data Entry'!$H$5:$BE$10004,852-4,'Visual SPC'!$B$3)="",0,IF(AND(OR('Visual SPC'!$C$4="",'Data Entry'!$C852&gt;='Visual SPC'!$C$4),OR('Visual SPC'!$E$4="",'Data Entry'!$C852&lt;='Visual SPC'!$E$4),OR('Visual SPC'!$G$4="",'Data Entry'!$D852='Visual SPC'!$G$4),OR('Visual SPC'!$I$4="",'Data Entry'!$E852='Visual SPC'!$I$4),OR('Visual SPC'!$K$4="",'Data Entry'!$F852='Visual SPC'!$K$4)),1,0))</f>
        <v/>
      </c>
      <c r="C852">
        <f>C851+B852</f>
        <v/>
      </c>
      <c r="D852">
        <f>IF(B852=1,INDEX('Data Entry'!$H$5:$BE$10004,852-4,'Visual SPC'!$B$3),"")</f>
        <v/>
      </c>
      <c r="E852">
        <f>IF(B852=1,D852,E851)</f>
        <v/>
      </c>
      <c r="F852">
        <f>IF(AND(B852=1,C852&gt;1,E851&lt;&gt;""),ABS(D852-E851),"")</f>
        <v/>
      </c>
    </row>
    <row r="853">
      <c r="A853" t="n">
        <v>853</v>
      </c>
      <c r="B853">
        <f>IF(INDEX('Data Entry'!$H$5:$BE$10004,853-4,'Visual SPC'!$B$3)="",0,IF(AND(OR('Visual SPC'!$C$4="",'Data Entry'!$C853&gt;='Visual SPC'!$C$4),OR('Visual SPC'!$E$4="",'Data Entry'!$C853&lt;='Visual SPC'!$E$4),OR('Visual SPC'!$G$4="",'Data Entry'!$D853='Visual SPC'!$G$4),OR('Visual SPC'!$I$4="",'Data Entry'!$E853='Visual SPC'!$I$4),OR('Visual SPC'!$K$4="",'Data Entry'!$F853='Visual SPC'!$K$4)),1,0))</f>
        <v/>
      </c>
      <c r="C853">
        <f>C852+B853</f>
        <v/>
      </c>
      <c r="D853">
        <f>IF(B853=1,INDEX('Data Entry'!$H$5:$BE$10004,853-4,'Visual SPC'!$B$3),"")</f>
        <v/>
      </c>
      <c r="E853">
        <f>IF(B853=1,D853,E852)</f>
        <v/>
      </c>
      <c r="F853">
        <f>IF(AND(B853=1,C853&gt;1,E852&lt;&gt;""),ABS(D853-E852),"")</f>
        <v/>
      </c>
    </row>
    <row r="854">
      <c r="A854" t="n">
        <v>854</v>
      </c>
      <c r="B854">
        <f>IF(INDEX('Data Entry'!$H$5:$BE$10004,854-4,'Visual SPC'!$B$3)="",0,IF(AND(OR('Visual SPC'!$C$4="",'Data Entry'!$C854&gt;='Visual SPC'!$C$4),OR('Visual SPC'!$E$4="",'Data Entry'!$C854&lt;='Visual SPC'!$E$4),OR('Visual SPC'!$G$4="",'Data Entry'!$D854='Visual SPC'!$G$4),OR('Visual SPC'!$I$4="",'Data Entry'!$E854='Visual SPC'!$I$4),OR('Visual SPC'!$K$4="",'Data Entry'!$F854='Visual SPC'!$K$4)),1,0))</f>
        <v/>
      </c>
      <c r="C854">
        <f>C853+B854</f>
        <v/>
      </c>
      <c r="D854">
        <f>IF(B854=1,INDEX('Data Entry'!$H$5:$BE$10004,854-4,'Visual SPC'!$B$3),"")</f>
        <v/>
      </c>
      <c r="E854">
        <f>IF(B854=1,D854,E853)</f>
        <v/>
      </c>
      <c r="F854">
        <f>IF(AND(B854=1,C854&gt;1,E853&lt;&gt;""),ABS(D854-E853),"")</f>
        <v/>
      </c>
    </row>
    <row r="855">
      <c r="A855" t="n">
        <v>855</v>
      </c>
      <c r="B855">
        <f>IF(INDEX('Data Entry'!$H$5:$BE$10004,855-4,'Visual SPC'!$B$3)="",0,IF(AND(OR('Visual SPC'!$C$4="",'Data Entry'!$C855&gt;='Visual SPC'!$C$4),OR('Visual SPC'!$E$4="",'Data Entry'!$C855&lt;='Visual SPC'!$E$4),OR('Visual SPC'!$G$4="",'Data Entry'!$D855='Visual SPC'!$G$4),OR('Visual SPC'!$I$4="",'Data Entry'!$E855='Visual SPC'!$I$4),OR('Visual SPC'!$K$4="",'Data Entry'!$F855='Visual SPC'!$K$4)),1,0))</f>
        <v/>
      </c>
      <c r="C855">
        <f>C854+B855</f>
        <v/>
      </c>
      <c r="D855">
        <f>IF(B855=1,INDEX('Data Entry'!$H$5:$BE$10004,855-4,'Visual SPC'!$B$3),"")</f>
        <v/>
      </c>
      <c r="E855">
        <f>IF(B855=1,D855,E854)</f>
        <v/>
      </c>
      <c r="F855">
        <f>IF(AND(B855=1,C855&gt;1,E854&lt;&gt;""),ABS(D855-E854),"")</f>
        <v/>
      </c>
    </row>
    <row r="856">
      <c r="A856" t="n">
        <v>856</v>
      </c>
      <c r="B856">
        <f>IF(INDEX('Data Entry'!$H$5:$BE$10004,856-4,'Visual SPC'!$B$3)="",0,IF(AND(OR('Visual SPC'!$C$4="",'Data Entry'!$C856&gt;='Visual SPC'!$C$4),OR('Visual SPC'!$E$4="",'Data Entry'!$C856&lt;='Visual SPC'!$E$4),OR('Visual SPC'!$G$4="",'Data Entry'!$D856='Visual SPC'!$G$4),OR('Visual SPC'!$I$4="",'Data Entry'!$E856='Visual SPC'!$I$4),OR('Visual SPC'!$K$4="",'Data Entry'!$F856='Visual SPC'!$K$4)),1,0))</f>
        <v/>
      </c>
      <c r="C856">
        <f>C855+B856</f>
        <v/>
      </c>
      <c r="D856">
        <f>IF(B856=1,INDEX('Data Entry'!$H$5:$BE$10004,856-4,'Visual SPC'!$B$3),"")</f>
        <v/>
      </c>
      <c r="E856">
        <f>IF(B856=1,D856,E855)</f>
        <v/>
      </c>
      <c r="F856">
        <f>IF(AND(B856=1,C856&gt;1,E855&lt;&gt;""),ABS(D856-E855),"")</f>
        <v/>
      </c>
    </row>
    <row r="857">
      <c r="A857" t="n">
        <v>857</v>
      </c>
      <c r="B857">
        <f>IF(INDEX('Data Entry'!$H$5:$BE$10004,857-4,'Visual SPC'!$B$3)="",0,IF(AND(OR('Visual SPC'!$C$4="",'Data Entry'!$C857&gt;='Visual SPC'!$C$4),OR('Visual SPC'!$E$4="",'Data Entry'!$C857&lt;='Visual SPC'!$E$4),OR('Visual SPC'!$G$4="",'Data Entry'!$D857='Visual SPC'!$G$4),OR('Visual SPC'!$I$4="",'Data Entry'!$E857='Visual SPC'!$I$4),OR('Visual SPC'!$K$4="",'Data Entry'!$F857='Visual SPC'!$K$4)),1,0))</f>
        <v/>
      </c>
      <c r="C857">
        <f>C856+B857</f>
        <v/>
      </c>
      <c r="D857">
        <f>IF(B857=1,INDEX('Data Entry'!$H$5:$BE$10004,857-4,'Visual SPC'!$B$3),"")</f>
        <v/>
      </c>
      <c r="E857">
        <f>IF(B857=1,D857,E856)</f>
        <v/>
      </c>
      <c r="F857">
        <f>IF(AND(B857=1,C857&gt;1,E856&lt;&gt;""),ABS(D857-E856),"")</f>
        <v/>
      </c>
    </row>
    <row r="858">
      <c r="A858" t="n">
        <v>858</v>
      </c>
      <c r="B858">
        <f>IF(INDEX('Data Entry'!$H$5:$BE$10004,858-4,'Visual SPC'!$B$3)="",0,IF(AND(OR('Visual SPC'!$C$4="",'Data Entry'!$C858&gt;='Visual SPC'!$C$4),OR('Visual SPC'!$E$4="",'Data Entry'!$C858&lt;='Visual SPC'!$E$4),OR('Visual SPC'!$G$4="",'Data Entry'!$D858='Visual SPC'!$G$4),OR('Visual SPC'!$I$4="",'Data Entry'!$E858='Visual SPC'!$I$4),OR('Visual SPC'!$K$4="",'Data Entry'!$F858='Visual SPC'!$K$4)),1,0))</f>
        <v/>
      </c>
      <c r="C858">
        <f>C857+B858</f>
        <v/>
      </c>
      <c r="D858">
        <f>IF(B858=1,INDEX('Data Entry'!$H$5:$BE$10004,858-4,'Visual SPC'!$B$3),"")</f>
        <v/>
      </c>
      <c r="E858">
        <f>IF(B858=1,D858,E857)</f>
        <v/>
      </c>
      <c r="F858">
        <f>IF(AND(B858=1,C858&gt;1,E857&lt;&gt;""),ABS(D858-E857),"")</f>
        <v/>
      </c>
    </row>
    <row r="859">
      <c r="A859" t="n">
        <v>859</v>
      </c>
      <c r="B859">
        <f>IF(INDEX('Data Entry'!$H$5:$BE$10004,859-4,'Visual SPC'!$B$3)="",0,IF(AND(OR('Visual SPC'!$C$4="",'Data Entry'!$C859&gt;='Visual SPC'!$C$4),OR('Visual SPC'!$E$4="",'Data Entry'!$C859&lt;='Visual SPC'!$E$4),OR('Visual SPC'!$G$4="",'Data Entry'!$D859='Visual SPC'!$G$4),OR('Visual SPC'!$I$4="",'Data Entry'!$E859='Visual SPC'!$I$4),OR('Visual SPC'!$K$4="",'Data Entry'!$F859='Visual SPC'!$K$4)),1,0))</f>
        <v/>
      </c>
      <c r="C859">
        <f>C858+B859</f>
        <v/>
      </c>
      <c r="D859">
        <f>IF(B859=1,INDEX('Data Entry'!$H$5:$BE$10004,859-4,'Visual SPC'!$B$3),"")</f>
        <v/>
      </c>
      <c r="E859">
        <f>IF(B859=1,D859,E858)</f>
        <v/>
      </c>
      <c r="F859">
        <f>IF(AND(B859=1,C859&gt;1,E858&lt;&gt;""),ABS(D859-E858),"")</f>
        <v/>
      </c>
    </row>
    <row r="860">
      <c r="A860" t="n">
        <v>860</v>
      </c>
      <c r="B860">
        <f>IF(INDEX('Data Entry'!$H$5:$BE$10004,860-4,'Visual SPC'!$B$3)="",0,IF(AND(OR('Visual SPC'!$C$4="",'Data Entry'!$C860&gt;='Visual SPC'!$C$4),OR('Visual SPC'!$E$4="",'Data Entry'!$C860&lt;='Visual SPC'!$E$4),OR('Visual SPC'!$G$4="",'Data Entry'!$D860='Visual SPC'!$G$4),OR('Visual SPC'!$I$4="",'Data Entry'!$E860='Visual SPC'!$I$4),OR('Visual SPC'!$K$4="",'Data Entry'!$F860='Visual SPC'!$K$4)),1,0))</f>
        <v/>
      </c>
      <c r="C860">
        <f>C859+B860</f>
        <v/>
      </c>
      <c r="D860">
        <f>IF(B860=1,INDEX('Data Entry'!$H$5:$BE$10004,860-4,'Visual SPC'!$B$3),"")</f>
        <v/>
      </c>
      <c r="E860">
        <f>IF(B860=1,D860,E859)</f>
        <v/>
      </c>
      <c r="F860">
        <f>IF(AND(B860=1,C860&gt;1,E859&lt;&gt;""),ABS(D860-E859),"")</f>
        <v/>
      </c>
    </row>
    <row r="861">
      <c r="A861" t="n">
        <v>861</v>
      </c>
      <c r="B861">
        <f>IF(INDEX('Data Entry'!$H$5:$BE$10004,861-4,'Visual SPC'!$B$3)="",0,IF(AND(OR('Visual SPC'!$C$4="",'Data Entry'!$C861&gt;='Visual SPC'!$C$4),OR('Visual SPC'!$E$4="",'Data Entry'!$C861&lt;='Visual SPC'!$E$4),OR('Visual SPC'!$G$4="",'Data Entry'!$D861='Visual SPC'!$G$4),OR('Visual SPC'!$I$4="",'Data Entry'!$E861='Visual SPC'!$I$4),OR('Visual SPC'!$K$4="",'Data Entry'!$F861='Visual SPC'!$K$4)),1,0))</f>
        <v/>
      </c>
      <c r="C861">
        <f>C860+B861</f>
        <v/>
      </c>
      <c r="D861">
        <f>IF(B861=1,INDEX('Data Entry'!$H$5:$BE$10004,861-4,'Visual SPC'!$B$3),"")</f>
        <v/>
      </c>
      <c r="E861">
        <f>IF(B861=1,D861,E860)</f>
        <v/>
      </c>
      <c r="F861">
        <f>IF(AND(B861=1,C861&gt;1,E860&lt;&gt;""),ABS(D861-E860),"")</f>
        <v/>
      </c>
    </row>
    <row r="862">
      <c r="A862" t="n">
        <v>862</v>
      </c>
      <c r="B862">
        <f>IF(INDEX('Data Entry'!$H$5:$BE$10004,862-4,'Visual SPC'!$B$3)="",0,IF(AND(OR('Visual SPC'!$C$4="",'Data Entry'!$C862&gt;='Visual SPC'!$C$4),OR('Visual SPC'!$E$4="",'Data Entry'!$C862&lt;='Visual SPC'!$E$4),OR('Visual SPC'!$G$4="",'Data Entry'!$D862='Visual SPC'!$G$4),OR('Visual SPC'!$I$4="",'Data Entry'!$E862='Visual SPC'!$I$4),OR('Visual SPC'!$K$4="",'Data Entry'!$F862='Visual SPC'!$K$4)),1,0))</f>
        <v/>
      </c>
      <c r="C862">
        <f>C861+B862</f>
        <v/>
      </c>
      <c r="D862">
        <f>IF(B862=1,INDEX('Data Entry'!$H$5:$BE$10004,862-4,'Visual SPC'!$B$3),"")</f>
        <v/>
      </c>
      <c r="E862">
        <f>IF(B862=1,D862,E861)</f>
        <v/>
      </c>
      <c r="F862">
        <f>IF(AND(B862=1,C862&gt;1,E861&lt;&gt;""),ABS(D862-E861),"")</f>
        <v/>
      </c>
    </row>
    <row r="863">
      <c r="A863" t="n">
        <v>863</v>
      </c>
      <c r="B863">
        <f>IF(INDEX('Data Entry'!$H$5:$BE$10004,863-4,'Visual SPC'!$B$3)="",0,IF(AND(OR('Visual SPC'!$C$4="",'Data Entry'!$C863&gt;='Visual SPC'!$C$4),OR('Visual SPC'!$E$4="",'Data Entry'!$C863&lt;='Visual SPC'!$E$4),OR('Visual SPC'!$G$4="",'Data Entry'!$D863='Visual SPC'!$G$4),OR('Visual SPC'!$I$4="",'Data Entry'!$E863='Visual SPC'!$I$4),OR('Visual SPC'!$K$4="",'Data Entry'!$F863='Visual SPC'!$K$4)),1,0))</f>
        <v/>
      </c>
      <c r="C863">
        <f>C862+B863</f>
        <v/>
      </c>
      <c r="D863">
        <f>IF(B863=1,INDEX('Data Entry'!$H$5:$BE$10004,863-4,'Visual SPC'!$B$3),"")</f>
        <v/>
      </c>
      <c r="E863">
        <f>IF(B863=1,D863,E862)</f>
        <v/>
      </c>
      <c r="F863">
        <f>IF(AND(B863=1,C863&gt;1,E862&lt;&gt;""),ABS(D863-E862),"")</f>
        <v/>
      </c>
    </row>
    <row r="864">
      <c r="A864" t="n">
        <v>864</v>
      </c>
      <c r="B864">
        <f>IF(INDEX('Data Entry'!$H$5:$BE$10004,864-4,'Visual SPC'!$B$3)="",0,IF(AND(OR('Visual SPC'!$C$4="",'Data Entry'!$C864&gt;='Visual SPC'!$C$4),OR('Visual SPC'!$E$4="",'Data Entry'!$C864&lt;='Visual SPC'!$E$4),OR('Visual SPC'!$G$4="",'Data Entry'!$D864='Visual SPC'!$G$4),OR('Visual SPC'!$I$4="",'Data Entry'!$E864='Visual SPC'!$I$4),OR('Visual SPC'!$K$4="",'Data Entry'!$F864='Visual SPC'!$K$4)),1,0))</f>
        <v/>
      </c>
      <c r="C864">
        <f>C863+B864</f>
        <v/>
      </c>
      <c r="D864">
        <f>IF(B864=1,INDEX('Data Entry'!$H$5:$BE$10004,864-4,'Visual SPC'!$B$3),"")</f>
        <v/>
      </c>
      <c r="E864">
        <f>IF(B864=1,D864,E863)</f>
        <v/>
      </c>
      <c r="F864">
        <f>IF(AND(B864=1,C864&gt;1,E863&lt;&gt;""),ABS(D864-E863),"")</f>
        <v/>
      </c>
    </row>
    <row r="865">
      <c r="A865" t="n">
        <v>865</v>
      </c>
      <c r="B865">
        <f>IF(INDEX('Data Entry'!$H$5:$BE$10004,865-4,'Visual SPC'!$B$3)="",0,IF(AND(OR('Visual SPC'!$C$4="",'Data Entry'!$C865&gt;='Visual SPC'!$C$4),OR('Visual SPC'!$E$4="",'Data Entry'!$C865&lt;='Visual SPC'!$E$4),OR('Visual SPC'!$G$4="",'Data Entry'!$D865='Visual SPC'!$G$4),OR('Visual SPC'!$I$4="",'Data Entry'!$E865='Visual SPC'!$I$4),OR('Visual SPC'!$K$4="",'Data Entry'!$F865='Visual SPC'!$K$4)),1,0))</f>
        <v/>
      </c>
      <c r="C865">
        <f>C864+B865</f>
        <v/>
      </c>
      <c r="D865">
        <f>IF(B865=1,INDEX('Data Entry'!$H$5:$BE$10004,865-4,'Visual SPC'!$B$3),"")</f>
        <v/>
      </c>
      <c r="E865">
        <f>IF(B865=1,D865,E864)</f>
        <v/>
      </c>
      <c r="F865">
        <f>IF(AND(B865=1,C865&gt;1,E864&lt;&gt;""),ABS(D865-E864),"")</f>
        <v/>
      </c>
    </row>
    <row r="866">
      <c r="A866" t="n">
        <v>866</v>
      </c>
      <c r="B866">
        <f>IF(INDEX('Data Entry'!$H$5:$BE$10004,866-4,'Visual SPC'!$B$3)="",0,IF(AND(OR('Visual SPC'!$C$4="",'Data Entry'!$C866&gt;='Visual SPC'!$C$4),OR('Visual SPC'!$E$4="",'Data Entry'!$C866&lt;='Visual SPC'!$E$4),OR('Visual SPC'!$G$4="",'Data Entry'!$D866='Visual SPC'!$G$4),OR('Visual SPC'!$I$4="",'Data Entry'!$E866='Visual SPC'!$I$4),OR('Visual SPC'!$K$4="",'Data Entry'!$F866='Visual SPC'!$K$4)),1,0))</f>
        <v/>
      </c>
      <c r="C866">
        <f>C865+B866</f>
        <v/>
      </c>
      <c r="D866">
        <f>IF(B866=1,INDEX('Data Entry'!$H$5:$BE$10004,866-4,'Visual SPC'!$B$3),"")</f>
        <v/>
      </c>
      <c r="E866">
        <f>IF(B866=1,D866,E865)</f>
        <v/>
      </c>
      <c r="F866">
        <f>IF(AND(B866=1,C866&gt;1,E865&lt;&gt;""),ABS(D866-E865),"")</f>
        <v/>
      </c>
    </row>
    <row r="867">
      <c r="A867" t="n">
        <v>867</v>
      </c>
      <c r="B867">
        <f>IF(INDEX('Data Entry'!$H$5:$BE$10004,867-4,'Visual SPC'!$B$3)="",0,IF(AND(OR('Visual SPC'!$C$4="",'Data Entry'!$C867&gt;='Visual SPC'!$C$4),OR('Visual SPC'!$E$4="",'Data Entry'!$C867&lt;='Visual SPC'!$E$4),OR('Visual SPC'!$G$4="",'Data Entry'!$D867='Visual SPC'!$G$4),OR('Visual SPC'!$I$4="",'Data Entry'!$E867='Visual SPC'!$I$4),OR('Visual SPC'!$K$4="",'Data Entry'!$F867='Visual SPC'!$K$4)),1,0))</f>
        <v/>
      </c>
      <c r="C867">
        <f>C866+B867</f>
        <v/>
      </c>
      <c r="D867">
        <f>IF(B867=1,INDEX('Data Entry'!$H$5:$BE$10004,867-4,'Visual SPC'!$B$3),"")</f>
        <v/>
      </c>
      <c r="E867">
        <f>IF(B867=1,D867,E866)</f>
        <v/>
      </c>
      <c r="F867">
        <f>IF(AND(B867=1,C867&gt;1,E866&lt;&gt;""),ABS(D867-E866),"")</f>
        <v/>
      </c>
    </row>
    <row r="868">
      <c r="A868" t="n">
        <v>868</v>
      </c>
      <c r="B868">
        <f>IF(INDEX('Data Entry'!$H$5:$BE$10004,868-4,'Visual SPC'!$B$3)="",0,IF(AND(OR('Visual SPC'!$C$4="",'Data Entry'!$C868&gt;='Visual SPC'!$C$4),OR('Visual SPC'!$E$4="",'Data Entry'!$C868&lt;='Visual SPC'!$E$4),OR('Visual SPC'!$G$4="",'Data Entry'!$D868='Visual SPC'!$G$4),OR('Visual SPC'!$I$4="",'Data Entry'!$E868='Visual SPC'!$I$4),OR('Visual SPC'!$K$4="",'Data Entry'!$F868='Visual SPC'!$K$4)),1,0))</f>
        <v/>
      </c>
      <c r="C868">
        <f>C867+B868</f>
        <v/>
      </c>
      <c r="D868">
        <f>IF(B868=1,INDEX('Data Entry'!$H$5:$BE$10004,868-4,'Visual SPC'!$B$3),"")</f>
        <v/>
      </c>
      <c r="E868">
        <f>IF(B868=1,D868,E867)</f>
        <v/>
      </c>
      <c r="F868">
        <f>IF(AND(B868=1,C868&gt;1,E867&lt;&gt;""),ABS(D868-E867),"")</f>
        <v/>
      </c>
    </row>
    <row r="869">
      <c r="A869" t="n">
        <v>869</v>
      </c>
      <c r="B869">
        <f>IF(INDEX('Data Entry'!$H$5:$BE$10004,869-4,'Visual SPC'!$B$3)="",0,IF(AND(OR('Visual SPC'!$C$4="",'Data Entry'!$C869&gt;='Visual SPC'!$C$4),OR('Visual SPC'!$E$4="",'Data Entry'!$C869&lt;='Visual SPC'!$E$4),OR('Visual SPC'!$G$4="",'Data Entry'!$D869='Visual SPC'!$G$4),OR('Visual SPC'!$I$4="",'Data Entry'!$E869='Visual SPC'!$I$4),OR('Visual SPC'!$K$4="",'Data Entry'!$F869='Visual SPC'!$K$4)),1,0))</f>
        <v/>
      </c>
      <c r="C869">
        <f>C868+B869</f>
        <v/>
      </c>
      <c r="D869">
        <f>IF(B869=1,INDEX('Data Entry'!$H$5:$BE$10004,869-4,'Visual SPC'!$B$3),"")</f>
        <v/>
      </c>
      <c r="E869">
        <f>IF(B869=1,D869,E868)</f>
        <v/>
      </c>
      <c r="F869">
        <f>IF(AND(B869=1,C869&gt;1,E868&lt;&gt;""),ABS(D869-E868),"")</f>
        <v/>
      </c>
    </row>
    <row r="870">
      <c r="A870" t="n">
        <v>870</v>
      </c>
      <c r="B870">
        <f>IF(INDEX('Data Entry'!$H$5:$BE$10004,870-4,'Visual SPC'!$B$3)="",0,IF(AND(OR('Visual SPC'!$C$4="",'Data Entry'!$C870&gt;='Visual SPC'!$C$4),OR('Visual SPC'!$E$4="",'Data Entry'!$C870&lt;='Visual SPC'!$E$4),OR('Visual SPC'!$G$4="",'Data Entry'!$D870='Visual SPC'!$G$4),OR('Visual SPC'!$I$4="",'Data Entry'!$E870='Visual SPC'!$I$4),OR('Visual SPC'!$K$4="",'Data Entry'!$F870='Visual SPC'!$K$4)),1,0))</f>
        <v/>
      </c>
      <c r="C870">
        <f>C869+B870</f>
        <v/>
      </c>
      <c r="D870">
        <f>IF(B870=1,INDEX('Data Entry'!$H$5:$BE$10004,870-4,'Visual SPC'!$B$3),"")</f>
        <v/>
      </c>
      <c r="E870">
        <f>IF(B870=1,D870,E869)</f>
        <v/>
      </c>
      <c r="F870">
        <f>IF(AND(B870=1,C870&gt;1,E869&lt;&gt;""),ABS(D870-E869),"")</f>
        <v/>
      </c>
    </row>
    <row r="871">
      <c r="A871" t="n">
        <v>871</v>
      </c>
      <c r="B871">
        <f>IF(INDEX('Data Entry'!$H$5:$BE$10004,871-4,'Visual SPC'!$B$3)="",0,IF(AND(OR('Visual SPC'!$C$4="",'Data Entry'!$C871&gt;='Visual SPC'!$C$4),OR('Visual SPC'!$E$4="",'Data Entry'!$C871&lt;='Visual SPC'!$E$4),OR('Visual SPC'!$G$4="",'Data Entry'!$D871='Visual SPC'!$G$4),OR('Visual SPC'!$I$4="",'Data Entry'!$E871='Visual SPC'!$I$4),OR('Visual SPC'!$K$4="",'Data Entry'!$F871='Visual SPC'!$K$4)),1,0))</f>
        <v/>
      </c>
      <c r="C871">
        <f>C870+B871</f>
        <v/>
      </c>
      <c r="D871">
        <f>IF(B871=1,INDEX('Data Entry'!$H$5:$BE$10004,871-4,'Visual SPC'!$B$3),"")</f>
        <v/>
      </c>
      <c r="E871">
        <f>IF(B871=1,D871,E870)</f>
        <v/>
      </c>
      <c r="F871">
        <f>IF(AND(B871=1,C871&gt;1,E870&lt;&gt;""),ABS(D871-E870),"")</f>
        <v/>
      </c>
    </row>
    <row r="872">
      <c r="A872" t="n">
        <v>872</v>
      </c>
      <c r="B872">
        <f>IF(INDEX('Data Entry'!$H$5:$BE$10004,872-4,'Visual SPC'!$B$3)="",0,IF(AND(OR('Visual SPC'!$C$4="",'Data Entry'!$C872&gt;='Visual SPC'!$C$4),OR('Visual SPC'!$E$4="",'Data Entry'!$C872&lt;='Visual SPC'!$E$4),OR('Visual SPC'!$G$4="",'Data Entry'!$D872='Visual SPC'!$G$4),OR('Visual SPC'!$I$4="",'Data Entry'!$E872='Visual SPC'!$I$4),OR('Visual SPC'!$K$4="",'Data Entry'!$F872='Visual SPC'!$K$4)),1,0))</f>
        <v/>
      </c>
      <c r="C872">
        <f>C871+B872</f>
        <v/>
      </c>
      <c r="D872">
        <f>IF(B872=1,INDEX('Data Entry'!$H$5:$BE$10004,872-4,'Visual SPC'!$B$3),"")</f>
        <v/>
      </c>
      <c r="E872">
        <f>IF(B872=1,D872,E871)</f>
        <v/>
      </c>
      <c r="F872">
        <f>IF(AND(B872=1,C872&gt;1,E871&lt;&gt;""),ABS(D872-E871),"")</f>
        <v/>
      </c>
    </row>
    <row r="873">
      <c r="A873" t="n">
        <v>873</v>
      </c>
      <c r="B873">
        <f>IF(INDEX('Data Entry'!$H$5:$BE$10004,873-4,'Visual SPC'!$B$3)="",0,IF(AND(OR('Visual SPC'!$C$4="",'Data Entry'!$C873&gt;='Visual SPC'!$C$4),OR('Visual SPC'!$E$4="",'Data Entry'!$C873&lt;='Visual SPC'!$E$4),OR('Visual SPC'!$G$4="",'Data Entry'!$D873='Visual SPC'!$G$4),OR('Visual SPC'!$I$4="",'Data Entry'!$E873='Visual SPC'!$I$4),OR('Visual SPC'!$K$4="",'Data Entry'!$F873='Visual SPC'!$K$4)),1,0))</f>
        <v/>
      </c>
      <c r="C873">
        <f>C872+B873</f>
        <v/>
      </c>
      <c r="D873">
        <f>IF(B873=1,INDEX('Data Entry'!$H$5:$BE$10004,873-4,'Visual SPC'!$B$3),"")</f>
        <v/>
      </c>
      <c r="E873">
        <f>IF(B873=1,D873,E872)</f>
        <v/>
      </c>
      <c r="F873">
        <f>IF(AND(B873=1,C873&gt;1,E872&lt;&gt;""),ABS(D873-E872),"")</f>
        <v/>
      </c>
    </row>
    <row r="874">
      <c r="A874" t="n">
        <v>874</v>
      </c>
      <c r="B874">
        <f>IF(INDEX('Data Entry'!$H$5:$BE$10004,874-4,'Visual SPC'!$B$3)="",0,IF(AND(OR('Visual SPC'!$C$4="",'Data Entry'!$C874&gt;='Visual SPC'!$C$4),OR('Visual SPC'!$E$4="",'Data Entry'!$C874&lt;='Visual SPC'!$E$4),OR('Visual SPC'!$G$4="",'Data Entry'!$D874='Visual SPC'!$G$4),OR('Visual SPC'!$I$4="",'Data Entry'!$E874='Visual SPC'!$I$4),OR('Visual SPC'!$K$4="",'Data Entry'!$F874='Visual SPC'!$K$4)),1,0))</f>
        <v/>
      </c>
      <c r="C874">
        <f>C873+B874</f>
        <v/>
      </c>
      <c r="D874">
        <f>IF(B874=1,INDEX('Data Entry'!$H$5:$BE$10004,874-4,'Visual SPC'!$B$3),"")</f>
        <v/>
      </c>
      <c r="E874">
        <f>IF(B874=1,D874,E873)</f>
        <v/>
      </c>
      <c r="F874">
        <f>IF(AND(B874=1,C874&gt;1,E873&lt;&gt;""),ABS(D874-E873),"")</f>
        <v/>
      </c>
    </row>
    <row r="875">
      <c r="A875" t="n">
        <v>875</v>
      </c>
      <c r="B875">
        <f>IF(INDEX('Data Entry'!$H$5:$BE$10004,875-4,'Visual SPC'!$B$3)="",0,IF(AND(OR('Visual SPC'!$C$4="",'Data Entry'!$C875&gt;='Visual SPC'!$C$4),OR('Visual SPC'!$E$4="",'Data Entry'!$C875&lt;='Visual SPC'!$E$4),OR('Visual SPC'!$G$4="",'Data Entry'!$D875='Visual SPC'!$G$4),OR('Visual SPC'!$I$4="",'Data Entry'!$E875='Visual SPC'!$I$4),OR('Visual SPC'!$K$4="",'Data Entry'!$F875='Visual SPC'!$K$4)),1,0))</f>
        <v/>
      </c>
      <c r="C875">
        <f>C874+B875</f>
        <v/>
      </c>
      <c r="D875">
        <f>IF(B875=1,INDEX('Data Entry'!$H$5:$BE$10004,875-4,'Visual SPC'!$B$3),"")</f>
        <v/>
      </c>
      <c r="E875">
        <f>IF(B875=1,D875,E874)</f>
        <v/>
      </c>
      <c r="F875">
        <f>IF(AND(B875=1,C875&gt;1,E874&lt;&gt;""),ABS(D875-E874),"")</f>
        <v/>
      </c>
    </row>
    <row r="876">
      <c r="A876" t="n">
        <v>876</v>
      </c>
      <c r="B876">
        <f>IF(INDEX('Data Entry'!$H$5:$BE$10004,876-4,'Visual SPC'!$B$3)="",0,IF(AND(OR('Visual SPC'!$C$4="",'Data Entry'!$C876&gt;='Visual SPC'!$C$4),OR('Visual SPC'!$E$4="",'Data Entry'!$C876&lt;='Visual SPC'!$E$4),OR('Visual SPC'!$G$4="",'Data Entry'!$D876='Visual SPC'!$G$4),OR('Visual SPC'!$I$4="",'Data Entry'!$E876='Visual SPC'!$I$4),OR('Visual SPC'!$K$4="",'Data Entry'!$F876='Visual SPC'!$K$4)),1,0))</f>
        <v/>
      </c>
      <c r="C876">
        <f>C875+B876</f>
        <v/>
      </c>
      <c r="D876">
        <f>IF(B876=1,INDEX('Data Entry'!$H$5:$BE$10004,876-4,'Visual SPC'!$B$3),"")</f>
        <v/>
      </c>
      <c r="E876">
        <f>IF(B876=1,D876,E875)</f>
        <v/>
      </c>
      <c r="F876">
        <f>IF(AND(B876=1,C876&gt;1,E875&lt;&gt;""),ABS(D876-E875),"")</f>
        <v/>
      </c>
    </row>
    <row r="877">
      <c r="A877" t="n">
        <v>877</v>
      </c>
      <c r="B877">
        <f>IF(INDEX('Data Entry'!$H$5:$BE$10004,877-4,'Visual SPC'!$B$3)="",0,IF(AND(OR('Visual SPC'!$C$4="",'Data Entry'!$C877&gt;='Visual SPC'!$C$4),OR('Visual SPC'!$E$4="",'Data Entry'!$C877&lt;='Visual SPC'!$E$4),OR('Visual SPC'!$G$4="",'Data Entry'!$D877='Visual SPC'!$G$4),OR('Visual SPC'!$I$4="",'Data Entry'!$E877='Visual SPC'!$I$4),OR('Visual SPC'!$K$4="",'Data Entry'!$F877='Visual SPC'!$K$4)),1,0))</f>
        <v/>
      </c>
      <c r="C877">
        <f>C876+B877</f>
        <v/>
      </c>
      <c r="D877">
        <f>IF(B877=1,INDEX('Data Entry'!$H$5:$BE$10004,877-4,'Visual SPC'!$B$3),"")</f>
        <v/>
      </c>
      <c r="E877">
        <f>IF(B877=1,D877,E876)</f>
        <v/>
      </c>
      <c r="F877">
        <f>IF(AND(B877=1,C877&gt;1,E876&lt;&gt;""),ABS(D877-E876),"")</f>
        <v/>
      </c>
    </row>
    <row r="878">
      <c r="A878" t="n">
        <v>878</v>
      </c>
      <c r="B878">
        <f>IF(INDEX('Data Entry'!$H$5:$BE$10004,878-4,'Visual SPC'!$B$3)="",0,IF(AND(OR('Visual SPC'!$C$4="",'Data Entry'!$C878&gt;='Visual SPC'!$C$4),OR('Visual SPC'!$E$4="",'Data Entry'!$C878&lt;='Visual SPC'!$E$4),OR('Visual SPC'!$G$4="",'Data Entry'!$D878='Visual SPC'!$G$4),OR('Visual SPC'!$I$4="",'Data Entry'!$E878='Visual SPC'!$I$4),OR('Visual SPC'!$K$4="",'Data Entry'!$F878='Visual SPC'!$K$4)),1,0))</f>
        <v/>
      </c>
      <c r="C878">
        <f>C877+B878</f>
        <v/>
      </c>
      <c r="D878">
        <f>IF(B878=1,INDEX('Data Entry'!$H$5:$BE$10004,878-4,'Visual SPC'!$B$3),"")</f>
        <v/>
      </c>
      <c r="E878">
        <f>IF(B878=1,D878,E877)</f>
        <v/>
      </c>
      <c r="F878">
        <f>IF(AND(B878=1,C878&gt;1,E877&lt;&gt;""),ABS(D878-E877),"")</f>
        <v/>
      </c>
    </row>
    <row r="879">
      <c r="A879" t="n">
        <v>879</v>
      </c>
      <c r="B879">
        <f>IF(INDEX('Data Entry'!$H$5:$BE$10004,879-4,'Visual SPC'!$B$3)="",0,IF(AND(OR('Visual SPC'!$C$4="",'Data Entry'!$C879&gt;='Visual SPC'!$C$4),OR('Visual SPC'!$E$4="",'Data Entry'!$C879&lt;='Visual SPC'!$E$4),OR('Visual SPC'!$G$4="",'Data Entry'!$D879='Visual SPC'!$G$4),OR('Visual SPC'!$I$4="",'Data Entry'!$E879='Visual SPC'!$I$4),OR('Visual SPC'!$K$4="",'Data Entry'!$F879='Visual SPC'!$K$4)),1,0))</f>
        <v/>
      </c>
      <c r="C879">
        <f>C878+B879</f>
        <v/>
      </c>
      <c r="D879">
        <f>IF(B879=1,INDEX('Data Entry'!$H$5:$BE$10004,879-4,'Visual SPC'!$B$3),"")</f>
        <v/>
      </c>
      <c r="E879">
        <f>IF(B879=1,D879,E878)</f>
        <v/>
      </c>
      <c r="F879">
        <f>IF(AND(B879=1,C879&gt;1,E878&lt;&gt;""),ABS(D879-E878),"")</f>
        <v/>
      </c>
    </row>
    <row r="880">
      <c r="A880" t="n">
        <v>880</v>
      </c>
      <c r="B880">
        <f>IF(INDEX('Data Entry'!$H$5:$BE$10004,880-4,'Visual SPC'!$B$3)="",0,IF(AND(OR('Visual SPC'!$C$4="",'Data Entry'!$C880&gt;='Visual SPC'!$C$4),OR('Visual SPC'!$E$4="",'Data Entry'!$C880&lt;='Visual SPC'!$E$4),OR('Visual SPC'!$G$4="",'Data Entry'!$D880='Visual SPC'!$G$4),OR('Visual SPC'!$I$4="",'Data Entry'!$E880='Visual SPC'!$I$4),OR('Visual SPC'!$K$4="",'Data Entry'!$F880='Visual SPC'!$K$4)),1,0))</f>
        <v/>
      </c>
      <c r="C880">
        <f>C879+B880</f>
        <v/>
      </c>
      <c r="D880">
        <f>IF(B880=1,INDEX('Data Entry'!$H$5:$BE$10004,880-4,'Visual SPC'!$B$3),"")</f>
        <v/>
      </c>
      <c r="E880">
        <f>IF(B880=1,D880,E879)</f>
        <v/>
      </c>
      <c r="F880">
        <f>IF(AND(B880=1,C880&gt;1,E879&lt;&gt;""),ABS(D880-E879),"")</f>
        <v/>
      </c>
    </row>
    <row r="881">
      <c r="A881" t="n">
        <v>881</v>
      </c>
      <c r="B881">
        <f>IF(INDEX('Data Entry'!$H$5:$BE$10004,881-4,'Visual SPC'!$B$3)="",0,IF(AND(OR('Visual SPC'!$C$4="",'Data Entry'!$C881&gt;='Visual SPC'!$C$4),OR('Visual SPC'!$E$4="",'Data Entry'!$C881&lt;='Visual SPC'!$E$4),OR('Visual SPC'!$G$4="",'Data Entry'!$D881='Visual SPC'!$G$4),OR('Visual SPC'!$I$4="",'Data Entry'!$E881='Visual SPC'!$I$4),OR('Visual SPC'!$K$4="",'Data Entry'!$F881='Visual SPC'!$K$4)),1,0))</f>
        <v/>
      </c>
      <c r="C881">
        <f>C880+B881</f>
        <v/>
      </c>
      <c r="D881">
        <f>IF(B881=1,INDEX('Data Entry'!$H$5:$BE$10004,881-4,'Visual SPC'!$B$3),"")</f>
        <v/>
      </c>
      <c r="E881">
        <f>IF(B881=1,D881,E880)</f>
        <v/>
      </c>
      <c r="F881">
        <f>IF(AND(B881=1,C881&gt;1,E880&lt;&gt;""),ABS(D881-E880),"")</f>
        <v/>
      </c>
    </row>
    <row r="882">
      <c r="A882" t="n">
        <v>882</v>
      </c>
      <c r="B882">
        <f>IF(INDEX('Data Entry'!$H$5:$BE$10004,882-4,'Visual SPC'!$B$3)="",0,IF(AND(OR('Visual SPC'!$C$4="",'Data Entry'!$C882&gt;='Visual SPC'!$C$4),OR('Visual SPC'!$E$4="",'Data Entry'!$C882&lt;='Visual SPC'!$E$4),OR('Visual SPC'!$G$4="",'Data Entry'!$D882='Visual SPC'!$G$4),OR('Visual SPC'!$I$4="",'Data Entry'!$E882='Visual SPC'!$I$4),OR('Visual SPC'!$K$4="",'Data Entry'!$F882='Visual SPC'!$K$4)),1,0))</f>
        <v/>
      </c>
      <c r="C882">
        <f>C881+B882</f>
        <v/>
      </c>
      <c r="D882">
        <f>IF(B882=1,INDEX('Data Entry'!$H$5:$BE$10004,882-4,'Visual SPC'!$B$3),"")</f>
        <v/>
      </c>
      <c r="E882">
        <f>IF(B882=1,D882,E881)</f>
        <v/>
      </c>
      <c r="F882">
        <f>IF(AND(B882=1,C882&gt;1,E881&lt;&gt;""),ABS(D882-E881),"")</f>
        <v/>
      </c>
    </row>
    <row r="883">
      <c r="A883" t="n">
        <v>883</v>
      </c>
      <c r="B883">
        <f>IF(INDEX('Data Entry'!$H$5:$BE$10004,883-4,'Visual SPC'!$B$3)="",0,IF(AND(OR('Visual SPC'!$C$4="",'Data Entry'!$C883&gt;='Visual SPC'!$C$4),OR('Visual SPC'!$E$4="",'Data Entry'!$C883&lt;='Visual SPC'!$E$4),OR('Visual SPC'!$G$4="",'Data Entry'!$D883='Visual SPC'!$G$4),OR('Visual SPC'!$I$4="",'Data Entry'!$E883='Visual SPC'!$I$4),OR('Visual SPC'!$K$4="",'Data Entry'!$F883='Visual SPC'!$K$4)),1,0))</f>
        <v/>
      </c>
      <c r="C883">
        <f>C882+B883</f>
        <v/>
      </c>
      <c r="D883">
        <f>IF(B883=1,INDEX('Data Entry'!$H$5:$BE$10004,883-4,'Visual SPC'!$B$3),"")</f>
        <v/>
      </c>
      <c r="E883">
        <f>IF(B883=1,D883,E882)</f>
        <v/>
      </c>
      <c r="F883">
        <f>IF(AND(B883=1,C883&gt;1,E882&lt;&gt;""),ABS(D883-E882),"")</f>
        <v/>
      </c>
    </row>
    <row r="884">
      <c r="A884" t="n">
        <v>884</v>
      </c>
      <c r="B884">
        <f>IF(INDEX('Data Entry'!$H$5:$BE$10004,884-4,'Visual SPC'!$B$3)="",0,IF(AND(OR('Visual SPC'!$C$4="",'Data Entry'!$C884&gt;='Visual SPC'!$C$4),OR('Visual SPC'!$E$4="",'Data Entry'!$C884&lt;='Visual SPC'!$E$4),OR('Visual SPC'!$G$4="",'Data Entry'!$D884='Visual SPC'!$G$4),OR('Visual SPC'!$I$4="",'Data Entry'!$E884='Visual SPC'!$I$4),OR('Visual SPC'!$K$4="",'Data Entry'!$F884='Visual SPC'!$K$4)),1,0))</f>
        <v/>
      </c>
      <c r="C884">
        <f>C883+B884</f>
        <v/>
      </c>
      <c r="D884">
        <f>IF(B884=1,INDEX('Data Entry'!$H$5:$BE$10004,884-4,'Visual SPC'!$B$3),"")</f>
        <v/>
      </c>
      <c r="E884">
        <f>IF(B884=1,D884,E883)</f>
        <v/>
      </c>
      <c r="F884">
        <f>IF(AND(B884=1,C884&gt;1,E883&lt;&gt;""),ABS(D884-E883),"")</f>
        <v/>
      </c>
    </row>
    <row r="885">
      <c r="A885" t="n">
        <v>885</v>
      </c>
      <c r="B885">
        <f>IF(INDEX('Data Entry'!$H$5:$BE$10004,885-4,'Visual SPC'!$B$3)="",0,IF(AND(OR('Visual SPC'!$C$4="",'Data Entry'!$C885&gt;='Visual SPC'!$C$4),OR('Visual SPC'!$E$4="",'Data Entry'!$C885&lt;='Visual SPC'!$E$4),OR('Visual SPC'!$G$4="",'Data Entry'!$D885='Visual SPC'!$G$4),OR('Visual SPC'!$I$4="",'Data Entry'!$E885='Visual SPC'!$I$4),OR('Visual SPC'!$K$4="",'Data Entry'!$F885='Visual SPC'!$K$4)),1,0))</f>
        <v/>
      </c>
      <c r="C885">
        <f>C884+B885</f>
        <v/>
      </c>
      <c r="D885">
        <f>IF(B885=1,INDEX('Data Entry'!$H$5:$BE$10004,885-4,'Visual SPC'!$B$3),"")</f>
        <v/>
      </c>
      <c r="E885">
        <f>IF(B885=1,D885,E884)</f>
        <v/>
      </c>
      <c r="F885">
        <f>IF(AND(B885=1,C885&gt;1,E884&lt;&gt;""),ABS(D885-E884),"")</f>
        <v/>
      </c>
    </row>
    <row r="886">
      <c r="A886" t="n">
        <v>886</v>
      </c>
      <c r="B886">
        <f>IF(INDEX('Data Entry'!$H$5:$BE$10004,886-4,'Visual SPC'!$B$3)="",0,IF(AND(OR('Visual SPC'!$C$4="",'Data Entry'!$C886&gt;='Visual SPC'!$C$4),OR('Visual SPC'!$E$4="",'Data Entry'!$C886&lt;='Visual SPC'!$E$4),OR('Visual SPC'!$G$4="",'Data Entry'!$D886='Visual SPC'!$G$4),OR('Visual SPC'!$I$4="",'Data Entry'!$E886='Visual SPC'!$I$4),OR('Visual SPC'!$K$4="",'Data Entry'!$F886='Visual SPC'!$K$4)),1,0))</f>
        <v/>
      </c>
      <c r="C886">
        <f>C885+B886</f>
        <v/>
      </c>
      <c r="D886">
        <f>IF(B886=1,INDEX('Data Entry'!$H$5:$BE$10004,886-4,'Visual SPC'!$B$3),"")</f>
        <v/>
      </c>
      <c r="E886">
        <f>IF(B886=1,D886,E885)</f>
        <v/>
      </c>
      <c r="F886">
        <f>IF(AND(B886=1,C886&gt;1,E885&lt;&gt;""),ABS(D886-E885),"")</f>
        <v/>
      </c>
    </row>
    <row r="887">
      <c r="A887" t="n">
        <v>887</v>
      </c>
      <c r="B887">
        <f>IF(INDEX('Data Entry'!$H$5:$BE$10004,887-4,'Visual SPC'!$B$3)="",0,IF(AND(OR('Visual SPC'!$C$4="",'Data Entry'!$C887&gt;='Visual SPC'!$C$4),OR('Visual SPC'!$E$4="",'Data Entry'!$C887&lt;='Visual SPC'!$E$4),OR('Visual SPC'!$G$4="",'Data Entry'!$D887='Visual SPC'!$G$4),OR('Visual SPC'!$I$4="",'Data Entry'!$E887='Visual SPC'!$I$4),OR('Visual SPC'!$K$4="",'Data Entry'!$F887='Visual SPC'!$K$4)),1,0))</f>
        <v/>
      </c>
      <c r="C887">
        <f>C886+B887</f>
        <v/>
      </c>
      <c r="D887">
        <f>IF(B887=1,INDEX('Data Entry'!$H$5:$BE$10004,887-4,'Visual SPC'!$B$3),"")</f>
        <v/>
      </c>
      <c r="E887">
        <f>IF(B887=1,D887,E886)</f>
        <v/>
      </c>
      <c r="F887">
        <f>IF(AND(B887=1,C887&gt;1,E886&lt;&gt;""),ABS(D887-E886),"")</f>
        <v/>
      </c>
    </row>
    <row r="888">
      <c r="A888" t="n">
        <v>888</v>
      </c>
      <c r="B888">
        <f>IF(INDEX('Data Entry'!$H$5:$BE$10004,888-4,'Visual SPC'!$B$3)="",0,IF(AND(OR('Visual SPC'!$C$4="",'Data Entry'!$C888&gt;='Visual SPC'!$C$4),OR('Visual SPC'!$E$4="",'Data Entry'!$C888&lt;='Visual SPC'!$E$4),OR('Visual SPC'!$G$4="",'Data Entry'!$D888='Visual SPC'!$G$4),OR('Visual SPC'!$I$4="",'Data Entry'!$E888='Visual SPC'!$I$4),OR('Visual SPC'!$K$4="",'Data Entry'!$F888='Visual SPC'!$K$4)),1,0))</f>
        <v/>
      </c>
      <c r="C888">
        <f>C887+B888</f>
        <v/>
      </c>
      <c r="D888">
        <f>IF(B888=1,INDEX('Data Entry'!$H$5:$BE$10004,888-4,'Visual SPC'!$B$3),"")</f>
        <v/>
      </c>
      <c r="E888">
        <f>IF(B888=1,D888,E887)</f>
        <v/>
      </c>
      <c r="F888">
        <f>IF(AND(B888=1,C888&gt;1,E887&lt;&gt;""),ABS(D888-E887),"")</f>
        <v/>
      </c>
    </row>
    <row r="889">
      <c r="A889" t="n">
        <v>889</v>
      </c>
      <c r="B889">
        <f>IF(INDEX('Data Entry'!$H$5:$BE$10004,889-4,'Visual SPC'!$B$3)="",0,IF(AND(OR('Visual SPC'!$C$4="",'Data Entry'!$C889&gt;='Visual SPC'!$C$4),OR('Visual SPC'!$E$4="",'Data Entry'!$C889&lt;='Visual SPC'!$E$4),OR('Visual SPC'!$G$4="",'Data Entry'!$D889='Visual SPC'!$G$4),OR('Visual SPC'!$I$4="",'Data Entry'!$E889='Visual SPC'!$I$4),OR('Visual SPC'!$K$4="",'Data Entry'!$F889='Visual SPC'!$K$4)),1,0))</f>
        <v/>
      </c>
      <c r="C889">
        <f>C888+B889</f>
        <v/>
      </c>
      <c r="D889">
        <f>IF(B889=1,INDEX('Data Entry'!$H$5:$BE$10004,889-4,'Visual SPC'!$B$3),"")</f>
        <v/>
      </c>
      <c r="E889">
        <f>IF(B889=1,D889,E888)</f>
        <v/>
      </c>
      <c r="F889">
        <f>IF(AND(B889=1,C889&gt;1,E888&lt;&gt;""),ABS(D889-E888),"")</f>
        <v/>
      </c>
    </row>
    <row r="890">
      <c r="A890" t="n">
        <v>890</v>
      </c>
      <c r="B890">
        <f>IF(INDEX('Data Entry'!$H$5:$BE$10004,890-4,'Visual SPC'!$B$3)="",0,IF(AND(OR('Visual SPC'!$C$4="",'Data Entry'!$C890&gt;='Visual SPC'!$C$4),OR('Visual SPC'!$E$4="",'Data Entry'!$C890&lt;='Visual SPC'!$E$4),OR('Visual SPC'!$G$4="",'Data Entry'!$D890='Visual SPC'!$G$4),OR('Visual SPC'!$I$4="",'Data Entry'!$E890='Visual SPC'!$I$4),OR('Visual SPC'!$K$4="",'Data Entry'!$F890='Visual SPC'!$K$4)),1,0))</f>
        <v/>
      </c>
      <c r="C890">
        <f>C889+B890</f>
        <v/>
      </c>
      <c r="D890">
        <f>IF(B890=1,INDEX('Data Entry'!$H$5:$BE$10004,890-4,'Visual SPC'!$B$3),"")</f>
        <v/>
      </c>
      <c r="E890">
        <f>IF(B890=1,D890,E889)</f>
        <v/>
      </c>
      <c r="F890">
        <f>IF(AND(B890=1,C890&gt;1,E889&lt;&gt;""),ABS(D890-E889),"")</f>
        <v/>
      </c>
    </row>
    <row r="891">
      <c r="A891" t="n">
        <v>891</v>
      </c>
      <c r="B891">
        <f>IF(INDEX('Data Entry'!$H$5:$BE$10004,891-4,'Visual SPC'!$B$3)="",0,IF(AND(OR('Visual SPC'!$C$4="",'Data Entry'!$C891&gt;='Visual SPC'!$C$4),OR('Visual SPC'!$E$4="",'Data Entry'!$C891&lt;='Visual SPC'!$E$4),OR('Visual SPC'!$G$4="",'Data Entry'!$D891='Visual SPC'!$G$4),OR('Visual SPC'!$I$4="",'Data Entry'!$E891='Visual SPC'!$I$4),OR('Visual SPC'!$K$4="",'Data Entry'!$F891='Visual SPC'!$K$4)),1,0))</f>
        <v/>
      </c>
      <c r="C891">
        <f>C890+B891</f>
        <v/>
      </c>
      <c r="D891">
        <f>IF(B891=1,INDEX('Data Entry'!$H$5:$BE$10004,891-4,'Visual SPC'!$B$3),"")</f>
        <v/>
      </c>
      <c r="E891">
        <f>IF(B891=1,D891,E890)</f>
        <v/>
      </c>
      <c r="F891">
        <f>IF(AND(B891=1,C891&gt;1,E890&lt;&gt;""),ABS(D891-E890),"")</f>
        <v/>
      </c>
    </row>
    <row r="892">
      <c r="A892" t="n">
        <v>892</v>
      </c>
      <c r="B892">
        <f>IF(INDEX('Data Entry'!$H$5:$BE$10004,892-4,'Visual SPC'!$B$3)="",0,IF(AND(OR('Visual SPC'!$C$4="",'Data Entry'!$C892&gt;='Visual SPC'!$C$4),OR('Visual SPC'!$E$4="",'Data Entry'!$C892&lt;='Visual SPC'!$E$4),OR('Visual SPC'!$G$4="",'Data Entry'!$D892='Visual SPC'!$G$4),OR('Visual SPC'!$I$4="",'Data Entry'!$E892='Visual SPC'!$I$4),OR('Visual SPC'!$K$4="",'Data Entry'!$F892='Visual SPC'!$K$4)),1,0))</f>
        <v/>
      </c>
      <c r="C892">
        <f>C891+B892</f>
        <v/>
      </c>
      <c r="D892">
        <f>IF(B892=1,INDEX('Data Entry'!$H$5:$BE$10004,892-4,'Visual SPC'!$B$3),"")</f>
        <v/>
      </c>
      <c r="E892">
        <f>IF(B892=1,D892,E891)</f>
        <v/>
      </c>
      <c r="F892">
        <f>IF(AND(B892=1,C892&gt;1,E891&lt;&gt;""),ABS(D892-E891),"")</f>
        <v/>
      </c>
    </row>
    <row r="893">
      <c r="A893" t="n">
        <v>893</v>
      </c>
      <c r="B893">
        <f>IF(INDEX('Data Entry'!$H$5:$BE$10004,893-4,'Visual SPC'!$B$3)="",0,IF(AND(OR('Visual SPC'!$C$4="",'Data Entry'!$C893&gt;='Visual SPC'!$C$4),OR('Visual SPC'!$E$4="",'Data Entry'!$C893&lt;='Visual SPC'!$E$4),OR('Visual SPC'!$G$4="",'Data Entry'!$D893='Visual SPC'!$G$4),OR('Visual SPC'!$I$4="",'Data Entry'!$E893='Visual SPC'!$I$4),OR('Visual SPC'!$K$4="",'Data Entry'!$F893='Visual SPC'!$K$4)),1,0))</f>
        <v/>
      </c>
      <c r="C893">
        <f>C892+B893</f>
        <v/>
      </c>
      <c r="D893">
        <f>IF(B893=1,INDEX('Data Entry'!$H$5:$BE$10004,893-4,'Visual SPC'!$B$3),"")</f>
        <v/>
      </c>
      <c r="E893">
        <f>IF(B893=1,D893,E892)</f>
        <v/>
      </c>
      <c r="F893">
        <f>IF(AND(B893=1,C893&gt;1,E892&lt;&gt;""),ABS(D893-E892),"")</f>
        <v/>
      </c>
    </row>
    <row r="894">
      <c r="A894" t="n">
        <v>894</v>
      </c>
      <c r="B894">
        <f>IF(INDEX('Data Entry'!$H$5:$BE$10004,894-4,'Visual SPC'!$B$3)="",0,IF(AND(OR('Visual SPC'!$C$4="",'Data Entry'!$C894&gt;='Visual SPC'!$C$4),OR('Visual SPC'!$E$4="",'Data Entry'!$C894&lt;='Visual SPC'!$E$4),OR('Visual SPC'!$G$4="",'Data Entry'!$D894='Visual SPC'!$G$4),OR('Visual SPC'!$I$4="",'Data Entry'!$E894='Visual SPC'!$I$4),OR('Visual SPC'!$K$4="",'Data Entry'!$F894='Visual SPC'!$K$4)),1,0))</f>
        <v/>
      </c>
      <c r="C894">
        <f>C893+B894</f>
        <v/>
      </c>
      <c r="D894">
        <f>IF(B894=1,INDEX('Data Entry'!$H$5:$BE$10004,894-4,'Visual SPC'!$B$3),"")</f>
        <v/>
      </c>
      <c r="E894">
        <f>IF(B894=1,D894,E893)</f>
        <v/>
      </c>
      <c r="F894">
        <f>IF(AND(B894=1,C894&gt;1,E893&lt;&gt;""),ABS(D894-E893),"")</f>
        <v/>
      </c>
    </row>
    <row r="895">
      <c r="A895" t="n">
        <v>895</v>
      </c>
      <c r="B895">
        <f>IF(INDEX('Data Entry'!$H$5:$BE$10004,895-4,'Visual SPC'!$B$3)="",0,IF(AND(OR('Visual SPC'!$C$4="",'Data Entry'!$C895&gt;='Visual SPC'!$C$4),OR('Visual SPC'!$E$4="",'Data Entry'!$C895&lt;='Visual SPC'!$E$4),OR('Visual SPC'!$G$4="",'Data Entry'!$D895='Visual SPC'!$G$4),OR('Visual SPC'!$I$4="",'Data Entry'!$E895='Visual SPC'!$I$4),OR('Visual SPC'!$K$4="",'Data Entry'!$F895='Visual SPC'!$K$4)),1,0))</f>
        <v/>
      </c>
      <c r="C895">
        <f>C894+B895</f>
        <v/>
      </c>
      <c r="D895">
        <f>IF(B895=1,INDEX('Data Entry'!$H$5:$BE$10004,895-4,'Visual SPC'!$B$3),"")</f>
        <v/>
      </c>
      <c r="E895">
        <f>IF(B895=1,D895,E894)</f>
        <v/>
      </c>
      <c r="F895">
        <f>IF(AND(B895=1,C895&gt;1,E894&lt;&gt;""),ABS(D895-E894),"")</f>
        <v/>
      </c>
    </row>
    <row r="896">
      <c r="A896" t="n">
        <v>896</v>
      </c>
      <c r="B896">
        <f>IF(INDEX('Data Entry'!$H$5:$BE$10004,896-4,'Visual SPC'!$B$3)="",0,IF(AND(OR('Visual SPC'!$C$4="",'Data Entry'!$C896&gt;='Visual SPC'!$C$4),OR('Visual SPC'!$E$4="",'Data Entry'!$C896&lt;='Visual SPC'!$E$4),OR('Visual SPC'!$G$4="",'Data Entry'!$D896='Visual SPC'!$G$4),OR('Visual SPC'!$I$4="",'Data Entry'!$E896='Visual SPC'!$I$4),OR('Visual SPC'!$K$4="",'Data Entry'!$F896='Visual SPC'!$K$4)),1,0))</f>
        <v/>
      </c>
      <c r="C896">
        <f>C895+B896</f>
        <v/>
      </c>
      <c r="D896">
        <f>IF(B896=1,INDEX('Data Entry'!$H$5:$BE$10004,896-4,'Visual SPC'!$B$3),"")</f>
        <v/>
      </c>
      <c r="E896">
        <f>IF(B896=1,D896,E895)</f>
        <v/>
      </c>
      <c r="F896">
        <f>IF(AND(B896=1,C896&gt;1,E895&lt;&gt;""),ABS(D896-E895),"")</f>
        <v/>
      </c>
    </row>
    <row r="897">
      <c r="A897" t="n">
        <v>897</v>
      </c>
      <c r="B897">
        <f>IF(INDEX('Data Entry'!$H$5:$BE$10004,897-4,'Visual SPC'!$B$3)="",0,IF(AND(OR('Visual SPC'!$C$4="",'Data Entry'!$C897&gt;='Visual SPC'!$C$4),OR('Visual SPC'!$E$4="",'Data Entry'!$C897&lt;='Visual SPC'!$E$4),OR('Visual SPC'!$G$4="",'Data Entry'!$D897='Visual SPC'!$G$4),OR('Visual SPC'!$I$4="",'Data Entry'!$E897='Visual SPC'!$I$4),OR('Visual SPC'!$K$4="",'Data Entry'!$F897='Visual SPC'!$K$4)),1,0))</f>
        <v/>
      </c>
      <c r="C897">
        <f>C896+B897</f>
        <v/>
      </c>
      <c r="D897">
        <f>IF(B897=1,INDEX('Data Entry'!$H$5:$BE$10004,897-4,'Visual SPC'!$B$3),"")</f>
        <v/>
      </c>
      <c r="E897">
        <f>IF(B897=1,D897,E896)</f>
        <v/>
      </c>
      <c r="F897">
        <f>IF(AND(B897=1,C897&gt;1,E896&lt;&gt;""),ABS(D897-E896),"")</f>
        <v/>
      </c>
    </row>
    <row r="898">
      <c r="A898" t="n">
        <v>898</v>
      </c>
      <c r="B898">
        <f>IF(INDEX('Data Entry'!$H$5:$BE$10004,898-4,'Visual SPC'!$B$3)="",0,IF(AND(OR('Visual SPC'!$C$4="",'Data Entry'!$C898&gt;='Visual SPC'!$C$4),OR('Visual SPC'!$E$4="",'Data Entry'!$C898&lt;='Visual SPC'!$E$4),OR('Visual SPC'!$G$4="",'Data Entry'!$D898='Visual SPC'!$G$4),OR('Visual SPC'!$I$4="",'Data Entry'!$E898='Visual SPC'!$I$4),OR('Visual SPC'!$K$4="",'Data Entry'!$F898='Visual SPC'!$K$4)),1,0))</f>
        <v/>
      </c>
      <c r="C898">
        <f>C897+B898</f>
        <v/>
      </c>
      <c r="D898">
        <f>IF(B898=1,INDEX('Data Entry'!$H$5:$BE$10004,898-4,'Visual SPC'!$B$3),"")</f>
        <v/>
      </c>
      <c r="E898">
        <f>IF(B898=1,D898,E897)</f>
        <v/>
      </c>
      <c r="F898">
        <f>IF(AND(B898=1,C898&gt;1,E897&lt;&gt;""),ABS(D898-E897),"")</f>
        <v/>
      </c>
    </row>
    <row r="899">
      <c r="A899" t="n">
        <v>899</v>
      </c>
      <c r="B899">
        <f>IF(INDEX('Data Entry'!$H$5:$BE$10004,899-4,'Visual SPC'!$B$3)="",0,IF(AND(OR('Visual SPC'!$C$4="",'Data Entry'!$C899&gt;='Visual SPC'!$C$4),OR('Visual SPC'!$E$4="",'Data Entry'!$C899&lt;='Visual SPC'!$E$4),OR('Visual SPC'!$G$4="",'Data Entry'!$D899='Visual SPC'!$G$4),OR('Visual SPC'!$I$4="",'Data Entry'!$E899='Visual SPC'!$I$4),OR('Visual SPC'!$K$4="",'Data Entry'!$F899='Visual SPC'!$K$4)),1,0))</f>
        <v/>
      </c>
      <c r="C899">
        <f>C898+B899</f>
        <v/>
      </c>
      <c r="D899">
        <f>IF(B899=1,INDEX('Data Entry'!$H$5:$BE$10004,899-4,'Visual SPC'!$B$3),"")</f>
        <v/>
      </c>
      <c r="E899">
        <f>IF(B899=1,D899,E898)</f>
        <v/>
      </c>
      <c r="F899">
        <f>IF(AND(B899=1,C899&gt;1,E898&lt;&gt;""),ABS(D899-E898),"")</f>
        <v/>
      </c>
    </row>
    <row r="900">
      <c r="A900" t="n">
        <v>900</v>
      </c>
      <c r="B900">
        <f>IF(INDEX('Data Entry'!$H$5:$BE$10004,900-4,'Visual SPC'!$B$3)="",0,IF(AND(OR('Visual SPC'!$C$4="",'Data Entry'!$C900&gt;='Visual SPC'!$C$4),OR('Visual SPC'!$E$4="",'Data Entry'!$C900&lt;='Visual SPC'!$E$4),OR('Visual SPC'!$G$4="",'Data Entry'!$D900='Visual SPC'!$G$4),OR('Visual SPC'!$I$4="",'Data Entry'!$E900='Visual SPC'!$I$4),OR('Visual SPC'!$K$4="",'Data Entry'!$F900='Visual SPC'!$K$4)),1,0))</f>
        <v/>
      </c>
      <c r="C900">
        <f>C899+B900</f>
        <v/>
      </c>
      <c r="D900">
        <f>IF(B900=1,INDEX('Data Entry'!$H$5:$BE$10004,900-4,'Visual SPC'!$B$3),"")</f>
        <v/>
      </c>
      <c r="E900">
        <f>IF(B900=1,D900,E899)</f>
        <v/>
      </c>
      <c r="F900">
        <f>IF(AND(B900=1,C900&gt;1,E899&lt;&gt;""),ABS(D900-E899),"")</f>
        <v/>
      </c>
    </row>
    <row r="901">
      <c r="A901" t="n">
        <v>901</v>
      </c>
      <c r="B901">
        <f>IF(INDEX('Data Entry'!$H$5:$BE$10004,901-4,'Visual SPC'!$B$3)="",0,IF(AND(OR('Visual SPC'!$C$4="",'Data Entry'!$C901&gt;='Visual SPC'!$C$4),OR('Visual SPC'!$E$4="",'Data Entry'!$C901&lt;='Visual SPC'!$E$4),OR('Visual SPC'!$G$4="",'Data Entry'!$D901='Visual SPC'!$G$4),OR('Visual SPC'!$I$4="",'Data Entry'!$E901='Visual SPC'!$I$4),OR('Visual SPC'!$K$4="",'Data Entry'!$F901='Visual SPC'!$K$4)),1,0))</f>
        <v/>
      </c>
      <c r="C901">
        <f>C900+B901</f>
        <v/>
      </c>
      <c r="D901">
        <f>IF(B901=1,INDEX('Data Entry'!$H$5:$BE$10004,901-4,'Visual SPC'!$B$3),"")</f>
        <v/>
      </c>
      <c r="E901">
        <f>IF(B901=1,D901,E900)</f>
        <v/>
      </c>
      <c r="F901">
        <f>IF(AND(B901=1,C901&gt;1,E900&lt;&gt;""),ABS(D901-E900),"")</f>
        <v/>
      </c>
    </row>
    <row r="902">
      <c r="A902" t="n">
        <v>902</v>
      </c>
      <c r="B902">
        <f>IF(INDEX('Data Entry'!$H$5:$BE$10004,902-4,'Visual SPC'!$B$3)="",0,IF(AND(OR('Visual SPC'!$C$4="",'Data Entry'!$C902&gt;='Visual SPC'!$C$4),OR('Visual SPC'!$E$4="",'Data Entry'!$C902&lt;='Visual SPC'!$E$4),OR('Visual SPC'!$G$4="",'Data Entry'!$D902='Visual SPC'!$G$4),OR('Visual SPC'!$I$4="",'Data Entry'!$E902='Visual SPC'!$I$4),OR('Visual SPC'!$K$4="",'Data Entry'!$F902='Visual SPC'!$K$4)),1,0))</f>
        <v/>
      </c>
      <c r="C902">
        <f>C901+B902</f>
        <v/>
      </c>
      <c r="D902">
        <f>IF(B902=1,INDEX('Data Entry'!$H$5:$BE$10004,902-4,'Visual SPC'!$B$3),"")</f>
        <v/>
      </c>
      <c r="E902">
        <f>IF(B902=1,D902,E901)</f>
        <v/>
      </c>
      <c r="F902">
        <f>IF(AND(B902=1,C902&gt;1,E901&lt;&gt;""),ABS(D902-E901),"")</f>
        <v/>
      </c>
    </row>
    <row r="903">
      <c r="A903" t="n">
        <v>903</v>
      </c>
      <c r="B903">
        <f>IF(INDEX('Data Entry'!$H$5:$BE$10004,903-4,'Visual SPC'!$B$3)="",0,IF(AND(OR('Visual SPC'!$C$4="",'Data Entry'!$C903&gt;='Visual SPC'!$C$4),OR('Visual SPC'!$E$4="",'Data Entry'!$C903&lt;='Visual SPC'!$E$4),OR('Visual SPC'!$G$4="",'Data Entry'!$D903='Visual SPC'!$G$4),OR('Visual SPC'!$I$4="",'Data Entry'!$E903='Visual SPC'!$I$4),OR('Visual SPC'!$K$4="",'Data Entry'!$F903='Visual SPC'!$K$4)),1,0))</f>
        <v/>
      </c>
      <c r="C903">
        <f>C902+B903</f>
        <v/>
      </c>
      <c r="D903">
        <f>IF(B903=1,INDEX('Data Entry'!$H$5:$BE$10004,903-4,'Visual SPC'!$B$3),"")</f>
        <v/>
      </c>
      <c r="E903">
        <f>IF(B903=1,D903,E902)</f>
        <v/>
      </c>
      <c r="F903">
        <f>IF(AND(B903=1,C903&gt;1,E902&lt;&gt;""),ABS(D903-E902),"")</f>
        <v/>
      </c>
    </row>
    <row r="904">
      <c r="A904" t="n">
        <v>904</v>
      </c>
      <c r="B904">
        <f>IF(INDEX('Data Entry'!$H$5:$BE$10004,904-4,'Visual SPC'!$B$3)="",0,IF(AND(OR('Visual SPC'!$C$4="",'Data Entry'!$C904&gt;='Visual SPC'!$C$4),OR('Visual SPC'!$E$4="",'Data Entry'!$C904&lt;='Visual SPC'!$E$4),OR('Visual SPC'!$G$4="",'Data Entry'!$D904='Visual SPC'!$G$4),OR('Visual SPC'!$I$4="",'Data Entry'!$E904='Visual SPC'!$I$4),OR('Visual SPC'!$K$4="",'Data Entry'!$F904='Visual SPC'!$K$4)),1,0))</f>
        <v/>
      </c>
      <c r="C904">
        <f>C903+B904</f>
        <v/>
      </c>
      <c r="D904">
        <f>IF(B904=1,INDEX('Data Entry'!$H$5:$BE$10004,904-4,'Visual SPC'!$B$3),"")</f>
        <v/>
      </c>
      <c r="E904">
        <f>IF(B904=1,D904,E903)</f>
        <v/>
      </c>
      <c r="F904">
        <f>IF(AND(B904=1,C904&gt;1,E903&lt;&gt;""),ABS(D904-E903),"")</f>
        <v/>
      </c>
    </row>
    <row r="905">
      <c r="A905" t="n">
        <v>905</v>
      </c>
      <c r="B905">
        <f>IF(INDEX('Data Entry'!$H$5:$BE$10004,905-4,'Visual SPC'!$B$3)="",0,IF(AND(OR('Visual SPC'!$C$4="",'Data Entry'!$C905&gt;='Visual SPC'!$C$4),OR('Visual SPC'!$E$4="",'Data Entry'!$C905&lt;='Visual SPC'!$E$4),OR('Visual SPC'!$G$4="",'Data Entry'!$D905='Visual SPC'!$G$4),OR('Visual SPC'!$I$4="",'Data Entry'!$E905='Visual SPC'!$I$4),OR('Visual SPC'!$K$4="",'Data Entry'!$F905='Visual SPC'!$K$4)),1,0))</f>
        <v/>
      </c>
      <c r="C905">
        <f>C904+B905</f>
        <v/>
      </c>
      <c r="D905">
        <f>IF(B905=1,INDEX('Data Entry'!$H$5:$BE$10004,905-4,'Visual SPC'!$B$3),"")</f>
        <v/>
      </c>
      <c r="E905">
        <f>IF(B905=1,D905,E904)</f>
        <v/>
      </c>
      <c r="F905">
        <f>IF(AND(B905=1,C905&gt;1,E904&lt;&gt;""),ABS(D905-E904),"")</f>
        <v/>
      </c>
    </row>
    <row r="906">
      <c r="A906" t="n">
        <v>906</v>
      </c>
      <c r="B906">
        <f>IF(INDEX('Data Entry'!$H$5:$BE$10004,906-4,'Visual SPC'!$B$3)="",0,IF(AND(OR('Visual SPC'!$C$4="",'Data Entry'!$C906&gt;='Visual SPC'!$C$4),OR('Visual SPC'!$E$4="",'Data Entry'!$C906&lt;='Visual SPC'!$E$4),OR('Visual SPC'!$G$4="",'Data Entry'!$D906='Visual SPC'!$G$4),OR('Visual SPC'!$I$4="",'Data Entry'!$E906='Visual SPC'!$I$4),OR('Visual SPC'!$K$4="",'Data Entry'!$F906='Visual SPC'!$K$4)),1,0))</f>
        <v/>
      </c>
      <c r="C906">
        <f>C905+B906</f>
        <v/>
      </c>
      <c r="D906">
        <f>IF(B906=1,INDEX('Data Entry'!$H$5:$BE$10004,906-4,'Visual SPC'!$B$3),"")</f>
        <v/>
      </c>
      <c r="E906">
        <f>IF(B906=1,D906,E905)</f>
        <v/>
      </c>
      <c r="F906">
        <f>IF(AND(B906=1,C906&gt;1,E905&lt;&gt;""),ABS(D906-E905),"")</f>
        <v/>
      </c>
    </row>
    <row r="907">
      <c r="A907" t="n">
        <v>907</v>
      </c>
      <c r="B907">
        <f>IF(INDEX('Data Entry'!$H$5:$BE$10004,907-4,'Visual SPC'!$B$3)="",0,IF(AND(OR('Visual SPC'!$C$4="",'Data Entry'!$C907&gt;='Visual SPC'!$C$4),OR('Visual SPC'!$E$4="",'Data Entry'!$C907&lt;='Visual SPC'!$E$4),OR('Visual SPC'!$G$4="",'Data Entry'!$D907='Visual SPC'!$G$4),OR('Visual SPC'!$I$4="",'Data Entry'!$E907='Visual SPC'!$I$4),OR('Visual SPC'!$K$4="",'Data Entry'!$F907='Visual SPC'!$K$4)),1,0))</f>
        <v/>
      </c>
      <c r="C907">
        <f>C906+B907</f>
        <v/>
      </c>
      <c r="D907">
        <f>IF(B907=1,INDEX('Data Entry'!$H$5:$BE$10004,907-4,'Visual SPC'!$B$3),"")</f>
        <v/>
      </c>
      <c r="E907">
        <f>IF(B907=1,D907,E906)</f>
        <v/>
      </c>
      <c r="F907">
        <f>IF(AND(B907=1,C907&gt;1,E906&lt;&gt;""),ABS(D907-E906),"")</f>
        <v/>
      </c>
    </row>
    <row r="908">
      <c r="A908" t="n">
        <v>908</v>
      </c>
      <c r="B908">
        <f>IF(INDEX('Data Entry'!$H$5:$BE$10004,908-4,'Visual SPC'!$B$3)="",0,IF(AND(OR('Visual SPC'!$C$4="",'Data Entry'!$C908&gt;='Visual SPC'!$C$4),OR('Visual SPC'!$E$4="",'Data Entry'!$C908&lt;='Visual SPC'!$E$4),OR('Visual SPC'!$G$4="",'Data Entry'!$D908='Visual SPC'!$G$4),OR('Visual SPC'!$I$4="",'Data Entry'!$E908='Visual SPC'!$I$4),OR('Visual SPC'!$K$4="",'Data Entry'!$F908='Visual SPC'!$K$4)),1,0))</f>
        <v/>
      </c>
      <c r="C908">
        <f>C907+B908</f>
        <v/>
      </c>
      <c r="D908">
        <f>IF(B908=1,INDEX('Data Entry'!$H$5:$BE$10004,908-4,'Visual SPC'!$B$3),"")</f>
        <v/>
      </c>
      <c r="E908">
        <f>IF(B908=1,D908,E907)</f>
        <v/>
      </c>
      <c r="F908">
        <f>IF(AND(B908=1,C908&gt;1,E907&lt;&gt;""),ABS(D908-E907),"")</f>
        <v/>
      </c>
    </row>
    <row r="909">
      <c r="A909" t="n">
        <v>909</v>
      </c>
      <c r="B909">
        <f>IF(INDEX('Data Entry'!$H$5:$BE$10004,909-4,'Visual SPC'!$B$3)="",0,IF(AND(OR('Visual SPC'!$C$4="",'Data Entry'!$C909&gt;='Visual SPC'!$C$4),OR('Visual SPC'!$E$4="",'Data Entry'!$C909&lt;='Visual SPC'!$E$4),OR('Visual SPC'!$G$4="",'Data Entry'!$D909='Visual SPC'!$G$4),OR('Visual SPC'!$I$4="",'Data Entry'!$E909='Visual SPC'!$I$4),OR('Visual SPC'!$K$4="",'Data Entry'!$F909='Visual SPC'!$K$4)),1,0))</f>
        <v/>
      </c>
      <c r="C909">
        <f>C908+B909</f>
        <v/>
      </c>
      <c r="D909">
        <f>IF(B909=1,INDEX('Data Entry'!$H$5:$BE$10004,909-4,'Visual SPC'!$B$3),"")</f>
        <v/>
      </c>
      <c r="E909">
        <f>IF(B909=1,D909,E908)</f>
        <v/>
      </c>
      <c r="F909">
        <f>IF(AND(B909=1,C909&gt;1,E908&lt;&gt;""),ABS(D909-E908),"")</f>
        <v/>
      </c>
    </row>
    <row r="910">
      <c r="A910" t="n">
        <v>910</v>
      </c>
      <c r="B910">
        <f>IF(INDEX('Data Entry'!$H$5:$BE$10004,910-4,'Visual SPC'!$B$3)="",0,IF(AND(OR('Visual SPC'!$C$4="",'Data Entry'!$C910&gt;='Visual SPC'!$C$4),OR('Visual SPC'!$E$4="",'Data Entry'!$C910&lt;='Visual SPC'!$E$4),OR('Visual SPC'!$G$4="",'Data Entry'!$D910='Visual SPC'!$G$4),OR('Visual SPC'!$I$4="",'Data Entry'!$E910='Visual SPC'!$I$4),OR('Visual SPC'!$K$4="",'Data Entry'!$F910='Visual SPC'!$K$4)),1,0))</f>
        <v/>
      </c>
      <c r="C910">
        <f>C909+B910</f>
        <v/>
      </c>
      <c r="D910">
        <f>IF(B910=1,INDEX('Data Entry'!$H$5:$BE$10004,910-4,'Visual SPC'!$B$3),"")</f>
        <v/>
      </c>
      <c r="E910">
        <f>IF(B910=1,D910,E909)</f>
        <v/>
      </c>
      <c r="F910">
        <f>IF(AND(B910=1,C910&gt;1,E909&lt;&gt;""),ABS(D910-E909),"")</f>
        <v/>
      </c>
    </row>
    <row r="911">
      <c r="A911" t="n">
        <v>911</v>
      </c>
      <c r="B911">
        <f>IF(INDEX('Data Entry'!$H$5:$BE$10004,911-4,'Visual SPC'!$B$3)="",0,IF(AND(OR('Visual SPC'!$C$4="",'Data Entry'!$C911&gt;='Visual SPC'!$C$4),OR('Visual SPC'!$E$4="",'Data Entry'!$C911&lt;='Visual SPC'!$E$4),OR('Visual SPC'!$G$4="",'Data Entry'!$D911='Visual SPC'!$G$4),OR('Visual SPC'!$I$4="",'Data Entry'!$E911='Visual SPC'!$I$4),OR('Visual SPC'!$K$4="",'Data Entry'!$F911='Visual SPC'!$K$4)),1,0))</f>
        <v/>
      </c>
      <c r="C911">
        <f>C910+B911</f>
        <v/>
      </c>
      <c r="D911">
        <f>IF(B911=1,INDEX('Data Entry'!$H$5:$BE$10004,911-4,'Visual SPC'!$B$3),"")</f>
        <v/>
      </c>
      <c r="E911">
        <f>IF(B911=1,D911,E910)</f>
        <v/>
      </c>
      <c r="F911">
        <f>IF(AND(B911=1,C911&gt;1,E910&lt;&gt;""),ABS(D911-E910),"")</f>
        <v/>
      </c>
    </row>
    <row r="912">
      <c r="A912" t="n">
        <v>912</v>
      </c>
      <c r="B912">
        <f>IF(INDEX('Data Entry'!$H$5:$BE$10004,912-4,'Visual SPC'!$B$3)="",0,IF(AND(OR('Visual SPC'!$C$4="",'Data Entry'!$C912&gt;='Visual SPC'!$C$4),OR('Visual SPC'!$E$4="",'Data Entry'!$C912&lt;='Visual SPC'!$E$4),OR('Visual SPC'!$G$4="",'Data Entry'!$D912='Visual SPC'!$G$4),OR('Visual SPC'!$I$4="",'Data Entry'!$E912='Visual SPC'!$I$4),OR('Visual SPC'!$K$4="",'Data Entry'!$F912='Visual SPC'!$K$4)),1,0))</f>
        <v/>
      </c>
      <c r="C912">
        <f>C911+B912</f>
        <v/>
      </c>
      <c r="D912">
        <f>IF(B912=1,INDEX('Data Entry'!$H$5:$BE$10004,912-4,'Visual SPC'!$B$3),"")</f>
        <v/>
      </c>
      <c r="E912">
        <f>IF(B912=1,D912,E911)</f>
        <v/>
      </c>
      <c r="F912">
        <f>IF(AND(B912=1,C912&gt;1,E911&lt;&gt;""),ABS(D912-E911),"")</f>
        <v/>
      </c>
    </row>
    <row r="913">
      <c r="A913" t="n">
        <v>913</v>
      </c>
      <c r="B913">
        <f>IF(INDEX('Data Entry'!$H$5:$BE$10004,913-4,'Visual SPC'!$B$3)="",0,IF(AND(OR('Visual SPC'!$C$4="",'Data Entry'!$C913&gt;='Visual SPC'!$C$4),OR('Visual SPC'!$E$4="",'Data Entry'!$C913&lt;='Visual SPC'!$E$4),OR('Visual SPC'!$G$4="",'Data Entry'!$D913='Visual SPC'!$G$4),OR('Visual SPC'!$I$4="",'Data Entry'!$E913='Visual SPC'!$I$4),OR('Visual SPC'!$K$4="",'Data Entry'!$F913='Visual SPC'!$K$4)),1,0))</f>
        <v/>
      </c>
      <c r="C913">
        <f>C912+B913</f>
        <v/>
      </c>
      <c r="D913">
        <f>IF(B913=1,INDEX('Data Entry'!$H$5:$BE$10004,913-4,'Visual SPC'!$B$3),"")</f>
        <v/>
      </c>
      <c r="E913">
        <f>IF(B913=1,D913,E912)</f>
        <v/>
      </c>
      <c r="F913">
        <f>IF(AND(B913=1,C913&gt;1,E912&lt;&gt;""),ABS(D913-E912),"")</f>
        <v/>
      </c>
    </row>
    <row r="914">
      <c r="A914" t="n">
        <v>914</v>
      </c>
      <c r="B914">
        <f>IF(INDEX('Data Entry'!$H$5:$BE$10004,914-4,'Visual SPC'!$B$3)="",0,IF(AND(OR('Visual SPC'!$C$4="",'Data Entry'!$C914&gt;='Visual SPC'!$C$4),OR('Visual SPC'!$E$4="",'Data Entry'!$C914&lt;='Visual SPC'!$E$4),OR('Visual SPC'!$G$4="",'Data Entry'!$D914='Visual SPC'!$G$4),OR('Visual SPC'!$I$4="",'Data Entry'!$E914='Visual SPC'!$I$4),OR('Visual SPC'!$K$4="",'Data Entry'!$F914='Visual SPC'!$K$4)),1,0))</f>
        <v/>
      </c>
      <c r="C914">
        <f>C913+B914</f>
        <v/>
      </c>
      <c r="D914">
        <f>IF(B914=1,INDEX('Data Entry'!$H$5:$BE$10004,914-4,'Visual SPC'!$B$3),"")</f>
        <v/>
      </c>
      <c r="E914">
        <f>IF(B914=1,D914,E913)</f>
        <v/>
      </c>
      <c r="F914">
        <f>IF(AND(B914=1,C914&gt;1,E913&lt;&gt;""),ABS(D914-E913),"")</f>
        <v/>
      </c>
    </row>
    <row r="915">
      <c r="A915" t="n">
        <v>915</v>
      </c>
      <c r="B915">
        <f>IF(INDEX('Data Entry'!$H$5:$BE$10004,915-4,'Visual SPC'!$B$3)="",0,IF(AND(OR('Visual SPC'!$C$4="",'Data Entry'!$C915&gt;='Visual SPC'!$C$4),OR('Visual SPC'!$E$4="",'Data Entry'!$C915&lt;='Visual SPC'!$E$4),OR('Visual SPC'!$G$4="",'Data Entry'!$D915='Visual SPC'!$G$4),OR('Visual SPC'!$I$4="",'Data Entry'!$E915='Visual SPC'!$I$4),OR('Visual SPC'!$K$4="",'Data Entry'!$F915='Visual SPC'!$K$4)),1,0))</f>
        <v/>
      </c>
      <c r="C915">
        <f>C914+B915</f>
        <v/>
      </c>
      <c r="D915">
        <f>IF(B915=1,INDEX('Data Entry'!$H$5:$BE$10004,915-4,'Visual SPC'!$B$3),"")</f>
        <v/>
      </c>
      <c r="E915">
        <f>IF(B915=1,D915,E914)</f>
        <v/>
      </c>
      <c r="F915">
        <f>IF(AND(B915=1,C915&gt;1,E914&lt;&gt;""),ABS(D915-E914),"")</f>
        <v/>
      </c>
    </row>
    <row r="916">
      <c r="A916" t="n">
        <v>916</v>
      </c>
      <c r="B916">
        <f>IF(INDEX('Data Entry'!$H$5:$BE$10004,916-4,'Visual SPC'!$B$3)="",0,IF(AND(OR('Visual SPC'!$C$4="",'Data Entry'!$C916&gt;='Visual SPC'!$C$4),OR('Visual SPC'!$E$4="",'Data Entry'!$C916&lt;='Visual SPC'!$E$4),OR('Visual SPC'!$G$4="",'Data Entry'!$D916='Visual SPC'!$G$4),OR('Visual SPC'!$I$4="",'Data Entry'!$E916='Visual SPC'!$I$4),OR('Visual SPC'!$K$4="",'Data Entry'!$F916='Visual SPC'!$K$4)),1,0))</f>
        <v/>
      </c>
      <c r="C916">
        <f>C915+B916</f>
        <v/>
      </c>
      <c r="D916">
        <f>IF(B916=1,INDEX('Data Entry'!$H$5:$BE$10004,916-4,'Visual SPC'!$B$3),"")</f>
        <v/>
      </c>
      <c r="E916">
        <f>IF(B916=1,D916,E915)</f>
        <v/>
      </c>
      <c r="F916">
        <f>IF(AND(B916=1,C916&gt;1,E915&lt;&gt;""),ABS(D916-E915),"")</f>
        <v/>
      </c>
    </row>
    <row r="917">
      <c r="A917" t="n">
        <v>917</v>
      </c>
      <c r="B917">
        <f>IF(INDEX('Data Entry'!$H$5:$BE$10004,917-4,'Visual SPC'!$B$3)="",0,IF(AND(OR('Visual SPC'!$C$4="",'Data Entry'!$C917&gt;='Visual SPC'!$C$4),OR('Visual SPC'!$E$4="",'Data Entry'!$C917&lt;='Visual SPC'!$E$4),OR('Visual SPC'!$G$4="",'Data Entry'!$D917='Visual SPC'!$G$4),OR('Visual SPC'!$I$4="",'Data Entry'!$E917='Visual SPC'!$I$4),OR('Visual SPC'!$K$4="",'Data Entry'!$F917='Visual SPC'!$K$4)),1,0))</f>
        <v/>
      </c>
      <c r="C917">
        <f>C916+B917</f>
        <v/>
      </c>
      <c r="D917">
        <f>IF(B917=1,INDEX('Data Entry'!$H$5:$BE$10004,917-4,'Visual SPC'!$B$3),"")</f>
        <v/>
      </c>
      <c r="E917">
        <f>IF(B917=1,D917,E916)</f>
        <v/>
      </c>
      <c r="F917">
        <f>IF(AND(B917=1,C917&gt;1,E916&lt;&gt;""),ABS(D917-E916),"")</f>
        <v/>
      </c>
    </row>
    <row r="918">
      <c r="A918" t="n">
        <v>918</v>
      </c>
      <c r="B918">
        <f>IF(INDEX('Data Entry'!$H$5:$BE$10004,918-4,'Visual SPC'!$B$3)="",0,IF(AND(OR('Visual SPC'!$C$4="",'Data Entry'!$C918&gt;='Visual SPC'!$C$4),OR('Visual SPC'!$E$4="",'Data Entry'!$C918&lt;='Visual SPC'!$E$4),OR('Visual SPC'!$G$4="",'Data Entry'!$D918='Visual SPC'!$G$4),OR('Visual SPC'!$I$4="",'Data Entry'!$E918='Visual SPC'!$I$4),OR('Visual SPC'!$K$4="",'Data Entry'!$F918='Visual SPC'!$K$4)),1,0))</f>
        <v/>
      </c>
      <c r="C918">
        <f>C917+B918</f>
        <v/>
      </c>
      <c r="D918">
        <f>IF(B918=1,INDEX('Data Entry'!$H$5:$BE$10004,918-4,'Visual SPC'!$B$3),"")</f>
        <v/>
      </c>
      <c r="E918">
        <f>IF(B918=1,D918,E917)</f>
        <v/>
      </c>
      <c r="F918">
        <f>IF(AND(B918=1,C918&gt;1,E917&lt;&gt;""),ABS(D918-E917),"")</f>
        <v/>
      </c>
    </row>
    <row r="919">
      <c r="A919" t="n">
        <v>919</v>
      </c>
      <c r="B919">
        <f>IF(INDEX('Data Entry'!$H$5:$BE$10004,919-4,'Visual SPC'!$B$3)="",0,IF(AND(OR('Visual SPC'!$C$4="",'Data Entry'!$C919&gt;='Visual SPC'!$C$4),OR('Visual SPC'!$E$4="",'Data Entry'!$C919&lt;='Visual SPC'!$E$4),OR('Visual SPC'!$G$4="",'Data Entry'!$D919='Visual SPC'!$G$4),OR('Visual SPC'!$I$4="",'Data Entry'!$E919='Visual SPC'!$I$4),OR('Visual SPC'!$K$4="",'Data Entry'!$F919='Visual SPC'!$K$4)),1,0))</f>
        <v/>
      </c>
      <c r="C919">
        <f>C918+B919</f>
        <v/>
      </c>
      <c r="D919">
        <f>IF(B919=1,INDEX('Data Entry'!$H$5:$BE$10004,919-4,'Visual SPC'!$B$3),"")</f>
        <v/>
      </c>
      <c r="E919">
        <f>IF(B919=1,D919,E918)</f>
        <v/>
      </c>
      <c r="F919">
        <f>IF(AND(B919=1,C919&gt;1,E918&lt;&gt;""),ABS(D919-E918),"")</f>
        <v/>
      </c>
    </row>
    <row r="920">
      <c r="A920" t="n">
        <v>920</v>
      </c>
      <c r="B920">
        <f>IF(INDEX('Data Entry'!$H$5:$BE$10004,920-4,'Visual SPC'!$B$3)="",0,IF(AND(OR('Visual SPC'!$C$4="",'Data Entry'!$C920&gt;='Visual SPC'!$C$4),OR('Visual SPC'!$E$4="",'Data Entry'!$C920&lt;='Visual SPC'!$E$4),OR('Visual SPC'!$G$4="",'Data Entry'!$D920='Visual SPC'!$G$4),OR('Visual SPC'!$I$4="",'Data Entry'!$E920='Visual SPC'!$I$4),OR('Visual SPC'!$K$4="",'Data Entry'!$F920='Visual SPC'!$K$4)),1,0))</f>
        <v/>
      </c>
      <c r="C920">
        <f>C919+B920</f>
        <v/>
      </c>
      <c r="D920">
        <f>IF(B920=1,INDEX('Data Entry'!$H$5:$BE$10004,920-4,'Visual SPC'!$B$3),"")</f>
        <v/>
      </c>
      <c r="E920">
        <f>IF(B920=1,D920,E919)</f>
        <v/>
      </c>
      <c r="F920">
        <f>IF(AND(B920=1,C920&gt;1,E919&lt;&gt;""),ABS(D920-E919),"")</f>
        <v/>
      </c>
    </row>
    <row r="921">
      <c r="A921" t="n">
        <v>921</v>
      </c>
      <c r="B921">
        <f>IF(INDEX('Data Entry'!$H$5:$BE$10004,921-4,'Visual SPC'!$B$3)="",0,IF(AND(OR('Visual SPC'!$C$4="",'Data Entry'!$C921&gt;='Visual SPC'!$C$4),OR('Visual SPC'!$E$4="",'Data Entry'!$C921&lt;='Visual SPC'!$E$4),OR('Visual SPC'!$G$4="",'Data Entry'!$D921='Visual SPC'!$G$4),OR('Visual SPC'!$I$4="",'Data Entry'!$E921='Visual SPC'!$I$4),OR('Visual SPC'!$K$4="",'Data Entry'!$F921='Visual SPC'!$K$4)),1,0))</f>
        <v/>
      </c>
      <c r="C921">
        <f>C920+B921</f>
        <v/>
      </c>
      <c r="D921">
        <f>IF(B921=1,INDEX('Data Entry'!$H$5:$BE$10004,921-4,'Visual SPC'!$B$3),"")</f>
        <v/>
      </c>
      <c r="E921">
        <f>IF(B921=1,D921,E920)</f>
        <v/>
      </c>
      <c r="F921">
        <f>IF(AND(B921=1,C921&gt;1,E920&lt;&gt;""),ABS(D921-E920),"")</f>
        <v/>
      </c>
    </row>
    <row r="922">
      <c r="A922" t="n">
        <v>922</v>
      </c>
      <c r="B922">
        <f>IF(INDEX('Data Entry'!$H$5:$BE$10004,922-4,'Visual SPC'!$B$3)="",0,IF(AND(OR('Visual SPC'!$C$4="",'Data Entry'!$C922&gt;='Visual SPC'!$C$4),OR('Visual SPC'!$E$4="",'Data Entry'!$C922&lt;='Visual SPC'!$E$4),OR('Visual SPC'!$G$4="",'Data Entry'!$D922='Visual SPC'!$G$4),OR('Visual SPC'!$I$4="",'Data Entry'!$E922='Visual SPC'!$I$4),OR('Visual SPC'!$K$4="",'Data Entry'!$F922='Visual SPC'!$K$4)),1,0))</f>
        <v/>
      </c>
      <c r="C922">
        <f>C921+B922</f>
        <v/>
      </c>
      <c r="D922">
        <f>IF(B922=1,INDEX('Data Entry'!$H$5:$BE$10004,922-4,'Visual SPC'!$B$3),"")</f>
        <v/>
      </c>
      <c r="E922">
        <f>IF(B922=1,D922,E921)</f>
        <v/>
      </c>
      <c r="F922">
        <f>IF(AND(B922=1,C922&gt;1,E921&lt;&gt;""),ABS(D922-E921),"")</f>
        <v/>
      </c>
    </row>
    <row r="923">
      <c r="A923" t="n">
        <v>923</v>
      </c>
      <c r="B923">
        <f>IF(INDEX('Data Entry'!$H$5:$BE$10004,923-4,'Visual SPC'!$B$3)="",0,IF(AND(OR('Visual SPC'!$C$4="",'Data Entry'!$C923&gt;='Visual SPC'!$C$4),OR('Visual SPC'!$E$4="",'Data Entry'!$C923&lt;='Visual SPC'!$E$4),OR('Visual SPC'!$G$4="",'Data Entry'!$D923='Visual SPC'!$G$4),OR('Visual SPC'!$I$4="",'Data Entry'!$E923='Visual SPC'!$I$4),OR('Visual SPC'!$K$4="",'Data Entry'!$F923='Visual SPC'!$K$4)),1,0))</f>
        <v/>
      </c>
      <c r="C923">
        <f>C922+B923</f>
        <v/>
      </c>
      <c r="D923">
        <f>IF(B923=1,INDEX('Data Entry'!$H$5:$BE$10004,923-4,'Visual SPC'!$B$3),"")</f>
        <v/>
      </c>
      <c r="E923">
        <f>IF(B923=1,D923,E922)</f>
        <v/>
      </c>
      <c r="F923">
        <f>IF(AND(B923=1,C923&gt;1,E922&lt;&gt;""),ABS(D923-E922),"")</f>
        <v/>
      </c>
    </row>
    <row r="924">
      <c r="A924" t="n">
        <v>924</v>
      </c>
      <c r="B924">
        <f>IF(INDEX('Data Entry'!$H$5:$BE$10004,924-4,'Visual SPC'!$B$3)="",0,IF(AND(OR('Visual SPC'!$C$4="",'Data Entry'!$C924&gt;='Visual SPC'!$C$4),OR('Visual SPC'!$E$4="",'Data Entry'!$C924&lt;='Visual SPC'!$E$4),OR('Visual SPC'!$G$4="",'Data Entry'!$D924='Visual SPC'!$G$4),OR('Visual SPC'!$I$4="",'Data Entry'!$E924='Visual SPC'!$I$4),OR('Visual SPC'!$K$4="",'Data Entry'!$F924='Visual SPC'!$K$4)),1,0))</f>
        <v/>
      </c>
      <c r="C924">
        <f>C923+B924</f>
        <v/>
      </c>
      <c r="D924">
        <f>IF(B924=1,INDEX('Data Entry'!$H$5:$BE$10004,924-4,'Visual SPC'!$B$3),"")</f>
        <v/>
      </c>
      <c r="E924">
        <f>IF(B924=1,D924,E923)</f>
        <v/>
      </c>
      <c r="F924">
        <f>IF(AND(B924=1,C924&gt;1,E923&lt;&gt;""),ABS(D924-E923),"")</f>
        <v/>
      </c>
    </row>
    <row r="925">
      <c r="A925" t="n">
        <v>925</v>
      </c>
      <c r="B925">
        <f>IF(INDEX('Data Entry'!$H$5:$BE$10004,925-4,'Visual SPC'!$B$3)="",0,IF(AND(OR('Visual SPC'!$C$4="",'Data Entry'!$C925&gt;='Visual SPC'!$C$4),OR('Visual SPC'!$E$4="",'Data Entry'!$C925&lt;='Visual SPC'!$E$4),OR('Visual SPC'!$G$4="",'Data Entry'!$D925='Visual SPC'!$G$4),OR('Visual SPC'!$I$4="",'Data Entry'!$E925='Visual SPC'!$I$4),OR('Visual SPC'!$K$4="",'Data Entry'!$F925='Visual SPC'!$K$4)),1,0))</f>
        <v/>
      </c>
      <c r="C925">
        <f>C924+B925</f>
        <v/>
      </c>
      <c r="D925">
        <f>IF(B925=1,INDEX('Data Entry'!$H$5:$BE$10004,925-4,'Visual SPC'!$B$3),"")</f>
        <v/>
      </c>
      <c r="E925">
        <f>IF(B925=1,D925,E924)</f>
        <v/>
      </c>
      <c r="F925">
        <f>IF(AND(B925=1,C925&gt;1,E924&lt;&gt;""),ABS(D925-E924),"")</f>
        <v/>
      </c>
    </row>
    <row r="926">
      <c r="A926" t="n">
        <v>926</v>
      </c>
      <c r="B926">
        <f>IF(INDEX('Data Entry'!$H$5:$BE$10004,926-4,'Visual SPC'!$B$3)="",0,IF(AND(OR('Visual SPC'!$C$4="",'Data Entry'!$C926&gt;='Visual SPC'!$C$4),OR('Visual SPC'!$E$4="",'Data Entry'!$C926&lt;='Visual SPC'!$E$4),OR('Visual SPC'!$G$4="",'Data Entry'!$D926='Visual SPC'!$G$4),OR('Visual SPC'!$I$4="",'Data Entry'!$E926='Visual SPC'!$I$4),OR('Visual SPC'!$K$4="",'Data Entry'!$F926='Visual SPC'!$K$4)),1,0))</f>
        <v/>
      </c>
      <c r="C926">
        <f>C925+B926</f>
        <v/>
      </c>
      <c r="D926">
        <f>IF(B926=1,INDEX('Data Entry'!$H$5:$BE$10004,926-4,'Visual SPC'!$B$3),"")</f>
        <v/>
      </c>
      <c r="E926">
        <f>IF(B926=1,D926,E925)</f>
        <v/>
      </c>
      <c r="F926">
        <f>IF(AND(B926=1,C926&gt;1,E925&lt;&gt;""),ABS(D926-E925),"")</f>
        <v/>
      </c>
    </row>
    <row r="927">
      <c r="A927" t="n">
        <v>927</v>
      </c>
      <c r="B927">
        <f>IF(INDEX('Data Entry'!$H$5:$BE$10004,927-4,'Visual SPC'!$B$3)="",0,IF(AND(OR('Visual SPC'!$C$4="",'Data Entry'!$C927&gt;='Visual SPC'!$C$4),OR('Visual SPC'!$E$4="",'Data Entry'!$C927&lt;='Visual SPC'!$E$4),OR('Visual SPC'!$G$4="",'Data Entry'!$D927='Visual SPC'!$G$4),OR('Visual SPC'!$I$4="",'Data Entry'!$E927='Visual SPC'!$I$4),OR('Visual SPC'!$K$4="",'Data Entry'!$F927='Visual SPC'!$K$4)),1,0))</f>
        <v/>
      </c>
      <c r="C927">
        <f>C926+B927</f>
        <v/>
      </c>
      <c r="D927">
        <f>IF(B927=1,INDEX('Data Entry'!$H$5:$BE$10004,927-4,'Visual SPC'!$B$3),"")</f>
        <v/>
      </c>
      <c r="E927">
        <f>IF(B927=1,D927,E926)</f>
        <v/>
      </c>
      <c r="F927">
        <f>IF(AND(B927=1,C927&gt;1,E926&lt;&gt;""),ABS(D927-E926),"")</f>
        <v/>
      </c>
    </row>
    <row r="928">
      <c r="A928" t="n">
        <v>928</v>
      </c>
      <c r="B928">
        <f>IF(INDEX('Data Entry'!$H$5:$BE$10004,928-4,'Visual SPC'!$B$3)="",0,IF(AND(OR('Visual SPC'!$C$4="",'Data Entry'!$C928&gt;='Visual SPC'!$C$4),OR('Visual SPC'!$E$4="",'Data Entry'!$C928&lt;='Visual SPC'!$E$4),OR('Visual SPC'!$G$4="",'Data Entry'!$D928='Visual SPC'!$G$4),OR('Visual SPC'!$I$4="",'Data Entry'!$E928='Visual SPC'!$I$4),OR('Visual SPC'!$K$4="",'Data Entry'!$F928='Visual SPC'!$K$4)),1,0))</f>
        <v/>
      </c>
      <c r="C928">
        <f>C927+B928</f>
        <v/>
      </c>
      <c r="D928">
        <f>IF(B928=1,INDEX('Data Entry'!$H$5:$BE$10004,928-4,'Visual SPC'!$B$3),"")</f>
        <v/>
      </c>
      <c r="E928">
        <f>IF(B928=1,D928,E927)</f>
        <v/>
      </c>
      <c r="F928">
        <f>IF(AND(B928=1,C928&gt;1,E927&lt;&gt;""),ABS(D928-E927),"")</f>
        <v/>
      </c>
    </row>
    <row r="929">
      <c r="A929" t="n">
        <v>929</v>
      </c>
      <c r="B929">
        <f>IF(INDEX('Data Entry'!$H$5:$BE$10004,929-4,'Visual SPC'!$B$3)="",0,IF(AND(OR('Visual SPC'!$C$4="",'Data Entry'!$C929&gt;='Visual SPC'!$C$4),OR('Visual SPC'!$E$4="",'Data Entry'!$C929&lt;='Visual SPC'!$E$4),OR('Visual SPC'!$G$4="",'Data Entry'!$D929='Visual SPC'!$G$4),OR('Visual SPC'!$I$4="",'Data Entry'!$E929='Visual SPC'!$I$4),OR('Visual SPC'!$K$4="",'Data Entry'!$F929='Visual SPC'!$K$4)),1,0))</f>
        <v/>
      </c>
      <c r="C929">
        <f>C928+B929</f>
        <v/>
      </c>
      <c r="D929">
        <f>IF(B929=1,INDEX('Data Entry'!$H$5:$BE$10004,929-4,'Visual SPC'!$B$3),"")</f>
        <v/>
      </c>
      <c r="E929">
        <f>IF(B929=1,D929,E928)</f>
        <v/>
      </c>
      <c r="F929">
        <f>IF(AND(B929=1,C929&gt;1,E928&lt;&gt;""),ABS(D929-E928),"")</f>
        <v/>
      </c>
    </row>
    <row r="930">
      <c r="A930" t="n">
        <v>930</v>
      </c>
      <c r="B930">
        <f>IF(INDEX('Data Entry'!$H$5:$BE$10004,930-4,'Visual SPC'!$B$3)="",0,IF(AND(OR('Visual SPC'!$C$4="",'Data Entry'!$C930&gt;='Visual SPC'!$C$4),OR('Visual SPC'!$E$4="",'Data Entry'!$C930&lt;='Visual SPC'!$E$4),OR('Visual SPC'!$G$4="",'Data Entry'!$D930='Visual SPC'!$G$4),OR('Visual SPC'!$I$4="",'Data Entry'!$E930='Visual SPC'!$I$4),OR('Visual SPC'!$K$4="",'Data Entry'!$F930='Visual SPC'!$K$4)),1,0))</f>
        <v/>
      </c>
      <c r="C930">
        <f>C929+B930</f>
        <v/>
      </c>
      <c r="D930">
        <f>IF(B930=1,INDEX('Data Entry'!$H$5:$BE$10004,930-4,'Visual SPC'!$B$3),"")</f>
        <v/>
      </c>
      <c r="E930">
        <f>IF(B930=1,D930,E929)</f>
        <v/>
      </c>
      <c r="F930">
        <f>IF(AND(B930=1,C930&gt;1,E929&lt;&gt;""),ABS(D930-E929),"")</f>
        <v/>
      </c>
    </row>
    <row r="931">
      <c r="A931" t="n">
        <v>931</v>
      </c>
      <c r="B931">
        <f>IF(INDEX('Data Entry'!$H$5:$BE$10004,931-4,'Visual SPC'!$B$3)="",0,IF(AND(OR('Visual SPC'!$C$4="",'Data Entry'!$C931&gt;='Visual SPC'!$C$4),OR('Visual SPC'!$E$4="",'Data Entry'!$C931&lt;='Visual SPC'!$E$4),OR('Visual SPC'!$G$4="",'Data Entry'!$D931='Visual SPC'!$G$4),OR('Visual SPC'!$I$4="",'Data Entry'!$E931='Visual SPC'!$I$4),OR('Visual SPC'!$K$4="",'Data Entry'!$F931='Visual SPC'!$K$4)),1,0))</f>
        <v/>
      </c>
      <c r="C931">
        <f>C930+B931</f>
        <v/>
      </c>
      <c r="D931">
        <f>IF(B931=1,INDEX('Data Entry'!$H$5:$BE$10004,931-4,'Visual SPC'!$B$3),"")</f>
        <v/>
      </c>
      <c r="E931">
        <f>IF(B931=1,D931,E930)</f>
        <v/>
      </c>
      <c r="F931">
        <f>IF(AND(B931=1,C931&gt;1,E930&lt;&gt;""),ABS(D931-E930),"")</f>
        <v/>
      </c>
    </row>
    <row r="932">
      <c r="A932" t="n">
        <v>932</v>
      </c>
      <c r="B932">
        <f>IF(INDEX('Data Entry'!$H$5:$BE$10004,932-4,'Visual SPC'!$B$3)="",0,IF(AND(OR('Visual SPC'!$C$4="",'Data Entry'!$C932&gt;='Visual SPC'!$C$4),OR('Visual SPC'!$E$4="",'Data Entry'!$C932&lt;='Visual SPC'!$E$4),OR('Visual SPC'!$G$4="",'Data Entry'!$D932='Visual SPC'!$G$4),OR('Visual SPC'!$I$4="",'Data Entry'!$E932='Visual SPC'!$I$4),OR('Visual SPC'!$K$4="",'Data Entry'!$F932='Visual SPC'!$K$4)),1,0))</f>
        <v/>
      </c>
      <c r="C932">
        <f>C931+B932</f>
        <v/>
      </c>
      <c r="D932">
        <f>IF(B932=1,INDEX('Data Entry'!$H$5:$BE$10004,932-4,'Visual SPC'!$B$3),"")</f>
        <v/>
      </c>
      <c r="E932">
        <f>IF(B932=1,D932,E931)</f>
        <v/>
      </c>
      <c r="F932">
        <f>IF(AND(B932=1,C932&gt;1,E931&lt;&gt;""),ABS(D932-E931),"")</f>
        <v/>
      </c>
    </row>
    <row r="933">
      <c r="A933" t="n">
        <v>933</v>
      </c>
      <c r="B933">
        <f>IF(INDEX('Data Entry'!$H$5:$BE$10004,933-4,'Visual SPC'!$B$3)="",0,IF(AND(OR('Visual SPC'!$C$4="",'Data Entry'!$C933&gt;='Visual SPC'!$C$4),OR('Visual SPC'!$E$4="",'Data Entry'!$C933&lt;='Visual SPC'!$E$4),OR('Visual SPC'!$G$4="",'Data Entry'!$D933='Visual SPC'!$G$4),OR('Visual SPC'!$I$4="",'Data Entry'!$E933='Visual SPC'!$I$4),OR('Visual SPC'!$K$4="",'Data Entry'!$F933='Visual SPC'!$K$4)),1,0))</f>
        <v/>
      </c>
      <c r="C933">
        <f>C932+B933</f>
        <v/>
      </c>
      <c r="D933">
        <f>IF(B933=1,INDEX('Data Entry'!$H$5:$BE$10004,933-4,'Visual SPC'!$B$3),"")</f>
        <v/>
      </c>
      <c r="E933">
        <f>IF(B933=1,D933,E932)</f>
        <v/>
      </c>
      <c r="F933">
        <f>IF(AND(B933=1,C933&gt;1,E932&lt;&gt;""),ABS(D933-E932),"")</f>
        <v/>
      </c>
    </row>
    <row r="934">
      <c r="A934" t="n">
        <v>934</v>
      </c>
      <c r="B934">
        <f>IF(INDEX('Data Entry'!$H$5:$BE$10004,934-4,'Visual SPC'!$B$3)="",0,IF(AND(OR('Visual SPC'!$C$4="",'Data Entry'!$C934&gt;='Visual SPC'!$C$4),OR('Visual SPC'!$E$4="",'Data Entry'!$C934&lt;='Visual SPC'!$E$4),OR('Visual SPC'!$G$4="",'Data Entry'!$D934='Visual SPC'!$G$4),OR('Visual SPC'!$I$4="",'Data Entry'!$E934='Visual SPC'!$I$4),OR('Visual SPC'!$K$4="",'Data Entry'!$F934='Visual SPC'!$K$4)),1,0))</f>
        <v/>
      </c>
      <c r="C934">
        <f>C933+B934</f>
        <v/>
      </c>
      <c r="D934">
        <f>IF(B934=1,INDEX('Data Entry'!$H$5:$BE$10004,934-4,'Visual SPC'!$B$3),"")</f>
        <v/>
      </c>
      <c r="E934">
        <f>IF(B934=1,D934,E933)</f>
        <v/>
      </c>
      <c r="F934">
        <f>IF(AND(B934=1,C934&gt;1,E933&lt;&gt;""),ABS(D934-E933),"")</f>
        <v/>
      </c>
    </row>
    <row r="935">
      <c r="A935" t="n">
        <v>935</v>
      </c>
      <c r="B935">
        <f>IF(INDEX('Data Entry'!$H$5:$BE$10004,935-4,'Visual SPC'!$B$3)="",0,IF(AND(OR('Visual SPC'!$C$4="",'Data Entry'!$C935&gt;='Visual SPC'!$C$4),OR('Visual SPC'!$E$4="",'Data Entry'!$C935&lt;='Visual SPC'!$E$4),OR('Visual SPC'!$G$4="",'Data Entry'!$D935='Visual SPC'!$G$4),OR('Visual SPC'!$I$4="",'Data Entry'!$E935='Visual SPC'!$I$4),OR('Visual SPC'!$K$4="",'Data Entry'!$F935='Visual SPC'!$K$4)),1,0))</f>
        <v/>
      </c>
      <c r="C935">
        <f>C934+B935</f>
        <v/>
      </c>
      <c r="D935">
        <f>IF(B935=1,INDEX('Data Entry'!$H$5:$BE$10004,935-4,'Visual SPC'!$B$3),"")</f>
        <v/>
      </c>
      <c r="E935">
        <f>IF(B935=1,D935,E934)</f>
        <v/>
      </c>
      <c r="F935">
        <f>IF(AND(B935=1,C935&gt;1,E934&lt;&gt;""),ABS(D935-E934),"")</f>
        <v/>
      </c>
    </row>
    <row r="936">
      <c r="A936" t="n">
        <v>936</v>
      </c>
      <c r="B936">
        <f>IF(INDEX('Data Entry'!$H$5:$BE$10004,936-4,'Visual SPC'!$B$3)="",0,IF(AND(OR('Visual SPC'!$C$4="",'Data Entry'!$C936&gt;='Visual SPC'!$C$4),OR('Visual SPC'!$E$4="",'Data Entry'!$C936&lt;='Visual SPC'!$E$4),OR('Visual SPC'!$G$4="",'Data Entry'!$D936='Visual SPC'!$G$4),OR('Visual SPC'!$I$4="",'Data Entry'!$E936='Visual SPC'!$I$4),OR('Visual SPC'!$K$4="",'Data Entry'!$F936='Visual SPC'!$K$4)),1,0))</f>
        <v/>
      </c>
      <c r="C936">
        <f>C935+B936</f>
        <v/>
      </c>
      <c r="D936">
        <f>IF(B936=1,INDEX('Data Entry'!$H$5:$BE$10004,936-4,'Visual SPC'!$B$3),"")</f>
        <v/>
      </c>
      <c r="E936">
        <f>IF(B936=1,D936,E935)</f>
        <v/>
      </c>
      <c r="F936">
        <f>IF(AND(B936=1,C936&gt;1,E935&lt;&gt;""),ABS(D936-E935),"")</f>
        <v/>
      </c>
    </row>
    <row r="937">
      <c r="A937" t="n">
        <v>937</v>
      </c>
      <c r="B937">
        <f>IF(INDEX('Data Entry'!$H$5:$BE$10004,937-4,'Visual SPC'!$B$3)="",0,IF(AND(OR('Visual SPC'!$C$4="",'Data Entry'!$C937&gt;='Visual SPC'!$C$4),OR('Visual SPC'!$E$4="",'Data Entry'!$C937&lt;='Visual SPC'!$E$4),OR('Visual SPC'!$G$4="",'Data Entry'!$D937='Visual SPC'!$G$4),OR('Visual SPC'!$I$4="",'Data Entry'!$E937='Visual SPC'!$I$4),OR('Visual SPC'!$K$4="",'Data Entry'!$F937='Visual SPC'!$K$4)),1,0))</f>
        <v/>
      </c>
      <c r="C937">
        <f>C936+B937</f>
        <v/>
      </c>
      <c r="D937">
        <f>IF(B937=1,INDEX('Data Entry'!$H$5:$BE$10004,937-4,'Visual SPC'!$B$3),"")</f>
        <v/>
      </c>
      <c r="E937">
        <f>IF(B937=1,D937,E936)</f>
        <v/>
      </c>
      <c r="F937">
        <f>IF(AND(B937=1,C937&gt;1,E936&lt;&gt;""),ABS(D937-E936),"")</f>
        <v/>
      </c>
    </row>
    <row r="938">
      <c r="A938" t="n">
        <v>938</v>
      </c>
      <c r="B938">
        <f>IF(INDEX('Data Entry'!$H$5:$BE$10004,938-4,'Visual SPC'!$B$3)="",0,IF(AND(OR('Visual SPC'!$C$4="",'Data Entry'!$C938&gt;='Visual SPC'!$C$4),OR('Visual SPC'!$E$4="",'Data Entry'!$C938&lt;='Visual SPC'!$E$4),OR('Visual SPC'!$G$4="",'Data Entry'!$D938='Visual SPC'!$G$4),OR('Visual SPC'!$I$4="",'Data Entry'!$E938='Visual SPC'!$I$4),OR('Visual SPC'!$K$4="",'Data Entry'!$F938='Visual SPC'!$K$4)),1,0))</f>
        <v/>
      </c>
      <c r="C938">
        <f>C937+B938</f>
        <v/>
      </c>
      <c r="D938">
        <f>IF(B938=1,INDEX('Data Entry'!$H$5:$BE$10004,938-4,'Visual SPC'!$B$3),"")</f>
        <v/>
      </c>
      <c r="E938">
        <f>IF(B938=1,D938,E937)</f>
        <v/>
      </c>
      <c r="F938">
        <f>IF(AND(B938=1,C938&gt;1,E937&lt;&gt;""),ABS(D938-E937),"")</f>
        <v/>
      </c>
    </row>
    <row r="939">
      <c r="A939" t="n">
        <v>939</v>
      </c>
      <c r="B939">
        <f>IF(INDEX('Data Entry'!$H$5:$BE$10004,939-4,'Visual SPC'!$B$3)="",0,IF(AND(OR('Visual SPC'!$C$4="",'Data Entry'!$C939&gt;='Visual SPC'!$C$4),OR('Visual SPC'!$E$4="",'Data Entry'!$C939&lt;='Visual SPC'!$E$4),OR('Visual SPC'!$G$4="",'Data Entry'!$D939='Visual SPC'!$G$4),OR('Visual SPC'!$I$4="",'Data Entry'!$E939='Visual SPC'!$I$4),OR('Visual SPC'!$K$4="",'Data Entry'!$F939='Visual SPC'!$K$4)),1,0))</f>
        <v/>
      </c>
      <c r="C939">
        <f>C938+B939</f>
        <v/>
      </c>
      <c r="D939">
        <f>IF(B939=1,INDEX('Data Entry'!$H$5:$BE$10004,939-4,'Visual SPC'!$B$3),"")</f>
        <v/>
      </c>
      <c r="E939">
        <f>IF(B939=1,D939,E938)</f>
        <v/>
      </c>
      <c r="F939">
        <f>IF(AND(B939=1,C939&gt;1,E938&lt;&gt;""),ABS(D939-E938),"")</f>
        <v/>
      </c>
    </row>
    <row r="940">
      <c r="A940" t="n">
        <v>940</v>
      </c>
      <c r="B940">
        <f>IF(INDEX('Data Entry'!$H$5:$BE$10004,940-4,'Visual SPC'!$B$3)="",0,IF(AND(OR('Visual SPC'!$C$4="",'Data Entry'!$C940&gt;='Visual SPC'!$C$4),OR('Visual SPC'!$E$4="",'Data Entry'!$C940&lt;='Visual SPC'!$E$4),OR('Visual SPC'!$G$4="",'Data Entry'!$D940='Visual SPC'!$G$4),OR('Visual SPC'!$I$4="",'Data Entry'!$E940='Visual SPC'!$I$4),OR('Visual SPC'!$K$4="",'Data Entry'!$F940='Visual SPC'!$K$4)),1,0))</f>
        <v/>
      </c>
      <c r="C940">
        <f>C939+B940</f>
        <v/>
      </c>
      <c r="D940">
        <f>IF(B940=1,INDEX('Data Entry'!$H$5:$BE$10004,940-4,'Visual SPC'!$B$3),"")</f>
        <v/>
      </c>
      <c r="E940">
        <f>IF(B940=1,D940,E939)</f>
        <v/>
      </c>
      <c r="F940">
        <f>IF(AND(B940=1,C940&gt;1,E939&lt;&gt;""),ABS(D940-E939),"")</f>
        <v/>
      </c>
    </row>
    <row r="941">
      <c r="A941" t="n">
        <v>941</v>
      </c>
      <c r="B941">
        <f>IF(INDEX('Data Entry'!$H$5:$BE$10004,941-4,'Visual SPC'!$B$3)="",0,IF(AND(OR('Visual SPC'!$C$4="",'Data Entry'!$C941&gt;='Visual SPC'!$C$4),OR('Visual SPC'!$E$4="",'Data Entry'!$C941&lt;='Visual SPC'!$E$4),OR('Visual SPC'!$G$4="",'Data Entry'!$D941='Visual SPC'!$G$4),OR('Visual SPC'!$I$4="",'Data Entry'!$E941='Visual SPC'!$I$4),OR('Visual SPC'!$K$4="",'Data Entry'!$F941='Visual SPC'!$K$4)),1,0))</f>
        <v/>
      </c>
      <c r="C941">
        <f>C940+B941</f>
        <v/>
      </c>
      <c r="D941">
        <f>IF(B941=1,INDEX('Data Entry'!$H$5:$BE$10004,941-4,'Visual SPC'!$B$3),"")</f>
        <v/>
      </c>
      <c r="E941">
        <f>IF(B941=1,D941,E940)</f>
        <v/>
      </c>
      <c r="F941">
        <f>IF(AND(B941=1,C941&gt;1,E940&lt;&gt;""),ABS(D941-E940),"")</f>
        <v/>
      </c>
    </row>
    <row r="942">
      <c r="A942" t="n">
        <v>942</v>
      </c>
      <c r="B942">
        <f>IF(INDEX('Data Entry'!$H$5:$BE$10004,942-4,'Visual SPC'!$B$3)="",0,IF(AND(OR('Visual SPC'!$C$4="",'Data Entry'!$C942&gt;='Visual SPC'!$C$4),OR('Visual SPC'!$E$4="",'Data Entry'!$C942&lt;='Visual SPC'!$E$4),OR('Visual SPC'!$G$4="",'Data Entry'!$D942='Visual SPC'!$G$4),OR('Visual SPC'!$I$4="",'Data Entry'!$E942='Visual SPC'!$I$4),OR('Visual SPC'!$K$4="",'Data Entry'!$F942='Visual SPC'!$K$4)),1,0))</f>
        <v/>
      </c>
      <c r="C942">
        <f>C941+B942</f>
        <v/>
      </c>
      <c r="D942">
        <f>IF(B942=1,INDEX('Data Entry'!$H$5:$BE$10004,942-4,'Visual SPC'!$B$3),"")</f>
        <v/>
      </c>
      <c r="E942">
        <f>IF(B942=1,D942,E941)</f>
        <v/>
      </c>
      <c r="F942">
        <f>IF(AND(B942=1,C942&gt;1,E941&lt;&gt;""),ABS(D942-E941),"")</f>
        <v/>
      </c>
    </row>
    <row r="943">
      <c r="A943" t="n">
        <v>943</v>
      </c>
      <c r="B943">
        <f>IF(INDEX('Data Entry'!$H$5:$BE$10004,943-4,'Visual SPC'!$B$3)="",0,IF(AND(OR('Visual SPC'!$C$4="",'Data Entry'!$C943&gt;='Visual SPC'!$C$4),OR('Visual SPC'!$E$4="",'Data Entry'!$C943&lt;='Visual SPC'!$E$4),OR('Visual SPC'!$G$4="",'Data Entry'!$D943='Visual SPC'!$G$4),OR('Visual SPC'!$I$4="",'Data Entry'!$E943='Visual SPC'!$I$4),OR('Visual SPC'!$K$4="",'Data Entry'!$F943='Visual SPC'!$K$4)),1,0))</f>
        <v/>
      </c>
      <c r="C943">
        <f>C942+B943</f>
        <v/>
      </c>
      <c r="D943">
        <f>IF(B943=1,INDEX('Data Entry'!$H$5:$BE$10004,943-4,'Visual SPC'!$B$3),"")</f>
        <v/>
      </c>
      <c r="E943">
        <f>IF(B943=1,D943,E942)</f>
        <v/>
      </c>
      <c r="F943">
        <f>IF(AND(B943=1,C943&gt;1,E942&lt;&gt;""),ABS(D943-E942),"")</f>
        <v/>
      </c>
    </row>
    <row r="944">
      <c r="A944" t="n">
        <v>944</v>
      </c>
      <c r="B944">
        <f>IF(INDEX('Data Entry'!$H$5:$BE$10004,944-4,'Visual SPC'!$B$3)="",0,IF(AND(OR('Visual SPC'!$C$4="",'Data Entry'!$C944&gt;='Visual SPC'!$C$4),OR('Visual SPC'!$E$4="",'Data Entry'!$C944&lt;='Visual SPC'!$E$4),OR('Visual SPC'!$G$4="",'Data Entry'!$D944='Visual SPC'!$G$4),OR('Visual SPC'!$I$4="",'Data Entry'!$E944='Visual SPC'!$I$4),OR('Visual SPC'!$K$4="",'Data Entry'!$F944='Visual SPC'!$K$4)),1,0))</f>
        <v/>
      </c>
      <c r="C944">
        <f>C943+B944</f>
        <v/>
      </c>
      <c r="D944">
        <f>IF(B944=1,INDEX('Data Entry'!$H$5:$BE$10004,944-4,'Visual SPC'!$B$3),"")</f>
        <v/>
      </c>
      <c r="E944">
        <f>IF(B944=1,D944,E943)</f>
        <v/>
      </c>
      <c r="F944">
        <f>IF(AND(B944=1,C944&gt;1,E943&lt;&gt;""),ABS(D944-E943),"")</f>
        <v/>
      </c>
    </row>
    <row r="945">
      <c r="A945" t="n">
        <v>945</v>
      </c>
      <c r="B945">
        <f>IF(INDEX('Data Entry'!$H$5:$BE$10004,945-4,'Visual SPC'!$B$3)="",0,IF(AND(OR('Visual SPC'!$C$4="",'Data Entry'!$C945&gt;='Visual SPC'!$C$4),OR('Visual SPC'!$E$4="",'Data Entry'!$C945&lt;='Visual SPC'!$E$4),OR('Visual SPC'!$G$4="",'Data Entry'!$D945='Visual SPC'!$G$4),OR('Visual SPC'!$I$4="",'Data Entry'!$E945='Visual SPC'!$I$4),OR('Visual SPC'!$K$4="",'Data Entry'!$F945='Visual SPC'!$K$4)),1,0))</f>
        <v/>
      </c>
      <c r="C945">
        <f>C944+B945</f>
        <v/>
      </c>
      <c r="D945">
        <f>IF(B945=1,INDEX('Data Entry'!$H$5:$BE$10004,945-4,'Visual SPC'!$B$3),"")</f>
        <v/>
      </c>
      <c r="E945">
        <f>IF(B945=1,D945,E944)</f>
        <v/>
      </c>
      <c r="F945">
        <f>IF(AND(B945=1,C945&gt;1,E944&lt;&gt;""),ABS(D945-E944),"")</f>
        <v/>
      </c>
    </row>
    <row r="946">
      <c r="A946" t="n">
        <v>946</v>
      </c>
      <c r="B946">
        <f>IF(INDEX('Data Entry'!$H$5:$BE$10004,946-4,'Visual SPC'!$B$3)="",0,IF(AND(OR('Visual SPC'!$C$4="",'Data Entry'!$C946&gt;='Visual SPC'!$C$4),OR('Visual SPC'!$E$4="",'Data Entry'!$C946&lt;='Visual SPC'!$E$4),OR('Visual SPC'!$G$4="",'Data Entry'!$D946='Visual SPC'!$G$4),OR('Visual SPC'!$I$4="",'Data Entry'!$E946='Visual SPC'!$I$4),OR('Visual SPC'!$K$4="",'Data Entry'!$F946='Visual SPC'!$K$4)),1,0))</f>
        <v/>
      </c>
      <c r="C946">
        <f>C945+B946</f>
        <v/>
      </c>
      <c r="D946">
        <f>IF(B946=1,INDEX('Data Entry'!$H$5:$BE$10004,946-4,'Visual SPC'!$B$3),"")</f>
        <v/>
      </c>
      <c r="E946">
        <f>IF(B946=1,D946,E945)</f>
        <v/>
      </c>
      <c r="F946">
        <f>IF(AND(B946=1,C946&gt;1,E945&lt;&gt;""),ABS(D946-E945),"")</f>
        <v/>
      </c>
    </row>
    <row r="947">
      <c r="A947" t="n">
        <v>947</v>
      </c>
      <c r="B947">
        <f>IF(INDEX('Data Entry'!$H$5:$BE$10004,947-4,'Visual SPC'!$B$3)="",0,IF(AND(OR('Visual SPC'!$C$4="",'Data Entry'!$C947&gt;='Visual SPC'!$C$4),OR('Visual SPC'!$E$4="",'Data Entry'!$C947&lt;='Visual SPC'!$E$4),OR('Visual SPC'!$G$4="",'Data Entry'!$D947='Visual SPC'!$G$4),OR('Visual SPC'!$I$4="",'Data Entry'!$E947='Visual SPC'!$I$4),OR('Visual SPC'!$K$4="",'Data Entry'!$F947='Visual SPC'!$K$4)),1,0))</f>
        <v/>
      </c>
      <c r="C947">
        <f>C946+B947</f>
        <v/>
      </c>
      <c r="D947">
        <f>IF(B947=1,INDEX('Data Entry'!$H$5:$BE$10004,947-4,'Visual SPC'!$B$3),"")</f>
        <v/>
      </c>
      <c r="E947">
        <f>IF(B947=1,D947,E946)</f>
        <v/>
      </c>
      <c r="F947">
        <f>IF(AND(B947=1,C947&gt;1,E946&lt;&gt;""),ABS(D947-E946),"")</f>
        <v/>
      </c>
    </row>
    <row r="948">
      <c r="A948" t="n">
        <v>948</v>
      </c>
      <c r="B948">
        <f>IF(INDEX('Data Entry'!$H$5:$BE$10004,948-4,'Visual SPC'!$B$3)="",0,IF(AND(OR('Visual SPC'!$C$4="",'Data Entry'!$C948&gt;='Visual SPC'!$C$4),OR('Visual SPC'!$E$4="",'Data Entry'!$C948&lt;='Visual SPC'!$E$4),OR('Visual SPC'!$G$4="",'Data Entry'!$D948='Visual SPC'!$G$4),OR('Visual SPC'!$I$4="",'Data Entry'!$E948='Visual SPC'!$I$4),OR('Visual SPC'!$K$4="",'Data Entry'!$F948='Visual SPC'!$K$4)),1,0))</f>
        <v/>
      </c>
      <c r="C948">
        <f>C947+B948</f>
        <v/>
      </c>
      <c r="D948">
        <f>IF(B948=1,INDEX('Data Entry'!$H$5:$BE$10004,948-4,'Visual SPC'!$B$3),"")</f>
        <v/>
      </c>
      <c r="E948">
        <f>IF(B948=1,D948,E947)</f>
        <v/>
      </c>
      <c r="F948">
        <f>IF(AND(B948=1,C948&gt;1,E947&lt;&gt;""),ABS(D948-E947),"")</f>
        <v/>
      </c>
    </row>
    <row r="949">
      <c r="A949" t="n">
        <v>949</v>
      </c>
      <c r="B949">
        <f>IF(INDEX('Data Entry'!$H$5:$BE$10004,949-4,'Visual SPC'!$B$3)="",0,IF(AND(OR('Visual SPC'!$C$4="",'Data Entry'!$C949&gt;='Visual SPC'!$C$4),OR('Visual SPC'!$E$4="",'Data Entry'!$C949&lt;='Visual SPC'!$E$4),OR('Visual SPC'!$G$4="",'Data Entry'!$D949='Visual SPC'!$G$4),OR('Visual SPC'!$I$4="",'Data Entry'!$E949='Visual SPC'!$I$4),OR('Visual SPC'!$K$4="",'Data Entry'!$F949='Visual SPC'!$K$4)),1,0))</f>
        <v/>
      </c>
      <c r="C949">
        <f>C948+B949</f>
        <v/>
      </c>
      <c r="D949">
        <f>IF(B949=1,INDEX('Data Entry'!$H$5:$BE$10004,949-4,'Visual SPC'!$B$3),"")</f>
        <v/>
      </c>
      <c r="E949">
        <f>IF(B949=1,D949,E948)</f>
        <v/>
      </c>
      <c r="F949">
        <f>IF(AND(B949=1,C949&gt;1,E948&lt;&gt;""),ABS(D949-E948),"")</f>
        <v/>
      </c>
    </row>
    <row r="950">
      <c r="A950" t="n">
        <v>950</v>
      </c>
      <c r="B950">
        <f>IF(INDEX('Data Entry'!$H$5:$BE$10004,950-4,'Visual SPC'!$B$3)="",0,IF(AND(OR('Visual SPC'!$C$4="",'Data Entry'!$C950&gt;='Visual SPC'!$C$4),OR('Visual SPC'!$E$4="",'Data Entry'!$C950&lt;='Visual SPC'!$E$4),OR('Visual SPC'!$G$4="",'Data Entry'!$D950='Visual SPC'!$G$4),OR('Visual SPC'!$I$4="",'Data Entry'!$E950='Visual SPC'!$I$4),OR('Visual SPC'!$K$4="",'Data Entry'!$F950='Visual SPC'!$K$4)),1,0))</f>
        <v/>
      </c>
      <c r="C950">
        <f>C949+B950</f>
        <v/>
      </c>
      <c r="D950">
        <f>IF(B950=1,INDEX('Data Entry'!$H$5:$BE$10004,950-4,'Visual SPC'!$B$3),"")</f>
        <v/>
      </c>
      <c r="E950">
        <f>IF(B950=1,D950,E949)</f>
        <v/>
      </c>
      <c r="F950">
        <f>IF(AND(B950=1,C950&gt;1,E949&lt;&gt;""),ABS(D950-E949),"")</f>
        <v/>
      </c>
    </row>
    <row r="951">
      <c r="A951" t="n">
        <v>951</v>
      </c>
      <c r="B951">
        <f>IF(INDEX('Data Entry'!$H$5:$BE$10004,951-4,'Visual SPC'!$B$3)="",0,IF(AND(OR('Visual SPC'!$C$4="",'Data Entry'!$C951&gt;='Visual SPC'!$C$4),OR('Visual SPC'!$E$4="",'Data Entry'!$C951&lt;='Visual SPC'!$E$4),OR('Visual SPC'!$G$4="",'Data Entry'!$D951='Visual SPC'!$G$4),OR('Visual SPC'!$I$4="",'Data Entry'!$E951='Visual SPC'!$I$4),OR('Visual SPC'!$K$4="",'Data Entry'!$F951='Visual SPC'!$K$4)),1,0))</f>
        <v/>
      </c>
      <c r="C951">
        <f>C950+B951</f>
        <v/>
      </c>
      <c r="D951">
        <f>IF(B951=1,INDEX('Data Entry'!$H$5:$BE$10004,951-4,'Visual SPC'!$B$3),"")</f>
        <v/>
      </c>
      <c r="E951">
        <f>IF(B951=1,D951,E950)</f>
        <v/>
      </c>
      <c r="F951">
        <f>IF(AND(B951=1,C951&gt;1,E950&lt;&gt;""),ABS(D951-E950),"")</f>
        <v/>
      </c>
    </row>
    <row r="952">
      <c r="A952" t="n">
        <v>952</v>
      </c>
      <c r="B952">
        <f>IF(INDEX('Data Entry'!$H$5:$BE$10004,952-4,'Visual SPC'!$B$3)="",0,IF(AND(OR('Visual SPC'!$C$4="",'Data Entry'!$C952&gt;='Visual SPC'!$C$4),OR('Visual SPC'!$E$4="",'Data Entry'!$C952&lt;='Visual SPC'!$E$4),OR('Visual SPC'!$G$4="",'Data Entry'!$D952='Visual SPC'!$G$4),OR('Visual SPC'!$I$4="",'Data Entry'!$E952='Visual SPC'!$I$4),OR('Visual SPC'!$K$4="",'Data Entry'!$F952='Visual SPC'!$K$4)),1,0))</f>
        <v/>
      </c>
      <c r="C952">
        <f>C951+B952</f>
        <v/>
      </c>
      <c r="D952">
        <f>IF(B952=1,INDEX('Data Entry'!$H$5:$BE$10004,952-4,'Visual SPC'!$B$3),"")</f>
        <v/>
      </c>
      <c r="E952">
        <f>IF(B952=1,D952,E951)</f>
        <v/>
      </c>
      <c r="F952">
        <f>IF(AND(B952=1,C952&gt;1,E951&lt;&gt;""),ABS(D952-E951),"")</f>
        <v/>
      </c>
    </row>
    <row r="953">
      <c r="A953" t="n">
        <v>953</v>
      </c>
      <c r="B953">
        <f>IF(INDEX('Data Entry'!$H$5:$BE$10004,953-4,'Visual SPC'!$B$3)="",0,IF(AND(OR('Visual SPC'!$C$4="",'Data Entry'!$C953&gt;='Visual SPC'!$C$4),OR('Visual SPC'!$E$4="",'Data Entry'!$C953&lt;='Visual SPC'!$E$4),OR('Visual SPC'!$G$4="",'Data Entry'!$D953='Visual SPC'!$G$4),OR('Visual SPC'!$I$4="",'Data Entry'!$E953='Visual SPC'!$I$4),OR('Visual SPC'!$K$4="",'Data Entry'!$F953='Visual SPC'!$K$4)),1,0))</f>
        <v/>
      </c>
      <c r="C953">
        <f>C952+B953</f>
        <v/>
      </c>
      <c r="D953">
        <f>IF(B953=1,INDEX('Data Entry'!$H$5:$BE$10004,953-4,'Visual SPC'!$B$3),"")</f>
        <v/>
      </c>
      <c r="E953">
        <f>IF(B953=1,D953,E952)</f>
        <v/>
      </c>
      <c r="F953">
        <f>IF(AND(B953=1,C953&gt;1,E952&lt;&gt;""),ABS(D953-E952),"")</f>
        <v/>
      </c>
    </row>
    <row r="954">
      <c r="A954" t="n">
        <v>954</v>
      </c>
      <c r="B954">
        <f>IF(INDEX('Data Entry'!$H$5:$BE$10004,954-4,'Visual SPC'!$B$3)="",0,IF(AND(OR('Visual SPC'!$C$4="",'Data Entry'!$C954&gt;='Visual SPC'!$C$4),OR('Visual SPC'!$E$4="",'Data Entry'!$C954&lt;='Visual SPC'!$E$4),OR('Visual SPC'!$G$4="",'Data Entry'!$D954='Visual SPC'!$G$4),OR('Visual SPC'!$I$4="",'Data Entry'!$E954='Visual SPC'!$I$4),OR('Visual SPC'!$K$4="",'Data Entry'!$F954='Visual SPC'!$K$4)),1,0))</f>
        <v/>
      </c>
      <c r="C954">
        <f>C953+B954</f>
        <v/>
      </c>
      <c r="D954">
        <f>IF(B954=1,INDEX('Data Entry'!$H$5:$BE$10004,954-4,'Visual SPC'!$B$3),"")</f>
        <v/>
      </c>
      <c r="E954">
        <f>IF(B954=1,D954,E953)</f>
        <v/>
      </c>
      <c r="F954">
        <f>IF(AND(B954=1,C954&gt;1,E953&lt;&gt;""),ABS(D954-E953),"")</f>
        <v/>
      </c>
    </row>
    <row r="955">
      <c r="A955" t="n">
        <v>955</v>
      </c>
      <c r="B955">
        <f>IF(INDEX('Data Entry'!$H$5:$BE$10004,955-4,'Visual SPC'!$B$3)="",0,IF(AND(OR('Visual SPC'!$C$4="",'Data Entry'!$C955&gt;='Visual SPC'!$C$4),OR('Visual SPC'!$E$4="",'Data Entry'!$C955&lt;='Visual SPC'!$E$4),OR('Visual SPC'!$G$4="",'Data Entry'!$D955='Visual SPC'!$G$4),OR('Visual SPC'!$I$4="",'Data Entry'!$E955='Visual SPC'!$I$4),OR('Visual SPC'!$K$4="",'Data Entry'!$F955='Visual SPC'!$K$4)),1,0))</f>
        <v/>
      </c>
      <c r="C955">
        <f>C954+B955</f>
        <v/>
      </c>
      <c r="D955">
        <f>IF(B955=1,INDEX('Data Entry'!$H$5:$BE$10004,955-4,'Visual SPC'!$B$3),"")</f>
        <v/>
      </c>
      <c r="E955">
        <f>IF(B955=1,D955,E954)</f>
        <v/>
      </c>
      <c r="F955">
        <f>IF(AND(B955=1,C955&gt;1,E954&lt;&gt;""),ABS(D955-E954),"")</f>
        <v/>
      </c>
    </row>
    <row r="956">
      <c r="A956" t="n">
        <v>956</v>
      </c>
      <c r="B956">
        <f>IF(INDEX('Data Entry'!$H$5:$BE$10004,956-4,'Visual SPC'!$B$3)="",0,IF(AND(OR('Visual SPC'!$C$4="",'Data Entry'!$C956&gt;='Visual SPC'!$C$4),OR('Visual SPC'!$E$4="",'Data Entry'!$C956&lt;='Visual SPC'!$E$4),OR('Visual SPC'!$G$4="",'Data Entry'!$D956='Visual SPC'!$G$4),OR('Visual SPC'!$I$4="",'Data Entry'!$E956='Visual SPC'!$I$4),OR('Visual SPC'!$K$4="",'Data Entry'!$F956='Visual SPC'!$K$4)),1,0))</f>
        <v/>
      </c>
      <c r="C956">
        <f>C955+B956</f>
        <v/>
      </c>
      <c r="D956">
        <f>IF(B956=1,INDEX('Data Entry'!$H$5:$BE$10004,956-4,'Visual SPC'!$B$3),"")</f>
        <v/>
      </c>
      <c r="E956">
        <f>IF(B956=1,D956,E955)</f>
        <v/>
      </c>
      <c r="F956">
        <f>IF(AND(B956=1,C956&gt;1,E955&lt;&gt;""),ABS(D956-E955),"")</f>
        <v/>
      </c>
    </row>
    <row r="957">
      <c r="A957" t="n">
        <v>957</v>
      </c>
      <c r="B957">
        <f>IF(INDEX('Data Entry'!$H$5:$BE$10004,957-4,'Visual SPC'!$B$3)="",0,IF(AND(OR('Visual SPC'!$C$4="",'Data Entry'!$C957&gt;='Visual SPC'!$C$4),OR('Visual SPC'!$E$4="",'Data Entry'!$C957&lt;='Visual SPC'!$E$4),OR('Visual SPC'!$G$4="",'Data Entry'!$D957='Visual SPC'!$G$4),OR('Visual SPC'!$I$4="",'Data Entry'!$E957='Visual SPC'!$I$4),OR('Visual SPC'!$K$4="",'Data Entry'!$F957='Visual SPC'!$K$4)),1,0))</f>
        <v/>
      </c>
      <c r="C957">
        <f>C956+B957</f>
        <v/>
      </c>
      <c r="D957">
        <f>IF(B957=1,INDEX('Data Entry'!$H$5:$BE$10004,957-4,'Visual SPC'!$B$3),"")</f>
        <v/>
      </c>
      <c r="E957">
        <f>IF(B957=1,D957,E956)</f>
        <v/>
      </c>
      <c r="F957">
        <f>IF(AND(B957=1,C957&gt;1,E956&lt;&gt;""),ABS(D957-E956),"")</f>
        <v/>
      </c>
    </row>
    <row r="958">
      <c r="A958" t="n">
        <v>958</v>
      </c>
      <c r="B958">
        <f>IF(INDEX('Data Entry'!$H$5:$BE$10004,958-4,'Visual SPC'!$B$3)="",0,IF(AND(OR('Visual SPC'!$C$4="",'Data Entry'!$C958&gt;='Visual SPC'!$C$4),OR('Visual SPC'!$E$4="",'Data Entry'!$C958&lt;='Visual SPC'!$E$4),OR('Visual SPC'!$G$4="",'Data Entry'!$D958='Visual SPC'!$G$4),OR('Visual SPC'!$I$4="",'Data Entry'!$E958='Visual SPC'!$I$4),OR('Visual SPC'!$K$4="",'Data Entry'!$F958='Visual SPC'!$K$4)),1,0))</f>
        <v/>
      </c>
      <c r="C958">
        <f>C957+B958</f>
        <v/>
      </c>
      <c r="D958">
        <f>IF(B958=1,INDEX('Data Entry'!$H$5:$BE$10004,958-4,'Visual SPC'!$B$3),"")</f>
        <v/>
      </c>
      <c r="E958">
        <f>IF(B958=1,D958,E957)</f>
        <v/>
      </c>
      <c r="F958">
        <f>IF(AND(B958=1,C958&gt;1,E957&lt;&gt;""),ABS(D958-E957),"")</f>
        <v/>
      </c>
    </row>
    <row r="959">
      <c r="A959" t="n">
        <v>959</v>
      </c>
      <c r="B959">
        <f>IF(INDEX('Data Entry'!$H$5:$BE$10004,959-4,'Visual SPC'!$B$3)="",0,IF(AND(OR('Visual SPC'!$C$4="",'Data Entry'!$C959&gt;='Visual SPC'!$C$4),OR('Visual SPC'!$E$4="",'Data Entry'!$C959&lt;='Visual SPC'!$E$4),OR('Visual SPC'!$G$4="",'Data Entry'!$D959='Visual SPC'!$G$4),OR('Visual SPC'!$I$4="",'Data Entry'!$E959='Visual SPC'!$I$4),OR('Visual SPC'!$K$4="",'Data Entry'!$F959='Visual SPC'!$K$4)),1,0))</f>
        <v/>
      </c>
      <c r="C959">
        <f>C958+B959</f>
        <v/>
      </c>
      <c r="D959">
        <f>IF(B959=1,INDEX('Data Entry'!$H$5:$BE$10004,959-4,'Visual SPC'!$B$3),"")</f>
        <v/>
      </c>
      <c r="E959">
        <f>IF(B959=1,D959,E958)</f>
        <v/>
      </c>
      <c r="F959">
        <f>IF(AND(B959=1,C959&gt;1,E958&lt;&gt;""),ABS(D959-E958),"")</f>
        <v/>
      </c>
    </row>
    <row r="960">
      <c r="A960" t="n">
        <v>960</v>
      </c>
      <c r="B960">
        <f>IF(INDEX('Data Entry'!$H$5:$BE$10004,960-4,'Visual SPC'!$B$3)="",0,IF(AND(OR('Visual SPC'!$C$4="",'Data Entry'!$C960&gt;='Visual SPC'!$C$4),OR('Visual SPC'!$E$4="",'Data Entry'!$C960&lt;='Visual SPC'!$E$4),OR('Visual SPC'!$G$4="",'Data Entry'!$D960='Visual SPC'!$G$4),OR('Visual SPC'!$I$4="",'Data Entry'!$E960='Visual SPC'!$I$4),OR('Visual SPC'!$K$4="",'Data Entry'!$F960='Visual SPC'!$K$4)),1,0))</f>
        <v/>
      </c>
      <c r="C960">
        <f>C959+B960</f>
        <v/>
      </c>
      <c r="D960">
        <f>IF(B960=1,INDEX('Data Entry'!$H$5:$BE$10004,960-4,'Visual SPC'!$B$3),"")</f>
        <v/>
      </c>
      <c r="E960">
        <f>IF(B960=1,D960,E959)</f>
        <v/>
      </c>
      <c r="F960">
        <f>IF(AND(B960=1,C960&gt;1,E959&lt;&gt;""),ABS(D960-E959),"")</f>
        <v/>
      </c>
    </row>
    <row r="961">
      <c r="A961" t="n">
        <v>961</v>
      </c>
      <c r="B961">
        <f>IF(INDEX('Data Entry'!$H$5:$BE$10004,961-4,'Visual SPC'!$B$3)="",0,IF(AND(OR('Visual SPC'!$C$4="",'Data Entry'!$C961&gt;='Visual SPC'!$C$4),OR('Visual SPC'!$E$4="",'Data Entry'!$C961&lt;='Visual SPC'!$E$4),OR('Visual SPC'!$G$4="",'Data Entry'!$D961='Visual SPC'!$G$4),OR('Visual SPC'!$I$4="",'Data Entry'!$E961='Visual SPC'!$I$4),OR('Visual SPC'!$K$4="",'Data Entry'!$F961='Visual SPC'!$K$4)),1,0))</f>
        <v/>
      </c>
      <c r="C961">
        <f>C960+B961</f>
        <v/>
      </c>
      <c r="D961">
        <f>IF(B961=1,INDEX('Data Entry'!$H$5:$BE$10004,961-4,'Visual SPC'!$B$3),"")</f>
        <v/>
      </c>
      <c r="E961">
        <f>IF(B961=1,D961,E960)</f>
        <v/>
      </c>
      <c r="F961">
        <f>IF(AND(B961=1,C961&gt;1,E960&lt;&gt;""),ABS(D961-E960),"")</f>
        <v/>
      </c>
    </row>
    <row r="962">
      <c r="A962" t="n">
        <v>962</v>
      </c>
      <c r="B962">
        <f>IF(INDEX('Data Entry'!$H$5:$BE$10004,962-4,'Visual SPC'!$B$3)="",0,IF(AND(OR('Visual SPC'!$C$4="",'Data Entry'!$C962&gt;='Visual SPC'!$C$4),OR('Visual SPC'!$E$4="",'Data Entry'!$C962&lt;='Visual SPC'!$E$4),OR('Visual SPC'!$G$4="",'Data Entry'!$D962='Visual SPC'!$G$4),OR('Visual SPC'!$I$4="",'Data Entry'!$E962='Visual SPC'!$I$4),OR('Visual SPC'!$K$4="",'Data Entry'!$F962='Visual SPC'!$K$4)),1,0))</f>
        <v/>
      </c>
      <c r="C962">
        <f>C961+B962</f>
        <v/>
      </c>
      <c r="D962">
        <f>IF(B962=1,INDEX('Data Entry'!$H$5:$BE$10004,962-4,'Visual SPC'!$B$3),"")</f>
        <v/>
      </c>
      <c r="E962">
        <f>IF(B962=1,D962,E961)</f>
        <v/>
      </c>
      <c r="F962">
        <f>IF(AND(B962=1,C962&gt;1,E961&lt;&gt;""),ABS(D962-E961),"")</f>
        <v/>
      </c>
    </row>
    <row r="963">
      <c r="A963" t="n">
        <v>963</v>
      </c>
      <c r="B963">
        <f>IF(INDEX('Data Entry'!$H$5:$BE$10004,963-4,'Visual SPC'!$B$3)="",0,IF(AND(OR('Visual SPC'!$C$4="",'Data Entry'!$C963&gt;='Visual SPC'!$C$4),OR('Visual SPC'!$E$4="",'Data Entry'!$C963&lt;='Visual SPC'!$E$4),OR('Visual SPC'!$G$4="",'Data Entry'!$D963='Visual SPC'!$G$4),OR('Visual SPC'!$I$4="",'Data Entry'!$E963='Visual SPC'!$I$4),OR('Visual SPC'!$K$4="",'Data Entry'!$F963='Visual SPC'!$K$4)),1,0))</f>
        <v/>
      </c>
      <c r="C963">
        <f>C962+B963</f>
        <v/>
      </c>
      <c r="D963">
        <f>IF(B963=1,INDEX('Data Entry'!$H$5:$BE$10004,963-4,'Visual SPC'!$B$3),"")</f>
        <v/>
      </c>
      <c r="E963">
        <f>IF(B963=1,D963,E962)</f>
        <v/>
      </c>
      <c r="F963">
        <f>IF(AND(B963=1,C963&gt;1,E962&lt;&gt;""),ABS(D963-E962),"")</f>
        <v/>
      </c>
    </row>
    <row r="964">
      <c r="A964" t="n">
        <v>964</v>
      </c>
      <c r="B964">
        <f>IF(INDEX('Data Entry'!$H$5:$BE$10004,964-4,'Visual SPC'!$B$3)="",0,IF(AND(OR('Visual SPC'!$C$4="",'Data Entry'!$C964&gt;='Visual SPC'!$C$4),OR('Visual SPC'!$E$4="",'Data Entry'!$C964&lt;='Visual SPC'!$E$4),OR('Visual SPC'!$G$4="",'Data Entry'!$D964='Visual SPC'!$G$4),OR('Visual SPC'!$I$4="",'Data Entry'!$E964='Visual SPC'!$I$4),OR('Visual SPC'!$K$4="",'Data Entry'!$F964='Visual SPC'!$K$4)),1,0))</f>
        <v/>
      </c>
      <c r="C964">
        <f>C963+B964</f>
        <v/>
      </c>
      <c r="D964">
        <f>IF(B964=1,INDEX('Data Entry'!$H$5:$BE$10004,964-4,'Visual SPC'!$B$3),"")</f>
        <v/>
      </c>
      <c r="E964">
        <f>IF(B964=1,D964,E963)</f>
        <v/>
      </c>
      <c r="F964">
        <f>IF(AND(B964=1,C964&gt;1,E963&lt;&gt;""),ABS(D964-E963),"")</f>
        <v/>
      </c>
    </row>
    <row r="965">
      <c r="A965" t="n">
        <v>965</v>
      </c>
      <c r="B965">
        <f>IF(INDEX('Data Entry'!$H$5:$BE$10004,965-4,'Visual SPC'!$B$3)="",0,IF(AND(OR('Visual SPC'!$C$4="",'Data Entry'!$C965&gt;='Visual SPC'!$C$4),OR('Visual SPC'!$E$4="",'Data Entry'!$C965&lt;='Visual SPC'!$E$4),OR('Visual SPC'!$G$4="",'Data Entry'!$D965='Visual SPC'!$G$4),OR('Visual SPC'!$I$4="",'Data Entry'!$E965='Visual SPC'!$I$4),OR('Visual SPC'!$K$4="",'Data Entry'!$F965='Visual SPC'!$K$4)),1,0))</f>
        <v/>
      </c>
      <c r="C965">
        <f>C964+B965</f>
        <v/>
      </c>
      <c r="D965">
        <f>IF(B965=1,INDEX('Data Entry'!$H$5:$BE$10004,965-4,'Visual SPC'!$B$3),"")</f>
        <v/>
      </c>
      <c r="E965">
        <f>IF(B965=1,D965,E964)</f>
        <v/>
      </c>
      <c r="F965">
        <f>IF(AND(B965=1,C965&gt;1,E964&lt;&gt;""),ABS(D965-E964),"")</f>
        <v/>
      </c>
    </row>
    <row r="966">
      <c r="A966" t="n">
        <v>966</v>
      </c>
      <c r="B966">
        <f>IF(INDEX('Data Entry'!$H$5:$BE$10004,966-4,'Visual SPC'!$B$3)="",0,IF(AND(OR('Visual SPC'!$C$4="",'Data Entry'!$C966&gt;='Visual SPC'!$C$4),OR('Visual SPC'!$E$4="",'Data Entry'!$C966&lt;='Visual SPC'!$E$4),OR('Visual SPC'!$G$4="",'Data Entry'!$D966='Visual SPC'!$G$4),OR('Visual SPC'!$I$4="",'Data Entry'!$E966='Visual SPC'!$I$4),OR('Visual SPC'!$K$4="",'Data Entry'!$F966='Visual SPC'!$K$4)),1,0))</f>
        <v/>
      </c>
      <c r="C966">
        <f>C965+B966</f>
        <v/>
      </c>
      <c r="D966">
        <f>IF(B966=1,INDEX('Data Entry'!$H$5:$BE$10004,966-4,'Visual SPC'!$B$3),"")</f>
        <v/>
      </c>
      <c r="E966">
        <f>IF(B966=1,D966,E965)</f>
        <v/>
      </c>
      <c r="F966">
        <f>IF(AND(B966=1,C966&gt;1,E965&lt;&gt;""),ABS(D966-E965),"")</f>
        <v/>
      </c>
    </row>
    <row r="967">
      <c r="A967" t="n">
        <v>967</v>
      </c>
      <c r="B967">
        <f>IF(INDEX('Data Entry'!$H$5:$BE$10004,967-4,'Visual SPC'!$B$3)="",0,IF(AND(OR('Visual SPC'!$C$4="",'Data Entry'!$C967&gt;='Visual SPC'!$C$4),OR('Visual SPC'!$E$4="",'Data Entry'!$C967&lt;='Visual SPC'!$E$4),OR('Visual SPC'!$G$4="",'Data Entry'!$D967='Visual SPC'!$G$4),OR('Visual SPC'!$I$4="",'Data Entry'!$E967='Visual SPC'!$I$4),OR('Visual SPC'!$K$4="",'Data Entry'!$F967='Visual SPC'!$K$4)),1,0))</f>
        <v/>
      </c>
      <c r="C967">
        <f>C966+B967</f>
        <v/>
      </c>
      <c r="D967">
        <f>IF(B967=1,INDEX('Data Entry'!$H$5:$BE$10004,967-4,'Visual SPC'!$B$3),"")</f>
        <v/>
      </c>
      <c r="E967">
        <f>IF(B967=1,D967,E966)</f>
        <v/>
      </c>
      <c r="F967">
        <f>IF(AND(B967=1,C967&gt;1,E966&lt;&gt;""),ABS(D967-E966),"")</f>
        <v/>
      </c>
    </row>
    <row r="968">
      <c r="A968" t="n">
        <v>968</v>
      </c>
      <c r="B968">
        <f>IF(INDEX('Data Entry'!$H$5:$BE$10004,968-4,'Visual SPC'!$B$3)="",0,IF(AND(OR('Visual SPC'!$C$4="",'Data Entry'!$C968&gt;='Visual SPC'!$C$4),OR('Visual SPC'!$E$4="",'Data Entry'!$C968&lt;='Visual SPC'!$E$4),OR('Visual SPC'!$G$4="",'Data Entry'!$D968='Visual SPC'!$G$4),OR('Visual SPC'!$I$4="",'Data Entry'!$E968='Visual SPC'!$I$4),OR('Visual SPC'!$K$4="",'Data Entry'!$F968='Visual SPC'!$K$4)),1,0))</f>
        <v/>
      </c>
      <c r="C968">
        <f>C967+B968</f>
        <v/>
      </c>
      <c r="D968">
        <f>IF(B968=1,INDEX('Data Entry'!$H$5:$BE$10004,968-4,'Visual SPC'!$B$3),"")</f>
        <v/>
      </c>
      <c r="E968">
        <f>IF(B968=1,D968,E967)</f>
        <v/>
      </c>
      <c r="F968">
        <f>IF(AND(B968=1,C968&gt;1,E967&lt;&gt;""),ABS(D968-E967),"")</f>
        <v/>
      </c>
    </row>
    <row r="969">
      <c r="A969" t="n">
        <v>969</v>
      </c>
      <c r="B969">
        <f>IF(INDEX('Data Entry'!$H$5:$BE$10004,969-4,'Visual SPC'!$B$3)="",0,IF(AND(OR('Visual SPC'!$C$4="",'Data Entry'!$C969&gt;='Visual SPC'!$C$4),OR('Visual SPC'!$E$4="",'Data Entry'!$C969&lt;='Visual SPC'!$E$4),OR('Visual SPC'!$G$4="",'Data Entry'!$D969='Visual SPC'!$G$4),OR('Visual SPC'!$I$4="",'Data Entry'!$E969='Visual SPC'!$I$4),OR('Visual SPC'!$K$4="",'Data Entry'!$F969='Visual SPC'!$K$4)),1,0))</f>
        <v/>
      </c>
      <c r="C969">
        <f>C968+B969</f>
        <v/>
      </c>
      <c r="D969">
        <f>IF(B969=1,INDEX('Data Entry'!$H$5:$BE$10004,969-4,'Visual SPC'!$B$3),"")</f>
        <v/>
      </c>
      <c r="E969">
        <f>IF(B969=1,D969,E968)</f>
        <v/>
      </c>
      <c r="F969">
        <f>IF(AND(B969=1,C969&gt;1,E968&lt;&gt;""),ABS(D969-E968),"")</f>
        <v/>
      </c>
    </row>
    <row r="970">
      <c r="A970" t="n">
        <v>970</v>
      </c>
      <c r="B970">
        <f>IF(INDEX('Data Entry'!$H$5:$BE$10004,970-4,'Visual SPC'!$B$3)="",0,IF(AND(OR('Visual SPC'!$C$4="",'Data Entry'!$C970&gt;='Visual SPC'!$C$4),OR('Visual SPC'!$E$4="",'Data Entry'!$C970&lt;='Visual SPC'!$E$4),OR('Visual SPC'!$G$4="",'Data Entry'!$D970='Visual SPC'!$G$4),OR('Visual SPC'!$I$4="",'Data Entry'!$E970='Visual SPC'!$I$4),OR('Visual SPC'!$K$4="",'Data Entry'!$F970='Visual SPC'!$K$4)),1,0))</f>
        <v/>
      </c>
      <c r="C970">
        <f>C969+B970</f>
        <v/>
      </c>
      <c r="D970">
        <f>IF(B970=1,INDEX('Data Entry'!$H$5:$BE$10004,970-4,'Visual SPC'!$B$3),"")</f>
        <v/>
      </c>
      <c r="E970">
        <f>IF(B970=1,D970,E969)</f>
        <v/>
      </c>
      <c r="F970">
        <f>IF(AND(B970=1,C970&gt;1,E969&lt;&gt;""),ABS(D970-E969),"")</f>
        <v/>
      </c>
    </row>
    <row r="971">
      <c r="A971" t="n">
        <v>971</v>
      </c>
      <c r="B971">
        <f>IF(INDEX('Data Entry'!$H$5:$BE$10004,971-4,'Visual SPC'!$B$3)="",0,IF(AND(OR('Visual SPC'!$C$4="",'Data Entry'!$C971&gt;='Visual SPC'!$C$4),OR('Visual SPC'!$E$4="",'Data Entry'!$C971&lt;='Visual SPC'!$E$4),OR('Visual SPC'!$G$4="",'Data Entry'!$D971='Visual SPC'!$G$4),OR('Visual SPC'!$I$4="",'Data Entry'!$E971='Visual SPC'!$I$4),OR('Visual SPC'!$K$4="",'Data Entry'!$F971='Visual SPC'!$K$4)),1,0))</f>
        <v/>
      </c>
      <c r="C971">
        <f>C970+B971</f>
        <v/>
      </c>
      <c r="D971">
        <f>IF(B971=1,INDEX('Data Entry'!$H$5:$BE$10004,971-4,'Visual SPC'!$B$3),"")</f>
        <v/>
      </c>
      <c r="E971">
        <f>IF(B971=1,D971,E970)</f>
        <v/>
      </c>
      <c r="F971">
        <f>IF(AND(B971=1,C971&gt;1,E970&lt;&gt;""),ABS(D971-E970),"")</f>
        <v/>
      </c>
    </row>
    <row r="972">
      <c r="A972" t="n">
        <v>972</v>
      </c>
      <c r="B972">
        <f>IF(INDEX('Data Entry'!$H$5:$BE$10004,972-4,'Visual SPC'!$B$3)="",0,IF(AND(OR('Visual SPC'!$C$4="",'Data Entry'!$C972&gt;='Visual SPC'!$C$4),OR('Visual SPC'!$E$4="",'Data Entry'!$C972&lt;='Visual SPC'!$E$4),OR('Visual SPC'!$G$4="",'Data Entry'!$D972='Visual SPC'!$G$4),OR('Visual SPC'!$I$4="",'Data Entry'!$E972='Visual SPC'!$I$4),OR('Visual SPC'!$K$4="",'Data Entry'!$F972='Visual SPC'!$K$4)),1,0))</f>
        <v/>
      </c>
      <c r="C972">
        <f>C971+B972</f>
        <v/>
      </c>
      <c r="D972">
        <f>IF(B972=1,INDEX('Data Entry'!$H$5:$BE$10004,972-4,'Visual SPC'!$B$3),"")</f>
        <v/>
      </c>
      <c r="E972">
        <f>IF(B972=1,D972,E971)</f>
        <v/>
      </c>
      <c r="F972">
        <f>IF(AND(B972=1,C972&gt;1,E971&lt;&gt;""),ABS(D972-E971),"")</f>
        <v/>
      </c>
    </row>
    <row r="973">
      <c r="A973" t="n">
        <v>973</v>
      </c>
      <c r="B973">
        <f>IF(INDEX('Data Entry'!$H$5:$BE$10004,973-4,'Visual SPC'!$B$3)="",0,IF(AND(OR('Visual SPC'!$C$4="",'Data Entry'!$C973&gt;='Visual SPC'!$C$4),OR('Visual SPC'!$E$4="",'Data Entry'!$C973&lt;='Visual SPC'!$E$4),OR('Visual SPC'!$G$4="",'Data Entry'!$D973='Visual SPC'!$G$4),OR('Visual SPC'!$I$4="",'Data Entry'!$E973='Visual SPC'!$I$4),OR('Visual SPC'!$K$4="",'Data Entry'!$F973='Visual SPC'!$K$4)),1,0))</f>
        <v/>
      </c>
      <c r="C973">
        <f>C972+B973</f>
        <v/>
      </c>
      <c r="D973">
        <f>IF(B973=1,INDEX('Data Entry'!$H$5:$BE$10004,973-4,'Visual SPC'!$B$3),"")</f>
        <v/>
      </c>
      <c r="E973">
        <f>IF(B973=1,D973,E972)</f>
        <v/>
      </c>
      <c r="F973">
        <f>IF(AND(B973=1,C973&gt;1,E972&lt;&gt;""),ABS(D973-E972),"")</f>
        <v/>
      </c>
    </row>
    <row r="974">
      <c r="A974" t="n">
        <v>974</v>
      </c>
      <c r="B974">
        <f>IF(INDEX('Data Entry'!$H$5:$BE$10004,974-4,'Visual SPC'!$B$3)="",0,IF(AND(OR('Visual SPC'!$C$4="",'Data Entry'!$C974&gt;='Visual SPC'!$C$4),OR('Visual SPC'!$E$4="",'Data Entry'!$C974&lt;='Visual SPC'!$E$4),OR('Visual SPC'!$G$4="",'Data Entry'!$D974='Visual SPC'!$G$4),OR('Visual SPC'!$I$4="",'Data Entry'!$E974='Visual SPC'!$I$4),OR('Visual SPC'!$K$4="",'Data Entry'!$F974='Visual SPC'!$K$4)),1,0))</f>
        <v/>
      </c>
      <c r="C974">
        <f>C973+B974</f>
        <v/>
      </c>
      <c r="D974">
        <f>IF(B974=1,INDEX('Data Entry'!$H$5:$BE$10004,974-4,'Visual SPC'!$B$3),"")</f>
        <v/>
      </c>
      <c r="E974">
        <f>IF(B974=1,D974,E973)</f>
        <v/>
      </c>
      <c r="F974">
        <f>IF(AND(B974=1,C974&gt;1,E973&lt;&gt;""),ABS(D974-E973),"")</f>
        <v/>
      </c>
    </row>
    <row r="975">
      <c r="A975" t="n">
        <v>975</v>
      </c>
      <c r="B975">
        <f>IF(INDEX('Data Entry'!$H$5:$BE$10004,975-4,'Visual SPC'!$B$3)="",0,IF(AND(OR('Visual SPC'!$C$4="",'Data Entry'!$C975&gt;='Visual SPC'!$C$4),OR('Visual SPC'!$E$4="",'Data Entry'!$C975&lt;='Visual SPC'!$E$4),OR('Visual SPC'!$G$4="",'Data Entry'!$D975='Visual SPC'!$G$4),OR('Visual SPC'!$I$4="",'Data Entry'!$E975='Visual SPC'!$I$4),OR('Visual SPC'!$K$4="",'Data Entry'!$F975='Visual SPC'!$K$4)),1,0))</f>
        <v/>
      </c>
      <c r="C975">
        <f>C974+B975</f>
        <v/>
      </c>
      <c r="D975">
        <f>IF(B975=1,INDEX('Data Entry'!$H$5:$BE$10004,975-4,'Visual SPC'!$B$3),"")</f>
        <v/>
      </c>
      <c r="E975">
        <f>IF(B975=1,D975,E974)</f>
        <v/>
      </c>
      <c r="F975">
        <f>IF(AND(B975=1,C975&gt;1,E974&lt;&gt;""),ABS(D975-E974),"")</f>
        <v/>
      </c>
    </row>
    <row r="976">
      <c r="A976" t="n">
        <v>976</v>
      </c>
      <c r="B976">
        <f>IF(INDEX('Data Entry'!$H$5:$BE$10004,976-4,'Visual SPC'!$B$3)="",0,IF(AND(OR('Visual SPC'!$C$4="",'Data Entry'!$C976&gt;='Visual SPC'!$C$4),OR('Visual SPC'!$E$4="",'Data Entry'!$C976&lt;='Visual SPC'!$E$4),OR('Visual SPC'!$G$4="",'Data Entry'!$D976='Visual SPC'!$G$4),OR('Visual SPC'!$I$4="",'Data Entry'!$E976='Visual SPC'!$I$4),OR('Visual SPC'!$K$4="",'Data Entry'!$F976='Visual SPC'!$K$4)),1,0))</f>
        <v/>
      </c>
      <c r="C976">
        <f>C975+B976</f>
        <v/>
      </c>
      <c r="D976">
        <f>IF(B976=1,INDEX('Data Entry'!$H$5:$BE$10004,976-4,'Visual SPC'!$B$3),"")</f>
        <v/>
      </c>
      <c r="E976">
        <f>IF(B976=1,D976,E975)</f>
        <v/>
      </c>
      <c r="F976">
        <f>IF(AND(B976=1,C976&gt;1,E975&lt;&gt;""),ABS(D976-E975),"")</f>
        <v/>
      </c>
    </row>
    <row r="977">
      <c r="A977" t="n">
        <v>977</v>
      </c>
      <c r="B977">
        <f>IF(INDEX('Data Entry'!$H$5:$BE$10004,977-4,'Visual SPC'!$B$3)="",0,IF(AND(OR('Visual SPC'!$C$4="",'Data Entry'!$C977&gt;='Visual SPC'!$C$4),OR('Visual SPC'!$E$4="",'Data Entry'!$C977&lt;='Visual SPC'!$E$4),OR('Visual SPC'!$G$4="",'Data Entry'!$D977='Visual SPC'!$G$4),OR('Visual SPC'!$I$4="",'Data Entry'!$E977='Visual SPC'!$I$4),OR('Visual SPC'!$K$4="",'Data Entry'!$F977='Visual SPC'!$K$4)),1,0))</f>
        <v/>
      </c>
      <c r="C977">
        <f>C976+B977</f>
        <v/>
      </c>
      <c r="D977">
        <f>IF(B977=1,INDEX('Data Entry'!$H$5:$BE$10004,977-4,'Visual SPC'!$B$3),"")</f>
        <v/>
      </c>
      <c r="E977">
        <f>IF(B977=1,D977,E976)</f>
        <v/>
      </c>
      <c r="F977">
        <f>IF(AND(B977=1,C977&gt;1,E976&lt;&gt;""),ABS(D977-E976),"")</f>
        <v/>
      </c>
    </row>
    <row r="978">
      <c r="A978" t="n">
        <v>978</v>
      </c>
      <c r="B978">
        <f>IF(INDEX('Data Entry'!$H$5:$BE$10004,978-4,'Visual SPC'!$B$3)="",0,IF(AND(OR('Visual SPC'!$C$4="",'Data Entry'!$C978&gt;='Visual SPC'!$C$4),OR('Visual SPC'!$E$4="",'Data Entry'!$C978&lt;='Visual SPC'!$E$4),OR('Visual SPC'!$G$4="",'Data Entry'!$D978='Visual SPC'!$G$4),OR('Visual SPC'!$I$4="",'Data Entry'!$E978='Visual SPC'!$I$4),OR('Visual SPC'!$K$4="",'Data Entry'!$F978='Visual SPC'!$K$4)),1,0))</f>
        <v/>
      </c>
      <c r="C978">
        <f>C977+B978</f>
        <v/>
      </c>
      <c r="D978">
        <f>IF(B978=1,INDEX('Data Entry'!$H$5:$BE$10004,978-4,'Visual SPC'!$B$3),"")</f>
        <v/>
      </c>
      <c r="E978">
        <f>IF(B978=1,D978,E977)</f>
        <v/>
      </c>
      <c r="F978">
        <f>IF(AND(B978=1,C978&gt;1,E977&lt;&gt;""),ABS(D978-E977),"")</f>
        <v/>
      </c>
    </row>
    <row r="979">
      <c r="A979" t="n">
        <v>979</v>
      </c>
      <c r="B979">
        <f>IF(INDEX('Data Entry'!$H$5:$BE$10004,979-4,'Visual SPC'!$B$3)="",0,IF(AND(OR('Visual SPC'!$C$4="",'Data Entry'!$C979&gt;='Visual SPC'!$C$4),OR('Visual SPC'!$E$4="",'Data Entry'!$C979&lt;='Visual SPC'!$E$4),OR('Visual SPC'!$G$4="",'Data Entry'!$D979='Visual SPC'!$G$4),OR('Visual SPC'!$I$4="",'Data Entry'!$E979='Visual SPC'!$I$4),OR('Visual SPC'!$K$4="",'Data Entry'!$F979='Visual SPC'!$K$4)),1,0))</f>
        <v/>
      </c>
      <c r="C979">
        <f>C978+B979</f>
        <v/>
      </c>
      <c r="D979">
        <f>IF(B979=1,INDEX('Data Entry'!$H$5:$BE$10004,979-4,'Visual SPC'!$B$3),"")</f>
        <v/>
      </c>
      <c r="E979">
        <f>IF(B979=1,D979,E978)</f>
        <v/>
      </c>
      <c r="F979">
        <f>IF(AND(B979=1,C979&gt;1,E978&lt;&gt;""),ABS(D979-E978),"")</f>
        <v/>
      </c>
    </row>
    <row r="980">
      <c r="A980" t="n">
        <v>980</v>
      </c>
      <c r="B980">
        <f>IF(INDEX('Data Entry'!$H$5:$BE$10004,980-4,'Visual SPC'!$B$3)="",0,IF(AND(OR('Visual SPC'!$C$4="",'Data Entry'!$C980&gt;='Visual SPC'!$C$4),OR('Visual SPC'!$E$4="",'Data Entry'!$C980&lt;='Visual SPC'!$E$4),OR('Visual SPC'!$G$4="",'Data Entry'!$D980='Visual SPC'!$G$4),OR('Visual SPC'!$I$4="",'Data Entry'!$E980='Visual SPC'!$I$4),OR('Visual SPC'!$K$4="",'Data Entry'!$F980='Visual SPC'!$K$4)),1,0))</f>
        <v/>
      </c>
      <c r="C980">
        <f>C979+B980</f>
        <v/>
      </c>
      <c r="D980">
        <f>IF(B980=1,INDEX('Data Entry'!$H$5:$BE$10004,980-4,'Visual SPC'!$B$3),"")</f>
        <v/>
      </c>
      <c r="E980">
        <f>IF(B980=1,D980,E979)</f>
        <v/>
      </c>
      <c r="F980">
        <f>IF(AND(B980=1,C980&gt;1,E979&lt;&gt;""),ABS(D980-E979),"")</f>
        <v/>
      </c>
    </row>
    <row r="981">
      <c r="A981" t="n">
        <v>981</v>
      </c>
      <c r="B981">
        <f>IF(INDEX('Data Entry'!$H$5:$BE$10004,981-4,'Visual SPC'!$B$3)="",0,IF(AND(OR('Visual SPC'!$C$4="",'Data Entry'!$C981&gt;='Visual SPC'!$C$4),OR('Visual SPC'!$E$4="",'Data Entry'!$C981&lt;='Visual SPC'!$E$4),OR('Visual SPC'!$G$4="",'Data Entry'!$D981='Visual SPC'!$G$4),OR('Visual SPC'!$I$4="",'Data Entry'!$E981='Visual SPC'!$I$4),OR('Visual SPC'!$K$4="",'Data Entry'!$F981='Visual SPC'!$K$4)),1,0))</f>
        <v/>
      </c>
      <c r="C981">
        <f>C980+B981</f>
        <v/>
      </c>
      <c r="D981">
        <f>IF(B981=1,INDEX('Data Entry'!$H$5:$BE$10004,981-4,'Visual SPC'!$B$3),"")</f>
        <v/>
      </c>
      <c r="E981">
        <f>IF(B981=1,D981,E980)</f>
        <v/>
      </c>
      <c r="F981">
        <f>IF(AND(B981=1,C981&gt;1,E980&lt;&gt;""),ABS(D981-E980),"")</f>
        <v/>
      </c>
    </row>
    <row r="982">
      <c r="A982" t="n">
        <v>982</v>
      </c>
      <c r="B982">
        <f>IF(INDEX('Data Entry'!$H$5:$BE$10004,982-4,'Visual SPC'!$B$3)="",0,IF(AND(OR('Visual SPC'!$C$4="",'Data Entry'!$C982&gt;='Visual SPC'!$C$4),OR('Visual SPC'!$E$4="",'Data Entry'!$C982&lt;='Visual SPC'!$E$4),OR('Visual SPC'!$G$4="",'Data Entry'!$D982='Visual SPC'!$G$4),OR('Visual SPC'!$I$4="",'Data Entry'!$E982='Visual SPC'!$I$4),OR('Visual SPC'!$K$4="",'Data Entry'!$F982='Visual SPC'!$K$4)),1,0))</f>
        <v/>
      </c>
      <c r="C982">
        <f>C981+B982</f>
        <v/>
      </c>
      <c r="D982">
        <f>IF(B982=1,INDEX('Data Entry'!$H$5:$BE$10004,982-4,'Visual SPC'!$B$3),"")</f>
        <v/>
      </c>
      <c r="E982">
        <f>IF(B982=1,D982,E981)</f>
        <v/>
      </c>
      <c r="F982">
        <f>IF(AND(B982=1,C982&gt;1,E981&lt;&gt;""),ABS(D982-E981),"")</f>
        <v/>
      </c>
    </row>
    <row r="983">
      <c r="A983" t="n">
        <v>983</v>
      </c>
      <c r="B983">
        <f>IF(INDEX('Data Entry'!$H$5:$BE$10004,983-4,'Visual SPC'!$B$3)="",0,IF(AND(OR('Visual SPC'!$C$4="",'Data Entry'!$C983&gt;='Visual SPC'!$C$4),OR('Visual SPC'!$E$4="",'Data Entry'!$C983&lt;='Visual SPC'!$E$4),OR('Visual SPC'!$G$4="",'Data Entry'!$D983='Visual SPC'!$G$4),OR('Visual SPC'!$I$4="",'Data Entry'!$E983='Visual SPC'!$I$4),OR('Visual SPC'!$K$4="",'Data Entry'!$F983='Visual SPC'!$K$4)),1,0))</f>
        <v/>
      </c>
      <c r="C983">
        <f>C982+B983</f>
        <v/>
      </c>
      <c r="D983">
        <f>IF(B983=1,INDEX('Data Entry'!$H$5:$BE$10004,983-4,'Visual SPC'!$B$3),"")</f>
        <v/>
      </c>
      <c r="E983">
        <f>IF(B983=1,D983,E982)</f>
        <v/>
      </c>
      <c r="F983">
        <f>IF(AND(B983=1,C983&gt;1,E982&lt;&gt;""),ABS(D983-E982),"")</f>
        <v/>
      </c>
    </row>
    <row r="984">
      <c r="A984" t="n">
        <v>984</v>
      </c>
      <c r="B984">
        <f>IF(INDEX('Data Entry'!$H$5:$BE$10004,984-4,'Visual SPC'!$B$3)="",0,IF(AND(OR('Visual SPC'!$C$4="",'Data Entry'!$C984&gt;='Visual SPC'!$C$4),OR('Visual SPC'!$E$4="",'Data Entry'!$C984&lt;='Visual SPC'!$E$4),OR('Visual SPC'!$G$4="",'Data Entry'!$D984='Visual SPC'!$G$4),OR('Visual SPC'!$I$4="",'Data Entry'!$E984='Visual SPC'!$I$4),OR('Visual SPC'!$K$4="",'Data Entry'!$F984='Visual SPC'!$K$4)),1,0))</f>
        <v/>
      </c>
      <c r="C984">
        <f>C983+B984</f>
        <v/>
      </c>
      <c r="D984">
        <f>IF(B984=1,INDEX('Data Entry'!$H$5:$BE$10004,984-4,'Visual SPC'!$B$3),"")</f>
        <v/>
      </c>
      <c r="E984">
        <f>IF(B984=1,D984,E983)</f>
        <v/>
      </c>
      <c r="F984">
        <f>IF(AND(B984=1,C984&gt;1,E983&lt;&gt;""),ABS(D984-E983),"")</f>
        <v/>
      </c>
    </row>
    <row r="985">
      <c r="A985" t="n">
        <v>985</v>
      </c>
      <c r="B985">
        <f>IF(INDEX('Data Entry'!$H$5:$BE$10004,985-4,'Visual SPC'!$B$3)="",0,IF(AND(OR('Visual SPC'!$C$4="",'Data Entry'!$C985&gt;='Visual SPC'!$C$4),OR('Visual SPC'!$E$4="",'Data Entry'!$C985&lt;='Visual SPC'!$E$4),OR('Visual SPC'!$G$4="",'Data Entry'!$D985='Visual SPC'!$G$4),OR('Visual SPC'!$I$4="",'Data Entry'!$E985='Visual SPC'!$I$4),OR('Visual SPC'!$K$4="",'Data Entry'!$F985='Visual SPC'!$K$4)),1,0))</f>
        <v/>
      </c>
      <c r="C985">
        <f>C984+B985</f>
        <v/>
      </c>
      <c r="D985">
        <f>IF(B985=1,INDEX('Data Entry'!$H$5:$BE$10004,985-4,'Visual SPC'!$B$3),"")</f>
        <v/>
      </c>
      <c r="E985">
        <f>IF(B985=1,D985,E984)</f>
        <v/>
      </c>
      <c r="F985">
        <f>IF(AND(B985=1,C985&gt;1,E984&lt;&gt;""),ABS(D985-E984),"")</f>
        <v/>
      </c>
    </row>
    <row r="986">
      <c r="A986" t="n">
        <v>986</v>
      </c>
      <c r="B986">
        <f>IF(INDEX('Data Entry'!$H$5:$BE$10004,986-4,'Visual SPC'!$B$3)="",0,IF(AND(OR('Visual SPC'!$C$4="",'Data Entry'!$C986&gt;='Visual SPC'!$C$4),OR('Visual SPC'!$E$4="",'Data Entry'!$C986&lt;='Visual SPC'!$E$4),OR('Visual SPC'!$G$4="",'Data Entry'!$D986='Visual SPC'!$G$4),OR('Visual SPC'!$I$4="",'Data Entry'!$E986='Visual SPC'!$I$4),OR('Visual SPC'!$K$4="",'Data Entry'!$F986='Visual SPC'!$K$4)),1,0))</f>
        <v/>
      </c>
      <c r="C986">
        <f>C985+B986</f>
        <v/>
      </c>
      <c r="D986">
        <f>IF(B986=1,INDEX('Data Entry'!$H$5:$BE$10004,986-4,'Visual SPC'!$B$3),"")</f>
        <v/>
      </c>
      <c r="E986">
        <f>IF(B986=1,D986,E985)</f>
        <v/>
      </c>
      <c r="F986">
        <f>IF(AND(B986=1,C986&gt;1,E985&lt;&gt;""),ABS(D986-E985),"")</f>
        <v/>
      </c>
    </row>
    <row r="987">
      <c r="A987" t="n">
        <v>987</v>
      </c>
      <c r="B987">
        <f>IF(INDEX('Data Entry'!$H$5:$BE$10004,987-4,'Visual SPC'!$B$3)="",0,IF(AND(OR('Visual SPC'!$C$4="",'Data Entry'!$C987&gt;='Visual SPC'!$C$4),OR('Visual SPC'!$E$4="",'Data Entry'!$C987&lt;='Visual SPC'!$E$4),OR('Visual SPC'!$G$4="",'Data Entry'!$D987='Visual SPC'!$G$4),OR('Visual SPC'!$I$4="",'Data Entry'!$E987='Visual SPC'!$I$4),OR('Visual SPC'!$K$4="",'Data Entry'!$F987='Visual SPC'!$K$4)),1,0))</f>
        <v/>
      </c>
      <c r="C987">
        <f>C986+B987</f>
        <v/>
      </c>
      <c r="D987">
        <f>IF(B987=1,INDEX('Data Entry'!$H$5:$BE$10004,987-4,'Visual SPC'!$B$3),"")</f>
        <v/>
      </c>
      <c r="E987">
        <f>IF(B987=1,D987,E986)</f>
        <v/>
      </c>
      <c r="F987">
        <f>IF(AND(B987=1,C987&gt;1,E986&lt;&gt;""),ABS(D987-E986),"")</f>
        <v/>
      </c>
    </row>
    <row r="988">
      <c r="A988" t="n">
        <v>988</v>
      </c>
      <c r="B988">
        <f>IF(INDEX('Data Entry'!$H$5:$BE$10004,988-4,'Visual SPC'!$B$3)="",0,IF(AND(OR('Visual SPC'!$C$4="",'Data Entry'!$C988&gt;='Visual SPC'!$C$4),OR('Visual SPC'!$E$4="",'Data Entry'!$C988&lt;='Visual SPC'!$E$4),OR('Visual SPC'!$G$4="",'Data Entry'!$D988='Visual SPC'!$G$4),OR('Visual SPC'!$I$4="",'Data Entry'!$E988='Visual SPC'!$I$4),OR('Visual SPC'!$K$4="",'Data Entry'!$F988='Visual SPC'!$K$4)),1,0))</f>
        <v/>
      </c>
      <c r="C988">
        <f>C987+B988</f>
        <v/>
      </c>
      <c r="D988">
        <f>IF(B988=1,INDEX('Data Entry'!$H$5:$BE$10004,988-4,'Visual SPC'!$B$3),"")</f>
        <v/>
      </c>
      <c r="E988">
        <f>IF(B988=1,D988,E987)</f>
        <v/>
      </c>
      <c r="F988">
        <f>IF(AND(B988=1,C988&gt;1,E987&lt;&gt;""),ABS(D988-E987),"")</f>
        <v/>
      </c>
    </row>
    <row r="989">
      <c r="A989" t="n">
        <v>989</v>
      </c>
      <c r="B989">
        <f>IF(INDEX('Data Entry'!$H$5:$BE$10004,989-4,'Visual SPC'!$B$3)="",0,IF(AND(OR('Visual SPC'!$C$4="",'Data Entry'!$C989&gt;='Visual SPC'!$C$4),OR('Visual SPC'!$E$4="",'Data Entry'!$C989&lt;='Visual SPC'!$E$4),OR('Visual SPC'!$G$4="",'Data Entry'!$D989='Visual SPC'!$G$4),OR('Visual SPC'!$I$4="",'Data Entry'!$E989='Visual SPC'!$I$4),OR('Visual SPC'!$K$4="",'Data Entry'!$F989='Visual SPC'!$K$4)),1,0))</f>
        <v/>
      </c>
      <c r="C989">
        <f>C988+B989</f>
        <v/>
      </c>
      <c r="D989">
        <f>IF(B989=1,INDEX('Data Entry'!$H$5:$BE$10004,989-4,'Visual SPC'!$B$3),"")</f>
        <v/>
      </c>
      <c r="E989">
        <f>IF(B989=1,D989,E988)</f>
        <v/>
      </c>
      <c r="F989">
        <f>IF(AND(B989=1,C989&gt;1,E988&lt;&gt;""),ABS(D989-E988),"")</f>
        <v/>
      </c>
    </row>
    <row r="990">
      <c r="A990" t="n">
        <v>990</v>
      </c>
      <c r="B990">
        <f>IF(INDEX('Data Entry'!$H$5:$BE$10004,990-4,'Visual SPC'!$B$3)="",0,IF(AND(OR('Visual SPC'!$C$4="",'Data Entry'!$C990&gt;='Visual SPC'!$C$4),OR('Visual SPC'!$E$4="",'Data Entry'!$C990&lt;='Visual SPC'!$E$4),OR('Visual SPC'!$G$4="",'Data Entry'!$D990='Visual SPC'!$G$4),OR('Visual SPC'!$I$4="",'Data Entry'!$E990='Visual SPC'!$I$4),OR('Visual SPC'!$K$4="",'Data Entry'!$F990='Visual SPC'!$K$4)),1,0))</f>
        <v/>
      </c>
      <c r="C990">
        <f>C989+B990</f>
        <v/>
      </c>
      <c r="D990">
        <f>IF(B990=1,INDEX('Data Entry'!$H$5:$BE$10004,990-4,'Visual SPC'!$B$3),"")</f>
        <v/>
      </c>
      <c r="E990">
        <f>IF(B990=1,D990,E989)</f>
        <v/>
      </c>
      <c r="F990">
        <f>IF(AND(B990=1,C990&gt;1,E989&lt;&gt;""),ABS(D990-E989),"")</f>
        <v/>
      </c>
    </row>
    <row r="991">
      <c r="A991" t="n">
        <v>991</v>
      </c>
      <c r="B991">
        <f>IF(INDEX('Data Entry'!$H$5:$BE$10004,991-4,'Visual SPC'!$B$3)="",0,IF(AND(OR('Visual SPC'!$C$4="",'Data Entry'!$C991&gt;='Visual SPC'!$C$4),OR('Visual SPC'!$E$4="",'Data Entry'!$C991&lt;='Visual SPC'!$E$4),OR('Visual SPC'!$G$4="",'Data Entry'!$D991='Visual SPC'!$G$4),OR('Visual SPC'!$I$4="",'Data Entry'!$E991='Visual SPC'!$I$4),OR('Visual SPC'!$K$4="",'Data Entry'!$F991='Visual SPC'!$K$4)),1,0))</f>
        <v/>
      </c>
      <c r="C991">
        <f>C990+B991</f>
        <v/>
      </c>
      <c r="D991">
        <f>IF(B991=1,INDEX('Data Entry'!$H$5:$BE$10004,991-4,'Visual SPC'!$B$3),"")</f>
        <v/>
      </c>
      <c r="E991">
        <f>IF(B991=1,D991,E990)</f>
        <v/>
      </c>
      <c r="F991">
        <f>IF(AND(B991=1,C991&gt;1,E990&lt;&gt;""),ABS(D991-E990),"")</f>
        <v/>
      </c>
    </row>
    <row r="992">
      <c r="A992" t="n">
        <v>992</v>
      </c>
      <c r="B992">
        <f>IF(INDEX('Data Entry'!$H$5:$BE$10004,992-4,'Visual SPC'!$B$3)="",0,IF(AND(OR('Visual SPC'!$C$4="",'Data Entry'!$C992&gt;='Visual SPC'!$C$4),OR('Visual SPC'!$E$4="",'Data Entry'!$C992&lt;='Visual SPC'!$E$4),OR('Visual SPC'!$G$4="",'Data Entry'!$D992='Visual SPC'!$G$4),OR('Visual SPC'!$I$4="",'Data Entry'!$E992='Visual SPC'!$I$4),OR('Visual SPC'!$K$4="",'Data Entry'!$F992='Visual SPC'!$K$4)),1,0))</f>
        <v/>
      </c>
      <c r="C992">
        <f>C991+B992</f>
        <v/>
      </c>
      <c r="D992">
        <f>IF(B992=1,INDEX('Data Entry'!$H$5:$BE$10004,992-4,'Visual SPC'!$B$3),"")</f>
        <v/>
      </c>
      <c r="E992">
        <f>IF(B992=1,D992,E991)</f>
        <v/>
      </c>
      <c r="F992">
        <f>IF(AND(B992=1,C992&gt;1,E991&lt;&gt;""),ABS(D992-E991),"")</f>
        <v/>
      </c>
    </row>
    <row r="993">
      <c r="A993" t="n">
        <v>993</v>
      </c>
      <c r="B993">
        <f>IF(INDEX('Data Entry'!$H$5:$BE$10004,993-4,'Visual SPC'!$B$3)="",0,IF(AND(OR('Visual SPC'!$C$4="",'Data Entry'!$C993&gt;='Visual SPC'!$C$4),OR('Visual SPC'!$E$4="",'Data Entry'!$C993&lt;='Visual SPC'!$E$4),OR('Visual SPC'!$G$4="",'Data Entry'!$D993='Visual SPC'!$G$4),OR('Visual SPC'!$I$4="",'Data Entry'!$E993='Visual SPC'!$I$4),OR('Visual SPC'!$K$4="",'Data Entry'!$F993='Visual SPC'!$K$4)),1,0))</f>
        <v/>
      </c>
      <c r="C993">
        <f>C992+B993</f>
        <v/>
      </c>
      <c r="D993">
        <f>IF(B993=1,INDEX('Data Entry'!$H$5:$BE$10004,993-4,'Visual SPC'!$B$3),"")</f>
        <v/>
      </c>
      <c r="E993">
        <f>IF(B993=1,D993,E992)</f>
        <v/>
      </c>
      <c r="F993">
        <f>IF(AND(B993=1,C993&gt;1,E992&lt;&gt;""),ABS(D993-E992),"")</f>
        <v/>
      </c>
    </row>
    <row r="994">
      <c r="A994" t="n">
        <v>994</v>
      </c>
      <c r="B994">
        <f>IF(INDEX('Data Entry'!$H$5:$BE$10004,994-4,'Visual SPC'!$B$3)="",0,IF(AND(OR('Visual SPC'!$C$4="",'Data Entry'!$C994&gt;='Visual SPC'!$C$4),OR('Visual SPC'!$E$4="",'Data Entry'!$C994&lt;='Visual SPC'!$E$4),OR('Visual SPC'!$G$4="",'Data Entry'!$D994='Visual SPC'!$G$4),OR('Visual SPC'!$I$4="",'Data Entry'!$E994='Visual SPC'!$I$4),OR('Visual SPC'!$K$4="",'Data Entry'!$F994='Visual SPC'!$K$4)),1,0))</f>
        <v/>
      </c>
      <c r="C994">
        <f>C993+B994</f>
        <v/>
      </c>
      <c r="D994">
        <f>IF(B994=1,INDEX('Data Entry'!$H$5:$BE$10004,994-4,'Visual SPC'!$B$3),"")</f>
        <v/>
      </c>
      <c r="E994">
        <f>IF(B994=1,D994,E993)</f>
        <v/>
      </c>
      <c r="F994">
        <f>IF(AND(B994=1,C994&gt;1,E993&lt;&gt;""),ABS(D994-E993),"")</f>
        <v/>
      </c>
    </row>
    <row r="995">
      <c r="A995" t="n">
        <v>995</v>
      </c>
      <c r="B995">
        <f>IF(INDEX('Data Entry'!$H$5:$BE$10004,995-4,'Visual SPC'!$B$3)="",0,IF(AND(OR('Visual SPC'!$C$4="",'Data Entry'!$C995&gt;='Visual SPC'!$C$4),OR('Visual SPC'!$E$4="",'Data Entry'!$C995&lt;='Visual SPC'!$E$4),OR('Visual SPC'!$G$4="",'Data Entry'!$D995='Visual SPC'!$G$4),OR('Visual SPC'!$I$4="",'Data Entry'!$E995='Visual SPC'!$I$4),OR('Visual SPC'!$K$4="",'Data Entry'!$F995='Visual SPC'!$K$4)),1,0))</f>
        <v/>
      </c>
      <c r="C995">
        <f>C994+B995</f>
        <v/>
      </c>
      <c r="D995">
        <f>IF(B995=1,INDEX('Data Entry'!$H$5:$BE$10004,995-4,'Visual SPC'!$B$3),"")</f>
        <v/>
      </c>
      <c r="E995">
        <f>IF(B995=1,D995,E994)</f>
        <v/>
      </c>
      <c r="F995">
        <f>IF(AND(B995=1,C995&gt;1,E994&lt;&gt;""),ABS(D995-E994),"")</f>
        <v/>
      </c>
    </row>
    <row r="996">
      <c r="A996" t="n">
        <v>996</v>
      </c>
      <c r="B996">
        <f>IF(INDEX('Data Entry'!$H$5:$BE$10004,996-4,'Visual SPC'!$B$3)="",0,IF(AND(OR('Visual SPC'!$C$4="",'Data Entry'!$C996&gt;='Visual SPC'!$C$4),OR('Visual SPC'!$E$4="",'Data Entry'!$C996&lt;='Visual SPC'!$E$4),OR('Visual SPC'!$G$4="",'Data Entry'!$D996='Visual SPC'!$G$4),OR('Visual SPC'!$I$4="",'Data Entry'!$E996='Visual SPC'!$I$4),OR('Visual SPC'!$K$4="",'Data Entry'!$F996='Visual SPC'!$K$4)),1,0))</f>
        <v/>
      </c>
      <c r="C996">
        <f>C995+B996</f>
        <v/>
      </c>
      <c r="D996">
        <f>IF(B996=1,INDEX('Data Entry'!$H$5:$BE$10004,996-4,'Visual SPC'!$B$3),"")</f>
        <v/>
      </c>
      <c r="E996">
        <f>IF(B996=1,D996,E995)</f>
        <v/>
      </c>
      <c r="F996">
        <f>IF(AND(B996=1,C996&gt;1,E995&lt;&gt;""),ABS(D996-E995),"")</f>
        <v/>
      </c>
    </row>
    <row r="997">
      <c r="A997" t="n">
        <v>997</v>
      </c>
      <c r="B997">
        <f>IF(INDEX('Data Entry'!$H$5:$BE$10004,997-4,'Visual SPC'!$B$3)="",0,IF(AND(OR('Visual SPC'!$C$4="",'Data Entry'!$C997&gt;='Visual SPC'!$C$4),OR('Visual SPC'!$E$4="",'Data Entry'!$C997&lt;='Visual SPC'!$E$4),OR('Visual SPC'!$G$4="",'Data Entry'!$D997='Visual SPC'!$G$4),OR('Visual SPC'!$I$4="",'Data Entry'!$E997='Visual SPC'!$I$4),OR('Visual SPC'!$K$4="",'Data Entry'!$F997='Visual SPC'!$K$4)),1,0))</f>
        <v/>
      </c>
      <c r="C997">
        <f>C996+B997</f>
        <v/>
      </c>
      <c r="D997">
        <f>IF(B997=1,INDEX('Data Entry'!$H$5:$BE$10004,997-4,'Visual SPC'!$B$3),"")</f>
        <v/>
      </c>
      <c r="E997">
        <f>IF(B997=1,D997,E996)</f>
        <v/>
      </c>
      <c r="F997">
        <f>IF(AND(B997=1,C997&gt;1,E996&lt;&gt;""),ABS(D997-E996),"")</f>
        <v/>
      </c>
    </row>
    <row r="998">
      <c r="A998" t="n">
        <v>998</v>
      </c>
      <c r="B998">
        <f>IF(INDEX('Data Entry'!$H$5:$BE$10004,998-4,'Visual SPC'!$B$3)="",0,IF(AND(OR('Visual SPC'!$C$4="",'Data Entry'!$C998&gt;='Visual SPC'!$C$4),OR('Visual SPC'!$E$4="",'Data Entry'!$C998&lt;='Visual SPC'!$E$4),OR('Visual SPC'!$G$4="",'Data Entry'!$D998='Visual SPC'!$G$4),OR('Visual SPC'!$I$4="",'Data Entry'!$E998='Visual SPC'!$I$4),OR('Visual SPC'!$K$4="",'Data Entry'!$F998='Visual SPC'!$K$4)),1,0))</f>
        <v/>
      </c>
      <c r="C998">
        <f>C997+B998</f>
        <v/>
      </c>
      <c r="D998">
        <f>IF(B998=1,INDEX('Data Entry'!$H$5:$BE$10004,998-4,'Visual SPC'!$B$3),"")</f>
        <v/>
      </c>
      <c r="E998">
        <f>IF(B998=1,D998,E997)</f>
        <v/>
      </c>
      <c r="F998">
        <f>IF(AND(B998=1,C998&gt;1,E997&lt;&gt;""),ABS(D998-E997),"")</f>
        <v/>
      </c>
    </row>
    <row r="999">
      <c r="A999" t="n">
        <v>999</v>
      </c>
      <c r="B999">
        <f>IF(INDEX('Data Entry'!$H$5:$BE$10004,999-4,'Visual SPC'!$B$3)="",0,IF(AND(OR('Visual SPC'!$C$4="",'Data Entry'!$C999&gt;='Visual SPC'!$C$4),OR('Visual SPC'!$E$4="",'Data Entry'!$C999&lt;='Visual SPC'!$E$4),OR('Visual SPC'!$G$4="",'Data Entry'!$D999='Visual SPC'!$G$4),OR('Visual SPC'!$I$4="",'Data Entry'!$E999='Visual SPC'!$I$4),OR('Visual SPC'!$K$4="",'Data Entry'!$F999='Visual SPC'!$K$4)),1,0))</f>
        <v/>
      </c>
      <c r="C999">
        <f>C998+B999</f>
        <v/>
      </c>
      <c r="D999">
        <f>IF(B999=1,INDEX('Data Entry'!$H$5:$BE$10004,999-4,'Visual SPC'!$B$3),"")</f>
        <v/>
      </c>
      <c r="E999">
        <f>IF(B999=1,D999,E998)</f>
        <v/>
      </c>
      <c r="F999">
        <f>IF(AND(B999=1,C999&gt;1,E998&lt;&gt;""),ABS(D999-E998),"")</f>
        <v/>
      </c>
    </row>
    <row r="1000">
      <c r="A1000" t="n">
        <v>1000</v>
      </c>
      <c r="B1000">
        <f>IF(INDEX('Data Entry'!$H$5:$BE$10004,1000-4,'Visual SPC'!$B$3)="",0,IF(AND(OR('Visual SPC'!$C$4="",'Data Entry'!$C1000&gt;='Visual SPC'!$C$4),OR('Visual SPC'!$E$4="",'Data Entry'!$C1000&lt;='Visual SPC'!$E$4),OR('Visual SPC'!$G$4="",'Data Entry'!$D1000='Visual SPC'!$G$4),OR('Visual SPC'!$I$4="",'Data Entry'!$E1000='Visual SPC'!$I$4),OR('Visual SPC'!$K$4="",'Data Entry'!$F1000='Visual SPC'!$K$4)),1,0))</f>
        <v/>
      </c>
      <c r="C1000">
        <f>C999+B1000</f>
        <v/>
      </c>
      <c r="D1000">
        <f>IF(B1000=1,INDEX('Data Entry'!$H$5:$BE$10004,1000-4,'Visual SPC'!$B$3),"")</f>
        <v/>
      </c>
      <c r="E1000">
        <f>IF(B1000=1,D1000,E999)</f>
        <v/>
      </c>
      <c r="F1000">
        <f>IF(AND(B1000=1,C1000&gt;1,E999&lt;&gt;""),ABS(D1000-E999),"")</f>
        <v/>
      </c>
    </row>
    <row r="1001">
      <c r="A1001" t="n">
        <v>1001</v>
      </c>
      <c r="B1001">
        <f>IF(INDEX('Data Entry'!$H$5:$BE$10004,1001-4,'Visual SPC'!$B$3)="",0,IF(AND(OR('Visual SPC'!$C$4="",'Data Entry'!$C1001&gt;='Visual SPC'!$C$4),OR('Visual SPC'!$E$4="",'Data Entry'!$C1001&lt;='Visual SPC'!$E$4),OR('Visual SPC'!$G$4="",'Data Entry'!$D1001='Visual SPC'!$G$4),OR('Visual SPC'!$I$4="",'Data Entry'!$E1001='Visual SPC'!$I$4),OR('Visual SPC'!$K$4="",'Data Entry'!$F1001='Visual SPC'!$K$4)),1,0))</f>
        <v/>
      </c>
      <c r="C1001">
        <f>C1000+B1001</f>
        <v/>
      </c>
      <c r="D1001">
        <f>IF(B1001=1,INDEX('Data Entry'!$H$5:$BE$10004,1001-4,'Visual SPC'!$B$3),"")</f>
        <v/>
      </c>
      <c r="E1001">
        <f>IF(B1001=1,D1001,E1000)</f>
        <v/>
      </c>
      <c r="F1001">
        <f>IF(AND(B1001=1,C1001&gt;1,E1000&lt;&gt;""),ABS(D1001-E1000),"")</f>
        <v/>
      </c>
    </row>
    <row r="1002">
      <c r="A1002" t="n">
        <v>1002</v>
      </c>
      <c r="B1002">
        <f>IF(INDEX('Data Entry'!$H$5:$BE$10004,1002-4,'Visual SPC'!$B$3)="",0,IF(AND(OR('Visual SPC'!$C$4="",'Data Entry'!$C1002&gt;='Visual SPC'!$C$4),OR('Visual SPC'!$E$4="",'Data Entry'!$C1002&lt;='Visual SPC'!$E$4),OR('Visual SPC'!$G$4="",'Data Entry'!$D1002='Visual SPC'!$G$4),OR('Visual SPC'!$I$4="",'Data Entry'!$E1002='Visual SPC'!$I$4),OR('Visual SPC'!$K$4="",'Data Entry'!$F1002='Visual SPC'!$K$4)),1,0))</f>
        <v/>
      </c>
      <c r="C1002">
        <f>C1001+B1002</f>
        <v/>
      </c>
      <c r="D1002">
        <f>IF(B1002=1,INDEX('Data Entry'!$H$5:$BE$10004,1002-4,'Visual SPC'!$B$3),"")</f>
        <v/>
      </c>
      <c r="E1002">
        <f>IF(B1002=1,D1002,E1001)</f>
        <v/>
      </c>
      <c r="F1002">
        <f>IF(AND(B1002=1,C1002&gt;1,E1001&lt;&gt;""),ABS(D1002-E1001),"")</f>
        <v/>
      </c>
    </row>
    <row r="1003">
      <c r="A1003" t="n">
        <v>1003</v>
      </c>
      <c r="B1003">
        <f>IF(INDEX('Data Entry'!$H$5:$BE$10004,1003-4,'Visual SPC'!$B$3)="",0,IF(AND(OR('Visual SPC'!$C$4="",'Data Entry'!$C1003&gt;='Visual SPC'!$C$4),OR('Visual SPC'!$E$4="",'Data Entry'!$C1003&lt;='Visual SPC'!$E$4),OR('Visual SPC'!$G$4="",'Data Entry'!$D1003='Visual SPC'!$G$4),OR('Visual SPC'!$I$4="",'Data Entry'!$E1003='Visual SPC'!$I$4),OR('Visual SPC'!$K$4="",'Data Entry'!$F1003='Visual SPC'!$K$4)),1,0))</f>
        <v/>
      </c>
      <c r="C1003">
        <f>C1002+B1003</f>
        <v/>
      </c>
      <c r="D1003">
        <f>IF(B1003=1,INDEX('Data Entry'!$H$5:$BE$10004,1003-4,'Visual SPC'!$B$3),"")</f>
        <v/>
      </c>
      <c r="E1003">
        <f>IF(B1003=1,D1003,E1002)</f>
        <v/>
      </c>
      <c r="F1003">
        <f>IF(AND(B1003=1,C1003&gt;1,E1002&lt;&gt;""),ABS(D1003-E1002),"")</f>
        <v/>
      </c>
    </row>
    <row r="1004">
      <c r="A1004" t="n">
        <v>1004</v>
      </c>
      <c r="B1004">
        <f>IF(INDEX('Data Entry'!$H$5:$BE$10004,1004-4,'Visual SPC'!$B$3)="",0,IF(AND(OR('Visual SPC'!$C$4="",'Data Entry'!$C1004&gt;='Visual SPC'!$C$4),OR('Visual SPC'!$E$4="",'Data Entry'!$C1004&lt;='Visual SPC'!$E$4),OR('Visual SPC'!$G$4="",'Data Entry'!$D1004='Visual SPC'!$G$4),OR('Visual SPC'!$I$4="",'Data Entry'!$E1004='Visual SPC'!$I$4),OR('Visual SPC'!$K$4="",'Data Entry'!$F1004='Visual SPC'!$K$4)),1,0))</f>
        <v/>
      </c>
      <c r="C1004">
        <f>C1003+B1004</f>
        <v/>
      </c>
      <c r="D1004">
        <f>IF(B1004=1,INDEX('Data Entry'!$H$5:$BE$10004,1004-4,'Visual SPC'!$B$3),"")</f>
        <v/>
      </c>
      <c r="E1004">
        <f>IF(B1004=1,D1004,E1003)</f>
        <v/>
      </c>
      <c r="F1004">
        <f>IF(AND(B1004=1,C1004&gt;1,E1003&lt;&gt;""),ABS(D1004-E1003),"")</f>
        <v/>
      </c>
    </row>
    <row r="1005">
      <c r="A1005" t="n">
        <v>1005</v>
      </c>
      <c r="B1005">
        <f>IF(INDEX('Data Entry'!$H$5:$BE$10004,1005-4,'Visual SPC'!$B$3)="",0,IF(AND(OR('Visual SPC'!$C$4="",'Data Entry'!$C1005&gt;='Visual SPC'!$C$4),OR('Visual SPC'!$E$4="",'Data Entry'!$C1005&lt;='Visual SPC'!$E$4),OR('Visual SPC'!$G$4="",'Data Entry'!$D1005='Visual SPC'!$G$4),OR('Visual SPC'!$I$4="",'Data Entry'!$E1005='Visual SPC'!$I$4),OR('Visual SPC'!$K$4="",'Data Entry'!$F1005='Visual SPC'!$K$4)),1,0))</f>
        <v/>
      </c>
      <c r="C1005">
        <f>C1004+B1005</f>
        <v/>
      </c>
      <c r="D1005">
        <f>IF(B1005=1,INDEX('Data Entry'!$H$5:$BE$10004,1005-4,'Visual SPC'!$B$3),"")</f>
        <v/>
      </c>
      <c r="E1005">
        <f>IF(B1005=1,D1005,E1004)</f>
        <v/>
      </c>
      <c r="F1005">
        <f>IF(AND(B1005=1,C1005&gt;1,E1004&lt;&gt;""),ABS(D1005-E1004),"")</f>
        <v/>
      </c>
    </row>
    <row r="1006">
      <c r="A1006" t="n">
        <v>1006</v>
      </c>
      <c r="B1006">
        <f>IF(INDEX('Data Entry'!$H$5:$BE$10004,1006-4,'Visual SPC'!$B$3)="",0,IF(AND(OR('Visual SPC'!$C$4="",'Data Entry'!$C1006&gt;='Visual SPC'!$C$4),OR('Visual SPC'!$E$4="",'Data Entry'!$C1006&lt;='Visual SPC'!$E$4),OR('Visual SPC'!$G$4="",'Data Entry'!$D1006='Visual SPC'!$G$4),OR('Visual SPC'!$I$4="",'Data Entry'!$E1006='Visual SPC'!$I$4),OR('Visual SPC'!$K$4="",'Data Entry'!$F1006='Visual SPC'!$K$4)),1,0))</f>
        <v/>
      </c>
      <c r="C1006">
        <f>C1005+B1006</f>
        <v/>
      </c>
      <c r="D1006">
        <f>IF(B1006=1,INDEX('Data Entry'!$H$5:$BE$10004,1006-4,'Visual SPC'!$B$3),"")</f>
        <v/>
      </c>
      <c r="E1006">
        <f>IF(B1006=1,D1006,E1005)</f>
        <v/>
      </c>
      <c r="F1006">
        <f>IF(AND(B1006=1,C1006&gt;1,E1005&lt;&gt;""),ABS(D1006-E1005),"")</f>
        <v/>
      </c>
    </row>
    <row r="1007">
      <c r="A1007" t="n">
        <v>1007</v>
      </c>
      <c r="B1007">
        <f>IF(INDEX('Data Entry'!$H$5:$BE$10004,1007-4,'Visual SPC'!$B$3)="",0,IF(AND(OR('Visual SPC'!$C$4="",'Data Entry'!$C1007&gt;='Visual SPC'!$C$4),OR('Visual SPC'!$E$4="",'Data Entry'!$C1007&lt;='Visual SPC'!$E$4),OR('Visual SPC'!$G$4="",'Data Entry'!$D1007='Visual SPC'!$G$4),OR('Visual SPC'!$I$4="",'Data Entry'!$E1007='Visual SPC'!$I$4),OR('Visual SPC'!$K$4="",'Data Entry'!$F1007='Visual SPC'!$K$4)),1,0))</f>
        <v/>
      </c>
      <c r="C1007">
        <f>C1006+B1007</f>
        <v/>
      </c>
      <c r="D1007">
        <f>IF(B1007=1,INDEX('Data Entry'!$H$5:$BE$10004,1007-4,'Visual SPC'!$B$3),"")</f>
        <v/>
      </c>
      <c r="E1007">
        <f>IF(B1007=1,D1007,E1006)</f>
        <v/>
      </c>
      <c r="F1007">
        <f>IF(AND(B1007=1,C1007&gt;1,E1006&lt;&gt;""),ABS(D1007-E1006),"")</f>
        <v/>
      </c>
    </row>
    <row r="1008">
      <c r="A1008" t="n">
        <v>1008</v>
      </c>
      <c r="B1008">
        <f>IF(INDEX('Data Entry'!$H$5:$BE$10004,1008-4,'Visual SPC'!$B$3)="",0,IF(AND(OR('Visual SPC'!$C$4="",'Data Entry'!$C1008&gt;='Visual SPC'!$C$4),OR('Visual SPC'!$E$4="",'Data Entry'!$C1008&lt;='Visual SPC'!$E$4),OR('Visual SPC'!$G$4="",'Data Entry'!$D1008='Visual SPC'!$G$4),OR('Visual SPC'!$I$4="",'Data Entry'!$E1008='Visual SPC'!$I$4),OR('Visual SPC'!$K$4="",'Data Entry'!$F1008='Visual SPC'!$K$4)),1,0))</f>
        <v/>
      </c>
      <c r="C1008">
        <f>C1007+B1008</f>
        <v/>
      </c>
      <c r="D1008">
        <f>IF(B1008=1,INDEX('Data Entry'!$H$5:$BE$10004,1008-4,'Visual SPC'!$B$3),"")</f>
        <v/>
      </c>
      <c r="E1008">
        <f>IF(B1008=1,D1008,E1007)</f>
        <v/>
      </c>
      <c r="F1008">
        <f>IF(AND(B1008=1,C1008&gt;1,E1007&lt;&gt;""),ABS(D1008-E1007),"")</f>
        <v/>
      </c>
    </row>
    <row r="1009">
      <c r="A1009" t="n">
        <v>1009</v>
      </c>
      <c r="B1009">
        <f>IF(INDEX('Data Entry'!$H$5:$BE$10004,1009-4,'Visual SPC'!$B$3)="",0,IF(AND(OR('Visual SPC'!$C$4="",'Data Entry'!$C1009&gt;='Visual SPC'!$C$4),OR('Visual SPC'!$E$4="",'Data Entry'!$C1009&lt;='Visual SPC'!$E$4),OR('Visual SPC'!$G$4="",'Data Entry'!$D1009='Visual SPC'!$G$4),OR('Visual SPC'!$I$4="",'Data Entry'!$E1009='Visual SPC'!$I$4),OR('Visual SPC'!$K$4="",'Data Entry'!$F1009='Visual SPC'!$K$4)),1,0))</f>
        <v/>
      </c>
      <c r="C1009">
        <f>C1008+B1009</f>
        <v/>
      </c>
      <c r="D1009">
        <f>IF(B1009=1,INDEX('Data Entry'!$H$5:$BE$10004,1009-4,'Visual SPC'!$B$3),"")</f>
        <v/>
      </c>
      <c r="E1009">
        <f>IF(B1009=1,D1009,E1008)</f>
        <v/>
      </c>
      <c r="F1009">
        <f>IF(AND(B1009=1,C1009&gt;1,E1008&lt;&gt;""),ABS(D1009-E1008),"")</f>
        <v/>
      </c>
    </row>
    <row r="1010">
      <c r="A1010" t="n">
        <v>1010</v>
      </c>
      <c r="B1010">
        <f>IF(INDEX('Data Entry'!$H$5:$BE$10004,1010-4,'Visual SPC'!$B$3)="",0,IF(AND(OR('Visual SPC'!$C$4="",'Data Entry'!$C1010&gt;='Visual SPC'!$C$4),OR('Visual SPC'!$E$4="",'Data Entry'!$C1010&lt;='Visual SPC'!$E$4),OR('Visual SPC'!$G$4="",'Data Entry'!$D1010='Visual SPC'!$G$4),OR('Visual SPC'!$I$4="",'Data Entry'!$E1010='Visual SPC'!$I$4),OR('Visual SPC'!$K$4="",'Data Entry'!$F1010='Visual SPC'!$K$4)),1,0))</f>
        <v/>
      </c>
      <c r="C1010">
        <f>C1009+B1010</f>
        <v/>
      </c>
      <c r="D1010">
        <f>IF(B1010=1,INDEX('Data Entry'!$H$5:$BE$10004,1010-4,'Visual SPC'!$B$3),"")</f>
        <v/>
      </c>
      <c r="E1010">
        <f>IF(B1010=1,D1010,E1009)</f>
        <v/>
      </c>
      <c r="F1010">
        <f>IF(AND(B1010=1,C1010&gt;1,E1009&lt;&gt;""),ABS(D1010-E1009),"")</f>
        <v/>
      </c>
    </row>
    <row r="1011">
      <c r="A1011" t="n">
        <v>1011</v>
      </c>
      <c r="B1011">
        <f>IF(INDEX('Data Entry'!$H$5:$BE$10004,1011-4,'Visual SPC'!$B$3)="",0,IF(AND(OR('Visual SPC'!$C$4="",'Data Entry'!$C1011&gt;='Visual SPC'!$C$4),OR('Visual SPC'!$E$4="",'Data Entry'!$C1011&lt;='Visual SPC'!$E$4),OR('Visual SPC'!$G$4="",'Data Entry'!$D1011='Visual SPC'!$G$4),OR('Visual SPC'!$I$4="",'Data Entry'!$E1011='Visual SPC'!$I$4),OR('Visual SPC'!$K$4="",'Data Entry'!$F1011='Visual SPC'!$K$4)),1,0))</f>
        <v/>
      </c>
      <c r="C1011">
        <f>C1010+B1011</f>
        <v/>
      </c>
      <c r="D1011">
        <f>IF(B1011=1,INDEX('Data Entry'!$H$5:$BE$10004,1011-4,'Visual SPC'!$B$3),"")</f>
        <v/>
      </c>
      <c r="E1011">
        <f>IF(B1011=1,D1011,E1010)</f>
        <v/>
      </c>
      <c r="F1011">
        <f>IF(AND(B1011=1,C1011&gt;1,E1010&lt;&gt;""),ABS(D1011-E1010),"")</f>
        <v/>
      </c>
    </row>
    <row r="1012">
      <c r="A1012" t="n">
        <v>1012</v>
      </c>
      <c r="B1012">
        <f>IF(INDEX('Data Entry'!$H$5:$BE$10004,1012-4,'Visual SPC'!$B$3)="",0,IF(AND(OR('Visual SPC'!$C$4="",'Data Entry'!$C1012&gt;='Visual SPC'!$C$4),OR('Visual SPC'!$E$4="",'Data Entry'!$C1012&lt;='Visual SPC'!$E$4),OR('Visual SPC'!$G$4="",'Data Entry'!$D1012='Visual SPC'!$G$4),OR('Visual SPC'!$I$4="",'Data Entry'!$E1012='Visual SPC'!$I$4),OR('Visual SPC'!$K$4="",'Data Entry'!$F1012='Visual SPC'!$K$4)),1,0))</f>
        <v/>
      </c>
      <c r="C1012">
        <f>C1011+B1012</f>
        <v/>
      </c>
      <c r="D1012">
        <f>IF(B1012=1,INDEX('Data Entry'!$H$5:$BE$10004,1012-4,'Visual SPC'!$B$3),"")</f>
        <v/>
      </c>
      <c r="E1012">
        <f>IF(B1012=1,D1012,E1011)</f>
        <v/>
      </c>
      <c r="F1012">
        <f>IF(AND(B1012=1,C1012&gt;1,E1011&lt;&gt;""),ABS(D1012-E1011),"")</f>
        <v/>
      </c>
    </row>
    <row r="1013">
      <c r="A1013" t="n">
        <v>1013</v>
      </c>
      <c r="B1013">
        <f>IF(INDEX('Data Entry'!$H$5:$BE$10004,1013-4,'Visual SPC'!$B$3)="",0,IF(AND(OR('Visual SPC'!$C$4="",'Data Entry'!$C1013&gt;='Visual SPC'!$C$4),OR('Visual SPC'!$E$4="",'Data Entry'!$C1013&lt;='Visual SPC'!$E$4),OR('Visual SPC'!$G$4="",'Data Entry'!$D1013='Visual SPC'!$G$4),OR('Visual SPC'!$I$4="",'Data Entry'!$E1013='Visual SPC'!$I$4),OR('Visual SPC'!$K$4="",'Data Entry'!$F1013='Visual SPC'!$K$4)),1,0))</f>
        <v/>
      </c>
      <c r="C1013">
        <f>C1012+B1013</f>
        <v/>
      </c>
      <c r="D1013">
        <f>IF(B1013=1,INDEX('Data Entry'!$H$5:$BE$10004,1013-4,'Visual SPC'!$B$3),"")</f>
        <v/>
      </c>
      <c r="E1013">
        <f>IF(B1013=1,D1013,E1012)</f>
        <v/>
      </c>
      <c r="F1013">
        <f>IF(AND(B1013=1,C1013&gt;1,E1012&lt;&gt;""),ABS(D1013-E1012),"")</f>
        <v/>
      </c>
    </row>
    <row r="1014">
      <c r="A1014" t="n">
        <v>1014</v>
      </c>
      <c r="B1014">
        <f>IF(INDEX('Data Entry'!$H$5:$BE$10004,1014-4,'Visual SPC'!$B$3)="",0,IF(AND(OR('Visual SPC'!$C$4="",'Data Entry'!$C1014&gt;='Visual SPC'!$C$4),OR('Visual SPC'!$E$4="",'Data Entry'!$C1014&lt;='Visual SPC'!$E$4),OR('Visual SPC'!$G$4="",'Data Entry'!$D1014='Visual SPC'!$G$4),OR('Visual SPC'!$I$4="",'Data Entry'!$E1014='Visual SPC'!$I$4),OR('Visual SPC'!$K$4="",'Data Entry'!$F1014='Visual SPC'!$K$4)),1,0))</f>
        <v/>
      </c>
      <c r="C1014">
        <f>C1013+B1014</f>
        <v/>
      </c>
      <c r="D1014">
        <f>IF(B1014=1,INDEX('Data Entry'!$H$5:$BE$10004,1014-4,'Visual SPC'!$B$3),"")</f>
        <v/>
      </c>
      <c r="E1014">
        <f>IF(B1014=1,D1014,E1013)</f>
        <v/>
      </c>
      <c r="F1014">
        <f>IF(AND(B1014=1,C1014&gt;1,E1013&lt;&gt;""),ABS(D1014-E1013),"")</f>
        <v/>
      </c>
    </row>
    <row r="1015">
      <c r="A1015" t="n">
        <v>1015</v>
      </c>
      <c r="B1015">
        <f>IF(INDEX('Data Entry'!$H$5:$BE$10004,1015-4,'Visual SPC'!$B$3)="",0,IF(AND(OR('Visual SPC'!$C$4="",'Data Entry'!$C1015&gt;='Visual SPC'!$C$4),OR('Visual SPC'!$E$4="",'Data Entry'!$C1015&lt;='Visual SPC'!$E$4),OR('Visual SPC'!$G$4="",'Data Entry'!$D1015='Visual SPC'!$G$4),OR('Visual SPC'!$I$4="",'Data Entry'!$E1015='Visual SPC'!$I$4),OR('Visual SPC'!$K$4="",'Data Entry'!$F1015='Visual SPC'!$K$4)),1,0))</f>
        <v/>
      </c>
      <c r="C1015">
        <f>C1014+B1015</f>
        <v/>
      </c>
      <c r="D1015">
        <f>IF(B1015=1,INDEX('Data Entry'!$H$5:$BE$10004,1015-4,'Visual SPC'!$B$3),"")</f>
        <v/>
      </c>
      <c r="E1015">
        <f>IF(B1015=1,D1015,E1014)</f>
        <v/>
      </c>
      <c r="F1015">
        <f>IF(AND(B1015=1,C1015&gt;1,E1014&lt;&gt;""),ABS(D1015-E1014),"")</f>
        <v/>
      </c>
    </row>
    <row r="1016">
      <c r="A1016" t="n">
        <v>1016</v>
      </c>
      <c r="B1016">
        <f>IF(INDEX('Data Entry'!$H$5:$BE$10004,1016-4,'Visual SPC'!$B$3)="",0,IF(AND(OR('Visual SPC'!$C$4="",'Data Entry'!$C1016&gt;='Visual SPC'!$C$4),OR('Visual SPC'!$E$4="",'Data Entry'!$C1016&lt;='Visual SPC'!$E$4),OR('Visual SPC'!$G$4="",'Data Entry'!$D1016='Visual SPC'!$G$4),OR('Visual SPC'!$I$4="",'Data Entry'!$E1016='Visual SPC'!$I$4),OR('Visual SPC'!$K$4="",'Data Entry'!$F1016='Visual SPC'!$K$4)),1,0))</f>
        <v/>
      </c>
      <c r="C1016">
        <f>C1015+B1016</f>
        <v/>
      </c>
      <c r="D1016">
        <f>IF(B1016=1,INDEX('Data Entry'!$H$5:$BE$10004,1016-4,'Visual SPC'!$B$3),"")</f>
        <v/>
      </c>
      <c r="E1016">
        <f>IF(B1016=1,D1016,E1015)</f>
        <v/>
      </c>
      <c r="F1016">
        <f>IF(AND(B1016=1,C1016&gt;1,E1015&lt;&gt;""),ABS(D1016-E1015),"")</f>
        <v/>
      </c>
    </row>
    <row r="1017">
      <c r="A1017" t="n">
        <v>1017</v>
      </c>
      <c r="B1017">
        <f>IF(INDEX('Data Entry'!$H$5:$BE$10004,1017-4,'Visual SPC'!$B$3)="",0,IF(AND(OR('Visual SPC'!$C$4="",'Data Entry'!$C1017&gt;='Visual SPC'!$C$4),OR('Visual SPC'!$E$4="",'Data Entry'!$C1017&lt;='Visual SPC'!$E$4),OR('Visual SPC'!$G$4="",'Data Entry'!$D1017='Visual SPC'!$G$4),OR('Visual SPC'!$I$4="",'Data Entry'!$E1017='Visual SPC'!$I$4),OR('Visual SPC'!$K$4="",'Data Entry'!$F1017='Visual SPC'!$K$4)),1,0))</f>
        <v/>
      </c>
      <c r="C1017">
        <f>C1016+B1017</f>
        <v/>
      </c>
      <c r="D1017">
        <f>IF(B1017=1,INDEX('Data Entry'!$H$5:$BE$10004,1017-4,'Visual SPC'!$B$3),"")</f>
        <v/>
      </c>
      <c r="E1017">
        <f>IF(B1017=1,D1017,E1016)</f>
        <v/>
      </c>
      <c r="F1017">
        <f>IF(AND(B1017=1,C1017&gt;1,E1016&lt;&gt;""),ABS(D1017-E1016),"")</f>
        <v/>
      </c>
    </row>
    <row r="1018">
      <c r="A1018" t="n">
        <v>1018</v>
      </c>
      <c r="B1018">
        <f>IF(INDEX('Data Entry'!$H$5:$BE$10004,1018-4,'Visual SPC'!$B$3)="",0,IF(AND(OR('Visual SPC'!$C$4="",'Data Entry'!$C1018&gt;='Visual SPC'!$C$4),OR('Visual SPC'!$E$4="",'Data Entry'!$C1018&lt;='Visual SPC'!$E$4),OR('Visual SPC'!$G$4="",'Data Entry'!$D1018='Visual SPC'!$G$4),OR('Visual SPC'!$I$4="",'Data Entry'!$E1018='Visual SPC'!$I$4),OR('Visual SPC'!$K$4="",'Data Entry'!$F1018='Visual SPC'!$K$4)),1,0))</f>
        <v/>
      </c>
      <c r="C1018">
        <f>C1017+B1018</f>
        <v/>
      </c>
      <c r="D1018">
        <f>IF(B1018=1,INDEX('Data Entry'!$H$5:$BE$10004,1018-4,'Visual SPC'!$B$3),"")</f>
        <v/>
      </c>
      <c r="E1018">
        <f>IF(B1018=1,D1018,E1017)</f>
        <v/>
      </c>
      <c r="F1018">
        <f>IF(AND(B1018=1,C1018&gt;1,E1017&lt;&gt;""),ABS(D1018-E1017),"")</f>
        <v/>
      </c>
    </row>
    <row r="1019">
      <c r="A1019" t="n">
        <v>1019</v>
      </c>
      <c r="B1019">
        <f>IF(INDEX('Data Entry'!$H$5:$BE$10004,1019-4,'Visual SPC'!$B$3)="",0,IF(AND(OR('Visual SPC'!$C$4="",'Data Entry'!$C1019&gt;='Visual SPC'!$C$4),OR('Visual SPC'!$E$4="",'Data Entry'!$C1019&lt;='Visual SPC'!$E$4),OR('Visual SPC'!$G$4="",'Data Entry'!$D1019='Visual SPC'!$G$4),OR('Visual SPC'!$I$4="",'Data Entry'!$E1019='Visual SPC'!$I$4),OR('Visual SPC'!$K$4="",'Data Entry'!$F1019='Visual SPC'!$K$4)),1,0))</f>
        <v/>
      </c>
      <c r="C1019">
        <f>C1018+B1019</f>
        <v/>
      </c>
      <c r="D1019">
        <f>IF(B1019=1,INDEX('Data Entry'!$H$5:$BE$10004,1019-4,'Visual SPC'!$B$3),"")</f>
        <v/>
      </c>
      <c r="E1019">
        <f>IF(B1019=1,D1019,E1018)</f>
        <v/>
      </c>
      <c r="F1019">
        <f>IF(AND(B1019=1,C1019&gt;1,E1018&lt;&gt;""),ABS(D1019-E1018),"")</f>
        <v/>
      </c>
    </row>
    <row r="1020">
      <c r="A1020" t="n">
        <v>1020</v>
      </c>
      <c r="B1020">
        <f>IF(INDEX('Data Entry'!$H$5:$BE$10004,1020-4,'Visual SPC'!$B$3)="",0,IF(AND(OR('Visual SPC'!$C$4="",'Data Entry'!$C1020&gt;='Visual SPC'!$C$4),OR('Visual SPC'!$E$4="",'Data Entry'!$C1020&lt;='Visual SPC'!$E$4),OR('Visual SPC'!$G$4="",'Data Entry'!$D1020='Visual SPC'!$G$4),OR('Visual SPC'!$I$4="",'Data Entry'!$E1020='Visual SPC'!$I$4),OR('Visual SPC'!$K$4="",'Data Entry'!$F1020='Visual SPC'!$K$4)),1,0))</f>
        <v/>
      </c>
      <c r="C1020">
        <f>C1019+B1020</f>
        <v/>
      </c>
      <c r="D1020">
        <f>IF(B1020=1,INDEX('Data Entry'!$H$5:$BE$10004,1020-4,'Visual SPC'!$B$3),"")</f>
        <v/>
      </c>
      <c r="E1020">
        <f>IF(B1020=1,D1020,E1019)</f>
        <v/>
      </c>
      <c r="F1020">
        <f>IF(AND(B1020=1,C1020&gt;1,E1019&lt;&gt;""),ABS(D1020-E1019),"")</f>
        <v/>
      </c>
    </row>
    <row r="1021">
      <c r="A1021" t="n">
        <v>1021</v>
      </c>
      <c r="B1021">
        <f>IF(INDEX('Data Entry'!$H$5:$BE$10004,1021-4,'Visual SPC'!$B$3)="",0,IF(AND(OR('Visual SPC'!$C$4="",'Data Entry'!$C1021&gt;='Visual SPC'!$C$4),OR('Visual SPC'!$E$4="",'Data Entry'!$C1021&lt;='Visual SPC'!$E$4),OR('Visual SPC'!$G$4="",'Data Entry'!$D1021='Visual SPC'!$G$4),OR('Visual SPC'!$I$4="",'Data Entry'!$E1021='Visual SPC'!$I$4),OR('Visual SPC'!$K$4="",'Data Entry'!$F1021='Visual SPC'!$K$4)),1,0))</f>
        <v/>
      </c>
      <c r="C1021">
        <f>C1020+B1021</f>
        <v/>
      </c>
      <c r="D1021">
        <f>IF(B1021=1,INDEX('Data Entry'!$H$5:$BE$10004,1021-4,'Visual SPC'!$B$3),"")</f>
        <v/>
      </c>
      <c r="E1021">
        <f>IF(B1021=1,D1021,E1020)</f>
        <v/>
      </c>
      <c r="F1021">
        <f>IF(AND(B1021=1,C1021&gt;1,E1020&lt;&gt;""),ABS(D1021-E1020),"")</f>
        <v/>
      </c>
    </row>
    <row r="1022">
      <c r="A1022" t="n">
        <v>1022</v>
      </c>
      <c r="B1022">
        <f>IF(INDEX('Data Entry'!$H$5:$BE$10004,1022-4,'Visual SPC'!$B$3)="",0,IF(AND(OR('Visual SPC'!$C$4="",'Data Entry'!$C1022&gt;='Visual SPC'!$C$4),OR('Visual SPC'!$E$4="",'Data Entry'!$C1022&lt;='Visual SPC'!$E$4),OR('Visual SPC'!$G$4="",'Data Entry'!$D1022='Visual SPC'!$G$4),OR('Visual SPC'!$I$4="",'Data Entry'!$E1022='Visual SPC'!$I$4),OR('Visual SPC'!$K$4="",'Data Entry'!$F1022='Visual SPC'!$K$4)),1,0))</f>
        <v/>
      </c>
      <c r="C1022">
        <f>C1021+B1022</f>
        <v/>
      </c>
      <c r="D1022">
        <f>IF(B1022=1,INDEX('Data Entry'!$H$5:$BE$10004,1022-4,'Visual SPC'!$B$3),"")</f>
        <v/>
      </c>
      <c r="E1022">
        <f>IF(B1022=1,D1022,E1021)</f>
        <v/>
      </c>
      <c r="F1022">
        <f>IF(AND(B1022=1,C1022&gt;1,E1021&lt;&gt;""),ABS(D1022-E1021),"")</f>
        <v/>
      </c>
    </row>
    <row r="1023">
      <c r="A1023" t="n">
        <v>1023</v>
      </c>
      <c r="B1023">
        <f>IF(INDEX('Data Entry'!$H$5:$BE$10004,1023-4,'Visual SPC'!$B$3)="",0,IF(AND(OR('Visual SPC'!$C$4="",'Data Entry'!$C1023&gt;='Visual SPC'!$C$4),OR('Visual SPC'!$E$4="",'Data Entry'!$C1023&lt;='Visual SPC'!$E$4),OR('Visual SPC'!$G$4="",'Data Entry'!$D1023='Visual SPC'!$G$4),OR('Visual SPC'!$I$4="",'Data Entry'!$E1023='Visual SPC'!$I$4),OR('Visual SPC'!$K$4="",'Data Entry'!$F1023='Visual SPC'!$K$4)),1,0))</f>
        <v/>
      </c>
      <c r="C1023">
        <f>C1022+B1023</f>
        <v/>
      </c>
      <c r="D1023">
        <f>IF(B1023=1,INDEX('Data Entry'!$H$5:$BE$10004,1023-4,'Visual SPC'!$B$3),"")</f>
        <v/>
      </c>
      <c r="E1023">
        <f>IF(B1023=1,D1023,E1022)</f>
        <v/>
      </c>
      <c r="F1023">
        <f>IF(AND(B1023=1,C1023&gt;1,E1022&lt;&gt;""),ABS(D1023-E1022),"")</f>
        <v/>
      </c>
    </row>
    <row r="1024">
      <c r="A1024" t="n">
        <v>1024</v>
      </c>
      <c r="B1024">
        <f>IF(INDEX('Data Entry'!$H$5:$BE$10004,1024-4,'Visual SPC'!$B$3)="",0,IF(AND(OR('Visual SPC'!$C$4="",'Data Entry'!$C1024&gt;='Visual SPC'!$C$4),OR('Visual SPC'!$E$4="",'Data Entry'!$C1024&lt;='Visual SPC'!$E$4),OR('Visual SPC'!$G$4="",'Data Entry'!$D1024='Visual SPC'!$G$4),OR('Visual SPC'!$I$4="",'Data Entry'!$E1024='Visual SPC'!$I$4),OR('Visual SPC'!$K$4="",'Data Entry'!$F1024='Visual SPC'!$K$4)),1,0))</f>
        <v/>
      </c>
      <c r="C1024">
        <f>C1023+B1024</f>
        <v/>
      </c>
      <c r="D1024">
        <f>IF(B1024=1,INDEX('Data Entry'!$H$5:$BE$10004,1024-4,'Visual SPC'!$B$3),"")</f>
        <v/>
      </c>
      <c r="E1024">
        <f>IF(B1024=1,D1024,E1023)</f>
        <v/>
      </c>
      <c r="F1024">
        <f>IF(AND(B1024=1,C1024&gt;1,E1023&lt;&gt;""),ABS(D1024-E1023),"")</f>
        <v/>
      </c>
    </row>
    <row r="1025">
      <c r="A1025" t="n">
        <v>1025</v>
      </c>
      <c r="B1025">
        <f>IF(INDEX('Data Entry'!$H$5:$BE$10004,1025-4,'Visual SPC'!$B$3)="",0,IF(AND(OR('Visual SPC'!$C$4="",'Data Entry'!$C1025&gt;='Visual SPC'!$C$4),OR('Visual SPC'!$E$4="",'Data Entry'!$C1025&lt;='Visual SPC'!$E$4),OR('Visual SPC'!$G$4="",'Data Entry'!$D1025='Visual SPC'!$G$4),OR('Visual SPC'!$I$4="",'Data Entry'!$E1025='Visual SPC'!$I$4),OR('Visual SPC'!$K$4="",'Data Entry'!$F1025='Visual SPC'!$K$4)),1,0))</f>
        <v/>
      </c>
      <c r="C1025">
        <f>C1024+B1025</f>
        <v/>
      </c>
      <c r="D1025">
        <f>IF(B1025=1,INDEX('Data Entry'!$H$5:$BE$10004,1025-4,'Visual SPC'!$B$3),"")</f>
        <v/>
      </c>
      <c r="E1025">
        <f>IF(B1025=1,D1025,E1024)</f>
        <v/>
      </c>
      <c r="F1025">
        <f>IF(AND(B1025=1,C1025&gt;1,E1024&lt;&gt;""),ABS(D1025-E1024),"")</f>
        <v/>
      </c>
    </row>
    <row r="1026">
      <c r="A1026" t="n">
        <v>1026</v>
      </c>
      <c r="B1026">
        <f>IF(INDEX('Data Entry'!$H$5:$BE$10004,1026-4,'Visual SPC'!$B$3)="",0,IF(AND(OR('Visual SPC'!$C$4="",'Data Entry'!$C1026&gt;='Visual SPC'!$C$4),OR('Visual SPC'!$E$4="",'Data Entry'!$C1026&lt;='Visual SPC'!$E$4),OR('Visual SPC'!$G$4="",'Data Entry'!$D1026='Visual SPC'!$G$4),OR('Visual SPC'!$I$4="",'Data Entry'!$E1026='Visual SPC'!$I$4),OR('Visual SPC'!$K$4="",'Data Entry'!$F1026='Visual SPC'!$K$4)),1,0))</f>
        <v/>
      </c>
      <c r="C1026">
        <f>C1025+B1026</f>
        <v/>
      </c>
      <c r="D1026">
        <f>IF(B1026=1,INDEX('Data Entry'!$H$5:$BE$10004,1026-4,'Visual SPC'!$B$3),"")</f>
        <v/>
      </c>
      <c r="E1026">
        <f>IF(B1026=1,D1026,E1025)</f>
        <v/>
      </c>
      <c r="F1026">
        <f>IF(AND(B1026=1,C1026&gt;1,E1025&lt;&gt;""),ABS(D1026-E1025),"")</f>
        <v/>
      </c>
    </row>
    <row r="1027">
      <c r="A1027" t="n">
        <v>1027</v>
      </c>
      <c r="B1027">
        <f>IF(INDEX('Data Entry'!$H$5:$BE$10004,1027-4,'Visual SPC'!$B$3)="",0,IF(AND(OR('Visual SPC'!$C$4="",'Data Entry'!$C1027&gt;='Visual SPC'!$C$4),OR('Visual SPC'!$E$4="",'Data Entry'!$C1027&lt;='Visual SPC'!$E$4),OR('Visual SPC'!$G$4="",'Data Entry'!$D1027='Visual SPC'!$G$4),OR('Visual SPC'!$I$4="",'Data Entry'!$E1027='Visual SPC'!$I$4),OR('Visual SPC'!$K$4="",'Data Entry'!$F1027='Visual SPC'!$K$4)),1,0))</f>
        <v/>
      </c>
      <c r="C1027">
        <f>C1026+B1027</f>
        <v/>
      </c>
      <c r="D1027">
        <f>IF(B1027=1,INDEX('Data Entry'!$H$5:$BE$10004,1027-4,'Visual SPC'!$B$3),"")</f>
        <v/>
      </c>
      <c r="E1027">
        <f>IF(B1027=1,D1027,E1026)</f>
        <v/>
      </c>
      <c r="F1027">
        <f>IF(AND(B1027=1,C1027&gt;1,E1026&lt;&gt;""),ABS(D1027-E1026),"")</f>
        <v/>
      </c>
    </row>
    <row r="1028">
      <c r="A1028" t="n">
        <v>1028</v>
      </c>
      <c r="B1028">
        <f>IF(INDEX('Data Entry'!$H$5:$BE$10004,1028-4,'Visual SPC'!$B$3)="",0,IF(AND(OR('Visual SPC'!$C$4="",'Data Entry'!$C1028&gt;='Visual SPC'!$C$4),OR('Visual SPC'!$E$4="",'Data Entry'!$C1028&lt;='Visual SPC'!$E$4),OR('Visual SPC'!$G$4="",'Data Entry'!$D1028='Visual SPC'!$G$4),OR('Visual SPC'!$I$4="",'Data Entry'!$E1028='Visual SPC'!$I$4),OR('Visual SPC'!$K$4="",'Data Entry'!$F1028='Visual SPC'!$K$4)),1,0))</f>
        <v/>
      </c>
      <c r="C1028">
        <f>C1027+B1028</f>
        <v/>
      </c>
      <c r="D1028">
        <f>IF(B1028=1,INDEX('Data Entry'!$H$5:$BE$10004,1028-4,'Visual SPC'!$B$3),"")</f>
        <v/>
      </c>
      <c r="E1028">
        <f>IF(B1028=1,D1028,E1027)</f>
        <v/>
      </c>
      <c r="F1028">
        <f>IF(AND(B1028=1,C1028&gt;1,E1027&lt;&gt;""),ABS(D1028-E1027),"")</f>
        <v/>
      </c>
    </row>
    <row r="1029">
      <c r="A1029" t="n">
        <v>1029</v>
      </c>
      <c r="B1029">
        <f>IF(INDEX('Data Entry'!$H$5:$BE$10004,1029-4,'Visual SPC'!$B$3)="",0,IF(AND(OR('Visual SPC'!$C$4="",'Data Entry'!$C1029&gt;='Visual SPC'!$C$4),OR('Visual SPC'!$E$4="",'Data Entry'!$C1029&lt;='Visual SPC'!$E$4),OR('Visual SPC'!$G$4="",'Data Entry'!$D1029='Visual SPC'!$G$4),OR('Visual SPC'!$I$4="",'Data Entry'!$E1029='Visual SPC'!$I$4),OR('Visual SPC'!$K$4="",'Data Entry'!$F1029='Visual SPC'!$K$4)),1,0))</f>
        <v/>
      </c>
      <c r="C1029">
        <f>C1028+B1029</f>
        <v/>
      </c>
      <c r="D1029">
        <f>IF(B1029=1,INDEX('Data Entry'!$H$5:$BE$10004,1029-4,'Visual SPC'!$B$3),"")</f>
        <v/>
      </c>
      <c r="E1029">
        <f>IF(B1029=1,D1029,E1028)</f>
        <v/>
      </c>
      <c r="F1029">
        <f>IF(AND(B1029=1,C1029&gt;1,E1028&lt;&gt;""),ABS(D1029-E1028),"")</f>
        <v/>
      </c>
    </row>
    <row r="1030">
      <c r="A1030" t="n">
        <v>1030</v>
      </c>
      <c r="B1030">
        <f>IF(INDEX('Data Entry'!$H$5:$BE$10004,1030-4,'Visual SPC'!$B$3)="",0,IF(AND(OR('Visual SPC'!$C$4="",'Data Entry'!$C1030&gt;='Visual SPC'!$C$4),OR('Visual SPC'!$E$4="",'Data Entry'!$C1030&lt;='Visual SPC'!$E$4),OR('Visual SPC'!$G$4="",'Data Entry'!$D1030='Visual SPC'!$G$4),OR('Visual SPC'!$I$4="",'Data Entry'!$E1030='Visual SPC'!$I$4),OR('Visual SPC'!$K$4="",'Data Entry'!$F1030='Visual SPC'!$K$4)),1,0))</f>
        <v/>
      </c>
      <c r="C1030">
        <f>C1029+B1030</f>
        <v/>
      </c>
      <c r="D1030">
        <f>IF(B1030=1,INDEX('Data Entry'!$H$5:$BE$10004,1030-4,'Visual SPC'!$B$3),"")</f>
        <v/>
      </c>
      <c r="E1030">
        <f>IF(B1030=1,D1030,E1029)</f>
        <v/>
      </c>
      <c r="F1030">
        <f>IF(AND(B1030=1,C1030&gt;1,E1029&lt;&gt;""),ABS(D1030-E1029),"")</f>
        <v/>
      </c>
    </row>
    <row r="1031">
      <c r="A1031" t="n">
        <v>1031</v>
      </c>
      <c r="B1031">
        <f>IF(INDEX('Data Entry'!$H$5:$BE$10004,1031-4,'Visual SPC'!$B$3)="",0,IF(AND(OR('Visual SPC'!$C$4="",'Data Entry'!$C1031&gt;='Visual SPC'!$C$4),OR('Visual SPC'!$E$4="",'Data Entry'!$C1031&lt;='Visual SPC'!$E$4),OR('Visual SPC'!$G$4="",'Data Entry'!$D1031='Visual SPC'!$G$4),OR('Visual SPC'!$I$4="",'Data Entry'!$E1031='Visual SPC'!$I$4),OR('Visual SPC'!$K$4="",'Data Entry'!$F1031='Visual SPC'!$K$4)),1,0))</f>
        <v/>
      </c>
      <c r="C1031">
        <f>C1030+B1031</f>
        <v/>
      </c>
      <c r="D1031">
        <f>IF(B1031=1,INDEX('Data Entry'!$H$5:$BE$10004,1031-4,'Visual SPC'!$B$3),"")</f>
        <v/>
      </c>
      <c r="E1031">
        <f>IF(B1031=1,D1031,E1030)</f>
        <v/>
      </c>
      <c r="F1031">
        <f>IF(AND(B1031=1,C1031&gt;1,E1030&lt;&gt;""),ABS(D1031-E1030),"")</f>
        <v/>
      </c>
    </row>
    <row r="1032">
      <c r="A1032" t="n">
        <v>1032</v>
      </c>
      <c r="B1032">
        <f>IF(INDEX('Data Entry'!$H$5:$BE$10004,1032-4,'Visual SPC'!$B$3)="",0,IF(AND(OR('Visual SPC'!$C$4="",'Data Entry'!$C1032&gt;='Visual SPC'!$C$4),OR('Visual SPC'!$E$4="",'Data Entry'!$C1032&lt;='Visual SPC'!$E$4),OR('Visual SPC'!$G$4="",'Data Entry'!$D1032='Visual SPC'!$G$4),OR('Visual SPC'!$I$4="",'Data Entry'!$E1032='Visual SPC'!$I$4),OR('Visual SPC'!$K$4="",'Data Entry'!$F1032='Visual SPC'!$K$4)),1,0))</f>
        <v/>
      </c>
      <c r="C1032">
        <f>C1031+B1032</f>
        <v/>
      </c>
      <c r="D1032">
        <f>IF(B1032=1,INDEX('Data Entry'!$H$5:$BE$10004,1032-4,'Visual SPC'!$B$3),"")</f>
        <v/>
      </c>
      <c r="E1032">
        <f>IF(B1032=1,D1032,E1031)</f>
        <v/>
      </c>
      <c r="F1032">
        <f>IF(AND(B1032=1,C1032&gt;1,E1031&lt;&gt;""),ABS(D1032-E1031),"")</f>
        <v/>
      </c>
    </row>
    <row r="1033">
      <c r="A1033" t="n">
        <v>1033</v>
      </c>
      <c r="B1033">
        <f>IF(INDEX('Data Entry'!$H$5:$BE$10004,1033-4,'Visual SPC'!$B$3)="",0,IF(AND(OR('Visual SPC'!$C$4="",'Data Entry'!$C1033&gt;='Visual SPC'!$C$4),OR('Visual SPC'!$E$4="",'Data Entry'!$C1033&lt;='Visual SPC'!$E$4),OR('Visual SPC'!$G$4="",'Data Entry'!$D1033='Visual SPC'!$G$4),OR('Visual SPC'!$I$4="",'Data Entry'!$E1033='Visual SPC'!$I$4),OR('Visual SPC'!$K$4="",'Data Entry'!$F1033='Visual SPC'!$K$4)),1,0))</f>
        <v/>
      </c>
      <c r="C1033">
        <f>C1032+B1033</f>
        <v/>
      </c>
      <c r="D1033">
        <f>IF(B1033=1,INDEX('Data Entry'!$H$5:$BE$10004,1033-4,'Visual SPC'!$B$3),"")</f>
        <v/>
      </c>
      <c r="E1033">
        <f>IF(B1033=1,D1033,E1032)</f>
        <v/>
      </c>
      <c r="F1033">
        <f>IF(AND(B1033=1,C1033&gt;1,E1032&lt;&gt;""),ABS(D1033-E1032),"")</f>
        <v/>
      </c>
    </row>
    <row r="1034">
      <c r="A1034" t="n">
        <v>1034</v>
      </c>
      <c r="B1034">
        <f>IF(INDEX('Data Entry'!$H$5:$BE$10004,1034-4,'Visual SPC'!$B$3)="",0,IF(AND(OR('Visual SPC'!$C$4="",'Data Entry'!$C1034&gt;='Visual SPC'!$C$4),OR('Visual SPC'!$E$4="",'Data Entry'!$C1034&lt;='Visual SPC'!$E$4),OR('Visual SPC'!$G$4="",'Data Entry'!$D1034='Visual SPC'!$G$4),OR('Visual SPC'!$I$4="",'Data Entry'!$E1034='Visual SPC'!$I$4),OR('Visual SPC'!$K$4="",'Data Entry'!$F1034='Visual SPC'!$K$4)),1,0))</f>
        <v/>
      </c>
      <c r="C1034">
        <f>C1033+B1034</f>
        <v/>
      </c>
      <c r="D1034">
        <f>IF(B1034=1,INDEX('Data Entry'!$H$5:$BE$10004,1034-4,'Visual SPC'!$B$3),"")</f>
        <v/>
      </c>
      <c r="E1034">
        <f>IF(B1034=1,D1034,E1033)</f>
        <v/>
      </c>
      <c r="F1034">
        <f>IF(AND(B1034=1,C1034&gt;1,E1033&lt;&gt;""),ABS(D1034-E1033),"")</f>
        <v/>
      </c>
    </row>
    <row r="1035">
      <c r="A1035" t="n">
        <v>1035</v>
      </c>
      <c r="B1035">
        <f>IF(INDEX('Data Entry'!$H$5:$BE$10004,1035-4,'Visual SPC'!$B$3)="",0,IF(AND(OR('Visual SPC'!$C$4="",'Data Entry'!$C1035&gt;='Visual SPC'!$C$4),OR('Visual SPC'!$E$4="",'Data Entry'!$C1035&lt;='Visual SPC'!$E$4),OR('Visual SPC'!$G$4="",'Data Entry'!$D1035='Visual SPC'!$G$4),OR('Visual SPC'!$I$4="",'Data Entry'!$E1035='Visual SPC'!$I$4),OR('Visual SPC'!$K$4="",'Data Entry'!$F1035='Visual SPC'!$K$4)),1,0))</f>
        <v/>
      </c>
      <c r="C1035">
        <f>C1034+B1035</f>
        <v/>
      </c>
      <c r="D1035">
        <f>IF(B1035=1,INDEX('Data Entry'!$H$5:$BE$10004,1035-4,'Visual SPC'!$B$3),"")</f>
        <v/>
      </c>
      <c r="E1035">
        <f>IF(B1035=1,D1035,E1034)</f>
        <v/>
      </c>
      <c r="F1035">
        <f>IF(AND(B1035=1,C1035&gt;1,E1034&lt;&gt;""),ABS(D1035-E1034),"")</f>
        <v/>
      </c>
    </row>
    <row r="1036">
      <c r="A1036" t="n">
        <v>1036</v>
      </c>
      <c r="B1036">
        <f>IF(INDEX('Data Entry'!$H$5:$BE$10004,1036-4,'Visual SPC'!$B$3)="",0,IF(AND(OR('Visual SPC'!$C$4="",'Data Entry'!$C1036&gt;='Visual SPC'!$C$4),OR('Visual SPC'!$E$4="",'Data Entry'!$C1036&lt;='Visual SPC'!$E$4),OR('Visual SPC'!$G$4="",'Data Entry'!$D1036='Visual SPC'!$G$4),OR('Visual SPC'!$I$4="",'Data Entry'!$E1036='Visual SPC'!$I$4),OR('Visual SPC'!$K$4="",'Data Entry'!$F1036='Visual SPC'!$K$4)),1,0))</f>
        <v/>
      </c>
      <c r="C1036">
        <f>C1035+B1036</f>
        <v/>
      </c>
      <c r="D1036">
        <f>IF(B1036=1,INDEX('Data Entry'!$H$5:$BE$10004,1036-4,'Visual SPC'!$B$3),"")</f>
        <v/>
      </c>
      <c r="E1036">
        <f>IF(B1036=1,D1036,E1035)</f>
        <v/>
      </c>
      <c r="F1036">
        <f>IF(AND(B1036=1,C1036&gt;1,E1035&lt;&gt;""),ABS(D1036-E1035),"")</f>
        <v/>
      </c>
    </row>
    <row r="1037">
      <c r="A1037" t="n">
        <v>1037</v>
      </c>
      <c r="B1037">
        <f>IF(INDEX('Data Entry'!$H$5:$BE$10004,1037-4,'Visual SPC'!$B$3)="",0,IF(AND(OR('Visual SPC'!$C$4="",'Data Entry'!$C1037&gt;='Visual SPC'!$C$4),OR('Visual SPC'!$E$4="",'Data Entry'!$C1037&lt;='Visual SPC'!$E$4),OR('Visual SPC'!$G$4="",'Data Entry'!$D1037='Visual SPC'!$G$4),OR('Visual SPC'!$I$4="",'Data Entry'!$E1037='Visual SPC'!$I$4),OR('Visual SPC'!$K$4="",'Data Entry'!$F1037='Visual SPC'!$K$4)),1,0))</f>
        <v/>
      </c>
      <c r="C1037">
        <f>C1036+B1037</f>
        <v/>
      </c>
      <c r="D1037">
        <f>IF(B1037=1,INDEX('Data Entry'!$H$5:$BE$10004,1037-4,'Visual SPC'!$B$3),"")</f>
        <v/>
      </c>
      <c r="E1037">
        <f>IF(B1037=1,D1037,E1036)</f>
        <v/>
      </c>
      <c r="F1037">
        <f>IF(AND(B1037=1,C1037&gt;1,E1036&lt;&gt;""),ABS(D1037-E1036),"")</f>
        <v/>
      </c>
    </row>
    <row r="1038">
      <c r="A1038" t="n">
        <v>1038</v>
      </c>
      <c r="B1038">
        <f>IF(INDEX('Data Entry'!$H$5:$BE$10004,1038-4,'Visual SPC'!$B$3)="",0,IF(AND(OR('Visual SPC'!$C$4="",'Data Entry'!$C1038&gt;='Visual SPC'!$C$4),OR('Visual SPC'!$E$4="",'Data Entry'!$C1038&lt;='Visual SPC'!$E$4),OR('Visual SPC'!$G$4="",'Data Entry'!$D1038='Visual SPC'!$G$4),OR('Visual SPC'!$I$4="",'Data Entry'!$E1038='Visual SPC'!$I$4),OR('Visual SPC'!$K$4="",'Data Entry'!$F1038='Visual SPC'!$K$4)),1,0))</f>
        <v/>
      </c>
      <c r="C1038">
        <f>C1037+B1038</f>
        <v/>
      </c>
      <c r="D1038">
        <f>IF(B1038=1,INDEX('Data Entry'!$H$5:$BE$10004,1038-4,'Visual SPC'!$B$3),"")</f>
        <v/>
      </c>
      <c r="E1038">
        <f>IF(B1038=1,D1038,E1037)</f>
        <v/>
      </c>
      <c r="F1038">
        <f>IF(AND(B1038=1,C1038&gt;1,E1037&lt;&gt;""),ABS(D1038-E1037),"")</f>
        <v/>
      </c>
    </row>
    <row r="1039">
      <c r="A1039" t="n">
        <v>1039</v>
      </c>
      <c r="B1039">
        <f>IF(INDEX('Data Entry'!$H$5:$BE$10004,1039-4,'Visual SPC'!$B$3)="",0,IF(AND(OR('Visual SPC'!$C$4="",'Data Entry'!$C1039&gt;='Visual SPC'!$C$4),OR('Visual SPC'!$E$4="",'Data Entry'!$C1039&lt;='Visual SPC'!$E$4),OR('Visual SPC'!$G$4="",'Data Entry'!$D1039='Visual SPC'!$G$4),OR('Visual SPC'!$I$4="",'Data Entry'!$E1039='Visual SPC'!$I$4),OR('Visual SPC'!$K$4="",'Data Entry'!$F1039='Visual SPC'!$K$4)),1,0))</f>
        <v/>
      </c>
      <c r="C1039">
        <f>C1038+B1039</f>
        <v/>
      </c>
      <c r="D1039">
        <f>IF(B1039=1,INDEX('Data Entry'!$H$5:$BE$10004,1039-4,'Visual SPC'!$B$3),"")</f>
        <v/>
      </c>
      <c r="E1039">
        <f>IF(B1039=1,D1039,E1038)</f>
        <v/>
      </c>
      <c r="F1039">
        <f>IF(AND(B1039=1,C1039&gt;1,E1038&lt;&gt;""),ABS(D1039-E1038),"")</f>
        <v/>
      </c>
    </row>
    <row r="1040">
      <c r="A1040" t="n">
        <v>1040</v>
      </c>
      <c r="B1040">
        <f>IF(INDEX('Data Entry'!$H$5:$BE$10004,1040-4,'Visual SPC'!$B$3)="",0,IF(AND(OR('Visual SPC'!$C$4="",'Data Entry'!$C1040&gt;='Visual SPC'!$C$4),OR('Visual SPC'!$E$4="",'Data Entry'!$C1040&lt;='Visual SPC'!$E$4),OR('Visual SPC'!$G$4="",'Data Entry'!$D1040='Visual SPC'!$G$4),OR('Visual SPC'!$I$4="",'Data Entry'!$E1040='Visual SPC'!$I$4),OR('Visual SPC'!$K$4="",'Data Entry'!$F1040='Visual SPC'!$K$4)),1,0))</f>
        <v/>
      </c>
      <c r="C1040">
        <f>C1039+B1040</f>
        <v/>
      </c>
      <c r="D1040">
        <f>IF(B1040=1,INDEX('Data Entry'!$H$5:$BE$10004,1040-4,'Visual SPC'!$B$3),"")</f>
        <v/>
      </c>
      <c r="E1040">
        <f>IF(B1040=1,D1040,E1039)</f>
        <v/>
      </c>
      <c r="F1040">
        <f>IF(AND(B1040=1,C1040&gt;1,E1039&lt;&gt;""),ABS(D1040-E1039),"")</f>
        <v/>
      </c>
    </row>
    <row r="1041">
      <c r="A1041" t="n">
        <v>1041</v>
      </c>
      <c r="B1041">
        <f>IF(INDEX('Data Entry'!$H$5:$BE$10004,1041-4,'Visual SPC'!$B$3)="",0,IF(AND(OR('Visual SPC'!$C$4="",'Data Entry'!$C1041&gt;='Visual SPC'!$C$4),OR('Visual SPC'!$E$4="",'Data Entry'!$C1041&lt;='Visual SPC'!$E$4),OR('Visual SPC'!$G$4="",'Data Entry'!$D1041='Visual SPC'!$G$4),OR('Visual SPC'!$I$4="",'Data Entry'!$E1041='Visual SPC'!$I$4),OR('Visual SPC'!$K$4="",'Data Entry'!$F1041='Visual SPC'!$K$4)),1,0))</f>
        <v/>
      </c>
      <c r="C1041">
        <f>C1040+B1041</f>
        <v/>
      </c>
      <c r="D1041">
        <f>IF(B1041=1,INDEX('Data Entry'!$H$5:$BE$10004,1041-4,'Visual SPC'!$B$3),"")</f>
        <v/>
      </c>
      <c r="E1041">
        <f>IF(B1041=1,D1041,E1040)</f>
        <v/>
      </c>
      <c r="F1041">
        <f>IF(AND(B1041=1,C1041&gt;1,E1040&lt;&gt;""),ABS(D1041-E1040),"")</f>
        <v/>
      </c>
    </row>
    <row r="1042">
      <c r="A1042" t="n">
        <v>1042</v>
      </c>
      <c r="B1042">
        <f>IF(INDEX('Data Entry'!$H$5:$BE$10004,1042-4,'Visual SPC'!$B$3)="",0,IF(AND(OR('Visual SPC'!$C$4="",'Data Entry'!$C1042&gt;='Visual SPC'!$C$4),OR('Visual SPC'!$E$4="",'Data Entry'!$C1042&lt;='Visual SPC'!$E$4),OR('Visual SPC'!$G$4="",'Data Entry'!$D1042='Visual SPC'!$G$4),OR('Visual SPC'!$I$4="",'Data Entry'!$E1042='Visual SPC'!$I$4),OR('Visual SPC'!$K$4="",'Data Entry'!$F1042='Visual SPC'!$K$4)),1,0))</f>
        <v/>
      </c>
      <c r="C1042">
        <f>C1041+B1042</f>
        <v/>
      </c>
      <c r="D1042">
        <f>IF(B1042=1,INDEX('Data Entry'!$H$5:$BE$10004,1042-4,'Visual SPC'!$B$3),"")</f>
        <v/>
      </c>
      <c r="E1042">
        <f>IF(B1042=1,D1042,E1041)</f>
        <v/>
      </c>
      <c r="F1042">
        <f>IF(AND(B1042=1,C1042&gt;1,E1041&lt;&gt;""),ABS(D1042-E1041),"")</f>
        <v/>
      </c>
    </row>
    <row r="1043">
      <c r="A1043" t="n">
        <v>1043</v>
      </c>
      <c r="B1043">
        <f>IF(INDEX('Data Entry'!$H$5:$BE$10004,1043-4,'Visual SPC'!$B$3)="",0,IF(AND(OR('Visual SPC'!$C$4="",'Data Entry'!$C1043&gt;='Visual SPC'!$C$4),OR('Visual SPC'!$E$4="",'Data Entry'!$C1043&lt;='Visual SPC'!$E$4),OR('Visual SPC'!$G$4="",'Data Entry'!$D1043='Visual SPC'!$G$4),OR('Visual SPC'!$I$4="",'Data Entry'!$E1043='Visual SPC'!$I$4),OR('Visual SPC'!$K$4="",'Data Entry'!$F1043='Visual SPC'!$K$4)),1,0))</f>
        <v/>
      </c>
      <c r="C1043">
        <f>C1042+B1043</f>
        <v/>
      </c>
      <c r="D1043">
        <f>IF(B1043=1,INDEX('Data Entry'!$H$5:$BE$10004,1043-4,'Visual SPC'!$B$3),"")</f>
        <v/>
      </c>
      <c r="E1043">
        <f>IF(B1043=1,D1043,E1042)</f>
        <v/>
      </c>
      <c r="F1043">
        <f>IF(AND(B1043=1,C1043&gt;1,E1042&lt;&gt;""),ABS(D1043-E1042),"")</f>
        <v/>
      </c>
    </row>
    <row r="1044">
      <c r="A1044" t="n">
        <v>1044</v>
      </c>
      <c r="B1044">
        <f>IF(INDEX('Data Entry'!$H$5:$BE$10004,1044-4,'Visual SPC'!$B$3)="",0,IF(AND(OR('Visual SPC'!$C$4="",'Data Entry'!$C1044&gt;='Visual SPC'!$C$4),OR('Visual SPC'!$E$4="",'Data Entry'!$C1044&lt;='Visual SPC'!$E$4),OR('Visual SPC'!$G$4="",'Data Entry'!$D1044='Visual SPC'!$G$4),OR('Visual SPC'!$I$4="",'Data Entry'!$E1044='Visual SPC'!$I$4),OR('Visual SPC'!$K$4="",'Data Entry'!$F1044='Visual SPC'!$K$4)),1,0))</f>
        <v/>
      </c>
      <c r="C1044">
        <f>C1043+B1044</f>
        <v/>
      </c>
      <c r="D1044">
        <f>IF(B1044=1,INDEX('Data Entry'!$H$5:$BE$10004,1044-4,'Visual SPC'!$B$3),"")</f>
        <v/>
      </c>
      <c r="E1044">
        <f>IF(B1044=1,D1044,E1043)</f>
        <v/>
      </c>
      <c r="F1044">
        <f>IF(AND(B1044=1,C1044&gt;1,E1043&lt;&gt;""),ABS(D1044-E1043),"")</f>
        <v/>
      </c>
    </row>
    <row r="1045">
      <c r="A1045" t="n">
        <v>1045</v>
      </c>
      <c r="B1045">
        <f>IF(INDEX('Data Entry'!$H$5:$BE$10004,1045-4,'Visual SPC'!$B$3)="",0,IF(AND(OR('Visual SPC'!$C$4="",'Data Entry'!$C1045&gt;='Visual SPC'!$C$4),OR('Visual SPC'!$E$4="",'Data Entry'!$C1045&lt;='Visual SPC'!$E$4),OR('Visual SPC'!$G$4="",'Data Entry'!$D1045='Visual SPC'!$G$4),OR('Visual SPC'!$I$4="",'Data Entry'!$E1045='Visual SPC'!$I$4),OR('Visual SPC'!$K$4="",'Data Entry'!$F1045='Visual SPC'!$K$4)),1,0))</f>
        <v/>
      </c>
      <c r="C1045">
        <f>C1044+B1045</f>
        <v/>
      </c>
      <c r="D1045">
        <f>IF(B1045=1,INDEX('Data Entry'!$H$5:$BE$10004,1045-4,'Visual SPC'!$B$3),"")</f>
        <v/>
      </c>
      <c r="E1045">
        <f>IF(B1045=1,D1045,E1044)</f>
        <v/>
      </c>
      <c r="F1045">
        <f>IF(AND(B1045=1,C1045&gt;1,E1044&lt;&gt;""),ABS(D1045-E1044),"")</f>
        <v/>
      </c>
    </row>
    <row r="1046">
      <c r="A1046" t="n">
        <v>1046</v>
      </c>
      <c r="B1046">
        <f>IF(INDEX('Data Entry'!$H$5:$BE$10004,1046-4,'Visual SPC'!$B$3)="",0,IF(AND(OR('Visual SPC'!$C$4="",'Data Entry'!$C1046&gt;='Visual SPC'!$C$4),OR('Visual SPC'!$E$4="",'Data Entry'!$C1046&lt;='Visual SPC'!$E$4),OR('Visual SPC'!$G$4="",'Data Entry'!$D1046='Visual SPC'!$G$4),OR('Visual SPC'!$I$4="",'Data Entry'!$E1046='Visual SPC'!$I$4),OR('Visual SPC'!$K$4="",'Data Entry'!$F1046='Visual SPC'!$K$4)),1,0))</f>
        <v/>
      </c>
      <c r="C1046">
        <f>C1045+B1046</f>
        <v/>
      </c>
      <c r="D1046">
        <f>IF(B1046=1,INDEX('Data Entry'!$H$5:$BE$10004,1046-4,'Visual SPC'!$B$3),"")</f>
        <v/>
      </c>
      <c r="E1046">
        <f>IF(B1046=1,D1046,E1045)</f>
        <v/>
      </c>
      <c r="F1046">
        <f>IF(AND(B1046=1,C1046&gt;1,E1045&lt;&gt;""),ABS(D1046-E1045),"")</f>
        <v/>
      </c>
    </row>
    <row r="1047">
      <c r="A1047" t="n">
        <v>1047</v>
      </c>
      <c r="B1047">
        <f>IF(INDEX('Data Entry'!$H$5:$BE$10004,1047-4,'Visual SPC'!$B$3)="",0,IF(AND(OR('Visual SPC'!$C$4="",'Data Entry'!$C1047&gt;='Visual SPC'!$C$4),OR('Visual SPC'!$E$4="",'Data Entry'!$C1047&lt;='Visual SPC'!$E$4),OR('Visual SPC'!$G$4="",'Data Entry'!$D1047='Visual SPC'!$G$4),OR('Visual SPC'!$I$4="",'Data Entry'!$E1047='Visual SPC'!$I$4),OR('Visual SPC'!$K$4="",'Data Entry'!$F1047='Visual SPC'!$K$4)),1,0))</f>
        <v/>
      </c>
      <c r="C1047">
        <f>C1046+B1047</f>
        <v/>
      </c>
      <c r="D1047">
        <f>IF(B1047=1,INDEX('Data Entry'!$H$5:$BE$10004,1047-4,'Visual SPC'!$B$3),"")</f>
        <v/>
      </c>
      <c r="E1047">
        <f>IF(B1047=1,D1047,E1046)</f>
        <v/>
      </c>
      <c r="F1047">
        <f>IF(AND(B1047=1,C1047&gt;1,E1046&lt;&gt;""),ABS(D1047-E1046),"")</f>
        <v/>
      </c>
    </row>
    <row r="1048">
      <c r="A1048" t="n">
        <v>1048</v>
      </c>
      <c r="B1048">
        <f>IF(INDEX('Data Entry'!$H$5:$BE$10004,1048-4,'Visual SPC'!$B$3)="",0,IF(AND(OR('Visual SPC'!$C$4="",'Data Entry'!$C1048&gt;='Visual SPC'!$C$4),OR('Visual SPC'!$E$4="",'Data Entry'!$C1048&lt;='Visual SPC'!$E$4),OR('Visual SPC'!$G$4="",'Data Entry'!$D1048='Visual SPC'!$G$4),OR('Visual SPC'!$I$4="",'Data Entry'!$E1048='Visual SPC'!$I$4),OR('Visual SPC'!$K$4="",'Data Entry'!$F1048='Visual SPC'!$K$4)),1,0))</f>
        <v/>
      </c>
      <c r="C1048">
        <f>C1047+B1048</f>
        <v/>
      </c>
      <c r="D1048">
        <f>IF(B1048=1,INDEX('Data Entry'!$H$5:$BE$10004,1048-4,'Visual SPC'!$B$3),"")</f>
        <v/>
      </c>
      <c r="E1048">
        <f>IF(B1048=1,D1048,E1047)</f>
        <v/>
      </c>
      <c r="F1048">
        <f>IF(AND(B1048=1,C1048&gt;1,E1047&lt;&gt;""),ABS(D1048-E1047),"")</f>
        <v/>
      </c>
    </row>
    <row r="1049">
      <c r="A1049" t="n">
        <v>1049</v>
      </c>
      <c r="B1049">
        <f>IF(INDEX('Data Entry'!$H$5:$BE$10004,1049-4,'Visual SPC'!$B$3)="",0,IF(AND(OR('Visual SPC'!$C$4="",'Data Entry'!$C1049&gt;='Visual SPC'!$C$4),OR('Visual SPC'!$E$4="",'Data Entry'!$C1049&lt;='Visual SPC'!$E$4),OR('Visual SPC'!$G$4="",'Data Entry'!$D1049='Visual SPC'!$G$4),OR('Visual SPC'!$I$4="",'Data Entry'!$E1049='Visual SPC'!$I$4),OR('Visual SPC'!$K$4="",'Data Entry'!$F1049='Visual SPC'!$K$4)),1,0))</f>
        <v/>
      </c>
      <c r="C1049">
        <f>C1048+B1049</f>
        <v/>
      </c>
      <c r="D1049">
        <f>IF(B1049=1,INDEX('Data Entry'!$H$5:$BE$10004,1049-4,'Visual SPC'!$B$3),"")</f>
        <v/>
      </c>
      <c r="E1049">
        <f>IF(B1049=1,D1049,E1048)</f>
        <v/>
      </c>
      <c r="F1049">
        <f>IF(AND(B1049=1,C1049&gt;1,E1048&lt;&gt;""),ABS(D1049-E1048),"")</f>
        <v/>
      </c>
    </row>
    <row r="1050">
      <c r="A1050" t="n">
        <v>1050</v>
      </c>
      <c r="B1050">
        <f>IF(INDEX('Data Entry'!$H$5:$BE$10004,1050-4,'Visual SPC'!$B$3)="",0,IF(AND(OR('Visual SPC'!$C$4="",'Data Entry'!$C1050&gt;='Visual SPC'!$C$4),OR('Visual SPC'!$E$4="",'Data Entry'!$C1050&lt;='Visual SPC'!$E$4),OR('Visual SPC'!$G$4="",'Data Entry'!$D1050='Visual SPC'!$G$4),OR('Visual SPC'!$I$4="",'Data Entry'!$E1050='Visual SPC'!$I$4),OR('Visual SPC'!$K$4="",'Data Entry'!$F1050='Visual SPC'!$K$4)),1,0))</f>
        <v/>
      </c>
      <c r="C1050">
        <f>C1049+B1050</f>
        <v/>
      </c>
      <c r="D1050">
        <f>IF(B1050=1,INDEX('Data Entry'!$H$5:$BE$10004,1050-4,'Visual SPC'!$B$3),"")</f>
        <v/>
      </c>
      <c r="E1050">
        <f>IF(B1050=1,D1050,E1049)</f>
        <v/>
      </c>
      <c r="F1050">
        <f>IF(AND(B1050=1,C1050&gt;1,E1049&lt;&gt;""),ABS(D1050-E1049),"")</f>
        <v/>
      </c>
    </row>
    <row r="1051">
      <c r="A1051" t="n">
        <v>1051</v>
      </c>
      <c r="B1051">
        <f>IF(INDEX('Data Entry'!$H$5:$BE$10004,1051-4,'Visual SPC'!$B$3)="",0,IF(AND(OR('Visual SPC'!$C$4="",'Data Entry'!$C1051&gt;='Visual SPC'!$C$4),OR('Visual SPC'!$E$4="",'Data Entry'!$C1051&lt;='Visual SPC'!$E$4),OR('Visual SPC'!$G$4="",'Data Entry'!$D1051='Visual SPC'!$G$4),OR('Visual SPC'!$I$4="",'Data Entry'!$E1051='Visual SPC'!$I$4),OR('Visual SPC'!$K$4="",'Data Entry'!$F1051='Visual SPC'!$K$4)),1,0))</f>
        <v/>
      </c>
      <c r="C1051">
        <f>C1050+B1051</f>
        <v/>
      </c>
      <c r="D1051">
        <f>IF(B1051=1,INDEX('Data Entry'!$H$5:$BE$10004,1051-4,'Visual SPC'!$B$3),"")</f>
        <v/>
      </c>
      <c r="E1051">
        <f>IF(B1051=1,D1051,E1050)</f>
        <v/>
      </c>
      <c r="F1051">
        <f>IF(AND(B1051=1,C1051&gt;1,E1050&lt;&gt;""),ABS(D1051-E1050),"")</f>
        <v/>
      </c>
    </row>
    <row r="1052">
      <c r="A1052" t="n">
        <v>1052</v>
      </c>
      <c r="B1052">
        <f>IF(INDEX('Data Entry'!$H$5:$BE$10004,1052-4,'Visual SPC'!$B$3)="",0,IF(AND(OR('Visual SPC'!$C$4="",'Data Entry'!$C1052&gt;='Visual SPC'!$C$4),OR('Visual SPC'!$E$4="",'Data Entry'!$C1052&lt;='Visual SPC'!$E$4),OR('Visual SPC'!$G$4="",'Data Entry'!$D1052='Visual SPC'!$G$4),OR('Visual SPC'!$I$4="",'Data Entry'!$E1052='Visual SPC'!$I$4),OR('Visual SPC'!$K$4="",'Data Entry'!$F1052='Visual SPC'!$K$4)),1,0))</f>
        <v/>
      </c>
      <c r="C1052">
        <f>C1051+B1052</f>
        <v/>
      </c>
      <c r="D1052">
        <f>IF(B1052=1,INDEX('Data Entry'!$H$5:$BE$10004,1052-4,'Visual SPC'!$B$3),"")</f>
        <v/>
      </c>
      <c r="E1052">
        <f>IF(B1052=1,D1052,E1051)</f>
        <v/>
      </c>
      <c r="F1052">
        <f>IF(AND(B1052=1,C1052&gt;1,E1051&lt;&gt;""),ABS(D1052-E1051),"")</f>
        <v/>
      </c>
    </row>
    <row r="1053">
      <c r="A1053" t="n">
        <v>1053</v>
      </c>
      <c r="B1053">
        <f>IF(INDEX('Data Entry'!$H$5:$BE$10004,1053-4,'Visual SPC'!$B$3)="",0,IF(AND(OR('Visual SPC'!$C$4="",'Data Entry'!$C1053&gt;='Visual SPC'!$C$4),OR('Visual SPC'!$E$4="",'Data Entry'!$C1053&lt;='Visual SPC'!$E$4),OR('Visual SPC'!$G$4="",'Data Entry'!$D1053='Visual SPC'!$G$4),OR('Visual SPC'!$I$4="",'Data Entry'!$E1053='Visual SPC'!$I$4),OR('Visual SPC'!$K$4="",'Data Entry'!$F1053='Visual SPC'!$K$4)),1,0))</f>
        <v/>
      </c>
      <c r="C1053">
        <f>C1052+B1053</f>
        <v/>
      </c>
      <c r="D1053">
        <f>IF(B1053=1,INDEX('Data Entry'!$H$5:$BE$10004,1053-4,'Visual SPC'!$B$3),"")</f>
        <v/>
      </c>
      <c r="E1053">
        <f>IF(B1053=1,D1053,E1052)</f>
        <v/>
      </c>
      <c r="F1053">
        <f>IF(AND(B1053=1,C1053&gt;1,E1052&lt;&gt;""),ABS(D1053-E1052),"")</f>
        <v/>
      </c>
    </row>
    <row r="1054">
      <c r="A1054" t="n">
        <v>1054</v>
      </c>
      <c r="B1054">
        <f>IF(INDEX('Data Entry'!$H$5:$BE$10004,1054-4,'Visual SPC'!$B$3)="",0,IF(AND(OR('Visual SPC'!$C$4="",'Data Entry'!$C1054&gt;='Visual SPC'!$C$4),OR('Visual SPC'!$E$4="",'Data Entry'!$C1054&lt;='Visual SPC'!$E$4),OR('Visual SPC'!$G$4="",'Data Entry'!$D1054='Visual SPC'!$G$4),OR('Visual SPC'!$I$4="",'Data Entry'!$E1054='Visual SPC'!$I$4),OR('Visual SPC'!$K$4="",'Data Entry'!$F1054='Visual SPC'!$K$4)),1,0))</f>
        <v/>
      </c>
      <c r="C1054">
        <f>C1053+B1054</f>
        <v/>
      </c>
      <c r="D1054">
        <f>IF(B1054=1,INDEX('Data Entry'!$H$5:$BE$10004,1054-4,'Visual SPC'!$B$3),"")</f>
        <v/>
      </c>
      <c r="E1054">
        <f>IF(B1054=1,D1054,E1053)</f>
        <v/>
      </c>
      <c r="F1054">
        <f>IF(AND(B1054=1,C1054&gt;1,E1053&lt;&gt;""),ABS(D1054-E1053),"")</f>
        <v/>
      </c>
    </row>
    <row r="1055">
      <c r="A1055" t="n">
        <v>1055</v>
      </c>
      <c r="B1055">
        <f>IF(INDEX('Data Entry'!$H$5:$BE$10004,1055-4,'Visual SPC'!$B$3)="",0,IF(AND(OR('Visual SPC'!$C$4="",'Data Entry'!$C1055&gt;='Visual SPC'!$C$4),OR('Visual SPC'!$E$4="",'Data Entry'!$C1055&lt;='Visual SPC'!$E$4),OR('Visual SPC'!$G$4="",'Data Entry'!$D1055='Visual SPC'!$G$4),OR('Visual SPC'!$I$4="",'Data Entry'!$E1055='Visual SPC'!$I$4),OR('Visual SPC'!$K$4="",'Data Entry'!$F1055='Visual SPC'!$K$4)),1,0))</f>
        <v/>
      </c>
      <c r="C1055">
        <f>C1054+B1055</f>
        <v/>
      </c>
      <c r="D1055">
        <f>IF(B1055=1,INDEX('Data Entry'!$H$5:$BE$10004,1055-4,'Visual SPC'!$B$3),"")</f>
        <v/>
      </c>
      <c r="E1055">
        <f>IF(B1055=1,D1055,E1054)</f>
        <v/>
      </c>
      <c r="F1055">
        <f>IF(AND(B1055=1,C1055&gt;1,E1054&lt;&gt;""),ABS(D1055-E1054),"")</f>
        <v/>
      </c>
    </row>
    <row r="1056">
      <c r="A1056" t="n">
        <v>1056</v>
      </c>
      <c r="B1056">
        <f>IF(INDEX('Data Entry'!$H$5:$BE$10004,1056-4,'Visual SPC'!$B$3)="",0,IF(AND(OR('Visual SPC'!$C$4="",'Data Entry'!$C1056&gt;='Visual SPC'!$C$4),OR('Visual SPC'!$E$4="",'Data Entry'!$C1056&lt;='Visual SPC'!$E$4),OR('Visual SPC'!$G$4="",'Data Entry'!$D1056='Visual SPC'!$G$4),OR('Visual SPC'!$I$4="",'Data Entry'!$E1056='Visual SPC'!$I$4),OR('Visual SPC'!$K$4="",'Data Entry'!$F1056='Visual SPC'!$K$4)),1,0))</f>
        <v/>
      </c>
      <c r="C1056">
        <f>C1055+B1056</f>
        <v/>
      </c>
      <c r="D1056">
        <f>IF(B1056=1,INDEX('Data Entry'!$H$5:$BE$10004,1056-4,'Visual SPC'!$B$3),"")</f>
        <v/>
      </c>
      <c r="E1056">
        <f>IF(B1056=1,D1056,E1055)</f>
        <v/>
      </c>
      <c r="F1056">
        <f>IF(AND(B1056=1,C1056&gt;1,E1055&lt;&gt;""),ABS(D1056-E1055),"")</f>
        <v/>
      </c>
    </row>
    <row r="1057">
      <c r="A1057" t="n">
        <v>1057</v>
      </c>
      <c r="B1057">
        <f>IF(INDEX('Data Entry'!$H$5:$BE$10004,1057-4,'Visual SPC'!$B$3)="",0,IF(AND(OR('Visual SPC'!$C$4="",'Data Entry'!$C1057&gt;='Visual SPC'!$C$4),OR('Visual SPC'!$E$4="",'Data Entry'!$C1057&lt;='Visual SPC'!$E$4),OR('Visual SPC'!$G$4="",'Data Entry'!$D1057='Visual SPC'!$G$4),OR('Visual SPC'!$I$4="",'Data Entry'!$E1057='Visual SPC'!$I$4),OR('Visual SPC'!$K$4="",'Data Entry'!$F1057='Visual SPC'!$K$4)),1,0))</f>
        <v/>
      </c>
      <c r="C1057">
        <f>C1056+B1057</f>
        <v/>
      </c>
      <c r="D1057">
        <f>IF(B1057=1,INDEX('Data Entry'!$H$5:$BE$10004,1057-4,'Visual SPC'!$B$3),"")</f>
        <v/>
      </c>
      <c r="E1057">
        <f>IF(B1057=1,D1057,E1056)</f>
        <v/>
      </c>
      <c r="F1057">
        <f>IF(AND(B1057=1,C1057&gt;1,E1056&lt;&gt;""),ABS(D1057-E1056),"")</f>
        <v/>
      </c>
    </row>
    <row r="1058">
      <c r="A1058" t="n">
        <v>1058</v>
      </c>
      <c r="B1058">
        <f>IF(INDEX('Data Entry'!$H$5:$BE$10004,1058-4,'Visual SPC'!$B$3)="",0,IF(AND(OR('Visual SPC'!$C$4="",'Data Entry'!$C1058&gt;='Visual SPC'!$C$4),OR('Visual SPC'!$E$4="",'Data Entry'!$C1058&lt;='Visual SPC'!$E$4),OR('Visual SPC'!$G$4="",'Data Entry'!$D1058='Visual SPC'!$G$4),OR('Visual SPC'!$I$4="",'Data Entry'!$E1058='Visual SPC'!$I$4),OR('Visual SPC'!$K$4="",'Data Entry'!$F1058='Visual SPC'!$K$4)),1,0))</f>
        <v/>
      </c>
      <c r="C1058">
        <f>C1057+B1058</f>
        <v/>
      </c>
      <c r="D1058">
        <f>IF(B1058=1,INDEX('Data Entry'!$H$5:$BE$10004,1058-4,'Visual SPC'!$B$3),"")</f>
        <v/>
      </c>
      <c r="E1058">
        <f>IF(B1058=1,D1058,E1057)</f>
        <v/>
      </c>
      <c r="F1058">
        <f>IF(AND(B1058=1,C1058&gt;1,E1057&lt;&gt;""),ABS(D1058-E1057),"")</f>
        <v/>
      </c>
    </row>
    <row r="1059">
      <c r="A1059" t="n">
        <v>1059</v>
      </c>
      <c r="B1059">
        <f>IF(INDEX('Data Entry'!$H$5:$BE$10004,1059-4,'Visual SPC'!$B$3)="",0,IF(AND(OR('Visual SPC'!$C$4="",'Data Entry'!$C1059&gt;='Visual SPC'!$C$4),OR('Visual SPC'!$E$4="",'Data Entry'!$C1059&lt;='Visual SPC'!$E$4),OR('Visual SPC'!$G$4="",'Data Entry'!$D1059='Visual SPC'!$G$4),OR('Visual SPC'!$I$4="",'Data Entry'!$E1059='Visual SPC'!$I$4),OR('Visual SPC'!$K$4="",'Data Entry'!$F1059='Visual SPC'!$K$4)),1,0))</f>
        <v/>
      </c>
      <c r="C1059">
        <f>C1058+B1059</f>
        <v/>
      </c>
      <c r="D1059">
        <f>IF(B1059=1,INDEX('Data Entry'!$H$5:$BE$10004,1059-4,'Visual SPC'!$B$3),"")</f>
        <v/>
      </c>
      <c r="E1059">
        <f>IF(B1059=1,D1059,E1058)</f>
        <v/>
      </c>
      <c r="F1059">
        <f>IF(AND(B1059=1,C1059&gt;1,E1058&lt;&gt;""),ABS(D1059-E1058),"")</f>
        <v/>
      </c>
    </row>
    <row r="1060">
      <c r="A1060" t="n">
        <v>1060</v>
      </c>
      <c r="B1060">
        <f>IF(INDEX('Data Entry'!$H$5:$BE$10004,1060-4,'Visual SPC'!$B$3)="",0,IF(AND(OR('Visual SPC'!$C$4="",'Data Entry'!$C1060&gt;='Visual SPC'!$C$4),OR('Visual SPC'!$E$4="",'Data Entry'!$C1060&lt;='Visual SPC'!$E$4),OR('Visual SPC'!$G$4="",'Data Entry'!$D1060='Visual SPC'!$G$4),OR('Visual SPC'!$I$4="",'Data Entry'!$E1060='Visual SPC'!$I$4),OR('Visual SPC'!$K$4="",'Data Entry'!$F1060='Visual SPC'!$K$4)),1,0))</f>
        <v/>
      </c>
      <c r="C1060">
        <f>C1059+B1060</f>
        <v/>
      </c>
      <c r="D1060">
        <f>IF(B1060=1,INDEX('Data Entry'!$H$5:$BE$10004,1060-4,'Visual SPC'!$B$3),"")</f>
        <v/>
      </c>
      <c r="E1060">
        <f>IF(B1060=1,D1060,E1059)</f>
        <v/>
      </c>
      <c r="F1060">
        <f>IF(AND(B1060=1,C1060&gt;1,E1059&lt;&gt;""),ABS(D1060-E1059),"")</f>
        <v/>
      </c>
    </row>
    <row r="1061">
      <c r="A1061" t="n">
        <v>1061</v>
      </c>
      <c r="B1061">
        <f>IF(INDEX('Data Entry'!$H$5:$BE$10004,1061-4,'Visual SPC'!$B$3)="",0,IF(AND(OR('Visual SPC'!$C$4="",'Data Entry'!$C1061&gt;='Visual SPC'!$C$4),OR('Visual SPC'!$E$4="",'Data Entry'!$C1061&lt;='Visual SPC'!$E$4),OR('Visual SPC'!$G$4="",'Data Entry'!$D1061='Visual SPC'!$G$4),OR('Visual SPC'!$I$4="",'Data Entry'!$E1061='Visual SPC'!$I$4),OR('Visual SPC'!$K$4="",'Data Entry'!$F1061='Visual SPC'!$K$4)),1,0))</f>
        <v/>
      </c>
      <c r="C1061">
        <f>C1060+B1061</f>
        <v/>
      </c>
      <c r="D1061">
        <f>IF(B1061=1,INDEX('Data Entry'!$H$5:$BE$10004,1061-4,'Visual SPC'!$B$3),"")</f>
        <v/>
      </c>
      <c r="E1061">
        <f>IF(B1061=1,D1061,E1060)</f>
        <v/>
      </c>
      <c r="F1061">
        <f>IF(AND(B1061=1,C1061&gt;1,E1060&lt;&gt;""),ABS(D1061-E1060),"")</f>
        <v/>
      </c>
    </row>
    <row r="1062">
      <c r="A1062" t="n">
        <v>1062</v>
      </c>
      <c r="B1062">
        <f>IF(INDEX('Data Entry'!$H$5:$BE$10004,1062-4,'Visual SPC'!$B$3)="",0,IF(AND(OR('Visual SPC'!$C$4="",'Data Entry'!$C1062&gt;='Visual SPC'!$C$4),OR('Visual SPC'!$E$4="",'Data Entry'!$C1062&lt;='Visual SPC'!$E$4),OR('Visual SPC'!$G$4="",'Data Entry'!$D1062='Visual SPC'!$G$4),OR('Visual SPC'!$I$4="",'Data Entry'!$E1062='Visual SPC'!$I$4),OR('Visual SPC'!$K$4="",'Data Entry'!$F1062='Visual SPC'!$K$4)),1,0))</f>
        <v/>
      </c>
      <c r="C1062">
        <f>C1061+B1062</f>
        <v/>
      </c>
      <c r="D1062">
        <f>IF(B1062=1,INDEX('Data Entry'!$H$5:$BE$10004,1062-4,'Visual SPC'!$B$3),"")</f>
        <v/>
      </c>
      <c r="E1062">
        <f>IF(B1062=1,D1062,E1061)</f>
        <v/>
      </c>
      <c r="F1062">
        <f>IF(AND(B1062=1,C1062&gt;1,E1061&lt;&gt;""),ABS(D1062-E1061),"")</f>
        <v/>
      </c>
    </row>
    <row r="1063">
      <c r="A1063" t="n">
        <v>1063</v>
      </c>
      <c r="B1063">
        <f>IF(INDEX('Data Entry'!$H$5:$BE$10004,1063-4,'Visual SPC'!$B$3)="",0,IF(AND(OR('Visual SPC'!$C$4="",'Data Entry'!$C1063&gt;='Visual SPC'!$C$4),OR('Visual SPC'!$E$4="",'Data Entry'!$C1063&lt;='Visual SPC'!$E$4),OR('Visual SPC'!$G$4="",'Data Entry'!$D1063='Visual SPC'!$G$4),OR('Visual SPC'!$I$4="",'Data Entry'!$E1063='Visual SPC'!$I$4),OR('Visual SPC'!$K$4="",'Data Entry'!$F1063='Visual SPC'!$K$4)),1,0))</f>
        <v/>
      </c>
      <c r="C1063">
        <f>C1062+B1063</f>
        <v/>
      </c>
      <c r="D1063">
        <f>IF(B1063=1,INDEX('Data Entry'!$H$5:$BE$10004,1063-4,'Visual SPC'!$B$3),"")</f>
        <v/>
      </c>
      <c r="E1063">
        <f>IF(B1063=1,D1063,E1062)</f>
        <v/>
      </c>
      <c r="F1063">
        <f>IF(AND(B1063=1,C1063&gt;1,E1062&lt;&gt;""),ABS(D1063-E1062),"")</f>
        <v/>
      </c>
    </row>
    <row r="1064">
      <c r="A1064" t="n">
        <v>1064</v>
      </c>
      <c r="B1064">
        <f>IF(INDEX('Data Entry'!$H$5:$BE$10004,1064-4,'Visual SPC'!$B$3)="",0,IF(AND(OR('Visual SPC'!$C$4="",'Data Entry'!$C1064&gt;='Visual SPC'!$C$4),OR('Visual SPC'!$E$4="",'Data Entry'!$C1064&lt;='Visual SPC'!$E$4),OR('Visual SPC'!$G$4="",'Data Entry'!$D1064='Visual SPC'!$G$4),OR('Visual SPC'!$I$4="",'Data Entry'!$E1064='Visual SPC'!$I$4),OR('Visual SPC'!$K$4="",'Data Entry'!$F1064='Visual SPC'!$K$4)),1,0))</f>
        <v/>
      </c>
      <c r="C1064">
        <f>C1063+B1064</f>
        <v/>
      </c>
      <c r="D1064">
        <f>IF(B1064=1,INDEX('Data Entry'!$H$5:$BE$10004,1064-4,'Visual SPC'!$B$3),"")</f>
        <v/>
      </c>
      <c r="E1064">
        <f>IF(B1064=1,D1064,E1063)</f>
        <v/>
      </c>
      <c r="F1064">
        <f>IF(AND(B1064=1,C1064&gt;1,E1063&lt;&gt;""),ABS(D1064-E1063),"")</f>
        <v/>
      </c>
    </row>
    <row r="1065">
      <c r="A1065" t="n">
        <v>1065</v>
      </c>
      <c r="B1065">
        <f>IF(INDEX('Data Entry'!$H$5:$BE$10004,1065-4,'Visual SPC'!$B$3)="",0,IF(AND(OR('Visual SPC'!$C$4="",'Data Entry'!$C1065&gt;='Visual SPC'!$C$4),OR('Visual SPC'!$E$4="",'Data Entry'!$C1065&lt;='Visual SPC'!$E$4),OR('Visual SPC'!$G$4="",'Data Entry'!$D1065='Visual SPC'!$G$4),OR('Visual SPC'!$I$4="",'Data Entry'!$E1065='Visual SPC'!$I$4),OR('Visual SPC'!$K$4="",'Data Entry'!$F1065='Visual SPC'!$K$4)),1,0))</f>
        <v/>
      </c>
      <c r="C1065">
        <f>C1064+B1065</f>
        <v/>
      </c>
      <c r="D1065">
        <f>IF(B1065=1,INDEX('Data Entry'!$H$5:$BE$10004,1065-4,'Visual SPC'!$B$3),"")</f>
        <v/>
      </c>
      <c r="E1065">
        <f>IF(B1065=1,D1065,E1064)</f>
        <v/>
      </c>
      <c r="F1065">
        <f>IF(AND(B1065=1,C1065&gt;1,E1064&lt;&gt;""),ABS(D1065-E1064),"")</f>
        <v/>
      </c>
    </row>
    <row r="1066">
      <c r="A1066" t="n">
        <v>1066</v>
      </c>
      <c r="B1066">
        <f>IF(INDEX('Data Entry'!$H$5:$BE$10004,1066-4,'Visual SPC'!$B$3)="",0,IF(AND(OR('Visual SPC'!$C$4="",'Data Entry'!$C1066&gt;='Visual SPC'!$C$4),OR('Visual SPC'!$E$4="",'Data Entry'!$C1066&lt;='Visual SPC'!$E$4),OR('Visual SPC'!$G$4="",'Data Entry'!$D1066='Visual SPC'!$G$4),OR('Visual SPC'!$I$4="",'Data Entry'!$E1066='Visual SPC'!$I$4),OR('Visual SPC'!$K$4="",'Data Entry'!$F1066='Visual SPC'!$K$4)),1,0))</f>
        <v/>
      </c>
      <c r="C1066">
        <f>C1065+B1066</f>
        <v/>
      </c>
      <c r="D1066">
        <f>IF(B1066=1,INDEX('Data Entry'!$H$5:$BE$10004,1066-4,'Visual SPC'!$B$3),"")</f>
        <v/>
      </c>
      <c r="E1066">
        <f>IF(B1066=1,D1066,E1065)</f>
        <v/>
      </c>
      <c r="F1066">
        <f>IF(AND(B1066=1,C1066&gt;1,E1065&lt;&gt;""),ABS(D1066-E1065),"")</f>
        <v/>
      </c>
    </row>
    <row r="1067">
      <c r="A1067" t="n">
        <v>1067</v>
      </c>
      <c r="B1067">
        <f>IF(INDEX('Data Entry'!$H$5:$BE$10004,1067-4,'Visual SPC'!$B$3)="",0,IF(AND(OR('Visual SPC'!$C$4="",'Data Entry'!$C1067&gt;='Visual SPC'!$C$4),OR('Visual SPC'!$E$4="",'Data Entry'!$C1067&lt;='Visual SPC'!$E$4),OR('Visual SPC'!$G$4="",'Data Entry'!$D1067='Visual SPC'!$G$4),OR('Visual SPC'!$I$4="",'Data Entry'!$E1067='Visual SPC'!$I$4),OR('Visual SPC'!$K$4="",'Data Entry'!$F1067='Visual SPC'!$K$4)),1,0))</f>
        <v/>
      </c>
      <c r="C1067">
        <f>C1066+B1067</f>
        <v/>
      </c>
      <c r="D1067">
        <f>IF(B1067=1,INDEX('Data Entry'!$H$5:$BE$10004,1067-4,'Visual SPC'!$B$3),"")</f>
        <v/>
      </c>
      <c r="E1067">
        <f>IF(B1067=1,D1067,E1066)</f>
        <v/>
      </c>
      <c r="F1067">
        <f>IF(AND(B1067=1,C1067&gt;1,E1066&lt;&gt;""),ABS(D1067-E1066),"")</f>
        <v/>
      </c>
    </row>
    <row r="1068">
      <c r="A1068" t="n">
        <v>1068</v>
      </c>
      <c r="B1068">
        <f>IF(INDEX('Data Entry'!$H$5:$BE$10004,1068-4,'Visual SPC'!$B$3)="",0,IF(AND(OR('Visual SPC'!$C$4="",'Data Entry'!$C1068&gt;='Visual SPC'!$C$4),OR('Visual SPC'!$E$4="",'Data Entry'!$C1068&lt;='Visual SPC'!$E$4),OR('Visual SPC'!$G$4="",'Data Entry'!$D1068='Visual SPC'!$G$4),OR('Visual SPC'!$I$4="",'Data Entry'!$E1068='Visual SPC'!$I$4),OR('Visual SPC'!$K$4="",'Data Entry'!$F1068='Visual SPC'!$K$4)),1,0))</f>
        <v/>
      </c>
      <c r="C1068">
        <f>C1067+B1068</f>
        <v/>
      </c>
      <c r="D1068">
        <f>IF(B1068=1,INDEX('Data Entry'!$H$5:$BE$10004,1068-4,'Visual SPC'!$B$3),"")</f>
        <v/>
      </c>
      <c r="E1068">
        <f>IF(B1068=1,D1068,E1067)</f>
        <v/>
      </c>
      <c r="F1068">
        <f>IF(AND(B1068=1,C1068&gt;1,E1067&lt;&gt;""),ABS(D1068-E1067),"")</f>
        <v/>
      </c>
    </row>
    <row r="1069">
      <c r="A1069" t="n">
        <v>1069</v>
      </c>
      <c r="B1069">
        <f>IF(INDEX('Data Entry'!$H$5:$BE$10004,1069-4,'Visual SPC'!$B$3)="",0,IF(AND(OR('Visual SPC'!$C$4="",'Data Entry'!$C1069&gt;='Visual SPC'!$C$4),OR('Visual SPC'!$E$4="",'Data Entry'!$C1069&lt;='Visual SPC'!$E$4),OR('Visual SPC'!$G$4="",'Data Entry'!$D1069='Visual SPC'!$G$4),OR('Visual SPC'!$I$4="",'Data Entry'!$E1069='Visual SPC'!$I$4),OR('Visual SPC'!$K$4="",'Data Entry'!$F1069='Visual SPC'!$K$4)),1,0))</f>
        <v/>
      </c>
      <c r="C1069">
        <f>C1068+B1069</f>
        <v/>
      </c>
      <c r="D1069">
        <f>IF(B1069=1,INDEX('Data Entry'!$H$5:$BE$10004,1069-4,'Visual SPC'!$B$3),"")</f>
        <v/>
      </c>
      <c r="E1069">
        <f>IF(B1069=1,D1069,E1068)</f>
        <v/>
      </c>
      <c r="F1069">
        <f>IF(AND(B1069=1,C1069&gt;1,E1068&lt;&gt;""),ABS(D1069-E1068),"")</f>
        <v/>
      </c>
    </row>
    <row r="1070">
      <c r="A1070" t="n">
        <v>1070</v>
      </c>
      <c r="B1070">
        <f>IF(INDEX('Data Entry'!$H$5:$BE$10004,1070-4,'Visual SPC'!$B$3)="",0,IF(AND(OR('Visual SPC'!$C$4="",'Data Entry'!$C1070&gt;='Visual SPC'!$C$4),OR('Visual SPC'!$E$4="",'Data Entry'!$C1070&lt;='Visual SPC'!$E$4),OR('Visual SPC'!$G$4="",'Data Entry'!$D1070='Visual SPC'!$G$4),OR('Visual SPC'!$I$4="",'Data Entry'!$E1070='Visual SPC'!$I$4),OR('Visual SPC'!$K$4="",'Data Entry'!$F1070='Visual SPC'!$K$4)),1,0))</f>
        <v/>
      </c>
      <c r="C1070">
        <f>C1069+B1070</f>
        <v/>
      </c>
      <c r="D1070">
        <f>IF(B1070=1,INDEX('Data Entry'!$H$5:$BE$10004,1070-4,'Visual SPC'!$B$3),"")</f>
        <v/>
      </c>
      <c r="E1070">
        <f>IF(B1070=1,D1070,E1069)</f>
        <v/>
      </c>
      <c r="F1070">
        <f>IF(AND(B1070=1,C1070&gt;1,E1069&lt;&gt;""),ABS(D1070-E1069),"")</f>
        <v/>
      </c>
    </row>
    <row r="1071">
      <c r="A1071" t="n">
        <v>1071</v>
      </c>
      <c r="B1071">
        <f>IF(INDEX('Data Entry'!$H$5:$BE$10004,1071-4,'Visual SPC'!$B$3)="",0,IF(AND(OR('Visual SPC'!$C$4="",'Data Entry'!$C1071&gt;='Visual SPC'!$C$4),OR('Visual SPC'!$E$4="",'Data Entry'!$C1071&lt;='Visual SPC'!$E$4),OR('Visual SPC'!$G$4="",'Data Entry'!$D1071='Visual SPC'!$G$4),OR('Visual SPC'!$I$4="",'Data Entry'!$E1071='Visual SPC'!$I$4),OR('Visual SPC'!$K$4="",'Data Entry'!$F1071='Visual SPC'!$K$4)),1,0))</f>
        <v/>
      </c>
      <c r="C1071">
        <f>C1070+B1071</f>
        <v/>
      </c>
      <c r="D1071">
        <f>IF(B1071=1,INDEX('Data Entry'!$H$5:$BE$10004,1071-4,'Visual SPC'!$B$3),"")</f>
        <v/>
      </c>
      <c r="E1071">
        <f>IF(B1071=1,D1071,E1070)</f>
        <v/>
      </c>
      <c r="F1071">
        <f>IF(AND(B1071=1,C1071&gt;1,E1070&lt;&gt;""),ABS(D1071-E1070),"")</f>
        <v/>
      </c>
    </row>
    <row r="1072">
      <c r="A1072" t="n">
        <v>1072</v>
      </c>
      <c r="B1072">
        <f>IF(INDEX('Data Entry'!$H$5:$BE$10004,1072-4,'Visual SPC'!$B$3)="",0,IF(AND(OR('Visual SPC'!$C$4="",'Data Entry'!$C1072&gt;='Visual SPC'!$C$4),OR('Visual SPC'!$E$4="",'Data Entry'!$C1072&lt;='Visual SPC'!$E$4),OR('Visual SPC'!$G$4="",'Data Entry'!$D1072='Visual SPC'!$G$4),OR('Visual SPC'!$I$4="",'Data Entry'!$E1072='Visual SPC'!$I$4),OR('Visual SPC'!$K$4="",'Data Entry'!$F1072='Visual SPC'!$K$4)),1,0))</f>
        <v/>
      </c>
      <c r="C1072">
        <f>C1071+B1072</f>
        <v/>
      </c>
      <c r="D1072">
        <f>IF(B1072=1,INDEX('Data Entry'!$H$5:$BE$10004,1072-4,'Visual SPC'!$B$3),"")</f>
        <v/>
      </c>
      <c r="E1072">
        <f>IF(B1072=1,D1072,E1071)</f>
        <v/>
      </c>
      <c r="F1072">
        <f>IF(AND(B1072=1,C1072&gt;1,E1071&lt;&gt;""),ABS(D1072-E1071),"")</f>
        <v/>
      </c>
    </row>
    <row r="1073">
      <c r="A1073" t="n">
        <v>1073</v>
      </c>
      <c r="B1073">
        <f>IF(INDEX('Data Entry'!$H$5:$BE$10004,1073-4,'Visual SPC'!$B$3)="",0,IF(AND(OR('Visual SPC'!$C$4="",'Data Entry'!$C1073&gt;='Visual SPC'!$C$4),OR('Visual SPC'!$E$4="",'Data Entry'!$C1073&lt;='Visual SPC'!$E$4),OR('Visual SPC'!$G$4="",'Data Entry'!$D1073='Visual SPC'!$G$4),OR('Visual SPC'!$I$4="",'Data Entry'!$E1073='Visual SPC'!$I$4),OR('Visual SPC'!$K$4="",'Data Entry'!$F1073='Visual SPC'!$K$4)),1,0))</f>
        <v/>
      </c>
      <c r="C1073">
        <f>C1072+B1073</f>
        <v/>
      </c>
      <c r="D1073">
        <f>IF(B1073=1,INDEX('Data Entry'!$H$5:$BE$10004,1073-4,'Visual SPC'!$B$3),"")</f>
        <v/>
      </c>
      <c r="E1073">
        <f>IF(B1073=1,D1073,E1072)</f>
        <v/>
      </c>
      <c r="F1073">
        <f>IF(AND(B1073=1,C1073&gt;1,E1072&lt;&gt;""),ABS(D1073-E1072),"")</f>
        <v/>
      </c>
    </row>
    <row r="1074">
      <c r="A1074" t="n">
        <v>1074</v>
      </c>
      <c r="B1074">
        <f>IF(INDEX('Data Entry'!$H$5:$BE$10004,1074-4,'Visual SPC'!$B$3)="",0,IF(AND(OR('Visual SPC'!$C$4="",'Data Entry'!$C1074&gt;='Visual SPC'!$C$4),OR('Visual SPC'!$E$4="",'Data Entry'!$C1074&lt;='Visual SPC'!$E$4),OR('Visual SPC'!$G$4="",'Data Entry'!$D1074='Visual SPC'!$G$4),OR('Visual SPC'!$I$4="",'Data Entry'!$E1074='Visual SPC'!$I$4),OR('Visual SPC'!$K$4="",'Data Entry'!$F1074='Visual SPC'!$K$4)),1,0))</f>
        <v/>
      </c>
      <c r="C1074">
        <f>C1073+B1074</f>
        <v/>
      </c>
      <c r="D1074">
        <f>IF(B1074=1,INDEX('Data Entry'!$H$5:$BE$10004,1074-4,'Visual SPC'!$B$3),"")</f>
        <v/>
      </c>
      <c r="E1074">
        <f>IF(B1074=1,D1074,E1073)</f>
        <v/>
      </c>
      <c r="F1074">
        <f>IF(AND(B1074=1,C1074&gt;1,E1073&lt;&gt;""),ABS(D1074-E1073),"")</f>
        <v/>
      </c>
    </row>
    <row r="1075">
      <c r="A1075" t="n">
        <v>1075</v>
      </c>
      <c r="B1075">
        <f>IF(INDEX('Data Entry'!$H$5:$BE$10004,1075-4,'Visual SPC'!$B$3)="",0,IF(AND(OR('Visual SPC'!$C$4="",'Data Entry'!$C1075&gt;='Visual SPC'!$C$4),OR('Visual SPC'!$E$4="",'Data Entry'!$C1075&lt;='Visual SPC'!$E$4),OR('Visual SPC'!$G$4="",'Data Entry'!$D1075='Visual SPC'!$G$4),OR('Visual SPC'!$I$4="",'Data Entry'!$E1075='Visual SPC'!$I$4),OR('Visual SPC'!$K$4="",'Data Entry'!$F1075='Visual SPC'!$K$4)),1,0))</f>
        <v/>
      </c>
      <c r="C1075">
        <f>C1074+B1075</f>
        <v/>
      </c>
      <c r="D1075">
        <f>IF(B1075=1,INDEX('Data Entry'!$H$5:$BE$10004,1075-4,'Visual SPC'!$B$3),"")</f>
        <v/>
      </c>
      <c r="E1075">
        <f>IF(B1075=1,D1075,E1074)</f>
        <v/>
      </c>
      <c r="F1075">
        <f>IF(AND(B1075=1,C1075&gt;1,E1074&lt;&gt;""),ABS(D1075-E1074),"")</f>
        <v/>
      </c>
    </row>
    <row r="1076">
      <c r="A1076" t="n">
        <v>1076</v>
      </c>
      <c r="B1076">
        <f>IF(INDEX('Data Entry'!$H$5:$BE$10004,1076-4,'Visual SPC'!$B$3)="",0,IF(AND(OR('Visual SPC'!$C$4="",'Data Entry'!$C1076&gt;='Visual SPC'!$C$4),OR('Visual SPC'!$E$4="",'Data Entry'!$C1076&lt;='Visual SPC'!$E$4),OR('Visual SPC'!$G$4="",'Data Entry'!$D1076='Visual SPC'!$G$4),OR('Visual SPC'!$I$4="",'Data Entry'!$E1076='Visual SPC'!$I$4),OR('Visual SPC'!$K$4="",'Data Entry'!$F1076='Visual SPC'!$K$4)),1,0))</f>
        <v/>
      </c>
      <c r="C1076">
        <f>C1075+B1076</f>
        <v/>
      </c>
      <c r="D1076">
        <f>IF(B1076=1,INDEX('Data Entry'!$H$5:$BE$10004,1076-4,'Visual SPC'!$B$3),"")</f>
        <v/>
      </c>
      <c r="E1076">
        <f>IF(B1076=1,D1076,E1075)</f>
        <v/>
      </c>
      <c r="F1076">
        <f>IF(AND(B1076=1,C1076&gt;1,E1075&lt;&gt;""),ABS(D1076-E1075),"")</f>
        <v/>
      </c>
    </row>
    <row r="1077">
      <c r="A1077" t="n">
        <v>1077</v>
      </c>
      <c r="B1077">
        <f>IF(INDEX('Data Entry'!$H$5:$BE$10004,1077-4,'Visual SPC'!$B$3)="",0,IF(AND(OR('Visual SPC'!$C$4="",'Data Entry'!$C1077&gt;='Visual SPC'!$C$4),OR('Visual SPC'!$E$4="",'Data Entry'!$C1077&lt;='Visual SPC'!$E$4),OR('Visual SPC'!$G$4="",'Data Entry'!$D1077='Visual SPC'!$G$4),OR('Visual SPC'!$I$4="",'Data Entry'!$E1077='Visual SPC'!$I$4),OR('Visual SPC'!$K$4="",'Data Entry'!$F1077='Visual SPC'!$K$4)),1,0))</f>
        <v/>
      </c>
      <c r="C1077">
        <f>C1076+B1077</f>
        <v/>
      </c>
      <c r="D1077">
        <f>IF(B1077=1,INDEX('Data Entry'!$H$5:$BE$10004,1077-4,'Visual SPC'!$B$3),"")</f>
        <v/>
      </c>
      <c r="E1077">
        <f>IF(B1077=1,D1077,E1076)</f>
        <v/>
      </c>
      <c r="F1077">
        <f>IF(AND(B1077=1,C1077&gt;1,E1076&lt;&gt;""),ABS(D1077-E1076),"")</f>
        <v/>
      </c>
    </row>
    <row r="1078">
      <c r="A1078" t="n">
        <v>1078</v>
      </c>
      <c r="B1078">
        <f>IF(INDEX('Data Entry'!$H$5:$BE$10004,1078-4,'Visual SPC'!$B$3)="",0,IF(AND(OR('Visual SPC'!$C$4="",'Data Entry'!$C1078&gt;='Visual SPC'!$C$4),OR('Visual SPC'!$E$4="",'Data Entry'!$C1078&lt;='Visual SPC'!$E$4),OR('Visual SPC'!$G$4="",'Data Entry'!$D1078='Visual SPC'!$G$4),OR('Visual SPC'!$I$4="",'Data Entry'!$E1078='Visual SPC'!$I$4),OR('Visual SPC'!$K$4="",'Data Entry'!$F1078='Visual SPC'!$K$4)),1,0))</f>
        <v/>
      </c>
      <c r="C1078">
        <f>C1077+B1078</f>
        <v/>
      </c>
      <c r="D1078">
        <f>IF(B1078=1,INDEX('Data Entry'!$H$5:$BE$10004,1078-4,'Visual SPC'!$B$3),"")</f>
        <v/>
      </c>
      <c r="E1078">
        <f>IF(B1078=1,D1078,E1077)</f>
        <v/>
      </c>
      <c r="F1078">
        <f>IF(AND(B1078=1,C1078&gt;1,E1077&lt;&gt;""),ABS(D1078-E1077),"")</f>
        <v/>
      </c>
    </row>
    <row r="1079">
      <c r="A1079" t="n">
        <v>1079</v>
      </c>
      <c r="B1079">
        <f>IF(INDEX('Data Entry'!$H$5:$BE$10004,1079-4,'Visual SPC'!$B$3)="",0,IF(AND(OR('Visual SPC'!$C$4="",'Data Entry'!$C1079&gt;='Visual SPC'!$C$4),OR('Visual SPC'!$E$4="",'Data Entry'!$C1079&lt;='Visual SPC'!$E$4),OR('Visual SPC'!$G$4="",'Data Entry'!$D1079='Visual SPC'!$G$4),OR('Visual SPC'!$I$4="",'Data Entry'!$E1079='Visual SPC'!$I$4),OR('Visual SPC'!$K$4="",'Data Entry'!$F1079='Visual SPC'!$K$4)),1,0))</f>
        <v/>
      </c>
      <c r="C1079">
        <f>C1078+B1079</f>
        <v/>
      </c>
      <c r="D1079">
        <f>IF(B1079=1,INDEX('Data Entry'!$H$5:$BE$10004,1079-4,'Visual SPC'!$B$3),"")</f>
        <v/>
      </c>
      <c r="E1079">
        <f>IF(B1079=1,D1079,E1078)</f>
        <v/>
      </c>
      <c r="F1079">
        <f>IF(AND(B1079=1,C1079&gt;1,E1078&lt;&gt;""),ABS(D1079-E1078),"")</f>
        <v/>
      </c>
    </row>
    <row r="1080">
      <c r="A1080" t="n">
        <v>1080</v>
      </c>
      <c r="B1080">
        <f>IF(INDEX('Data Entry'!$H$5:$BE$10004,1080-4,'Visual SPC'!$B$3)="",0,IF(AND(OR('Visual SPC'!$C$4="",'Data Entry'!$C1080&gt;='Visual SPC'!$C$4),OR('Visual SPC'!$E$4="",'Data Entry'!$C1080&lt;='Visual SPC'!$E$4),OR('Visual SPC'!$G$4="",'Data Entry'!$D1080='Visual SPC'!$G$4),OR('Visual SPC'!$I$4="",'Data Entry'!$E1080='Visual SPC'!$I$4),OR('Visual SPC'!$K$4="",'Data Entry'!$F1080='Visual SPC'!$K$4)),1,0))</f>
        <v/>
      </c>
      <c r="C1080">
        <f>C1079+B1080</f>
        <v/>
      </c>
      <c r="D1080">
        <f>IF(B1080=1,INDEX('Data Entry'!$H$5:$BE$10004,1080-4,'Visual SPC'!$B$3),"")</f>
        <v/>
      </c>
      <c r="E1080">
        <f>IF(B1080=1,D1080,E1079)</f>
        <v/>
      </c>
      <c r="F1080">
        <f>IF(AND(B1080=1,C1080&gt;1,E1079&lt;&gt;""),ABS(D1080-E1079),"")</f>
        <v/>
      </c>
    </row>
    <row r="1081">
      <c r="A1081" t="n">
        <v>1081</v>
      </c>
      <c r="B1081">
        <f>IF(INDEX('Data Entry'!$H$5:$BE$10004,1081-4,'Visual SPC'!$B$3)="",0,IF(AND(OR('Visual SPC'!$C$4="",'Data Entry'!$C1081&gt;='Visual SPC'!$C$4),OR('Visual SPC'!$E$4="",'Data Entry'!$C1081&lt;='Visual SPC'!$E$4),OR('Visual SPC'!$G$4="",'Data Entry'!$D1081='Visual SPC'!$G$4),OR('Visual SPC'!$I$4="",'Data Entry'!$E1081='Visual SPC'!$I$4),OR('Visual SPC'!$K$4="",'Data Entry'!$F1081='Visual SPC'!$K$4)),1,0))</f>
        <v/>
      </c>
      <c r="C1081">
        <f>C1080+B1081</f>
        <v/>
      </c>
      <c r="D1081">
        <f>IF(B1081=1,INDEX('Data Entry'!$H$5:$BE$10004,1081-4,'Visual SPC'!$B$3),"")</f>
        <v/>
      </c>
      <c r="E1081">
        <f>IF(B1081=1,D1081,E1080)</f>
        <v/>
      </c>
      <c r="F1081">
        <f>IF(AND(B1081=1,C1081&gt;1,E1080&lt;&gt;""),ABS(D1081-E1080),"")</f>
        <v/>
      </c>
    </row>
    <row r="1082">
      <c r="A1082" t="n">
        <v>1082</v>
      </c>
      <c r="B1082">
        <f>IF(INDEX('Data Entry'!$H$5:$BE$10004,1082-4,'Visual SPC'!$B$3)="",0,IF(AND(OR('Visual SPC'!$C$4="",'Data Entry'!$C1082&gt;='Visual SPC'!$C$4),OR('Visual SPC'!$E$4="",'Data Entry'!$C1082&lt;='Visual SPC'!$E$4),OR('Visual SPC'!$G$4="",'Data Entry'!$D1082='Visual SPC'!$G$4),OR('Visual SPC'!$I$4="",'Data Entry'!$E1082='Visual SPC'!$I$4),OR('Visual SPC'!$K$4="",'Data Entry'!$F1082='Visual SPC'!$K$4)),1,0))</f>
        <v/>
      </c>
      <c r="C1082">
        <f>C1081+B1082</f>
        <v/>
      </c>
      <c r="D1082">
        <f>IF(B1082=1,INDEX('Data Entry'!$H$5:$BE$10004,1082-4,'Visual SPC'!$B$3),"")</f>
        <v/>
      </c>
      <c r="E1082">
        <f>IF(B1082=1,D1082,E1081)</f>
        <v/>
      </c>
      <c r="F1082">
        <f>IF(AND(B1082=1,C1082&gt;1,E1081&lt;&gt;""),ABS(D1082-E1081),"")</f>
        <v/>
      </c>
    </row>
    <row r="1083">
      <c r="A1083" t="n">
        <v>1083</v>
      </c>
      <c r="B1083">
        <f>IF(INDEX('Data Entry'!$H$5:$BE$10004,1083-4,'Visual SPC'!$B$3)="",0,IF(AND(OR('Visual SPC'!$C$4="",'Data Entry'!$C1083&gt;='Visual SPC'!$C$4),OR('Visual SPC'!$E$4="",'Data Entry'!$C1083&lt;='Visual SPC'!$E$4),OR('Visual SPC'!$G$4="",'Data Entry'!$D1083='Visual SPC'!$G$4),OR('Visual SPC'!$I$4="",'Data Entry'!$E1083='Visual SPC'!$I$4),OR('Visual SPC'!$K$4="",'Data Entry'!$F1083='Visual SPC'!$K$4)),1,0))</f>
        <v/>
      </c>
      <c r="C1083">
        <f>C1082+B1083</f>
        <v/>
      </c>
      <c r="D1083">
        <f>IF(B1083=1,INDEX('Data Entry'!$H$5:$BE$10004,1083-4,'Visual SPC'!$B$3),"")</f>
        <v/>
      </c>
      <c r="E1083">
        <f>IF(B1083=1,D1083,E1082)</f>
        <v/>
      </c>
      <c r="F1083">
        <f>IF(AND(B1083=1,C1083&gt;1,E1082&lt;&gt;""),ABS(D1083-E1082),"")</f>
        <v/>
      </c>
    </row>
    <row r="1084">
      <c r="A1084" t="n">
        <v>1084</v>
      </c>
      <c r="B1084">
        <f>IF(INDEX('Data Entry'!$H$5:$BE$10004,1084-4,'Visual SPC'!$B$3)="",0,IF(AND(OR('Visual SPC'!$C$4="",'Data Entry'!$C1084&gt;='Visual SPC'!$C$4),OR('Visual SPC'!$E$4="",'Data Entry'!$C1084&lt;='Visual SPC'!$E$4),OR('Visual SPC'!$G$4="",'Data Entry'!$D1084='Visual SPC'!$G$4),OR('Visual SPC'!$I$4="",'Data Entry'!$E1084='Visual SPC'!$I$4),OR('Visual SPC'!$K$4="",'Data Entry'!$F1084='Visual SPC'!$K$4)),1,0))</f>
        <v/>
      </c>
      <c r="C1084">
        <f>C1083+B1084</f>
        <v/>
      </c>
      <c r="D1084">
        <f>IF(B1084=1,INDEX('Data Entry'!$H$5:$BE$10004,1084-4,'Visual SPC'!$B$3),"")</f>
        <v/>
      </c>
      <c r="E1084">
        <f>IF(B1084=1,D1084,E1083)</f>
        <v/>
      </c>
      <c r="F1084">
        <f>IF(AND(B1084=1,C1084&gt;1,E1083&lt;&gt;""),ABS(D1084-E1083),"")</f>
        <v/>
      </c>
    </row>
    <row r="1085">
      <c r="A1085" t="n">
        <v>1085</v>
      </c>
      <c r="B1085">
        <f>IF(INDEX('Data Entry'!$H$5:$BE$10004,1085-4,'Visual SPC'!$B$3)="",0,IF(AND(OR('Visual SPC'!$C$4="",'Data Entry'!$C1085&gt;='Visual SPC'!$C$4),OR('Visual SPC'!$E$4="",'Data Entry'!$C1085&lt;='Visual SPC'!$E$4),OR('Visual SPC'!$G$4="",'Data Entry'!$D1085='Visual SPC'!$G$4),OR('Visual SPC'!$I$4="",'Data Entry'!$E1085='Visual SPC'!$I$4),OR('Visual SPC'!$K$4="",'Data Entry'!$F1085='Visual SPC'!$K$4)),1,0))</f>
        <v/>
      </c>
      <c r="C1085">
        <f>C1084+B1085</f>
        <v/>
      </c>
      <c r="D1085">
        <f>IF(B1085=1,INDEX('Data Entry'!$H$5:$BE$10004,1085-4,'Visual SPC'!$B$3),"")</f>
        <v/>
      </c>
      <c r="E1085">
        <f>IF(B1085=1,D1085,E1084)</f>
        <v/>
      </c>
      <c r="F1085">
        <f>IF(AND(B1085=1,C1085&gt;1,E1084&lt;&gt;""),ABS(D1085-E1084),"")</f>
        <v/>
      </c>
    </row>
    <row r="1086">
      <c r="A1086" t="n">
        <v>1086</v>
      </c>
      <c r="B1086">
        <f>IF(INDEX('Data Entry'!$H$5:$BE$10004,1086-4,'Visual SPC'!$B$3)="",0,IF(AND(OR('Visual SPC'!$C$4="",'Data Entry'!$C1086&gt;='Visual SPC'!$C$4),OR('Visual SPC'!$E$4="",'Data Entry'!$C1086&lt;='Visual SPC'!$E$4),OR('Visual SPC'!$G$4="",'Data Entry'!$D1086='Visual SPC'!$G$4),OR('Visual SPC'!$I$4="",'Data Entry'!$E1086='Visual SPC'!$I$4),OR('Visual SPC'!$K$4="",'Data Entry'!$F1086='Visual SPC'!$K$4)),1,0))</f>
        <v/>
      </c>
      <c r="C1086">
        <f>C1085+B1086</f>
        <v/>
      </c>
      <c r="D1086">
        <f>IF(B1086=1,INDEX('Data Entry'!$H$5:$BE$10004,1086-4,'Visual SPC'!$B$3),"")</f>
        <v/>
      </c>
      <c r="E1086">
        <f>IF(B1086=1,D1086,E1085)</f>
        <v/>
      </c>
      <c r="F1086">
        <f>IF(AND(B1086=1,C1086&gt;1,E1085&lt;&gt;""),ABS(D1086-E1085),"")</f>
        <v/>
      </c>
    </row>
    <row r="1087">
      <c r="A1087" t="n">
        <v>1087</v>
      </c>
      <c r="B1087">
        <f>IF(INDEX('Data Entry'!$H$5:$BE$10004,1087-4,'Visual SPC'!$B$3)="",0,IF(AND(OR('Visual SPC'!$C$4="",'Data Entry'!$C1087&gt;='Visual SPC'!$C$4),OR('Visual SPC'!$E$4="",'Data Entry'!$C1087&lt;='Visual SPC'!$E$4),OR('Visual SPC'!$G$4="",'Data Entry'!$D1087='Visual SPC'!$G$4),OR('Visual SPC'!$I$4="",'Data Entry'!$E1087='Visual SPC'!$I$4),OR('Visual SPC'!$K$4="",'Data Entry'!$F1087='Visual SPC'!$K$4)),1,0))</f>
        <v/>
      </c>
      <c r="C1087">
        <f>C1086+B1087</f>
        <v/>
      </c>
      <c r="D1087">
        <f>IF(B1087=1,INDEX('Data Entry'!$H$5:$BE$10004,1087-4,'Visual SPC'!$B$3),"")</f>
        <v/>
      </c>
      <c r="E1087">
        <f>IF(B1087=1,D1087,E1086)</f>
        <v/>
      </c>
      <c r="F1087">
        <f>IF(AND(B1087=1,C1087&gt;1,E1086&lt;&gt;""),ABS(D1087-E1086),"")</f>
        <v/>
      </c>
    </row>
    <row r="1088">
      <c r="A1088" t="n">
        <v>1088</v>
      </c>
      <c r="B1088">
        <f>IF(INDEX('Data Entry'!$H$5:$BE$10004,1088-4,'Visual SPC'!$B$3)="",0,IF(AND(OR('Visual SPC'!$C$4="",'Data Entry'!$C1088&gt;='Visual SPC'!$C$4),OR('Visual SPC'!$E$4="",'Data Entry'!$C1088&lt;='Visual SPC'!$E$4),OR('Visual SPC'!$G$4="",'Data Entry'!$D1088='Visual SPC'!$G$4),OR('Visual SPC'!$I$4="",'Data Entry'!$E1088='Visual SPC'!$I$4),OR('Visual SPC'!$K$4="",'Data Entry'!$F1088='Visual SPC'!$K$4)),1,0))</f>
        <v/>
      </c>
      <c r="C1088">
        <f>C1087+B1088</f>
        <v/>
      </c>
      <c r="D1088">
        <f>IF(B1088=1,INDEX('Data Entry'!$H$5:$BE$10004,1088-4,'Visual SPC'!$B$3),"")</f>
        <v/>
      </c>
      <c r="E1088">
        <f>IF(B1088=1,D1088,E1087)</f>
        <v/>
      </c>
      <c r="F1088">
        <f>IF(AND(B1088=1,C1088&gt;1,E1087&lt;&gt;""),ABS(D1088-E1087),"")</f>
        <v/>
      </c>
    </row>
    <row r="1089">
      <c r="A1089" t="n">
        <v>1089</v>
      </c>
      <c r="B1089">
        <f>IF(INDEX('Data Entry'!$H$5:$BE$10004,1089-4,'Visual SPC'!$B$3)="",0,IF(AND(OR('Visual SPC'!$C$4="",'Data Entry'!$C1089&gt;='Visual SPC'!$C$4),OR('Visual SPC'!$E$4="",'Data Entry'!$C1089&lt;='Visual SPC'!$E$4),OR('Visual SPC'!$G$4="",'Data Entry'!$D1089='Visual SPC'!$G$4),OR('Visual SPC'!$I$4="",'Data Entry'!$E1089='Visual SPC'!$I$4),OR('Visual SPC'!$K$4="",'Data Entry'!$F1089='Visual SPC'!$K$4)),1,0))</f>
        <v/>
      </c>
      <c r="C1089">
        <f>C1088+B1089</f>
        <v/>
      </c>
      <c r="D1089">
        <f>IF(B1089=1,INDEX('Data Entry'!$H$5:$BE$10004,1089-4,'Visual SPC'!$B$3),"")</f>
        <v/>
      </c>
      <c r="E1089">
        <f>IF(B1089=1,D1089,E1088)</f>
        <v/>
      </c>
      <c r="F1089">
        <f>IF(AND(B1089=1,C1089&gt;1,E1088&lt;&gt;""),ABS(D1089-E1088),"")</f>
        <v/>
      </c>
    </row>
    <row r="1090">
      <c r="A1090" t="n">
        <v>1090</v>
      </c>
      <c r="B1090">
        <f>IF(INDEX('Data Entry'!$H$5:$BE$10004,1090-4,'Visual SPC'!$B$3)="",0,IF(AND(OR('Visual SPC'!$C$4="",'Data Entry'!$C1090&gt;='Visual SPC'!$C$4),OR('Visual SPC'!$E$4="",'Data Entry'!$C1090&lt;='Visual SPC'!$E$4),OR('Visual SPC'!$G$4="",'Data Entry'!$D1090='Visual SPC'!$G$4),OR('Visual SPC'!$I$4="",'Data Entry'!$E1090='Visual SPC'!$I$4),OR('Visual SPC'!$K$4="",'Data Entry'!$F1090='Visual SPC'!$K$4)),1,0))</f>
        <v/>
      </c>
      <c r="C1090">
        <f>C1089+B1090</f>
        <v/>
      </c>
      <c r="D1090">
        <f>IF(B1090=1,INDEX('Data Entry'!$H$5:$BE$10004,1090-4,'Visual SPC'!$B$3),"")</f>
        <v/>
      </c>
      <c r="E1090">
        <f>IF(B1090=1,D1090,E1089)</f>
        <v/>
      </c>
      <c r="F1090">
        <f>IF(AND(B1090=1,C1090&gt;1,E1089&lt;&gt;""),ABS(D1090-E1089),"")</f>
        <v/>
      </c>
    </row>
    <row r="1091">
      <c r="A1091" t="n">
        <v>1091</v>
      </c>
      <c r="B1091">
        <f>IF(INDEX('Data Entry'!$H$5:$BE$10004,1091-4,'Visual SPC'!$B$3)="",0,IF(AND(OR('Visual SPC'!$C$4="",'Data Entry'!$C1091&gt;='Visual SPC'!$C$4),OR('Visual SPC'!$E$4="",'Data Entry'!$C1091&lt;='Visual SPC'!$E$4),OR('Visual SPC'!$G$4="",'Data Entry'!$D1091='Visual SPC'!$G$4),OR('Visual SPC'!$I$4="",'Data Entry'!$E1091='Visual SPC'!$I$4),OR('Visual SPC'!$K$4="",'Data Entry'!$F1091='Visual SPC'!$K$4)),1,0))</f>
        <v/>
      </c>
      <c r="C1091">
        <f>C1090+B1091</f>
        <v/>
      </c>
      <c r="D1091">
        <f>IF(B1091=1,INDEX('Data Entry'!$H$5:$BE$10004,1091-4,'Visual SPC'!$B$3),"")</f>
        <v/>
      </c>
      <c r="E1091">
        <f>IF(B1091=1,D1091,E1090)</f>
        <v/>
      </c>
      <c r="F1091">
        <f>IF(AND(B1091=1,C1091&gt;1,E1090&lt;&gt;""),ABS(D1091-E1090),"")</f>
        <v/>
      </c>
    </row>
    <row r="1092">
      <c r="A1092" t="n">
        <v>1092</v>
      </c>
      <c r="B1092">
        <f>IF(INDEX('Data Entry'!$H$5:$BE$10004,1092-4,'Visual SPC'!$B$3)="",0,IF(AND(OR('Visual SPC'!$C$4="",'Data Entry'!$C1092&gt;='Visual SPC'!$C$4),OR('Visual SPC'!$E$4="",'Data Entry'!$C1092&lt;='Visual SPC'!$E$4),OR('Visual SPC'!$G$4="",'Data Entry'!$D1092='Visual SPC'!$G$4),OR('Visual SPC'!$I$4="",'Data Entry'!$E1092='Visual SPC'!$I$4),OR('Visual SPC'!$K$4="",'Data Entry'!$F1092='Visual SPC'!$K$4)),1,0))</f>
        <v/>
      </c>
      <c r="C1092">
        <f>C1091+B1092</f>
        <v/>
      </c>
      <c r="D1092">
        <f>IF(B1092=1,INDEX('Data Entry'!$H$5:$BE$10004,1092-4,'Visual SPC'!$B$3),"")</f>
        <v/>
      </c>
      <c r="E1092">
        <f>IF(B1092=1,D1092,E1091)</f>
        <v/>
      </c>
      <c r="F1092">
        <f>IF(AND(B1092=1,C1092&gt;1,E1091&lt;&gt;""),ABS(D1092-E1091),"")</f>
        <v/>
      </c>
    </row>
    <row r="1093">
      <c r="A1093" t="n">
        <v>1093</v>
      </c>
      <c r="B1093">
        <f>IF(INDEX('Data Entry'!$H$5:$BE$10004,1093-4,'Visual SPC'!$B$3)="",0,IF(AND(OR('Visual SPC'!$C$4="",'Data Entry'!$C1093&gt;='Visual SPC'!$C$4),OR('Visual SPC'!$E$4="",'Data Entry'!$C1093&lt;='Visual SPC'!$E$4),OR('Visual SPC'!$G$4="",'Data Entry'!$D1093='Visual SPC'!$G$4),OR('Visual SPC'!$I$4="",'Data Entry'!$E1093='Visual SPC'!$I$4),OR('Visual SPC'!$K$4="",'Data Entry'!$F1093='Visual SPC'!$K$4)),1,0))</f>
        <v/>
      </c>
      <c r="C1093">
        <f>C1092+B1093</f>
        <v/>
      </c>
      <c r="D1093">
        <f>IF(B1093=1,INDEX('Data Entry'!$H$5:$BE$10004,1093-4,'Visual SPC'!$B$3),"")</f>
        <v/>
      </c>
      <c r="E1093">
        <f>IF(B1093=1,D1093,E1092)</f>
        <v/>
      </c>
      <c r="F1093">
        <f>IF(AND(B1093=1,C1093&gt;1,E1092&lt;&gt;""),ABS(D1093-E1092),"")</f>
        <v/>
      </c>
    </row>
    <row r="1094">
      <c r="A1094" t="n">
        <v>1094</v>
      </c>
      <c r="B1094">
        <f>IF(INDEX('Data Entry'!$H$5:$BE$10004,1094-4,'Visual SPC'!$B$3)="",0,IF(AND(OR('Visual SPC'!$C$4="",'Data Entry'!$C1094&gt;='Visual SPC'!$C$4),OR('Visual SPC'!$E$4="",'Data Entry'!$C1094&lt;='Visual SPC'!$E$4),OR('Visual SPC'!$G$4="",'Data Entry'!$D1094='Visual SPC'!$G$4),OR('Visual SPC'!$I$4="",'Data Entry'!$E1094='Visual SPC'!$I$4),OR('Visual SPC'!$K$4="",'Data Entry'!$F1094='Visual SPC'!$K$4)),1,0))</f>
        <v/>
      </c>
      <c r="C1094">
        <f>C1093+B1094</f>
        <v/>
      </c>
      <c r="D1094">
        <f>IF(B1094=1,INDEX('Data Entry'!$H$5:$BE$10004,1094-4,'Visual SPC'!$B$3),"")</f>
        <v/>
      </c>
      <c r="E1094">
        <f>IF(B1094=1,D1094,E1093)</f>
        <v/>
      </c>
      <c r="F1094">
        <f>IF(AND(B1094=1,C1094&gt;1,E1093&lt;&gt;""),ABS(D1094-E1093),"")</f>
        <v/>
      </c>
    </row>
    <row r="1095">
      <c r="A1095" t="n">
        <v>1095</v>
      </c>
      <c r="B1095">
        <f>IF(INDEX('Data Entry'!$H$5:$BE$10004,1095-4,'Visual SPC'!$B$3)="",0,IF(AND(OR('Visual SPC'!$C$4="",'Data Entry'!$C1095&gt;='Visual SPC'!$C$4),OR('Visual SPC'!$E$4="",'Data Entry'!$C1095&lt;='Visual SPC'!$E$4),OR('Visual SPC'!$G$4="",'Data Entry'!$D1095='Visual SPC'!$G$4),OR('Visual SPC'!$I$4="",'Data Entry'!$E1095='Visual SPC'!$I$4),OR('Visual SPC'!$K$4="",'Data Entry'!$F1095='Visual SPC'!$K$4)),1,0))</f>
        <v/>
      </c>
      <c r="C1095">
        <f>C1094+B1095</f>
        <v/>
      </c>
      <c r="D1095">
        <f>IF(B1095=1,INDEX('Data Entry'!$H$5:$BE$10004,1095-4,'Visual SPC'!$B$3),"")</f>
        <v/>
      </c>
      <c r="E1095">
        <f>IF(B1095=1,D1095,E1094)</f>
        <v/>
      </c>
      <c r="F1095">
        <f>IF(AND(B1095=1,C1095&gt;1,E1094&lt;&gt;""),ABS(D1095-E1094),"")</f>
        <v/>
      </c>
    </row>
    <row r="1096">
      <c r="A1096" t="n">
        <v>1096</v>
      </c>
      <c r="B1096">
        <f>IF(INDEX('Data Entry'!$H$5:$BE$10004,1096-4,'Visual SPC'!$B$3)="",0,IF(AND(OR('Visual SPC'!$C$4="",'Data Entry'!$C1096&gt;='Visual SPC'!$C$4),OR('Visual SPC'!$E$4="",'Data Entry'!$C1096&lt;='Visual SPC'!$E$4),OR('Visual SPC'!$G$4="",'Data Entry'!$D1096='Visual SPC'!$G$4),OR('Visual SPC'!$I$4="",'Data Entry'!$E1096='Visual SPC'!$I$4),OR('Visual SPC'!$K$4="",'Data Entry'!$F1096='Visual SPC'!$K$4)),1,0))</f>
        <v/>
      </c>
      <c r="C1096">
        <f>C1095+B1096</f>
        <v/>
      </c>
      <c r="D1096">
        <f>IF(B1096=1,INDEX('Data Entry'!$H$5:$BE$10004,1096-4,'Visual SPC'!$B$3),"")</f>
        <v/>
      </c>
      <c r="E1096">
        <f>IF(B1096=1,D1096,E1095)</f>
        <v/>
      </c>
      <c r="F1096">
        <f>IF(AND(B1096=1,C1096&gt;1,E1095&lt;&gt;""),ABS(D1096-E1095),"")</f>
        <v/>
      </c>
    </row>
    <row r="1097">
      <c r="A1097" t="n">
        <v>1097</v>
      </c>
      <c r="B1097">
        <f>IF(INDEX('Data Entry'!$H$5:$BE$10004,1097-4,'Visual SPC'!$B$3)="",0,IF(AND(OR('Visual SPC'!$C$4="",'Data Entry'!$C1097&gt;='Visual SPC'!$C$4),OR('Visual SPC'!$E$4="",'Data Entry'!$C1097&lt;='Visual SPC'!$E$4),OR('Visual SPC'!$G$4="",'Data Entry'!$D1097='Visual SPC'!$G$4),OR('Visual SPC'!$I$4="",'Data Entry'!$E1097='Visual SPC'!$I$4),OR('Visual SPC'!$K$4="",'Data Entry'!$F1097='Visual SPC'!$K$4)),1,0))</f>
        <v/>
      </c>
      <c r="C1097">
        <f>C1096+B1097</f>
        <v/>
      </c>
      <c r="D1097">
        <f>IF(B1097=1,INDEX('Data Entry'!$H$5:$BE$10004,1097-4,'Visual SPC'!$B$3),"")</f>
        <v/>
      </c>
      <c r="E1097">
        <f>IF(B1097=1,D1097,E1096)</f>
        <v/>
      </c>
      <c r="F1097">
        <f>IF(AND(B1097=1,C1097&gt;1,E1096&lt;&gt;""),ABS(D1097-E1096),"")</f>
        <v/>
      </c>
    </row>
    <row r="1098">
      <c r="A1098" t="n">
        <v>1098</v>
      </c>
      <c r="B1098">
        <f>IF(INDEX('Data Entry'!$H$5:$BE$10004,1098-4,'Visual SPC'!$B$3)="",0,IF(AND(OR('Visual SPC'!$C$4="",'Data Entry'!$C1098&gt;='Visual SPC'!$C$4),OR('Visual SPC'!$E$4="",'Data Entry'!$C1098&lt;='Visual SPC'!$E$4),OR('Visual SPC'!$G$4="",'Data Entry'!$D1098='Visual SPC'!$G$4),OR('Visual SPC'!$I$4="",'Data Entry'!$E1098='Visual SPC'!$I$4),OR('Visual SPC'!$K$4="",'Data Entry'!$F1098='Visual SPC'!$K$4)),1,0))</f>
        <v/>
      </c>
      <c r="C1098">
        <f>C1097+B1098</f>
        <v/>
      </c>
      <c r="D1098">
        <f>IF(B1098=1,INDEX('Data Entry'!$H$5:$BE$10004,1098-4,'Visual SPC'!$B$3),"")</f>
        <v/>
      </c>
      <c r="E1098">
        <f>IF(B1098=1,D1098,E1097)</f>
        <v/>
      </c>
      <c r="F1098">
        <f>IF(AND(B1098=1,C1098&gt;1,E1097&lt;&gt;""),ABS(D1098-E1097),"")</f>
        <v/>
      </c>
    </row>
    <row r="1099">
      <c r="A1099" t="n">
        <v>1099</v>
      </c>
      <c r="B1099">
        <f>IF(INDEX('Data Entry'!$H$5:$BE$10004,1099-4,'Visual SPC'!$B$3)="",0,IF(AND(OR('Visual SPC'!$C$4="",'Data Entry'!$C1099&gt;='Visual SPC'!$C$4),OR('Visual SPC'!$E$4="",'Data Entry'!$C1099&lt;='Visual SPC'!$E$4),OR('Visual SPC'!$G$4="",'Data Entry'!$D1099='Visual SPC'!$G$4),OR('Visual SPC'!$I$4="",'Data Entry'!$E1099='Visual SPC'!$I$4),OR('Visual SPC'!$K$4="",'Data Entry'!$F1099='Visual SPC'!$K$4)),1,0))</f>
        <v/>
      </c>
      <c r="C1099">
        <f>C1098+B1099</f>
        <v/>
      </c>
      <c r="D1099">
        <f>IF(B1099=1,INDEX('Data Entry'!$H$5:$BE$10004,1099-4,'Visual SPC'!$B$3),"")</f>
        <v/>
      </c>
      <c r="E1099">
        <f>IF(B1099=1,D1099,E1098)</f>
        <v/>
      </c>
      <c r="F1099">
        <f>IF(AND(B1099=1,C1099&gt;1,E1098&lt;&gt;""),ABS(D1099-E1098),"")</f>
        <v/>
      </c>
    </row>
    <row r="1100">
      <c r="A1100" t="n">
        <v>1100</v>
      </c>
      <c r="B1100">
        <f>IF(INDEX('Data Entry'!$H$5:$BE$10004,1100-4,'Visual SPC'!$B$3)="",0,IF(AND(OR('Visual SPC'!$C$4="",'Data Entry'!$C1100&gt;='Visual SPC'!$C$4),OR('Visual SPC'!$E$4="",'Data Entry'!$C1100&lt;='Visual SPC'!$E$4),OR('Visual SPC'!$G$4="",'Data Entry'!$D1100='Visual SPC'!$G$4),OR('Visual SPC'!$I$4="",'Data Entry'!$E1100='Visual SPC'!$I$4),OR('Visual SPC'!$K$4="",'Data Entry'!$F1100='Visual SPC'!$K$4)),1,0))</f>
        <v/>
      </c>
      <c r="C1100">
        <f>C1099+B1100</f>
        <v/>
      </c>
      <c r="D1100">
        <f>IF(B1100=1,INDEX('Data Entry'!$H$5:$BE$10004,1100-4,'Visual SPC'!$B$3),"")</f>
        <v/>
      </c>
      <c r="E1100">
        <f>IF(B1100=1,D1100,E1099)</f>
        <v/>
      </c>
      <c r="F1100">
        <f>IF(AND(B1100=1,C1100&gt;1,E1099&lt;&gt;""),ABS(D1100-E1099),"")</f>
        <v/>
      </c>
    </row>
    <row r="1101">
      <c r="A1101" t="n">
        <v>1101</v>
      </c>
      <c r="B1101">
        <f>IF(INDEX('Data Entry'!$H$5:$BE$10004,1101-4,'Visual SPC'!$B$3)="",0,IF(AND(OR('Visual SPC'!$C$4="",'Data Entry'!$C1101&gt;='Visual SPC'!$C$4),OR('Visual SPC'!$E$4="",'Data Entry'!$C1101&lt;='Visual SPC'!$E$4),OR('Visual SPC'!$G$4="",'Data Entry'!$D1101='Visual SPC'!$G$4),OR('Visual SPC'!$I$4="",'Data Entry'!$E1101='Visual SPC'!$I$4),OR('Visual SPC'!$K$4="",'Data Entry'!$F1101='Visual SPC'!$K$4)),1,0))</f>
        <v/>
      </c>
      <c r="C1101">
        <f>C1100+B1101</f>
        <v/>
      </c>
      <c r="D1101">
        <f>IF(B1101=1,INDEX('Data Entry'!$H$5:$BE$10004,1101-4,'Visual SPC'!$B$3),"")</f>
        <v/>
      </c>
      <c r="E1101">
        <f>IF(B1101=1,D1101,E1100)</f>
        <v/>
      </c>
      <c r="F1101">
        <f>IF(AND(B1101=1,C1101&gt;1,E1100&lt;&gt;""),ABS(D1101-E1100),"")</f>
        <v/>
      </c>
    </row>
    <row r="1102">
      <c r="A1102" t="n">
        <v>1102</v>
      </c>
      <c r="B1102">
        <f>IF(INDEX('Data Entry'!$H$5:$BE$10004,1102-4,'Visual SPC'!$B$3)="",0,IF(AND(OR('Visual SPC'!$C$4="",'Data Entry'!$C1102&gt;='Visual SPC'!$C$4),OR('Visual SPC'!$E$4="",'Data Entry'!$C1102&lt;='Visual SPC'!$E$4),OR('Visual SPC'!$G$4="",'Data Entry'!$D1102='Visual SPC'!$G$4),OR('Visual SPC'!$I$4="",'Data Entry'!$E1102='Visual SPC'!$I$4),OR('Visual SPC'!$K$4="",'Data Entry'!$F1102='Visual SPC'!$K$4)),1,0))</f>
        <v/>
      </c>
      <c r="C1102">
        <f>C1101+B1102</f>
        <v/>
      </c>
      <c r="D1102">
        <f>IF(B1102=1,INDEX('Data Entry'!$H$5:$BE$10004,1102-4,'Visual SPC'!$B$3),"")</f>
        <v/>
      </c>
      <c r="E1102">
        <f>IF(B1102=1,D1102,E1101)</f>
        <v/>
      </c>
      <c r="F1102">
        <f>IF(AND(B1102=1,C1102&gt;1,E1101&lt;&gt;""),ABS(D1102-E1101),"")</f>
        <v/>
      </c>
    </row>
    <row r="1103">
      <c r="A1103" t="n">
        <v>1103</v>
      </c>
      <c r="B1103">
        <f>IF(INDEX('Data Entry'!$H$5:$BE$10004,1103-4,'Visual SPC'!$B$3)="",0,IF(AND(OR('Visual SPC'!$C$4="",'Data Entry'!$C1103&gt;='Visual SPC'!$C$4),OR('Visual SPC'!$E$4="",'Data Entry'!$C1103&lt;='Visual SPC'!$E$4),OR('Visual SPC'!$G$4="",'Data Entry'!$D1103='Visual SPC'!$G$4),OR('Visual SPC'!$I$4="",'Data Entry'!$E1103='Visual SPC'!$I$4),OR('Visual SPC'!$K$4="",'Data Entry'!$F1103='Visual SPC'!$K$4)),1,0))</f>
        <v/>
      </c>
      <c r="C1103">
        <f>C1102+B1103</f>
        <v/>
      </c>
      <c r="D1103">
        <f>IF(B1103=1,INDEX('Data Entry'!$H$5:$BE$10004,1103-4,'Visual SPC'!$B$3),"")</f>
        <v/>
      </c>
      <c r="E1103">
        <f>IF(B1103=1,D1103,E1102)</f>
        <v/>
      </c>
      <c r="F1103">
        <f>IF(AND(B1103=1,C1103&gt;1,E1102&lt;&gt;""),ABS(D1103-E1102),"")</f>
        <v/>
      </c>
    </row>
    <row r="1104">
      <c r="A1104" t="n">
        <v>1104</v>
      </c>
      <c r="B1104">
        <f>IF(INDEX('Data Entry'!$H$5:$BE$10004,1104-4,'Visual SPC'!$B$3)="",0,IF(AND(OR('Visual SPC'!$C$4="",'Data Entry'!$C1104&gt;='Visual SPC'!$C$4),OR('Visual SPC'!$E$4="",'Data Entry'!$C1104&lt;='Visual SPC'!$E$4),OR('Visual SPC'!$G$4="",'Data Entry'!$D1104='Visual SPC'!$G$4),OR('Visual SPC'!$I$4="",'Data Entry'!$E1104='Visual SPC'!$I$4),OR('Visual SPC'!$K$4="",'Data Entry'!$F1104='Visual SPC'!$K$4)),1,0))</f>
        <v/>
      </c>
      <c r="C1104">
        <f>C1103+B1104</f>
        <v/>
      </c>
      <c r="D1104">
        <f>IF(B1104=1,INDEX('Data Entry'!$H$5:$BE$10004,1104-4,'Visual SPC'!$B$3),"")</f>
        <v/>
      </c>
      <c r="E1104">
        <f>IF(B1104=1,D1104,E1103)</f>
        <v/>
      </c>
      <c r="F1104">
        <f>IF(AND(B1104=1,C1104&gt;1,E1103&lt;&gt;""),ABS(D1104-E1103),"")</f>
        <v/>
      </c>
    </row>
    <row r="1105">
      <c r="A1105" t="n">
        <v>1105</v>
      </c>
      <c r="B1105">
        <f>IF(INDEX('Data Entry'!$H$5:$BE$10004,1105-4,'Visual SPC'!$B$3)="",0,IF(AND(OR('Visual SPC'!$C$4="",'Data Entry'!$C1105&gt;='Visual SPC'!$C$4),OR('Visual SPC'!$E$4="",'Data Entry'!$C1105&lt;='Visual SPC'!$E$4),OR('Visual SPC'!$G$4="",'Data Entry'!$D1105='Visual SPC'!$G$4),OR('Visual SPC'!$I$4="",'Data Entry'!$E1105='Visual SPC'!$I$4),OR('Visual SPC'!$K$4="",'Data Entry'!$F1105='Visual SPC'!$K$4)),1,0))</f>
        <v/>
      </c>
      <c r="C1105">
        <f>C1104+B1105</f>
        <v/>
      </c>
      <c r="D1105">
        <f>IF(B1105=1,INDEX('Data Entry'!$H$5:$BE$10004,1105-4,'Visual SPC'!$B$3),"")</f>
        <v/>
      </c>
      <c r="E1105">
        <f>IF(B1105=1,D1105,E1104)</f>
        <v/>
      </c>
      <c r="F1105">
        <f>IF(AND(B1105=1,C1105&gt;1,E1104&lt;&gt;""),ABS(D1105-E1104),"")</f>
        <v/>
      </c>
    </row>
    <row r="1106">
      <c r="A1106" t="n">
        <v>1106</v>
      </c>
      <c r="B1106">
        <f>IF(INDEX('Data Entry'!$H$5:$BE$10004,1106-4,'Visual SPC'!$B$3)="",0,IF(AND(OR('Visual SPC'!$C$4="",'Data Entry'!$C1106&gt;='Visual SPC'!$C$4),OR('Visual SPC'!$E$4="",'Data Entry'!$C1106&lt;='Visual SPC'!$E$4),OR('Visual SPC'!$G$4="",'Data Entry'!$D1106='Visual SPC'!$G$4),OR('Visual SPC'!$I$4="",'Data Entry'!$E1106='Visual SPC'!$I$4),OR('Visual SPC'!$K$4="",'Data Entry'!$F1106='Visual SPC'!$K$4)),1,0))</f>
        <v/>
      </c>
      <c r="C1106">
        <f>C1105+B1106</f>
        <v/>
      </c>
      <c r="D1106">
        <f>IF(B1106=1,INDEX('Data Entry'!$H$5:$BE$10004,1106-4,'Visual SPC'!$B$3),"")</f>
        <v/>
      </c>
      <c r="E1106">
        <f>IF(B1106=1,D1106,E1105)</f>
        <v/>
      </c>
      <c r="F1106">
        <f>IF(AND(B1106=1,C1106&gt;1,E1105&lt;&gt;""),ABS(D1106-E1105),"")</f>
        <v/>
      </c>
    </row>
    <row r="1107">
      <c r="A1107" t="n">
        <v>1107</v>
      </c>
      <c r="B1107">
        <f>IF(INDEX('Data Entry'!$H$5:$BE$10004,1107-4,'Visual SPC'!$B$3)="",0,IF(AND(OR('Visual SPC'!$C$4="",'Data Entry'!$C1107&gt;='Visual SPC'!$C$4),OR('Visual SPC'!$E$4="",'Data Entry'!$C1107&lt;='Visual SPC'!$E$4),OR('Visual SPC'!$G$4="",'Data Entry'!$D1107='Visual SPC'!$G$4),OR('Visual SPC'!$I$4="",'Data Entry'!$E1107='Visual SPC'!$I$4),OR('Visual SPC'!$K$4="",'Data Entry'!$F1107='Visual SPC'!$K$4)),1,0))</f>
        <v/>
      </c>
      <c r="C1107">
        <f>C1106+B1107</f>
        <v/>
      </c>
      <c r="D1107">
        <f>IF(B1107=1,INDEX('Data Entry'!$H$5:$BE$10004,1107-4,'Visual SPC'!$B$3),"")</f>
        <v/>
      </c>
      <c r="E1107">
        <f>IF(B1107=1,D1107,E1106)</f>
        <v/>
      </c>
      <c r="F1107">
        <f>IF(AND(B1107=1,C1107&gt;1,E1106&lt;&gt;""),ABS(D1107-E1106),"")</f>
        <v/>
      </c>
    </row>
    <row r="1108">
      <c r="A1108" t="n">
        <v>1108</v>
      </c>
      <c r="B1108">
        <f>IF(INDEX('Data Entry'!$H$5:$BE$10004,1108-4,'Visual SPC'!$B$3)="",0,IF(AND(OR('Visual SPC'!$C$4="",'Data Entry'!$C1108&gt;='Visual SPC'!$C$4),OR('Visual SPC'!$E$4="",'Data Entry'!$C1108&lt;='Visual SPC'!$E$4),OR('Visual SPC'!$G$4="",'Data Entry'!$D1108='Visual SPC'!$G$4),OR('Visual SPC'!$I$4="",'Data Entry'!$E1108='Visual SPC'!$I$4),OR('Visual SPC'!$K$4="",'Data Entry'!$F1108='Visual SPC'!$K$4)),1,0))</f>
        <v/>
      </c>
      <c r="C1108">
        <f>C1107+B1108</f>
        <v/>
      </c>
      <c r="D1108">
        <f>IF(B1108=1,INDEX('Data Entry'!$H$5:$BE$10004,1108-4,'Visual SPC'!$B$3),"")</f>
        <v/>
      </c>
      <c r="E1108">
        <f>IF(B1108=1,D1108,E1107)</f>
        <v/>
      </c>
      <c r="F1108">
        <f>IF(AND(B1108=1,C1108&gt;1,E1107&lt;&gt;""),ABS(D1108-E1107),"")</f>
        <v/>
      </c>
    </row>
    <row r="1109">
      <c r="A1109" t="n">
        <v>1109</v>
      </c>
      <c r="B1109">
        <f>IF(INDEX('Data Entry'!$H$5:$BE$10004,1109-4,'Visual SPC'!$B$3)="",0,IF(AND(OR('Visual SPC'!$C$4="",'Data Entry'!$C1109&gt;='Visual SPC'!$C$4),OR('Visual SPC'!$E$4="",'Data Entry'!$C1109&lt;='Visual SPC'!$E$4),OR('Visual SPC'!$G$4="",'Data Entry'!$D1109='Visual SPC'!$G$4),OR('Visual SPC'!$I$4="",'Data Entry'!$E1109='Visual SPC'!$I$4),OR('Visual SPC'!$K$4="",'Data Entry'!$F1109='Visual SPC'!$K$4)),1,0))</f>
        <v/>
      </c>
      <c r="C1109">
        <f>C1108+B1109</f>
        <v/>
      </c>
      <c r="D1109">
        <f>IF(B1109=1,INDEX('Data Entry'!$H$5:$BE$10004,1109-4,'Visual SPC'!$B$3),"")</f>
        <v/>
      </c>
      <c r="E1109">
        <f>IF(B1109=1,D1109,E1108)</f>
        <v/>
      </c>
      <c r="F1109">
        <f>IF(AND(B1109=1,C1109&gt;1,E1108&lt;&gt;""),ABS(D1109-E1108),"")</f>
        <v/>
      </c>
    </row>
    <row r="1110">
      <c r="A1110" t="n">
        <v>1110</v>
      </c>
      <c r="B1110">
        <f>IF(INDEX('Data Entry'!$H$5:$BE$10004,1110-4,'Visual SPC'!$B$3)="",0,IF(AND(OR('Visual SPC'!$C$4="",'Data Entry'!$C1110&gt;='Visual SPC'!$C$4),OR('Visual SPC'!$E$4="",'Data Entry'!$C1110&lt;='Visual SPC'!$E$4),OR('Visual SPC'!$G$4="",'Data Entry'!$D1110='Visual SPC'!$G$4),OR('Visual SPC'!$I$4="",'Data Entry'!$E1110='Visual SPC'!$I$4),OR('Visual SPC'!$K$4="",'Data Entry'!$F1110='Visual SPC'!$K$4)),1,0))</f>
        <v/>
      </c>
      <c r="C1110">
        <f>C1109+B1110</f>
        <v/>
      </c>
      <c r="D1110">
        <f>IF(B1110=1,INDEX('Data Entry'!$H$5:$BE$10004,1110-4,'Visual SPC'!$B$3),"")</f>
        <v/>
      </c>
      <c r="E1110">
        <f>IF(B1110=1,D1110,E1109)</f>
        <v/>
      </c>
      <c r="F1110">
        <f>IF(AND(B1110=1,C1110&gt;1,E1109&lt;&gt;""),ABS(D1110-E1109),"")</f>
        <v/>
      </c>
    </row>
    <row r="1111">
      <c r="A1111" t="n">
        <v>1111</v>
      </c>
      <c r="B1111">
        <f>IF(INDEX('Data Entry'!$H$5:$BE$10004,1111-4,'Visual SPC'!$B$3)="",0,IF(AND(OR('Visual SPC'!$C$4="",'Data Entry'!$C1111&gt;='Visual SPC'!$C$4),OR('Visual SPC'!$E$4="",'Data Entry'!$C1111&lt;='Visual SPC'!$E$4),OR('Visual SPC'!$G$4="",'Data Entry'!$D1111='Visual SPC'!$G$4),OR('Visual SPC'!$I$4="",'Data Entry'!$E1111='Visual SPC'!$I$4),OR('Visual SPC'!$K$4="",'Data Entry'!$F1111='Visual SPC'!$K$4)),1,0))</f>
        <v/>
      </c>
      <c r="C1111">
        <f>C1110+B1111</f>
        <v/>
      </c>
      <c r="D1111">
        <f>IF(B1111=1,INDEX('Data Entry'!$H$5:$BE$10004,1111-4,'Visual SPC'!$B$3),"")</f>
        <v/>
      </c>
      <c r="E1111">
        <f>IF(B1111=1,D1111,E1110)</f>
        <v/>
      </c>
      <c r="F1111">
        <f>IF(AND(B1111=1,C1111&gt;1,E1110&lt;&gt;""),ABS(D1111-E1110),"")</f>
        <v/>
      </c>
    </row>
    <row r="1112">
      <c r="A1112" t="n">
        <v>1112</v>
      </c>
      <c r="B1112">
        <f>IF(INDEX('Data Entry'!$H$5:$BE$10004,1112-4,'Visual SPC'!$B$3)="",0,IF(AND(OR('Visual SPC'!$C$4="",'Data Entry'!$C1112&gt;='Visual SPC'!$C$4),OR('Visual SPC'!$E$4="",'Data Entry'!$C1112&lt;='Visual SPC'!$E$4),OR('Visual SPC'!$G$4="",'Data Entry'!$D1112='Visual SPC'!$G$4),OR('Visual SPC'!$I$4="",'Data Entry'!$E1112='Visual SPC'!$I$4),OR('Visual SPC'!$K$4="",'Data Entry'!$F1112='Visual SPC'!$K$4)),1,0))</f>
        <v/>
      </c>
      <c r="C1112">
        <f>C1111+B1112</f>
        <v/>
      </c>
      <c r="D1112">
        <f>IF(B1112=1,INDEX('Data Entry'!$H$5:$BE$10004,1112-4,'Visual SPC'!$B$3),"")</f>
        <v/>
      </c>
      <c r="E1112">
        <f>IF(B1112=1,D1112,E1111)</f>
        <v/>
      </c>
      <c r="F1112">
        <f>IF(AND(B1112=1,C1112&gt;1,E1111&lt;&gt;""),ABS(D1112-E1111),"")</f>
        <v/>
      </c>
    </row>
    <row r="1113">
      <c r="A1113" t="n">
        <v>1113</v>
      </c>
      <c r="B1113">
        <f>IF(INDEX('Data Entry'!$H$5:$BE$10004,1113-4,'Visual SPC'!$B$3)="",0,IF(AND(OR('Visual SPC'!$C$4="",'Data Entry'!$C1113&gt;='Visual SPC'!$C$4),OR('Visual SPC'!$E$4="",'Data Entry'!$C1113&lt;='Visual SPC'!$E$4),OR('Visual SPC'!$G$4="",'Data Entry'!$D1113='Visual SPC'!$G$4),OR('Visual SPC'!$I$4="",'Data Entry'!$E1113='Visual SPC'!$I$4),OR('Visual SPC'!$K$4="",'Data Entry'!$F1113='Visual SPC'!$K$4)),1,0))</f>
        <v/>
      </c>
      <c r="C1113">
        <f>C1112+B1113</f>
        <v/>
      </c>
      <c r="D1113">
        <f>IF(B1113=1,INDEX('Data Entry'!$H$5:$BE$10004,1113-4,'Visual SPC'!$B$3),"")</f>
        <v/>
      </c>
      <c r="E1113">
        <f>IF(B1113=1,D1113,E1112)</f>
        <v/>
      </c>
      <c r="F1113">
        <f>IF(AND(B1113=1,C1113&gt;1,E1112&lt;&gt;""),ABS(D1113-E1112),"")</f>
        <v/>
      </c>
    </row>
    <row r="1114">
      <c r="A1114" t="n">
        <v>1114</v>
      </c>
      <c r="B1114">
        <f>IF(INDEX('Data Entry'!$H$5:$BE$10004,1114-4,'Visual SPC'!$B$3)="",0,IF(AND(OR('Visual SPC'!$C$4="",'Data Entry'!$C1114&gt;='Visual SPC'!$C$4),OR('Visual SPC'!$E$4="",'Data Entry'!$C1114&lt;='Visual SPC'!$E$4),OR('Visual SPC'!$G$4="",'Data Entry'!$D1114='Visual SPC'!$G$4),OR('Visual SPC'!$I$4="",'Data Entry'!$E1114='Visual SPC'!$I$4),OR('Visual SPC'!$K$4="",'Data Entry'!$F1114='Visual SPC'!$K$4)),1,0))</f>
        <v/>
      </c>
      <c r="C1114">
        <f>C1113+B1114</f>
        <v/>
      </c>
      <c r="D1114">
        <f>IF(B1114=1,INDEX('Data Entry'!$H$5:$BE$10004,1114-4,'Visual SPC'!$B$3),"")</f>
        <v/>
      </c>
      <c r="E1114">
        <f>IF(B1114=1,D1114,E1113)</f>
        <v/>
      </c>
      <c r="F1114">
        <f>IF(AND(B1114=1,C1114&gt;1,E1113&lt;&gt;""),ABS(D1114-E1113),"")</f>
        <v/>
      </c>
    </row>
    <row r="1115">
      <c r="A1115" t="n">
        <v>1115</v>
      </c>
      <c r="B1115">
        <f>IF(INDEX('Data Entry'!$H$5:$BE$10004,1115-4,'Visual SPC'!$B$3)="",0,IF(AND(OR('Visual SPC'!$C$4="",'Data Entry'!$C1115&gt;='Visual SPC'!$C$4),OR('Visual SPC'!$E$4="",'Data Entry'!$C1115&lt;='Visual SPC'!$E$4),OR('Visual SPC'!$G$4="",'Data Entry'!$D1115='Visual SPC'!$G$4),OR('Visual SPC'!$I$4="",'Data Entry'!$E1115='Visual SPC'!$I$4),OR('Visual SPC'!$K$4="",'Data Entry'!$F1115='Visual SPC'!$K$4)),1,0))</f>
        <v/>
      </c>
      <c r="C1115">
        <f>C1114+B1115</f>
        <v/>
      </c>
      <c r="D1115">
        <f>IF(B1115=1,INDEX('Data Entry'!$H$5:$BE$10004,1115-4,'Visual SPC'!$B$3),"")</f>
        <v/>
      </c>
      <c r="E1115">
        <f>IF(B1115=1,D1115,E1114)</f>
        <v/>
      </c>
      <c r="F1115">
        <f>IF(AND(B1115=1,C1115&gt;1,E1114&lt;&gt;""),ABS(D1115-E1114),"")</f>
        <v/>
      </c>
    </row>
    <row r="1116">
      <c r="A1116" t="n">
        <v>1116</v>
      </c>
      <c r="B1116">
        <f>IF(INDEX('Data Entry'!$H$5:$BE$10004,1116-4,'Visual SPC'!$B$3)="",0,IF(AND(OR('Visual SPC'!$C$4="",'Data Entry'!$C1116&gt;='Visual SPC'!$C$4),OR('Visual SPC'!$E$4="",'Data Entry'!$C1116&lt;='Visual SPC'!$E$4),OR('Visual SPC'!$G$4="",'Data Entry'!$D1116='Visual SPC'!$G$4),OR('Visual SPC'!$I$4="",'Data Entry'!$E1116='Visual SPC'!$I$4),OR('Visual SPC'!$K$4="",'Data Entry'!$F1116='Visual SPC'!$K$4)),1,0))</f>
        <v/>
      </c>
      <c r="C1116">
        <f>C1115+B1116</f>
        <v/>
      </c>
      <c r="D1116">
        <f>IF(B1116=1,INDEX('Data Entry'!$H$5:$BE$10004,1116-4,'Visual SPC'!$B$3),"")</f>
        <v/>
      </c>
      <c r="E1116">
        <f>IF(B1116=1,D1116,E1115)</f>
        <v/>
      </c>
      <c r="F1116">
        <f>IF(AND(B1116=1,C1116&gt;1,E1115&lt;&gt;""),ABS(D1116-E1115),"")</f>
        <v/>
      </c>
    </row>
    <row r="1117">
      <c r="A1117" t="n">
        <v>1117</v>
      </c>
      <c r="B1117">
        <f>IF(INDEX('Data Entry'!$H$5:$BE$10004,1117-4,'Visual SPC'!$B$3)="",0,IF(AND(OR('Visual SPC'!$C$4="",'Data Entry'!$C1117&gt;='Visual SPC'!$C$4),OR('Visual SPC'!$E$4="",'Data Entry'!$C1117&lt;='Visual SPC'!$E$4),OR('Visual SPC'!$G$4="",'Data Entry'!$D1117='Visual SPC'!$G$4),OR('Visual SPC'!$I$4="",'Data Entry'!$E1117='Visual SPC'!$I$4),OR('Visual SPC'!$K$4="",'Data Entry'!$F1117='Visual SPC'!$K$4)),1,0))</f>
        <v/>
      </c>
      <c r="C1117">
        <f>C1116+B1117</f>
        <v/>
      </c>
      <c r="D1117">
        <f>IF(B1117=1,INDEX('Data Entry'!$H$5:$BE$10004,1117-4,'Visual SPC'!$B$3),"")</f>
        <v/>
      </c>
      <c r="E1117">
        <f>IF(B1117=1,D1117,E1116)</f>
        <v/>
      </c>
      <c r="F1117">
        <f>IF(AND(B1117=1,C1117&gt;1,E1116&lt;&gt;""),ABS(D1117-E1116),"")</f>
        <v/>
      </c>
    </row>
    <row r="1118">
      <c r="A1118" t="n">
        <v>1118</v>
      </c>
      <c r="B1118">
        <f>IF(INDEX('Data Entry'!$H$5:$BE$10004,1118-4,'Visual SPC'!$B$3)="",0,IF(AND(OR('Visual SPC'!$C$4="",'Data Entry'!$C1118&gt;='Visual SPC'!$C$4),OR('Visual SPC'!$E$4="",'Data Entry'!$C1118&lt;='Visual SPC'!$E$4),OR('Visual SPC'!$G$4="",'Data Entry'!$D1118='Visual SPC'!$G$4),OR('Visual SPC'!$I$4="",'Data Entry'!$E1118='Visual SPC'!$I$4),OR('Visual SPC'!$K$4="",'Data Entry'!$F1118='Visual SPC'!$K$4)),1,0))</f>
        <v/>
      </c>
      <c r="C1118">
        <f>C1117+B1118</f>
        <v/>
      </c>
      <c r="D1118">
        <f>IF(B1118=1,INDEX('Data Entry'!$H$5:$BE$10004,1118-4,'Visual SPC'!$B$3),"")</f>
        <v/>
      </c>
      <c r="E1118">
        <f>IF(B1118=1,D1118,E1117)</f>
        <v/>
      </c>
      <c r="F1118">
        <f>IF(AND(B1118=1,C1118&gt;1,E1117&lt;&gt;""),ABS(D1118-E1117),"")</f>
        <v/>
      </c>
    </row>
    <row r="1119">
      <c r="A1119" t="n">
        <v>1119</v>
      </c>
      <c r="B1119">
        <f>IF(INDEX('Data Entry'!$H$5:$BE$10004,1119-4,'Visual SPC'!$B$3)="",0,IF(AND(OR('Visual SPC'!$C$4="",'Data Entry'!$C1119&gt;='Visual SPC'!$C$4),OR('Visual SPC'!$E$4="",'Data Entry'!$C1119&lt;='Visual SPC'!$E$4),OR('Visual SPC'!$G$4="",'Data Entry'!$D1119='Visual SPC'!$G$4),OR('Visual SPC'!$I$4="",'Data Entry'!$E1119='Visual SPC'!$I$4),OR('Visual SPC'!$K$4="",'Data Entry'!$F1119='Visual SPC'!$K$4)),1,0))</f>
        <v/>
      </c>
      <c r="C1119">
        <f>C1118+B1119</f>
        <v/>
      </c>
      <c r="D1119">
        <f>IF(B1119=1,INDEX('Data Entry'!$H$5:$BE$10004,1119-4,'Visual SPC'!$B$3),"")</f>
        <v/>
      </c>
      <c r="E1119">
        <f>IF(B1119=1,D1119,E1118)</f>
        <v/>
      </c>
      <c r="F1119">
        <f>IF(AND(B1119=1,C1119&gt;1,E1118&lt;&gt;""),ABS(D1119-E1118),"")</f>
        <v/>
      </c>
    </row>
    <row r="1120">
      <c r="A1120" t="n">
        <v>1120</v>
      </c>
      <c r="B1120">
        <f>IF(INDEX('Data Entry'!$H$5:$BE$10004,1120-4,'Visual SPC'!$B$3)="",0,IF(AND(OR('Visual SPC'!$C$4="",'Data Entry'!$C1120&gt;='Visual SPC'!$C$4),OR('Visual SPC'!$E$4="",'Data Entry'!$C1120&lt;='Visual SPC'!$E$4),OR('Visual SPC'!$G$4="",'Data Entry'!$D1120='Visual SPC'!$G$4),OR('Visual SPC'!$I$4="",'Data Entry'!$E1120='Visual SPC'!$I$4),OR('Visual SPC'!$K$4="",'Data Entry'!$F1120='Visual SPC'!$K$4)),1,0))</f>
        <v/>
      </c>
      <c r="C1120">
        <f>C1119+B1120</f>
        <v/>
      </c>
      <c r="D1120">
        <f>IF(B1120=1,INDEX('Data Entry'!$H$5:$BE$10004,1120-4,'Visual SPC'!$B$3),"")</f>
        <v/>
      </c>
      <c r="E1120">
        <f>IF(B1120=1,D1120,E1119)</f>
        <v/>
      </c>
      <c r="F1120">
        <f>IF(AND(B1120=1,C1120&gt;1,E1119&lt;&gt;""),ABS(D1120-E1119),"")</f>
        <v/>
      </c>
    </row>
    <row r="1121">
      <c r="A1121" t="n">
        <v>1121</v>
      </c>
      <c r="B1121">
        <f>IF(INDEX('Data Entry'!$H$5:$BE$10004,1121-4,'Visual SPC'!$B$3)="",0,IF(AND(OR('Visual SPC'!$C$4="",'Data Entry'!$C1121&gt;='Visual SPC'!$C$4),OR('Visual SPC'!$E$4="",'Data Entry'!$C1121&lt;='Visual SPC'!$E$4),OR('Visual SPC'!$G$4="",'Data Entry'!$D1121='Visual SPC'!$G$4),OR('Visual SPC'!$I$4="",'Data Entry'!$E1121='Visual SPC'!$I$4),OR('Visual SPC'!$K$4="",'Data Entry'!$F1121='Visual SPC'!$K$4)),1,0))</f>
        <v/>
      </c>
      <c r="C1121">
        <f>C1120+B1121</f>
        <v/>
      </c>
      <c r="D1121">
        <f>IF(B1121=1,INDEX('Data Entry'!$H$5:$BE$10004,1121-4,'Visual SPC'!$B$3),"")</f>
        <v/>
      </c>
      <c r="E1121">
        <f>IF(B1121=1,D1121,E1120)</f>
        <v/>
      </c>
      <c r="F1121">
        <f>IF(AND(B1121=1,C1121&gt;1,E1120&lt;&gt;""),ABS(D1121-E1120),"")</f>
        <v/>
      </c>
    </row>
    <row r="1122">
      <c r="A1122" t="n">
        <v>1122</v>
      </c>
      <c r="B1122">
        <f>IF(INDEX('Data Entry'!$H$5:$BE$10004,1122-4,'Visual SPC'!$B$3)="",0,IF(AND(OR('Visual SPC'!$C$4="",'Data Entry'!$C1122&gt;='Visual SPC'!$C$4),OR('Visual SPC'!$E$4="",'Data Entry'!$C1122&lt;='Visual SPC'!$E$4),OR('Visual SPC'!$G$4="",'Data Entry'!$D1122='Visual SPC'!$G$4),OR('Visual SPC'!$I$4="",'Data Entry'!$E1122='Visual SPC'!$I$4),OR('Visual SPC'!$K$4="",'Data Entry'!$F1122='Visual SPC'!$K$4)),1,0))</f>
        <v/>
      </c>
      <c r="C1122">
        <f>C1121+B1122</f>
        <v/>
      </c>
      <c r="D1122">
        <f>IF(B1122=1,INDEX('Data Entry'!$H$5:$BE$10004,1122-4,'Visual SPC'!$B$3),"")</f>
        <v/>
      </c>
      <c r="E1122">
        <f>IF(B1122=1,D1122,E1121)</f>
        <v/>
      </c>
      <c r="F1122">
        <f>IF(AND(B1122=1,C1122&gt;1,E1121&lt;&gt;""),ABS(D1122-E1121),"")</f>
        <v/>
      </c>
    </row>
    <row r="1123">
      <c r="A1123" t="n">
        <v>1123</v>
      </c>
      <c r="B1123">
        <f>IF(INDEX('Data Entry'!$H$5:$BE$10004,1123-4,'Visual SPC'!$B$3)="",0,IF(AND(OR('Visual SPC'!$C$4="",'Data Entry'!$C1123&gt;='Visual SPC'!$C$4),OR('Visual SPC'!$E$4="",'Data Entry'!$C1123&lt;='Visual SPC'!$E$4),OR('Visual SPC'!$G$4="",'Data Entry'!$D1123='Visual SPC'!$G$4),OR('Visual SPC'!$I$4="",'Data Entry'!$E1123='Visual SPC'!$I$4),OR('Visual SPC'!$K$4="",'Data Entry'!$F1123='Visual SPC'!$K$4)),1,0))</f>
        <v/>
      </c>
      <c r="C1123">
        <f>C1122+B1123</f>
        <v/>
      </c>
      <c r="D1123">
        <f>IF(B1123=1,INDEX('Data Entry'!$H$5:$BE$10004,1123-4,'Visual SPC'!$B$3),"")</f>
        <v/>
      </c>
      <c r="E1123">
        <f>IF(B1123=1,D1123,E1122)</f>
        <v/>
      </c>
      <c r="F1123">
        <f>IF(AND(B1123=1,C1123&gt;1,E1122&lt;&gt;""),ABS(D1123-E1122),"")</f>
        <v/>
      </c>
    </row>
    <row r="1124">
      <c r="A1124" t="n">
        <v>1124</v>
      </c>
      <c r="B1124">
        <f>IF(INDEX('Data Entry'!$H$5:$BE$10004,1124-4,'Visual SPC'!$B$3)="",0,IF(AND(OR('Visual SPC'!$C$4="",'Data Entry'!$C1124&gt;='Visual SPC'!$C$4),OR('Visual SPC'!$E$4="",'Data Entry'!$C1124&lt;='Visual SPC'!$E$4),OR('Visual SPC'!$G$4="",'Data Entry'!$D1124='Visual SPC'!$G$4),OR('Visual SPC'!$I$4="",'Data Entry'!$E1124='Visual SPC'!$I$4),OR('Visual SPC'!$K$4="",'Data Entry'!$F1124='Visual SPC'!$K$4)),1,0))</f>
        <v/>
      </c>
      <c r="C1124">
        <f>C1123+B1124</f>
        <v/>
      </c>
      <c r="D1124">
        <f>IF(B1124=1,INDEX('Data Entry'!$H$5:$BE$10004,1124-4,'Visual SPC'!$B$3),"")</f>
        <v/>
      </c>
      <c r="E1124">
        <f>IF(B1124=1,D1124,E1123)</f>
        <v/>
      </c>
      <c r="F1124">
        <f>IF(AND(B1124=1,C1124&gt;1,E1123&lt;&gt;""),ABS(D1124-E1123),"")</f>
        <v/>
      </c>
    </row>
    <row r="1125">
      <c r="A1125" t="n">
        <v>1125</v>
      </c>
      <c r="B1125">
        <f>IF(INDEX('Data Entry'!$H$5:$BE$10004,1125-4,'Visual SPC'!$B$3)="",0,IF(AND(OR('Visual SPC'!$C$4="",'Data Entry'!$C1125&gt;='Visual SPC'!$C$4),OR('Visual SPC'!$E$4="",'Data Entry'!$C1125&lt;='Visual SPC'!$E$4),OR('Visual SPC'!$G$4="",'Data Entry'!$D1125='Visual SPC'!$G$4),OR('Visual SPC'!$I$4="",'Data Entry'!$E1125='Visual SPC'!$I$4),OR('Visual SPC'!$K$4="",'Data Entry'!$F1125='Visual SPC'!$K$4)),1,0))</f>
        <v/>
      </c>
      <c r="C1125">
        <f>C1124+B1125</f>
        <v/>
      </c>
      <c r="D1125">
        <f>IF(B1125=1,INDEX('Data Entry'!$H$5:$BE$10004,1125-4,'Visual SPC'!$B$3),"")</f>
        <v/>
      </c>
      <c r="E1125">
        <f>IF(B1125=1,D1125,E1124)</f>
        <v/>
      </c>
      <c r="F1125">
        <f>IF(AND(B1125=1,C1125&gt;1,E1124&lt;&gt;""),ABS(D1125-E1124),"")</f>
        <v/>
      </c>
    </row>
    <row r="1126">
      <c r="A1126" t="n">
        <v>1126</v>
      </c>
      <c r="B1126">
        <f>IF(INDEX('Data Entry'!$H$5:$BE$10004,1126-4,'Visual SPC'!$B$3)="",0,IF(AND(OR('Visual SPC'!$C$4="",'Data Entry'!$C1126&gt;='Visual SPC'!$C$4),OR('Visual SPC'!$E$4="",'Data Entry'!$C1126&lt;='Visual SPC'!$E$4),OR('Visual SPC'!$G$4="",'Data Entry'!$D1126='Visual SPC'!$G$4),OR('Visual SPC'!$I$4="",'Data Entry'!$E1126='Visual SPC'!$I$4),OR('Visual SPC'!$K$4="",'Data Entry'!$F1126='Visual SPC'!$K$4)),1,0))</f>
        <v/>
      </c>
      <c r="C1126">
        <f>C1125+B1126</f>
        <v/>
      </c>
      <c r="D1126">
        <f>IF(B1126=1,INDEX('Data Entry'!$H$5:$BE$10004,1126-4,'Visual SPC'!$B$3),"")</f>
        <v/>
      </c>
      <c r="E1126">
        <f>IF(B1126=1,D1126,E1125)</f>
        <v/>
      </c>
      <c r="F1126">
        <f>IF(AND(B1126=1,C1126&gt;1,E1125&lt;&gt;""),ABS(D1126-E1125),"")</f>
        <v/>
      </c>
    </row>
    <row r="1127">
      <c r="A1127" t="n">
        <v>1127</v>
      </c>
      <c r="B1127">
        <f>IF(INDEX('Data Entry'!$H$5:$BE$10004,1127-4,'Visual SPC'!$B$3)="",0,IF(AND(OR('Visual SPC'!$C$4="",'Data Entry'!$C1127&gt;='Visual SPC'!$C$4),OR('Visual SPC'!$E$4="",'Data Entry'!$C1127&lt;='Visual SPC'!$E$4),OR('Visual SPC'!$G$4="",'Data Entry'!$D1127='Visual SPC'!$G$4),OR('Visual SPC'!$I$4="",'Data Entry'!$E1127='Visual SPC'!$I$4),OR('Visual SPC'!$K$4="",'Data Entry'!$F1127='Visual SPC'!$K$4)),1,0))</f>
        <v/>
      </c>
      <c r="C1127">
        <f>C1126+B1127</f>
        <v/>
      </c>
      <c r="D1127">
        <f>IF(B1127=1,INDEX('Data Entry'!$H$5:$BE$10004,1127-4,'Visual SPC'!$B$3),"")</f>
        <v/>
      </c>
      <c r="E1127">
        <f>IF(B1127=1,D1127,E1126)</f>
        <v/>
      </c>
      <c r="F1127">
        <f>IF(AND(B1127=1,C1127&gt;1,E1126&lt;&gt;""),ABS(D1127-E1126),"")</f>
        <v/>
      </c>
    </row>
    <row r="1128">
      <c r="A1128" t="n">
        <v>1128</v>
      </c>
      <c r="B1128">
        <f>IF(INDEX('Data Entry'!$H$5:$BE$10004,1128-4,'Visual SPC'!$B$3)="",0,IF(AND(OR('Visual SPC'!$C$4="",'Data Entry'!$C1128&gt;='Visual SPC'!$C$4),OR('Visual SPC'!$E$4="",'Data Entry'!$C1128&lt;='Visual SPC'!$E$4),OR('Visual SPC'!$G$4="",'Data Entry'!$D1128='Visual SPC'!$G$4),OR('Visual SPC'!$I$4="",'Data Entry'!$E1128='Visual SPC'!$I$4),OR('Visual SPC'!$K$4="",'Data Entry'!$F1128='Visual SPC'!$K$4)),1,0))</f>
        <v/>
      </c>
      <c r="C1128">
        <f>C1127+B1128</f>
        <v/>
      </c>
      <c r="D1128">
        <f>IF(B1128=1,INDEX('Data Entry'!$H$5:$BE$10004,1128-4,'Visual SPC'!$B$3),"")</f>
        <v/>
      </c>
      <c r="E1128">
        <f>IF(B1128=1,D1128,E1127)</f>
        <v/>
      </c>
      <c r="F1128">
        <f>IF(AND(B1128=1,C1128&gt;1,E1127&lt;&gt;""),ABS(D1128-E1127),"")</f>
        <v/>
      </c>
    </row>
    <row r="1129">
      <c r="A1129" t="n">
        <v>1129</v>
      </c>
      <c r="B1129">
        <f>IF(INDEX('Data Entry'!$H$5:$BE$10004,1129-4,'Visual SPC'!$B$3)="",0,IF(AND(OR('Visual SPC'!$C$4="",'Data Entry'!$C1129&gt;='Visual SPC'!$C$4),OR('Visual SPC'!$E$4="",'Data Entry'!$C1129&lt;='Visual SPC'!$E$4),OR('Visual SPC'!$G$4="",'Data Entry'!$D1129='Visual SPC'!$G$4),OR('Visual SPC'!$I$4="",'Data Entry'!$E1129='Visual SPC'!$I$4),OR('Visual SPC'!$K$4="",'Data Entry'!$F1129='Visual SPC'!$K$4)),1,0))</f>
        <v/>
      </c>
      <c r="C1129">
        <f>C1128+B1129</f>
        <v/>
      </c>
      <c r="D1129">
        <f>IF(B1129=1,INDEX('Data Entry'!$H$5:$BE$10004,1129-4,'Visual SPC'!$B$3),"")</f>
        <v/>
      </c>
      <c r="E1129">
        <f>IF(B1129=1,D1129,E1128)</f>
        <v/>
      </c>
      <c r="F1129">
        <f>IF(AND(B1129=1,C1129&gt;1,E1128&lt;&gt;""),ABS(D1129-E1128),"")</f>
        <v/>
      </c>
    </row>
    <row r="1130">
      <c r="A1130" t="n">
        <v>1130</v>
      </c>
      <c r="B1130">
        <f>IF(INDEX('Data Entry'!$H$5:$BE$10004,1130-4,'Visual SPC'!$B$3)="",0,IF(AND(OR('Visual SPC'!$C$4="",'Data Entry'!$C1130&gt;='Visual SPC'!$C$4),OR('Visual SPC'!$E$4="",'Data Entry'!$C1130&lt;='Visual SPC'!$E$4),OR('Visual SPC'!$G$4="",'Data Entry'!$D1130='Visual SPC'!$G$4),OR('Visual SPC'!$I$4="",'Data Entry'!$E1130='Visual SPC'!$I$4),OR('Visual SPC'!$K$4="",'Data Entry'!$F1130='Visual SPC'!$K$4)),1,0))</f>
        <v/>
      </c>
      <c r="C1130">
        <f>C1129+B1130</f>
        <v/>
      </c>
      <c r="D1130">
        <f>IF(B1130=1,INDEX('Data Entry'!$H$5:$BE$10004,1130-4,'Visual SPC'!$B$3),"")</f>
        <v/>
      </c>
      <c r="E1130">
        <f>IF(B1130=1,D1130,E1129)</f>
        <v/>
      </c>
      <c r="F1130">
        <f>IF(AND(B1130=1,C1130&gt;1,E1129&lt;&gt;""),ABS(D1130-E1129),"")</f>
        <v/>
      </c>
    </row>
    <row r="1131">
      <c r="A1131" t="n">
        <v>1131</v>
      </c>
      <c r="B1131">
        <f>IF(INDEX('Data Entry'!$H$5:$BE$10004,1131-4,'Visual SPC'!$B$3)="",0,IF(AND(OR('Visual SPC'!$C$4="",'Data Entry'!$C1131&gt;='Visual SPC'!$C$4),OR('Visual SPC'!$E$4="",'Data Entry'!$C1131&lt;='Visual SPC'!$E$4),OR('Visual SPC'!$G$4="",'Data Entry'!$D1131='Visual SPC'!$G$4),OR('Visual SPC'!$I$4="",'Data Entry'!$E1131='Visual SPC'!$I$4),OR('Visual SPC'!$K$4="",'Data Entry'!$F1131='Visual SPC'!$K$4)),1,0))</f>
        <v/>
      </c>
      <c r="C1131">
        <f>C1130+B1131</f>
        <v/>
      </c>
      <c r="D1131">
        <f>IF(B1131=1,INDEX('Data Entry'!$H$5:$BE$10004,1131-4,'Visual SPC'!$B$3),"")</f>
        <v/>
      </c>
      <c r="E1131">
        <f>IF(B1131=1,D1131,E1130)</f>
        <v/>
      </c>
      <c r="F1131">
        <f>IF(AND(B1131=1,C1131&gt;1,E1130&lt;&gt;""),ABS(D1131-E1130),"")</f>
        <v/>
      </c>
    </row>
    <row r="1132">
      <c r="A1132" t="n">
        <v>1132</v>
      </c>
      <c r="B1132">
        <f>IF(INDEX('Data Entry'!$H$5:$BE$10004,1132-4,'Visual SPC'!$B$3)="",0,IF(AND(OR('Visual SPC'!$C$4="",'Data Entry'!$C1132&gt;='Visual SPC'!$C$4),OR('Visual SPC'!$E$4="",'Data Entry'!$C1132&lt;='Visual SPC'!$E$4),OR('Visual SPC'!$G$4="",'Data Entry'!$D1132='Visual SPC'!$G$4),OR('Visual SPC'!$I$4="",'Data Entry'!$E1132='Visual SPC'!$I$4),OR('Visual SPC'!$K$4="",'Data Entry'!$F1132='Visual SPC'!$K$4)),1,0))</f>
        <v/>
      </c>
      <c r="C1132">
        <f>C1131+B1132</f>
        <v/>
      </c>
      <c r="D1132">
        <f>IF(B1132=1,INDEX('Data Entry'!$H$5:$BE$10004,1132-4,'Visual SPC'!$B$3),"")</f>
        <v/>
      </c>
      <c r="E1132">
        <f>IF(B1132=1,D1132,E1131)</f>
        <v/>
      </c>
      <c r="F1132">
        <f>IF(AND(B1132=1,C1132&gt;1,E1131&lt;&gt;""),ABS(D1132-E1131),"")</f>
        <v/>
      </c>
    </row>
    <row r="1133">
      <c r="A1133" t="n">
        <v>1133</v>
      </c>
      <c r="B1133">
        <f>IF(INDEX('Data Entry'!$H$5:$BE$10004,1133-4,'Visual SPC'!$B$3)="",0,IF(AND(OR('Visual SPC'!$C$4="",'Data Entry'!$C1133&gt;='Visual SPC'!$C$4),OR('Visual SPC'!$E$4="",'Data Entry'!$C1133&lt;='Visual SPC'!$E$4),OR('Visual SPC'!$G$4="",'Data Entry'!$D1133='Visual SPC'!$G$4),OR('Visual SPC'!$I$4="",'Data Entry'!$E1133='Visual SPC'!$I$4),OR('Visual SPC'!$K$4="",'Data Entry'!$F1133='Visual SPC'!$K$4)),1,0))</f>
        <v/>
      </c>
      <c r="C1133">
        <f>C1132+B1133</f>
        <v/>
      </c>
      <c r="D1133">
        <f>IF(B1133=1,INDEX('Data Entry'!$H$5:$BE$10004,1133-4,'Visual SPC'!$B$3),"")</f>
        <v/>
      </c>
      <c r="E1133">
        <f>IF(B1133=1,D1133,E1132)</f>
        <v/>
      </c>
      <c r="F1133">
        <f>IF(AND(B1133=1,C1133&gt;1,E1132&lt;&gt;""),ABS(D1133-E1132),"")</f>
        <v/>
      </c>
    </row>
    <row r="1134">
      <c r="A1134" t="n">
        <v>1134</v>
      </c>
      <c r="B1134">
        <f>IF(INDEX('Data Entry'!$H$5:$BE$10004,1134-4,'Visual SPC'!$B$3)="",0,IF(AND(OR('Visual SPC'!$C$4="",'Data Entry'!$C1134&gt;='Visual SPC'!$C$4),OR('Visual SPC'!$E$4="",'Data Entry'!$C1134&lt;='Visual SPC'!$E$4),OR('Visual SPC'!$G$4="",'Data Entry'!$D1134='Visual SPC'!$G$4),OR('Visual SPC'!$I$4="",'Data Entry'!$E1134='Visual SPC'!$I$4),OR('Visual SPC'!$K$4="",'Data Entry'!$F1134='Visual SPC'!$K$4)),1,0))</f>
        <v/>
      </c>
      <c r="C1134">
        <f>C1133+B1134</f>
        <v/>
      </c>
      <c r="D1134">
        <f>IF(B1134=1,INDEX('Data Entry'!$H$5:$BE$10004,1134-4,'Visual SPC'!$B$3),"")</f>
        <v/>
      </c>
      <c r="E1134">
        <f>IF(B1134=1,D1134,E1133)</f>
        <v/>
      </c>
      <c r="F1134">
        <f>IF(AND(B1134=1,C1134&gt;1,E1133&lt;&gt;""),ABS(D1134-E1133),"")</f>
        <v/>
      </c>
    </row>
    <row r="1135">
      <c r="A1135" t="n">
        <v>1135</v>
      </c>
      <c r="B1135">
        <f>IF(INDEX('Data Entry'!$H$5:$BE$10004,1135-4,'Visual SPC'!$B$3)="",0,IF(AND(OR('Visual SPC'!$C$4="",'Data Entry'!$C1135&gt;='Visual SPC'!$C$4),OR('Visual SPC'!$E$4="",'Data Entry'!$C1135&lt;='Visual SPC'!$E$4),OR('Visual SPC'!$G$4="",'Data Entry'!$D1135='Visual SPC'!$G$4),OR('Visual SPC'!$I$4="",'Data Entry'!$E1135='Visual SPC'!$I$4),OR('Visual SPC'!$K$4="",'Data Entry'!$F1135='Visual SPC'!$K$4)),1,0))</f>
        <v/>
      </c>
      <c r="C1135">
        <f>C1134+B1135</f>
        <v/>
      </c>
      <c r="D1135">
        <f>IF(B1135=1,INDEX('Data Entry'!$H$5:$BE$10004,1135-4,'Visual SPC'!$B$3),"")</f>
        <v/>
      </c>
      <c r="E1135">
        <f>IF(B1135=1,D1135,E1134)</f>
        <v/>
      </c>
      <c r="F1135">
        <f>IF(AND(B1135=1,C1135&gt;1,E1134&lt;&gt;""),ABS(D1135-E1134),"")</f>
        <v/>
      </c>
    </row>
    <row r="1136">
      <c r="A1136" t="n">
        <v>1136</v>
      </c>
      <c r="B1136">
        <f>IF(INDEX('Data Entry'!$H$5:$BE$10004,1136-4,'Visual SPC'!$B$3)="",0,IF(AND(OR('Visual SPC'!$C$4="",'Data Entry'!$C1136&gt;='Visual SPC'!$C$4),OR('Visual SPC'!$E$4="",'Data Entry'!$C1136&lt;='Visual SPC'!$E$4),OR('Visual SPC'!$G$4="",'Data Entry'!$D1136='Visual SPC'!$G$4),OR('Visual SPC'!$I$4="",'Data Entry'!$E1136='Visual SPC'!$I$4),OR('Visual SPC'!$K$4="",'Data Entry'!$F1136='Visual SPC'!$K$4)),1,0))</f>
        <v/>
      </c>
      <c r="C1136">
        <f>C1135+B1136</f>
        <v/>
      </c>
      <c r="D1136">
        <f>IF(B1136=1,INDEX('Data Entry'!$H$5:$BE$10004,1136-4,'Visual SPC'!$B$3),"")</f>
        <v/>
      </c>
      <c r="E1136">
        <f>IF(B1136=1,D1136,E1135)</f>
        <v/>
      </c>
      <c r="F1136">
        <f>IF(AND(B1136=1,C1136&gt;1,E1135&lt;&gt;""),ABS(D1136-E1135),"")</f>
        <v/>
      </c>
    </row>
    <row r="1137">
      <c r="A1137" t="n">
        <v>1137</v>
      </c>
      <c r="B1137">
        <f>IF(INDEX('Data Entry'!$H$5:$BE$10004,1137-4,'Visual SPC'!$B$3)="",0,IF(AND(OR('Visual SPC'!$C$4="",'Data Entry'!$C1137&gt;='Visual SPC'!$C$4),OR('Visual SPC'!$E$4="",'Data Entry'!$C1137&lt;='Visual SPC'!$E$4),OR('Visual SPC'!$G$4="",'Data Entry'!$D1137='Visual SPC'!$G$4),OR('Visual SPC'!$I$4="",'Data Entry'!$E1137='Visual SPC'!$I$4),OR('Visual SPC'!$K$4="",'Data Entry'!$F1137='Visual SPC'!$K$4)),1,0))</f>
        <v/>
      </c>
      <c r="C1137">
        <f>C1136+B1137</f>
        <v/>
      </c>
      <c r="D1137">
        <f>IF(B1137=1,INDEX('Data Entry'!$H$5:$BE$10004,1137-4,'Visual SPC'!$B$3),"")</f>
        <v/>
      </c>
      <c r="E1137">
        <f>IF(B1137=1,D1137,E1136)</f>
        <v/>
      </c>
      <c r="F1137">
        <f>IF(AND(B1137=1,C1137&gt;1,E1136&lt;&gt;""),ABS(D1137-E1136),"")</f>
        <v/>
      </c>
    </row>
    <row r="1138">
      <c r="A1138" t="n">
        <v>1138</v>
      </c>
      <c r="B1138">
        <f>IF(INDEX('Data Entry'!$H$5:$BE$10004,1138-4,'Visual SPC'!$B$3)="",0,IF(AND(OR('Visual SPC'!$C$4="",'Data Entry'!$C1138&gt;='Visual SPC'!$C$4),OR('Visual SPC'!$E$4="",'Data Entry'!$C1138&lt;='Visual SPC'!$E$4),OR('Visual SPC'!$G$4="",'Data Entry'!$D1138='Visual SPC'!$G$4),OR('Visual SPC'!$I$4="",'Data Entry'!$E1138='Visual SPC'!$I$4),OR('Visual SPC'!$K$4="",'Data Entry'!$F1138='Visual SPC'!$K$4)),1,0))</f>
        <v/>
      </c>
      <c r="C1138">
        <f>C1137+B1138</f>
        <v/>
      </c>
      <c r="D1138">
        <f>IF(B1138=1,INDEX('Data Entry'!$H$5:$BE$10004,1138-4,'Visual SPC'!$B$3),"")</f>
        <v/>
      </c>
      <c r="E1138">
        <f>IF(B1138=1,D1138,E1137)</f>
        <v/>
      </c>
      <c r="F1138">
        <f>IF(AND(B1138=1,C1138&gt;1,E1137&lt;&gt;""),ABS(D1138-E1137),"")</f>
        <v/>
      </c>
    </row>
    <row r="1139">
      <c r="A1139" t="n">
        <v>1139</v>
      </c>
      <c r="B1139">
        <f>IF(INDEX('Data Entry'!$H$5:$BE$10004,1139-4,'Visual SPC'!$B$3)="",0,IF(AND(OR('Visual SPC'!$C$4="",'Data Entry'!$C1139&gt;='Visual SPC'!$C$4),OR('Visual SPC'!$E$4="",'Data Entry'!$C1139&lt;='Visual SPC'!$E$4),OR('Visual SPC'!$G$4="",'Data Entry'!$D1139='Visual SPC'!$G$4),OR('Visual SPC'!$I$4="",'Data Entry'!$E1139='Visual SPC'!$I$4),OR('Visual SPC'!$K$4="",'Data Entry'!$F1139='Visual SPC'!$K$4)),1,0))</f>
        <v/>
      </c>
      <c r="C1139">
        <f>C1138+B1139</f>
        <v/>
      </c>
      <c r="D1139">
        <f>IF(B1139=1,INDEX('Data Entry'!$H$5:$BE$10004,1139-4,'Visual SPC'!$B$3),"")</f>
        <v/>
      </c>
      <c r="E1139">
        <f>IF(B1139=1,D1139,E1138)</f>
        <v/>
      </c>
      <c r="F1139">
        <f>IF(AND(B1139=1,C1139&gt;1,E1138&lt;&gt;""),ABS(D1139-E1138),"")</f>
        <v/>
      </c>
    </row>
    <row r="1140">
      <c r="A1140" t="n">
        <v>1140</v>
      </c>
      <c r="B1140">
        <f>IF(INDEX('Data Entry'!$H$5:$BE$10004,1140-4,'Visual SPC'!$B$3)="",0,IF(AND(OR('Visual SPC'!$C$4="",'Data Entry'!$C1140&gt;='Visual SPC'!$C$4),OR('Visual SPC'!$E$4="",'Data Entry'!$C1140&lt;='Visual SPC'!$E$4),OR('Visual SPC'!$G$4="",'Data Entry'!$D1140='Visual SPC'!$G$4),OR('Visual SPC'!$I$4="",'Data Entry'!$E1140='Visual SPC'!$I$4),OR('Visual SPC'!$K$4="",'Data Entry'!$F1140='Visual SPC'!$K$4)),1,0))</f>
        <v/>
      </c>
      <c r="C1140">
        <f>C1139+B1140</f>
        <v/>
      </c>
      <c r="D1140">
        <f>IF(B1140=1,INDEX('Data Entry'!$H$5:$BE$10004,1140-4,'Visual SPC'!$B$3),"")</f>
        <v/>
      </c>
      <c r="E1140">
        <f>IF(B1140=1,D1140,E1139)</f>
        <v/>
      </c>
      <c r="F1140">
        <f>IF(AND(B1140=1,C1140&gt;1,E1139&lt;&gt;""),ABS(D1140-E1139),"")</f>
        <v/>
      </c>
    </row>
    <row r="1141">
      <c r="A1141" t="n">
        <v>1141</v>
      </c>
      <c r="B1141">
        <f>IF(INDEX('Data Entry'!$H$5:$BE$10004,1141-4,'Visual SPC'!$B$3)="",0,IF(AND(OR('Visual SPC'!$C$4="",'Data Entry'!$C1141&gt;='Visual SPC'!$C$4),OR('Visual SPC'!$E$4="",'Data Entry'!$C1141&lt;='Visual SPC'!$E$4),OR('Visual SPC'!$G$4="",'Data Entry'!$D1141='Visual SPC'!$G$4),OR('Visual SPC'!$I$4="",'Data Entry'!$E1141='Visual SPC'!$I$4),OR('Visual SPC'!$K$4="",'Data Entry'!$F1141='Visual SPC'!$K$4)),1,0))</f>
        <v/>
      </c>
      <c r="C1141">
        <f>C1140+B1141</f>
        <v/>
      </c>
      <c r="D1141">
        <f>IF(B1141=1,INDEX('Data Entry'!$H$5:$BE$10004,1141-4,'Visual SPC'!$B$3),"")</f>
        <v/>
      </c>
      <c r="E1141">
        <f>IF(B1141=1,D1141,E1140)</f>
        <v/>
      </c>
      <c r="F1141">
        <f>IF(AND(B1141=1,C1141&gt;1,E1140&lt;&gt;""),ABS(D1141-E1140),"")</f>
        <v/>
      </c>
    </row>
    <row r="1142">
      <c r="A1142" t="n">
        <v>1142</v>
      </c>
      <c r="B1142">
        <f>IF(INDEX('Data Entry'!$H$5:$BE$10004,1142-4,'Visual SPC'!$B$3)="",0,IF(AND(OR('Visual SPC'!$C$4="",'Data Entry'!$C1142&gt;='Visual SPC'!$C$4),OR('Visual SPC'!$E$4="",'Data Entry'!$C1142&lt;='Visual SPC'!$E$4),OR('Visual SPC'!$G$4="",'Data Entry'!$D1142='Visual SPC'!$G$4),OR('Visual SPC'!$I$4="",'Data Entry'!$E1142='Visual SPC'!$I$4),OR('Visual SPC'!$K$4="",'Data Entry'!$F1142='Visual SPC'!$K$4)),1,0))</f>
        <v/>
      </c>
      <c r="C1142">
        <f>C1141+B1142</f>
        <v/>
      </c>
      <c r="D1142">
        <f>IF(B1142=1,INDEX('Data Entry'!$H$5:$BE$10004,1142-4,'Visual SPC'!$B$3),"")</f>
        <v/>
      </c>
      <c r="E1142">
        <f>IF(B1142=1,D1142,E1141)</f>
        <v/>
      </c>
      <c r="F1142">
        <f>IF(AND(B1142=1,C1142&gt;1,E1141&lt;&gt;""),ABS(D1142-E1141),"")</f>
        <v/>
      </c>
    </row>
    <row r="1143">
      <c r="A1143" t="n">
        <v>1143</v>
      </c>
      <c r="B1143">
        <f>IF(INDEX('Data Entry'!$H$5:$BE$10004,1143-4,'Visual SPC'!$B$3)="",0,IF(AND(OR('Visual SPC'!$C$4="",'Data Entry'!$C1143&gt;='Visual SPC'!$C$4),OR('Visual SPC'!$E$4="",'Data Entry'!$C1143&lt;='Visual SPC'!$E$4),OR('Visual SPC'!$G$4="",'Data Entry'!$D1143='Visual SPC'!$G$4),OR('Visual SPC'!$I$4="",'Data Entry'!$E1143='Visual SPC'!$I$4),OR('Visual SPC'!$K$4="",'Data Entry'!$F1143='Visual SPC'!$K$4)),1,0))</f>
        <v/>
      </c>
      <c r="C1143">
        <f>C1142+B1143</f>
        <v/>
      </c>
      <c r="D1143">
        <f>IF(B1143=1,INDEX('Data Entry'!$H$5:$BE$10004,1143-4,'Visual SPC'!$B$3),"")</f>
        <v/>
      </c>
      <c r="E1143">
        <f>IF(B1143=1,D1143,E1142)</f>
        <v/>
      </c>
      <c r="F1143">
        <f>IF(AND(B1143=1,C1143&gt;1,E1142&lt;&gt;""),ABS(D1143-E1142),"")</f>
        <v/>
      </c>
    </row>
    <row r="1144">
      <c r="A1144" t="n">
        <v>1144</v>
      </c>
      <c r="B1144">
        <f>IF(INDEX('Data Entry'!$H$5:$BE$10004,1144-4,'Visual SPC'!$B$3)="",0,IF(AND(OR('Visual SPC'!$C$4="",'Data Entry'!$C1144&gt;='Visual SPC'!$C$4),OR('Visual SPC'!$E$4="",'Data Entry'!$C1144&lt;='Visual SPC'!$E$4),OR('Visual SPC'!$G$4="",'Data Entry'!$D1144='Visual SPC'!$G$4),OR('Visual SPC'!$I$4="",'Data Entry'!$E1144='Visual SPC'!$I$4),OR('Visual SPC'!$K$4="",'Data Entry'!$F1144='Visual SPC'!$K$4)),1,0))</f>
        <v/>
      </c>
      <c r="C1144">
        <f>C1143+B1144</f>
        <v/>
      </c>
      <c r="D1144">
        <f>IF(B1144=1,INDEX('Data Entry'!$H$5:$BE$10004,1144-4,'Visual SPC'!$B$3),"")</f>
        <v/>
      </c>
      <c r="E1144">
        <f>IF(B1144=1,D1144,E1143)</f>
        <v/>
      </c>
      <c r="F1144">
        <f>IF(AND(B1144=1,C1144&gt;1,E1143&lt;&gt;""),ABS(D1144-E1143),"")</f>
        <v/>
      </c>
    </row>
    <row r="1145">
      <c r="A1145" t="n">
        <v>1145</v>
      </c>
      <c r="B1145">
        <f>IF(INDEX('Data Entry'!$H$5:$BE$10004,1145-4,'Visual SPC'!$B$3)="",0,IF(AND(OR('Visual SPC'!$C$4="",'Data Entry'!$C1145&gt;='Visual SPC'!$C$4),OR('Visual SPC'!$E$4="",'Data Entry'!$C1145&lt;='Visual SPC'!$E$4),OR('Visual SPC'!$G$4="",'Data Entry'!$D1145='Visual SPC'!$G$4),OR('Visual SPC'!$I$4="",'Data Entry'!$E1145='Visual SPC'!$I$4),OR('Visual SPC'!$K$4="",'Data Entry'!$F1145='Visual SPC'!$K$4)),1,0))</f>
        <v/>
      </c>
      <c r="C1145">
        <f>C1144+B1145</f>
        <v/>
      </c>
      <c r="D1145">
        <f>IF(B1145=1,INDEX('Data Entry'!$H$5:$BE$10004,1145-4,'Visual SPC'!$B$3),"")</f>
        <v/>
      </c>
      <c r="E1145">
        <f>IF(B1145=1,D1145,E1144)</f>
        <v/>
      </c>
      <c r="F1145">
        <f>IF(AND(B1145=1,C1145&gt;1,E1144&lt;&gt;""),ABS(D1145-E1144),"")</f>
        <v/>
      </c>
    </row>
    <row r="1146">
      <c r="A1146" t="n">
        <v>1146</v>
      </c>
      <c r="B1146">
        <f>IF(INDEX('Data Entry'!$H$5:$BE$10004,1146-4,'Visual SPC'!$B$3)="",0,IF(AND(OR('Visual SPC'!$C$4="",'Data Entry'!$C1146&gt;='Visual SPC'!$C$4),OR('Visual SPC'!$E$4="",'Data Entry'!$C1146&lt;='Visual SPC'!$E$4),OR('Visual SPC'!$G$4="",'Data Entry'!$D1146='Visual SPC'!$G$4),OR('Visual SPC'!$I$4="",'Data Entry'!$E1146='Visual SPC'!$I$4),OR('Visual SPC'!$K$4="",'Data Entry'!$F1146='Visual SPC'!$K$4)),1,0))</f>
        <v/>
      </c>
      <c r="C1146">
        <f>C1145+B1146</f>
        <v/>
      </c>
      <c r="D1146">
        <f>IF(B1146=1,INDEX('Data Entry'!$H$5:$BE$10004,1146-4,'Visual SPC'!$B$3),"")</f>
        <v/>
      </c>
      <c r="E1146">
        <f>IF(B1146=1,D1146,E1145)</f>
        <v/>
      </c>
      <c r="F1146">
        <f>IF(AND(B1146=1,C1146&gt;1,E1145&lt;&gt;""),ABS(D1146-E1145),"")</f>
        <v/>
      </c>
    </row>
    <row r="1147">
      <c r="A1147" t="n">
        <v>1147</v>
      </c>
      <c r="B1147">
        <f>IF(INDEX('Data Entry'!$H$5:$BE$10004,1147-4,'Visual SPC'!$B$3)="",0,IF(AND(OR('Visual SPC'!$C$4="",'Data Entry'!$C1147&gt;='Visual SPC'!$C$4),OR('Visual SPC'!$E$4="",'Data Entry'!$C1147&lt;='Visual SPC'!$E$4),OR('Visual SPC'!$G$4="",'Data Entry'!$D1147='Visual SPC'!$G$4),OR('Visual SPC'!$I$4="",'Data Entry'!$E1147='Visual SPC'!$I$4),OR('Visual SPC'!$K$4="",'Data Entry'!$F1147='Visual SPC'!$K$4)),1,0))</f>
        <v/>
      </c>
      <c r="C1147">
        <f>C1146+B1147</f>
        <v/>
      </c>
      <c r="D1147">
        <f>IF(B1147=1,INDEX('Data Entry'!$H$5:$BE$10004,1147-4,'Visual SPC'!$B$3),"")</f>
        <v/>
      </c>
      <c r="E1147">
        <f>IF(B1147=1,D1147,E1146)</f>
        <v/>
      </c>
      <c r="F1147">
        <f>IF(AND(B1147=1,C1147&gt;1,E1146&lt;&gt;""),ABS(D1147-E1146),"")</f>
        <v/>
      </c>
    </row>
    <row r="1148">
      <c r="A1148" t="n">
        <v>1148</v>
      </c>
      <c r="B1148">
        <f>IF(INDEX('Data Entry'!$H$5:$BE$10004,1148-4,'Visual SPC'!$B$3)="",0,IF(AND(OR('Visual SPC'!$C$4="",'Data Entry'!$C1148&gt;='Visual SPC'!$C$4),OR('Visual SPC'!$E$4="",'Data Entry'!$C1148&lt;='Visual SPC'!$E$4),OR('Visual SPC'!$G$4="",'Data Entry'!$D1148='Visual SPC'!$G$4),OR('Visual SPC'!$I$4="",'Data Entry'!$E1148='Visual SPC'!$I$4),OR('Visual SPC'!$K$4="",'Data Entry'!$F1148='Visual SPC'!$K$4)),1,0))</f>
        <v/>
      </c>
      <c r="C1148">
        <f>C1147+B1148</f>
        <v/>
      </c>
      <c r="D1148">
        <f>IF(B1148=1,INDEX('Data Entry'!$H$5:$BE$10004,1148-4,'Visual SPC'!$B$3),"")</f>
        <v/>
      </c>
      <c r="E1148">
        <f>IF(B1148=1,D1148,E1147)</f>
        <v/>
      </c>
      <c r="F1148">
        <f>IF(AND(B1148=1,C1148&gt;1,E1147&lt;&gt;""),ABS(D1148-E1147),"")</f>
        <v/>
      </c>
    </row>
    <row r="1149">
      <c r="A1149" t="n">
        <v>1149</v>
      </c>
      <c r="B1149">
        <f>IF(INDEX('Data Entry'!$H$5:$BE$10004,1149-4,'Visual SPC'!$B$3)="",0,IF(AND(OR('Visual SPC'!$C$4="",'Data Entry'!$C1149&gt;='Visual SPC'!$C$4),OR('Visual SPC'!$E$4="",'Data Entry'!$C1149&lt;='Visual SPC'!$E$4),OR('Visual SPC'!$G$4="",'Data Entry'!$D1149='Visual SPC'!$G$4),OR('Visual SPC'!$I$4="",'Data Entry'!$E1149='Visual SPC'!$I$4),OR('Visual SPC'!$K$4="",'Data Entry'!$F1149='Visual SPC'!$K$4)),1,0))</f>
        <v/>
      </c>
      <c r="C1149">
        <f>C1148+B1149</f>
        <v/>
      </c>
      <c r="D1149">
        <f>IF(B1149=1,INDEX('Data Entry'!$H$5:$BE$10004,1149-4,'Visual SPC'!$B$3),"")</f>
        <v/>
      </c>
      <c r="E1149">
        <f>IF(B1149=1,D1149,E1148)</f>
        <v/>
      </c>
      <c r="F1149">
        <f>IF(AND(B1149=1,C1149&gt;1,E1148&lt;&gt;""),ABS(D1149-E1148),"")</f>
        <v/>
      </c>
    </row>
    <row r="1150">
      <c r="A1150" t="n">
        <v>1150</v>
      </c>
      <c r="B1150">
        <f>IF(INDEX('Data Entry'!$H$5:$BE$10004,1150-4,'Visual SPC'!$B$3)="",0,IF(AND(OR('Visual SPC'!$C$4="",'Data Entry'!$C1150&gt;='Visual SPC'!$C$4),OR('Visual SPC'!$E$4="",'Data Entry'!$C1150&lt;='Visual SPC'!$E$4),OR('Visual SPC'!$G$4="",'Data Entry'!$D1150='Visual SPC'!$G$4),OR('Visual SPC'!$I$4="",'Data Entry'!$E1150='Visual SPC'!$I$4),OR('Visual SPC'!$K$4="",'Data Entry'!$F1150='Visual SPC'!$K$4)),1,0))</f>
        <v/>
      </c>
      <c r="C1150">
        <f>C1149+B1150</f>
        <v/>
      </c>
      <c r="D1150">
        <f>IF(B1150=1,INDEX('Data Entry'!$H$5:$BE$10004,1150-4,'Visual SPC'!$B$3),"")</f>
        <v/>
      </c>
      <c r="E1150">
        <f>IF(B1150=1,D1150,E1149)</f>
        <v/>
      </c>
      <c r="F1150">
        <f>IF(AND(B1150=1,C1150&gt;1,E1149&lt;&gt;""),ABS(D1150-E1149),"")</f>
        <v/>
      </c>
    </row>
    <row r="1151">
      <c r="A1151" t="n">
        <v>1151</v>
      </c>
      <c r="B1151">
        <f>IF(INDEX('Data Entry'!$H$5:$BE$10004,1151-4,'Visual SPC'!$B$3)="",0,IF(AND(OR('Visual SPC'!$C$4="",'Data Entry'!$C1151&gt;='Visual SPC'!$C$4),OR('Visual SPC'!$E$4="",'Data Entry'!$C1151&lt;='Visual SPC'!$E$4),OR('Visual SPC'!$G$4="",'Data Entry'!$D1151='Visual SPC'!$G$4),OR('Visual SPC'!$I$4="",'Data Entry'!$E1151='Visual SPC'!$I$4),OR('Visual SPC'!$K$4="",'Data Entry'!$F1151='Visual SPC'!$K$4)),1,0))</f>
        <v/>
      </c>
      <c r="C1151">
        <f>C1150+B1151</f>
        <v/>
      </c>
      <c r="D1151">
        <f>IF(B1151=1,INDEX('Data Entry'!$H$5:$BE$10004,1151-4,'Visual SPC'!$B$3),"")</f>
        <v/>
      </c>
      <c r="E1151">
        <f>IF(B1151=1,D1151,E1150)</f>
        <v/>
      </c>
      <c r="F1151">
        <f>IF(AND(B1151=1,C1151&gt;1,E1150&lt;&gt;""),ABS(D1151-E1150),"")</f>
        <v/>
      </c>
    </row>
    <row r="1152">
      <c r="A1152" t="n">
        <v>1152</v>
      </c>
      <c r="B1152">
        <f>IF(INDEX('Data Entry'!$H$5:$BE$10004,1152-4,'Visual SPC'!$B$3)="",0,IF(AND(OR('Visual SPC'!$C$4="",'Data Entry'!$C1152&gt;='Visual SPC'!$C$4),OR('Visual SPC'!$E$4="",'Data Entry'!$C1152&lt;='Visual SPC'!$E$4),OR('Visual SPC'!$G$4="",'Data Entry'!$D1152='Visual SPC'!$G$4),OR('Visual SPC'!$I$4="",'Data Entry'!$E1152='Visual SPC'!$I$4),OR('Visual SPC'!$K$4="",'Data Entry'!$F1152='Visual SPC'!$K$4)),1,0))</f>
        <v/>
      </c>
      <c r="C1152">
        <f>C1151+B1152</f>
        <v/>
      </c>
      <c r="D1152">
        <f>IF(B1152=1,INDEX('Data Entry'!$H$5:$BE$10004,1152-4,'Visual SPC'!$B$3),"")</f>
        <v/>
      </c>
      <c r="E1152">
        <f>IF(B1152=1,D1152,E1151)</f>
        <v/>
      </c>
      <c r="F1152">
        <f>IF(AND(B1152=1,C1152&gt;1,E1151&lt;&gt;""),ABS(D1152-E1151),"")</f>
        <v/>
      </c>
    </row>
    <row r="1153">
      <c r="A1153" t="n">
        <v>1153</v>
      </c>
      <c r="B1153">
        <f>IF(INDEX('Data Entry'!$H$5:$BE$10004,1153-4,'Visual SPC'!$B$3)="",0,IF(AND(OR('Visual SPC'!$C$4="",'Data Entry'!$C1153&gt;='Visual SPC'!$C$4),OR('Visual SPC'!$E$4="",'Data Entry'!$C1153&lt;='Visual SPC'!$E$4),OR('Visual SPC'!$G$4="",'Data Entry'!$D1153='Visual SPC'!$G$4),OR('Visual SPC'!$I$4="",'Data Entry'!$E1153='Visual SPC'!$I$4),OR('Visual SPC'!$K$4="",'Data Entry'!$F1153='Visual SPC'!$K$4)),1,0))</f>
        <v/>
      </c>
      <c r="C1153">
        <f>C1152+B1153</f>
        <v/>
      </c>
      <c r="D1153">
        <f>IF(B1153=1,INDEX('Data Entry'!$H$5:$BE$10004,1153-4,'Visual SPC'!$B$3),"")</f>
        <v/>
      </c>
      <c r="E1153">
        <f>IF(B1153=1,D1153,E1152)</f>
        <v/>
      </c>
      <c r="F1153">
        <f>IF(AND(B1153=1,C1153&gt;1,E1152&lt;&gt;""),ABS(D1153-E1152),"")</f>
        <v/>
      </c>
    </row>
    <row r="1154">
      <c r="A1154" t="n">
        <v>1154</v>
      </c>
      <c r="B1154">
        <f>IF(INDEX('Data Entry'!$H$5:$BE$10004,1154-4,'Visual SPC'!$B$3)="",0,IF(AND(OR('Visual SPC'!$C$4="",'Data Entry'!$C1154&gt;='Visual SPC'!$C$4),OR('Visual SPC'!$E$4="",'Data Entry'!$C1154&lt;='Visual SPC'!$E$4),OR('Visual SPC'!$G$4="",'Data Entry'!$D1154='Visual SPC'!$G$4),OR('Visual SPC'!$I$4="",'Data Entry'!$E1154='Visual SPC'!$I$4),OR('Visual SPC'!$K$4="",'Data Entry'!$F1154='Visual SPC'!$K$4)),1,0))</f>
        <v/>
      </c>
      <c r="C1154">
        <f>C1153+B1154</f>
        <v/>
      </c>
      <c r="D1154">
        <f>IF(B1154=1,INDEX('Data Entry'!$H$5:$BE$10004,1154-4,'Visual SPC'!$B$3),"")</f>
        <v/>
      </c>
      <c r="E1154">
        <f>IF(B1154=1,D1154,E1153)</f>
        <v/>
      </c>
      <c r="F1154">
        <f>IF(AND(B1154=1,C1154&gt;1,E1153&lt;&gt;""),ABS(D1154-E1153),"")</f>
        <v/>
      </c>
    </row>
    <row r="1155">
      <c r="A1155" t="n">
        <v>1155</v>
      </c>
      <c r="B1155">
        <f>IF(INDEX('Data Entry'!$H$5:$BE$10004,1155-4,'Visual SPC'!$B$3)="",0,IF(AND(OR('Visual SPC'!$C$4="",'Data Entry'!$C1155&gt;='Visual SPC'!$C$4),OR('Visual SPC'!$E$4="",'Data Entry'!$C1155&lt;='Visual SPC'!$E$4),OR('Visual SPC'!$G$4="",'Data Entry'!$D1155='Visual SPC'!$G$4),OR('Visual SPC'!$I$4="",'Data Entry'!$E1155='Visual SPC'!$I$4),OR('Visual SPC'!$K$4="",'Data Entry'!$F1155='Visual SPC'!$K$4)),1,0))</f>
        <v/>
      </c>
      <c r="C1155">
        <f>C1154+B1155</f>
        <v/>
      </c>
      <c r="D1155">
        <f>IF(B1155=1,INDEX('Data Entry'!$H$5:$BE$10004,1155-4,'Visual SPC'!$B$3),"")</f>
        <v/>
      </c>
      <c r="E1155">
        <f>IF(B1155=1,D1155,E1154)</f>
        <v/>
      </c>
      <c r="F1155">
        <f>IF(AND(B1155=1,C1155&gt;1,E1154&lt;&gt;""),ABS(D1155-E1154),"")</f>
        <v/>
      </c>
    </row>
    <row r="1156">
      <c r="A1156" t="n">
        <v>1156</v>
      </c>
      <c r="B1156">
        <f>IF(INDEX('Data Entry'!$H$5:$BE$10004,1156-4,'Visual SPC'!$B$3)="",0,IF(AND(OR('Visual SPC'!$C$4="",'Data Entry'!$C1156&gt;='Visual SPC'!$C$4),OR('Visual SPC'!$E$4="",'Data Entry'!$C1156&lt;='Visual SPC'!$E$4),OR('Visual SPC'!$G$4="",'Data Entry'!$D1156='Visual SPC'!$G$4),OR('Visual SPC'!$I$4="",'Data Entry'!$E1156='Visual SPC'!$I$4),OR('Visual SPC'!$K$4="",'Data Entry'!$F1156='Visual SPC'!$K$4)),1,0))</f>
        <v/>
      </c>
      <c r="C1156">
        <f>C1155+B1156</f>
        <v/>
      </c>
      <c r="D1156">
        <f>IF(B1156=1,INDEX('Data Entry'!$H$5:$BE$10004,1156-4,'Visual SPC'!$B$3),"")</f>
        <v/>
      </c>
      <c r="E1156">
        <f>IF(B1156=1,D1156,E1155)</f>
        <v/>
      </c>
      <c r="F1156">
        <f>IF(AND(B1156=1,C1156&gt;1,E1155&lt;&gt;""),ABS(D1156-E1155),"")</f>
        <v/>
      </c>
    </row>
    <row r="1157">
      <c r="A1157" t="n">
        <v>1157</v>
      </c>
      <c r="B1157">
        <f>IF(INDEX('Data Entry'!$H$5:$BE$10004,1157-4,'Visual SPC'!$B$3)="",0,IF(AND(OR('Visual SPC'!$C$4="",'Data Entry'!$C1157&gt;='Visual SPC'!$C$4),OR('Visual SPC'!$E$4="",'Data Entry'!$C1157&lt;='Visual SPC'!$E$4),OR('Visual SPC'!$G$4="",'Data Entry'!$D1157='Visual SPC'!$G$4),OR('Visual SPC'!$I$4="",'Data Entry'!$E1157='Visual SPC'!$I$4),OR('Visual SPC'!$K$4="",'Data Entry'!$F1157='Visual SPC'!$K$4)),1,0))</f>
        <v/>
      </c>
      <c r="C1157">
        <f>C1156+B1157</f>
        <v/>
      </c>
      <c r="D1157">
        <f>IF(B1157=1,INDEX('Data Entry'!$H$5:$BE$10004,1157-4,'Visual SPC'!$B$3),"")</f>
        <v/>
      </c>
      <c r="E1157">
        <f>IF(B1157=1,D1157,E1156)</f>
        <v/>
      </c>
      <c r="F1157">
        <f>IF(AND(B1157=1,C1157&gt;1,E1156&lt;&gt;""),ABS(D1157-E1156),"")</f>
        <v/>
      </c>
    </row>
    <row r="1158">
      <c r="A1158" t="n">
        <v>1158</v>
      </c>
      <c r="B1158">
        <f>IF(INDEX('Data Entry'!$H$5:$BE$10004,1158-4,'Visual SPC'!$B$3)="",0,IF(AND(OR('Visual SPC'!$C$4="",'Data Entry'!$C1158&gt;='Visual SPC'!$C$4),OR('Visual SPC'!$E$4="",'Data Entry'!$C1158&lt;='Visual SPC'!$E$4),OR('Visual SPC'!$G$4="",'Data Entry'!$D1158='Visual SPC'!$G$4),OR('Visual SPC'!$I$4="",'Data Entry'!$E1158='Visual SPC'!$I$4),OR('Visual SPC'!$K$4="",'Data Entry'!$F1158='Visual SPC'!$K$4)),1,0))</f>
        <v/>
      </c>
      <c r="C1158">
        <f>C1157+B1158</f>
        <v/>
      </c>
      <c r="D1158">
        <f>IF(B1158=1,INDEX('Data Entry'!$H$5:$BE$10004,1158-4,'Visual SPC'!$B$3),"")</f>
        <v/>
      </c>
      <c r="E1158">
        <f>IF(B1158=1,D1158,E1157)</f>
        <v/>
      </c>
      <c r="F1158">
        <f>IF(AND(B1158=1,C1158&gt;1,E1157&lt;&gt;""),ABS(D1158-E1157),"")</f>
        <v/>
      </c>
    </row>
    <row r="1159">
      <c r="A1159" t="n">
        <v>1159</v>
      </c>
      <c r="B1159">
        <f>IF(INDEX('Data Entry'!$H$5:$BE$10004,1159-4,'Visual SPC'!$B$3)="",0,IF(AND(OR('Visual SPC'!$C$4="",'Data Entry'!$C1159&gt;='Visual SPC'!$C$4),OR('Visual SPC'!$E$4="",'Data Entry'!$C1159&lt;='Visual SPC'!$E$4),OR('Visual SPC'!$G$4="",'Data Entry'!$D1159='Visual SPC'!$G$4),OR('Visual SPC'!$I$4="",'Data Entry'!$E1159='Visual SPC'!$I$4),OR('Visual SPC'!$K$4="",'Data Entry'!$F1159='Visual SPC'!$K$4)),1,0))</f>
        <v/>
      </c>
      <c r="C1159">
        <f>C1158+B1159</f>
        <v/>
      </c>
      <c r="D1159">
        <f>IF(B1159=1,INDEX('Data Entry'!$H$5:$BE$10004,1159-4,'Visual SPC'!$B$3),"")</f>
        <v/>
      </c>
      <c r="E1159">
        <f>IF(B1159=1,D1159,E1158)</f>
        <v/>
      </c>
      <c r="F1159">
        <f>IF(AND(B1159=1,C1159&gt;1,E1158&lt;&gt;""),ABS(D1159-E1158),"")</f>
        <v/>
      </c>
    </row>
    <row r="1160">
      <c r="A1160" t="n">
        <v>1160</v>
      </c>
      <c r="B1160">
        <f>IF(INDEX('Data Entry'!$H$5:$BE$10004,1160-4,'Visual SPC'!$B$3)="",0,IF(AND(OR('Visual SPC'!$C$4="",'Data Entry'!$C1160&gt;='Visual SPC'!$C$4),OR('Visual SPC'!$E$4="",'Data Entry'!$C1160&lt;='Visual SPC'!$E$4),OR('Visual SPC'!$G$4="",'Data Entry'!$D1160='Visual SPC'!$G$4),OR('Visual SPC'!$I$4="",'Data Entry'!$E1160='Visual SPC'!$I$4),OR('Visual SPC'!$K$4="",'Data Entry'!$F1160='Visual SPC'!$K$4)),1,0))</f>
        <v/>
      </c>
      <c r="C1160">
        <f>C1159+B1160</f>
        <v/>
      </c>
      <c r="D1160">
        <f>IF(B1160=1,INDEX('Data Entry'!$H$5:$BE$10004,1160-4,'Visual SPC'!$B$3),"")</f>
        <v/>
      </c>
      <c r="E1160">
        <f>IF(B1160=1,D1160,E1159)</f>
        <v/>
      </c>
      <c r="F1160">
        <f>IF(AND(B1160=1,C1160&gt;1,E1159&lt;&gt;""),ABS(D1160-E1159),"")</f>
        <v/>
      </c>
    </row>
    <row r="1161">
      <c r="A1161" t="n">
        <v>1161</v>
      </c>
      <c r="B1161">
        <f>IF(INDEX('Data Entry'!$H$5:$BE$10004,1161-4,'Visual SPC'!$B$3)="",0,IF(AND(OR('Visual SPC'!$C$4="",'Data Entry'!$C1161&gt;='Visual SPC'!$C$4),OR('Visual SPC'!$E$4="",'Data Entry'!$C1161&lt;='Visual SPC'!$E$4),OR('Visual SPC'!$G$4="",'Data Entry'!$D1161='Visual SPC'!$G$4),OR('Visual SPC'!$I$4="",'Data Entry'!$E1161='Visual SPC'!$I$4),OR('Visual SPC'!$K$4="",'Data Entry'!$F1161='Visual SPC'!$K$4)),1,0))</f>
        <v/>
      </c>
      <c r="C1161">
        <f>C1160+B1161</f>
        <v/>
      </c>
      <c r="D1161">
        <f>IF(B1161=1,INDEX('Data Entry'!$H$5:$BE$10004,1161-4,'Visual SPC'!$B$3),"")</f>
        <v/>
      </c>
      <c r="E1161">
        <f>IF(B1161=1,D1161,E1160)</f>
        <v/>
      </c>
      <c r="F1161">
        <f>IF(AND(B1161=1,C1161&gt;1,E1160&lt;&gt;""),ABS(D1161-E1160),"")</f>
        <v/>
      </c>
    </row>
    <row r="1162">
      <c r="A1162" t="n">
        <v>1162</v>
      </c>
      <c r="B1162">
        <f>IF(INDEX('Data Entry'!$H$5:$BE$10004,1162-4,'Visual SPC'!$B$3)="",0,IF(AND(OR('Visual SPC'!$C$4="",'Data Entry'!$C1162&gt;='Visual SPC'!$C$4),OR('Visual SPC'!$E$4="",'Data Entry'!$C1162&lt;='Visual SPC'!$E$4),OR('Visual SPC'!$G$4="",'Data Entry'!$D1162='Visual SPC'!$G$4),OR('Visual SPC'!$I$4="",'Data Entry'!$E1162='Visual SPC'!$I$4),OR('Visual SPC'!$K$4="",'Data Entry'!$F1162='Visual SPC'!$K$4)),1,0))</f>
        <v/>
      </c>
      <c r="C1162">
        <f>C1161+B1162</f>
        <v/>
      </c>
      <c r="D1162">
        <f>IF(B1162=1,INDEX('Data Entry'!$H$5:$BE$10004,1162-4,'Visual SPC'!$B$3),"")</f>
        <v/>
      </c>
      <c r="E1162">
        <f>IF(B1162=1,D1162,E1161)</f>
        <v/>
      </c>
      <c r="F1162">
        <f>IF(AND(B1162=1,C1162&gt;1,E1161&lt;&gt;""),ABS(D1162-E1161),"")</f>
        <v/>
      </c>
    </row>
    <row r="1163">
      <c r="A1163" t="n">
        <v>1163</v>
      </c>
      <c r="B1163">
        <f>IF(INDEX('Data Entry'!$H$5:$BE$10004,1163-4,'Visual SPC'!$B$3)="",0,IF(AND(OR('Visual SPC'!$C$4="",'Data Entry'!$C1163&gt;='Visual SPC'!$C$4),OR('Visual SPC'!$E$4="",'Data Entry'!$C1163&lt;='Visual SPC'!$E$4),OR('Visual SPC'!$G$4="",'Data Entry'!$D1163='Visual SPC'!$G$4),OR('Visual SPC'!$I$4="",'Data Entry'!$E1163='Visual SPC'!$I$4),OR('Visual SPC'!$K$4="",'Data Entry'!$F1163='Visual SPC'!$K$4)),1,0))</f>
        <v/>
      </c>
      <c r="C1163">
        <f>C1162+B1163</f>
        <v/>
      </c>
      <c r="D1163">
        <f>IF(B1163=1,INDEX('Data Entry'!$H$5:$BE$10004,1163-4,'Visual SPC'!$B$3),"")</f>
        <v/>
      </c>
      <c r="E1163">
        <f>IF(B1163=1,D1163,E1162)</f>
        <v/>
      </c>
      <c r="F1163">
        <f>IF(AND(B1163=1,C1163&gt;1,E1162&lt;&gt;""),ABS(D1163-E1162),"")</f>
        <v/>
      </c>
    </row>
    <row r="1164">
      <c r="A1164" t="n">
        <v>1164</v>
      </c>
      <c r="B1164">
        <f>IF(INDEX('Data Entry'!$H$5:$BE$10004,1164-4,'Visual SPC'!$B$3)="",0,IF(AND(OR('Visual SPC'!$C$4="",'Data Entry'!$C1164&gt;='Visual SPC'!$C$4),OR('Visual SPC'!$E$4="",'Data Entry'!$C1164&lt;='Visual SPC'!$E$4),OR('Visual SPC'!$G$4="",'Data Entry'!$D1164='Visual SPC'!$G$4),OR('Visual SPC'!$I$4="",'Data Entry'!$E1164='Visual SPC'!$I$4),OR('Visual SPC'!$K$4="",'Data Entry'!$F1164='Visual SPC'!$K$4)),1,0))</f>
        <v/>
      </c>
      <c r="C1164">
        <f>C1163+B1164</f>
        <v/>
      </c>
      <c r="D1164">
        <f>IF(B1164=1,INDEX('Data Entry'!$H$5:$BE$10004,1164-4,'Visual SPC'!$B$3),"")</f>
        <v/>
      </c>
      <c r="E1164">
        <f>IF(B1164=1,D1164,E1163)</f>
        <v/>
      </c>
      <c r="F1164">
        <f>IF(AND(B1164=1,C1164&gt;1,E1163&lt;&gt;""),ABS(D1164-E1163),"")</f>
        <v/>
      </c>
    </row>
    <row r="1165">
      <c r="A1165" t="n">
        <v>1165</v>
      </c>
      <c r="B1165">
        <f>IF(INDEX('Data Entry'!$H$5:$BE$10004,1165-4,'Visual SPC'!$B$3)="",0,IF(AND(OR('Visual SPC'!$C$4="",'Data Entry'!$C1165&gt;='Visual SPC'!$C$4),OR('Visual SPC'!$E$4="",'Data Entry'!$C1165&lt;='Visual SPC'!$E$4),OR('Visual SPC'!$G$4="",'Data Entry'!$D1165='Visual SPC'!$G$4),OR('Visual SPC'!$I$4="",'Data Entry'!$E1165='Visual SPC'!$I$4),OR('Visual SPC'!$K$4="",'Data Entry'!$F1165='Visual SPC'!$K$4)),1,0))</f>
        <v/>
      </c>
      <c r="C1165">
        <f>C1164+B1165</f>
        <v/>
      </c>
      <c r="D1165">
        <f>IF(B1165=1,INDEX('Data Entry'!$H$5:$BE$10004,1165-4,'Visual SPC'!$B$3),"")</f>
        <v/>
      </c>
      <c r="E1165">
        <f>IF(B1165=1,D1165,E1164)</f>
        <v/>
      </c>
      <c r="F1165">
        <f>IF(AND(B1165=1,C1165&gt;1,E1164&lt;&gt;""),ABS(D1165-E1164),"")</f>
        <v/>
      </c>
    </row>
    <row r="1166">
      <c r="A1166" t="n">
        <v>1166</v>
      </c>
      <c r="B1166">
        <f>IF(INDEX('Data Entry'!$H$5:$BE$10004,1166-4,'Visual SPC'!$B$3)="",0,IF(AND(OR('Visual SPC'!$C$4="",'Data Entry'!$C1166&gt;='Visual SPC'!$C$4),OR('Visual SPC'!$E$4="",'Data Entry'!$C1166&lt;='Visual SPC'!$E$4),OR('Visual SPC'!$G$4="",'Data Entry'!$D1166='Visual SPC'!$G$4),OR('Visual SPC'!$I$4="",'Data Entry'!$E1166='Visual SPC'!$I$4),OR('Visual SPC'!$K$4="",'Data Entry'!$F1166='Visual SPC'!$K$4)),1,0))</f>
        <v/>
      </c>
      <c r="C1166">
        <f>C1165+B1166</f>
        <v/>
      </c>
      <c r="D1166">
        <f>IF(B1166=1,INDEX('Data Entry'!$H$5:$BE$10004,1166-4,'Visual SPC'!$B$3),"")</f>
        <v/>
      </c>
      <c r="E1166">
        <f>IF(B1166=1,D1166,E1165)</f>
        <v/>
      </c>
      <c r="F1166">
        <f>IF(AND(B1166=1,C1166&gt;1,E1165&lt;&gt;""),ABS(D1166-E1165),"")</f>
        <v/>
      </c>
    </row>
    <row r="1167">
      <c r="A1167" t="n">
        <v>1167</v>
      </c>
      <c r="B1167">
        <f>IF(INDEX('Data Entry'!$H$5:$BE$10004,1167-4,'Visual SPC'!$B$3)="",0,IF(AND(OR('Visual SPC'!$C$4="",'Data Entry'!$C1167&gt;='Visual SPC'!$C$4),OR('Visual SPC'!$E$4="",'Data Entry'!$C1167&lt;='Visual SPC'!$E$4),OR('Visual SPC'!$G$4="",'Data Entry'!$D1167='Visual SPC'!$G$4),OR('Visual SPC'!$I$4="",'Data Entry'!$E1167='Visual SPC'!$I$4),OR('Visual SPC'!$K$4="",'Data Entry'!$F1167='Visual SPC'!$K$4)),1,0))</f>
        <v/>
      </c>
      <c r="C1167">
        <f>C1166+B1167</f>
        <v/>
      </c>
      <c r="D1167">
        <f>IF(B1167=1,INDEX('Data Entry'!$H$5:$BE$10004,1167-4,'Visual SPC'!$B$3),"")</f>
        <v/>
      </c>
      <c r="E1167">
        <f>IF(B1167=1,D1167,E1166)</f>
        <v/>
      </c>
      <c r="F1167">
        <f>IF(AND(B1167=1,C1167&gt;1,E1166&lt;&gt;""),ABS(D1167-E1166),"")</f>
        <v/>
      </c>
    </row>
    <row r="1168">
      <c r="A1168" t="n">
        <v>1168</v>
      </c>
      <c r="B1168">
        <f>IF(INDEX('Data Entry'!$H$5:$BE$10004,1168-4,'Visual SPC'!$B$3)="",0,IF(AND(OR('Visual SPC'!$C$4="",'Data Entry'!$C1168&gt;='Visual SPC'!$C$4),OR('Visual SPC'!$E$4="",'Data Entry'!$C1168&lt;='Visual SPC'!$E$4),OR('Visual SPC'!$G$4="",'Data Entry'!$D1168='Visual SPC'!$G$4),OR('Visual SPC'!$I$4="",'Data Entry'!$E1168='Visual SPC'!$I$4),OR('Visual SPC'!$K$4="",'Data Entry'!$F1168='Visual SPC'!$K$4)),1,0))</f>
        <v/>
      </c>
      <c r="C1168">
        <f>C1167+B1168</f>
        <v/>
      </c>
      <c r="D1168">
        <f>IF(B1168=1,INDEX('Data Entry'!$H$5:$BE$10004,1168-4,'Visual SPC'!$B$3),"")</f>
        <v/>
      </c>
      <c r="E1168">
        <f>IF(B1168=1,D1168,E1167)</f>
        <v/>
      </c>
      <c r="F1168">
        <f>IF(AND(B1168=1,C1168&gt;1,E1167&lt;&gt;""),ABS(D1168-E1167),"")</f>
        <v/>
      </c>
    </row>
    <row r="1169">
      <c r="A1169" t="n">
        <v>1169</v>
      </c>
      <c r="B1169">
        <f>IF(INDEX('Data Entry'!$H$5:$BE$10004,1169-4,'Visual SPC'!$B$3)="",0,IF(AND(OR('Visual SPC'!$C$4="",'Data Entry'!$C1169&gt;='Visual SPC'!$C$4),OR('Visual SPC'!$E$4="",'Data Entry'!$C1169&lt;='Visual SPC'!$E$4),OR('Visual SPC'!$G$4="",'Data Entry'!$D1169='Visual SPC'!$G$4),OR('Visual SPC'!$I$4="",'Data Entry'!$E1169='Visual SPC'!$I$4),OR('Visual SPC'!$K$4="",'Data Entry'!$F1169='Visual SPC'!$K$4)),1,0))</f>
        <v/>
      </c>
      <c r="C1169">
        <f>C1168+B1169</f>
        <v/>
      </c>
      <c r="D1169">
        <f>IF(B1169=1,INDEX('Data Entry'!$H$5:$BE$10004,1169-4,'Visual SPC'!$B$3),"")</f>
        <v/>
      </c>
      <c r="E1169">
        <f>IF(B1169=1,D1169,E1168)</f>
        <v/>
      </c>
      <c r="F1169">
        <f>IF(AND(B1169=1,C1169&gt;1,E1168&lt;&gt;""),ABS(D1169-E1168),"")</f>
        <v/>
      </c>
    </row>
    <row r="1170">
      <c r="A1170" t="n">
        <v>1170</v>
      </c>
      <c r="B1170">
        <f>IF(INDEX('Data Entry'!$H$5:$BE$10004,1170-4,'Visual SPC'!$B$3)="",0,IF(AND(OR('Visual SPC'!$C$4="",'Data Entry'!$C1170&gt;='Visual SPC'!$C$4),OR('Visual SPC'!$E$4="",'Data Entry'!$C1170&lt;='Visual SPC'!$E$4),OR('Visual SPC'!$G$4="",'Data Entry'!$D1170='Visual SPC'!$G$4),OR('Visual SPC'!$I$4="",'Data Entry'!$E1170='Visual SPC'!$I$4),OR('Visual SPC'!$K$4="",'Data Entry'!$F1170='Visual SPC'!$K$4)),1,0))</f>
        <v/>
      </c>
      <c r="C1170">
        <f>C1169+B1170</f>
        <v/>
      </c>
      <c r="D1170">
        <f>IF(B1170=1,INDEX('Data Entry'!$H$5:$BE$10004,1170-4,'Visual SPC'!$B$3),"")</f>
        <v/>
      </c>
      <c r="E1170">
        <f>IF(B1170=1,D1170,E1169)</f>
        <v/>
      </c>
      <c r="F1170">
        <f>IF(AND(B1170=1,C1170&gt;1,E1169&lt;&gt;""),ABS(D1170-E1169),"")</f>
        <v/>
      </c>
    </row>
    <row r="1171">
      <c r="A1171" t="n">
        <v>1171</v>
      </c>
      <c r="B1171">
        <f>IF(INDEX('Data Entry'!$H$5:$BE$10004,1171-4,'Visual SPC'!$B$3)="",0,IF(AND(OR('Visual SPC'!$C$4="",'Data Entry'!$C1171&gt;='Visual SPC'!$C$4),OR('Visual SPC'!$E$4="",'Data Entry'!$C1171&lt;='Visual SPC'!$E$4),OR('Visual SPC'!$G$4="",'Data Entry'!$D1171='Visual SPC'!$G$4),OR('Visual SPC'!$I$4="",'Data Entry'!$E1171='Visual SPC'!$I$4),OR('Visual SPC'!$K$4="",'Data Entry'!$F1171='Visual SPC'!$K$4)),1,0))</f>
        <v/>
      </c>
      <c r="C1171">
        <f>C1170+B1171</f>
        <v/>
      </c>
      <c r="D1171">
        <f>IF(B1171=1,INDEX('Data Entry'!$H$5:$BE$10004,1171-4,'Visual SPC'!$B$3),"")</f>
        <v/>
      </c>
      <c r="E1171">
        <f>IF(B1171=1,D1171,E1170)</f>
        <v/>
      </c>
      <c r="F1171">
        <f>IF(AND(B1171=1,C1171&gt;1,E1170&lt;&gt;""),ABS(D1171-E1170),"")</f>
        <v/>
      </c>
    </row>
    <row r="1172">
      <c r="A1172" t="n">
        <v>1172</v>
      </c>
      <c r="B1172">
        <f>IF(INDEX('Data Entry'!$H$5:$BE$10004,1172-4,'Visual SPC'!$B$3)="",0,IF(AND(OR('Visual SPC'!$C$4="",'Data Entry'!$C1172&gt;='Visual SPC'!$C$4),OR('Visual SPC'!$E$4="",'Data Entry'!$C1172&lt;='Visual SPC'!$E$4),OR('Visual SPC'!$G$4="",'Data Entry'!$D1172='Visual SPC'!$G$4),OR('Visual SPC'!$I$4="",'Data Entry'!$E1172='Visual SPC'!$I$4),OR('Visual SPC'!$K$4="",'Data Entry'!$F1172='Visual SPC'!$K$4)),1,0))</f>
        <v/>
      </c>
      <c r="C1172">
        <f>C1171+B1172</f>
        <v/>
      </c>
      <c r="D1172">
        <f>IF(B1172=1,INDEX('Data Entry'!$H$5:$BE$10004,1172-4,'Visual SPC'!$B$3),"")</f>
        <v/>
      </c>
      <c r="E1172">
        <f>IF(B1172=1,D1172,E1171)</f>
        <v/>
      </c>
      <c r="F1172">
        <f>IF(AND(B1172=1,C1172&gt;1,E1171&lt;&gt;""),ABS(D1172-E1171),"")</f>
        <v/>
      </c>
    </row>
    <row r="1173">
      <c r="A1173" t="n">
        <v>1173</v>
      </c>
      <c r="B1173">
        <f>IF(INDEX('Data Entry'!$H$5:$BE$10004,1173-4,'Visual SPC'!$B$3)="",0,IF(AND(OR('Visual SPC'!$C$4="",'Data Entry'!$C1173&gt;='Visual SPC'!$C$4),OR('Visual SPC'!$E$4="",'Data Entry'!$C1173&lt;='Visual SPC'!$E$4),OR('Visual SPC'!$G$4="",'Data Entry'!$D1173='Visual SPC'!$G$4),OR('Visual SPC'!$I$4="",'Data Entry'!$E1173='Visual SPC'!$I$4),OR('Visual SPC'!$K$4="",'Data Entry'!$F1173='Visual SPC'!$K$4)),1,0))</f>
        <v/>
      </c>
      <c r="C1173">
        <f>C1172+B1173</f>
        <v/>
      </c>
      <c r="D1173">
        <f>IF(B1173=1,INDEX('Data Entry'!$H$5:$BE$10004,1173-4,'Visual SPC'!$B$3),"")</f>
        <v/>
      </c>
      <c r="E1173">
        <f>IF(B1173=1,D1173,E1172)</f>
        <v/>
      </c>
      <c r="F1173">
        <f>IF(AND(B1173=1,C1173&gt;1,E1172&lt;&gt;""),ABS(D1173-E1172),"")</f>
        <v/>
      </c>
    </row>
    <row r="1174">
      <c r="A1174" t="n">
        <v>1174</v>
      </c>
      <c r="B1174">
        <f>IF(INDEX('Data Entry'!$H$5:$BE$10004,1174-4,'Visual SPC'!$B$3)="",0,IF(AND(OR('Visual SPC'!$C$4="",'Data Entry'!$C1174&gt;='Visual SPC'!$C$4),OR('Visual SPC'!$E$4="",'Data Entry'!$C1174&lt;='Visual SPC'!$E$4),OR('Visual SPC'!$G$4="",'Data Entry'!$D1174='Visual SPC'!$G$4),OR('Visual SPC'!$I$4="",'Data Entry'!$E1174='Visual SPC'!$I$4),OR('Visual SPC'!$K$4="",'Data Entry'!$F1174='Visual SPC'!$K$4)),1,0))</f>
        <v/>
      </c>
      <c r="C1174">
        <f>C1173+B1174</f>
        <v/>
      </c>
      <c r="D1174">
        <f>IF(B1174=1,INDEX('Data Entry'!$H$5:$BE$10004,1174-4,'Visual SPC'!$B$3),"")</f>
        <v/>
      </c>
      <c r="E1174">
        <f>IF(B1174=1,D1174,E1173)</f>
        <v/>
      </c>
      <c r="F1174">
        <f>IF(AND(B1174=1,C1174&gt;1,E1173&lt;&gt;""),ABS(D1174-E1173),"")</f>
        <v/>
      </c>
    </row>
    <row r="1175">
      <c r="A1175" t="n">
        <v>1175</v>
      </c>
      <c r="B1175">
        <f>IF(INDEX('Data Entry'!$H$5:$BE$10004,1175-4,'Visual SPC'!$B$3)="",0,IF(AND(OR('Visual SPC'!$C$4="",'Data Entry'!$C1175&gt;='Visual SPC'!$C$4),OR('Visual SPC'!$E$4="",'Data Entry'!$C1175&lt;='Visual SPC'!$E$4),OR('Visual SPC'!$G$4="",'Data Entry'!$D1175='Visual SPC'!$G$4),OR('Visual SPC'!$I$4="",'Data Entry'!$E1175='Visual SPC'!$I$4),OR('Visual SPC'!$K$4="",'Data Entry'!$F1175='Visual SPC'!$K$4)),1,0))</f>
        <v/>
      </c>
      <c r="C1175">
        <f>C1174+B1175</f>
        <v/>
      </c>
      <c r="D1175">
        <f>IF(B1175=1,INDEX('Data Entry'!$H$5:$BE$10004,1175-4,'Visual SPC'!$B$3),"")</f>
        <v/>
      </c>
      <c r="E1175">
        <f>IF(B1175=1,D1175,E1174)</f>
        <v/>
      </c>
      <c r="F1175">
        <f>IF(AND(B1175=1,C1175&gt;1,E1174&lt;&gt;""),ABS(D1175-E1174),"")</f>
        <v/>
      </c>
    </row>
    <row r="1176">
      <c r="A1176" t="n">
        <v>1176</v>
      </c>
      <c r="B1176">
        <f>IF(INDEX('Data Entry'!$H$5:$BE$10004,1176-4,'Visual SPC'!$B$3)="",0,IF(AND(OR('Visual SPC'!$C$4="",'Data Entry'!$C1176&gt;='Visual SPC'!$C$4),OR('Visual SPC'!$E$4="",'Data Entry'!$C1176&lt;='Visual SPC'!$E$4),OR('Visual SPC'!$G$4="",'Data Entry'!$D1176='Visual SPC'!$G$4),OR('Visual SPC'!$I$4="",'Data Entry'!$E1176='Visual SPC'!$I$4),OR('Visual SPC'!$K$4="",'Data Entry'!$F1176='Visual SPC'!$K$4)),1,0))</f>
        <v/>
      </c>
      <c r="C1176">
        <f>C1175+B1176</f>
        <v/>
      </c>
      <c r="D1176">
        <f>IF(B1176=1,INDEX('Data Entry'!$H$5:$BE$10004,1176-4,'Visual SPC'!$B$3),"")</f>
        <v/>
      </c>
      <c r="E1176">
        <f>IF(B1176=1,D1176,E1175)</f>
        <v/>
      </c>
      <c r="F1176">
        <f>IF(AND(B1176=1,C1176&gt;1,E1175&lt;&gt;""),ABS(D1176-E1175),"")</f>
        <v/>
      </c>
    </row>
    <row r="1177">
      <c r="A1177" t="n">
        <v>1177</v>
      </c>
      <c r="B1177">
        <f>IF(INDEX('Data Entry'!$H$5:$BE$10004,1177-4,'Visual SPC'!$B$3)="",0,IF(AND(OR('Visual SPC'!$C$4="",'Data Entry'!$C1177&gt;='Visual SPC'!$C$4),OR('Visual SPC'!$E$4="",'Data Entry'!$C1177&lt;='Visual SPC'!$E$4),OR('Visual SPC'!$G$4="",'Data Entry'!$D1177='Visual SPC'!$G$4),OR('Visual SPC'!$I$4="",'Data Entry'!$E1177='Visual SPC'!$I$4),OR('Visual SPC'!$K$4="",'Data Entry'!$F1177='Visual SPC'!$K$4)),1,0))</f>
        <v/>
      </c>
      <c r="C1177">
        <f>C1176+B1177</f>
        <v/>
      </c>
      <c r="D1177">
        <f>IF(B1177=1,INDEX('Data Entry'!$H$5:$BE$10004,1177-4,'Visual SPC'!$B$3),"")</f>
        <v/>
      </c>
      <c r="E1177">
        <f>IF(B1177=1,D1177,E1176)</f>
        <v/>
      </c>
      <c r="F1177">
        <f>IF(AND(B1177=1,C1177&gt;1,E1176&lt;&gt;""),ABS(D1177-E1176),"")</f>
        <v/>
      </c>
    </row>
    <row r="1178">
      <c r="A1178" t="n">
        <v>1178</v>
      </c>
      <c r="B1178">
        <f>IF(INDEX('Data Entry'!$H$5:$BE$10004,1178-4,'Visual SPC'!$B$3)="",0,IF(AND(OR('Visual SPC'!$C$4="",'Data Entry'!$C1178&gt;='Visual SPC'!$C$4),OR('Visual SPC'!$E$4="",'Data Entry'!$C1178&lt;='Visual SPC'!$E$4),OR('Visual SPC'!$G$4="",'Data Entry'!$D1178='Visual SPC'!$G$4),OR('Visual SPC'!$I$4="",'Data Entry'!$E1178='Visual SPC'!$I$4),OR('Visual SPC'!$K$4="",'Data Entry'!$F1178='Visual SPC'!$K$4)),1,0))</f>
        <v/>
      </c>
      <c r="C1178">
        <f>C1177+B1178</f>
        <v/>
      </c>
      <c r="D1178">
        <f>IF(B1178=1,INDEX('Data Entry'!$H$5:$BE$10004,1178-4,'Visual SPC'!$B$3),"")</f>
        <v/>
      </c>
      <c r="E1178">
        <f>IF(B1178=1,D1178,E1177)</f>
        <v/>
      </c>
      <c r="F1178">
        <f>IF(AND(B1178=1,C1178&gt;1,E1177&lt;&gt;""),ABS(D1178-E1177),"")</f>
        <v/>
      </c>
    </row>
    <row r="1179">
      <c r="A1179" t="n">
        <v>1179</v>
      </c>
      <c r="B1179">
        <f>IF(INDEX('Data Entry'!$H$5:$BE$10004,1179-4,'Visual SPC'!$B$3)="",0,IF(AND(OR('Visual SPC'!$C$4="",'Data Entry'!$C1179&gt;='Visual SPC'!$C$4),OR('Visual SPC'!$E$4="",'Data Entry'!$C1179&lt;='Visual SPC'!$E$4),OR('Visual SPC'!$G$4="",'Data Entry'!$D1179='Visual SPC'!$G$4),OR('Visual SPC'!$I$4="",'Data Entry'!$E1179='Visual SPC'!$I$4),OR('Visual SPC'!$K$4="",'Data Entry'!$F1179='Visual SPC'!$K$4)),1,0))</f>
        <v/>
      </c>
      <c r="C1179">
        <f>C1178+B1179</f>
        <v/>
      </c>
      <c r="D1179">
        <f>IF(B1179=1,INDEX('Data Entry'!$H$5:$BE$10004,1179-4,'Visual SPC'!$B$3),"")</f>
        <v/>
      </c>
      <c r="E1179">
        <f>IF(B1179=1,D1179,E1178)</f>
        <v/>
      </c>
      <c r="F1179">
        <f>IF(AND(B1179=1,C1179&gt;1,E1178&lt;&gt;""),ABS(D1179-E1178),"")</f>
        <v/>
      </c>
    </row>
    <row r="1180">
      <c r="A1180" t="n">
        <v>1180</v>
      </c>
      <c r="B1180">
        <f>IF(INDEX('Data Entry'!$H$5:$BE$10004,1180-4,'Visual SPC'!$B$3)="",0,IF(AND(OR('Visual SPC'!$C$4="",'Data Entry'!$C1180&gt;='Visual SPC'!$C$4),OR('Visual SPC'!$E$4="",'Data Entry'!$C1180&lt;='Visual SPC'!$E$4),OR('Visual SPC'!$G$4="",'Data Entry'!$D1180='Visual SPC'!$G$4),OR('Visual SPC'!$I$4="",'Data Entry'!$E1180='Visual SPC'!$I$4),OR('Visual SPC'!$K$4="",'Data Entry'!$F1180='Visual SPC'!$K$4)),1,0))</f>
        <v/>
      </c>
      <c r="C1180">
        <f>C1179+B1180</f>
        <v/>
      </c>
      <c r="D1180">
        <f>IF(B1180=1,INDEX('Data Entry'!$H$5:$BE$10004,1180-4,'Visual SPC'!$B$3),"")</f>
        <v/>
      </c>
      <c r="E1180">
        <f>IF(B1180=1,D1180,E1179)</f>
        <v/>
      </c>
      <c r="F1180">
        <f>IF(AND(B1180=1,C1180&gt;1,E1179&lt;&gt;""),ABS(D1180-E1179),"")</f>
        <v/>
      </c>
    </row>
    <row r="1181">
      <c r="A1181" t="n">
        <v>1181</v>
      </c>
      <c r="B1181">
        <f>IF(INDEX('Data Entry'!$H$5:$BE$10004,1181-4,'Visual SPC'!$B$3)="",0,IF(AND(OR('Visual SPC'!$C$4="",'Data Entry'!$C1181&gt;='Visual SPC'!$C$4),OR('Visual SPC'!$E$4="",'Data Entry'!$C1181&lt;='Visual SPC'!$E$4),OR('Visual SPC'!$G$4="",'Data Entry'!$D1181='Visual SPC'!$G$4),OR('Visual SPC'!$I$4="",'Data Entry'!$E1181='Visual SPC'!$I$4),OR('Visual SPC'!$K$4="",'Data Entry'!$F1181='Visual SPC'!$K$4)),1,0))</f>
        <v/>
      </c>
      <c r="C1181">
        <f>C1180+B1181</f>
        <v/>
      </c>
      <c r="D1181">
        <f>IF(B1181=1,INDEX('Data Entry'!$H$5:$BE$10004,1181-4,'Visual SPC'!$B$3),"")</f>
        <v/>
      </c>
      <c r="E1181">
        <f>IF(B1181=1,D1181,E1180)</f>
        <v/>
      </c>
      <c r="F1181">
        <f>IF(AND(B1181=1,C1181&gt;1,E1180&lt;&gt;""),ABS(D1181-E1180),"")</f>
        <v/>
      </c>
    </row>
    <row r="1182">
      <c r="A1182" t="n">
        <v>1182</v>
      </c>
      <c r="B1182">
        <f>IF(INDEX('Data Entry'!$H$5:$BE$10004,1182-4,'Visual SPC'!$B$3)="",0,IF(AND(OR('Visual SPC'!$C$4="",'Data Entry'!$C1182&gt;='Visual SPC'!$C$4),OR('Visual SPC'!$E$4="",'Data Entry'!$C1182&lt;='Visual SPC'!$E$4),OR('Visual SPC'!$G$4="",'Data Entry'!$D1182='Visual SPC'!$G$4),OR('Visual SPC'!$I$4="",'Data Entry'!$E1182='Visual SPC'!$I$4),OR('Visual SPC'!$K$4="",'Data Entry'!$F1182='Visual SPC'!$K$4)),1,0))</f>
        <v/>
      </c>
      <c r="C1182">
        <f>C1181+B1182</f>
        <v/>
      </c>
      <c r="D1182">
        <f>IF(B1182=1,INDEX('Data Entry'!$H$5:$BE$10004,1182-4,'Visual SPC'!$B$3),"")</f>
        <v/>
      </c>
      <c r="E1182">
        <f>IF(B1182=1,D1182,E1181)</f>
        <v/>
      </c>
      <c r="F1182">
        <f>IF(AND(B1182=1,C1182&gt;1,E1181&lt;&gt;""),ABS(D1182-E1181),"")</f>
        <v/>
      </c>
    </row>
    <row r="1183">
      <c r="A1183" t="n">
        <v>1183</v>
      </c>
      <c r="B1183">
        <f>IF(INDEX('Data Entry'!$H$5:$BE$10004,1183-4,'Visual SPC'!$B$3)="",0,IF(AND(OR('Visual SPC'!$C$4="",'Data Entry'!$C1183&gt;='Visual SPC'!$C$4),OR('Visual SPC'!$E$4="",'Data Entry'!$C1183&lt;='Visual SPC'!$E$4),OR('Visual SPC'!$G$4="",'Data Entry'!$D1183='Visual SPC'!$G$4),OR('Visual SPC'!$I$4="",'Data Entry'!$E1183='Visual SPC'!$I$4),OR('Visual SPC'!$K$4="",'Data Entry'!$F1183='Visual SPC'!$K$4)),1,0))</f>
        <v/>
      </c>
      <c r="C1183">
        <f>C1182+B1183</f>
        <v/>
      </c>
      <c r="D1183">
        <f>IF(B1183=1,INDEX('Data Entry'!$H$5:$BE$10004,1183-4,'Visual SPC'!$B$3),"")</f>
        <v/>
      </c>
      <c r="E1183">
        <f>IF(B1183=1,D1183,E1182)</f>
        <v/>
      </c>
      <c r="F1183">
        <f>IF(AND(B1183=1,C1183&gt;1,E1182&lt;&gt;""),ABS(D1183-E1182),"")</f>
        <v/>
      </c>
    </row>
    <row r="1184">
      <c r="A1184" t="n">
        <v>1184</v>
      </c>
      <c r="B1184">
        <f>IF(INDEX('Data Entry'!$H$5:$BE$10004,1184-4,'Visual SPC'!$B$3)="",0,IF(AND(OR('Visual SPC'!$C$4="",'Data Entry'!$C1184&gt;='Visual SPC'!$C$4),OR('Visual SPC'!$E$4="",'Data Entry'!$C1184&lt;='Visual SPC'!$E$4),OR('Visual SPC'!$G$4="",'Data Entry'!$D1184='Visual SPC'!$G$4),OR('Visual SPC'!$I$4="",'Data Entry'!$E1184='Visual SPC'!$I$4),OR('Visual SPC'!$K$4="",'Data Entry'!$F1184='Visual SPC'!$K$4)),1,0))</f>
        <v/>
      </c>
      <c r="C1184">
        <f>C1183+B1184</f>
        <v/>
      </c>
      <c r="D1184">
        <f>IF(B1184=1,INDEX('Data Entry'!$H$5:$BE$10004,1184-4,'Visual SPC'!$B$3),"")</f>
        <v/>
      </c>
      <c r="E1184">
        <f>IF(B1184=1,D1184,E1183)</f>
        <v/>
      </c>
      <c r="F1184">
        <f>IF(AND(B1184=1,C1184&gt;1,E1183&lt;&gt;""),ABS(D1184-E1183),"")</f>
        <v/>
      </c>
    </row>
    <row r="1185">
      <c r="A1185" t="n">
        <v>1185</v>
      </c>
      <c r="B1185">
        <f>IF(INDEX('Data Entry'!$H$5:$BE$10004,1185-4,'Visual SPC'!$B$3)="",0,IF(AND(OR('Visual SPC'!$C$4="",'Data Entry'!$C1185&gt;='Visual SPC'!$C$4),OR('Visual SPC'!$E$4="",'Data Entry'!$C1185&lt;='Visual SPC'!$E$4),OR('Visual SPC'!$G$4="",'Data Entry'!$D1185='Visual SPC'!$G$4),OR('Visual SPC'!$I$4="",'Data Entry'!$E1185='Visual SPC'!$I$4),OR('Visual SPC'!$K$4="",'Data Entry'!$F1185='Visual SPC'!$K$4)),1,0))</f>
        <v/>
      </c>
      <c r="C1185">
        <f>C1184+B1185</f>
        <v/>
      </c>
      <c r="D1185">
        <f>IF(B1185=1,INDEX('Data Entry'!$H$5:$BE$10004,1185-4,'Visual SPC'!$B$3),"")</f>
        <v/>
      </c>
      <c r="E1185">
        <f>IF(B1185=1,D1185,E1184)</f>
        <v/>
      </c>
      <c r="F1185">
        <f>IF(AND(B1185=1,C1185&gt;1,E1184&lt;&gt;""),ABS(D1185-E1184),"")</f>
        <v/>
      </c>
    </row>
    <row r="1186">
      <c r="A1186" t="n">
        <v>1186</v>
      </c>
      <c r="B1186">
        <f>IF(INDEX('Data Entry'!$H$5:$BE$10004,1186-4,'Visual SPC'!$B$3)="",0,IF(AND(OR('Visual SPC'!$C$4="",'Data Entry'!$C1186&gt;='Visual SPC'!$C$4),OR('Visual SPC'!$E$4="",'Data Entry'!$C1186&lt;='Visual SPC'!$E$4),OR('Visual SPC'!$G$4="",'Data Entry'!$D1186='Visual SPC'!$G$4),OR('Visual SPC'!$I$4="",'Data Entry'!$E1186='Visual SPC'!$I$4),OR('Visual SPC'!$K$4="",'Data Entry'!$F1186='Visual SPC'!$K$4)),1,0))</f>
        <v/>
      </c>
      <c r="C1186">
        <f>C1185+B1186</f>
        <v/>
      </c>
      <c r="D1186">
        <f>IF(B1186=1,INDEX('Data Entry'!$H$5:$BE$10004,1186-4,'Visual SPC'!$B$3),"")</f>
        <v/>
      </c>
      <c r="E1186">
        <f>IF(B1186=1,D1186,E1185)</f>
        <v/>
      </c>
      <c r="F1186">
        <f>IF(AND(B1186=1,C1186&gt;1,E1185&lt;&gt;""),ABS(D1186-E1185),"")</f>
        <v/>
      </c>
    </row>
    <row r="1187">
      <c r="A1187" t="n">
        <v>1187</v>
      </c>
      <c r="B1187">
        <f>IF(INDEX('Data Entry'!$H$5:$BE$10004,1187-4,'Visual SPC'!$B$3)="",0,IF(AND(OR('Visual SPC'!$C$4="",'Data Entry'!$C1187&gt;='Visual SPC'!$C$4),OR('Visual SPC'!$E$4="",'Data Entry'!$C1187&lt;='Visual SPC'!$E$4),OR('Visual SPC'!$G$4="",'Data Entry'!$D1187='Visual SPC'!$G$4),OR('Visual SPC'!$I$4="",'Data Entry'!$E1187='Visual SPC'!$I$4),OR('Visual SPC'!$K$4="",'Data Entry'!$F1187='Visual SPC'!$K$4)),1,0))</f>
        <v/>
      </c>
      <c r="C1187">
        <f>C1186+B1187</f>
        <v/>
      </c>
      <c r="D1187">
        <f>IF(B1187=1,INDEX('Data Entry'!$H$5:$BE$10004,1187-4,'Visual SPC'!$B$3),"")</f>
        <v/>
      </c>
      <c r="E1187">
        <f>IF(B1187=1,D1187,E1186)</f>
        <v/>
      </c>
      <c r="F1187">
        <f>IF(AND(B1187=1,C1187&gt;1,E1186&lt;&gt;""),ABS(D1187-E1186),"")</f>
        <v/>
      </c>
    </row>
    <row r="1188">
      <c r="A1188" t="n">
        <v>1188</v>
      </c>
      <c r="B1188">
        <f>IF(INDEX('Data Entry'!$H$5:$BE$10004,1188-4,'Visual SPC'!$B$3)="",0,IF(AND(OR('Visual SPC'!$C$4="",'Data Entry'!$C1188&gt;='Visual SPC'!$C$4),OR('Visual SPC'!$E$4="",'Data Entry'!$C1188&lt;='Visual SPC'!$E$4),OR('Visual SPC'!$G$4="",'Data Entry'!$D1188='Visual SPC'!$G$4),OR('Visual SPC'!$I$4="",'Data Entry'!$E1188='Visual SPC'!$I$4),OR('Visual SPC'!$K$4="",'Data Entry'!$F1188='Visual SPC'!$K$4)),1,0))</f>
        <v/>
      </c>
      <c r="C1188">
        <f>C1187+B1188</f>
        <v/>
      </c>
      <c r="D1188">
        <f>IF(B1188=1,INDEX('Data Entry'!$H$5:$BE$10004,1188-4,'Visual SPC'!$B$3),"")</f>
        <v/>
      </c>
      <c r="E1188">
        <f>IF(B1188=1,D1188,E1187)</f>
        <v/>
      </c>
      <c r="F1188">
        <f>IF(AND(B1188=1,C1188&gt;1,E1187&lt;&gt;""),ABS(D1188-E1187),"")</f>
        <v/>
      </c>
    </row>
    <row r="1189">
      <c r="A1189" t="n">
        <v>1189</v>
      </c>
      <c r="B1189">
        <f>IF(INDEX('Data Entry'!$H$5:$BE$10004,1189-4,'Visual SPC'!$B$3)="",0,IF(AND(OR('Visual SPC'!$C$4="",'Data Entry'!$C1189&gt;='Visual SPC'!$C$4),OR('Visual SPC'!$E$4="",'Data Entry'!$C1189&lt;='Visual SPC'!$E$4),OR('Visual SPC'!$G$4="",'Data Entry'!$D1189='Visual SPC'!$G$4),OR('Visual SPC'!$I$4="",'Data Entry'!$E1189='Visual SPC'!$I$4),OR('Visual SPC'!$K$4="",'Data Entry'!$F1189='Visual SPC'!$K$4)),1,0))</f>
        <v/>
      </c>
      <c r="C1189">
        <f>C1188+B1189</f>
        <v/>
      </c>
      <c r="D1189">
        <f>IF(B1189=1,INDEX('Data Entry'!$H$5:$BE$10004,1189-4,'Visual SPC'!$B$3),"")</f>
        <v/>
      </c>
      <c r="E1189">
        <f>IF(B1189=1,D1189,E1188)</f>
        <v/>
      </c>
      <c r="F1189">
        <f>IF(AND(B1189=1,C1189&gt;1,E1188&lt;&gt;""),ABS(D1189-E1188),"")</f>
        <v/>
      </c>
    </row>
    <row r="1190">
      <c r="A1190" t="n">
        <v>1190</v>
      </c>
      <c r="B1190">
        <f>IF(INDEX('Data Entry'!$H$5:$BE$10004,1190-4,'Visual SPC'!$B$3)="",0,IF(AND(OR('Visual SPC'!$C$4="",'Data Entry'!$C1190&gt;='Visual SPC'!$C$4),OR('Visual SPC'!$E$4="",'Data Entry'!$C1190&lt;='Visual SPC'!$E$4),OR('Visual SPC'!$G$4="",'Data Entry'!$D1190='Visual SPC'!$G$4),OR('Visual SPC'!$I$4="",'Data Entry'!$E1190='Visual SPC'!$I$4),OR('Visual SPC'!$K$4="",'Data Entry'!$F1190='Visual SPC'!$K$4)),1,0))</f>
        <v/>
      </c>
      <c r="C1190">
        <f>C1189+B1190</f>
        <v/>
      </c>
      <c r="D1190">
        <f>IF(B1190=1,INDEX('Data Entry'!$H$5:$BE$10004,1190-4,'Visual SPC'!$B$3),"")</f>
        <v/>
      </c>
      <c r="E1190">
        <f>IF(B1190=1,D1190,E1189)</f>
        <v/>
      </c>
      <c r="F1190">
        <f>IF(AND(B1190=1,C1190&gt;1,E1189&lt;&gt;""),ABS(D1190-E1189),"")</f>
        <v/>
      </c>
    </row>
    <row r="1191">
      <c r="A1191" t="n">
        <v>1191</v>
      </c>
      <c r="B1191">
        <f>IF(INDEX('Data Entry'!$H$5:$BE$10004,1191-4,'Visual SPC'!$B$3)="",0,IF(AND(OR('Visual SPC'!$C$4="",'Data Entry'!$C1191&gt;='Visual SPC'!$C$4),OR('Visual SPC'!$E$4="",'Data Entry'!$C1191&lt;='Visual SPC'!$E$4),OR('Visual SPC'!$G$4="",'Data Entry'!$D1191='Visual SPC'!$G$4),OR('Visual SPC'!$I$4="",'Data Entry'!$E1191='Visual SPC'!$I$4),OR('Visual SPC'!$K$4="",'Data Entry'!$F1191='Visual SPC'!$K$4)),1,0))</f>
        <v/>
      </c>
      <c r="C1191">
        <f>C1190+B1191</f>
        <v/>
      </c>
      <c r="D1191">
        <f>IF(B1191=1,INDEX('Data Entry'!$H$5:$BE$10004,1191-4,'Visual SPC'!$B$3),"")</f>
        <v/>
      </c>
      <c r="E1191">
        <f>IF(B1191=1,D1191,E1190)</f>
        <v/>
      </c>
      <c r="F1191">
        <f>IF(AND(B1191=1,C1191&gt;1,E1190&lt;&gt;""),ABS(D1191-E1190),"")</f>
        <v/>
      </c>
    </row>
    <row r="1192">
      <c r="A1192" t="n">
        <v>1192</v>
      </c>
      <c r="B1192">
        <f>IF(INDEX('Data Entry'!$H$5:$BE$10004,1192-4,'Visual SPC'!$B$3)="",0,IF(AND(OR('Visual SPC'!$C$4="",'Data Entry'!$C1192&gt;='Visual SPC'!$C$4),OR('Visual SPC'!$E$4="",'Data Entry'!$C1192&lt;='Visual SPC'!$E$4),OR('Visual SPC'!$G$4="",'Data Entry'!$D1192='Visual SPC'!$G$4),OR('Visual SPC'!$I$4="",'Data Entry'!$E1192='Visual SPC'!$I$4),OR('Visual SPC'!$K$4="",'Data Entry'!$F1192='Visual SPC'!$K$4)),1,0))</f>
        <v/>
      </c>
      <c r="C1192">
        <f>C1191+B1192</f>
        <v/>
      </c>
      <c r="D1192">
        <f>IF(B1192=1,INDEX('Data Entry'!$H$5:$BE$10004,1192-4,'Visual SPC'!$B$3),"")</f>
        <v/>
      </c>
      <c r="E1192">
        <f>IF(B1192=1,D1192,E1191)</f>
        <v/>
      </c>
      <c r="F1192">
        <f>IF(AND(B1192=1,C1192&gt;1,E1191&lt;&gt;""),ABS(D1192-E1191),"")</f>
        <v/>
      </c>
    </row>
    <row r="1193">
      <c r="A1193" t="n">
        <v>1193</v>
      </c>
      <c r="B1193">
        <f>IF(INDEX('Data Entry'!$H$5:$BE$10004,1193-4,'Visual SPC'!$B$3)="",0,IF(AND(OR('Visual SPC'!$C$4="",'Data Entry'!$C1193&gt;='Visual SPC'!$C$4),OR('Visual SPC'!$E$4="",'Data Entry'!$C1193&lt;='Visual SPC'!$E$4),OR('Visual SPC'!$G$4="",'Data Entry'!$D1193='Visual SPC'!$G$4),OR('Visual SPC'!$I$4="",'Data Entry'!$E1193='Visual SPC'!$I$4),OR('Visual SPC'!$K$4="",'Data Entry'!$F1193='Visual SPC'!$K$4)),1,0))</f>
        <v/>
      </c>
      <c r="C1193">
        <f>C1192+B1193</f>
        <v/>
      </c>
      <c r="D1193">
        <f>IF(B1193=1,INDEX('Data Entry'!$H$5:$BE$10004,1193-4,'Visual SPC'!$B$3),"")</f>
        <v/>
      </c>
      <c r="E1193">
        <f>IF(B1193=1,D1193,E1192)</f>
        <v/>
      </c>
      <c r="F1193">
        <f>IF(AND(B1193=1,C1193&gt;1,E1192&lt;&gt;""),ABS(D1193-E1192),"")</f>
        <v/>
      </c>
    </row>
    <row r="1194">
      <c r="A1194" t="n">
        <v>1194</v>
      </c>
      <c r="B1194">
        <f>IF(INDEX('Data Entry'!$H$5:$BE$10004,1194-4,'Visual SPC'!$B$3)="",0,IF(AND(OR('Visual SPC'!$C$4="",'Data Entry'!$C1194&gt;='Visual SPC'!$C$4),OR('Visual SPC'!$E$4="",'Data Entry'!$C1194&lt;='Visual SPC'!$E$4),OR('Visual SPC'!$G$4="",'Data Entry'!$D1194='Visual SPC'!$G$4),OR('Visual SPC'!$I$4="",'Data Entry'!$E1194='Visual SPC'!$I$4),OR('Visual SPC'!$K$4="",'Data Entry'!$F1194='Visual SPC'!$K$4)),1,0))</f>
        <v/>
      </c>
      <c r="C1194">
        <f>C1193+B1194</f>
        <v/>
      </c>
      <c r="D1194">
        <f>IF(B1194=1,INDEX('Data Entry'!$H$5:$BE$10004,1194-4,'Visual SPC'!$B$3),"")</f>
        <v/>
      </c>
      <c r="E1194">
        <f>IF(B1194=1,D1194,E1193)</f>
        <v/>
      </c>
      <c r="F1194">
        <f>IF(AND(B1194=1,C1194&gt;1,E1193&lt;&gt;""),ABS(D1194-E1193),"")</f>
        <v/>
      </c>
    </row>
    <row r="1195">
      <c r="A1195" t="n">
        <v>1195</v>
      </c>
      <c r="B1195">
        <f>IF(INDEX('Data Entry'!$H$5:$BE$10004,1195-4,'Visual SPC'!$B$3)="",0,IF(AND(OR('Visual SPC'!$C$4="",'Data Entry'!$C1195&gt;='Visual SPC'!$C$4),OR('Visual SPC'!$E$4="",'Data Entry'!$C1195&lt;='Visual SPC'!$E$4),OR('Visual SPC'!$G$4="",'Data Entry'!$D1195='Visual SPC'!$G$4),OR('Visual SPC'!$I$4="",'Data Entry'!$E1195='Visual SPC'!$I$4),OR('Visual SPC'!$K$4="",'Data Entry'!$F1195='Visual SPC'!$K$4)),1,0))</f>
        <v/>
      </c>
      <c r="C1195">
        <f>C1194+B1195</f>
        <v/>
      </c>
      <c r="D1195">
        <f>IF(B1195=1,INDEX('Data Entry'!$H$5:$BE$10004,1195-4,'Visual SPC'!$B$3),"")</f>
        <v/>
      </c>
      <c r="E1195">
        <f>IF(B1195=1,D1195,E1194)</f>
        <v/>
      </c>
      <c r="F1195">
        <f>IF(AND(B1195=1,C1195&gt;1,E1194&lt;&gt;""),ABS(D1195-E1194),"")</f>
        <v/>
      </c>
    </row>
    <row r="1196">
      <c r="A1196" t="n">
        <v>1196</v>
      </c>
      <c r="B1196">
        <f>IF(INDEX('Data Entry'!$H$5:$BE$10004,1196-4,'Visual SPC'!$B$3)="",0,IF(AND(OR('Visual SPC'!$C$4="",'Data Entry'!$C1196&gt;='Visual SPC'!$C$4),OR('Visual SPC'!$E$4="",'Data Entry'!$C1196&lt;='Visual SPC'!$E$4),OR('Visual SPC'!$G$4="",'Data Entry'!$D1196='Visual SPC'!$G$4),OR('Visual SPC'!$I$4="",'Data Entry'!$E1196='Visual SPC'!$I$4),OR('Visual SPC'!$K$4="",'Data Entry'!$F1196='Visual SPC'!$K$4)),1,0))</f>
        <v/>
      </c>
      <c r="C1196">
        <f>C1195+B1196</f>
        <v/>
      </c>
      <c r="D1196">
        <f>IF(B1196=1,INDEX('Data Entry'!$H$5:$BE$10004,1196-4,'Visual SPC'!$B$3),"")</f>
        <v/>
      </c>
      <c r="E1196">
        <f>IF(B1196=1,D1196,E1195)</f>
        <v/>
      </c>
      <c r="F1196">
        <f>IF(AND(B1196=1,C1196&gt;1,E1195&lt;&gt;""),ABS(D1196-E1195),"")</f>
        <v/>
      </c>
    </row>
    <row r="1197">
      <c r="A1197" t="n">
        <v>1197</v>
      </c>
      <c r="B1197">
        <f>IF(INDEX('Data Entry'!$H$5:$BE$10004,1197-4,'Visual SPC'!$B$3)="",0,IF(AND(OR('Visual SPC'!$C$4="",'Data Entry'!$C1197&gt;='Visual SPC'!$C$4),OR('Visual SPC'!$E$4="",'Data Entry'!$C1197&lt;='Visual SPC'!$E$4),OR('Visual SPC'!$G$4="",'Data Entry'!$D1197='Visual SPC'!$G$4),OR('Visual SPC'!$I$4="",'Data Entry'!$E1197='Visual SPC'!$I$4),OR('Visual SPC'!$K$4="",'Data Entry'!$F1197='Visual SPC'!$K$4)),1,0))</f>
        <v/>
      </c>
      <c r="C1197">
        <f>C1196+B1197</f>
        <v/>
      </c>
      <c r="D1197">
        <f>IF(B1197=1,INDEX('Data Entry'!$H$5:$BE$10004,1197-4,'Visual SPC'!$B$3),"")</f>
        <v/>
      </c>
      <c r="E1197">
        <f>IF(B1197=1,D1197,E1196)</f>
        <v/>
      </c>
      <c r="F1197">
        <f>IF(AND(B1197=1,C1197&gt;1,E1196&lt;&gt;""),ABS(D1197-E1196),"")</f>
        <v/>
      </c>
    </row>
    <row r="1198">
      <c r="A1198" t="n">
        <v>1198</v>
      </c>
      <c r="B1198">
        <f>IF(INDEX('Data Entry'!$H$5:$BE$10004,1198-4,'Visual SPC'!$B$3)="",0,IF(AND(OR('Visual SPC'!$C$4="",'Data Entry'!$C1198&gt;='Visual SPC'!$C$4),OR('Visual SPC'!$E$4="",'Data Entry'!$C1198&lt;='Visual SPC'!$E$4),OR('Visual SPC'!$G$4="",'Data Entry'!$D1198='Visual SPC'!$G$4),OR('Visual SPC'!$I$4="",'Data Entry'!$E1198='Visual SPC'!$I$4),OR('Visual SPC'!$K$4="",'Data Entry'!$F1198='Visual SPC'!$K$4)),1,0))</f>
        <v/>
      </c>
      <c r="C1198">
        <f>C1197+B1198</f>
        <v/>
      </c>
      <c r="D1198">
        <f>IF(B1198=1,INDEX('Data Entry'!$H$5:$BE$10004,1198-4,'Visual SPC'!$B$3),"")</f>
        <v/>
      </c>
      <c r="E1198">
        <f>IF(B1198=1,D1198,E1197)</f>
        <v/>
      </c>
      <c r="F1198">
        <f>IF(AND(B1198=1,C1198&gt;1,E1197&lt;&gt;""),ABS(D1198-E1197),"")</f>
        <v/>
      </c>
    </row>
    <row r="1199">
      <c r="A1199" t="n">
        <v>1199</v>
      </c>
      <c r="B1199">
        <f>IF(INDEX('Data Entry'!$H$5:$BE$10004,1199-4,'Visual SPC'!$B$3)="",0,IF(AND(OR('Visual SPC'!$C$4="",'Data Entry'!$C1199&gt;='Visual SPC'!$C$4),OR('Visual SPC'!$E$4="",'Data Entry'!$C1199&lt;='Visual SPC'!$E$4),OR('Visual SPC'!$G$4="",'Data Entry'!$D1199='Visual SPC'!$G$4),OR('Visual SPC'!$I$4="",'Data Entry'!$E1199='Visual SPC'!$I$4),OR('Visual SPC'!$K$4="",'Data Entry'!$F1199='Visual SPC'!$K$4)),1,0))</f>
        <v/>
      </c>
      <c r="C1199">
        <f>C1198+B1199</f>
        <v/>
      </c>
      <c r="D1199">
        <f>IF(B1199=1,INDEX('Data Entry'!$H$5:$BE$10004,1199-4,'Visual SPC'!$B$3),"")</f>
        <v/>
      </c>
      <c r="E1199">
        <f>IF(B1199=1,D1199,E1198)</f>
        <v/>
      </c>
      <c r="F1199">
        <f>IF(AND(B1199=1,C1199&gt;1,E1198&lt;&gt;""),ABS(D1199-E1198),"")</f>
        <v/>
      </c>
    </row>
    <row r="1200">
      <c r="A1200" t="n">
        <v>1200</v>
      </c>
      <c r="B1200">
        <f>IF(INDEX('Data Entry'!$H$5:$BE$10004,1200-4,'Visual SPC'!$B$3)="",0,IF(AND(OR('Visual SPC'!$C$4="",'Data Entry'!$C1200&gt;='Visual SPC'!$C$4),OR('Visual SPC'!$E$4="",'Data Entry'!$C1200&lt;='Visual SPC'!$E$4),OR('Visual SPC'!$G$4="",'Data Entry'!$D1200='Visual SPC'!$G$4),OR('Visual SPC'!$I$4="",'Data Entry'!$E1200='Visual SPC'!$I$4),OR('Visual SPC'!$K$4="",'Data Entry'!$F1200='Visual SPC'!$K$4)),1,0))</f>
        <v/>
      </c>
      <c r="C1200">
        <f>C1199+B1200</f>
        <v/>
      </c>
      <c r="D1200">
        <f>IF(B1200=1,INDEX('Data Entry'!$H$5:$BE$10004,1200-4,'Visual SPC'!$B$3),"")</f>
        <v/>
      </c>
      <c r="E1200">
        <f>IF(B1200=1,D1200,E1199)</f>
        <v/>
      </c>
      <c r="F1200">
        <f>IF(AND(B1200=1,C1200&gt;1,E1199&lt;&gt;""),ABS(D1200-E1199),"")</f>
        <v/>
      </c>
    </row>
    <row r="1201">
      <c r="A1201" t="n">
        <v>1201</v>
      </c>
      <c r="B1201">
        <f>IF(INDEX('Data Entry'!$H$5:$BE$10004,1201-4,'Visual SPC'!$B$3)="",0,IF(AND(OR('Visual SPC'!$C$4="",'Data Entry'!$C1201&gt;='Visual SPC'!$C$4),OR('Visual SPC'!$E$4="",'Data Entry'!$C1201&lt;='Visual SPC'!$E$4),OR('Visual SPC'!$G$4="",'Data Entry'!$D1201='Visual SPC'!$G$4),OR('Visual SPC'!$I$4="",'Data Entry'!$E1201='Visual SPC'!$I$4),OR('Visual SPC'!$K$4="",'Data Entry'!$F1201='Visual SPC'!$K$4)),1,0))</f>
        <v/>
      </c>
      <c r="C1201">
        <f>C1200+B1201</f>
        <v/>
      </c>
      <c r="D1201">
        <f>IF(B1201=1,INDEX('Data Entry'!$H$5:$BE$10004,1201-4,'Visual SPC'!$B$3),"")</f>
        <v/>
      </c>
      <c r="E1201">
        <f>IF(B1201=1,D1201,E1200)</f>
        <v/>
      </c>
      <c r="F1201">
        <f>IF(AND(B1201=1,C1201&gt;1,E1200&lt;&gt;""),ABS(D1201-E1200),"")</f>
        <v/>
      </c>
    </row>
    <row r="1202">
      <c r="A1202" t="n">
        <v>1202</v>
      </c>
      <c r="B1202">
        <f>IF(INDEX('Data Entry'!$H$5:$BE$10004,1202-4,'Visual SPC'!$B$3)="",0,IF(AND(OR('Visual SPC'!$C$4="",'Data Entry'!$C1202&gt;='Visual SPC'!$C$4),OR('Visual SPC'!$E$4="",'Data Entry'!$C1202&lt;='Visual SPC'!$E$4),OR('Visual SPC'!$G$4="",'Data Entry'!$D1202='Visual SPC'!$G$4),OR('Visual SPC'!$I$4="",'Data Entry'!$E1202='Visual SPC'!$I$4),OR('Visual SPC'!$K$4="",'Data Entry'!$F1202='Visual SPC'!$K$4)),1,0))</f>
        <v/>
      </c>
      <c r="C1202">
        <f>C1201+B1202</f>
        <v/>
      </c>
      <c r="D1202">
        <f>IF(B1202=1,INDEX('Data Entry'!$H$5:$BE$10004,1202-4,'Visual SPC'!$B$3),"")</f>
        <v/>
      </c>
      <c r="E1202">
        <f>IF(B1202=1,D1202,E1201)</f>
        <v/>
      </c>
      <c r="F1202">
        <f>IF(AND(B1202=1,C1202&gt;1,E1201&lt;&gt;""),ABS(D1202-E1201),"")</f>
        <v/>
      </c>
    </row>
    <row r="1203">
      <c r="A1203" t="n">
        <v>1203</v>
      </c>
      <c r="B1203">
        <f>IF(INDEX('Data Entry'!$H$5:$BE$10004,1203-4,'Visual SPC'!$B$3)="",0,IF(AND(OR('Visual SPC'!$C$4="",'Data Entry'!$C1203&gt;='Visual SPC'!$C$4),OR('Visual SPC'!$E$4="",'Data Entry'!$C1203&lt;='Visual SPC'!$E$4),OR('Visual SPC'!$G$4="",'Data Entry'!$D1203='Visual SPC'!$G$4),OR('Visual SPC'!$I$4="",'Data Entry'!$E1203='Visual SPC'!$I$4),OR('Visual SPC'!$K$4="",'Data Entry'!$F1203='Visual SPC'!$K$4)),1,0))</f>
        <v/>
      </c>
      <c r="C1203">
        <f>C1202+B1203</f>
        <v/>
      </c>
      <c r="D1203">
        <f>IF(B1203=1,INDEX('Data Entry'!$H$5:$BE$10004,1203-4,'Visual SPC'!$B$3),"")</f>
        <v/>
      </c>
      <c r="E1203">
        <f>IF(B1203=1,D1203,E1202)</f>
        <v/>
      </c>
      <c r="F1203">
        <f>IF(AND(B1203=1,C1203&gt;1,E1202&lt;&gt;""),ABS(D1203-E1202),"")</f>
        <v/>
      </c>
    </row>
    <row r="1204">
      <c r="A1204" t="n">
        <v>1204</v>
      </c>
      <c r="B1204">
        <f>IF(INDEX('Data Entry'!$H$5:$BE$10004,1204-4,'Visual SPC'!$B$3)="",0,IF(AND(OR('Visual SPC'!$C$4="",'Data Entry'!$C1204&gt;='Visual SPC'!$C$4),OR('Visual SPC'!$E$4="",'Data Entry'!$C1204&lt;='Visual SPC'!$E$4),OR('Visual SPC'!$G$4="",'Data Entry'!$D1204='Visual SPC'!$G$4),OR('Visual SPC'!$I$4="",'Data Entry'!$E1204='Visual SPC'!$I$4),OR('Visual SPC'!$K$4="",'Data Entry'!$F1204='Visual SPC'!$K$4)),1,0))</f>
        <v/>
      </c>
      <c r="C1204">
        <f>C1203+B1204</f>
        <v/>
      </c>
      <c r="D1204">
        <f>IF(B1204=1,INDEX('Data Entry'!$H$5:$BE$10004,1204-4,'Visual SPC'!$B$3),"")</f>
        <v/>
      </c>
      <c r="E1204">
        <f>IF(B1204=1,D1204,E1203)</f>
        <v/>
      </c>
      <c r="F1204">
        <f>IF(AND(B1204=1,C1204&gt;1,E1203&lt;&gt;""),ABS(D1204-E1203),"")</f>
        <v/>
      </c>
    </row>
    <row r="1205">
      <c r="A1205" t="n">
        <v>1205</v>
      </c>
      <c r="B1205">
        <f>IF(INDEX('Data Entry'!$H$5:$BE$10004,1205-4,'Visual SPC'!$B$3)="",0,IF(AND(OR('Visual SPC'!$C$4="",'Data Entry'!$C1205&gt;='Visual SPC'!$C$4),OR('Visual SPC'!$E$4="",'Data Entry'!$C1205&lt;='Visual SPC'!$E$4),OR('Visual SPC'!$G$4="",'Data Entry'!$D1205='Visual SPC'!$G$4),OR('Visual SPC'!$I$4="",'Data Entry'!$E1205='Visual SPC'!$I$4),OR('Visual SPC'!$K$4="",'Data Entry'!$F1205='Visual SPC'!$K$4)),1,0))</f>
        <v/>
      </c>
      <c r="C1205">
        <f>C1204+B1205</f>
        <v/>
      </c>
      <c r="D1205">
        <f>IF(B1205=1,INDEX('Data Entry'!$H$5:$BE$10004,1205-4,'Visual SPC'!$B$3),"")</f>
        <v/>
      </c>
      <c r="E1205">
        <f>IF(B1205=1,D1205,E1204)</f>
        <v/>
      </c>
      <c r="F1205">
        <f>IF(AND(B1205=1,C1205&gt;1,E1204&lt;&gt;""),ABS(D1205-E1204),"")</f>
        <v/>
      </c>
    </row>
    <row r="1206">
      <c r="A1206" t="n">
        <v>1206</v>
      </c>
      <c r="B1206">
        <f>IF(INDEX('Data Entry'!$H$5:$BE$10004,1206-4,'Visual SPC'!$B$3)="",0,IF(AND(OR('Visual SPC'!$C$4="",'Data Entry'!$C1206&gt;='Visual SPC'!$C$4),OR('Visual SPC'!$E$4="",'Data Entry'!$C1206&lt;='Visual SPC'!$E$4),OR('Visual SPC'!$G$4="",'Data Entry'!$D1206='Visual SPC'!$G$4),OR('Visual SPC'!$I$4="",'Data Entry'!$E1206='Visual SPC'!$I$4),OR('Visual SPC'!$K$4="",'Data Entry'!$F1206='Visual SPC'!$K$4)),1,0))</f>
        <v/>
      </c>
      <c r="C1206">
        <f>C1205+B1206</f>
        <v/>
      </c>
      <c r="D1206">
        <f>IF(B1206=1,INDEX('Data Entry'!$H$5:$BE$10004,1206-4,'Visual SPC'!$B$3),"")</f>
        <v/>
      </c>
      <c r="E1206">
        <f>IF(B1206=1,D1206,E1205)</f>
        <v/>
      </c>
      <c r="F1206">
        <f>IF(AND(B1206=1,C1206&gt;1,E1205&lt;&gt;""),ABS(D1206-E1205),"")</f>
        <v/>
      </c>
    </row>
    <row r="1207">
      <c r="A1207" t="n">
        <v>1207</v>
      </c>
      <c r="B1207">
        <f>IF(INDEX('Data Entry'!$H$5:$BE$10004,1207-4,'Visual SPC'!$B$3)="",0,IF(AND(OR('Visual SPC'!$C$4="",'Data Entry'!$C1207&gt;='Visual SPC'!$C$4),OR('Visual SPC'!$E$4="",'Data Entry'!$C1207&lt;='Visual SPC'!$E$4),OR('Visual SPC'!$G$4="",'Data Entry'!$D1207='Visual SPC'!$G$4),OR('Visual SPC'!$I$4="",'Data Entry'!$E1207='Visual SPC'!$I$4),OR('Visual SPC'!$K$4="",'Data Entry'!$F1207='Visual SPC'!$K$4)),1,0))</f>
        <v/>
      </c>
      <c r="C1207">
        <f>C1206+B1207</f>
        <v/>
      </c>
      <c r="D1207">
        <f>IF(B1207=1,INDEX('Data Entry'!$H$5:$BE$10004,1207-4,'Visual SPC'!$B$3),"")</f>
        <v/>
      </c>
      <c r="E1207">
        <f>IF(B1207=1,D1207,E1206)</f>
        <v/>
      </c>
      <c r="F1207">
        <f>IF(AND(B1207=1,C1207&gt;1,E1206&lt;&gt;""),ABS(D1207-E1206),"")</f>
        <v/>
      </c>
    </row>
    <row r="1208">
      <c r="A1208" t="n">
        <v>1208</v>
      </c>
      <c r="B1208">
        <f>IF(INDEX('Data Entry'!$H$5:$BE$10004,1208-4,'Visual SPC'!$B$3)="",0,IF(AND(OR('Visual SPC'!$C$4="",'Data Entry'!$C1208&gt;='Visual SPC'!$C$4),OR('Visual SPC'!$E$4="",'Data Entry'!$C1208&lt;='Visual SPC'!$E$4),OR('Visual SPC'!$G$4="",'Data Entry'!$D1208='Visual SPC'!$G$4),OR('Visual SPC'!$I$4="",'Data Entry'!$E1208='Visual SPC'!$I$4),OR('Visual SPC'!$K$4="",'Data Entry'!$F1208='Visual SPC'!$K$4)),1,0))</f>
        <v/>
      </c>
      <c r="C1208">
        <f>C1207+B1208</f>
        <v/>
      </c>
      <c r="D1208">
        <f>IF(B1208=1,INDEX('Data Entry'!$H$5:$BE$10004,1208-4,'Visual SPC'!$B$3),"")</f>
        <v/>
      </c>
      <c r="E1208">
        <f>IF(B1208=1,D1208,E1207)</f>
        <v/>
      </c>
      <c r="F1208">
        <f>IF(AND(B1208=1,C1208&gt;1,E1207&lt;&gt;""),ABS(D1208-E1207),"")</f>
        <v/>
      </c>
    </row>
    <row r="1209">
      <c r="A1209" t="n">
        <v>1209</v>
      </c>
      <c r="B1209">
        <f>IF(INDEX('Data Entry'!$H$5:$BE$10004,1209-4,'Visual SPC'!$B$3)="",0,IF(AND(OR('Visual SPC'!$C$4="",'Data Entry'!$C1209&gt;='Visual SPC'!$C$4),OR('Visual SPC'!$E$4="",'Data Entry'!$C1209&lt;='Visual SPC'!$E$4),OR('Visual SPC'!$G$4="",'Data Entry'!$D1209='Visual SPC'!$G$4),OR('Visual SPC'!$I$4="",'Data Entry'!$E1209='Visual SPC'!$I$4),OR('Visual SPC'!$K$4="",'Data Entry'!$F1209='Visual SPC'!$K$4)),1,0))</f>
        <v/>
      </c>
      <c r="C1209">
        <f>C1208+B1209</f>
        <v/>
      </c>
      <c r="D1209">
        <f>IF(B1209=1,INDEX('Data Entry'!$H$5:$BE$10004,1209-4,'Visual SPC'!$B$3),"")</f>
        <v/>
      </c>
      <c r="E1209">
        <f>IF(B1209=1,D1209,E1208)</f>
        <v/>
      </c>
      <c r="F1209">
        <f>IF(AND(B1209=1,C1209&gt;1,E1208&lt;&gt;""),ABS(D1209-E1208),"")</f>
        <v/>
      </c>
    </row>
    <row r="1210">
      <c r="A1210" t="n">
        <v>1210</v>
      </c>
      <c r="B1210">
        <f>IF(INDEX('Data Entry'!$H$5:$BE$10004,1210-4,'Visual SPC'!$B$3)="",0,IF(AND(OR('Visual SPC'!$C$4="",'Data Entry'!$C1210&gt;='Visual SPC'!$C$4),OR('Visual SPC'!$E$4="",'Data Entry'!$C1210&lt;='Visual SPC'!$E$4),OR('Visual SPC'!$G$4="",'Data Entry'!$D1210='Visual SPC'!$G$4),OR('Visual SPC'!$I$4="",'Data Entry'!$E1210='Visual SPC'!$I$4),OR('Visual SPC'!$K$4="",'Data Entry'!$F1210='Visual SPC'!$K$4)),1,0))</f>
        <v/>
      </c>
      <c r="C1210">
        <f>C1209+B1210</f>
        <v/>
      </c>
      <c r="D1210">
        <f>IF(B1210=1,INDEX('Data Entry'!$H$5:$BE$10004,1210-4,'Visual SPC'!$B$3),"")</f>
        <v/>
      </c>
      <c r="E1210">
        <f>IF(B1210=1,D1210,E1209)</f>
        <v/>
      </c>
      <c r="F1210">
        <f>IF(AND(B1210=1,C1210&gt;1,E1209&lt;&gt;""),ABS(D1210-E1209),"")</f>
        <v/>
      </c>
    </row>
    <row r="1211">
      <c r="A1211" t="n">
        <v>1211</v>
      </c>
      <c r="B1211">
        <f>IF(INDEX('Data Entry'!$H$5:$BE$10004,1211-4,'Visual SPC'!$B$3)="",0,IF(AND(OR('Visual SPC'!$C$4="",'Data Entry'!$C1211&gt;='Visual SPC'!$C$4),OR('Visual SPC'!$E$4="",'Data Entry'!$C1211&lt;='Visual SPC'!$E$4),OR('Visual SPC'!$G$4="",'Data Entry'!$D1211='Visual SPC'!$G$4),OR('Visual SPC'!$I$4="",'Data Entry'!$E1211='Visual SPC'!$I$4),OR('Visual SPC'!$K$4="",'Data Entry'!$F1211='Visual SPC'!$K$4)),1,0))</f>
        <v/>
      </c>
      <c r="C1211">
        <f>C1210+B1211</f>
        <v/>
      </c>
      <c r="D1211">
        <f>IF(B1211=1,INDEX('Data Entry'!$H$5:$BE$10004,1211-4,'Visual SPC'!$B$3),"")</f>
        <v/>
      </c>
      <c r="E1211">
        <f>IF(B1211=1,D1211,E1210)</f>
        <v/>
      </c>
      <c r="F1211">
        <f>IF(AND(B1211=1,C1211&gt;1,E1210&lt;&gt;""),ABS(D1211-E1210),"")</f>
        <v/>
      </c>
    </row>
    <row r="1212">
      <c r="A1212" t="n">
        <v>1212</v>
      </c>
      <c r="B1212">
        <f>IF(INDEX('Data Entry'!$H$5:$BE$10004,1212-4,'Visual SPC'!$B$3)="",0,IF(AND(OR('Visual SPC'!$C$4="",'Data Entry'!$C1212&gt;='Visual SPC'!$C$4),OR('Visual SPC'!$E$4="",'Data Entry'!$C1212&lt;='Visual SPC'!$E$4),OR('Visual SPC'!$G$4="",'Data Entry'!$D1212='Visual SPC'!$G$4),OR('Visual SPC'!$I$4="",'Data Entry'!$E1212='Visual SPC'!$I$4),OR('Visual SPC'!$K$4="",'Data Entry'!$F1212='Visual SPC'!$K$4)),1,0))</f>
        <v/>
      </c>
      <c r="C1212">
        <f>C1211+B1212</f>
        <v/>
      </c>
      <c r="D1212">
        <f>IF(B1212=1,INDEX('Data Entry'!$H$5:$BE$10004,1212-4,'Visual SPC'!$B$3),"")</f>
        <v/>
      </c>
      <c r="E1212">
        <f>IF(B1212=1,D1212,E1211)</f>
        <v/>
      </c>
      <c r="F1212">
        <f>IF(AND(B1212=1,C1212&gt;1,E1211&lt;&gt;""),ABS(D1212-E1211),"")</f>
        <v/>
      </c>
    </row>
    <row r="1213">
      <c r="A1213" t="n">
        <v>1213</v>
      </c>
      <c r="B1213">
        <f>IF(INDEX('Data Entry'!$H$5:$BE$10004,1213-4,'Visual SPC'!$B$3)="",0,IF(AND(OR('Visual SPC'!$C$4="",'Data Entry'!$C1213&gt;='Visual SPC'!$C$4),OR('Visual SPC'!$E$4="",'Data Entry'!$C1213&lt;='Visual SPC'!$E$4),OR('Visual SPC'!$G$4="",'Data Entry'!$D1213='Visual SPC'!$G$4),OR('Visual SPC'!$I$4="",'Data Entry'!$E1213='Visual SPC'!$I$4),OR('Visual SPC'!$K$4="",'Data Entry'!$F1213='Visual SPC'!$K$4)),1,0))</f>
        <v/>
      </c>
      <c r="C1213">
        <f>C1212+B1213</f>
        <v/>
      </c>
      <c r="D1213">
        <f>IF(B1213=1,INDEX('Data Entry'!$H$5:$BE$10004,1213-4,'Visual SPC'!$B$3),"")</f>
        <v/>
      </c>
      <c r="E1213">
        <f>IF(B1213=1,D1213,E1212)</f>
        <v/>
      </c>
      <c r="F1213">
        <f>IF(AND(B1213=1,C1213&gt;1,E1212&lt;&gt;""),ABS(D1213-E1212),"")</f>
        <v/>
      </c>
    </row>
    <row r="1214">
      <c r="A1214" t="n">
        <v>1214</v>
      </c>
      <c r="B1214">
        <f>IF(INDEX('Data Entry'!$H$5:$BE$10004,1214-4,'Visual SPC'!$B$3)="",0,IF(AND(OR('Visual SPC'!$C$4="",'Data Entry'!$C1214&gt;='Visual SPC'!$C$4),OR('Visual SPC'!$E$4="",'Data Entry'!$C1214&lt;='Visual SPC'!$E$4),OR('Visual SPC'!$G$4="",'Data Entry'!$D1214='Visual SPC'!$G$4),OR('Visual SPC'!$I$4="",'Data Entry'!$E1214='Visual SPC'!$I$4),OR('Visual SPC'!$K$4="",'Data Entry'!$F1214='Visual SPC'!$K$4)),1,0))</f>
        <v/>
      </c>
      <c r="C1214">
        <f>C1213+B1214</f>
        <v/>
      </c>
      <c r="D1214">
        <f>IF(B1214=1,INDEX('Data Entry'!$H$5:$BE$10004,1214-4,'Visual SPC'!$B$3),"")</f>
        <v/>
      </c>
      <c r="E1214">
        <f>IF(B1214=1,D1214,E1213)</f>
        <v/>
      </c>
      <c r="F1214">
        <f>IF(AND(B1214=1,C1214&gt;1,E1213&lt;&gt;""),ABS(D1214-E1213),"")</f>
        <v/>
      </c>
    </row>
    <row r="1215">
      <c r="A1215" t="n">
        <v>1215</v>
      </c>
      <c r="B1215">
        <f>IF(INDEX('Data Entry'!$H$5:$BE$10004,1215-4,'Visual SPC'!$B$3)="",0,IF(AND(OR('Visual SPC'!$C$4="",'Data Entry'!$C1215&gt;='Visual SPC'!$C$4),OR('Visual SPC'!$E$4="",'Data Entry'!$C1215&lt;='Visual SPC'!$E$4),OR('Visual SPC'!$G$4="",'Data Entry'!$D1215='Visual SPC'!$G$4),OR('Visual SPC'!$I$4="",'Data Entry'!$E1215='Visual SPC'!$I$4),OR('Visual SPC'!$K$4="",'Data Entry'!$F1215='Visual SPC'!$K$4)),1,0))</f>
        <v/>
      </c>
      <c r="C1215">
        <f>C1214+B1215</f>
        <v/>
      </c>
      <c r="D1215">
        <f>IF(B1215=1,INDEX('Data Entry'!$H$5:$BE$10004,1215-4,'Visual SPC'!$B$3),"")</f>
        <v/>
      </c>
      <c r="E1215">
        <f>IF(B1215=1,D1215,E1214)</f>
        <v/>
      </c>
      <c r="F1215">
        <f>IF(AND(B1215=1,C1215&gt;1,E1214&lt;&gt;""),ABS(D1215-E1214),"")</f>
        <v/>
      </c>
    </row>
    <row r="1216">
      <c r="A1216" t="n">
        <v>1216</v>
      </c>
      <c r="B1216">
        <f>IF(INDEX('Data Entry'!$H$5:$BE$10004,1216-4,'Visual SPC'!$B$3)="",0,IF(AND(OR('Visual SPC'!$C$4="",'Data Entry'!$C1216&gt;='Visual SPC'!$C$4),OR('Visual SPC'!$E$4="",'Data Entry'!$C1216&lt;='Visual SPC'!$E$4),OR('Visual SPC'!$G$4="",'Data Entry'!$D1216='Visual SPC'!$G$4),OR('Visual SPC'!$I$4="",'Data Entry'!$E1216='Visual SPC'!$I$4),OR('Visual SPC'!$K$4="",'Data Entry'!$F1216='Visual SPC'!$K$4)),1,0))</f>
        <v/>
      </c>
      <c r="C1216">
        <f>C1215+B1216</f>
        <v/>
      </c>
      <c r="D1216">
        <f>IF(B1216=1,INDEX('Data Entry'!$H$5:$BE$10004,1216-4,'Visual SPC'!$B$3),"")</f>
        <v/>
      </c>
      <c r="E1216">
        <f>IF(B1216=1,D1216,E1215)</f>
        <v/>
      </c>
      <c r="F1216">
        <f>IF(AND(B1216=1,C1216&gt;1,E1215&lt;&gt;""),ABS(D1216-E1215),"")</f>
        <v/>
      </c>
    </row>
    <row r="1217">
      <c r="A1217" t="n">
        <v>1217</v>
      </c>
      <c r="B1217">
        <f>IF(INDEX('Data Entry'!$H$5:$BE$10004,1217-4,'Visual SPC'!$B$3)="",0,IF(AND(OR('Visual SPC'!$C$4="",'Data Entry'!$C1217&gt;='Visual SPC'!$C$4),OR('Visual SPC'!$E$4="",'Data Entry'!$C1217&lt;='Visual SPC'!$E$4),OR('Visual SPC'!$G$4="",'Data Entry'!$D1217='Visual SPC'!$G$4),OR('Visual SPC'!$I$4="",'Data Entry'!$E1217='Visual SPC'!$I$4),OR('Visual SPC'!$K$4="",'Data Entry'!$F1217='Visual SPC'!$K$4)),1,0))</f>
        <v/>
      </c>
      <c r="C1217">
        <f>C1216+B1217</f>
        <v/>
      </c>
      <c r="D1217">
        <f>IF(B1217=1,INDEX('Data Entry'!$H$5:$BE$10004,1217-4,'Visual SPC'!$B$3),"")</f>
        <v/>
      </c>
      <c r="E1217">
        <f>IF(B1217=1,D1217,E1216)</f>
        <v/>
      </c>
      <c r="F1217">
        <f>IF(AND(B1217=1,C1217&gt;1,E1216&lt;&gt;""),ABS(D1217-E1216),"")</f>
        <v/>
      </c>
    </row>
    <row r="1218">
      <c r="A1218" t="n">
        <v>1218</v>
      </c>
      <c r="B1218">
        <f>IF(INDEX('Data Entry'!$H$5:$BE$10004,1218-4,'Visual SPC'!$B$3)="",0,IF(AND(OR('Visual SPC'!$C$4="",'Data Entry'!$C1218&gt;='Visual SPC'!$C$4),OR('Visual SPC'!$E$4="",'Data Entry'!$C1218&lt;='Visual SPC'!$E$4),OR('Visual SPC'!$G$4="",'Data Entry'!$D1218='Visual SPC'!$G$4),OR('Visual SPC'!$I$4="",'Data Entry'!$E1218='Visual SPC'!$I$4),OR('Visual SPC'!$K$4="",'Data Entry'!$F1218='Visual SPC'!$K$4)),1,0))</f>
        <v/>
      </c>
      <c r="C1218">
        <f>C1217+B1218</f>
        <v/>
      </c>
      <c r="D1218">
        <f>IF(B1218=1,INDEX('Data Entry'!$H$5:$BE$10004,1218-4,'Visual SPC'!$B$3),"")</f>
        <v/>
      </c>
      <c r="E1218">
        <f>IF(B1218=1,D1218,E1217)</f>
        <v/>
      </c>
      <c r="F1218">
        <f>IF(AND(B1218=1,C1218&gt;1,E1217&lt;&gt;""),ABS(D1218-E1217),"")</f>
        <v/>
      </c>
    </row>
    <row r="1219">
      <c r="A1219" t="n">
        <v>1219</v>
      </c>
      <c r="B1219">
        <f>IF(INDEX('Data Entry'!$H$5:$BE$10004,1219-4,'Visual SPC'!$B$3)="",0,IF(AND(OR('Visual SPC'!$C$4="",'Data Entry'!$C1219&gt;='Visual SPC'!$C$4),OR('Visual SPC'!$E$4="",'Data Entry'!$C1219&lt;='Visual SPC'!$E$4),OR('Visual SPC'!$G$4="",'Data Entry'!$D1219='Visual SPC'!$G$4),OR('Visual SPC'!$I$4="",'Data Entry'!$E1219='Visual SPC'!$I$4),OR('Visual SPC'!$K$4="",'Data Entry'!$F1219='Visual SPC'!$K$4)),1,0))</f>
        <v/>
      </c>
      <c r="C1219">
        <f>C1218+B1219</f>
        <v/>
      </c>
      <c r="D1219">
        <f>IF(B1219=1,INDEX('Data Entry'!$H$5:$BE$10004,1219-4,'Visual SPC'!$B$3),"")</f>
        <v/>
      </c>
      <c r="E1219">
        <f>IF(B1219=1,D1219,E1218)</f>
        <v/>
      </c>
      <c r="F1219">
        <f>IF(AND(B1219=1,C1219&gt;1,E1218&lt;&gt;""),ABS(D1219-E1218),"")</f>
        <v/>
      </c>
    </row>
    <row r="1220">
      <c r="A1220" t="n">
        <v>1220</v>
      </c>
      <c r="B1220">
        <f>IF(INDEX('Data Entry'!$H$5:$BE$10004,1220-4,'Visual SPC'!$B$3)="",0,IF(AND(OR('Visual SPC'!$C$4="",'Data Entry'!$C1220&gt;='Visual SPC'!$C$4),OR('Visual SPC'!$E$4="",'Data Entry'!$C1220&lt;='Visual SPC'!$E$4),OR('Visual SPC'!$G$4="",'Data Entry'!$D1220='Visual SPC'!$G$4),OR('Visual SPC'!$I$4="",'Data Entry'!$E1220='Visual SPC'!$I$4),OR('Visual SPC'!$K$4="",'Data Entry'!$F1220='Visual SPC'!$K$4)),1,0))</f>
        <v/>
      </c>
      <c r="C1220">
        <f>C1219+B1220</f>
        <v/>
      </c>
      <c r="D1220">
        <f>IF(B1220=1,INDEX('Data Entry'!$H$5:$BE$10004,1220-4,'Visual SPC'!$B$3),"")</f>
        <v/>
      </c>
      <c r="E1220">
        <f>IF(B1220=1,D1220,E1219)</f>
        <v/>
      </c>
      <c r="F1220">
        <f>IF(AND(B1220=1,C1220&gt;1,E1219&lt;&gt;""),ABS(D1220-E1219),"")</f>
        <v/>
      </c>
    </row>
    <row r="1221">
      <c r="A1221" t="n">
        <v>1221</v>
      </c>
      <c r="B1221">
        <f>IF(INDEX('Data Entry'!$H$5:$BE$10004,1221-4,'Visual SPC'!$B$3)="",0,IF(AND(OR('Visual SPC'!$C$4="",'Data Entry'!$C1221&gt;='Visual SPC'!$C$4),OR('Visual SPC'!$E$4="",'Data Entry'!$C1221&lt;='Visual SPC'!$E$4),OR('Visual SPC'!$G$4="",'Data Entry'!$D1221='Visual SPC'!$G$4),OR('Visual SPC'!$I$4="",'Data Entry'!$E1221='Visual SPC'!$I$4),OR('Visual SPC'!$K$4="",'Data Entry'!$F1221='Visual SPC'!$K$4)),1,0))</f>
        <v/>
      </c>
      <c r="C1221">
        <f>C1220+B1221</f>
        <v/>
      </c>
      <c r="D1221">
        <f>IF(B1221=1,INDEX('Data Entry'!$H$5:$BE$10004,1221-4,'Visual SPC'!$B$3),"")</f>
        <v/>
      </c>
      <c r="E1221">
        <f>IF(B1221=1,D1221,E1220)</f>
        <v/>
      </c>
      <c r="F1221">
        <f>IF(AND(B1221=1,C1221&gt;1,E1220&lt;&gt;""),ABS(D1221-E1220),"")</f>
        <v/>
      </c>
    </row>
    <row r="1222">
      <c r="A1222" t="n">
        <v>1222</v>
      </c>
      <c r="B1222">
        <f>IF(INDEX('Data Entry'!$H$5:$BE$10004,1222-4,'Visual SPC'!$B$3)="",0,IF(AND(OR('Visual SPC'!$C$4="",'Data Entry'!$C1222&gt;='Visual SPC'!$C$4),OR('Visual SPC'!$E$4="",'Data Entry'!$C1222&lt;='Visual SPC'!$E$4),OR('Visual SPC'!$G$4="",'Data Entry'!$D1222='Visual SPC'!$G$4),OR('Visual SPC'!$I$4="",'Data Entry'!$E1222='Visual SPC'!$I$4),OR('Visual SPC'!$K$4="",'Data Entry'!$F1222='Visual SPC'!$K$4)),1,0))</f>
        <v/>
      </c>
      <c r="C1222">
        <f>C1221+B1222</f>
        <v/>
      </c>
      <c r="D1222">
        <f>IF(B1222=1,INDEX('Data Entry'!$H$5:$BE$10004,1222-4,'Visual SPC'!$B$3),"")</f>
        <v/>
      </c>
      <c r="E1222">
        <f>IF(B1222=1,D1222,E1221)</f>
        <v/>
      </c>
      <c r="F1222">
        <f>IF(AND(B1222=1,C1222&gt;1,E1221&lt;&gt;""),ABS(D1222-E1221),"")</f>
        <v/>
      </c>
    </row>
    <row r="1223">
      <c r="A1223" t="n">
        <v>1223</v>
      </c>
      <c r="B1223">
        <f>IF(INDEX('Data Entry'!$H$5:$BE$10004,1223-4,'Visual SPC'!$B$3)="",0,IF(AND(OR('Visual SPC'!$C$4="",'Data Entry'!$C1223&gt;='Visual SPC'!$C$4),OR('Visual SPC'!$E$4="",'Data Entry'!$C1223&lt;='Visual SPC'!$E$4),OR('Visual SPC'!$G$4="",'Data Entry'!$D1223='Visual SPC'!$G$4),OR('Visual SPC'!$I$4="",'Data Entry'!$E1223='Visual SPC'!$I$4),OR('Visual SPC'!$K$4="",'Data Entry'!$F1223='Visual SPC'!$K$4)),1,0))</f>
        <v/>
      </c>
      <c r="C1223">
        <f>C1222+B1223</f>
        <v/>
      </c>
      <c r="D1223">
        <f>IF(B1223=1,INDEX('Data Entry'!$H$5:$BE$10004,1223-4,'Visual SPC'!$B$3),"")</f>
        <v/>
      </c>
      <c r="E1223">
        <f>IF(B1223=1,D1223,E1222)</f>
        <v/>
      </c>
      <c r="F1223">
        <f>IF(AND(B1223=1,C1223&gt;1,E1222&lt;&gt;""),ABS(D1223-E1222),"")</f>
        <v/>
      </c>
    </row>
    <row r="1224">
      <c r="A1224" t="n">
        <v>1224</v>
      </c>
      <c r="B1224">
        <f>IF(INDEX('Data Entry'!$H$5:$BE$10004,1224-4,'Visual SPC'!$B$3)="",0,IF(AND(OR('Visual SPC'!$C$4="",'Data Entry'!$C1224&gt;='Visual SPC'!$C$4),OR('Visual SPC'!$E$4="",'Data Entry'!$C1224&lt;='Visual SPC'!$E$4),OR('Visual SPC'!$G$4="",'Data Entry'!$D1224='Visual SPC'!$G$4),OR('Visual SPC'!$I$4="",'Data Entry'!$E1224='Visual SPC'!$I$4),OR('Visual SPC'!$K$4="",'Data Entry'!$F1224='Visual SPC'!$K$4)),1,0))</f>
        <v/>
      </c>
      <c r="C1224">
        <f>C1223+B1224</f>
        <v/>
      </c>
      <c r="D1224">
        <f>IF(B1224=1,INDEX('Data Entry'!$H$5:$BE$10004,1224-4,'Visual SPC'!$B$3),"")</f>
        <v/>
      </c>
      <c r="E1224">
        <f>IF(B1224=1,D1224,E1223)</f>
        <v/>
      </c>
      <c r="F1224">
        <f>IF(AND(B1224=1,C1224&gt;1,E1223&lt;&gt;""),ABS(D1224-E1223),"")</f>
        <v/>
      </c>
    </row>
    <row r="1225">
      <c r="A1225" t="n">
        <v>1225</v>
      </c>
      <c r="B1225">
        <f>IF(INDEX('Data Entry'!$H$5:$BE$10004,1225-4,'Visual SPC'!$B$3)="",0,IF(AND(OR('Visual SPC'!$C$4="",'Data Entry'!$C1225&gt;='Visual SPC'!$C$4),OR('Visual SPC'!$E$4="",'Data Entry'!$C1225&lt;='Visual SPC'!$E$4),OR('Visual SPC'!$G$4="",'Data Entry'!$D1225='Visual SPC'!$G$4),OR('Visual SPC'!$I$4="",'Data Entry'!$E1225='Visual SPC'!$I$4),OR('Visual SPC'!$K$4="",'Data Entry'!$F1225='Visual SPC'!$K$4)),1,0))</f>
        <v/>
      </c>
      <c r="C1225">
        <f>C1224+B1225</f>
        <v/>
      </c>
      <c r="D1225">
        <f>IF(B1225=1,INDEX('Data Entry'!$H$5:$BE$10004,1225-4,'Visual SPC'!$B$3),"")</f>
        <v/>
      </c>
      <c r="E1225">
        <f>IF(B1225=1,D1225,E1224)</f>
        <v/>
      </c>
      <c r="F1225">
        <f>IF(AND(B1225=1,C1225&gt;1,E1224&lt;&gt;""),ABS(D1225-E1224),"")</f>
        <v/>
      </c>
    </row>
    <row r="1226">
      <c r="A1226" t="n">
        <v>1226</v>
      </c>
      <c r="B1226">
        <f>IF(INDEX('Data Entry'!$H$5:$BE$10004,1226-4,'Visual SPC'!$B$3)="",0,IF(AND(OR('Visual SPC'!$C$4="",'Data Entry'!$C1226&gt;='Visual SPC'!$C$4),OR('Visual SPC'!$E$4="",'Data Entry'!$C1226&lt;='Visual SPC'!$E$4),OR('Visual SPC'!$G$4="",'Data Entry'!$D1226='Visual SPC'!$G$4),OR('Visual SPC'!$I$4="",'Data Entry'!$E1226='Visual SPC'!$I$4),OR('Visual SPC'!$K$4="",'Data Entry'!$F1226='Visual SPC'!$K$4)),1,0))</f>
        <v/>
      </c>
      <c r="C1226">
        <f>C1225+B1226</f>
        <v/>
      </c>
      <c r="D1226">
        <f>IF(B1226=1,INDEX('Data Entry'!$H$5:$BE$10004,1226-4,'Visual SPC'!$B$3),"")</f>
        <v/>
      </c>
      <c r="E1226">
        <f>IF(B1226=1,D1226,E1225)</f>
        <v/>
      </c>
      <c r="F1226">
        <f>IF(AND(B1226=1,C1226&gt;1,E1225&lt;&gt;""),ABS(D1226-E1225),"")</f>
        <v/>
      </c>
    </row>
    <row r="1227">
      <c r="A1227" t="n">
        <v>1227</v>
      </c>
      <c r="B1227">
        <f>IF(INDEX('Data Entry'!$H$5:$BE$10004,1227-4,'Visual SPC'!$B$3)="",0,IF(AND(OR('Visual SPC'!$C$4="",'Data Entry'!$C1227&gt;='Visual SPC'!$C$4),OR('Visual SPC'!$E$4="",'Data Entry'!$C1227&lt;='Visual SPC'!$E$4),OR('Visual SPC'!$G$4="",'Data Entry'!$D1227='Visual SPC'!$G$4),OR('Visual SPC'!$I$4="",'Data Entry'!$E1227='Visual SPC'!$I$4),OR('Visual SPC'!$K$4="",'Data Entry'!$F1227='Visual SPC'!$K$4)),1,0))</f>
        <v/>
      </c>
      <c r="C1227">
        <f>C1226+B1227</f>
        <v/>
      </c>
      <c r="D1227">
        <f>IF(B1227=1,INDEX('Data Entry'!$H$5:$BE$10004,1227-4,'Visual SPC'!$B$3),"")</f>
        <v/>
      </c>
      <c r="E1227">
        <f>IF(B1227=1,D1227,E1226)</f>
        <v/>
      </c>
      <c r="F1227">
        <f>IF(AND(B1227=1,C1227&gt;1,E1226&lt;&gt;""),ABS(D1227-E1226),"")</f>
        <v/>
      </c>
    </row>
    <row r="1228">
      <c r="A1228" t="n">
        <v>1228</v>
      </c>
      <c r="B1228">
        <f>IF(INDEX('Data Entry'!$H$5:$BE$10004,1228-4,'Visual SPC'!$B$3)="",0,IF(AND(OR('Visual SPC'!$C$4="",'Data Entry'!$C1228&gt;='Visual SPC'!$C$4),OR('Visual SPC'!$E$4="",'Data Entry'!$C1228&lt;='Visual SPC'!$E$4),OR('Visual SPC'!$G$4="",'Data Entry'!$D1228='Visual SPC'!$G$4),OR('Visual SPC'!$I$4="",'Data Entry'!$E1228='Visual SPC'!$I$4),OR('Visual SPC'!$K$4="",'Data Entry'!$F1228='Visual SPC'!$K$4)),1,0))</f>
        <v/>
      </c>
      <c r="C1228">
        <f>C1227+B1228</f>
        <v/>
      </c>
      <c r="D1228">
        <f>IF(B1228=1,INDEX('Data Entry'!$H$5:$BE$10004,1228-4,'Visual SPC'!$B$3),"")</f>
        <v/>
      </c>
      <c r="E1228">
        <f>IF(B1228=1,D1228,E1227)</f>
        <v/>
      </c>
      <c r="F1228">
        <f>IF(AND(B1228=1,C1228&gt;1,E1227&lt;&gt;""),ABS(D1228-E1227),"")</f>
        <v/>
      </c>
    </row>
    <row r="1229">
      <c r="A1229" t="n">
        <v>1229</v>
      </c>
      <c r="B1229">
        <f>IF(INDEX('Data Entry'!$H$5:$BE$10004,1229-4,'Visual SPC'!$B$3)="",0,IF(AND(OR('Visual SPC'!$C$4="",'Data Entry'!$C1229&gt;='Visual SPC'!$C$4),OR('Visual SPC'!$E$4="",'Data Entry'!$C1229&lt;='Visual SPC'!$E$4),OR('Visual SPC'!$G$4="",'Data Entry'!$D1229='Visual SPC'!$G$4),OR('Visual SPC'!$I$4="",'Data Entry'!$E1229='Visual SPC'!$I$4),OR('Visual SPC'!$K$4="",'Data Entry'!$F1229='Visual SPC'!$K$4)),1,0))</f>
        <v/>
      </c>
      <c r="C1229">
        <f>C1228+B1229</f>
        <v/>
      </c>
      <c r="D1229">
        <f>IF(B1229=1,INDEX('Data Entry'!$H$5:$BE$10004,1229-4,'Visual SPC'!$B$3),"")</f>
        <v/>
      </c>
      <c r="E1229">
        <f>IF(B1229=1,D1229,E1228)</f>
        <v/>
      </c>
      <c r="F1229">
        <f>IF(AND(B1229=1,C1229&gt;1,E1228&lt;&gt;""),ABS(D1229-E1228),"")</f>
        <v/>
      </c>
    </row>
    <row r="1230">
      <c r="A1230" t="n">
        <v>1230</v>
      </c>
      <c r="B1230">
        <f>IF(INDEX('Data Entry'!$H$5:$BE$10004,1230-4,'Visual SPC'!$B$3)="",0,IF(AND(OR('Visual SPC'!$C$4="",'Data Entry'!$C1230&gt;='Visual SPC'!$C$4),OR('Visual SPC'!$E$4="",'Data Entry'!$C1230&lt;='Visual SPC'!$E$4),OR('Visual SPC'!$G$4="",'Data Entry'!$D1230='Visual SPC'!$G$4),OR('Visual SPC'!$I$4="",'Data Entry'!$E1230='Visual SPC'!$I$4),OR('Visual SPC'!$K$4="",'Data Entry'!$F1230='Visual SPC'!$K$4)),1,0))</f>
        <v/>
      </c>
      <c r="C1230">
        <f>C1229+B1230</f>
        <v/>
      </c>
      <c r="D1230">
        <f>IF(B1230=1,INDEX('Data Entry'!$H$5:$BE$10004,1230-4,'Visual SPC'!$B$3),"")</f>
        <v/>
      </c>
      <c r="E1230">
        <f>IF(B1230=1,D1230,E1229)</f>
        <v/>
      </c>
      <c r="F1230">
        <f>IF(AND(B1230=1,C1230&gt;1,E1229&lt;&gt;""),ABS(D1230-E1229),"")</f>
        <v/>
      </c>
    </row>
    <row r="1231">
      <c r="A1231" t="n">
        <v>1231</v>
      </c>
      <c r="B1231">
        <f>IF(INDEX('Data Entry'!$H$5:$BE$10004,1231-4,'Visual SPC'!$B$3)="",0,IF(AND(OR('Visual SPC'!$C$4="",'Data Entry'!$C1231&gt;='Visual SPC'!$C$4),OR('Visual SPC'!$E$4="",'Data Entry'!$C1231&lt;='Visual SPC'!$E$4),OR('Visual SPC'!$G$4="",'Data Entry'!$D1231='Visual SPC'!$G$4),OR('Visual SPC'!$I$4="",'Data Entry'!$E1231='Visual SPC'!$I$4),OR('Visual SPC'!$K$4="",'Data Entry'!$F1231='Visual SPC'!$K$4)),1,0))</f>
        <v/>
      </c>
      <c r="C1231">
        <f>C1230+B1231</f>
        <v/>
      </c>
      <c r="D1231">
        <f>IF(B1231=1,INDEX('Data Entry'!$H$5:$BE$10004,1231-4,'Visual SPC'!$B$3),"")</f>
        <v/>
      </c>
      <c r="E1231">
        <f>IF(B1231=1,D1231,E1230)</f>
        <v/>
      </c>
      <c r="F1231">
        <f>IF(AND(B1231=1,C1231&gt;1,E1230&lt;&gt;""),ABS(D1231-E1230),"")</f>
        <v/>
      </c>
    </row>
    <row r="1232">
      <c r="A1232" t="n">
        <v>1232</v>
      </c>
      <c r="B1232">
        <f>IF(INDEX('Data Entry'!$H$5:$BE$10004,1232-4,'Visual SPC'!$B$3)="",0,IF(AND(OR('Visual SPC'!$C$4="",'Data Entry'!$C1232&gt;='Visual SPC'!$C$4),OR('Visual SPC'!$E$4="",'Data Entry'!$C1232&lt;='Visual SPC'!$E$4),OR('Visual SPC'!$G$4="",'Data Entry'!$D1232='Visual SPC'!$G$4),OR('Visual SPC'!$I$4="",'Data Entry'!$E1232='Visual SPC'!$I$4),OR('Visual SPC'!$K$4="",'Data Entry'!$F1232='Visual SPC'!$K$4)),1,0))</f>
        <v/>
      </c>
      <c r="C1232">
        <f>C1231+B1232</f>
        <v/>
      </c>
      <c r="D1232">
        <f>IF(B1232=1,INDEX('Data Entry'!$H$5:$BE$10004,1232-4,'Visual SPC'!$B$3),"")</f>
        <v/>
      </c>
      <c r="E1232">
        <f>IF(B1232=1,D1232,E1231)</f>
        <v/>
      </c>
      <c r="F1232">
        <f>IF(AND(B1232=1,C1232&gt;1,E1231&lt;&gt;""),ABS(D1232-E1231),"")</f>
        <v/>
      </c>
    </row>
    <row r="1233">
      <c r="A1233" t="n">
        <v>1233</v>
      </c>
      <c r="B1233">
        <f>IF(INDEX('Data Entry'!$H$5:$BE$10004,1233-4,'Visual SPC'!$B$3)="",0,IF(AND(OR('Visual SPC'!$C$4="",'Data Entry'!$C1233&gt;='Visual SPC'!$C$4),OR('Visual SPC'!$E$4="",'Data Entry'!$C1233&lt;='Visual SPC'!$E$4),OR('Visual SPC'!$G$4="",'Data Entry'!$D1233='Visual SPC'!$G$4),OR('Visual SPC'!$I$4="",'Data Entry'!$E1233='Visual SPC'!$I$4),OR('Visual SPC'!$K$4="",'Data Entry'!$F1233='Visual SPC'!$K$4)),1,0))</f>
        <v/>
      </c>
      <c r="C1233">
        <f>C1232+B1233</f>
        <v/>
      </c>
      <c r="D1233">
        <f>IF(B1233=1,INDEX('Data Entry'!$H$5:$BE$10004,1233-4,'Visual SPC'!$B$3),"")</f>
        <v/>
      </c>
      <c r="E1233">
        <f>IF(B1233=1,D1233,E1232)</f>
        <v/>
      </c>
      <c r="F1233">
        <f>IF(AND(B1233=1,C1233&gt;1,E1232&lt;&gt;""),ABS(D1233-E1232),"")</f>
        <v/>
      </c>
    </row>
    <row r="1234">
      <c r="A1234" t="n">
        <v>1234</v>
      </c>
      <c r="B1234">
        <f>IF(INDEX('Data Entry'!$H$5:$BE$10004,1234-4,'Visual SPC'!$B$3)="",0,IF(AND(OR('Visual SPC'!$C$4="",'Data Entry'!$C1234&gt;='Visual SPC'!$C$4),OR('Visual SPC'!$E$4="",'Data Entry'!$C1234&lt;='Visual SPC'!$E$4),OR('Visual SPC'!$G$4="",'Data Entry'!$D1234='Visual SPC'!$G$4),OR('Visual SPC'!$I$4="",'Data Entry'!$E1234='Visual SPC'!$I$4),OR('Visual SPC'!$K$4="",'Data Entry'!$F1234='Visual SPC'!$K$4)),1,0))</f>
        <v/>
      </c>
      <c r="C1234">
        <f>C1233+B1234</f>
        <v/>
      </c>
      <c r="D1234">
        <f>IF(B1234=1,INDEX('Data Entry'!$H$5:$BE$10004,1234-4,'Visual SPC'!$B$3),"")</f>
        <v/>
      </c>
      <c r="E1234">
        <f>IF(B1234=1,D1234,E1233)</f>
        <v/>
      </c>
      <c r="F1234">
        <f>IF(AND(B1234=1,C1234&gt;1,E1233&lt;&gt;""),ABS(D1234-E1233),"")</f>
        <v/>
      </c>
    </row>
    <row r="1235">
      <c r="A1235" t="n">
        <v>1235</v>
      </c>
      <c r="B1235">
        <f>IF(INDEX('Data Entry'!$H$5:$BE$10004,1235-4,'Visual SPC'!$B$3)="",0,IF(AND(OR('Visual SPC'!$C$4="",'Data Entry'!$C1235&gt;='Visual SPC'!$C$4),OR('Visual SPC'!$E$4="",'Data Entry'!$C1235&lt;='Visual SPC'!$E$4),OR('Visual SPC'!$G$4="",'Data Entry'!$D1235='Visual SPC'!$G$4),OR('Visual SPC'!$I$4="",'Data Entry'!$E1235='Visual SPC'!$I$4),OR('Visual SPC'!$K$4="",'Data Entry'!$F1235='Visual SPC'!$K$4)),1,0))</f>
        <v/>
      </c>
      <c r="C1235">
        <f>C1234+B1235</f>
        <v/>
      </c>
      <c r="D1235">
        <f>IF(B1235=1,INDEX('Data Entry'!$H$5:$BE$10004,1235-4,'Visual SPC'!$B$3),"")</f>
        <v/>
      </c>
      <c r="E1235">
        <f>IF(B1235=1,D1235,E1234)</f>
        <v/>
      </c>
      <c r="F1235">
        <f>IF(AND(B1235=1,C1235&gt;1,E1234&lt;&gt;""),ABS(D1235-E1234),"")</f>
        <v/>
      </c>
    </row>
    <row r="1236">
      <c r="A1236" t="n">
        <v>1236</v>
      </c>
      <c r="B1236">
        <f>IF(INDEX('Data Entry'!$H$5:$BE$10004,1236-4,'Visual SPC'!$B$3)="",0,IF(AND(OR('Visual SPC'!$C$4="",'Data Entry'!$C1236&gt;='Visual SPC'!$C$4),OR('Visual SPC'!$E$4="",'Data Entry'!$C1236&lt;='Visual SPC'!$E$4),OR('Visual SPC'!$G$4="",'Data Entry'!$D1236='Visual SPC'!$G$4),OR('Visual SPC'!$I$4="",'Data Entry'!$E1236='Visual SPC'!$I$4),OR('Visual SPC'!$K$4="",'Data Entry'!$F1236='Visual SPC'!$K$4)),1,0))</f>
        <v/>
      </c>
      <c r="C1236">
        <f>C1235+B1236</f>
        <v/>
      </c>
      <c r="D1236">
        <f>IF(B1236=1,INDEX('Data Entry'!$H$5:$BE$10004,1236-4,'Visual SPC'!$B$3),"")</f>
        <v/>
      </c>
      <c r="E1236">
        <f>IF(B1236=1,D1236,E1235)</f>
        <v/>
      </c>
      <c r="F1236">
        <f>IF(AND(B1236=1,C1236&gt;1,E1235&lt;&gt;""),ABS(D1236-E1235),"")</f>
        <v/>
      </c>
    </row>
    <row r="1237">
      <c r="A1237" t="n">
        <v>1237</v>
      </c>
      <c r="B1237">
        <f>IF(INDEX('Data Entry'!$H$5:$BE$10004,1237-4,'Visual SPC'!$B$3)="",0,IF(AND(OR('Visual SPC'!$C$4="",'Data Entry'!$C1237&gt;='Visual SPC'!$C$4),OR('Visual SPC'!$E$4="",'Data Entry'!$C1237&lt;='Visual SPC'!$E$4),OR('Visual SPC'!$G$4="",'Data Entry'!$D1237='Visual SPC'!$G$4),OR('Visual SPC'!$I$4="",'Data Entry'!$E1237='Visual SPC'!$I$4),OR('Visual SPC'!$K$4="",'Data Entry'!$F1237='Visual SPC'!$K$4)),1,0))</f>
        <v/>
      </c>
      <c r="C1237">
        <f>C1236+B1237</f>
        <v/>
      </c>
      <c r="D1237">
        <f>IF(B1237=1,INDEX('Data Entry'!$H$5:$BE$10004,1237-4,'Visual SPC'!$B$3),"")</f>
        <v/>
      </c>
      <c r="E1237">
        <f>IF(B1237=1,D1237,E1236)</f>
        <v/>
      </c>
      <c r="F1237">
        <f>IF(AND(B1237=1,C1237&gt;1,E1236&lt;&gt;""),ABS(D1237-E1236),"")</f>
        <v/>
      </c>
    </row>
    <row r="1238">
      <c r="A1238" t="n">
        <v>1238</v>
      </c>
      <c r="B1238">
        <f>IF(INDEX('Data Entry'!$H$5:$BE$10004,1238-4,'Visual SPC'!$B$3)="",0,IF(AND(OR('Visual SPC'!$C$4="",'Data Entry'!$C1238&gt;='Visual SPC'!$C$4),OR('Visual SPC'!$E$4="",'Data Entry'!$C1238&lt;='Visual SPC'!$E$4),OR('Visual SPC'!$G$4="",'Data Entry'!$D1238='Visual SPC'!$G$4),OR('Visual SPC'!$I$4="",'Data Entry'!$E1238='Visual SPC'!$I$4),OR('Visual SPC'!$K$4="",'Data Entry'!$F1238='Visual SPC'!$K$4)),1,0))</f>
        <v/>
      </c>
      <c r="C1238">
        <f>C1237+B1238</f>
        <v/>
      </c>
      <c r="D1238">
        <f>IF(B1238=1,INDEX('Data Entry'!$H$5:$BE$10004,1238-4,'Visual SPC'!$B$3),"")</f>
        <v/>
      </c>
      <c r="E1238">
        <f>IF(B1238=1,D1238,E1237)</f>
        <v/>
      </c>
      <c r="F1238">
        <f>IF(AND(B1238=1,C1238&gt;1,E1237&lt;&gt;""),ABS(D1238-E1237),"")</f>
        <v/>
      </c>
    </row>
    <row r="1239">
      <c r="A1239" t="n">
        <v>1239</v>
      </c>
      <c r="B1239">
        <f>IF(INDEX('Data Entry'!$H$5:$BE$10004,1239-4,'Visual SPC'!$B$3)="",0,IF(AND(OR('Visual SPC'!$C$4="",'Data Entry'!$C1239&gt;='Visual SPC'!$C$4),OR('Visual SPC'!$E$4="",'Data Entry'!$C1239&lt;='Visual SPC'!$E$4),OR('Visual SPC'!$G$4="",'Data Entry'!$D1239='Visual SPC'!$G$4),OR('Visual SPC'!$I$4="",'Data Entry'!$E1239='Visual SPC'!$I$4),OR('Visual SPC'!$K$4="",'Data Entry'!$F1239='Visual SPC'!$K$4)),1,0))</f>
        <v/>
      </c>
      <c r="C1239">
        <f>C1238+B1239</f>
        <v/>
      </c>
      <c r="D1239">
        <f>IF(B1239=1,INDEX('Data Entry'!$H$5:$BE$10004,1239-4,'Visual SPC'!$B$3),"")</f>
        <v/>
      </c>
      <c r="E1239">
        <f>IF(B1239=1,D1239,E1238)</f>
        <v/>
      </c>
      <c r="F1239">
        <f>IF(AND(B1239=1,C1239&gt;1,E1238&lt;&gt;""),ABS(D1239-E1238),"")</f>
        <v/>
      </c>
    </row>
    <row r="1240">
      <c r="A1240" t="n">
        <v>1240</v>
      </c>
      <c r="B1240">
        <f>IF(INDEX('Data Entry'!$H$5:$BE$10004,1240-4,'Visual SPC'!$B$3)="",0,IF(AND(OR('Visual SPC'!$C$4="",'Data Entry'!$C1240&gt;='Visual SPC'!$C$4),OR('Visual SPC'!$E$4="",'Data Entry'!$C1240&lt;='Visual SPC'!$E$4),OR('Visual SPC'!$G$4="",'Data Entry'!$D1240='Visual SPC'!$G$4),OR('Visual SPC'!$I$4="",'Data Entry'!$E1240='Visual SPC'!$I$4),OR('Visual SPC'!$K$4="",'Data Entry'!$F1240='Visual SPC'!$K$4)),1,0))</f>
        <v/>
      </c>
      <c r="C1240">
        <f>C1239+B1240</f>
        <v/>
      </c>
      <c r="D1240">
        <f>IF(B1240=1,INDEX('Data Entry'!$H$5:$BE$10004,1240-4,'Visual SPC'!$B$3),"")</f>
        <v/>
      </c>
      <c r="E1240">
        <f>IF(B1240=1,D1240,E1239)</f>
        <v/>
      </c>
      <c r="F1240">
        <f>IF(AND(B1240=1,C1240&gt;1,E1239&lt;&gt;""),ABS(D1240-E1239),"")</f>
        <v/>
      </c>
    </row>
    <row r="1241">
      <c r="A1241" t="n">
        <v>1241</v>
      </c>
      <c r="B1241">
        <f>IF(INDEX('Data Entry'!$H$5:$BE$10004,1241-4,'Visual SPC'!$B$3)="",0,IF(AND(OR('Visual SPC'!$C$4="",'Data Entry'!$C1241&gt;='Visual SPC'!$C$4),OR('Visual SPC'!$E$4="",'Data Entry'!$C1241&lt;='Visual SPC'!$E$4),OR('Visual SPC'!$G$4="",'Data Entry'!$D1241='Visual SPC'!$G$4),OR('Visual SPC'!$I$4="",'Data Entry'!$E1241='Visual SPC'!$I$4),OR('Visual SPC'!$K$4="",'Data Entry'!$F1241='Visual SPC'!$K$4)),1,0))</f>
        <v/>
      </c>
      <c r="C1241">
        <f>C1240+B1241</f>
        <v/>
      </c>
      <c r="D1241">
        <f>IF(B1241=1,INDEX('Data Entry'!$H$5:$BE$10004,1241-4,'Visual SPC'!$B$3),"")</f>
        <v/>
      </c>
      <c r="E1241">
        <f>IF(B1241=1,D1241,E1240)</f>
        <v/>
      </c>
      <c r="F1241">
        <f>IF(AND(B1241=1,C1241&gt;1,E1240&lt;&gt;""),ABS(D1241-E1240),"")</f>
        <v/>
      </c>
    </row>
    <row r="1242">
      <c r="A1242" t="n">
        <v>1242</v>
      </c>
      <c r="B1242">
        <f>IF(INDEX('Data Entry'!$H$5:$BE$10004,1242-4,'Visual SPC'!$B$3)="",0,IF(AND(OR('Visual SPC'!$C$4="",'Data Entry'!$C1242&gt;='Visual SPC'!$C$4),OR('Visual SPC'!$E$4="",'Data Entry'!$C1242&lt;='Visual SPC'!$E$4),OR('Visual SPC'!$G$4="",'Data Entry'!$D1242='Visual SPC'!$G$4),OR('Visual SPC'!$I$4="",'Data Entry'!$E1242='Visual SPC'!$I$4),OR('Visual SPC'!$K$4="",'Data Entry'!$F1242='Visual SPC'!$K$4)),1,0))</f>
        <v/>
      </c>
      <c r="C1242">
        <f>C1241+B1242</f>
        <v/>
      </c>
      <c r="D1242">
        <f>IF(B1242=1,INDEX('Data Entry'!$H$5:$BE$10004,1242-4,'Visual SPC'!$B$3),"")</f>
        <v/>
      </c>
      <c r="E1242">
        <f>IF(B1242=1,D1242,E1241)</f>
        <v/>
      </c>
      <c r="F1242">
        <f>IF(AND(B1242=1,C1242&gt;1,E1241&lt;&gt;""),ABS(D1242-E1241),"")</f>
        <v/>
      </c>
    </row>
    <row r="1243">
      <c r="A1243" t="n">
        <v>1243</v>
      </c>
      <c r="B1243">
        <f>IF(INDEX('Data Entry'!$H$5:$BE$10004,1243-4,'Visual SPC'!$B$3)="",0,IF(AND(OR('Visual SPC'!$C$4="",'Data Entry'!$C1243&gt;='Visual SPC'!$C$4),OR('Visual SPC'!$E$4="",'Data Entry'!$C1243&lt;='Visual SPC'!$E$4),OR('Visual SPC'!$G$4="",'Data Entry'!$D1243='Visual SPC'!$G$4),OR('Visual SPC'!$I$4="",'Data Entry'!$E1243='Visual SPC'!$I$4),OR('Visual SPC'!$K$4="",'Data Entry'!$F1243='Visual SPC'!$K$4)),1,0))</f>
        <v/>
      </c>
      <c r="C1243">
        <f>C1242+B1243</f>
        <v/>
      </c>
      <c r="D1243">
        <f>IF(B1243=1,INDEX('Data Entry'!$H$5:$BE$10004,1243-4,'Visual SPC'!$B$3),"")</f>
        <v/>
      </c>
      <c r="E1243">
        <f>IF(B1243=1,D1243,E1242)</f>
        <v/>
      </c>
      <c r="F1243">
        <f>IF(AND(B1243=1,C1243&gt;1,E1242&lt;&gt;""),ABS(D1243-E1242),"")</f>
        <v/>
      </c>
    </row>
    <row r="1244">
      <c r="A1244" t="n">
        <v>1244</v>
      </c>
      <c r="B1244">
        <f>IF(INDEX('Data Entry'!$H$5:$BE$10004,1244-4,'Visual SPC'!$B$3)="",0,IF(AND(OR('Visual SPC'!$C$4="",'Data Entry'!$C1244&gt;='Visual SPC'!$C$4),OR('Visual SPC'!$E$4="",'Data Entry'!$C1244&lt;='Visual SPC'!$E$4),OR('Visual SPC'!$G$4="",'Data Entry'!$D1244='Visual SPC'!$G$4),OR('Visual SPC'!$I$4="",'Data Entry'!$E1244='Visual SPC'!$I$4),OR('Visual SPC'!$K$4="",'Data Entry'!$F1244='Visual SPC'!$K$4)),1,0))</f>
        <v/>
      </c>
      <c r="C1244">
        <f>C1243+B1244</f>
        <v/>
      </c>
      <c r="D1244">
        <f>IF(B1244=1,INDEX('Data Entry'!$H$5:$BE$10004,1244-4,'Visual SPC'!$B$3),"")</f>
        <v/>
      </c>
      <c r="E1244">
        <f>IF(B1244=1,D1244,E1243)</f>
        <v/>
      </c>
      <c r="F1244">
        <f>IF(AND(B1244=1,C1244&gt;1,E1243&lt;&gt;""),ABS(D1244-E1243),"")</f>
        <v/>
      </c>
    </row>
    <row r="1245">
      <c r="A1245" t="n">
        <v>1245</v>
      </c>
      <c r="B1245">
        <f>IF(INDEX('Data Entry'!$H$5:$BE$10004,1245-4,'Visual SPC'!$B$3)="",0,IF(AND(OR('Visual SPC'!$C$4="",'Data Entry'!$C1245&gt;='Visual SPC'!$C$4),OR('Visual SPC'!$E$4="",'Data Entry'!$C1245&lt;='Visual SPC'!$E$4),OR('Visual SPC'!$G$4="",'Data Entry'!$D1245='Visual SPC'!$G$4),OR('Visual SPC'!$I$4="",'Data Entry'!$E1245='Visual SPC'!$I$4),OR('Visual SPC'!$K$4="",'Data Entry'!$F1245='Visual SPC'!$K$4)),1,0))</f>
        <v/>
      </c>
      <c r="C1245">
        <f>C1244+B1245</f>
        <v/>
      </c>
      <c r="D1245">
        <f>IF(B1245=1,INDEX('Data Entry'!$H$5:$BE$10004,1245-4,'Visual SPC'!$B$3),"")</f>
        <v/>
      </c>
      <c r="E1245">
        <f>IF(B1245=1,D1245,E1244)</f>
        <v/>
      </c>
      <c r="F1245">
        <f>IF(AND(B1245=1,C1245&gt;1,E1244&lt;&gt;""),ABS(D1245-E1244),"")</f>
        <v/>
      </c>
    </row>
    <row r="1246">
      <c r="A1246" t="n">
        <v>1246</v>
      </c>
      <c r="B1246">
        <f>IF(INDEX('Data Entry'!$H$5:$BE$10004,1246-4,'Visual SPC'!$B$3)="",0,IF(AND(OR('Visual SPC'!$C$4="",'Data Entry'!$C1246&gt;='Visual SPC'!$C$4),OR('Visual SPC'!$E$4="",'Data Entry'!$C1246&lt;='Visual SPC'!$E$4),OR('Visual SPC'!$G$4="",'Data Entry'!$D1246='Visual SPC'!$G$4),OR('Visual SPC'!$I$4="",'Data Entry'!$E1246='Visual SPC'!$I$4),OR('Visual SPC'!$K$4="",'Data Entry'!$F1246='Visual SPC'!$K$4)),1,0))</f>
        <v/>
      </c>
      <c r="C1246">
        <f>C1245+B1246</f>
        <v/>
      </c>
      <c r="D1246">
        <f>IF(B1246=1,INDEX('Data Entry'!$H$5:$BE$10004,1246-4,'Visual SPC'!$B$3),"")</f>
        <v/>
      </c>
      <c r="E1246">
        <f>IF(B1246=1,D1246,E1245)</f>
        <v/>
      </c>
      <c r="F1246">
        <f>IF(AND(B1246=1,C1246&gt;1,E1245&lt;&gt;""),ABS(D1246-E1245),"")</f>
        <v/>
      </c>
    </row>
    <row r="1247">
      <c r="A1247" t="n">
        <v>1247</v>
      </c>
      <c r="B1247">
        <f>IF(INDEX('Data Entry'!$H$5:$BE$10004,1247-4,'Visual SPC'!$B$3)="",0,IF(AND(OR('Visual SPC'!$C$4="",'Data Entry'!$C1247&gt;='Visual SPC'!$C$4),OR('Visual SPC'!$E$4="",'Data Entry'!$C1247&lt;='Visual SPC'!$E$4),OR('Visual SPC'!$G$4="",'Data Entry'!$D1247='Visual SPC'!$G$4),OR('Visual SPC'!$I$4="",'Data Entry'!$E1247='Visual SPC'!$I$4),OR('Visual SPC'!$K$4="",'Data Entry'!$F1247='Visual SPC'!$K$4)),1,0))</f>
        <v/>
      </c>
      <c r="C1247">
        <f>C1246+B1247</f>
        <v/>
      </c>
      <c r="D1247">
        <f>IF(B1247=1,INDEX('Data Entry'!$H$5:$BE$10004,1247-4,'Visual SPC'!$B$3),"")</f>
        <v/>
      </c>
      <c r="E1247">
        <f>IF(B1247=1,D1247,E1246)</f>
        <v/>
      </c>
      <c r="F1247">
        <f>IF(AND(B1247=1,C1247&gt;1,E1246&lt;&gt;""),ABS(D1247-E1246),"")</f>
        <v/>
      </c>
    </row>
    <row r="1248">
      <c r="A1248" t="n">
        <v>1248</v>
      </c>
      <c r="B1248">
        <f>IF(INDEX('Data Entry'!$H$5:$BE$10004,1248-4,'Visual SPC'!$B$3)="",0,IF(AND(OR('Visual SPC'!$C$4="",'Data Entry'!$C1248&gt;='Visual SPC'!$C$4),OR('Visual SPC'!$E$4="",'Data Entry'!$C1248&lt;='Visual SPC'!$E$4),OR('Visual SPC'!$G$4="",'Data Entry'!$D1248='Visual SPC'!$G$4),OR('Visual SPC'!$I$4="",'Data Entry'!$E1248='Visual SPC'!$I$4),OR('Visual SPC'!$K$4="",'Data Entry'!$F1248='Visual SPC'!$K$4)),1,0))</f>
        <v/>
      </c>
      <c r="C1248">
        <f>C1247+B1248</f>
        <v/>
      </c>
      <c r="D1248">
        <f>IF(B1248=1,INDEX('Data Entry'!$H$5:$BE$10004,1248-4,'Visual SPC'!$B$3),"")</f>
        <v/>
      </c>
      <c r="E1248">
        <f>IF(B1248=1,D1248,E1247)</f>
        <v/>
      </c>
      <c r="F1248">
        <f>IF(AND(B1248=1,C1248&gt;1,E1247&lt;&gt;""),ABS(D1248-E1247),"")</f>
        <v/>
      </c>
    </row>
    <row r="1249">
      <c r="A1249" t="n">
        <v>1249</v>
      </c>
      <c r="B1249">
        <f>IF(INDEX('Data Entry'!$H$5:$BE$10004,1249-4,'Visual SPC'!$B$3)="",0,IF(AND(OR('Visual SPC'!$C$4="",'Data Entry'!$C1249&gt;='Visual SPC'!$C$4),OR('Visual SPC'!$E$4="",'Data Entry'!$C1249&lt;='Visual SPC'!$E$4),OR('Visual SPC'!$G$4="",'Data Entry'!$D1249='Visual SPC'!$G$4),OR('Visual SPC'!$I$4="",'Data Entry'!$E1249='Visual SPC'!$I$4),OR('Visual SPC'!$K$4="",'Data Entry'!$F1249='Visual SPC'!$K$4)),1,0))</f>
        <v/>
      </c>
      <c r="C1249">
        <f>C1248+B1249</f>
        <v/>
      </c>
      <c r="D1249">
        <f>IF(B1249=1,INDEX('Data Entry'!$H$5:$BE$10004,1249-4,'Visual SPC'!$B$3),"")</f>
        <v/>
      </c>
      <c r="E1249">
        <f>IF(B1249=1,D1249,E1248)</f>
        <v/>
      </c>
      <c r="F1249">
        <f>IF(AND(B1249=1,C1249&gt;1,E1248&lt;&gt;""),ABS(D1249-E1248),"")</f>
        <v/>
      </c>
    </row>
    <row r="1250">
      <c r="A1250" t="n">
        <v>1250</v>
      </c>
      <c r="B1250">
        <f>IF(INDEX('Data Entry'!$H$5:$BE$10004,1250-4,'Visual SPC'!$B$3)="",0,IF(AND(OR('Visual SPC'!$C$4="",'Data Entry'!$C1250&gt;='Visual SPC'!$C$4),OR('Visual SPC'!$E$4="",'Data Entry'!$C1250&lt;='Visual SPC'!$E$4),OR('Visual SPC'!$G$4="",'Data Entry'!$D1250='Visual SPC'!$G$4),OR('Visual SPC'!$I$4="",'Data Entry'!$E1250='Visual SPC'!$I$4),OR('Visual SPC'!$K$4="",'Data Entry'!$F1250='Visual SPC'!$K$4)),1,0))</f>
        <v/>
      </c>
      <c r="C1250">
        <f>C1249+B1250</f>
        <v/>
      </c>
      <c r="D1250">
        <f>IF(B1250=1,INDEX('Data Entry'!$H$5:$BE$10004,1250-4,'Visual SPC'!$B$3),"")</f>
        <v/>
      </c>
      <c r="E1250">
        <f>IF(B1250=1,D1250,E1249)</f>
        <v/>
      </c>
      <c r="F1250">
        <f>IF(AND(B1250=1,C1250&gt;1,E1249&lt;&gt;""),ABS(D1250-E1249),"")</f>
        <v/>
      </c>
    </row>
    <row r="1251">
      <c r="A1251" t="n">
        <v>1251</v>
      </c>
      <c r="B1251">
        <f>IF(INDEX('Data Entry'!$H$5:$BE$10004,1251-4,'Visual SPC'!$B$3)="",0,IF(AND(OR('Visual SPC'!$C$4="",'Data Entry'!$C1251&gt;='Visual SPC'!$C$4),OR('Visual SPC'!$E$4="",'Data Entry'!$C1251&lt;='Visual SPC'!$E$4),OR('Visual SPC'!$G$4="",'Data Entry'!$D1251='Visual SPC'!$G$4),OR('Visual SPC'!$I$4="",'Data Entry'!$E1251='Visual SPC'!$I$4),OR('Visual SPC'!$K$4="",'Data Entry'!$F1251='Visual SPC'!$K$4)),1,0))</f>
        <v/>
      </c>
      <c r="C1251">
        <f>C1250+B1251</f>
        <v/>
      </c>
      <c r="D1251">
        <f>IF(B1251=1,INDEX('Data Entry'!$H$5:$BE$10004,1251-4,'Visual SPC'!$B$3),"")</f>
        <v/>
      </c>
      <c r="E1251">
        <f>IF(B1251=1,D1251,E1250)</f>
        <v/>
      </c>
      <c r="F1251">
        <f>IF(AND(B1251=1,C1251&gt;1,E1250&lt;&gt;""),ABS(D1251-E1250),"")</f>
        <v/>
      </c>
    </row>
    <row r="1252">
      <c r="A1252" t="n">
        <v>1252</v>
      </c>
      <c r="B1252">
        <f>IF(INDEX('Data Entry'!$H$5:$BE$10004,1252-4,'Visual SPC'!$B$3)="",0,IF(AND(OR('Visual SPC'!$C$4="",'Data Entry'!$C1252&gt;='Visual SPC'!$C$4),OR('Visual SPC'!$E$4="",'Data Entry'!$C1252&lt;='Visual SPC'!$E$4),OR('Visual SPC'!$G$4="",'Data Entry'!$D1252='Visual SPC'!$G$4),OR('Visual SPC'!$I$4="",'Data Entry'!$E1252='Visual SPC'!$I$4),OR('Visual SPC'!$K$4="",'Data Entry'!$F1252='Visual SPC'!$K$4)),1,0))</f>
        <v/>
      </c>
      <c r="C1252">
        <f>C1251+B1252</f>
        <v/>
      </c>
      <c r="D1252">
        <f>IF(B1252=1,INDEX('Data Entry'!$H$5:$BE$10004,1252-4,'Visual SPC'!$B$3),"")</f>
        <v/>
      </c>
      <c r="E1252">
        <f>IF(B1252=1,D1252,E1251)</f>
        <v/>
      </c>
      <c r="F1252">
        <f>IF(AND(B1252=1,C1252&gt;1,E1251&lt;&gt;""),ABS(D1252-E1251),"")</f>
        <v/>
      </c>
    </row>
    <row r="1253">
      <c r="A1253" t="n">
        <v>1253</v>
      </c>
      <c r="B1253">
        <f>IF(INDEX('Data Entry'!$H$5:$BE$10004,1253-4,'Visual SPC'!$B$3)="",0,IF(AND(OR('Visual SPC'!$C$4="",'Data Entry'!$C1253&gt;='Visual SPC'!$C$4),OR('Visual SPC'!$E$4="",'Data Entry'!$C1253&lt;='Visual SPC'!$E$4),OR('Visual SPC'!$G$4="",'Data Entry'!$D1253='Visual SPC'!$G$4),OR('Visual SPC'!$I$4="",'Data Entry'!$E1253='Visual SPC'!$I$4),OR('Visual SPC'!$K$4="",'Data Entry'!$F1253='Visual SPC'!$K$4)),1,0))</f>
        <v/>
      </c>
      <c r="C1253">
        <f>C1252+B1253</f>
        <v/>
      </c>
      <c r="D1253">
        <f>IF(B1253=1,INDEX('Data Entry'!$H$5:$BE$10004,1253-4,'Visual SPC'!$B$3),"")</f>
        <v/>
      </c>
      <c r="E1253">
        <f>IF(B1253=1,D1253,E1252)</f>
        <v/>
      </c>
      <c r="F1253">
        <f>IF(AND(B1253=1,C1253&gt;1,E1252&lt;&gt;""),ABS(D1253-E1252),"")</f>
        <v/>
      </c>
    </row>
    <row r="1254">
      <c r="A1254" t="n">
        <v>1254</v>
      </c>
      <c r="B1254">
        <f>IF(INDEX('Data Entry'!$H$5:$BE$10004,1254-4,'Visual SPC'!$B$3)="",0,IF(AND(OR('Visual SPC'!$C$4="",'Data Entry'!$C1254&gt;='Visual SPC'!$C$4),OR('Visual SPC'!$E$4="",'Data Entry'!$C1254&lt;='Visual SPC'!$E$4),OR('Visual SPC'!$G$4="",'Data Entry'!$D1254='Visual SPC'!$G$4),OR('Visual SPC'!$I$4="",'Data Entry'!$E1254='Visual SPC'!$I$4),OR('Visual SPC'!$K$4="",'Data Entry'!$F1254='Visual SPC'!$K$4)),1,0))</f>
        <v/>
      </c>
      <c r="C1254">
        <f>C1253+B1254</f>
        <v/>
      </c>
      <c r="D1254">
        <f>IF(B1254=1,INDEX('Data Entry'!$H$5:$BE$10004,1254-4,'Visual SPC'!$B$3),"")</f>
        <v/>
      </c>
      <c r="E1254">
        <f>IF(B1254=1,D1254,E1253)</f>
        <v/>
      </c>
      <c r="F1254">
        <f>IF(AND(B1254=1,C1254&gt;1,E1253&lt;&gt;""),ABS(D1254-E1253),"")</f>
        <v/>
      </c>
    </row>
    <row r="1255">
      <c r="A1255" t="n">
        <v>1255</v>
      </c>
      <c r="B1255">
        <f>IF(INDEX('Data Entry'!$H$5:$BE$10004,1255-4,'Visual SPC'!$B$3)="",0,IF(AND(OR('Visual SPC'!$C$4="",'Data Entry'!$C1255&gt;='Visual SPC'!$C$4),OR('Visual SPC'!$E$4="",'Data Entry'!$C1255&lt;='Visual SPC'!$E$4),OR('Visual SPC'!$G$4="",'Data Entry'!$D1255='Visual SPC'!$G$4),OR('Visual SPC'!$I$4="",'Data Entry'!$E1255='Visual SPC'!$I$4),OR('Visual SPC'!$K$4="",'Data Entry'!$F1255='Visual SPC'!$K$4)),1,0))</f>
        <v/>
      </c>
      <c r="C1255">
        <f>C1254+B1255</f>
        <v/>
      </c>
      <c r="D1255">
        <f>IF(B1255=1,INDEX('Data Entry'!$H$5:$BE$10004,1255-4,'Visual SPC'!$B$3),"")</f>
        <v/>
      </c>
      <c r="E1255">
        <f>IF(B1255=1,D1255,E1254)</f>
        <v/>
      </c>
      <c r="F1255">
        <f>IF(AND(B1255=1,C1255&gt;1,E1254&lt;&gt;""),ABS(D1255-E1254),"")</f>
        <v/>
      </c>
    </row>
    <row r="1256">
      <c r="A1256" t="n">
        <v>1256</v>
      </c>
      <c r="B1256">
        <f>IF(INDEX('Data Entry'!$H$5:$BE$10004,1256-4,'Visual SPC'!$B$3)="",0,IF(AND(OR('Visual SPC'!$C$4="",'Data Entry'!$C1256&gt;='Visual SPC'!$C$4),OR('Visual SPC'!$E$4="",'Data Entry'!$C1256&lt;='Visual SPC'!$E$4),OR('Visual SPC'!$G$4="",'Data Entry'!$D1256='Visual SPC'!$G$4),OR('Visual SPC'!$I$4="",'Data Entry'!$E1256='Visual SPC'!$I$4),OR('Visual SPC'!$K$4="",'Data Entry'!$F1256='Visual SPC'!$K$4)),1,0))</f>
        <v/>
      </c>
      <c r="C1256">
        <f>C1255+B1256</f>
        <v/>
      </c>
      <c r="D1256">
        <f>IF(B1256=1,INDEX('Data Entry'!$H$5:$BE$10004,1256-4,'Visual SPC'!$B$3),"")</f>
        <v/>
      </c>
      <c r="E1256">
        <f>IF(B1256=1,D1256,E1255)</f>
        <v/>
      </c>
      <c r="F1256">
        <f>IF(AND(B1256=1,C1256&gt;1,E1255&lt;&gt;""),ABS(D1256-E1255),"")</f>
        <v/>
      </c>
    </row>
    <row r="1257">
      <c r="A1257" t="n">
        <v>1257</v>
      </c>
      <c r="B1257">
        <f>IF(INDEX('Data Entry'!$H$5:$BE$10004,1257-4,'Visual SPC'!$B$3)="",0,IF(AND(OR('Visual SPC'!$C$4="",'Data Entry'!$C1257&gt;='Visual SPC'!$C$4),OR('Visual SPC'!$E$4="",'Data Entry'!$C1257&lt;='Visual SPC'!$E$4),OR('Visual SPC'!$G$4="",'Data Entry'!$D1257='Visual SPC'!$G$4),OR('Visual SPC'!$I$4="",'Data Entry'!$E1257='Visual SPC'!$I$4),OR('Visual SPC'!$K$4="",'Data Entry'!$F1257='Visual SPC'!$K$4)),1,0))</f>
        <v/>
      </c>
      <c r="C1257">
        <f>C1256+B1257</f>
        <v/>
      </c>
      <c r="D1257">
        <f>IF(B1257=1,INDEX('Data Entry'!$H$5:$BE$10004,1257-4,'Visual SPC'!$B$3),"")</f>
        <v/>
      </c>
      <c r="E1257">
        <f>IF(B1257=1,D1257,E1256)</f>
        <v/>
      </c>
      <c r="F1257">
        <f>IF(AND(B1257=1,C1257&gt;1,E1256&lt;&gt;""),ABS(D1257-E1256),"")</f>
        <v/>
      </c>
    </row>
    <row r="1258">
      <c r="A1258" t="n">
        <v>1258</v>
      </c>
      <c r="B1258">
        <f>IF(INDEX('Data Entry'!$H$5:$BE$10004,1258-4,'Visual SPC'!$B$3)="",0,IF(AND(OR('Visual SPC'!$C$4="",'Data Entry'!$C1258&gt;='Visual SPC'!$C$4),OR('Visual SPC'!$E$4="",'Data Entry'!$C1258&lt;='Visual SPC'!$E$4),OR('Visual SPC'!$G$4="",'Data Entry'!$D1258='Visual SPC'!$G$4),OR('Visual SPC'!$I$4="",'Data Entry'!$E1258='Visual SPC'!$I$4),OR('Visual SPC'!$K$4="",'Data Entry'!$F1258='Visual SPC'!$K$4)),1,0))</f>
        <v/>
      </c>
      <c r="C1258">
        <f>C1257+B1258</f>
        <v/>
      </c>
      <c r="D1258">
        <f>IF(B1258=1,INDEX('Data Entry'!$H$5:$BE$10004,1258-4,'Visual SPC'!$B$3),"")</f>
        <v/>
      </c>
      <c r="E1258">
        <f>IF(B1258=1,D1258,E1257)</f>
        <v/>
      </c>
      <c r="F1258">
        <f>IF(AND(B1258=1,C1258&gt;1,E1257&lt;&gt;""),ABS(D1258-E1257),"")</f>
        <v/>
      </c>
    </row>
    <row r="1259">
      <c r="A1259" t="n">
        <v>1259</v>
      </c>
      <c r="B1259">
        <f>IF(INDEX('Data Entry'!$H$5:$BE$10004,1259-4,'Visual SPC'!$B$3)="",0,IF(AND(OR('Visual SPC'!$C$4="",'Data Entry'!$C1259&gt;='Visual SPC'!$C$4),OR('Visual SPC'!$E$4="",'Data Entry'!$C1259&lt;='Visual SPC'!$E$4),OR('Visual SPC'!$G$4="",'Data Entry'!$D1259='Visual SPC'!$G$4),OR('Visual SPC'!$I$4="",'Data Entry'!$E1259='Visual SPC'!$I$4),OR('Visual SPC'!$K$4="",'Data Entry'!$F1259='Visual SPC'!$K$4)),1,0))</f>
        <v/>
      </c>
      <c r="C1259">
        <f>C1258+B1259</f>
        <v/>
      </c>
      <c r="D1259">
        <f>IF(B1259=1,INDEX('Data Entry'!$H$5:$BE$10004,1259-4,'Visual SPC'!$B$3),"")</f>
        <v/>
      </c>
      <c r="E1259">
        <f>IF(B1259=1,D1259,E1258)</f>
        <v/>
      </c>
      <c r="F1259">
        <f>IF(AND(B1259=1,C1259&gt;1,E1258&lt;&gt;""),ABS(D1259-E1258),"")</f>
        <v/>
      </c>
    </row>
    <row r="1260">
      <c r="A1260" t="n">
        <v>1260</v>
      </c>
      <c r="B1260">
        <f>IF(INDEX('Data Entry'!$H$5:$BE$10004,1260-4,'Visual SPC'!$B$3)="",0,IF(AND(OR('Visual SPC'!$C$4="",'Data Entry'!$C1260&gt;='Visual SPC'!$C$4),OR('Visual SPC'!$E$4="",'Data Entry'!$C1260&lt;='Visual SPC'!$E$4),OR('Visual SPC'!$G$4="",'Data Entry'!$D1260='Visual SPC'!$G$4),OR('Visual SPC'!$I$4="",'Data Entry'!$E1260='Visual SPC'!$I$4),OR('Visual SPC'!$K$4="",'Data Entry'!$F1260='Visual SPC'!$K$4)),1,0))</f>
        <v/>
      </c>
      <c r="C1260">
        <f>C1259+B1260</f>
        <v/>
      </c>
      <c r="D1260">
        <f>IF(B1260=1,INDEX('Data Entry'!$H$5:$BE$10004,1260-4,'Visual SPC'!$B$3),"")</f>
        <v/>
      </c>
      <c r="E1260">
        <f>IF(B1260=1,D1260,E1259)</f>
        <v/>
      </c>
      <c r="F1260">
        <f>IF(AND(B1260=1,C1260&gt;1,E1259&lt;&gt;""),ABS(D1260-E1259),"")</f>
        <v/>
      </c>
    </row>
    <row r="1261">
      <c r="A1261" t="n">
        <v>1261</v>
      </c>
      <c r="B1261">
        <f>IF(INDEX('Data Entry'!$H$5:$BE$10004,1261-4,'Visual SPC'!$B$3)="",0,IF(AND(OR('Visual SPC'!$C$4="",'Data Entry'!$C1261&gt;='Visual SPC'!$C$4),OR('Visual SPC'!$E$4="",'Data Entry'!$C1261&lt;='Visual SPC'!$E$4),OR('Visual SPC'!$G$4="",'Data Entry'!$D1261='Visual SPC'!$G$4),OR('Visual SPC'!$I$4="",'Data Entry'!$E1261='Visual SPC'!$I$4),OR('Visual SPC'!$K$4="",'Data Entry'!$F1261='Visual SPC'!$K$4)),1,0))</f>
        <v/>
      </c>
      <c r="C1261">
        <f>C1260+B1261</f>
        <v/>
      </c>
      <c r="D1261">
        <f>IF(B1261=1,INDEX('Data Entry'!$H$5:$BE$10004,1261-4,'Visual SPC'!$B$3),"")</f>
        <v/>
      </c>
      <c r="E1261">
        <f>IF(B1261=1,D1261,E1260)</f>
        <v/>
      </c>
      <c r="F1261">
        <f>IF(AND(B1261=1,C1261&gt;1,E1260&lt;&gt;""),ABS(D1261-E1260),"")</f>
        <v/>
      </c>
    </row>
    <row r="1262">
      <c r="A1262" t="n">
        <v>1262</v>
      </c>
      <c r="B1262">
        <f>IF(INDEX('Data Entry'!$H$5:$BE$10004,1262-4,'Visual SPC'!$B$3)="",0,IF(AND(OR('Visual SPC'!$C$4="",'Data Entry'!$C1262&gt;='Visual SPC'!$C$4),OR('Visual SPC'!$E$4="",'Data Entry'!$C1262&lt;='Visual SPC'!$E$4),OR('Visual SPC'!$G$4="",'Data Entry'!$D1262='Visual SPC'!$G$4),OR('Visual SPC'!$I$4="",'Data Entry'!$E1262='Visual SPC'!$I$4),OR('Visual SPC'!$K$4="",'Data Entry'!$F1262='Visual SPC'!$K$4)),1,0))</f>
        <v/>
      </c>
      <c r="C1262">
        <f>C1261+B1262</f>
        <v/>
      </c>
      <c r="D1262">
        <f>IF(B1262=1,INDEX('Data Entry'!$H$5:$BE$10004,1262-4,'Visual SPC'!$B$3),"")</f>
        <v/>
      </c>
      <c r="E1262">
        <f>IF(B1262=1,D1262,E1261)</f>
        <v/>
      </c>
      <c r="F1262">
        <f>IF(AND(B1262=1,C1262&gt;1,E1261&lt;&gt;""),ABS(D1262-E1261),"")</f>
        <v/>
      </c>
    </row>
    <row r="1263">
      <c r="A1263" t="n">
        <v>1263</v>
      </c>
      <c r="B1263">
        <f>IF(INDEX('Data Entry'!$H$5:$BE$10004,1263-4,'Visual SPC'!$B$3)="",0,IF(AND(OR('Visual SPC'!$C$4="",'Data Entry'!$C1263&gt;='Visual SPC'!$C$4),OR('Visual SPC'!$E$4="",'Data Entry'!$C1263&lt;='Visual SPC'!$E$4),OR('Visual SPC'!$G$4="",'Data Entry'!$D1263='Visual SPC'!$G$4),OR('Visual SPC'!$I$4="",'Data Entry'!$E1263='Visual SPC'!$I$4),OR('Visual SPC'!$K$4="",'Data Entry'!$F1263='Visual SPC'!$K$4)),1,0))</f>
        <v/>
      </c>
      <c r="C1263">
        <f>C1262+B1263</f>
        <v/>
      </c>
      <c r="D1263">
        <f>IF(B1263=1,INDEX('Data Entry'!$H$5:$BE$10004,1263-4,'Visual SPC'!$B$3),"")</f>
        <v/>
      </c>
      <c r="E1263">
        <f>IF(B1263=1,D1263,E1262)</f>
        <v/>
      </c>
      <c r="F1263">
        <f>IF(AND(B1263=1,C1263&gt;1,E1262&lt;&gt;""),ABS(D1263-E1262),"")</f>
        <v/>
      </c>
    </row>
    <row r="1264">
      <c r="A1264" t="n">
        <v>1264</v>
      </c>
      <c r="B1264">
        <f>IF(INDEX('Data Entry'!$H$5:$BE$10004,1264-4,'Visual SPC'!$B$3)="",0,IF(AND(OR('Visual SPC'!$C$4="",'Data Entry'!$C1264&gt;='Visual SPC'!$C$4),OR('Visual SPC'!$E$4="",'Data Entry'!$C1264&lt;='Visual SPC'!$E$4),OR('Visual SPC'!$G$4="",'Data Entry'!$D1264='Visual SPC'!$G$4),OR('Visual SPC'!$I$4="",'Data Entry'!$E1264='Visual SPC'!$I$4),OR('Visual SPC'!$K$4="",'Data Entry'!$F1264='Visual SPC'!$K$4)),1,0))</f>
        <v/>
      </c>
      <c r="C1264">
        <f>C1263+B1264</f>
        <v/>
      </c>
      <c r="D1264">
        <f>IF(B1264=1,INDEX('Data Entry'!$H$5:$BE$10004,1264-4,'Visual SPC'!$B$3),"")</f>
        <v/>
      </c>
      <c r="E1264">
        <f>IF(B1264=1,D1264,E1263)</f>
        <v/>
      </c>
      <c r="F1264">
        <f>IF(AND(B1264=1,C1264&gt;1,E1263&lt;&gt;""),ABS(D1264-E1263),"")</f>
        <v/>
      </c>
    </row>
    <row r="1265">
      <c r="A1265" t="n">
        <v>1265</v>
      </c>
      <c r="B1265">
        <f>IF(INDEX('Data Entry'!$H$5:$BE$10004,1265-4,'Visual SPC'!$B$3)="",0,IF(AND(OR('Visual SPC'!$C$4="",'Data Entry'!$C1265&gt;='Visual SPC'!$C$4),OR('Visual SPC'!$E$4="",'Data Entry'!$C1265&lt;='Visual SPC'!$E$4),OR('Visual SPC'!$G$4="",'Data Entry'!$D1265='Visual SPC'!$G$4),OR('Visual SPC'!$I$4="",'Data Entry'!$E1265='Visual SPC'!$I$4),OR('Visual SPC'!$K$4="",'Data Entry'!$F1265='Visual SPC'!$K$4)),1,0))</f>
        <v/>
      </c>
      <c r="C1265">
        <f>C1264+B1265</f>
        <v/>
      </c>
      <c r="D1265">
        <f>IF(B1265=1,INDEX('Data Entry'!$H$5:$BE$10004,1265-4,'Visual SPC'!$B$3),"")</f>
        <v/>
      </c>
      <c r="E1265">
        <f>IF(B1265=1,D1265,E1264)</f>
        <v/>
      </c>
      <c r="F1265">
        <f>IF(AND(B1265=1,C1265&gt;1,E1264&lt;&gt;""),ABS(D1265-E1264),"")</f>
        <v/>
      </c>
    </row>
    <row r="1266">
      <c r="A1266" t="n">
        <v>1266</v>
      </c>
      <c r="B1266">
        <f>IF(INDEX('Data Entry'!$H$5:$BE$10004,1266-4,'Visual SPC'!$B$3)="",0,IF(AND(OR('Visual SPC'!$C$4="",'Data Entry'!$C1266&gt;='Visual SPC'!$C$4),OR('Visual SPC'!$E$4="",'Data Entry'!$C1266&lt;='Visual SPC'!$E$4),OR('Visual SPC'!$G$4="",'Data Entry'!$D1266='Visual SPC'!$G$4),OR('Visual SPC'!$I$4="",'Data Entry'!$E1266='Visual SPC'!$I$4),OR('Visual SPC'!$K$4="",'Data Entry'!$F1266='Visual SPC'!$K$4)),1,0))</f>
        <v/>
      </c>
      <c r="C1266">
        <f>C1265+B1266</f>
        <v/>
      </c>
      <c r="D1266">
        <f>IF(B1266=1,INDEX('Data Entry'!$H$5:$BE$10004,1266-4,'Visual SPC'!$B$3),"")</f>
        <v/>
      </c>
      <c r="E1266">
        <f>IF(B1266=1,D1266,E1265)</f>
        <v/>
      </c>
      <c r="F1266">
        <f>IF(AND(B1266=1,C1266&gt;1,E1265&lt;&gt;""),ABS(D1266-E1265),"")</f>
        <v/>
      </c>
    </row>
    <row r="1267">
      <c r="A1267" t="n">
        <v>1267</v>
      </c>
      <c r="B1267">
        <f>IF(INDEX('Data Entry'!$H$5:$BE$10004,1267-4,'Visual SPC'!$B$3)="",0,IF(AND(OR('Visual SPC'!$C$4="",'Data Entry'!$C1267&gt;='Visual SPC'!$C$4),OR('Visual SPC'!$E$4="",'Data Entry'!$C1267&lt;='Visual SPC'!$E$4),OR('Visual SPC'!$G$4="",'Data Entry'!$D1267='Visual SPC'!$G$4),OR('Visual SPC'!$I$4="",'Data Entry'!$E1267='Visual SPC'!$I$4),OR('Visual SPC'!$K$4="",'Data Entry'!$F1267='Visual SPC'!$K$4)),1,0))</f>
        <v/>
      </c>
      <c r="C1267">
        <f>C1266+B1267</f>
        <v/>
      </c>
      <c r="D1267">
        <f>IF(B1267=1,INDEX('Data Entry'!$H$5:$BE$10004,1267-4,'Visual SPC'!$B$3),"")</f>
        <v/>
      </c>
      <c r="E1267">
        <f>IF(B1267=1,D1267,E1266)</f>
        <v/>
      </c>
      <c r="F1267">
        <f>IF(AND(B1267=1,C1267&gt;1,E1266&lt;&gt;""),ABS(D1267-E1266),"")</f>
        <v/>
      </c>
    </row>
    <row r="1268">
      <c r="A1268" t="n">
        <v>1268</v>
      </c>
      <c r="B1268">
        <f>IF(INDEX('Data Entry'!$H$5:$BE$10004,1268-4,'Visual SPC'!$B$3)="",0,IF(AND(OR('Visual SPC'!$C$4="",'Data Entry'!$C1268&gt;='Visual SPC'!$C$4),OR('Visual SPC'!$E$4="",'Data Entry'!$C1268&lt;='Visual SPC'!$E$4),OR('Visual SPC'!$G$4="",'Data Entry'!$D1268='Visual SPC'!$G$4),OR('Visual SPC'!$I$4="",'Data Entry'!$E1268='Visual SPC'!$I$4),OR('Visual SPC'!$K$4="",'Data Entry'!$F1268='Visual SPC'!$K$4)),1,0))</f>
        <v/>
      </c>
      <c r="C1268">
        <f>C1267+B1268</f>
        <v/>
      </c>
      <c r="D1268">
        <f>IF(B1268=1,INDEX('Data Entry'!$H$5:$BE$10004,1268-4,'Visual SPC'!$B$3),"")</f>
        <v/>
      </c>
      <c r="E1268">
        <f>IF(B1268=1,D1268,E1267)</f>
        <v/>
      </c>
      <c r="F1268">
        <f>IF(AND(B1268=1,C1268&gt;1,E1267&lt;&gt;""),ABS(D1268-E1267),"")</f>
        <v/>
      </c>
    </row>
    <row r="1269">
      <c r="A1269" t="n">
        <v>1269</v>
      </c>
      <c r="B1269">
        <f>IF(INDEX('Data Entry'!$H$5:$BE$10004,1269-4,'Visual SPC'!$B$3)="",0,IF(AND(OR('Visual SPC'!$C$4="",'Data Entry'!$C1269&gt;='Visual SPC'!$C$4),OR('Visual SPC'!$E$4="",'Data Entry'!$C1269&lt;='Visual SPC'!$E$4),OR('Visual SPC'!$G$4="",'Data Entry'!$D1269='Visual SPC'!$G$4),OR('Visual SPC'!$I$4="",'Data Entry'!$E1269='Visual SPC'!$I$4),OR('Visual SPC'!$K$4="",'Data Entry'!$F1269='Visual SPC'!$K$4)),1,0))</f>
        <v/>
      </c>
      <c r="C1269">
        <f>C1268+B1269</f>
        <v/>
      </c>
      <c r="D1269">
        <f>IF(B1269=1,INDEX('Data Entry'!$H$5:$BE$10004,1269-4,'Visual SPC'!$B$3),"")</f>
        <v/>
      </c>
      <c r="E1269">
        <f>IF(B1269=1,D1269,E1268)</f>
        <v/>
      </c>
      <c r="F1269">
        <f>IF(AND(B1269=1,C1269&gt;1,E1268&lt;&gt;""),ABS(D1269-E1268),"")</f>
        <v/>
      </c>
    </row>
    <row r="1270">
      <c r="A1270" t="n">
        <v>1270</v>
      </c>
      <c r="B1270">
        <f>IF(INDEX('Data Entry'!$H$5:$BE$10004,1270-4,'Visual SPC'!$B$3)="",0,IF(AND(OR('Visual SPC'!$C$4="",'Data Entry'!$C1270&gt;='Visual SPC'!$C$4),OR('Visual SPC'!$E$4="",'Data Entry'!$C1270&lt;='Visual SPC'!$E$4),OR('Visual SPC'!$G$4="",'Data Entry'!$D1270='Visual SPC'!$G$4),OR('Visual SPC'!$I$4="",'Data Entry'!$E1270='Visual SPC'!$I$4),OR('Visual SPC'!$K$4="",'Data Entry'!$F1270='Visual SPC'!$K$4)),1,0))</f>
        <v/>
      </c>
      <c r="C1270">
        <f>C1269+B1270</f>
        <v/>
      </c>
      <c r="D1270">
        <f>IF(B1270=1,INDEX('Data Entry'!$H$5:$BE$10004,1270-4,'Visual SPC'!$B$3),"")</f>
        <v/>
      </c>
      <c r="E1270">
        <f>IF(B1270=1,D1270,E1269)</f>
        <v/>
      </c>
      <c r="F1270">
        <f>IF(AND(B1270=1,C1270&gt;1,E1269&lt;&gt;""),ABS(D1270-E1269),"")</f>
        <v/>
      </c>
    </row>
    <row r="1271">
      <c r="A1271" t="n">
        <v>1271</v>
      </c>
      <c r="B1271">
        <f>IF(INDEX('Data Entry'!$H$5:$BE$10004,1271-4,'Visual SPC'!$B$3)="",0,IF(AND(OR('Visual SPC'!$C$4="",'Data Entry'!$C1271&gt;='Visual SPC'!$C$4),OR('Visual SPC'!$E$4="",'Data Entry'!$C1271&lt;='Visual SPC'!$E$4),OR('Visual SPC'!$G$4="",'Data Entry'!$D1271='Visual SPC'!$G$4),OR('Visual SPC'!$I$4="",'Data Entry'!$E1271='Visual SPC'!$I$4),OR('Visual SPC'!$K$4="",'Data Entry'!$F1271='Visual SPC'!$K$4)),1,0))</f>
        <v/>
      </c>
      <c r="C1271">
        <f>C1270+B1271</f>
        <v/>
      </c>
      <c r="D1271">
        <f>IF(B1271=1,INDEX('Data Entry'!$H$5:$BE$10004,1271-4,'Visual SPC'!$B$3),"")</f>
        <v/>
      </c>
      <c r="E1271">
        <f>IF(B1271=1,D1271,E1270)</f>
        <v/>
      </c>
      <c r="F1271">
        <f>IF(AND(B1271=1,C1271&gt;1,E1270&lt;&gt;""),ABS(D1271-E1270),"")</f>
        <v/>
      </c>
    </row>
    <row r="1272">
      <c r="A1272" t="n">
        <v>1272</v>
      </c>
      <c r="B1272">
        <f>IF(INDEX('Data Entry'!$H$5:$BE$10004,1272-4,'Visual SPC'!$B$3)="",0,IF(AND(OR('Visual SPC'!$C$4="",'Data Entry'!$C1272&gt;='Visual SPC'!$C$4),OR('Visual SPC'!$E$4="",'Data Entry'!$C1272&lt;='Visual SPC'!$E$4),OR('Visual SPC'!$G$4="",'Data Entry'!$D1272='Visual SPC'!$G$4),OR('Visual SPC'!$I$4="",'Data Entry'!$E1272='Visual SPC'!$I$4),OR('Visual SPC'!$K$4="",'Data Entry'!$F1272='Visual SPC'!$K$4)),1,0))</f>
        <v/>
      </c>
      <c r="C1272">
        <f>C1271+B1272</f>
        <v/>
      </c>
      <c r="D1272">
        <f>IF(B1272=1,INDEX('Data Entry'!$H$5:$BE$10004,1272-4,'Visual SPC'!$B$3),"")</f>
        <v/>
      </c>
      <c r="E1272">
        <f>IF(B1272=1,D1272,E1271)</f>
        <v/>
      </c>
      <c r="F1272">
        <f>IF(AND(B1272=1,C1272&gt;1,E1271&lt;&gt;""),ABS(D1272-E1271),"")</f>
        <v/>
      </c>
    </row>
    <row r="1273">
      <c r="A1273" t="n">
        <v>1273</v>
      </c>
      <c r="B1273">
        <f>IF(INDEX('Data Entry'!$H$5:$BE$10004,1273-4,'Visual SPC'!$B$3)="",0,IF(AND(OR('Visual SPC'!$C$4="",'Data Entry'!$C1273&gt;='Visual SPC'!$C$4),OR('Visual SPC'!$E$4="",'Data Entry'!$C1273&lt;='Visual SPC'!$E$4),OR('Visual SPC'!$G$4="",'Data Entry'!$D1273='Visual SPC'!$G$4),OR('Visual SPC'!$I$4="",'Data Entry'!$E1273='Visual SPC'!$I$4),OR('Visual SPC'!$K$4="",'Data Entry'!$F1273='Visual SPC'!$K$4)),1,0))</f>
        <v/>
      </c>
      <c r="C1273">
        <f>C1272+B1273</f>
        <v/>
      </c>
      <c r="D1273">
        <f>IF(B1273=1,INDEX('Data Entry'!$H$5:$BE$10004,1273-4,'Visual SPC'!$B$3),"")</f>
        <v/>
      </c>
      <c r="E1273">
        <f>IF(B1273=1,D1273,E1272)</f>
        <v/>
      </c>
      <c r="F1273">
        <f>IF(AND(B1273=1,C1273&gt;1,E1272&lt;&gt;""),ABS(D1273-E1272),"")</f>
        <v/>
      </c>
    </row>
    <row r="1274">
      <c r="A1274" t="n">
        <v>1274</v>
      </c>
      <c r="B1274">
        <f>IF(INDEX('Data Entry'!$H$5:$BE$10004,1274-4,'Visual SPC'!$B$3)="",0,IF(AND(OR('Visual SPC'!$C$4="",'Data Entry'!$C1274&gt;='Visual SPC'!$C$4),OR('Visual SPC'!$E$4="",'Data Entry'!$C1274&lt;='Visual SPC'!$E$4),OR('Visual SPC'!$G$4="",'Data Entry'!$D1274='Visual SPC'!$G$4),OR('Visual SPC'!$I$4="",'Data Entry'!$E1274='Visual SPC'!$I$4),OR('Visual SPC'!$K$4="",'Data Entry'!$F1274='Visual SPC'!$K$4)),1,0))</f>
        <v/>
      </c>
      <c r="C1274">
        <f>C1273+B1274</f>
        <v/>
      </c>
      <c r="D1274">
        <f>IF(B1274=1,INDEX('Data Entry'!$H$5:$BE$10004,1274-4,'Visual SPC'!$B$3),"")</f>
        <v/>
      </c>
      <c r="E1274">
        <f>IF(B1274=1,D1274,E1273)</f>
        <v/>
      </c>
      <c r="F1274">
        <f>IF(AND(B1274=1,C1274&gt;1,E1273&lt;&gt;""),ABS(D1274-E1273),"")</f>
        <v/>
      </c>
    </row>
    <row r="1275">
      <c r="A1275" t="n">
        <v>1275</v>
      </c>
      <c r="B1275">
        <f>IF(INDEX('Data Entry'!$H$5:$BE$10004,1275-4,'Visual SPC'!$B$3)="",0,IF(AND(OR('Visual SPC'!$C$4="",'Data Entry'!$C1275&gt;='Visual SPC'!$C$4),OR('Visual SPC'!$E$4="",'Data Entry'!$C1275&lt;='Visual SPC'!$E$4),OR('Visual SPC'!$G$4="",'Data Entry'!$D1275='Visual SPC'!$G$4),OR('Visual SPC'!$I$4="",'Data Entry'!$E1275='Visual SPC'!$I$4),OR('Visual SPC'!$K$4="",'Data Entry'!$F1275='Visual SPC'!$K$4)),1,0))</f>
        <v/>
      </c>
      <c r="C1275">
        <f>C1274+B1275</f>
        <v/>
      </c>
      <c r="D1275">
        <f>IF(B1275=1,INDEX('Data Entry'!$H$5:$BE$10004,1275-4,'Visual SPC'!$B$3),"")</f>
        <v/>
      </c>
      <c r="E1275">
        <f>IF(B1275=1,D1275,E1274)</f>
        <v/>
      </c>
      <c r="F1275">
        <f>IF(AND(B1275=1,C1275&gt;1,E1274&lt;&gt;""),ABS(D1275-E1274),"")</f>
        <v/>
      </c>
    </row>
    <row r="1276">
      <c r="A1276" t="n">
        <v>1276</v>
      </c>
      <c r="B1276">
        <f>IF(INDEX('Data Entry'!$H$5:$BE$10004,1276-4,'Visual SPC'!$B$3)="",0,IF(AND(OR('Visual SPC'!$C$4="",'Data Entry'!$C1276&gt;='Visual SPC'!$C$4),OR('Visual SPC'!$E$4="",'Data Entry'!$C1276&lt;='Visual SPC'!$E$4),OR('Visual SPC'!$G$4="",'Data Entry'!$D1276='Visual SPC'!$G$4),OR('Visual SPC'!$I$4="",'Data Entry'!$E1276='Visual SPC'!$I$4),OR('Visual SPC'!$K$4="",'Data Entry'!$F1276='Visual SPC'!$K$4)),1,0))</f>
        <v/>
      </c>
      <c r="C1276">
        <f>C1275+B1276</f>
        <v/>
      </c>
      <c r="D1276">
        <f>IF(B1276=1,INDEX('Data Entry'!$H$5:$BE$10004,1276-4,'Visual SPC'!$B$3),"")</f>
        <v/>
      </c>
      <c r="E1276">
        <f>IF(B1276=1,D1276,E1275)</f>
        <v/>
      </c>
      <c r="F1276">
        <f>IF(AND(B1276=1,C1276&gt;1,E1275&lt;&gt;""),ABS(D1276-E1275),"")</f>
        <v/>
      </c>
    </row>
    <row r="1277">
      <c r="A1277" t="n">
        <v>1277</v>
      </c>
      <c r="B1277">
        <f>IF(INDEX('Data Entry'!$H$5:$BE$10004,1277-4,'Visual SPC'!$B$3)="",0,IF(AND(OR('Visual SPC'!$C$4="",'Data Entry'!$C1277&gt;='Visual SPC'!$C$4),OR('Visual SPC'!$E$4="",'Data Entry'!$C1277&lt;='Visual SPC'!$E$4),OR('Visual SPC'!$G$4="",'Data Entry'!$D1277='Visual SPC'!$G$4),OR('Visual SPC'!$I$4="",'Data Entry'!$E1277='Visual SPC'!$I$4),OR('Visual SPC'!$K$4="",'Data Entry'!$F1277='Visual SPC'!$K$4)),1,0))</f>
        <v/>
      </c>
      <c r="C1277">
        <f>C1276+B1277</f>
        <v/>
      </c>
      <c r="D1277">
        <f>IF(B1277=1,INDEX('Data Entry'!$H$5:$BE$10004,1277-4,'Visual SPC'!$B$3),"")</f>
        <v/>
      </c>
      <c r="E1277">
        <f>IF(B1277=1,D1277,E1276)</f>
        <v/>
      </c>
      <c r="F1277">
        <f>IF(AND(B1277=1,C1277&gt;1,E1276&lt;&gt;""),ABS(D1277-E1276),"")</f>
        <v/>
      </c>
    </row>
    <row r="1278">
      <c r="A1278" t="n">
        <v>1278</v>
      </c>
      <c r="B1278">
        <f>IF(INDEX('Data Entry'!$H$5:$BE$10004,1278-4,'Visual SPC'!$B$3)="",0,IF(AND(OR('Visual SPC'!$C$4="",'Data Entry'!$C1278&gt;='Visual SPC'!$C$4),OR('Visual SPC'!$E$4="",'Data Entry'!$C1278&lt;='Visual SPC'!$E$4),OR('Visual SPC'!$G$4="",'Data Entry'!$D1278='Visual SPC'!$G$4),OR('Visual SPC'!$I$4="",'Data Entry'!$E1278='Visual SPC'!$I$4),OR('Visual SPC'!$K$4="",'Data Entry'!$F1278='Visual SPC'!$K$4)),1,0))</f>
        <v/>
      </c>
      <c r="C1278">
        <f>C1277+B1278</f>
        <v/>
      </c>
      <c r="D1278">
        <f>IF(B1278=1,INDEX('Data Entry'!$H$5:$BE$10004,1278-4,'Visual SPC'!$B$3),"")</f>
        <v/>
      </c>
      <c r="E1278">
        <f>IF(B1278=1,D1278,E1277)</f>
        <v/>
      </c>
      <c r="F1278">
        <f>IF(AND(B1278=1,C1278&gt;1,E1277&lt;&gt;""),ABS(D1278-E1277),"")</f>
        <v/>
      </c>
    </row>
    <row r="1279">
      <c r="A1279" t="n">
        <v>1279</v>
      </c>
      <c r="B1279">
        <f>IF(INDEX('Data Entry'!$H$5:$BE$10004,1279-4,'Visual SPC'!$B$3)="",0,IF(AND(OR('Visual SPC'!$C$4="",'Data Entry'!$C1279&gt;='Visual SPC'!$C$4),OR('Visual SPC'!$E$4="",'Data Entry'!$C1279&lt;='Visual SPC'!$E$4),OR('Visual SPC'!$G$4="",'Data Entry'!$D1279='Visual SPC'!$G$4),OR('Visual SPC'!$I$4="",'Data Entry'!$E1279='Visual SPC'!$I$4),OR('Visual SPC'!$K$4="",'Data Entry'!$F1279='Visual SPC'!$K$4)),1,0))</f>
        <v/>
      </c>
      <c r="C1279">
        <f>C1278+B1279</f>
        <v/>
      </c>
      <c r="D1279">
        <f>IF(B1279=1,INDEX('Data Entry'!$H$5:$BE$10004,1279-4,'Visual SPC'!$B$3),"")</f>
        <v/>
      </c>
      <c r="E1279">
        <f>IF(B1279=1,D1279,E1278)</f>
        <v/>
      </c>
      <c r="F1279">
        <f>IF(AND(B1279=1,C1279&gt;1,E1278&lt;&gt;""),ABS(D1279-E1278),"")</f>
        <v/>
      </c>
    </row>
    <row r="1280">
      <c r="A1280" t="n">
        <v>1280</v>
      </c>
      <c r="B1280">
        <f>IF(INDEX('Data Entry'!$H$5:$BE$10004,1280-4,'Visual SPC'!$B$3)="",0,IF(AND(OR('Visual SPC'!$C$4="",'Data Entry'!$C1280&gt;='Visual SPC'!$C$4),OR('Visual SPC'!$E$4="",'Data Entry'!$C1280&lt;='Visual SPC'!$E$4),OR('Visual SPC'!$G$4="",'Data Entry'!$D1280='Visual SPC'!$G$4),OR('Visual SPC'!$I$4="",'Data Entry'!$E1280='Visual SPC'!$I$4),OR('Visual SPC'!$K$4="",'Data Entry'!$F1280='Visual SPC'!$K$4)),1,0))</f>
        <v/>
      </c>
      <c r="C1280">
        <f>C1279+B1280</f>
        <v/>
      </c>
      <c r="D1280">
        <f>IF(B1280=1,INDEX('Data Entry'!$H$5:$BE$10004,1280-4,'Visual SPC'!$B$3),"")</f>
        <v/>
      </c>
      <c r="E1280">
        <f>IF(B1280=1,D1280,E1279)</f>
        <v/>
      </c>
      <c r="F1280">
        <f>IF(AND(B1280=1,C1280&gt;1,E1279&lt;&gt;""),ABS(D1280-E1279),"")</f>
        <v/>
      </c>
    </row>
    <row r="1281">
      <c r="A1281" t="n">
        <v>1281</v>
      </c>
      <c r="B1281">
        <f>IF(INDEX('Data Entry'!$H$5:$BE$10004,1281-4,'Visual SPC'!$B$3)="",0,IF(AND(OR('Visual SPC'!$C$4="",'Data Entry'!$C1281&gt;='Visual SPC'!$C$4),OR('Visual SPC'!$E$4="",'Data Entry'!$C1281&lt;='Visual SPC'!$E$4),OR('Visual SPC'!$G$4="",'Data Entry'!$D1281='Visual SPC'!$G$4),OR('Visual SPC'!$I$4="",'Data Entry'!$E1281='Visual SPC'!$I$4),OR('Visual SPC'!$K$4="",'Data Entry'!$F1281='Visual SPC'!$K$4)),1,0))</f>
        <v/>
      </c>
      <c r="C1281">
        <f>C1280+B1281</f>
        <v/>
      </c>
      <c r="D1281">
        <f>IF(B1281=1,INDEX('Data Entry'!$H$5:$BE$10004,1281-4,'Visual SPC'!$B$3),"")</f>
        <v/>
      </c>
      <c r="E1281">
        <f>IF(B1281=1,D1281,E1280)</f>
        <v/>
      </c>
      <c r="F1281">
        <f>IF(AND(B1281=1,C1281&gt;1,E1280&lt;&gt;""),ABS(D1281-E1280),"")</f>
        <v/>
      </c>
    </row>
    <row r="1282">
      <c r="A1282" t="n">
        <v>1282</v>
      </c>
      <c r="B1282">
        <f>IF(INDEX('Data Entry'!$H$5:$BE$10004,1282-4,'Visual SPC'!$B$3)="",0,IF(AND(OR('Visual SPC'!$C$4="",'Data Entry'!$C1282&gt;='Visual SPC'!$C$4),OR('Visual SPC'!$E$4="",'Data Entry'!$C1282&lt;='Visual SPC'!$E$4),OR('Visual SPC'!$G$4="",'Data Entry'!$D1282='Visual SPC'!$G$4),OR('Visual SPC'!$I$4="",'Data Entry'!$E1282='Visual SPC'!$I$4),OR('Visual SPC'!$K$4="",'Data Entry'!$F1282='Visual SPC'!$K$4)),1,0))</f>
        <v/>
      </c>
      <c r="C1282">
        <f>C1281+B1282</f>
        <v/>
      </c>
      <c r="D1282">
        <f>IF(B1282=1,INDEX('Data Entry'!$H$5:$BE$10004,1282-4,'Visual SPC'!$B$3),"")</f>
        <v/>
      </c>
      <c r="E1282">
        <f>IF(B1282=1,D1282,E1281)</f>
        <v/>
      </c>
      <c r="F1282">
        <f>IF(AND(B1282=1,C1282&gt;1,E1281&lt;&gt;""),ABS(D1282-E1281),"")</f>
        <v/>
      </c>
    </row>
    <row r="1283">
      <c r="A1283" t="n">
        <v>1283</v>
      </c>
      <c r="B1283">
        <f>IF(INDEX('Data Entry'!$H$5:$BE$10004,1283-4,'Visual SPC'!$B$3)="",0,IF(AND(OR('Visual SPC'!$C$4="",'Data Entry'!$C1283&gt;='Visual SPC'!$C$4),OR('Visual SPC'!$E$4="",'Data Entry'!$C1283&lt;='Visual SPC'!$E$4),OR('Visual SPC'!$G$4="",'Data Entry'!$D1283='Visual SPC'!$G$4),OR('Visual SPC'!$I$4="",'Data Entry'!$E1283='Visual SPC'!$I$4),OR('Visual SPC'!$K$4="",'Data Entry'!$F1283='Visual SPC'!$K$4)),1,0))</f>
        <v/>
      </c>
      <c r="C1283">
        <f>C1282+B1283</f>
        <v/>
      </c>
      <c r="D1283">
        <f>IF(B1283=1,INDEX('Data Entry'!$H$5:$BE$10004,1283-4,'Visual SPC'!$B$3),"")</f>
        <v/>
      </c>
      <c r="E1283">
        <f>IF(B1283=1,D1283,E1282)</f>
        <v/>
      </c>
      <c r="F1283">
        <f>IF(AND(B1283=1,C1283&gt;1,E1282&lt;&gt;""),ABS(D1283-E1282),"")</f>
        <v/>
      </c>
    </row>
    <row r="1284">
      <c r="A1284" t="n">
        <v>1284</v>
      </c>
      <c r="B1284">
        <f>IF(INDEX('Data Entry'!$H$5:$BE$10004,1284-4,'Visual SPC'!$B$3)="",0,IF(AND(OR('Visual SPC'!$C$4="",'Data Entry'!$C1284&gt;='Visual SPC'!$C$4),OR('Visual SPC'!$E$4="",'Data Entry'!$C1284&lt;='Visual SPC'!$E$4),OR('Visual SPC'!$G$4="",'Data Entry'!$D1284='Visual SPC'!$G$4),OR('Visual SPC'!$I$4="",'Data Entry'!$E1284='Visual SPC'!$I$4),OR('Visual SPC'!$K$4="",'Data Entry'!$F1284='Visual SPC'!$K$4)),1,0))</f>
        <v/>
      </c>
      <c r="C1284">
        <f>C1283+B1284</f>
        <v/>
      </c>
      <c r="D1284">
        <f>IF(B1284=1,INDEX('Data Entry'!$H$5:$BE$10004,1284-4,'Visual SPC'!$B$3),"")</f>
        <v/>
      </c>
      <c r="E1284">
        <f>IF(B1284=1,D1284,E1283)</f>
        <v/>
      </c>
      <c r="F1284">
        <f>IF(AND(B1284=1,C1284&gt;1,E1283&lt;&gt;""),ABS(D1284-E1283),"")</f>
        <v/>
      </c>
    </row>
    <row r="1285">
      <c r="A1285" t="n">
        <v>1285</v>
      </c>
      <c r="B1285">
        <f>IF(INDEX('Data Entry'!$H$5:$BE$10004,1285-4,'Visual SPC'!$B$3)="",0,IF(AND(OR('Visual SPC'!$C$4="",'Data Entry'!$C1285&gt;='Visual SPC'!$C$4),OR('Visual SPC'!$E$4="",'Data Entry'!$C1285&lt;='Visual SPC'!$E$4),OR('Visual SPC'!$G$4="",'Data Entry'!$D1285='Visual SPC'!$G$4),OR('Visual SPC'!$I$4="",'Data Entry'!$E1285='Visual SPC'!$I$4),OR('Visual SPC'!$K$4="",'Data Entry'!$F1285='Visual SPC'!$K$4)),1,0))</f>
        <v/>
      </c>
      <c r="C1285">
        <f>C1284+B1285</f>
        <v/>
      </c>
      <c r="D1285">
        <f>IF(B1285=1,INDEX('Data Entry'!$H$5:$BE$10004,1285-4,'Visual SPC'!$B$3),"")</f>
        <v/>
      </c>
      <c r="E1285">
        <f>IF(B1285=1,D1285,E1284)</f>
        <v/>
      </c>
      <c r="F1285">
        <f>IF(AND(B1285=1,C1285&gt;1,E1284&lt;&gt;""),ABS(D1285-E1284),"")</f>
        <v/>
      </c>
    </row>
    <row r="1286">
      <c r="A1286" t="n">
        <v>1286</v>
      </c>
      <c r="B1286">
        <f>IF(INDEX('Data Entry'!$H$5:$BE$10004,1286-4,'Visual SPC'!$B$3)="",0,IF(AND(OR('Visual SPC'!$C$4="",'Data Entry'!$C1286&gt;='Visual SPC'!$C$4),OR('Visual SPC'!$E$4="",'Data Entry'!$C1286&lt;='Visual SPC'!$E$4),OR('Visual SPC'!$G$4="",'Data Entry'!$D1286='Visual SPC'!$G$4),OR('Visual SPC'!$I$4="",'Data Entry'!$E1286='Visual SPC'!$I$4),OR('Visual SPC'!$K$4="",'Data Entry'!$F1286='Visual SPC'!$K$4)),1,0))</f>
        <v/>
      </c>
      <c r="C1286">
        <f>C1285+B1286</f>
        <v/>
      </c>
      <c r="D1286">
        <f>IF(B1286=1,INDEX('Data Entry'!$H$5:$BE$10004,1286-4,'Visual SPC'!$B$3),"")</f>
        <v/>
      </c>
      <c r="E1286">
        <f>IF(B1286=1,D1286,E1285)</f>
        <v/>
      </c>
      <c r="F1286">
        <f>IF(AND(B1286=1,C1286&gt;1,E1285&lt;&gt;""),ABS(D1286-E1285),"")</f>
        <v/>
      </c>
    </row>
    <row r="1287">
      <c r="A1287" t="n">
        <v>1287</v>
      </c>
      <c r="B1287">
        <f>IF(INDEX('Data Entry'!$H$5:$BE$10004,1287-4,'Visual SPC'!$B$3)="",0,IF(AND(OR('Visual SPC'!$C$4="",'Data Entry'!$C1287&gt;='Visual SPC'!$C$4),OR('Visual SPC'!$E$4="",'Data Entry'!$C1287&lt;='Visual SPC'!$E$4),OR('Visual SPC'!$G$4="",'Data Entry'!$D1287='Visual SPC'!$G$4),OR('Visual SPC'!$I$4="",'Data Entry'!$E1287='Visual SPC'!$I$4),OR('Visual SPC'!$K$4="",'Data Entry'!$F1287='Visual SPC'!$K$4)),1,0))</f>
        <v/>
      </c>
      <c r="C1287">
        <f>C1286+B1287</f>
        <v/>
      </c>
      <c r="D1287">
        <f>IF(B1287=1,INDEX('Data Entry'!$H$5:$BE$10004,1287-4,'Visual SPC'!$B$3),"")</f>
        <v/>
      </c>
      <c r="E1287">
        <f>IF(B1287=1,D1287,E1286)</f>
        <v/>
      </c>
      <c r="F1287">
        <f>IF(AND(B1287=1,C1287&gt;1,E1286&lt;&gt;""),ABS(D1287-E1286),"")</f>
        <v/>
      </c>
    </row>
    <row r="1288">
      <c r="A1288" t="n">
        <v>1288</v>
      </c>
      <c r="B1288">
        <f>IF(INDEX('Data Entry'!$H$5:$BE$10004,1288-4,'Visual SPC'!$B$3)="",0,IF(AND(OR('Visual SPC'!$C$4="",'Data Entry'!$C1288&gt;='Visual SPC'!$C$4),OR('Visual SPC'!$E$4="",'Data Entry'!$C1288&lt;='Visual SPC'!$E$4),OR('Visual SPC'!$G$4="",'Data Entry'!$D1288='Visual SPC'!$G$4),OR('Visual SPC'!$I$4="",'Data Entry'!$E1288='Visual SPC'!$I$4),OR('Visual SPC'!$K$4="",'Data Entry'!$F1288='Visual SPC'!$K$4)),1,0))</f>
        <v/>
      </c>
      <c r="C1288">
        <f>C1287+B1288</f>
        <v/>
      </c>
      <c r="D1288">
        <f>IF(B1288=1,INDEX('Data Entry'!$H$5:$BE$10004,1288-4,'Visual SPC'!$B$3),"")</f>
        <v/>
      </c>
      <c r="E1288">
        <f>IF(B1288=1,D1288,E1287)</f>
        <v/>
      </c>
      <c r="F1288">
        <f>IF(AND(B1288=1,C1288&gt;1,E1287&lt;&gt;""),ABS(D1288-E1287),"")</f>
        <v/>
      </c>
    </row>
    <row r="1289">
      <c r="A1289" t="n">
        <v>1289</v>
      </c>
      <c r="B1289">
        <f>IF(INDEX('Data Entry'!$H$5:$BE$10004,1289-4,'Visual SPC'!$B$3)="",0,IF(AND(OR('Visual SPC'!$C$4="",'Data Entry'!$C1289&gt;='Visual SPC'!$C$4),OR('Visual SPC'!$E$4="",'Data Entry'!$C1289&lt;='Visual SPC'!$E$4),OR('Visual SPC'!$G$4="",'Data Entry'!$D1289='Visual SPC'!$G$4),OR('Visual SPC'!$I$4="",'Data Entry'!$E1289='Visual SPC'!$I$4),OR('Visual SPC'!$K$4="",'Data Entry'!$F1289='Visual SPC'!$K$4)),1,0))</f>
        <v/>
      </c>
      <c r="C1289">
        <f>C1288+B1289</f>
        <v/>
      </c>
      <c r="D1289">
        <f>IF(B1289=1,INDEX('Data Entry'!$H$5:$BE$10004,1289-4,'Visual SPC'!$B$3),"")</f>
        <v/>
      </c>
      <c r="E1289">
        <f>IF(B1289=1,D1289,E1288)</f>
        <v/>
      </c>
      <c r="F1289">
        <f>IF(AND(B1289=1,C1289&gt;1,E1288&lt;&gt;""),ABS(D1289-E1288),"")</f>
        <v/>
      </c>
    </row>
    <row r="1290">
      <c r="A1290" t="n">
        <v>1290</v>
      </c>
      <c r="B1290">
        <f>IF(INDEX('Data Entry'!$H$5:$BE$10004,1290-4,'Visual SPC'!$B$3)="",0,IF(AND(OR('Visual SPC'!$C$4="",'Data Entry'!$C1290&gt;='Visual SPC'!$C$4),OR('Visual SPC'!$E$4="",'Data Entry'!$C1290&lt;='Visual SPC'!$E$4),OR('Visual SPC'!$G$4="",'Data Entry'!$D1290='Visual SPC'!$G$4),OR('Visual SPC'!$I$4="",'Data Entry'!$E1290='Visual SPC'!$I$4),OR('Visual SPC'!$K$4="",'Data Entry'!$F1290='Visual SPC'!$K$4)),1,0))</f>
        <v/>
      </c>
      <c r="C1290">
        <f>C1289+B1290</f>
        <v/>
      </c>
      <c r="D1290">
        <f>IF(B1290=1,INDEX('Data Entry'!$H$5:$BE$10004,1290-4,'Visual SPC'!$B$3),"")</f>
        <v/>
      </c>
      <c r="E1290">
        <f>IF(B1290=1,D1290,E1289)</f>
        <v/>
      </c>
      <c r="F1290">
        <f>IF(AND(B1290=1,C1290&gt;1,E1289&lt;&gt;""),ABS(D1290-E1289),"")</f>
        <v/>
      </c>
    </row>
    <row r="1291">
      <c r="A1291" t="n">
        <v>1291</v>
      </c>
      <c r="B1291">
        <f>IF(INDEX('Data Entry'!$H$5:$BE$10004,1291-4,'Visual SPC'!$B$3)="",0,IF(AND(OR('Visual SPC'!$C$4="",'Data Entry'!$C1291&gt;='Visual SPC'!$C$4),OR('Visual SPC'!$E$4="",'Data Entry'!$C1291&lt;='Visual SPC'!$E$4),OR('Visual SPC'!$G$4="",'Data Entry'!$D1291='Visual SPC'!$G$4),OR('Visual SPC'!$I$4="",'Data Entry'!$E1291='Visual SPC'!$I$4),OR('Visual SPC'!$K$4="",'Data Entry'!$F1291='Visual SPC'!$K$4)),1,0))</f>
        <v/>
      </c>
      <c r="C1291">
        <f>C1290+B1291</f>
        <v/>
      </c>
      <c r="D1291">
        <f>IF(B1291=1,INDEX('Data Entry'!$H$5:$BE$10004,1291-4,'Visual SPC'!$B$3),"")</f>
        <v/>
      </c>
      <c r="E1291">
        <f>IF(B1291=1,D1291,E1290)</f>
        <v/>
      </c>
      <c r="F1291">
        <f>IF(AND(B1291=1,C1291&gt;1,E1290&lt;&gt;""),ABS(D1291-E1290),"")</f>
        <v/>
      </c>
    </row>
    <row r="1292">
      <c r="A1292" t="n">
        <v>1292</v>
      </c>
      <c r="B1292">
        <f>IF(INDEX('Data Entry'!$H$5:$BE$10004,1292-4,'Visual SPC'!$B$3)="",0,IF(AND(OR('Visual SPC'!$C$4="",'Data Entry'!$C1292&gt;='Visual SPC'!$C$4),OR('Visual SPC'!$E$4="",'Data Entry'!$C1292&lt;='Visual SPC'!$E$4),OR('Visual SPC'!$G$4="",'Data Entry'!$D1292='Visual SPC'!$G$4),OR('Visual SPC'!$I$4="",'Data Entry'!$E1292='Visual SPC'!$I$4),OR('Visual SPC'!$K$4="",'Data Entry'!$F1292='Visual SPC'!$K$4)),1,0))</f>
        <v/>
      </c>
      <c r="C1292">
        <f>C1291+B1292</f>
        <v/>
      </c>
      <c r="D1292">
        <f>IF(B1292=1,INDEX('Data Entry'!$H$5:$BE$10004,1292-4,'Visual SPC'!$B$3),"")</f>
        <v/>
      </c>
      <c r="E1292">
        <f>IF(B1292=1,D1292,E1291)</f>
        <v/>
      </c>
      <c r="F1292">
        <f>IF(AND(B1292=1,C1292&gt;1,E1291&lt;&gt;""),ABS(D1292-E1291),"")</f>
        <v/>
      </c>
    </row>
    <row r="1293">
      <c r="A1293" t="n">
        <v>1293</v>
      </c>
      <c r="B1293">
        <f>IF(INDEX('Data Entry'!$H$5:$BE$10004,1293-4,'Visual SPC'!$B$3)="",0,IF(AND(OR('Visual SPC'!$C$4="",'Data Entry'!$C1293&gt;='Visual SPC'!$C$4),OR('Visual SPC'!$E$4="",'Data Entry'!$C1293&lt;='Visual SPC'!$E$4),OR('Visual SPC'!$G$4="",'Data Entry'!$D1293='Visual SPC'!$G$4),OR('Visual SPC'!$I$4="",'Data Entry'!$E1293='Visual SPC'!$I$4),OR('Visual SPC'!$K$4="",'Data Entry'!$F1293='Visual SPC'!$K$4)),1,0))</f>
        <v/>
      </c>
      <c r="C1293">
        <f>C1292+B1293</f>
        <v/>
      </c>
      <c r="D1293">
        <f>IF(B1293=1,INDEX('Data Entry'!$H$5:$BE$10004,1293-4,'Visual SPC'!$B$3),"")</f>
        <v/>
      </c>
      <c r="E1293">
        <f>IF(B1293=1,D1293,E1292)</f>
        <v/>
      </c>
      <c r="F1293">
        <f>IF(AND(B1293=1,C1293&gt;1,E1292&lt;&gt;""),ABS(D1293-E1292),"")</f>
        <v/>
      </c>
    </row>
    <row r="1294">
      <c r="A1294" t="n">
        <v>1294</v>
      </c>
      <c r="B1294">
        <f>IF(INDEX('Data Entry'!$H$5:$BE$10004,1294-4,'Visual SPC'!$B$3)="",0,IF(AND(OR('Visual SPC'!$C$4="",'Data Entry'!$C1294&gt;='Visual SPC'!$C$4),OR('Visual SPC'!$E$4="",'Data Entry'!$C1294&lt;='Visual SPC'!$E$4),OR('Visual SPC'!$G$4="",'Data Entry'!$D1294='Visual SPC'!$G$4),OR('Visual SPC'!$I$4="",'Data Entry'!$E1294='Visual SPC'!$I$4),OR('Visual SPC'!$K$4="",'Data Entry'!$F1294='Visual SPC'!$K$4)),1,0))</f>
        <v/>
      </c>
      <c r="C1294">
        <f>C1293+B1294</f>
        <v/>
      </c>
      <c r="D1294">
        <f>IF(B1294=1,INDEX('Data Entry'!$H$5:$BE$10004,1294-4,'Visual SPC'!$B$3),"")</f>
        <v/>
      </c>
      <c r="E1294">
        <f>IF(B1294=1,D1294,E1293)</f>
        <v/>
      </c>
      <c r="F1294">
        <f>IF(AND(B1294=1,C1294&gt;1,E1293&lt;&gt;""),ABS(D1294-E1293),"")</f>
        <v/>
      </c>
    </row>
    <row r="1295">
      <c r="A1295" t="n">
        <v>1295</v>
      </c>
      <c r="B1295">
        <f>IF(INDEX('Data Entry'!$H$5:$BE$10004,1295-4,'Visual SPC'!$B$3)="",0,IF(AND(OR('Visual SPC'!$C$4="",'Data Entry'!$C1295&gt;='Visual SPC'!$C$4),OR('Visual SPC'!$E$4="",'Data Entry'!$C1295&lt;='Visual SPC'!$E$4),OR('Visual SPC'!$G$4="",'Data Entry'!$D1295='Visual SPC'!$G$4),OR('Visual SPC'!$I$4="",'Data Entry'!$E1295='Visual SPC'!$I$4),OR('Visual SPC'!$K$4="",'Data Entry'!$F1295='Visual SPC'!$K$4)),1,0))</f>
        <v/>
      </c>
      <c r="C1295">
        <f>C1294+B1295</f>
        <v/>
      </c>
      <c r="D1295">
        <f>IF(B1295=1,INDEX('Data Entry'!$H$5:$BE$10004,1295-4,'Visual SPC'!$B$3),"")</f>
        <v/>
      </c>
      <c r="E1295">
        <f>IF(B1295=1,D1295,E1294)</f>
        <v/>
      </c>
      <c r="F1295">
        <f>IF(AND(B1295=1,C1295&gt;1,E1294&lt;&gt;""),ABS(D1295-E1294),"")</f>
        <v/>
      </c>
    </row>
    <row r="1296">
      <c r="A1296" t="n">
        <v>1296</v>
      </c>
      <c r="B1296">
        <f>IF(INDEX('Data Entry'!$H$5:$BE$10004,1296-4,'Visual SPC'!$B$3)="",0,IF(AND(OR('Visual SPC'!$C$4="",'Data Entry'!$C1296&gt;='Visual SPC'!$C$4),OR('Visual SPC'!$E$4="",'Data Entry'!$C1296&lt;='Visual SPC'!$E$4),OR('Visual SPC'!$G$4="",'Data Entry'!$D1296='Visual SPC'!$G$4),OR('Visual SPC'!$I$4="",'Data Entry'!$E1296='Visual SPC'!$I$4),OR('Visual SPC'!$K$4="",'Data Entry'!$F1296='Visual SPC'!$K$4)),1,0))</f>
        <v/>
      </c>
      <c r="C1296">
        <f>C1295+B1296</f>
        <v/>
      </c>
      <c r="D1296">
        <f>IF(B1296=1,INDEX('Data Entry'!$H$5:$BE$10004,1296-4,'Visual SPC'!$B$3),"")</f>
        <v/>
      </c>
      <c r="E1296">
        <f>IF(B1296=1,D1296,E1295)</f>
        <v/>
      </c>
      <c r="F1296">
        <f>IF(AND(B1296=1,C1296&gt;1,E1295&lt;&gt;""),ABS(D1296-E1295),"")</f>
        <v/>
      </c>
    </row>
    <row r="1297">
      <c r="A1297" t="n">
        <v>1297</v>
      </c>
      <c r="B1297">
        <f>IF(INDEX('Data Entry'!$H$5:$BE$10004,1297-4,'Visual SPC'!$B$3)="",0,IF(AND(OR('Visual SPC'!$C$4="",'Data Entry'!$C1297&gt;='Visual SPC'!$C$4),OR('Visual SPC'!$E$4="",'Data Entry'!$C1297&lt;='Visual SPC'!$E$4),OR('Visual SPC'!$G$4="",'Data Entry'!$D1297='Visual SPC'!$G$4),OR('Visual SPC'!$I$4="",'Data Entry'!$E1297='Visual SPC'!$I$4),OR('Visual SPC'!$K$4="",'Data Entry'!$F1297='Visual SPC'!$K$4)),1,0))</f>
        <v/>
      </c>
      <c r="C1297">
        <f>C1296+B1297</f>
        <v/>
      </c>
      <c r="D1297">
        <f>IF(B1297=1,INDEX('Data Entry'!$H$5:$BE$10004,1297-4,'Visual SPC'!$B$3),"")</f>
        <v/>
      </c>
      <c r="E1297">
        <f>IF(B1297=1,D1297,E1296)</f>
        <v/>
      </c>
      <c r="F1297">
        <f>IF(AND(B1297=1,C1297&gt;1,E1296&lt;&gt;""),ABS(D1297-E1296),"")</f>
        <v/>
      </c>
    </row>
    <row r="1298">
      <c r="A1298" t="n">
        <v>1298</v>
      </c>
      <c r="B1298">
        <f>IF(INDEX('Data Entry'!$H$5:$BE$10004,1298-4,'Visual SPC'!$B$3)="",0,IF(AND(OR('Visual SPC'!$C$4="",'Data Entry'!$C1298&gt;='Visual SPC'!$C$4),OR('Visual SPC'!$E$4="",'Data Entry'!$C1298&lt;='Visual SPC'!$E$4),OR('Visual SPC'!$G$4="",'Data Entry'!$D1298='Visual SPC'!$G$4),OR('Visual SPC'!$I$4="",'Data Entry'!$E1298='Visual SPC'!$I$4),OR('Visual SPC'!$K$4="",'Data Entry'!$F1298='Visual SPC'!$K$4)),1,0))</f>
        <v/>
      </c>
      <c r="C1298">
        <f>C1297+B1298</f>
        <v/>
      </c>
      <c r="D1298">
        <f>IF(B1298=1,INDEX('Data Entry'!$H$5:$BE$10004,1298-4,'Visual SPC'!$B$3),"")</f>
        <v/>
      </c>
      <c r="E1298">
        <f>IF(B1298=1,D1298,E1297)</f>
        <v/>
      </c>
      <c r="F1298">
        <f>IF(AND(B1298=1,C1298&gt;1,E1297&lt;&gt;""),ABS(D1298-E1297),"")</f>
        <v/>
      </c>
    </row>
    <row r="1299">
      <c r="A1299" t="n">
        <v>1299</v>
      </c>
      <c r="B1299">
        <f>IF(INDEX('Data Entry'!$H$5:$BE$10004,1299-4,'Visual SPC'!$B$3)="",0,IF(AND(OR('Visual SPC'!$C$4="",'Data Entry'!$C1299&gt;='Visual SPC'!$C$4),OR('Visual SPC'!$E$4="",'Data Entry'!$C1299&lt;='Visual SPC'!$E$4),OR('Visual SPC'!$G$4="",'Data Entry'!$D1299='Visual SPC'!$G$4),OR('Visual SPC'!$I$4="",'Data Entry'!$E1299='Visual SPC'!$I$4),OR('Visual SPC'!$K$4="",'Data Entry'!$F1299='Visual SPC'!$K$4)),1,0))</f>
        <v/>
      </c>
      <c r="C1299">
        <f>C1298+B1299</f>
        <v/>
      </c>
      <c r="D1299">
        <f>IF(B1299=1,INDEX('Data Entry'!$H$5:$BE$10004,1299-4,'Visual SPC'!$B$3),"")</f>
        <v/>
      </c>
      <c r="E1299">
        <f>IF(B1299=1,D1299,E1298)</f>
        <v/>
      </c>
      <c r="F1299">
        <f>IF(AND(B1299=1,C1299&gt;1,E1298&lt;&gt;""),ABS(D1299-E1298),"")</f>
        <v/>
      </c>
    </row>
    <row r="1300">
      <c r="A1300" t="n">
        <v>1300</v>
      </c>
      <c r="B1300">
        <f>IF(INDEX('Data Entry'!$H$5:$BE$10004,1300-4,'Visual SPC'!$B$3)="",0,IF(AND(OR('Visual SPC'!$C$4="",'Data Entry'!$C1300&gt;='Visual SPC'!$C$4),OR('Visual SPC'!$E$4="",'Data Entry'!$C1300&lt;='Visual SPC'!$E$4),OR('Visual SPC'!$G$4="",'Data Entry'!$D1300='Visual SPC'!$G$4),OR('Visual SPC'!$I$4="",'Data Entry'!$E1300='Visual SPC'!$I$4),OR('Visual SPC'!$K$4="",'Data Entry'!$F1300='Visual SPC'!$K$4)),1,0))</f>
        <v/>
      </c>
      <c r="C1300">
        <f>C1299+B1300</f>
        <v/>
      </c>
      <c r="D1300">
        <f>IF(B1300=1,INDEX('Data Entry'!$H$5:$BE$10004,1300-4,'Visual SPC'!$B$3),"")</f>
        <v/>
      </c>
      <c r="E1300">
        <f>IF(B1300=1,D1300,E1299)</f>
        <v/>
      </c>
      <c r="F1300">
        <f>IF(AND(B1300=1,C1300&gt;1,E1299&lt;&gt;""),ABS(D1300-E1299),"")</f>
        <v/>
      </c>
    </row>
    <row r="1301">
      <c r="A1301" t="n">
        <v>1301</v>
      </c>
      <c r="B1301">
        <f>IF(INDEX('Data Entry'!$H$5:$BE$10004,1301-4,'Visual SPC'!$B$3)="",0,IF(AND(OR('Visual SPC'!$C$4="",'Data Entry'!$C1301&gt;='Visual SPC'!$C$4),OR('Visual SPC'!$E$4="",'Data Entry'!$C1301&lt;='Visual SPC'!$E$4),OR('Visual SPC'!$G$4="",'Data Entry'!$D1301='Visual SPC'!$G$4),OR('Visual SPC'!$I$4="",'Data Entry'!$E1301='Visual SPC'!$I$4),OR('Visual SPC'!$K$4="",'Data Entry'!$F1301='Visual SPC'!$K$4)),1,0))</f>
        <v/>
      </c>
      <c r="C1301">
        <f>C1300+B1301</f>
        <v/>
      </c>
      <c r="D1301">
        <f>IF(B1301=1,INDEX('Data Entry'!$H$5:$BE$10004,1301-4,'Visual SPC'!$B$3),"")</f>
        <v/>
      </c>
      <c r="E1301">
        <f>IF(B1301=1,D1301,E1300)</f>
        <v/>
      </c>
      <c r="F1301">
        <f>IF(AND(B1301=1,C1301&gt;1,E1300&lt;&gt;""),ABS(D1301-E1300),"")</f>
        <v/>
      </c>
    </row>
    <row r="1302">
      <c r="A1302" t="n">
        <v>1302</v>
      </c>
      <c r="B1302">
        <f>IF(INDEX('Data Entry'!$H$5:$BE$10004,1302-4,'Visual SPC'!$B$3)="",0,IF(AND(OR('Visual SPC'!$C$4="",'Data Entry'!$C1302&gt;='Visual SPC'!$C$4),OR('Visual SPC'!$E$4="",'Data Entry'!$C1302&lt;='Visual SPC'!$E$4),OR('Visual SPC'!$G$4="",'Data Entry'!$D1302='Visual SPC'!$G$4),OR('Visual SPC'!$I$4="",'Data Entry'!$E1302='Visual SPC'!$I$4),OR('Visual SPC'!$K$4="",'Data Entry'!$F1302='Visual SPC'!$K$4)),1,0))</f>
        <v/>
      </c>
      <c r="C1302">
        <f>C1301+B1302</f>
        <v/>
      </c>
      <c r="D1302">
        <f>IF(B1302=1,INDEX('Data Entry'!$H$5:$BE$10004,1302-4,'Visual SPC'!$B$3),"")</f>
        <v/>
      </c>
      <c r="E1302">
        <f>IF(B1302=1,D1302,E1301)</f>
        <v/>
      </c>
      <c r="F1302">
        <f>IF(AND(B1302=1,C1302&gt;1,E1301&lt;&gt;""),ABS(D1302-E1301),"")</f>
        <v/>
      </c>
    </row>
    <row r="1303">
      <c r="A1303" t="n">
        <v>1303</v>
      </c>
      <c r="B1303">
        <f>IF(INDEX('Data Entry'!$H$5:$BE$10004,1303-4,'Visual SPC'!$B$3)="",0,IF(AND(OR('Visual SPC'!$C$4="",'Data Entry'!$C1303&gt;='Visual SPC'!$C$4),OR('Visual SPC'!$E$4="",'Data Entry'!$C1303&lt;='Visual SPC'!$E$4),OR('Visual SPC'!$G$4="",'Data Entry'!$D1303='Visual SPC'!$G$4),OR('Visual SPC'!$I$4="",'Data Entry'!$E1303='Visual SPC'!$I$4),OR('Visual SPC'!$K$4="",'Data Entry'!$F1303='Visual SPC'!$K$4)),1,0))</f>
        <v/>
      </c>
      <c r="C1303">
        <f>C1302+B1303</f>
        <v/>
      </c>
      <c r="D1303">
        <f>IF(B1303=1,INDEX('Data Entry'!$H$5:$BE$10004,1303-4,'Visual SPC'!$B$3),"")</f>
        <v/>
      </c>
      <c r="E1303">
        <f>IF(B1303=1,D1303,E1302)</f>
        <v/>
      </c>
      <c r="F1303">
        <f>IF(AND(B1303=1,C1303&gt;1,E1302&lt;&gt;""),ABS(D1303-E1302),"")</f>
        <v/>
      </c>
    </row>
    <row r="1304">
      <c r="A1304" t="n">
        <v>1304</v>
      </c>
      <c r="B1304">
        <f>IF(INDEX('Data Entry'!$H$5:$BE$10004,1304-4,'Visual SPC'!$B$3)="",0,IF(AND(OR('Visual SPC'!$C$4="",'Data Entry'!$C1304&gt;='Visual SPC'!$C$4),OR('Visual SPC'!$E$4="",'Data Entry'!$C1304&lt;='Visual SPC'!$E$4),OR('Visual SPC'!$G$4="",'Data Entry'!$D1304='Visual SPC'!$G$4),OR('Visual SPC'!$I$4="",'Data Entry'!$E1304='Visual SPC'!$I$4),OR('Visual SPC'!$K$4="",'Data Entry'!$F1304='Visual SPC'!$K$4)),1,0))</f>
        <v/>
      </c>
      <c r="C1304">
        <f>C1303+B1304</f>
        <v/>
      </c>
      <c r="D1304">
        <f>IF(B1304=1,INDEX('Data Entry'!$H$5:$BE$10004,1304-4,'Visual SPC'!$B$3),"")</f>
        <v/>
      </c>
      <c r="E1304">
        <f>IF(B1304=1,D1304,E1303)</f>
        <v/>
      </c>
      <c r="F1304">
        <f>IF(AND(B1304=1,C1304&gt;1,E1303&lt;&gt;""),ABS(D1304-E1303),"")</f>
        <v/>
      </c>
    </row>
    <row r="1305">
      <c r="A1305" t="n">
        <v>1305</v>
      </c>
      <c r="B1305">
        <f>IF(INDEX('Data Entry'!$H$5:$BE$10004,1305-4,'Visual SPC'!$B$3)="",0,IF(AND(OR('Visual SPC'!$C$4="",'Data Entry'!$C1305&gt;='Visual SPC'!$C$4),OR('Visual SPC'!$E$4="",'Data Entry'!$C1305&lt;='Visual SPC'!$E$4),OR('Visual SPC'!$G$4="",'Data Entry'!$D1305='Visual SPC'!$G$4),OR('Visual SPC'!$I$4="",'Data Entry'!$E1305='Visual SPC'!$I$4),OR('Visual SPC'!$K$4="",'Data Entry'!$F1305='Visual SPC'!$K$4)),1,0))</f>
        <v/>
      </c>
      <c r="C1305">
        <f>C1304+B1305</f>
        <v/>
      </c>
      <c r="D1305">
        <f>IF(B1305=1,INDEX('Data Entry'!$H$5:$BE$10004,1305-4,'Visual SPC'!$B$3),"")</f>
        <v/>
      </c>
      <c r="E1305">
        <f>IF(B1305=1,D1305,E1304)</f>
        <v/>
      </c>
      <c r="F1305">
        <f>IF(AND(B1305=1,C1305&gt;1,E1304&lt;&gt;""),ABS(D1305-E1304),"")</f>
        <v/>
      </c>
    </row>
    <row r="1306">
      <c r="A1306" t="n">
        <v>1306</v>
      </c>
      <c r="B1306">
        <f>IF(INDEX('Data Entry'!$H$5:$BE$10004,1306-4,'Visual SPC'!$B$3)="",0,IF(AND(OR('Visual SPC'!$C$4="",'Data Entry'!$C1306&gt;='Visual SPC'!$C$4),OR('Visual SPC'!$E$4="",'Data Entry'!$C1306&lt;='Visual SPC'!$E$4),OR('Visual SPC'!$G$4="",'Data Entry'!$D1306='Visual SPC'!$G$4),OR('Visual SPC'!$I$4="",'Data Entry'!$E1306='Visual SPC'!$I$4),OR('Visual SPC'!$K$4="",'Data Entry'!$F1306='Visual SPC'!$K$4)),1,0))</f>
        <v/>
      </c>
      <c r="C1306">
        <f>C1305+B1306</f>
        <v/>
      </c>
      <c r="D1306">
        <f>IF(B1306=1,INDEX('Data Entry'!$H$5:$BE$10004,1306-4,'Visual SPC'!$B$3),"")</f>
        <v/>
      </c>
      <c r="E1306">
        <f>IF(B1306=1,D1306,E1305)</f>
        <v/>
      </c>
      <c r="F1306">
        <f>IF(AND(B1306=1,C1306&gt;1,E1305&lt;&gt;""),ABS(D1306-E1305),"")</f>
        <v/>
      </c>
    </row>
    <row r="1307">
      <c r="A1307" t="n">
        <v>1307</v>
      </c>
      <c r="B1307">
        <f>IF(INDEX('Data Entry'!$H$5:$BE$10004,1307-4,'Visual SPC'!$B$3)="",0,IF(AND(OR('Visual SPC'!$C$4="",'Data Entry'!$C1307&gt;='Visual SPC'!$C$4),OR('Visual SPC'!$E$4="",'Data Entry'!$C1307&lt;='Visual SPC'!$E$4),OR('Visual SPC'!$G$4="",'Data Entry'!$D1307='Visual SPC'!$G$4),OR('Visual SPC'!$I$4="",'Data Entry'!$E1307='Visual SPC'!$I$4),OR('Visual SPC'!$K$4="",'Data Entry'!$F1307='Visual SPC'!$K$4)),1,0))</f>
        <v/>
      </c>
      <c r="C1307">
        <f>C1306+B1307</f>
        <v/>
      </c>
      <c r="D1307">
        <f>IF(B1307=1,INDEX('Data Entry'!$H$5:$BE$10004,1307-4,'Visual SPC'!$B$3),"")</f>
        <v/>
      </c>
      <c r="E1307">
        <f>IF(B1307=1,D1307,E1306)</f>
        <v/>
      </c>
      <c r="F1307">
        <f>IF(AND(B1307=1,C1307&gt;1,E1306&lt;&gt;""),ABS(D1307-E1306),"")</f>
        <v/>
      </c>
    </row>
    <row r="1308">
      <c r="A1308" t="n">
        <v>1308</v>
      </c>
      <c r="B1308">
        <f>IF(INDEX('Data Entry'!$H$5:$BE$10004,1308-4,'Visual SPC'!$B$3)="",0,IF(AND(OR('Visual SPC'!$C$4="",'Data Entry'!$C1308&gt;='Visual SPC'!$C$4),OR('Visual SPC'!$E$4="",'Data Entry'!$C1308&lt;='Visual SPC'!$E$4),OR('Visual SPC'!$G$4="",'Data Entry'!$D1308='Visual SPC'!$G$4),OR('Visual SPC'!$I$4="",'Data Entry'!$E1308='Visual SPC'!$I$4),OR('Visual SPC'!$K$4="",'Data Entry'!$F1308='Visual SPC'!$K$4)),1,0))</f>
        <v/>
      </c>
      <c r="C1308">
        <f>C1307+B1308</f>
        <v/>
      </c>
      <c r="D1308">
        <f>IF(B1308=1,INDEX('Data Entry'!$H$5:$BE$10004,1308-4,'Visual SPC'!$B$3),"")</f>
        <v/>
      </c>
      <c r="E1308">
        <f>IF(B1308=1,D1308,E1307)</f>
        <v/>
      </c>
      <c r="F1308">
        <f>IF(AND(B1308=1,C1308&gt;1,E1307&lt;&gt;""),ABS(D1308-E1307),"")</f>
        <v/>
      </c>
    </row>
    <row r="1309">
      <c r="A1309" t="n">
        <v>1309</v>
      </c>
      <c r="B1309">
        <f>IF(INDEX('Data Entry'!$H$5:$BE$10004,1309-4,'Visual SPC'!$B$3)="",0,IF(AND(OR('Visual SPC'!$C$4="",'Data Entry'!$C1309&gt;='Visual SPC'!$C$4),OR('Visual SPC'!$E$4="",'Data Entry'!$C1309&lt;='Visual SPC'!$E$4),OR('Visual SPC'!$G$4="",'Data Entry'!$D1309='Visual SPC'!$G$4),OR('Visual SPC'!$I$4="",'Data Entry'!$E1309='Visual SPC'!$I$4),OR('Visual SPC'!$K$4="",'Data Entry'!$F1309='Visual SPC'!$K$4)),1,0))</f>
        <v/>
      </c>
      <c r="C1309">
        <f>C1308+B1309</f>
        <v/>
      </c>
      <c r="D1309">
        <f>IF(B1309=1,INDEX('Data Entry'!$H$5:$BE$10004,1309-4,'Visual SPC'!$B$3),"")</f>
        <v/>
      </c>
      <c r="E1309">
        <f>IF(B1309=1,D1309,E1308)</f>
        <v/>
      </c>
      <c r="F1309">
        <f>IF(AND(B1309=1,C1309&gt;1,E1308&lt;&gt;""),ABS(D1309-E1308),"")</f>
        <v/>
      </c>
    </row>
    <row r="1310">
      <c r="A1310" t="n">
        <v>1310</v>
      </c>
      <c r="B1310">
        <f>IF(INDEX('Data Entry'!$H$5:$BE$10004,1310-4,'Visual SPC'!$B$3)="",0,IF(AND(OR('Visual SPC'!$C$4="",'Data Entry'!$C1310&gt;='Visual SPC'!$C$4),OR('Visual SPC'!$E$4="",'Data Entry'!$C1310&lt;='Visual SPC'!$E$4),OR('Visual SPC'!$G$4="",'Data Entry'!$D1310='Visual SPC'!$G$4),OR('Visual SPC'!$I$4="",'Data Entry'!$E1310='Visual SPC'!$I$4),OR('Visual SPC'!$K$4="",'Data Entry'!$F1310='Visual SPC'!$K$4)),1,0))</f>
        <v/>
      </c>
      <c r="C1310">
        <f>C1309+B1310</f>
        <v/>
      </c>
      <c r="D1310">
        <f>IF(B1310=1,INDEX('Data Entry'!$H$5:$BE$10004,1310-4,'Visual SPC'!$B$3),"")</f>
        <v/>
      </c>
      <c r="E1310">
        <f>IF(B1310=1,D1310,E1309)</f>
        <v/>
      </c>
      <c r="F1310">
        <f>IF(AND(B1310=1,C1310&gt;1,E1309&lt;&gt;""),ABS(D1310-E1309),"")</f>
        <v/>
      </c>
    </row>
    <row r="1311">
      <c r="A1311" t="n">
        <v>1311</v>
      </c>
      <c r="B1311">
        <f>IF(INDEX('Data Entry'!$H$5:$BE$10004,1311-4,'Visual SPC'!$B$3)="",0,IF(AND(OR('Visual SPC'!$C$4="",'Data Entry'!$C1311&gt;='Visual SPC'!$C$4),OR('Visual SPC'!$E$4="",'Data Entry'!$C1311&lt;='Visual SPC'!$E$4),OR('Visual SPC'!$G$4="",'Data Entry'!$D1311='Visual SPC'!$G$4),OR('Visual SPC'!$I$4="",'Data Entry'!$E1311='Visual SPC'!$I$4),OR('Visual SPC'!$K$4="",'Data Entry'!$F1311='Visual SPC'!$K$4)),1,0))</f>
        <v/>
      </c>
      <c r="C1311">
        <f>C1310+B1311</f>
        <v/>
      </c>
      <c r="D1311">
        <f>IF(B1311=1,INDEX('Data Entry'!$H$5:$BE$10004,1311-4,'Visual SPC'!$B$3),"")</f>
        <v/>
      </c>
      <c r="E1311">
        <f>IF(B1311=1,D1311,E1310)</f>
        <v/>
      </c>
      <c r="F1311">
        <f>IF(AND(B1311=1,C1311&gt;1,E1310&lt;&gt;""),ABS(D1311-E1310),"")</f>
        <v/>
      </c>
    </row>
    <row r="1312">
      <c r="A1312" t="n">
        <v>1312</v>
      </c>
      <c r="B1312">
        <f>IF(INDEX('Data Entry'!$H$5:$BE$10004,1312-4,'Visual SPC'!$B$3)="",0,IF(AND(OR('Visual SPC'!$C$4="",'Data Entry'!$C1312&gt;='Visual SPC'!$C$4),OR('Visual SPC'!$E$4="",'Data Entry'!$C1312&lt;='Visual SPC'!$E$4),OR('Visual SPC'!$G$4="",'Data Entry'!$D1312='Visual SPC'!$G$4),OR('Visual SPC'!$I$4="",'Data Entry'!$E1312='Visual SPC'!$I$4),OR('Visual SPC'!$K$4="",'Data Entry'!$F1312='Visual SPC'!$K$4)),1,0))</f>
        <v/>
      </c>
      <c r="C1312">
        <f>C1311+B1312</f>
        <v/>
      </c>
      <c r="D1312">
        <f>IF(B1312=1,INDEX('Data Entry'!$H$5:$BE$10004,1312-4,'Visual SPC'!$B$3),"")</f>
        <v/>
      </c>
      <c r="E1312">
        <f>IF(B1312=1,D1312,E1311)</f>
        <v/>
      </c>
      <c r="F1312">
        <f>IF(AND(B1312=1,C1312&gt;1,E1311&lt;&gt;""),ABS(D1312-E1311),"")</f>
        <v/>
      </c>
    </row>
    <row r="1313">
      <c r="A1313" t="n">
        <v>1313</v>
      </c>
      <c r="B1313">
        <f>IF(INDEX('Data Entry'!$H$5:$BE$10004,1313-4,'Visual SPC'!$B$3)="",0,IF(AND(OR('Visual SPC'!$C$4="",'Data Entry'!$C1313&gt;='Visual SPC'!$C$4),OR('Visual SPC'!$E$4="",'Data Entry'!$C1313&lt;='Visual SPC'!$E$4),OR('Visual SPC'!$G$4="",'Data Entry'!$D1313='Visual SPC'!$G$4),OR('Visual SPC'!$I$4="",'Data Entry'!$E1313='Visual SPC'!$I$4),OR('Visual SPC'!$K$4="",'Data Entry'!$F1313='Visual SPC'!$K$4)),1,0))</f>
        <v/>
      </c>
      <c r="C1313">
        <f>C1312+B1313</f>
        <v/>
      </c>
      <c r="D1313">
        <f>IF(B1313=1,INDEX('Data Entry'!$H$5:$BE$10004,1313-4,'Visual SPC'!$B$3),"")</f>
        <v/>
      </c>
      <c r="E1313">
        <f>IF(B1313=1,D1313,E1312)</f>
        <v/>
      </c>
      <c r="F1313">
        <f>IF(AND(B1313=1,C1313&gt;1,E1312&lt;&gt;""),ABS(D1313-E1312),"")</f>
        <v/>
      </c>
    </row>
    <row r="1314">
      <c r="A1314" t="n">
        <v>1314</v>
      </c>
      <c r="B1314">
        <f>IF(INDEX('Data Entry'!$H$5:$BE$10004,1314-4,'Visual SPC'!$B$3)="",0,IF(AND(OR('Visual SPC'!$C$4="",'Data Entry'!$C1314&gt;='Visual SPC'!$C$4),OR('Visual SPC'!$E$4="",'Data Entry'!$C1314&lt;='Visual SPC'!$E$4),OR('Visual SPC'!$G$4="",'Data Entry'!$D1314='Visual SPC'!$G$4),OR('Visual SPC'!$I$4="",'Data Entry'!$E1314='Visual SPC'!$I$4),OR('Visual SPC'!$K$4="",'Data Entry'!$F1314='Visual SPC'!$K$4)),1,0))</f>
        <v/>
      </c>
      <c r="C1314">
        <f>C1313+B1314</f>
        <v/>
      </c>
      <c r="D1314">
        <f>IF(B1314=1,INDEX('Data Entry'!$H$5:$BE$10004,1314-4,'Visual SPC'!$B$3),"")</f>
        <v/>
      </c>
      <c r="E1314">
        <f>IF(B1314=1,D1314,E1313)</f>
        <v/>
      </c>
      <c r="F1314">
        <f>IF(AND(B1314=1,C1314&gt;1,E1313&lt;&gt;""),ABS(D1314-E1313),"")</f>
        <v/>
      </c>
    </row>
    <row r="1315">
      <c r="A1315" t="n">
        <v>1315</v>
      </c>
      <c r="B1315">
        <f>IF(INDEX('Data Entry'!$H$5:$BE$10004,1315-4,'Visual SPC'!$B$3)="",0,IF(AND(OR('Visual SPC'!$C$4="",'Data Entry'!$C1315&gt;='Visual SPC'!$C$4),OR('Visual SPC'!$E$4="",'Data Entry'!$C1315&lt;='Visual SPC'!$E$4),OR('Visual SPC'!$G$4="",'Data Entry'!$D1315='Visual SPC'!$G$4),OR('Visual SPC'!$I$4="",'Data Entry'!$E1315='Visual SPC'!$I$4),OR('Visual SPC'!$K$4="",'Data Entry'!$F1315='Visual SPC'!$K$4)),1,0))</f>
        <v/>
      </c>
      <c r="C1315">
        <f>C1314+B1315</f>
        <v/>
      </c>
      <c r="D1315">
        <f>IF(B1315=1,INDEX('Data Entry'!$H$5:$BE$10004,1315-4,'Visual SPC'!$B$3),"")</f>
        <v/>
      </c>
      <c r="E1315">
        <f>IF(B1315=1,D1315,E1314)</f>
        <v/>
      </c>
      <c r="F1315">
        <f>IF(AND(B1315=1,C1315&gt;1,E1314&lt;&gt;""),ABS(D1315-E1314),"")</f>
        <v/>
      </c>
    </row>
    <row r="1316">
      <c r="A1316" t="n">
        <v>1316</v>
      </c>
      <c r="B1316">
        <f>IF(INDEX('Data Entry'!$H$5:$BE$10004,1316-4,'Visual SPC'!$B$3)="",0,IF(AND(OR('Visual SPC'!$C$4="",'Data Entry'!$C1316&gt;='Visual SPC'!$C$4),OR('Visual SPC'!$E$4="",'Data Entry'!$C1316&lt;='Visual SPC'!$E$4),OR('Visual SPC'!$G$4="",'Data Entry'!$D1316='Visual SPC'!$G$4),OR('Visual SPC'!$I$4="",'Data Entry'!$E1316='Visual SPC'!$I$4),OR('Visual SPC'!$K$4="",'Data Entry'!$F1316='Visual SPC'!$K$4)),1,0))</f>
        <v/>
      </c>
      <c r="C1316">
        <f>C1315+B1316</f>
        <v/>
      </c>
      <c r="D1316">
        <f>IF(B1316=1,INDEX('Data Entry'!$H$5:$BE$10004,1316-4,'Visual SPC'!$B$3),"")</f>
        <v/>
      </c>
      <c r="E1316">
        <f>IF(B1316=1,D1316,E1315)</f>
        <v/>
      </c>
      <c r="F1316">
        <f>IF(AND(B1316=1,C1316&gt;1,E1315&lt;&gt;""),ABS(D1316-E1315),"")</f>
        <v/>
      </c>
    </row>
    <row r="1317">
      <c r="A1317" t="n">
        <v>1317</v>
      </c>
      <c r="B1317">
        <f>IF(INDEX('Data Entry'!$H$5:$BE$10004,1317-4,'Visual SPC'!$B$3)="",0,IF(AND(OR('Visual SPC'!$C$4="",'Data Entry'!$C1317&gt;='Visual SPC'!$C$4),OR('Visual SPC'!$E$4="",'Data Entry'!$C1317&lt;='Visual SPC'!$E$4),OR('Visual SPC'!$G$4="",'Data Entry'!$D1317='Visual SPC'!$G$4),OR('Visual SPC'!$I$4="",'Data Entry'!$E1317='Visual SPC'!$I$4),OR('Visual SPC'!$K$4="",'Data Entry'!$F1317='Visual SPC'!$K$4)),1,0))</f>
        <v/>
      </c>
      <c r="C1317">
        <f>C1316+B1317</f>
        <v/>
      </c>
      <c r="D1317">
        <f>IF(B1317=1,INDEX('Data Entry'!$H$5:$BE$10004,1317-4,'Visual SPC'!$B$3),"")</f>
        <v/>
      </c>
      <c r="E1317">
        <f>IF(B1317=1,D1317,E1316)</f>
        <v/>
      </c>
      <c r="F1317">
        <f>IF(AND(B1317=1,C1317&gt;1,E1316&lt;&gt;""),ABS(D1317-E1316),"")</f>
        <v/>
      </c>
    </row>
    <row r="1318">
      <c r="A1318" t="n">
        <v>1318</v>
      </c>
      <c r="B1318">
        <f>IF(INDEX('Data Entry'!$H$5:$BE$10004,1318-4,'Visual SPC'!$B$3)="",0,IF(AND(OR('Visual SPC'!$C$4="",'Data Entry'!$C1318&gt;='Visual SPC'!$C$4),OR('Visual SPC'!$E$4="",'Data Entry'!$C1318&lt;='Visual SPC'!$E$4),OR('Visual SPC'!$G$4="",'Data Entry'!$D1318='Visual SPC'!$G$4),OR('Visual SPC'!$I$4="",'Data Entry'!$E1318='Visual SPC'!$I$4),OR('Visual SPC'!$K$4="",'Data Entry'!$F1318='Visual SPC'!$K$4)),1,0))</f>
        <v/>
      </c>
      <c r="C1318">
        <f>C1317+B1318</f>
        <v/>
      </c>
      <c r="D1318">
        <f>IF(B1318=1,INDEX('Data Entry'!$H$5:$BE$10004,1318-4,'Visual SPC'!$B$3),"")</f>
        <v/>
      </c>
      <c r="E1318">
        <f>IF(B1318=1,D1318,E1317)</f>
        <v/>
      </c>
      <c r="F1318">
        <f>IF(AND(B1318=1,C1318&gt;1,E1317&lt;&gt;""),ABS(D1318-E1317),"")</f>
        <v/>
      </c>
    </row>
    <row r="1319">
      <c r="A1319" t="n">
        <v>1319</v>
      </c>
      <c r="B1319">
        <f>IF(INDEX('Data Entry'!$H$5:$BE$10004,1319-4,'Visual SPC'!$B$3)="",0,IF(AND(OR('Visual SPC'!$C$4="",'Data Entry'!$C1319&gt;='Visual SPC'!$C$4),OR('Visual SPC'!$E$4="",'Data Entry'!$C1319&lt;='Visual SPC'!$E$4),OR('Visual SPC'!$G$4="",'Data Entry'!$D1319='Visual SPC'!$G$4),OR('Visual SPC'!$I$4="",'Data Entry'!$E1319='Visual SPC'!$I$4),OR('Visual SPC'!$K$4="",'Data Entry'!$F1319='Visual SPC'!$K$4)),1,0))</f>
        <v/>
      </c>
      <c r="C1319">
        <f>C1318+B1319</f>
        <v/>
      </c>
      <c r="D1319">
        <f>IF(B1319=1,INDEX('Data Entry'!$H$5:$BE$10004,1319-4,'Visual SPC'!$B$3),"")</f>
        <v/>
      </c>
      <c r="E1319">
        <f>IF(B1319=1,D1319,E1318)</f>
        <v/>
      </c>
      <c r="F1319">
        <f>IF(AND(B1319=1,C1319&gt;1,E1318&lt;&gt;""),ABS(D1319-E1318),"")</f>
        <v/>
      </c>
    </row>
    <row r="1320">
      <c r="A1320" t="n">
        <v>1320</v>
      </c>
      <c r="B1320">
        <f>IF(INDEX('Data Entry'!$H$5:$BE$10004,1320-4,'Visual SPC'!$B$3)="",0,IF(AND(OR('Visual SPC'!$C$4="",'Data Entry'!$C1320&gt;='Visual SPC'!$C$4),OR('Visual SPC'!$E$4="",'Data Entry'!$C1320&lt;='Visual SPC'!$E$4),OR('Visual SPC'!$G$4="",'Data Entry'!$D1320='Visual SPC'!$G$4),OR('Visual SPC'!$I$4="",'Data Entry'!$E1320='Visual SPC'!$I$4),OR('Visual SPC'!$K$4="",'Data Entry'!$F1320='Visual SPC'!$K$4)),1,0))</f>
        <v/>
      </c>
      <c r="C1320">
        <f>C1319+B1320</f>
        <v/>
      </c>
      <c r="D1320">
        <f>IF(B1320=1,INDEX('Data Entry'!$H$5:$BE$10004,1320-4,'Visual SPC'!$B$3),"")</f>
        <v/>
      </c>
      <c r="E1320">
        <f>IF(B1320=1,D1320,E1319)</f>
        <v/>
      </c>
      <c r="F1320">
        <f>IF(AND(B1320=1,C1320&gt;1,E1319&lt;&gt;""),ABS(D1320-E1319),"")</f>
        <v/>
      </c>
    </row>
    <row r="1321">
      <c r="A1321" t="n">
        <v>1321</v>
      </c>
      <c r="B1321">
        <f>IF(INDEX('Data Entry'!$H$5:$BE$10004,1321-4,'Visual SPC'!$B$3)="",0,IF(AND(OR('Visual SPC'!$C$4="",'Data Entry'!$C1321&gt;='Visual SPC'!$C$4),OR('Visual SPC'!$E$4="",'Data Entry'!$C1321&lt;='Visual SPC'!$E$4),OR('Visual SPC'!$G$4="",'Data Entry'!$D1321='Visual SPC'!$G$4),OR('Visual SPC'!$I$4="",'Data Entry'!$E1321='Visual SPC'!$I$4),OR('Visual SPC'!$K$4="",'Data Entry'!$F1321='Visual SPC'!$K$4)),1,0))</f>
        <v/>
      </c>
      <c r="C1321">
        <f>C1320+B1321</f>
        <v/>
      </c>
      <c r="D1321">
        <f>IF(B1321=1,INDEX('Data Entry'!$H$5:$BE$10004,1321-4,'Visual SPC'!$B$3),"")</f>
        <v/>
      </c>
      <c r="E1321">
        <f>IF(B1321=1,D1321,E1320)</f>
        <v/>
      </c>
      <c r="F1321">
        <f>IF(AND(B1321=1,C1321&gt;1,E1320&lt;&gt;""),ABS(D1321-E1320),"")</f>
        <v/>
      </c>
    </row>
    <row r="1322">
      <c r="A1322" t="n">
        <v>1322</v>
      </c>
      <c r="B1322">
        <f>IF(INDEX('Data Entry'!$H$5:$BE$10004,1322-4,'Visual SPC'!$B$3)="",0,IF(AND(OR('Visual SPC'!$C$4="",'Data Entry'!$C1322&gt;='Visual SPC'!$C$4),OR('Visual SPC'!$E$4="",'Data Entry'!$C1322&lt;='Visual SPC'!$E$4),OR('Visual SPC'!$G$4="",'Data Entry'!$D1322='Visual SPC'!$G$4),OR('Visual SPC'!$I$4="",'Data Entry'!$E1322='Visual SPC'!$I$4),OR('Visual SPC'!$K$4="",'Data Entry'!$F1322='Visual SPC'!$K$4)),1,0))</f>
        <v/>
      </c>
      <c r="C1322">
        <f>C1321+B1322</f>
        <v/>
      </c>
      <c r="D1322">
        <f>IF(B1322=1,INDEX('Data Entry'!$H$5:$BE$10004,1322-4,'Visual SPC'!$B$3),"")</f>
        <v/>
      </c>
      <c r="E1322">
        <f>IF(B1322=1,D1322,E1321)</f>
        <v/>
      </c>
      <c r="F1322">
        <f>IF(AND(B1322=1,C1322&gt;1,E1321&lt;&gt;""),ABS(D1322-E1321),"")</f>
        <v/>
      </c>
    </row>
    <row r="1323">
      <c r="A1323" t="n">
        <v>1323</v>
      </c>
      <c r="B1323">
        <f>IF(INDEX('Data Entry'!$H$5:$BE$10004,1323-4,'Visual SPC'!$B$3)="",0,IF(AND(OR('Visual SPC'!$C$4="",'Data Entry'!$C1323&gt;='Visual SPC'!$C$4),OR('Visual SPC'!$E$4="",'Data Entry'!$C1323&lt;='Visual SPC'!$E$4),OR('Visual SPC'!$G$4="",'Data Entry'!$D1323='Visual SPC'!$G$4),OR('Visual SPC'!$I$4="",'Data Entry'!$E1323='Visual SPC'!$I$4),OR('Visual SPC'!$K$4="",'Data Entry'!$F1323='Visual SPC'!$K$4)),1,0))</f>
        <v/>
      </c>
      <c r="C1323">
        <f>C1322+B1323</f>
        <v/>
      </c>
      <c r="D1323">
        <f>IF(B1323=1,INDEX('Data Entry'!$H$5:$BE$10004,1323-4,'Visual SPC'!$B$3),"")</f>
        <v/>
      </c>
      <c r="E1323">
        <f>IF(B1323=1,D1323,E1322)</f>
        <v/>
      </c>
      <c r="F1323">
        <f>IF(AND(B1323=1,C1323&gt;1,E1322&lt;&gt;""),ABS(D1323-E1322),"")</f>
        <v/>
      </c>
    </row>
    <row r="1324">
      <c r="A1324" t="n">
        <v>1324</v>
      </c>
      <c r="B1324">
        <f>IF(INDEX('Data Entry'!$H$5:$BE$10004,1324-4,'Visual SPC'!$B$3)="",0,IF(AND(OR('Visual SPC'!$C$4="",'Data Entry'!$C1324&gt;='Visual SPC'!$C$4),OR('Visual SPC'!$E$4="",'Data Entry'!$C1324&lt;='Visual SPC'!$E$4),OR('Visual SPC'!$G$4="",'Data Entry'!$D1324='Visual SPC'!$G$4),OR('Visual SPC'!$I$4="",'Data Entry'!$E1324='Visual SPC'!$I$4),OR('Visual SPC'!$K$4="",'Data Entry'!$F1324='Visual SPC'!$K$4)),1,0))</f>
        <v/>
      </c>
      <c r="C1324">
        <f>C1323+B1324</f>
        <v/>
      </c>
      <c r="D1324">
        <f>IF(B1324=1,INDEX('Data Entry'!$H$5:$BE$10004,1324-4,'Visual SPC'!$B$3),"")</f>
        <v/>
      </c>
      <c r="E1324">
        <f>IF(B1324=1,D1324,E1323)</f>
        <v/>
      </c>
      <c r="F1324">
        <f>IF(AND(B1324=1,C1324&gt;1,E1323&lt;&gt;""),ABS(D1324-E1323),"")</f>
        <v/>
      </c>
    </row>
    <row r="1325">
      <c r="A1325" t="n">
        <v>1325</v>
      </c>
      <c r="B1325">
        <f>IF(INDEX('Data Entry'!$H$5:$BE$10004,1325-4,'Visual SPC'!$B$3)="",0,IF(AND(OR('Visual SPC'!$C$4="",'Data Entry'!$C1325&gt;='Visual SPC'!$C$4),OR('Visual SPC'!$E$4="",'Data Entry'!$C1325&lt;='Visual SPC'!$E$4),OR('Visual SPC'!$G$4="",'Data Entry'!$D1325='Visual SPC'!$G$4),OR('Visual SPC'!$I$4="",'Data Entry'!$E1325='Visual SPC'!$I$4),OR('Visual SPC'!$K$4="",'Data Entry'!$F1325='Visual SPC'!$K$4)),1,0))</f>
        <v/>
      </c>
      <c r="C1325">
        <f>C1324+B1325</f>
        <v/>
      </c>
      <c r="D1325">
        <f>IF(B1325=1,INDEX('Data Entry'!$H$5:$BE$10004,1325-4,'Visual SPC'!$B$3),"")</f>
        <v/>
      </c>
      <c r="E1325">
        <f>IF(B1325=1,D1325,E1324)</f>
        <v/>
      </c>
      <c r="F1325">
        <f>IF(AND(B1325=1,C1325&gt;1,E1324&lt;&gt;""),ABS(D1325-E1324),"")</f>
        <v/>
      </c>
    </row>
    <row r="1326">
      <c r="A1326" t="n">
        <v>1326</v>
      </c>
      <c r="B1326">
        <f>IF(INDEX('Data Entry'!$H$5:$BE$10004,1326-4,'Visual SPC'!$B$3)="",0,IF(AND(OR('Visual SPC'!$C$4="",'Data Entry'!$C1326&gt;='Visual SPC'!$C$4),OR('Visual SPC'!$E$4="",'Data Entry'!$C1326&lt;='Visual SPC'!$E$4),OR('Visual SPC'!$G$4="",'Data Entry'!$D1326='Visual SPC'!$G$4),OR('Visual SPC'!$I$4="",'Data Entry'!$E1326='Visual SPC'!$I$4),OR('Visual SPC'!$K$4="",'Data Entry'!$F1326='Visual SPC'!$K$4)),1,0))</f>
        <v/>
      </c>
      <c r="C1326">
        <f>C1325+B1326</f>
        <v/>
      </c>
      <c r="D1326">
        <f>IF(B1326=1,INDEX('Data Entry'!$H$5:$BE$10004,1326-4,'Visual SPC'!$B$3),"")</f>
        <v/>
      </c>
      <c r="E1326">
        <f>IF(B1326=1,D1326,E1325)</f>
        <v/>
      </c>
      <c r="F1326">
        <f>IF(AND(B1326=1,C1326&gt;1,E1325&lt;&gt;""),ABS(D1326-E1325),"")</f>
        <v/>
      </c>
    </row>
    <row r="1327">
      <c r="A1327" t="n">
        <v>1327</v>
      </c>
      <c r="B1327">
        <f>IF(INDEX('Data Entry'!$H$5:$BE$10004,1327-4,'Visual SPC'!$B$3)="",0,IF(AND(OR('Visual SPC'!$C$4="",'Data Entry'!$C1327&gt;='Visual SPC'!$C$4),OR('Visual SPC'!$E$4="",'Data Entry'!$C1327&lt;='Visual SPC'!$E$4),OR('Visual SPC'!$G$4="",'Data Entry'!$D1327='Visual SPC'!$G$4),OR('Visual SPC'!$I$4="",'Data Entry'!$E1327='Visual SPC'!$I$4),OR('Visual SPC'!$K$4="",'Data Entry'!$F1327='Visual SPC'!$K$4)),1,0))</f>
        <v/>
      </c>
      <c r="C1327">
        <f>C1326+B1327</f>
        <v/>
      </c>
      <c r="D1327">
        <f>IF(B1327=1,INDEX('Data Entry'!$H$5:$BE$10004,1327-4,'Visual SPC'!$B$3),"")</f>
        <v/>
      </c>
      <c r="E1327">
        <f>IF(B1327=1,D1327,E1326)</f>
        <v/>
      </c>
      <c r="F1327">
        <f>IF(AND(B1327=1,C1327&gt;1,E1326&lt;&gt;""),ABS(D1327-E1326),"")</f>
        <v/>
      </c>
    </row>
    <row r="1328">
      <c r="A1328" t="n">
        <v>1328</v>
      </c>
      <c r="B1328">
        <f>IF(INDEX('Data Entry'!$H$5:$BE$10004,1328-4,'Visual SPC'!$B$3)="",0,IF(AND(OR('Visual SPC'!$C$4="",'Data Entry'!$C1328&gt;='Visual SPC'!$C$4),OR('Visual SPC'!$E$4="",'Data Entry'!$C1328&lt;='Visual SPC'!$E$4),OR('Visual SPC'!$G$4="",'Data Entry'!$D1328='Visual SPC'!$G$4),OR('Visual SPC'!$I$4="",'Data Entry'!$E1328='Visual SPC'!$I$4),OR('Visual SPC'!$K$4="",'Data Entry'!$F1328='Visual SPC'!$K$4)),1,0))</f>
        <v/>
      </c>
      <c r="C1328">
        <f>C1327+B1328</f>
        <v/>
      </c>
      <c r="D1328">
        <f>IF(B1328=1,INDEX('Data Entry'!$H$5:$BE$10004,1328-4,'Visual SPC'!$B$3),"")</f>
        <v/>
      </c>
      <c r="E1328">
        <f>IF(B1328=1,D1328,E1327)</f>
        <v/>
      </c>
      <c r="F1328">
        <f>IF(AND(B1328=1,C1328&gt;1,E1327&lt;&gt;""),ABS(D1328-E1327),"")</f>
        <v/>
      </c>
    </row>
    <row r="1329">
      <c r="A1329" t="n">
        <v>1329</v>
      </c>
      <c r="B1329">
        <f>IF(INDEX('Data Entry'!$H$5:$BE$10004,1329-4,'Visual SPC'!$B$3)="",0,IF(AND(OR('Visual SPC'!$C$4="",'Data Entry'!$C1329&gt;='Visual SPC'!$C$4),OR('Visual SPC'!$E$4="",'Data Entry'!$C1329&lt;='Visual SPC'!$E$4),OR('Visual SPC'!$G$4="",'Data Entry'!$D1329='Visual SPC'!$G$4),OR('Visual SPC'!$I$4="",'Data Entry'!$E1329='Visual SPC'!$I$4),OR('Visual SPC'!$K$4="",'Data Entry'!$F1329='Visual SPC'!$K$4)),1,0))</f>
        <v/>
      </c>
      <c r="C1329">
        <f>C1328+B1329</f>
        <v/>
      </c>
      <c r="D1329">
        <f>IF(B1329=1,INDEX('Data Entry'!$H$5:$BE$10004,1329-4,'Visual SPC'!$B$3),"")</f>
        <v/>
      </c>
      <c r="E1329">
        <f>IF(B1329=1,D1329,E1328)</f>
        <v/>
      </c>
      <c r="F1329">
        <f>IF(AND(B1329=1,C1329&gt;1,E1328&lt;&gt;""),ABS(D1329-E1328),"")</f>
        <v/>
      </c>
    </row>
    <row r="1330">
      <c r="A1330" t="n">
        <v>1330</v>
      </c>
      <c r="B1330">
        <f>IF(INDEX('Data Entry'!$H$5:$BE$10004,1330-4,'Visual SPC'!$B$3)="",0,IF(AND(OR('Visual SPC'!$C$4="",'Data Entry'!$C1330&gt;='Visual SPC'!$C$4),OR('Visual SPC'!$E$4="",'Data Entry'!$C1330&lt;='Visual SPC'!$E$4),OR('Visual SPC'!$G$4="",'Data Entry'!$D1330='Visual SPC'!$G$4),OR('Visual SPC'!$I$4="",'Data Entry'!$E1330='Visual SPC'!$I$4),OR('Visual SPC'!$K$4="",'Data Entry'!$F1330='Visual SPC'!$K$4)),1,0))</f>
        <v/>
      </c>
      <c r="C1330">
        <f>C1329+B1330</f>
        <v/>
      </c>
      <c r="D1330">
        <f>IF(B1330=1,INDEX('Data Entry'!$H$5:$BE$10004,1330-4,'Visual SPC'!$B$3),"")</f>
        <v/>
      </c>
      <c r="E1330">
        <f>IF(B1330=1,D1330,E1329)</f>
        <v/>
      </c>
      <c r="F1330">
        <f>IF(AND(B1330=1,C1330&gt;1,E1329&lt;&gt;""),ABS(D1330-E1329),"")</f>
        <v/>
      </c>
    </row>
    <row r="1331">
      <c r="A1331" t="n">
        <v>1331</v>
      </c>
      <c r="B1331">
        <f>IF(INDEX('Data Entry'!$H$5:$BE$10004,1331-4,'Visual SPC'!$B$3)="",0,IF(AND(OR('Visual SPC'!$C$4="",'Data Entry'!$C1331&gt;='Visual SPC'!$C$4),OR('Visual SPC'!$E$4="",'Data Entry'!$C1331&lt;='Visual SPC'!$E$4),OR('Visual SPC'!$G$4="",'Data Entry'!$D1331='Visual SPC'!$G$4),OR('Visual SPC'!$I$4="",'Data Entry'!$E1331='Visual SPC'!$I$4),OR('Visual SPC'!$K$4="",'Data Entry'!$F1331='Visual SPC'!$K$4)),1,0))</f>
        <v/>
      </c>
      <c r="C1331">
        <f>C1330+B1331</f>
        <v/>
      </c>
      <c r="D1331">
        <f>IF(B1331=1,INDEX('Data Entry'!$H$5:$BE$10004,1331-4,'Visual SPC'!$B$3),"")</f>
        <v/>
      </c>
      <c r="E1331">
        <f>IF(B1331=1,D1331,E1330)</f>
        <v/>
      </c>
      <c r="F1331">
        <f>IF(AND(B1331=1,C1331&gt;1,E1330&lt;&gt;""),ABS(D1331-E1330),"")</f>
        <v/>
      </c>
    </row>
    <row r="1332">
      <c r="A1332" t="n">
        <v>1332</v>
      </c>
      <c r="B1332">
        <f>IF(INDEX('Data Entry'!$H$5:$BE$10004,1332-4,'Visual SPC'!$B$3)="",0,IF(AND(OR('Visual SPC'!$C$4="",'Data Entry'!$C1332&gt;='Visual SPC'!$C$4),OR('Visual SPC'!$E$4="",'Data Entry'!$C1332&lt;='Visual SPC'!$E$4),OR('Visual SPC'!$G$4="",'Data Entry'!$D1332='Visual SPC'!$G$4),OR('Visual SPC'!$I$4="",'Data Entry'!$E1332='Visual SPC'!$I$4),OR('Visual SPC'!$K$4="",'Data Entry'!$F1332='Visual SPC'!$K$4)),1,0))</f>
        <v/>
      </c>
      <c r="C1332">
        <f>C1331+B1332</f>
        <v/>
      </c>
      <c r="D1332">
        <f>IF(B1332=1,INDEX('Data Entry'!$H$5:$BE$10004,1332-4,'Visual SPC'!$B$3),"")</f>
        <v/>
      </c>
      <c r="E1332">
        <f>IF(B1332=1,D1332,E1331)</f>
        <v/>
      </c>
      <c r="F1332">
        <f>IF(AND(B1332=1,C1332&gt;1,E1331&lt;&gt;""),ABS(D1332-E1331),"")</f>
        <v/>
      </c>
    </row>
    <row r="1333">
      <c r="A1333" t="n">
        <v>1333</v>
      </c>
      <c r="B1333">
        <f>IF(INDEX('Data Entry'!$H$5:$BE$10004,1333-4,'Visual SPC'!$B$3)="",0,IF(AND(OR('Visual SPC'!$C$4="",'Data Entry'!$C1333&gt;='Visual SPC'!$C$4),OR('Visual SPC'!$E$4="",'Data Entry'!$C1333&lt;='Visual SPC'!$E$4),OR('Visual SPC'!$G$4="",'Data Entry'!$D1333='Visual SPC'!$G$4),OR('Visual SPC'!$I$4="",'Data Entry'!$E1333='Visual SPC'!$I$4),OR('Visual SPC'!$K$4="",'Data Entry'!$F1333='Visual SPC'!$K$4)),1,0))</f>
        <v/>
      </c>
      <c r="C1333">
        <f>C1332+B1333</f>
        <v/>
      </c>
      <c r="D1333">
        <f>IF(B1333=1,INDEX('Data Entry'!$H$5:$BE$10004,1333-4,'Visual SPC'!$B$3),"")</f>
        <v/>
      </c>
      <c r="E1333">
        <f>IF(B1333=1,D1333,E1332)</f>
        <v/>
      </c>
      <c r="F1333">
        <f>IF(AND(B1333=1,C1333&gt;1,E1332&lt;&gt;""),ABS(D1333-E1332),"")</f>
        <v/>
      </c>
    </row>
    <row r="1334">
      <c r="A1334" t="n">
        <v>1334</v>
      </c>
      <c r="B1334">
        <f>IF(INDEX('Data Entry'!$H$5:$BE$10004,1334-4,'Visual SPC'!$B$3)="",0,IF(AND(OR('Visual SPC'!$C$4="",'Data Entry'!$C1334&gt;='Visual SPC'!$C$4),OR('Visual SPC'!$E$4="",'Data Entry'!$C1334&lt;='Visual SPC'!$E$4),OR('Visual SPC'!$G$4="",'Data Entry'!$D1334='Visual SPC'!$G$4),OR('Visual SPC'!$I$4="",'Data Entry'!$E1334='Visual SPC'!$I$4),OR('Visual SPC'!$K$4="",'Data Entry'!$F1334='Visual SPC'!$K$4)),1,0))</f>
        <v/>
      </c>
      <c r="C1334">
        <f>C1333+B1334</f>
        <v/>
      </c>
      <c r="D1334">
        <f>IF(B1334=1,INDEX('Data Entry'!$H$5:$BE$10004,1334-4,'Visual SPC'!$B$3),"")</f>
        <v/>
      </c>
      <c r="E1334">
        <f>IF(B1334=1,D1334,E1333)</f>
        <v/>
      </c>
      <c r="F1334">
        <f>IF(AND(B1334=1,C1334&gt;1,E1333&lt;&gt;""),ABS(D1334-E1333),"")</f>
        <v/>
      </c>
    </row>
    <row r="1335">
      <c r="A1335" t="n">
        <v>1335</v>
      </c>
      <c r="B1335">
        <f>IF(INDEX('Data Entry'!$H$5:$BE$10004,1335-4,'Visual SPC'!$B$3)="",0,IF(AND(OR('Visual SPC'!$C$4="",'Data Entry'!$C1335&gt;='Visual SPC'!$C$4),OR('Visual SPC'!$E$4="",'Data Entry'!$C1335&lt;='Visual SPC'!$E$4),OR('Visual SPC'!$G$4="",'Data Entry'!$D1335='Visual SPC'!$G$4),OR('Visual SPC'!$I$4="",'Data Entry'!$E1335='Visual SPC'!$I$4),OR('Visual SPC'!$K$4="",'Data Entry'!$F1335='Visual SPC'!$K$4)),1,0))</f>
        <v/>
      </c>
      <c r="C1335">
        <f>C1334+B1335</f>
        <v/>
      </c>
      <c r="D1335">
        <f>IF(B1335=1,INDEX('Data Entry'!$H$5:$BE$10004,1335-4,'Visual SPC'!$B$3),"")</f>
        <v/>
      </c>
      <c r="E1335">
        <f>IF(B1335=1,D1335,E1334)</f>
        <v/>
      </c>
      <c r="F1335">
        <f>IF(AND(B1335=1,C1335&gt;1,E1334&lt;&gt;""),ABS(D1335-E1334),"")</f>
        <v/>
      </c>
    </row>
    <row r="1336">
      <c r="A1336" t="n">
        <v>1336</v>
      </c>
      <c r="B1336">
        <f>IF(INDEX('Data Entry'!$H$5:$BE$10004,1336-4,'Visual SPC'!$B$3)="",0,IF(AND(OR('Visual SPC'!$C$4="",'Data Entry'!$C1336&gt;='Visual SPC'!$C$4),OR('Visual SPC'!$E$4="",'Data Entry'!$C1336&lt;='Visual SPC'!$E$4),OR('Visual SPC'!$G$4="",'Data Entry'!$D1336='Visual SPC'!$G$4),OR('Visual SPC'!$I$4="",'Data Entry'!$E1336='Visual SPC'!$I$4),OR('Visual SPC'!$K$4="",'Data Entry'!$F1336='Visual SPC'!$K$4)),1,0))</f>
        <v/>
      </c>
      <c r="C1336">
        <f>C1335+B1336</f>
        <v/>
      </c>
      <c r="D1336">
        <f>IF(B1336=1,INDEX('Data Entry'!$H$5:$BE$10004,1336-4,'Visual SPC'!$B$3),"")</f>
        <v/>
      </c>
      <c r="E1336">
        <f>IF(B1336=1,D1336,E1335)</f>
        <v/>
      </c>
      <c r="F1336">
        <f>IF(AND(B1336=1,C1336&gt;1,E1335&lt;&gt;""),ABS(D1336-E1335),"")</f>
        <v/>
      </c>
    </row>
    <row r="1337">
      <c r="A1337" t="n">
        <v>1337</v>
      </c>
      <c r="B1337">
        <f>IF(INDEX('Data Entry'!$H$5:$BE$10004,1337-4,'Visual SPC'!$B$3)="",0,IF(AND(OR('Visual SPC'!$C$4="",'Data Entry'!$C1337&gt;='Visual SPC'!$C$4),OR('Visual SPC'!$E$4="",'Data Entry'!$C1337&lt;='Visual SPC'!$E$4),OR('Visual SPC'!$G$4="",'Data Entry'!$D1337='Visual SPC'!$G$4),OR('Visual SPC'!$I$4="",'Data Entry'!$E1337='Visual SPC'!$I$4),OR('Visual SPC'!$K$4="",'Data Entry'!$F1337='Visual SPC'!$K$4)),1,0))</f>
        <v/>
      </c>
      <c r="C1337">
        <f>C1336+B1337</f>
        <v/>
      </c>
      <c r="D1337">
        <f>IF(B1337=1,INDEX('Data Entry'!$H$5:$BE$10004,1337-4,'Visual SPC'!$B$3),"")</f>
        <v/>
      </c>
      <c r="E1337">
        <f>IF(B1337=1,D1337,E1336)</f>
        <v/>
      </c>
      <c r="F1337">
        <f>IF(AND(B1337=1,C1337&gt;1,E1336&lt;&gt;""),ABS(D1337-E1336),"")</f>
        <v/>
      </c>
    </row>
    <row r="1338">
      <c r="A1338" t="n">
        <v>1338</v>
      </c>
      <c r="B1338">
        <f>IF(INDEX('Data Entry'!$H$5:$BE$10004,1338-4,'Visual SPC'!$B$3)="",0,IF(AND(OR('Visual SPC'!$C$4="",'Data Entry'!$C1338&gt;='Visual SPC'!$C$4),OR('Visual SPC'!$E$4="",'Data Entry'!$C1338&lt;='Visual SPC'!$E$4),OR('Visual SPC'!$G$4="",'Data Entry'!$D1338='Visual SPC'!$G$4),OR('Visual SPC'!$I$4="",'Data Entry'!$E1338='Visual SPC'!$I$4),OR('Visual SPC'!$K$4="",'Data Entry'!$F1338='Visual SPC'!$K$4)),1,0))</f>
        <v/>
      </c>
      <c r="C1338">
        <f>C1337+B1338</f>
        <v/>
      </c>
      <c r="D1338">
        <f>IF(B1338=1,INDEX('Data Entry'!$H$5:$BE$10004,1338-4,'Visual SPC'!$B$3),"")</f>
        <v/>
      </c>
      <c r="E1338">
        <f>IF(B1338=1,D1338,E1337)</f>
        <v/>
      </c>
      <c r="F1338">
        <f>IF(AND(B1338=1,C1338&gt;1,E1337&lt;&gt;""),ABS(D1338-E1337),"")</f>
        <v/>
      </c>
    </row>
    <row r="1339">
      <c r="A1339" t="n">
        <v>1339</v>
      </c>
      <c r="B1339">
        <f>IF(INDEX('Data Entry'!$H$5:$BE$10004,1339-4,'Visual SPC'!$B$3)="",0,IF(AND(OR('Visual SPC'!$C$4="",'Data Entry'!$C1339&gt;='Visual SPC'!$C$4),OR('Visual SPC'!$E$4="",'Data Entry'!$C1339&lt;='Visual SPC'!$E$4),OR('Visual SPC'!$G$4="",'Data Entry'!$D1339='Visual SPC'!$G$4),OR('Visual SPC'!$I$4="",'Data Entry'!$E1339='Visual SPC'!$I$4),OR('Visual SPC'!$K$4="",'Data Entry'!$F1339='Visual SPC'!$K$4)),1,0))</f>
        <v/>
      </c>
      <c r="C1339">
        <f>C1338+B1339</f>
        <v/>
      </c>
      <c r="D1339">
        <f>IF(B1339=1,INDEX('Data Entry'!$H$5:$BE$10004,1339-4,'Visual SPC'!$B$3),"")</f>
        <v/>
      </c>
      <c r="E1339">
        <f>IF(B1339=1,D1339,E1338)</f>
        <v/>
      </c>
      <c r="F1339">
        <f>IF(AND(B1339=1,C1339&gt;1,E1338&lt;&gt;""),ABS(D1339-E1338),"")</f>
        <v/>
      </c>
    </row>
    <row r="1340">
      <c r="A1340" t="n">
        <v>1340</v>
      </c>
      <c r="B1340">
        <f>IF(INDEX('Data Entry'!$H$5:$BE$10004,1340-4,'Visual SPC'!$B$3)="",0,IF(AND(OR('Visual SPC'!$C$4="",'Data Entry'!$C1340&gt;='Visual SPC'!$C$4),OR('Visual SPC'!$E$4="",'Data Entry'!$C1340&lt;='Visual SPC'!$E$4),OR('Visual SPC'!$G$4="",'Data Entry'!$D1340='Visual SPC'!$G$4),OR('Visual SPC'!$I$4="",'Data Entry'!$E1340='Visual SPC'!$I$4),OR('Visual SPC'!$K$4="",'Data Entry'!$F1340='Visual SPC'!$K$4)),1,0))</f>
        <v/>
      </c>
      <c r="C1340">
        <f>C1339+B1340</f>
        <v/>
      </c>
      <c r="D1340">
        <f>IF(B1340=1,INDEX('Data Entry'!$H$5:$BE$10004,1340-4,'Visual SPC'!$B$3),"")</f>
        <v/>
      </c>
      <c r="E1340">
        <f>IF(B1340=1,D1340,E1339)</f>
        <v/>
      </c>
      <c r="F1340">
        <f>IF(AND(B1340=1,C1340&gt;1,E1339&lt;&gt;""),ABS(D1340-E1339),"")</f>
        <v/>
      </c>
    </row>
    <row r="1341">
      <c r="A1341" t="n">
        <v>1341</v>
      </c>
      <c r="B1341">
        <f>IF(INDEX('Data Entry'!$H$5:$BE$10004,1341-4,'Visual SPC'!$B$3)="",0,IF(AND(OR('Visual SPC'!$C$4="",'Data Entry'!$C1341&gt;='Visual SPC'!$C$4),OR('Visual SPC'!$E$4="",'Data Entry'!$C1341&lt;='Visual SPC'!$E$4),OR('Visual SPC'!$G$4="",'Data Entry'!$D1341='Visual SPC'!$G$4),OR('Visual SPC'!$I$4="",'Data Entry'!$E1341='Visual SPC'!$I$4),OR('Visual SPC'!$K$4="",'Data Entry'!$F1341='Visual SPC'!$K$4)),1,0))</f>
        <v/>
      </c>
      <c r="C1341">
        <f>C1340+B1341</f>
        <v/>
      </c>
      <c r="D1341">
        <f>IF(B1341=1,INDEX('Data Entry'!$H$5:$BE$10004,1341-4,'Visual SPC'!$B$3),"")</f>
        <v/>
      </c>
      <c r="E1341">
        <f>IF(B1341=1,D1341,E1340)</f>
        <v/>
      </c>
      <c r="F1341">
        <f>IF(AND(B1341=1,C1341&gt;1,E1340&lt;&gt;""),ABS(D1341-E1340),"")</f>
        <v/>
      </c>
    </row>
    <row r="1342">
      <c r="A1342" t="n">
        <v>1342</v>
      </c>
      <c r="B1342">
        <f>IF(INDEX('Data Entry'!$H$5:$BE$10004,1342-4,'Visual SPC'!$B$3)="",0,IF(AND(OR('Visual SPC'!$C$4="",'Data Entry'!$C1342&gt;='Visual SPC'!$C$4),OR('Visual SPC'!$E$4="",'Data Entry'!$C1342&lt;='Visual SPC'!$E$4),OR('Visual SPC'!$G$4="",'Data Entry'!$D1342='Visual SPC'!$G$4),OR('Visual SPC'!$I$4="",'Data Entry'!$E1342='Visual SPC'!$I$4),OR('Visual SPC'!$K$4="",'Data Entry'!$F1342='Visual SPC'!$K$4)),1,0))</f>
        <v/>
      </c>
      <c r="C1342">
        <f>C1341+B1342</f>
        <v/>
      </c>
      <c r="D1342">
        <f>IF(B1342=1,INDEX('Data Entry'!$H$5:$BE$10004,1342-4,'Visual SPC'!$B$3),"")</f>
        <v/>
      </c>
      <c r="E1342">
        <f>IF(B1342=1,D1342,E1341)</f>
        <v/>
      </c>
      <c r="F1342">
        <f>IF(AND(B1342=1,C1342&gt;1,E1341&lt;&gt;""),ABS(D1342-E1341),"")</f>
        <v/>
      </c>
    </row>
    <row r="1343">
      <c r="A1343" t="n">
        <v>1343</v>
      </c>
      <c r="B1343">
        <f>IF(INDEX('Data Entry'!$H$5:$BE$10004,1343-4,'Visual SPC'!$B$3)="",0,IF(AND(OR('Visual SPC'!$C$4="",'Data Entry'!$C1343&gt;='Visual SPC'!$C$4),OR('Visual SPC'!$E$4="",'Data Entry'!$C1343&lt;='Visual SPC'!$E$4),OR('Visual SPC'!$G$4="",'Data Entry'!$D1343='Visual SPC'!$G$4),OR('Visual SPC'!$I$4="",'Data Entry'!$E1343='Visual SPC'!$I$4),OR('Visual SPC'!$K$4="",'Data Entry'!$F1343='Visual SPC'!$K$4)),1,0))</f>
        <v/>
      </c>
      <c r="C1343">
        <f>C1342+B1343</f>
        <v/>
      </c>
      <c r="D1343">
        <f>IF(B1343=1,INDEX('Data Entry'!$H$5:$BE$10004,1343-4,'Visual SPC'!$B$3),"")</f>
        <v/>
      </c>
      <c r="E1343">
        <f>IF(B1343=1,D1343,E1342)</f>
        <v/>
      </c>
      <c r="F1343">
        <f>IF(AND(B1343=1,C1343&gt;1,E1342&lt;&gt;""),ABS(D1343-E1342),"")</f>
        <v/>
      </c>
    </row>
    <row r="1344">
      <c r="A1344" t="n">
        <v>1344</v>
      </c>
      <c r="B1344">
        <f>IF(INDEX('Data Entry'!$H$5:$BE$10004,1344-4,'Visual SPC'!$B$3)="",0,IF(AND(OR('Visual SPC'!$C$4="",'Data Entry'!$C1344&gt;='Visual SPC'!$C$4),OR('Visual SPC'!$E$4="",'Data Entry'!$C1344&lt;='Visual SPC'!$E$4),OR('Visual SPC'!$G$4="",'Data Entry'!$D1344='Visual SPC'!$G$4),OR('Visual SPC'!$I$4="",'Data Entry'!$E1344='Visual SPC'!$I$4),OR('Visual SPC'!$K$4="",'Data Entry'!$F1344='Visual SPC'!$K$4)),1,0))</f>
        <v/>
      </c>
      <c r="C1344">
        <f>C1343+B1344</f>
        <v/>
      </c>
      <c r="D1344">
        <f>IF(B1344=1,INDEX('Data Entry'!$H$5:$BE$10004,1344-4,'Visual SPC'!$B$3),"")</f>
        <v/>
      </c>
      <c r="E1344">
        <f>IF(B1344=1,D1344,E1343)</f>
        <v/>
      </c>
      <c r="F1344">
        <f>IF(AND(B1344=1,C1344&gt;1,E1343&lt;&gt;""),ABS(D1344-E1343),"")</f>
        <v/>
      </c>
    </row>
    <row r="1345">
      <c r="A1345" t="n">
        <v>1345</v>
      </c>
      <c r="B1345">
        <f>IF(INDEX('Data Entry'!$H$5:$BE$10004,1345-4,'Visual SPC'!$B$3)="",0,IF(AND(OR('Visual SPC'!$C$4="",'Data Entry'!$C1345&gt;='Visual SPC'!$C$4),OR('Visual SPC'!$E$4="",'Data Entry'!$C1345&lt;='Visual SPC'!$E$4),OR('Visual SPC'!$G$4="",'Data Entry'!$D1345='Visual SPC'!$G$4),OR('Visual SPC'!$I$4="",'Data Entry'!$E1345='Visual SPC'!$I$4),OR('Visual SPC'!$K$4="",'Data Entry'!$F1345='Visual SPC'!$K$4)),1,0))</f>
        <v/>
      </c>
      <c r="C1345">
        <f>C1344+B1345</f>
        <v/>
      </c>
      <c r="D1345">
        <f>IF(B1345=1,INDEX('Data Entry'!$H$5:$BE$10004,1345-4,'Visual SPC'!$B$3),"")</f>
        <v/>
      </c>
      <c r="E1345">
        <f>IF(B1345=1,D1345,E1344)</f>
        <v/>
      </c>
      <c r="F1345">
        <f>IF(AND(B1345=1,C1345&gt;1,E1344&lt;&gt;""),ABS(D1345-E1344),"")</f>
        <v/>
      </c>
    </row>
    <row r="1346">
      <c r="A1346" t="n">
        <v>1346</v>
      </c>
      <c r="B1346">
        <f>IF(INDEX('Data Entry'!$H$5:$BE$10004,1346-4,'Visual SPC'!$B$3)="",0,IF(AND(OR('Visual SPC'!$C$4="",'Data Entry'!$C1346&gt;='Visual SPC'!$C$4),OR('Visual SPC'!$E$4="",'Data Entry'!$C1346&lt;='Visual SPC'!$E$4),OR('Visual SPC'!$G$4="",'Data Entry'!$D1346='Visual SPC'!$G$4),OR('Visual SPC'!$I$4="",'Data Entry'!$E1346='Visual SPC'!$I$4),OR('Visual SPC'!$K$4="",'Data Entry'!$F1346='Visual SPC'!$K$4)),1,0))</f>
        <v/>
      </c>
      <c r="C1346">
        <f>C1345+B1346</f>
        <v/>
      </c>
      <c r="D1346">
        <f>IF(B1346=1,INDEX('Data Entry'!$H$5:$BE$10004,1346-4,'Visual SPC'!$B$3),"")</f>
        <v/>
      </c>
      <c r="E1346">
        <f>IF(B1346=1,D1346,E1345)</f>
        <v/>
      </c>
      <c r="F1346">
        <f>IF(AND(B1346=1,C1346&gt;1,E1345&lt;&gt;""),ABS(D1346-E1345),"")</f>
        <v/>
      </c>
    </row>
    <row r="1347">
      <c r="A1347" t="n">
        <v>1347</v>
      </c>
      <c r="B1347">
        <f>IF(INDEX('Data Entry'!$H$5:$BE$10004,1347-4,'Visual SPC'!$B$3)="",0,IF(AND(OR('Visual SPC'!$C$4="",'Data Entry'!$C1347&gt;='Visual SPC'!$C$4),OR('Visual SPC'!$E$4="",'Data Entry'!$C1347&lt;='Visual SPC'!$E$4),OR('Visual SPC'!$G$4="",'Data Entry'!$D1347='Visual SPC'!$G$4),OR('Visual SPC'!$I$4="",'Data Entry'!$E1347='Visual SPC'!$I$4),OR('Visual SPC'!$K$4="",'Data Entry'!$F1347='Visual SPC'!$K$4)),1,0))</f>
        <v/>
      </c>
      <c r="C1347">
        <f>C1346+B1347</f>
        <v/>
      </c>
      <c r="D1347">
        <f>IF(B1347=1,INDEX('Data Entry'!$H$5:$BE$10004,1347-4,'Visual SPC'!$B$3),"")</f>
        <v/>
      </c>
      <c r="E1347">
        <f>IF(B1347=1,D1347,E1346)</f>
        <v/>
      </c>
      <c r="F1347">
        <f>IF(AND(B1347=1,C1347&gt;1,E1346&lt;&gt;""),ABS(D1347-E1346),"")</f>
        <v/>
      </c>
    </row>
    <row r="1348">
      <c r="A1348" t="n">
        <v>1348</v>
      </c>
      <c r="B1348">
        <f>IF(INDEX('Data Entry'!$H$5:$BE$10004,1348-4,'Visual SPC'!$B$3)="",0,IF(AND(OR('Visual SPC'!$C$4="",'Data Entry'!$C1348&gt;='Visual SPC'!$C$4),OR('Visual SPC'!$E$4="",'Data Entry'!$C1348&lt;='Visual SPC'!$E$4),OR('Visual SPC'!$G$4="",'Data Entry'!$D1348='Visual SPC'!$G$4),OR('Visual SPC'!$I$4="",'Data Entry'!$E1348='Visual SPC'!$I$4),OR('Visual SPC'!$K$4="",'Data Entry'!$F1348='Visual SPC'!$K$4)),1,0))</f>
        <v/>
      </c>
      <c r="C1348">
        <f>C1347+B1348</f>
        <v/>
      </c>
      <c r="D1348">
        <f>IF(B1348=1,INDEX('Data Entry'!$H$5:$BE$10004,1348-4,'Visual SPC'!$B$3),"")</f>
        <v/>
      </c>
      <c r="E1348">
        <f>IF(B1348=1,D1348,E1347)</f>
        <v/>
      </c>
      <c r="F1348">
        <f>IF(AND(B1348=1,C1348&gt;1,E1347&lt;&gt;""),ABS(D1348-E1347),"")</f>
        <v/>
      </c>
    </row>
    <row r="1349">
      <c r="A1349" t="n">
        <v>1349</v>
      </c>
      <c r="B1349">
        <f>IF(INDEX('Data Entry'!$H$5:$BE$10004,1349-4,'Visual SPC'!$B$3)="",0,IF(AND(OR('Visual SPC'!$C$4="",'Data Entry'!$C1349&gt;='Visual SPC'!$C$4),OR('Visual SPC'!$E$4="",'Data Entry'!$C1349&lt;='Visual SPC'!$E$4),OR('Visual SPC'!$G$4="",'Data Entry'!$D1349='Visual SPC'!$G$4),OR('Visual SPC'!$I$4="",'Data Entry'!$E1349='Visual SPC'!$I$4),OR('Visual SPC'!$K$4="",'Data Entry'!$F1349='Visual SPC'!$K$4)),1,0))</f>
        <v/>
      </c>
      <c r="C1349">
        <f>C1348+B1349</f>
        <v/>
      </c>
      <c r="D1349">
        <f>IF(B1349=1,INDEX('Data Entry'!$H$5:$BE$10004,1349-4,'Visual SPC'!$B$3),"")</f>
        <v/>
      </c>
      <c r="E1349">
        <f>IF(B1349=1,D1349,E1348)</f>
        <v/>
      </c>
      <c r="F1349">
        <f>IF(AND(B1349=1,C1349&gt;1,E1348&lt;&gt;""),ABS(D1349-E1348),"")</f>
        <v/>
      </c>
    </row>
    <row r="1350">
      <c r="A1350" t="n">
        <v>1350</v>
      </c>
      <c r="B1350">
        <f>IF(INDEX('Data Entry'!$H$5:$BE$10004,1350-4,'Visual SPC'!$B$3)="",0,IF(AND(OR('Visual SPC'!$C$4="",'Data Entry'!$C1350&gt;='Visual SPC'!$C$4),OR('Visual SPC'!$E$4="",'Data Entry'!$C1350&lt;='Visual SPC'!$E$4),OR('Visual SPC'!$G$4="",'Data Entry'!$D1350='Visual SPC'!$G$4),OR('Visual SPC'!$I$4="",'Data Entry'!$E1350='Visual SPC'!$I$4),OR('Visual SPC'!$K$4="",'Data Entry'!$F1350='Visual SPC'!$K$4)),1,0))</f>
        <v/>
      </c>
      <c r="C1350">
        <f>C1349+B1350</f>
        <v/>
      </c>
      <c r="D1350">
        <f>IF(B1350=1,INDEX('Data Entry'!$H$5:$BE$10004,1350-4,'Visual SPC'!$B$3),"")</f>
        <v/>
      </c>
      <c r="E1350">
        <f>IF(B1350=1,D1350,E1349)</f>
        <v/>
      </c>
      <c r="F1350">
        <f>IF(AND(B1350=1,C1350&gt;1,E1349&lt;&gt;""),ABS(D1350-E1349),"")</f>
        <v/>
      </c>
    </row>
    <row r="1351">
      <c r="A1351" t="n">
        <v>1351</v>
      </c>
      <c r="B1351">
        <f>IF(INDEX('Data Entry'!$H$5:$BE$10004,1351-4,'Visual SPC'!$B$3)="",0,IF(AND(OR('Visual SPC'!$C$4="",'Data Entry'!$C1351&gt;='Visual SPC'!$C$4),OR('Visual SPC'!$E$4="",'Data Entry'!$C1351&lt;='Visual SPC'!$E$4),OR('Visual SPC'!$G$4="",'Data Entry'!$D1351='Visual SPC'!$G$4),OR('Visual SPC'!$I$4="",'Data Entry'!$E1351='Visual SPC'!$I$4),OR('Visual SPC'!$K$4="",'Data Entry'!$F1351='Visual SPC'!$K$4)),1,0))</f>
        <v/>
      </c>
      <c r="C1351">
        <f>C1350+B1351</f>
        <v/>
      </c>
      <c r="D1351">
        <f>IF(B1351=1,INDEX('Data Entry'!$H$5:$BE$10004,1351-4,'Visual SPC'!$B$3),"")</f>
        <v/>
      </c>
      <c r="E1351">
        <f>IF(B1351=1,D1351,E1350)</f>
        <v/>
      </c>
      <c r="F1351">
        <f>IF(AND(B1351=1,C1351&gt;1,E1350&lt;&gt;""),ABS(D1351-E1350),"")</f>
        <v/>
      </c>
    </row>
    <row r="1352">
      <c r="A1352" t="n">
        <v>1352</v>
      </c>
      <c r="B1352">
        <f>IF(INDEX('Data Entry'!$H$5:$BE$10004,1352-4,'Visual SPC'!$B$3)="",0,IF(AND(OR('Visual SPC'!$C$4="",'Data Entry'!$C1352&gt;='Visual SPC'!$C$4),OR('Visual SPC'!$E$4="",'Data Entry'!$C1352&lt;='Visual SPC'!$E$4),OR('Visual SPC'!$G$4="",'Data Entry'!$D1352='Visual SPC'!$G$4),OR('Visual SPC'!$I$4="",'Data Entry'!$E1352='Visual SPC'!$I$4),OR('Visual SPC'!$K$4="",'Data Entry'!$F1352='Visual SPC'!$K$4)),1,0))</f>
        <v/>
      </c>
      <c r="C1352">
        <f>C1351+B1352</f>
        <v/>
      </c>
      <c r="D1352">
        <f>IF(B1352=1,INDEX('Data Entry'!$H$5:$BE$10004,1352-4,'Visual SPC'!$B$3),"")</f>
        <v/>
      </c>
      <c r="E1352">
        <f>IF(B1352=1,D1352,E1351)</f>
        <v/>
      </c>
      <c r="F1352">
        <f>IF(AND(B1352=1,C1352&gt;1,E1351&lt;&gt;""),ABS(D1352-E1351),"")</f>
        <v/>
      </c>
    </row>
    <row r="1353">
      <c r="A1353" t="n">
        <v>1353</v>
      </c>
      <c r="B1353">
        <f>IF(INDEX('Data Entry'!$H$5:$BE$10004,1353-4,'Visual SPC'!$B$3)="",0,IF(AND(OR('Visual SPC'!$C$4="",'Data Entry'!$C1353&gt;='Visual SPC'!$C$4),OR('Visual SPC'!$E$4="",'Data Entry'!$C1353&lt;='Visual SPC'!$E$4),OR('Visual SPC'!$G$4="",'Data Entry'!$D1353='Visual SPC'!$G$4),OR('Visual SPC'!$I$4="",'Data Entry'!$E1353='Visual SPC'!$I$4),OR('Visual SPC'!$K$4="",'Data Entry'!$F1353='Visual SPC'!$K$4)),1,0))</f>
        <v/>
      </c>
      <c r="C1353">
        <f>C1352+B1353</f>
        <v/>
      </c>
      <c r="D1353">
        <f>IF(B1353=1,INDEX('Data Entry'!$H$5:$BE$10004,1353-4,'Visual SPC'!$B$3),"")</f>
        <v/>
      </c>
      <c r="E1353">
        <f>IF(B1353=1,D1353,E1352)</f>
        <v/>
      </c>
      <c r="F1353">
        <f>IF(AND(B1353=1,C1353&gt;1,E1352&lt;&gt;""),ABS(D1353-E1352),"")</f>
        <v/>
      </c>
    </row>
    <row r="1354">
      <c r="A1354" t="n">
        <v>1354</v>
      </c>
      <c r="B1354">
        <f>IF(INDEX('Data Entry'!$H$5:$BE$10004,1354-4,'Visual SPC'!$B$3)="",0,IF(AND(OR('Visual SPC'!$C$4="",'Data Entry'!$C1354&gt;='Visual SPC'!$C$4),OR('Visual SPC'!$E$4="",'Data Entry'!$C1354&lt;='Visual SPC'!$E$4),OR('Visual SPC'!$G$4="",'Data Entry'!$D1354='Visual SPC'!$G$4),OR('Visual SPC'!$I$4="",'Data Entry'!$E1354='Visual SPC'!$I$4),OR('Visual SPC'!$K$4="",'Data Entry'!$F1354='Visual SPC'!$K$4)),1,0))</f>
        <v/>
      </c>
      <c r="C1354">
        <f>C1353+B1354</f>
        <v/>
      </c>
      <c r="D1354">
        <f>IF(B1354=1,INDEX('Data Entry'!$H$5:$BE$10004,1354-4,'Visual SPC'!$B$3),"")</f>
        <v/>
      </c>
      <c r="E1354">
        <f>IF(B1354=1,D1354,E1353)</f>
        <v/>
      </c>
      <c r="F1354">
        <f>IF(AND(B1354=1,C1354&gt;1,E1353&lt;&gt;""),ABS(D1354-E1353),"")</f>
        <v/>
      </c>
    </row>
    <row r="1355">
      <c r="A1355" t="n">
        <v>1355</v>
      </c>
      <c r="B1355">
        <f>IF(INDEX('Data Entry'!$H$5:$BE$10004,1355-4,'Visual SPC'!$B$3)="",0,IF(AND(OR('Visual SPC'!$C$4="",'Data Entry'!$C1355&gt;='Visual SPC'!$C$4),OR('Visual SPC'!$E$4="",'Data Entry'!$C1355&lt;='Visual SPC'!$E$4),OR('Visual SPC'!$G$4="",'Data Entry'!$D1355='Visual SPC'!$G$4),OR('Visual SPC'!$I$4="",'Data Entry'!$E1355='Visual SPC'!$I$4),OR('Visual SPC'!$K$4="",'Data Entry'!$F1355='Visual SPC'!$K$4)),1,0))</f>
        <v/>
      </c>
      <c r="C1355">
        <f>C1354+B1355</f>
        <v/>
      </c>
      <c r="D1355">
        <f>IF(B1355=1,INDEX('Data Entry'!$H$5:$BE$10004,1355-4,'Visual SPC'!$B$3),"")</f>
        <v/>
      </c>
      <c r="E1355">
        <f>IF(B1355=1,D1355,E1354)</f>
        <v/>
      </c>
      <c r="F1355">
        <f>IF(AND(B1355=1,C1355&gt;1,E1354&lt;&gt;""),ABS(D1355-E1354),"")</f>
        <v/>
      </c>
    </row>
    <row r="1356">
      <c r="A1356" t="n">
        <v>1356</v>
      </c>
      <c r="B1356">
        <f>IF(INDEX('Data Entry'!$H$5:$BE$10004,1356-4,'Visual SPC'!$B$3)="",0,IF(AND(OR('Visual SPC'!$C$4="",'Data Entry'!$C1356&gt;='Visual SPC'!$C$4),OR('Visual SPC'!$E$4="",'Data Entry'!$C1356&lt;='Visual SPC'!$E$4),OR('Visual SPC'!$G$4="",'Data Entry'!$D1356='Visual SPC'!$G$4),OR('Visual SPC'!$I$4="",'Data Entry'!$E1356='Visual SPC'!$I$4),OR('Visual SPC'!$K$4="",'Data Entry'!$F1356='Visual SPC'!$K$4)),1,0))</f>
        <v/>
      </c>
      <c r="C1356">
        <f>C1355+B1356</f>
        <v/>
      </c>
      <c r="D1356">
        <f>IF(B1356=1,INDEX('Data Entry'!$H$5:$BE$10004,1356-4,'Visual SPC'!$B$3),"")</f>
        <v/>
      </c>
      <c r="E1356">
        <f>IF(B1356=1,D1356,E1355)</f>
        <v/>
      </c>
      <c r="F1356">
        <f>IF(AND(B1356=1,C1356&gt;1,E1355&lt;&gt;""),ABS(D1356-E1355),"")</f>
        <v/>
      </c>
    </row>
    <row r="1357">
      <c r="A1357" t="n">
        <v>1357</v>
      </c>
      <c r="B1357">
        <f>IF(INDEX('Data Entry'!$H$5:$BE$10004,1357-4,'Visual SPC'!$B$3)="",0,IF(AND(OR('Visual SPC'!$C$4="",'Data Entry'!$C1357&gt;='Visual SPC'!$C$4),OR('Visual SPC'!$E$4="",'Data Entry'!$C1357&lt;='Visual SPC'!$E$4),OR('Visual SPC'!$G$4="",'Data Entry'!$D1357='Visual SPC'!$G$4),OR('Visual SPC'!$I$4="",'Data Entry'!$E1357='Visual SPC'!$I$4),OR('Visual SPC'!$K$4="",'Data Entry'!$F1357='Visual SPC'!$K$4)),1,0))</f>
        <v/>
      </c>
      <c r="C1357">
        <f>C1356+B1357</f>
        <v/>
      </c>
      <c r="D1357">
        <f>IF(B1357=1,INDEX('Data Entry'!$H$5:$BE$10004,1357-4,'Visual SPC'!$B$3),"")</f>
        <v/>
      </c>
      <c r="E1357">
        <f>IF(B1357=1,D1357,E1356)</f>
        <v/>
      </c>
      <c r="F1357">
        <f>IF(AND(B1357=1,C1357&gt;1,E1356&lt;&gt;""),ABS(D1357-E1356),"")</f>
        <v/>
      </c>
    </row>
    <row r="1358">
      <c r="A1358" t="n">
        <v>1358</v>
      </c>
      <c r="B1358">
        <f>IF(INDEX('Data Entry'!$H$5:$BE$10004,1358-4,'Visual SPC'!$B$3)="",0,IF(AND(OR('Visual SPC'!$C$4="",'Data Entry'!$C1358&gt;='Visual SPC'!$C$4),OR('Visual SPC'!$E$4="",'Data Entry'!$C1358&lt;='Visual SPC'!$E$4),OR('Visual SPC'!$G$4="",'Data Entry'!$D1358='Visual SPC'!$G$4),OR('Visual SPC'!$I$4="",'Data Entry'!$E1358='Visual SPC'!$I$4),OR('Visual SPC'!$K$4="",'Data Entry'!$F1358='Visual SPC'!$K$4)),1,0))</f>
        <v/>
      </c>
      <c r="C1358">
        <f>C1357+B1358</f>
        <v/>
      </c>
      <c r="D1358">
        <f>IF(B1358=1,INDEX('Data Entry'!$H$5:$BE$10004,1358-4,'Visual SPC'!$B$3),"")</f>
        <v/>
      </c>
      <c r="E1358">
        <f>IF(B1358=1,D1358,E1357)</f>
        <v/>
      </c>
      <c r="F1358">
        <f>IF(AND(B1358=1,C1358&gt;1,E1357&lt;&gt;""),ABS(D1358-E1357),"")</f>
        <v/>
      </c>
    </row>
    <row r="1359">
      <c r="A1359" t="n">
        <v>1359</v>
      </c>
      <c r="B1359">
        <f>IF(INDEX('Data Entry'!$H$5:$BE$10004,1359-4,'Visual SPC'!$B$3)="",0,IF(AND(OR('Visual SPC'!$C$4="",'Data Entry'!$C1359&gt;='Visual SPC'!$C$4),OR('Visual SPC'!$E$4="",'Data Entry'!$C1359&lt;='Visual SPC'!$E$4),OR('Visual SPC'!$G$4="",'Data Entry'!$D1359='Visual SPC'!$G$4),OR('Visual SPC'!$I$4="",'Data Entry'!$E1359='Visual SPC'!$I$4),OR('Visual SPC'!$K$4="",'Data Entry'!$F1359='Visual SPC'!$K$4)),1,0))</f>
        <v/>
      </c>
      <c r="C1359">
        <f>C1358+B1359</f>
        <v/>
      </c>
      <c r="D1359">
        <f>IF(B1359=1,INDEX('Data Entry'!$H$5:$BE$10004,1359-4,'Visual SPC'!$B$3),"")</f>
        <v/>
      </c>
      <c r="E1359">
        <f>IF(B1359=1,D1359,E1358)</f>
        <v/>
      </c>
      <c r="F1359">
        <f>IF(AND(B1359=1,C1359&gt;1,E1358&lt;&gt;""),ABS(D1359-E1358),"")</f>
        <v/>
      </c>
    </row>
    <row r="1360">
      <c r="A1360" t="n">
        <v>1360</v>
      </c>
      <c r="B1360">
        <f>IF(INDEX('Data Entry'!$H$5:$BE$10004,1360-4,'Visual SPC'!$B$3)="",0,IF(AND(OR('Visual SPC'!$C$4="",'Data Entry'!$C1360&gt;='Visual SPC'!$C$4),OR('Visual SPC'!$E$4="",'Data Entry'!$C1360&lt;='Visual SPC'!$E$4),OR('Visual SPC'!$G$4="",'Data Entry'!$D1360='Visual SPC'!$G$4),OR('Visual SPC'!$I$4="",'Data Entry'!$E1360='Visual SPC'!$I$4),OR('Visual SPC'!$K$4="",'Data Entry'!$F1360='Visual SPC'!$K$4)),1,0))</f>
        <v/>
      </c>
      <c r="C1360">
        <f>C1359+B1360</f>
        <v/>
      </c>
      <c r="D1360">
        <f>IF(B1360=1,INDEX('Data Entry'!$H$5:$BE$10004,1360-4,'Visual SPC'!$B$3),"")</f>
        <v/>
      </c>
      <c r="E1360">
        <f>IF(B1360=1,D1360,E1359)</f>
        <v/>
      </c>
      <c r="F1360">
        <f>IF(AND(B1360=1,C1360&gt;1,E1359&lt;&gt;""),ABS(D1360-E1359),"")</f>
        <v/>
      </c>
    </row>
    <row r="1361">
      <c r="A1361" t="n">
        <v>1361</v>
      </c>
      <c r="B1361">
        <f>IF(INDEX('Data Entry'!$H$5:$BE$10004,1361-4,'Visual SPC'!$B$3)="",0,IF(AND(OR('Visual SPC'!$C$4="",'Data Entry'!$C1361&gt;='Visual SPC'!$C$4),OR('Visual SPC'!$E$4="",'Data Entry'!$C1361&lt;='Visual SPC'!$E$4),OR('Visual SPC'!$G$4="",'Data Entry'!$D1361='Visual SPC'!$G$4),OR('Visual SPC'!$I$4="",'Data Entry'!$E1361='Visual SPC'!$I$4),OR('Visual SPC'!$K$4="",'Data Entry'!$F1361='Visual SPC'!$K$4)),1,0))</f>
        <v/>
      </c>
      <c r="C1361">
        <f>C1360+B1361</f>
        <v/>
      </c>
      <c r="D1361">
        <f>IF(B1361=1,INDEX('Data Entry'!$H$5:$BE$10004,1361-4,'Visual SPC'!$B$3),"")</f>
        <v/>
      </c>
      <c r="E1361">
        <f>IF(B1361=1,D1361,E1360)</f>
        <v/>
      </c>
      <c r="F1361">
        <f>IF(AND(B1361=1,C1361&gt;1,E1360&lt;&gt;""),ABS(D1361-E1360),"")</f>
        <v/>
      </c>
    </row>
    <row r="1362">
      <c r="A1362" t="n">
        <v>1362</v>
      </c>
      <c r="B1362">
        <f>IF(INDEX('Data Entry'!$H$5:$BE$10004,1362-4,'Visual SPC'!$B$3)="",0,IF(AND(OR('Visual SPC'!$C$4="",'Data Entry'!$C1362&gt;='Visual SPC'!$C$4),OR('Visual SPC'!$E$4="",'Data Entry'!$C1362&lt;='Visual SPC'!$E$4),OR('Visual SPC'!$G$4="",'Data Entry'!$D1362='Visual SPC'!$G$4),OR('Visual SPC'!$I$4="",'Data Entry'!$E1362='Visual SPC'!$I$4),OR('Visual SPC'!$K$4="",'Data Entry'!$F1362='Visual SPC'!$K$4)),1,0))</f>
        <v/>
      </c>
      <c r="C1362">
        <f>C1361+B1362</f>
        <v/>
      </c>
      <c r="D1362">
        <f>IF(B1362=1,INDEX('Data Entry'!$H$5:$BE$10004,1362-4,'Visual SPC'!$B$3),"")</f>
        <v/>
      </c>
      <c r="E1362">
        <f>IF(B1362=1,D1362,E1361)</f>
        <v/>
      </c>
      <c r="F1362">
        <f>IF(AND(B1362=1,C1362&gt;1,E1361&lt;&gt;""),ABS(D1362-E1361),"")</f>
        <v/>
      </c>
    </row>
    <row r="1363">
      <c r="A1363" t="n">
        <v>1363</v>
      </c>
      <c r="B1363">
        <f>IF(INDEX('Data Entry'!$H$5:$BE$10004,1363-4,'Visual SPC'!$B$3)="",0,IF(AND(OR('Visual SPC'!$C$4="",'Data Entry'!$C1363&gt;='Visual SPC'!$C$4),OR('Visual SPC'!$E$4="",'Data Entry'!$C1363&lt;='Visual SPC'!$E$4),OR('Visual SPC'!$G$4="",'Data Entry'!$D1363='Visual SPC'!$G$4),OR('Visual SPC'!$I$4="",'Data Entry'!$E1363='Visual SPC'!$I$4),OR('Visual SPC'!$K$4="",'Data Entry'!$F1363='Visual SPC'!$K$4)),1,0))</f>
        <v/>
      </c>
      <c r="C1363">
        <f>C1362+B1363</f>
        <v/>
      </c>
      <c r="D1363">
        <f>IF(B1363=1,INDEX('Data Entry'!$H$5:$BE$10004,1363-4,'Visual SPC'!$B$3),"")</f>
        <v/>
      </c>
      <c r="E1363">
        <f>IF(B1363=1,D1363,E1362)</f>
        <v/>
      </c>
      <c r="F1363">
        <f>IF(AND(B1363=1,C1363&gt;1,E1362&lt;&gt;""),ABS(D1363-E1362),"")</f>
        <v/>
      </c>
    </row>
    <row r="1364">
      <c r="A1364" t="n">
        <v>1364</v>
      </c>
      <c r="B1364">
        <f>IF(INDEX('Data Entry'!$H$5:$BE$10004,1364-4,'Visual SPC'!$B$3)="",0,IF(AND(OR('Visual SPC'!$C$4="",'Data Entry'!$C1364&gt;='Visual SPC'!$C$4),OR('Visual SPC'!$E$4="",'Data Entry'!$C1364&lt;='Visual SPC'!$E$4),OR('Visual SPC'!$G$4="",'Data Entry'!$D1364='Visual SPC'!$G$4),OR('Visual SPC'!$I$4="",'Data Entry'!$E1364='Visual SPC'!$I$4),OR('Visual SPC'!$K$4="",'Data Entry'!$F1364='Visual SPC'!$K$4)),1,0))</f>
        <v/>
      </c>
      <c r="C1364">
        <f>C1363+B1364</f>
        <v/>
      </c>
      <c r="D1364">
        <f>IF(B1364=1,INDEX('Data Entry'!$H$5:$BE$10004,1364-4,'Visual SPC'!$B$3),"")</f>
        <v/>
      </c>
      <c r="E1364">
        <f>IF(B1364=1,D1364,E1363)</f>
        <v/>
      </c>
      <c r="F1364">
        <f>IF(AND(B1364=1,C1364&gt;1,E1363&lt;&gt;""),ABS(D1364-E1363),"")</f>
        <v/>
      </c>
    </row>
    <row r="1365">
      <c r="A1365" t="n">
        <v>1365</v>
      </c>
      <c r="B1365">
        <f>IF(INDEX('Data Entry'!$H$5:$BE$10004,1365-4,'Visual SPC'!$B$3)="",0,IF(AND(OR('Visual SPC'!$C$4="",'Data Entry'!$C1365&gt;='Visual SPC'!$C$4),OR('Visual SPC'!$E$4="",'Data Entry'!$C1365&lt;='Visual SPC'!$E$4),OR('Visual SPC'!$G$4="",'Data Entry'!$D1365='Visual SPC'!$G$4),OR('Visual SPC'!$I$4="",'Data Entry'!$E1365='Visual SPC'!$I$4),OR('Visual SPC'!$K$4="",'Data Entry'!$F1365='Visual SPC'!$K$4)),1,0))</f>
        <v/>
      </c>
      <c r="C1365">
        <f>C1364+B1365</f>
        <v/>
      </c>
      <c r="D1365">
        <f>IF(B1365=1,INDEX('Data Entry'!$H$5:$BE$10004,1365-4,'Visual SPC'!$B$3),"")</f>
        <v/>
      </c>
      <c r="E1365">
        <f>IF(B1365=1,D1365,E1364)</f>
        <v/>
      </c>
      <c r="F1365">
        <f>IF(AND(B1365=1,C1365&gt;1,E1364&lt;&gt;""),ABS(D1365-E1364),"")</f>
        <v/>
      </c>
    </row>
    <row r="1366">
      <c r="A1366" t="n">
        <v>1366</v>
      </c>
      <c r="B1366">
        <f>IF(INDEX('Data Entry'!$H$5:$BE$10004,1366-4,'Visual SPC'!$B$3)="",0,IF(AND(OR('Visual SPC'!$C$4="",'Data Entry'!$C1366&gt;='Visual SPC'!$C$4),OR('Visual SPC'!$E$4="",'Data Entry'!$C1366&lt;='Visual SPC'!$E$4),OR('Visual SPC'!$G$4="",'Data Entry'!$D1366='Visual SPC'!$G$4),OR('Visual SPC'!$I$4="",'Data Entry'!$E1366='Visual SPC'!$I$4),OR('Visual SPC'!$K$4="",'Data Entry'!$F1366='Visual SPC'!$K$4)),1,0))</f>
        <v/>
      </c>
      <c r="C1366">
        <f>C1365+B1366</f>
        <v/>
      </c>
      <c r="D1366">
        <f>IF(B1366=1,INDEX('Data Entry'!$H$5:$BE$10004,1366-4,'Visual SPC'!$B$3),"")</f>
        <v/>
      </c>
      <c r="E1366">
        <f>IF(B1366=1,D1366,E1365)</f>
        <v/>
      </c>
      <c r="F1366">
        <f>IF(AND(B1366=1,C1366&gt;1,E1365&lt;&gt;""),ABS(D1366-E1365),"")</f>
        <v/>
      </c>
    </row>
    <row r="1367">
      <c r="A1367" t="n">
        <v>1367</v>
      </c>
      <c r="B1367">
        <f>IF(INDEX('Data Entry'!$H$5:$BE$10004,1367-4,'Visual SPC'!$B$3)="",0,IF(AND(OR('Visual SPC'!$C$4="",'Data Entry'!$C1367&gt;='Visual SPC'!$C$4),OR('Visual SPC'!$E$4="",'Data Entry'!$C1367&lt;='Visual SPC'!$E$4),OR('Visual SPC'!$G$4="",'Data Entry'!$D1367='Visual SPC'!$G$4),OR('Visual SPC'!$I$4="",'Data Entry'!$E1367='Visual SPC'!$I$4),OR('Visual SPC'!$K$4="",'Data Entry'!$F1367='Visual SPC'!$K$4)),1,0))</f>
        <v/>
      </c>
      <c r="C1367">
        <f>C1366+B1367</f>
        <v/>
      </c>
      <c r="D1367">
        <f>IF(B1367=1,INDEX('Data Entry'!$H$5:$BE$10004,1367-4,'Visual SPC'!$B$3),"")</f>
        <v/>
      </c>
      <c r="E1367">
        <f>IF(B1367=1,D1367,E1366)</f>
        <v/>
      </c>
      <c r="F1367">
        <f>IF(AND(B1367=1,C1367&gt;1,E1366&lt;&gt;""),ABS(D1367-E1366),"")</f>
        <v/>
      </c>
    </row>
    <row r="1368">
      <c r="A1368" t="n">
        <v>1368</v>
      </c>
      <c r="B1368">
        <f>IF(INDEX('Data Entry'!$H$5:$BE$10004,1368-4,'Visual SPC'!$B$3)="",0,IF(AND(OR('Visual SPC'!$C$4="",'Data Entry'!$C1368&gt;='Visual SPC'!$C$4),OR('Visual SPC'!$E$4="",'Data Entry'!$C1368&lt;='Visual SPC'!$E$4),OR('Visual SPC'!$G$4="",'Data Entry'!$D1368='Visual SPC'!$G$4),OR('Visual SPC'!$I$4="",'Data Entry'!$E1368='Visual SPC'!$I$4),OR('Visual SPC'!$K$4="",'Data Entry'!$F1368='Visual SPC'!$K$4)),1,0))</f>
        <v/>
      </c>
      <c r="C1368">
        <f>C1367+B1368</f>
        <v/>
      </c>
      <c r="D1368">
        <f>IF(B1368=1,INDEX('Data Entry'!$H$5:$BE$10004,1368-4,'Visual SPC'!$B$3),"")</f>
        <v/>
      </c>
      <c r="E1368">
        <f>IF(B1368=1,D1368,E1367)</f>
        <v/>
      </c>
      <c r="F1368">
        <f>IF(AND(B1368=1,C1368&gt;1,E1367&lt;&gt;""),ABS(D1368-E1367),"")</f>
        <v/>
      </c>
    </row>
    <row r="1369">
      <c r="A1369" t="n">
        <v>1369</v>
      </c>
      <c r="B1369">
        <f>IF(INDEX('Data Entry'!$H$5:$BE$10004,1369-4,'Visual SPC'!$B$3)="",0,IF(AND(OR('Visual SPC'!$C$4="",'Data Entry'!$C1369&gt;='Visual SPC'!$C$4),OR('Visual SPC'!$E$4="",'Data Entry'!$C1369&lt;='Visual SPC'!$E$4),OR('Visual SPC'!$G$4="",'Data Entry'!$D1369='Visual SPC'!$G$4),OR('Visual SPC'!$I$4="",'Data Entry'!$E1369='Visual SPC'!$I$4),OR('Visual SPC'!$K$4="",'Data Entry'!$F1369='Visual SPC'!$K$4)),1,0))</f>
        <v/>
      </c>
      <c r="C1369">
        <f>C1368+B1369</f>
        <v/>
      </c>
      <c r="D1369">
        <f>IF(B1369=1,INDEX('Data Entry'!$H$5:$BE$10004,1369-4,'Visual SPC'!$B$3),"")</f>
        <v/>
      </c>
      <c r="E1369">
        <f>IF(B1369=1,D1369,E1368)</f>
        <v/>
      </c>
      <c r="F1369">
        <f>IF(AND(B1369=1,C1369&gt;1,E1368&lt;&gt;""),ABS(D1369-E1368),"")</f>
        <v/>
      </c>
    </row>
    <row r="1370">
      <c r="A1370" t="n">
        <v>1370</v>
      </c>
      <c r="B1370">
        <f>IF(INDEX('Data Entry'!$H$5:$BE$10004,1370-4,'Visual SPC'!$B$3)="",0,IF(AND(OR('Visual SPC'!$C$4="",'Data Entry'!$C1370&gt;='Visual SPC'!$C$4),OR('Visual SPC'!$E$4="",'Data Entry'!$C1370&lt;='Visual SPC'!$E$4),OR('Visual SPC'!$G$4="",'Data Entry'!$D1370='Visual SPC'!$G$4),OR('Visual SPC'!$I$4="",'Data Entry'!$E1370='Visual SPC'!$I$4),OR('Visual SPC'!$K$4="",'Data Entry'!$F1370='Visual SPC'!$K$4)),1,0))</f>
        <v/>
      </c>
      <c r="C1370">
        <f>C1369+B1370</f>
        <v/>
      </c>
      <c r="D1370">
        <f>IF(B1370=1,INDEX('Data Entry'!$H$5:$BE$10004,1370-4,'Visual SPC'!$B$3),"")</f>
        <v/>
      </c>
      <c r="E1370">
        <f>IF(B1370=1,D1370,E1369)</f>
        <v/>
      </c>
      <c r="F1370">
        <f>IF(AND(B1370=1,C1370&gt;1,E1369&lt;&gt;""),ABS(D1370-E1369),"")</f>
        <v/>
      </c>
    </row>
    <row r="1371">
      <c r="A1371" t="n">
        <v>1371</v>
      </c>
      <c r="B1371">
        <f>IF(INDEX('Data Entry'!$H$5:$BE$10004,1371-4,'Visual SPC'!$B$3)="",0,IF(AND(OR('Visual SPC'!$C$4="",'Data Entry'!$C1371&gt;='Visual SPC'!$C$4),OR('Visual SPC'!$E$4="",'Data Entry'!$C1371&lt;='Visual SPC'!$E$4),OR('Visual SPC'!$G$4="",'Data Entry'!$D1371='Visual SPC'!$G$4),OR('Visual SPC'!$I$4="",'Data Entry'!$E1371='Visual SPC'!$I$4),OR('Visual SPC'!$K$4="",'Data Entry'!$F1371='Visual SPC'!$K$4)),1,0))</f>
        <v/>
      </c>
      <c r="C1371">
        <f>C1370+B1371</f>
        <v/>
      </c>
      <c r="D1371">
        <f>IF(B1371=1,INDEX('Data Entry'!$H$5:$BE$10004,1371-4,'Visual SPC'!$B$3),"")</f>
        <v/>
      </c>
      <c r="E1371">
        <f>IF(B1371=1,D1371,E1370)</f>
        <v/>
      </c>
      <c r="F1371">
        <f>IF(AND(B1371=1,C1371&gt;1,E1370&lt;&gt;""),ABS(D1371-E1370),"")</f>
        <v/>
      </c>
    </row>
    <row r="1372">
      <c r="A1372" t="n">
        <v>1372</v>
      </c>
      <c r="B1372">
        <f>IF(INDEX('Data Entry'!$H$5:$BE$10004,1372-4,'Visual SPC'!$B$3)="",0,IF(AND(OR('Visual SPC'!$C$4="",'Data Entry'!$C1372&gt;='Visual SPC'!$C$4),OR('Visual SPC'!$E$4="",'Data Entry'!$C1372&lt;='Visual SPC'!$E$4),OR('Visual SPC'!$G$4="",'Data Entry'!$D1372='Visual SPC'!$G$4),OR('Visual SPC'!$I$4="",'Data Entry'!$E1372='Visual SPC'!$I$4),OR('Visual SPC'!$K$4="",'Data Entry'!$F1372='Visual SPC'!$K$4)),1,0))</f>
        <v/>
      </c>
      <c r="C1372">
        <f>C1371+B1372</f>
        <v/>
      </c>
      <c r="D1372">
        <f>IF(B1372=1,INDEX('Data Entry'!$H$5:$BE$10004,1372-4,'Visual SPC'!$B$3),"")</f>
        <v/>
      </c>
      <c r="E1372">
        <f>IF(B1372=1,D1372,E1371)</f>
        <v/>
      </c>
      <c r="F1372">
        <f>IF(AND(B1372=1,C1372&gt;1,E1371&lt;&gt;""),ABS(D1372-E1371),"")</f>
        <v/>
      </c>
    </row>
    <row r="1373">
      <c r="A1373" t="n">
        <v>1373</v>
      </c>
      <c r="B1373">
        <f>IF(INDEX('Data Entry'!$H$5:$BE$10004,1373-4,'Visual SPC'!$B$3)="",0,IF(AND(OR('Visual SPC'!$C$4="",'Data Entry'!$C1373&gt;='Visual SPC'!$C$4),OR('Visual SPC'!$E$4="",'Data Entry'!$C1373&lt;='Visual SPC'!$E$4),OR('Visual SPC'!$G$4="",'Data Entry'!$D1373='Visual SPC'!$G$4),OR('Visual SPC'!$I$4="",'Data Entry'!$E1373='Visual SPC'!$I$4),OR('Visual SPC'!$K$4="",'Data Entry'!$F1373='Visual SPC'!$K$4)),1,0))</f>
        <v/>
      </c>
      <c r="C1373">
        <f>C1372+B1373</f>
        <v/>
      </c>
      <c r="D1373">
        <f>IF(B1373=1,INDEX('Data Entry'!$H$5:$BE$10004,1373-4,'Visual SPC'!$B$3),"")</f>
        <v/>
      </c>
      <c r="E1373">
        <f>IF(B1373=1,D1373,E1372)</f>
        <v/>
      </c>
      <c r="F1373">
        <f>IF(AND(B1373=1,C1373&gt;1,E1372&lt;&gt;""),ABS(D1373-E1372),"")</f>
        <v/>
      </c>
    </row>
    <row r="1374">
      <c r="A1374" t="n">
        <v>1374</v>
      </c>
      <c r="B1374">
        <f>IF(INDEX('Data Entry'!$H$5:$BE$10004,1374-4,'Visual SPC'!$B$3)="",0,IF(AND(OR('Visual SPC'!$C$4="",'Data Entry'!$C1374&gt;='Visual SPC'!$C$4),OR('Visual SPC'!$E$4="",'Data Entry'!$C1374&lt;='Visual SPC'!$E$4),OR('Visual SPC'!$G$4="",'Data Entry'!$D1374='Visual SPC'!$G$4),OR('Visual SPC'!$I$4="",'Data Entry'!$E1374='Visual SPC'!$I$4),OR('Visual SPC'!$K$4="",'Data Entry'!$F1374='Visual SPC'!$K$4)),1,0))</f>
        <v/>
      </c>
      <c r="C1374">
        <f>C1373+B1374</f>
        <v/>
      </c>
      <c r="D1374">
        <f>IF(B1374=1,INDEX('Data Entry'!$H$5:$BE$10004,1374-4,'Visual SPC'!$B$3),"")</f>
        <v/>
      </c>
      <c r="E1374">
        <f>IF(B1374=1,D1374,E1373)</f>
        <v/>
      </c>
      <c r="F1374">
        <f>IF(AND(B1374=1,C1374&gt;1,E1373&lt;&gt;""),ABS(D1374-E1373),"")</f>
        <v/>
      </c>
    </row>
    <row r="1375">
      <c r="A1375" t="n">
        <v>1375</v>
      </c>
      <c r="B1375">
        <f>IF(INDEX('Data Entry'!$H$5:$BE$10004,1375-4,'Visual SPC'!$B$3)="",0,IF(AND(OR('Visual SPC'!$C$4="",'Data Entry'!$C1375&gt;='Visual SPC'!$C$4),OR('Visual SPC'!$E$4="",'Data Entry'!$C1375&lt;='Visual SPC'!$E$4),OR('Visual SPC'!$G$4="",'Data Entry'!$D1375='Visual SPC'!$G$4),OR('Visual SPC'!$I$4="",'Data Entry'!$E1375='Visual SPC'!$I$4),OR('Visual SPC'!$K$4="",'Data Entry'!$F1375='Visual SPC'!$K$4)),1,0))</f>
        <v/>
      </c>
      <c r="C1375">
        <f>C1374+B1375</f>
        <v/>
      </c>
      <c r="D1375">
        <f>IF(B1375=1,INDEX('Data Entry'!$H$5:$BE$10004,1375-4,'Visual SPC'!$B$3),"")</f>
        <v/>
      </c>
      <c r="E1375">
        <f>IF(B1375=1,D1375,E1374)</f>
        <v/>
      </c>
      <c r="F1375">
        <f>IF(AND(B1375=1,C1375&gt;1,E1374&lt;&gt;""),ABS(D1375-E1374),"")</f>
        <v/>
      </c>
    </row>
    <row r="1376">
      <c r="A1376" t="n">
        <v>1376</v>
      </c>
      <c r="B1376">
        <f>IF(INDEX('Data Entry'!$H$5:$BE$10004,1376-4,'Visual SPC'!$B$3)="",0,IF(AND(OR('Visual SPC'!$C$4="",'Data Entry'!$C1376&gt;='Visual SPC'!$C$4),OR('Visual SPC'!$E$4="",'Data Entry'!$C1376&lt;='Visual SPC'!$E$4),OR('Visual SPC'!$G$4="",'Data Entry'!$D1376='Visual SPC'!$G$4),OR('Visual SPC'!$I$4="",'Data Entry'!$E1376='Visual SPC'!$I$4),OR('Visual SPC'!$K$4="",'Data Entry'!$F1376='Visual SPC'!$K$4)),1,0))</f>
        <v/>
      </c>
      <c r="C1376">
        <f>C1375+B1376</f>
        <v/>
      </c>
      <c r="D1376">
        <f>IF(B1376=1,INDEX('Data Entry'!$H$5:$BE$10004,1376-4,'Visual SPC'!$B$3),"")</f>
        <v/>
      </c>
      <c r="E1376">
        <f>IF(B1376=1,D1376,E1375)</f>
        <v/>
      </c>
      <c r="F1376">
        <f>IF(AND(B1376=1,C1376&gt;1,E1375&lt;&gt;""),ABS(D1376-E1375),"")</f>
        <v/>
      </c>
    </row>
    <row r="1377">
      <c r="A1377" t="n">
        <v>1377</v>
      </c>
      <c r="B1377">
        <f>IF(INDEX('Data Entry'!$H$5:$BE$10004,1377-4,'Visual SPC'!$B$3)="",0,IF(AND(OR('Visual SPC'!$C$4="",'Data Entry'!$C1377&gt;='Visual SPC'!$C$4),OR('Visual SPC'!$E$4="",'Data Entry'!$C1377&lt;='Visual SPC'!$E$4),OR('Visual SPC'!$G$4="",'Data Entry'!$D1377='Visual SPC'!$G$4),OR('Visual SPC'!$I$4="",'Data Entry'!$E1377='Visual SPC'!$I$4),OR('Visual SPC'!$K$4="",'Data Entry'!$F1377='Visual SPC'!$K$4)),1,0))</f>
        <v/>
      </c>
      <c r="C1377">
        <f>C1376+B1377</f>
        <v/>
      </c>
      <c r="D1377">
        <f>IF(B1377=1,INDEX('Data Entry'!$H$5:$BE$10004,1377-4,'Visual SPC'!$B$3),"")</f>
        <v/>
      </c>
      <c r="E1377">
        <f>IF(B1377=1,D1377,E1376)</f>
        <v/>
      </c>
      <c r="F1377">
        <f>IF(AND(B1377=1,C1377&gt;1,E1376&lt;&gt;""),ABS(D1377-E1376),"")</f>
        <v/>
      </c>
    </row>
    <row r="1378">
      <c r="A1378" t="n">
        <v>1378</v>
      </c>
      <c r="B1378">
        <f>IF(INDEX('Data Entry'!$H$5:$BE$10004,1378-4,'Visual SPC'!$B$3)="",0,IF(AND(OR('Visual SPC'!$C$4="",'Data Entry'!$C1378&gt;='Visual SPC'!$C$4),OR('Visual SPC'!$E$4="",'Data Entry'!$C1378&lt;='Visual SPC'!$E$4),OR('Visual SPC'!$G$4="",'Data Entry'!$D1378='Visual SPC'!$G$4),OR('Visual SPC'!$I$4="",'Data Entry'!$E1378='Visual SPC'!$I$4),OR('Visual SPC'!$K$4="",'Data Entry'!$F1378='Visual SPC'!$K$4)),1,0))</f>
        <v/>
      </c>
      <c r="C1378">
        <f>C1377+B1378</f>
        <v/>
      </c>
      <c r="D1378">
        <f>IF(B1378=1,INDEX('Data Entry'!$H$5:$BE$10004,1378-4,'Visual SPC'!$B$3),"")</f>
        <v/>
      </c>
      <c r="E1378">
        <f>IF(B1378=1,D1378,E1377)</f>
        <v/>
      </c>
      <c r="F1378">
        <f>IF(AND(B1378=1,C1378&gt;1,E1377&lt;&gt;""),ABS(D1378-E1377),"")</f>
        <v/>
      </c>
    </row>
    <row r="1379">
      <c r="A1379" t="n">
        <v>1379</v>
      </c>
      <c r="B1379">
        <f>IF(INDEX('Data Entry'!$H$5:$BE$10004,1379-4,'Visual SPC'!$B$3)="",0,IF(AND(OR('Visual SPC'!$C$4="",'Data Entry'!$C1379&gt;='Visual SPC'!$C$4),OR('Visual SPC'!$E$4="",'Data Entry'!$C1379&lt;='Visual SPC'!$E$4),OR('Visual SPC'!$G$4="",'Data Entry'!$D1379='Visual SPC'!$G$4),OR('Visual SPC'!$I$4="",'Data Entry'!$E1379='Visual SPC'!$I$4),OR('Visual SPC'!$K$4="",'Data Entry'!$F1379='Visual SPC'!$K$4)),1,0))</f>
        <v/>
      </c>
      <c r="C1379">
        <f>C1378+B1379</f>
        <v/>
      </c>
      <c r="D1379">
        <f>IF(B1379=1,INDEX('Data Entry'!$H$5:$BE$10004,1379-4,'Visual SPC'!$B$3),"")</f>
        <v/>
      </c>
      <c r="E1379">
        <f>IF(B1379=1,D1379,E1378)</f>
        <v/>
      </c>
      <c r="F1379">
        <f>IF(AND(B1379=1,C1379&gt;1,E1378&lt;&gt;""),ABS(D1379-E1378),"")</f>
        <v/>
      </c>
    </row>
    <row r="1380">
      <c r="A1380" t="n">
        <v>1380</v>
      </c>
      <c r="B1380">
        <f>IF(INDEX('Data Entry'!$H$5:$BE$10004,1380-4,'Visual SPC'!$B$3)="",0,IF(AND(OR('Visual SPC'!$C$4="",'Data Entry'!$C1380&gt;='Visual SPC'!$C$4),OR('Visual SPC'!$E$4="",'Data Entry'!$C1380&lt;='Visual SPC'!$E$4),OR('Visual SPC'!$G$4="",'Data Entry'!$D1380='Visual SPC'!$G$4),OR('Visual SPC'!$I$4="",'Data Entry'!$E1380='Visual SPC'!$I$4),OR('Visual SPC'!$K$4="",'Data Entry'!$F1380='Visual SPC'!$K$4)),1,0))</f>
        <v/>
      </c>
      <c r="C1380">
        <f>C1379+B1380</f>
        <v/>
      </c>
      <c r="D1380">
        <f>IF(B1380=1,INDEX('Data Entry'!$H$5:$BE$10004,1380-4,'Visual SPC'!$B$3),"")</f>
        <v/>
      </c>
      <c r="E1380">
        <f>IF(B1380=1,D1380,E1379)</f>
        <v/>
      </c>
      <c r="F1380">
        <f>IF(AND(B1380=1,C1380&gt;1,E1379&lt;&gt;""),ABS(D1380-E1379),"")</f>
        <v/>
      </c>
    </row>
    <row r="1381">
      <c r="A1381" t="n">
        <v>1381</v>
      </c>
      <c r="B1381">
        <f>IF(INDEX('Data Entry'!$H$5:$BE$10004,1381-4,'Visual SPC'!$B$3)="",0,IF(AND(OR('Visual SPC'!$C$4="",'Data Entry'!$C1381&gt;='Visual SPC'!$C$4),OR('Visual SPC'!$E$4="",'Data Entry'!$C1381&lt;='Visual SPC'!$E$4),OR('Visual SPC'!$G$4="",'Data Entry'!$D1381='Visual SPC'!$G$4),OR('Visual SPC'!$I$4="",'Data Entry'!$E1381='Visual SPC'!$I$4),OR('Visual SPC'!$K$4="",'Data Entry'!$F1381='Visual SPC'!$K$4)),1,0))</f>
        <v/>
      </c>
      <c r="C1381">
        <f>C1380+B1381</f>
        <v/>
      </c>
      <c r="D1381">
        <f>IF(B1381=1,INDEX('Data Entry'!$H$5:$BE$10004,1381-4,'Visual SPC'!$B$3),"")</f>
        <v/>
      </c>
      <c r="E1381">
        <f>IF(B1381=1,D1381,E1380)</f>
        <v/>
      </c>
      <c r="F1381">
        <f>IF(AND(B1381=1,C1381&gt;1,E1380&lt;&gt;""),ABS(D1381-E1380),"")</f>
        <v/>
      </c>
    </row>
    <row r="1382">
      <c r="A1382" t="n">
        <v>1382</v>
      </c>
      <c r="B1382">
        <f>IF(INDEX('Data Entry'!$H$5:$BE$10004,1382-4,'Visual SPC'!$B$3)="",0,IF(AND(OR('Visual SPC'!$C$4="",'Data Entry'!$C1382&gt;='Visual SPC'!$C$4),OR('Visual SPC'!$E$4="",'Data Entry'!$C1382&lt;='Visual SPC'!$E$4),OR('Visual SPC'!$G$4="",'Data Entry'!$D1382='Visual SPC'!$G$4),OR('Visual SPC'!$I$4="",'Data Entry'!$E1382='Visual SPC'!$I$4),OR('Visual SPC'!$K$4="",'Data Entry'!$F1382='Visual SPC'!$K$4)),1,0))</f>
        <v/>
      </c>
      <c r="C1382">
        <f>C1381+B1382</f>
        <v/>
      </c>
      <c r="D1382">
        <f>IF(B1382=1,INDEX('Data Entry'!$H$5:$BE$10004,1382-4,'Visual SPC'!$B$3),"")</f>
        <v/>
      </c>
      <c r="E1382">
        <f>IF(B1382=1,D1382,E1381)</f>
        <v/>
      </c>
      <c r="F1382">
        <f>IF(AND(B1382=1,C1382&gt;1,E1381&lt;&gt;""),ABS(D1382-E1381),"")</f>
        <v/>
      </c>
    </row>
    <row r="1383">
      <c r="A1383" t="n">
        <v>1383</v>
      </c>
      <c r="B1383">
        <f>IF(INDEX('Data Entry'!$H$5:$BE$10004,1383-4,'Visual SPC'!$B$3)="",0,IF(AND(OR('Visual SPC'!$C$4="",'Data Entry'!$C1383&gt;='Visual SPC'!$C$4),OR('Visual SPC'!$E$4="",'Data Entry'!$C1383&lt;='Visual SPC'!$E$4),OR('Visual SPC'!$G$4="",'Data Entry'!$D1383='Visual SPC'!$G$4),OR('Visual SPC'!$I$4="",'Data Entry'!$E1383='Visual SPC'!$I$4),OR('Visual SPC'!$K$4="",'Data Entry'!$F1383='Visual SPC'!$K$4)),1,0))</f>
        <v/>
      </c>
      <c r="C1383">
        <f>C1382+B1383</f>
        <v/>
      </c>
      <c r="D1383">
        <f>IF(B1383=1,INDEX('Data Entry'!$H$5:$BE$10004,1383-4,'Visual SPC'!$B$3),"")</f>
        <v/>
      </c>
      <c r="E1383">
        <f>IF(B1383=1,D1383,E1382)</f>
        <v/>
      </c>
      <c r="F1383">
        <f>IF(AND(B1383=1,C1383&gt;1,E1382&lt;&gt;""),ABS(D1383-E1382),"")</f>
        <v/>
      </c>
    </row>
    <row r="1384">
      <c r="A1384" t="n">
        <v>1384</v>
      </c>
      <c r="B1384">
        <f>IF(INDEX('Data Entry'!$H$5:$BE$10004,1384-4,'Visual SPC'!$B$3)="",0,IF(AND(OR('Visual SPC'!$C$4="",'Data Entry'!$C1384&gt;='Visual SPC'!$C$4),OR('Visual SPC'!$E$4="",'Data Entry'!$C1384&lt;='Visual SPC'!$E$4),OR('Visual SPC'!$G$4="",'Data Entry'!$D1384='Visual SPC'!$G$4),OR('Visual SPC'!$I$4="",'Data Entry'!$E1384='Visual SPC'!$I$4),OR('Visual SPC'!$K$4="",'Data Entry'!$F1384='Visual SPC'!$K$4)),1,0))</f>
        <v/>
      </c>
      <c r="C1384">
        <f>C1383+B1384</f>
        <v/>
      </c>
      <c r="D1384">
        <f>IF(B1384=1,INDEX('Data Entry'!$H$5:$BE$10004,1384-4,'Visual SPC'!$B$3),"")</f>
        <v/>
      </c>
      <c r="E1384">
        <f>IF(B1384=1,D1384,E1383)</f>
        <v/>
      </c>
      <c r="F1384">
        <f>IF(AND(B1384=1,C1384&gt;1,E1383&lt;&gt;""),ABS(D1384-E1383),"")</f>
        <v/>
      </c>
    </row>
    <row r="1385">
      <c r="A1385" t="n">
        <v>1385</v>
      </c>
      <c r="B1385">
        <f>IF(INDEX('Data Entry'!$H$5:$BE$10004,1385-4,'Visual SPC'!$B$3)="",0,IF(AND(OR('Visual SPC'!$C$4="",'Data Entry'!$C1385&gt;='Visual SPC'!$C$4),OR('Visual SPC'!$E$4="",'Data Entry'!$C1385&lt;='Visual SPC'!$E$4),OR('Visual SPC'!$G$4="",'Data Entry'!$D1385='Visual SPC'!$G$4),OR('Visual SPC'!$I$4="",'Data Entry'!$E1385='Visual SPC'!$I$4),OR('Visual SPC'!$K$4="",'Data Entry'!$F1385='Visual SPC'!$K$4)),1,0))</f>
        <v/>
      </c>
      <c r="C1385">
        <f>C1384+B1385</f>
        <v/>
      </c>
      <c r="D1385">
        <f>IF(B1385=1,INDEX('Data Entry'!$H$5:$BE$10004,1385-4,'Visual SPC'!$B$3),"")</f>
        <v/>
      </c>
      <c r="E1385">
        <f>IF(B1385=1,D1385,E1384)</f>
        <v/>
      </c>
      <c r="F1385">
        <f>IF(AND(B1385=1,C1385&gt;1,E1384&lt;&gt;""),ABS(D1385-E1384),"")</f>
        <v/>
      </c>
    </row>
    <row r="1386">
      <c r="A1386" t="n">
        <v>1386</v>
      </c>
      <c r="B1386">
        <f>IF(INDEX('Data Entry'!$H$5:$BE$10004,1386-4,'Visual SPC'!$B$3)="",0,IF(AND(OR('Visual SPC'!$C$4="",'Data Entry'!$C1386&gt;='Visual SPC'!$C$4),OR('Visual SPC'!$E$4="",'Data Entry'!$C1386&lt;='Visual SPC'!$E$4),OR('Visual SPC'!$G$4="",'Data Entry'!$D1386='Visual SPC'!$G$4),OR('Visual SPC'!$I$4="",'Data Entry'!$E1386='Visual SPC'!$I$4),OR('Visual SPC'!$K$4="",'Data Entry'!$F1386='Visual SPC'!$K$4)),1,0))</f>
        <v/>
      </c>
      <c r="C1386">
        <f>C1385+B1386</f>
        <v/>
      </c>
      <c r="D1386">
        <f>IF(B1386=1,INDEX('Data Entry'!$H$5:$BE$10004,1386-4,'Visual SPC'!$B$3),"")</f>
        <v/>
      </c>
      <c r="E1386">
        <f>IF(B1386=1,D1386,E1385)</f>
        <v/>
      </c>
      <c r="F1386">
        <f>IF(AND(B1386=1,C1386&gt;1,E1385&lt;&gt;""),ABS(D1386-E1385),"")</f>
        <v/>
      </c>
    </row>
    <row r="1387">
      <c r="A1387" t="n">
        <v>1387</v>
      </c>
      <c r="B1387">
        <f>IF(INDEX('Data Entry'!$H$5:$BE$10004,1387-4,'Visual SPC'!$B$3)="",0,IF(AND(OR('Visual SPC'!$C$4="",'Data Entry'!$C1387&gt;='Visual SPC'!$C$4),OR('Visual SPC'!$E$4="",'Data Entry'!$C1387&lt;='Visual SPC'!$E$4),OR('Visual SPC'!$G$4="",'Data Entry'!$D1387='Visual SPC'!$G$4),OR('Visual SPC'!$I$4="",'Data Entry'!$E1387='Visual SPC'!$I$4),OR('Visual SPC'!$K$4="",'Data Entry'!$F1387='Visual SPC'!$K$4)),1,0))</f>
        <v/>
      </c>
      <c r="C1387">
        <f>C1386+B1387</f>
        <v/>
      </c>
      <c r="D1387">
        <f>IF(B1387=1,INDEX('Data Entry'!$H$5:$BE$10004,1387-4,'Visual SPC'!$B$3),"")</f>
        <v/>
      </c>
      <c r="E1387">
        <f>IF(B1387=1,D1387,E1386)</f>
        <v/>
      </c>
      <c r="F1387">
        <f>IF(AND(B1387=1,C1387&gt;1,E1386&lt;&gt;""),ABS(D1387-E1386),"")</f>
        <v/>
      </c>
    </row>
    <row r="1388">
      <c r="A1388" t="n">
        <v>1388</v>
      </c>
      <c r="B1388">
        <f>IF(INDEX('Data Entry'!$H$5:$BE$10004,1388-4,'Visual SPC'!$B$3)="",0,IF(AND(OR('Visual SPC'!$C$4="",'Data Entry'!$C1388&gt;='Visual SPC'!$C$4),OR('Visual SPC'!$E$4="",'Data Entry'!$C1388&lt;='Visual SPC'!$E$4),OR('Visual SPC'!$G$4="",'Data Entry'!$D1388='Visual SPC'!$G$4),OR('Visual SPC'!$I$4="",'Data Entry'!$E1388='Visual SPC'!$I$4),OR('Visual SPC'!$K$4="",'Data Entry'!$F1388='Visual SPC'!$K$4)),1,0))</f>
        <v/>
      </c>
      <c r="C1388">
        <f>C1387+B1388</f>
        <v/>
      </c>
      <c r="D1388">
        <f>IF(B1388=1,INDEX('Data Entry'!$H$5:$BE$10004,1388-4,'Visual SPC'!$B$3),"")</f>
        <v/>
      </c>
      <c r="E1388">
        <f>IF(B1388=1,D1388,E1387)</f>
        <v/>
      </c>
      <c r="F1388">
        <f>IF(AND(B1388=1,C1388&gt;1,E1387&lt;&gt;""),ABS(D1388-E1387),"")</f>
        <v/>
      </c>
    </row>
    <row r="1389">
      <c r="A1389" t="n">
        <v>1389</v>
      </c>
      <c r="B1389">
        <f>IF(INDEX('Data Entry'!$H$5:$BE$10004,1389-4,'Visual SPC'!$B$3)="",0,IF(AND(OR('Visual SPC'!$C$4="",'Data Entry'!$C1389&gt;='Visual SPC'!$C$4),OR('Visual SPC'!$E$4="",'Data Entry'!$C1389&lt;='Visual SPC'!$E$4),OR('Visual SPC'!$G$4="",'Data Entry'!$D1389='Visual SPC'!$G$4),OR('Visual SPC'!$I$4="",'Data Entry'!$E1389='Visual SPC'!$I$4),OR('Visual SPC'!$K$4="",'Data Entry'!$F1389='Visual SPC'!$K$4)),1,0))</f>
        <v/>
      </c>
      <c r="C1389">
        <f>C1388+B1389</f>
        <v/>
      </c>
      <c r="D1389">
        <f>IF(B1389=1,INDEX('Data Entry'!$H$5:$BE$10004,1389-4,'Visual SPC'!$B$3),"")</f>
        <v/>
      </c>
      <c r="E1389">
        <f>IF(B1389=1,D1389,E1388)</f>
        <v/>
      </c>
      <c r="F1389">
        <f>IF(AND(B1389=1,C1389&gt;1,E1388&lt;&gt;""),ABS(D1389-E1388),"")</f>
        <v/>
      </c>
    </row>
    <row r="1390">
      <c r="A1390" t="n">
        <v>1390</v>
      </c>
      <c r="B1390">
        <f>IF(INDEX('Data Entry'!$H$5:$BE$10004,1390-4,'Visual SPC'!$B$3)="",0,IF(AND(OR('Visual SPC'!$C$4="",'Data Entry'!$C1390&gt;='Visual SPC'!$C$4),OR('Visual SPC'!$E$4="",'Data Entry'!$C1390&lt;='Visual SPC'!$E$4),OR('Visual SPC'!$G$4="",'Data Entry'!$D1390='Visual SPC'!$G$4),OR('Visual SPC'!$I$4="",'Data Entry'!$E1390='Visual SPC'!$I$4),OR('Visual SPC'!$K$4="",'Data Entry'!$F1390='Visual SPC'!$K$4)),1,0))</f>
        <v/>
      </c>
      <c r="C1390">
        <f>C1389+B1390</f>
        <v/>
      </c>
      <c r="D1390">
        <f>IF(B1390=1,INDEX('Data Entry'!$H$5:$BE$10004,1390-4,'Visual SPC'!$B$3),"")</f>
        <v/>
      </c>
      <c r="E1390">
        <f>IF(B1390=1,D1390,E1389)</f>
        <v/>
      </c>
      <c r="F1390">
        <f>IF(AND(B1390=1,C1390&gt;1,E1389&lt;&gt;""),ABS(D1390-E1389),"")</f>
        <v/>
      </c>
    </row>
    <row r="1391">
      <c r="A1391" t="n">
        <v>1391</v>
      </c>
      <c r="B1391">
        <f>IF(INDEX('Data Entry'!$H$5:$BE$10004,1391-4,'Visual SPC'!$B$3)="",0,IF(AND(OR('Visual SPC'!$C$4="",'Data Entry'!$C1391&gt;='Visual SPC'!$C$4),OR('Visual SPC'!$E$4="",'Data Entry'!$C1391&lt;='Visual SPC'!$E$4),OR('Visual SPC'!$G$4="",'Data Entry'!$D1391='Visual SPC'!$G$4),OR('Visual SPC'!$I$4="",'Data Entry'!$E1391='Visual SPC'!$I$4),OR('Visual SPC'!$K$4="",'Data Entry'!$F1391='Visual SPC'!$K$4)),1,0))</f>
        <v/>
      </c>
      <c r="C1391">
        <f>C1390+B1391</f>
        <v/>
      </c>
      <c r="D1391">
        <f>IF(B1391=1,INDEX('Data Entry'!$H$5:$BE$10004,1391-4,'Visual SPC'!$B$3),"")</f>
        <v/>
      </c>
      <c r="E1391">
        <f>IF(B1391=1,D1391,E1390)</f>
        <v/>
      </c>
      <c r="F1391">
        <f>IF(AND(B1391=1,C1391&gt;1,E1390&lt;&gt;""),ABS(D1391-E1390),"")</f>
        <v/>
      </c>
    </row>
    <row r="1392">
      <c r="A1392" t="n">
        <v>1392</v>
      </c>
      <c r="B1392">
        <f>IF(INDEX('Data Entry'!$H$5:$BE$10004,1392-4,'Visual SPC'!$B$3)="",0,IF(AND(OR('Visual SPC'!$C$4="",'Data Entry'!$C1392&gt;='Visual SPC'!$C$4),OR('Visual SPC'!$E$4="",'Data Entry'!$C1392&lt;='Visual SPC'!$E$4),OR('Visual SPC'!$G$4="",'Data Entry'!$D1392='Visual SPC'!$G$4),OR('Visual SPC'!$I$4="",'Data Entry'!$E1392='Visual SPC'!$I$4),OR('Visual SPC'!$K$4="",'Data Entry'!$F1392='Visual SPC'!$K$4)),1,0))</f>
        <v/>
      </c>
      <c r="C1392">
        <f>C1391+B1392</f>
        <v/>
      </c>
      <c r="D1392">
        <f>IF(B1392=1,INDEX('Data Entry'!$H$5:$BE$10004,1392-4,'Visual SPC'!$B$3),"")</f>
        <v/>
      </c>
      <c r="E1392">
        <f>IF(B1392=1,D1392,E1391)</f>
        <v/>
      </c>
      <c r="F1392">
        <f>IF(AND(B1392=1,C1392&gt;1,E1391&lt;&gt;""),ABS(D1392-E1391),"")</f>
        <v/>
      </c>
    </row>
    <row r="1393">
      <c r="A1393" t="n">
        <v>1393</v>
      </c>
      <c r="B1393">
        <f>IF(INDEX('Data Entry'!$H$5:$BE$10004,1393-4,'Visual SPC'!$B$3)="",0,IF(AND(OR('Visual SPC'!$C$4="",'Data Entry'!$C1393&gt;='Visual SPC'!$C$4),OR('Visual SPC'!$E$4="",'Data Entry'!$C1393&lt;='Visual SPC'!$E$4),OR('Visual SPC'!$G$4="",'Data Entry'!$D1393='Visual SPC'!$G$4),OR('Visual SPC'!$I$4="",'Data Entry'!$E1393='Visual SPC'!$I$4),OR('Visual SPC'!$K$4="",'Data Entry'!$F1393='Visual SPC'!$K$4)),1,0))</f>
        <v/>
      </c>
      <c r="C1393">
        <f>C1392+B1393</f>
        <v/>
      </c>
      <c r="D1393">
        <f>IF(B1393=1,INDEX('Data Entry'!$H$5:$BE$10004,1393-4,'Visual SPC'!$B$3),"")</f>
        <v/>
      </c>
      <c r="E1393">
        <f>IF(B1393=1,D1393,E1392)</f>
        <v/>
      </c>
      <c r="F1393">
        <f>IF(AND(B1393=1,C1393&gt;1,E1392&lt;&gt;""),ABS(D1393-E1392),"")</f>
        <v/>
      </c>
    </row>
    <row r="1394">
      <c r="A1394" t="n">
        <v>1394</v>
      </c>
      <c r="B1394">
        <f>IF(INDEX('Data Entry'!$H$5:$BE$10004,1394-4,'Visual SPC'!$B$3)="",0,IF(AND(OR('Visual SPC'!$C$4="",'Data Entry'!$C1394&gt;='Visual SPC'!$C$4),OR('Visual SPC'!$E$4="",'Data Entry'!$C1394&lt;='Visual SPC'!$E$4),OR('Visual SPC'!$G$4="",'Data Entry'!$D1394='Visual SPC'!$G$4),OR('Visual SPC'!$I$4="",'Data Entry'!$E1394='Visual SPC'!$I$4),OR('Visual SPC'!$K$4="",'Data Entry'!$F1394='Visual SPC'!$K$4)),1,0))</f>
        <v/>
      </c>
      <c r="C1394">
        <f>C1393+B1394</f>
        <v/>
      </c>
      <c r="D1394">
        <f>IF(B1394=1,INDEX('Data Entry'!$H$5:$BE$10004,1394-4,'Visual SPC'!$B$3),"")</f>
        <v/>
      </c>
      <c r="E1394">
        <f>IF(B1394=1,D1394,E1393)</f>
        <v/>
      </c>
      <c r="F1394">
        <f>IF(AND(B1394=1,C1394&gt;1,E1393&lt;&gt;""),ABS(D1394-E1393),"")</f>
        <v/>
      </c>
    </row>
    <row r="1395">
      <c r="A1395" t="n">
        <v>1395</v>
      </c>
      <c r="B1395">
        <f>IF(INDEX('Data Entry'!$H$5:$BE$10004,1395-4,'Visual SPC'!$B$3)="",0,IF(AND(OR('Visual SPC'!$C$4="",'Data Entry'!$C1395&gt;='Visual SPC'!$C$4),OR('Visual SPC'!$E$4="",'Data Entry'!$C1395&lt;='Visual SPC'!$E$4),OR('Visual SPC'!$G$4="",'Data Entry'!$D1395='Visual SPC'!$G$4),OR('Visual SPC'!$I$4="",'Data Entry'!$E1395='Visual SPC'!$I$4),OR('Visual SPC'!$K$4="",'Data Entry'!$F1395='Visual SPC'!$K$4)),1,0))</f>
        <v/>
      </c>
      <c r="C1395">
        <f>C1394+B1395</f>
        <v/>
      </c>
      <c r="D1395">
        <f>IF(B1395=1,INDEX('Data Entry'!$H$5:$BE$10004,1395-4,'Visual SPC'!$B$3),"")</f>
        <v/>
      </c>
      <c r="E1395">
        <f>IF(B1395=1,D1395,E1394)</f>
        <v/>
      </c>
      <c r="F1395">
        <f>IF(AND(B1395=1,C1395&gt;1,E1394&lt;&gt;""),ABS(D1395-E1394),"")</f>
        <v/>
      </c>
    </row>
    <row r="1396">
      <c r="A1396" t="n">
        <v>1396</v>
      </c>
      <c r="B1396">
        <f>IF(INDEX('Data Entry'!$H$5:$BE$10004,1396-4,'Visual SPC'!$B$3)="",0,IF(AND(OR('Visual SPC'!$C$4="",'Data Entry'!$C1396&gt;='Visual SPC'!$C$4),OR('Visual SPC'!$E$4="",'Data Entry'!$C1396&lt;='Visual SPC'!$E$4),OR('Visual SPC'!$G$4="",'Data Entry'!$D1396='Visual SPC'!$G$4),OR('Visual SPC'!$I$4="",'Data Entry'!$E1396='Visual SPC'!$I$4),OR('Visual SPC'!$K$4="",'Data Entry'!$F1396='Visual SPC'!$K$4)),1,0))</f>
        <v/>
      </c>
      <c r="C1396">
        <f>C1395+B1396</f>
        <v/>
      </c>
      <c r="D1396">
        <f>IF(B1396=1,INDEX('Data Entry'!$H$5:$BE$10004,1396-4,'Visual SPC'!$B$3),"")</f>
        <v/>
      </c>
      <c r="E1396">
        <f>IF(B1396=1,D1396,E1395)</f>
        <v/>
      </c>
      <c r="F1396">
        <f>IF(AND(B1396=1,C1396&gt;1,E1395&lt;&gt;""),ABS(D1396-E1395),"")</f>
        <v/>
      </c>
    </row>
    <row r="1397">
      <c r="A1397" t="n">
        <v>1397</v>
      </c>
      <c r="B1397">
        <f>IF(INDEX('Data Entry'!$H$5:$BE$10004,1397-4,'Visual SPC'!$B$3)="",0,IF(AND(OR('Visual SPC'!$C$4="",'Data Entry'!$C1397&gt;='Visual SPC'!$C$4),OR('Visual SPC'!$E$4="",'Data Entry'!$C1397&lt;='Visual SPC'!$E$4),OR('Visual SPC'!$G$4="",'Data Entry'!$D1397='Visual SPC'!$G$4),OR('Visual SPC'!$I$4="",'Data Entry'!$E1397='Visual SPC'!$I$4),OR('Visual SPC'!$K$4="",'Data Entry'!$F1397='Visual SPC'!$K$4)),1,0))</f>
        <v/>
      </c>
      <c r="C1397">
        <f>C1396+B1397</f>
        <v/>
      </c>
      <c r="D1397">
        <f>IF(B1397=1,INDEX('Data Entry'!$H$5:$BE$10004,1397-4,'Visual SPC'!$B$3),"")</f>
        <v/>
      </c>
      <c r="E1397">
        <f>IF(B1397=1,D1397,E1396)</f>
        <v/>
      </c>
      <c r="F1397">
        <f>IF(AND(B1397=1,C1397&gt;1,E1396&lt;&gt;""),ABS(D1397-E1396),"")</f>
        <v/>
      </c>
    </row>
    <row r="1398">
      <c r="A1398" t="n">
        <v>1398</v>
      </c>
      <c r="B1398">
        <f>IF(INDEX('Data Entry'!$H$5:$BE$10004,1398-4,'Visual SPC'!$B$3)="",0,IF(AND(OR('Visual SPC'!$C$4="",'Data Entry'!$C1398&gt;='Visual SPC'!$C$4),OR('Visual SPC'!$E$4="",'Data Entry'!$C1398&lt;='Visual SPC'!$E$4),OR('Visual SPC'!$G$4="",'Data Entry'!$D1398='Visual SPC'!$G$4),OR('Visual SPC'!$I$4="",'Data Entry'!$E1398='Visual SPC'!$I$4),OR('Visual SPC'!$K$4="",'Data Entry'!$F1398='Visual SPC'!$K$4)),1,0))</f>
        <v/>
      </c>
      <c r="C1398">
        <f>C1397+B1398</f>
        <v/>
      </c>
      <c r="D1398">
        <f>IF(B1398=1,INDEX('Data Entry'!$H$5:$BE$10004,1398-4,'Visual SPC'!$B$3),"")</f>
        <v/>
      </c>
      <c r="E1398">
        <f>IF(B1398=1,D1398,E1397)</f>
        <v/>
      </c>
      <c r="F1398">
        <f>IF(AND(B1398=1,C1398&gt;1,E1397&lt;&gt;""),ABS(D1398-E1397),"")</f>
        <v/>
      </c>
    </row>
    <row r="1399">
      <c r="A1399" t="n">
        <v>1399</v>
      </c>
      <c r="B1399">
        <f>IF(INDEX('Data Entry'!$H$5:$BE$10004,1399-4,'Visual SPC'!$B$3)="",0,IF(AND(OR('Visual SPC'!$C$4="",'Data Entry'!$C1399&gt;='Visual SPC'!$C$4),OR('Visual SPC'!$E$4="",'Data Entry'!$C1399&lt;='Visual SPC'!$E$4),OR('Visual SPC'!$G$4="",'Data Entry'!$D1399='Visual SPC'!$G$4),OR('Visual SPC'!$I$4="",'Data Entry'!$E1399='Visual SPC'!$I$4),OR('Visual SPC'!$K$4="",'Data Entry'!$F1399='Visual SPC'!$K$4)),1,0))</f>
        <v/>
      </c>
      <c r="C1399">
        <f>C1398+B1399</f>
        <v/>
      </c>
      <c r="D1399">
        <f>IF(B1399=1,INDEX('Data Entry'!$H$5:$BE$10004,1399-4,'Visual SPC'!$B$3),"")</f>
        <v/>
      </c>
      <c r="E1399">
        <f>IF(B1399=1,D1399,E1398)</f>
        <v/>
      </c>
      <c r="F1399">
        <f>IF(AND(B1399=1,C1399&gt;1,E1398&lt;&gt;""),ABS(D1399-E1398),"")</f>
        <v/>
      </c>
    </row>
    <row r="1400">
      <c r="A1400" t="n">
        <v>1400</v>
      </c>
      <c r="B1400">
        <f>IF(INDEX('Data Entry'!$H$5:$BE$10004,1400-4,'Visual SPC'!$B$3)="",0,IF(AND(OR('Visual SPC'!$C$4="",'Data Entry'!$C1400&gt;='Visual SPC'!$C$4),OR('Visual SPC'!$E$4="",'Data Entry'!$C1400&lt;='Visual SPC'!$E$4),OR('Visual SPC'!$G$4="",'Data Entry'!$D1400='Visual SPC'!$G$4),OR('Visual SPC'!$I$4="",'Data Entry'!$E1400='Visual SPC'!$I$4),OR('Visual SPC'!$K$4="",'Data Entry'!$F1400='Visual SPC'!$K$4)),1,0))</f>
        <v/>
      </c>
      <c r="C1400">
        <f>C1399+B1400</f>
        <v/>
      </c>
      <c r="D1400">
        <f>IF(B1400=1,INDEX('Data Entry'!$H$5:$BE$10004,1400-4,'Visual SPC'!$B$3),"")</f>
        <v/>
      </c>
      <c r="E1400">
        <f>IF(B1400=1,D1400,E1399)</f>
        <v/>
      </c>
      <c r="F1400">
        <f>IF(AND(B1400=1,C1400&gt;1,E1399&lt;&gt;""),ABS(D1400-E1399),"")</f>
        <v/>
      </c>
    </row>
    <row r="1401">
      <c r="A1401" t="n">
        <v>1401</v>
      </c>
      <c r="B1401">
        <f>IF(INDEX('Data Entry'!$H$5:$BE$10004,1401-4,'Visual SPC'!$B$3)="",0,IF(AND(OR('Visual SPC'!$C$4="",'Data Entry'!$C1401&gt;='Visual SPC'!$C$4),OR('Visual SPC'!$E$4="",'Data Entry'!$C1401&lt;='Visual SPC'!$E$4),OR('Visual SPC'!$G$4="",'Data Entry'!$D1401='Visual SPC'!$G$4),OR('Visual SPC'!$I$4="",'Data Entry'!$E1401='Visual SPC'!$I$4),OR('Visual SPC'!$K$4="",'Data Entry'!$F1401='Visual SPC'!$K$4)),1,0))</f>
        <v/>
      </c>
      <c r="C1401">
        <f>C1400+B1401</f>
        <v/>
      </c>
      <c r="D1401">
        <f>IF(B1401=1,INDEX('Data Entry'!$H$5:$BE$10004,1401-4,'Visual SPC'!$B$3),"")</f>
        <v/>
      </c>
      <c r="E1401">
        <f>IF(B1401=1,D1401,E1400)</f>
        <v/>
      </c>
      <c r="F1401">
        <f>IF(AND(B1401=1,C1401&gt;1,E1400&lt;&gt;""),ABS(D1401-E1400),"")</f>
        <v/>
      </c>
    </row>
    <row r="1402">
      <c r="A1402" t="n">
        <v>1402</v>
      </c>
      <c r="B1402">
        <f>IF(INDEX('Data Entry'!$H$5:$BE$10004,1402-4,'Visual SPC'!$B$3)="",0,IF(AND(OR('Visual SPC'!$C$4="",'Data Entry'!$C1402&gt;='Visual SPC'!$C$4),OR('Visual SPC'!$E$4="",'Data Entry'!$C1402&lt;='Visual SPC'!$E$4),OR('Visual SPC'!$G$4="",'Data Entry'!$D1402='Visual SPC'!$G$4),OR('Visual SPC'!$I$4="",'Data Entry'!$E1402='Visual SPC'!$I$4),OR('Visual SPC'!$K$4="",'Data Entry'!$F1402='Visual SPC'!$K$4)),1,0))</f>
        <v/>
      </c>
      <c r="C1402">
        <f>C1401+B1402</f>
        <v/>
      </c>
      <c r="D1402">
        <f>IF(B1402=1,INDEX('Data Entry'!$H$5:$BE$10004,1402-4,'Visual SPC'!$B$3),"")</f>
        <v/>
      </c>
      <c r="E1402">
        <f>IF(B1402=1,D1402,E1401)</f>
        <v/>
      </c>
      <c r="F1402">
        <f>IF(AND(B1402=1,C1402&gt;1,E1401&lt;&gt;""),ABS(D1402-E1401),"")</f>
        <v/>
      </c>
    </row>
    <row r="1403">
      <c r="A1403" t="n">
        <v>1403</v>
      </c>
      <c r="B1403">
        <f>IF(INDEX('Data Entry'!$H$5:$BE$10004,1403-4,'Visual SPC'!$B$3)="",0,IF(AND(OR('Visual SPC'!$C$4="",'Data Entry'!$C1403&gt;='Visual SPC'!$C$4),OR('Visual SPC'!$E$4="",'Data Entry'!$C1403&lt;='Visual SPC'!$E$4),OR('Visual SPC'!$G$4="",'Data Entry'!$D1403='Visual SPC'!$G$4),OR('Visual SPC'!$I$4="",'Data Entry'!$E1403='Visual SPC'!$I$4),OR('Visual SPC'!$K$4="",'Data Entry'!$F1403='Visual SPC'!$K$4)),1,0))</f>
        <v/>
      </c>
      <c r="C1403">
        <f>C1402+B1403</f>
        <v/>
      </c>
      <c r="D1403">
        <f>IF(B1403=1,INDEX('Data Entry'!$H$5:$BE$10004,1403-4,'Visual SPC'!$B$3),"")</f>
        <v/>
      </c>
      <c r="E1403">
        <f>IF(B1403=1,D1403,E1402)</f>
        <v/>
      </c>
      <c r="F1403">
        <f>IF(AND(B1403=1,C1403&gt;1,E1402&lt;&gt;""),ABS(D1403-E1402),"")</f>
        <v/>
      </c>
    </row>
    <row r="1404">
      <c r="A1404" t="n">
        <v>1404</v>
      </c>
      <c r="B1404">
        <f>IF(INDEX('Data Entry'!$H$5:$BE$10004,1404-4,'Visual SPC'!$B$3)="",0,IF(AND(OR('Visual SPC'!$C$4="",'Data Entry'!$C1404&gt;='Visual SPC'!$C$4),OR('Visual SPC'!$E$4="",'Data Entry'!$C1404&lt;='Visual SPC'!$E$4),OR('Visual SPC'!$G$4="",'Data Entry'!$D1404='Visual SPC'!$G$4),OR('Visual SPC'!$I$4="",'Data Entry'!$E1404='Visual SPC'!$I$4),OR('Visual SPC'!$K$4="",'Data Entry'!$F1404='Visual SPC'!$K$4)),1,0))</f>
        <v/>
      </c>
      <c r="C1404">
        <f>C1403+B1404</f>
        <v/>
      </c>
      <c r="D1404">
        <f>IF(B1404=1,INDEX('Data Entry'!$H$5:$BE$10004,1404-4,'Visual SPC'!$B$3),"")</f>
        <v/>
      </c>
      <c r="E1404">
        <f>IF(B1404=1,D1404,E1403)</f>
        <v/>
      </c>
      <c r="F1404">
        <f>IF(AND(B1404=1,C1404&gt;1,E1403&lt;&gt;""),ABS(D1404-E1403),"")</f>
        <v/>
      </c>
    </row>
    <row r="1405">
      <c r="A1405" t="n">
        <v>1405</v>
      </c>
      <c r="B1405">
        <f>IF(INDEX('Data Entry'!$H$5:$BE$10004,1405-4,'Visual SPC'!$B$3)="",0,IF(AND(OR('Visual SPC'!$C$4="",'Data Entry'!$C1405&gt;='Visual SPC'!$C$4),OR('Visual SPC'!$E$4="",'Data Entry'!$C1405&lt;='Visual SPC'!$E$4),OR('Visual SPC'!$G$4="",'Data Entry'!$D1405='Visual SPC'!$G$4),OR('Visual SPC'!$I$4="",'Data Entry'!$E1405='Visual SPC'!$I$4),OR('Visual SPC'!$K$4="",'Data Entry'!$F1405='Visual SPC'!$K$4)),1,0))</f>
        <v/>
      </c>
      <c r="C1405">
        <f>C1404+B1405</f>
        <v/>
      </c>
      <c r="D1405">
        <f>IF(B1405=1,INDEX('Data Entry'!$H$5:$BE$10004,1405-4,'Visual SPC'!$B$3),"")</f>
        <v/>
      </c>
      <c r="E1405">
        <f>IF(B1405=1,D1405,E1404)</f>
        <v/>
      </c>
      <c r="F1405">
        <f>IF(AND(B1405=1,C1405&gt;1,E1404&lt;&gt;""),ABS(D1405-E1404),"")</f>
        <v/>
      </c>
    </row>
    <row r="1406">
      <c r="A1406" t="n">
        <v>1406</v>
      </c>
      <c r="B1406">
        <f>IF(INDEX('Data Entry'!$H$5:$BE$10004,1406-4,'Visual SPC'!$B$3)="",0,IF(AND(OR('Visual SPC'!$C$4="",'Data Entry'!$C1406&gt;='Visual SPC'!$C$4),OR('Visual SPC'!$E$4="",'Data Entry'!$C1406&lt;='Visual SPC'!$E$4),OR('Visual SPC'!$G$4="",'Data Entry'!$D1406='Visual SPC'!$G$4),OR('Visual SPC'!$I$4="",'Data Entry'!$E1406='Visual SPC'!$I$4),OR('Visual SPC'!$K$4="",'Data Entry'!$F1406='Visual SPC'!$K$4)),1,0))</f>
        <v/>
      </c>
      <c r="C1406">
        <f>C1405+B1406</f>
        <v/>
      </c>
      <c r="D1406">
        <f>IF(B1406=1,INDEX('Data Entry'!$H$5:$BE$10004,1406-4,'Visual SPC'!$B$3),"")</f>
        <v/>
      </c>
      <c r="E1406">
        <f>IF(B1406=1,D1406,E1405)</f>
        <v/>
      </c>
      <c r="F1406">
        <f>IF(AND(B1406=1,C1406&gt;1,E1405&lt;&gt;""),ABS(D1406-E1405),"")</f>
        <v/>
      </c>
    </row>
    <row r="1407">
      <c r="A1407" t="n">
        <v>1407</v>
      </c>
      <c r="B1407">
        <f>IF(INDEX('Data Entry'!$H$5:$BE$10004,1407-4,'Visual SPC'!$B$3)="",0,IF(AND(OR('Visual SPC'!$C$4="",'Data Entry'!$C1407&gt;='Visual SPC'!$C$4),OR('Visual SPC'!$E$4="",'Data Entry'!$C1407&lt;='Visual SPC'!$E$4),OR('Visual SPC'!$G$4="",'Data Entry'!$D1407='Visual SPC'!$G$4),OR('Visual SPC'!$I$4="",'Data Entry'!$E1407='Visual SPC'!$I$4),OR('Visual SPC'!$K$4="",'Data Entry'!$F1407='Visual SPC'!$K$4)),1,0))</f>
        <v/>
      </c>
      <c r="C1407">
        <f>C1406+B1407</f>
        <v/>
      </c>
      <c r="D1407">
        <f>IF(B1407=1,INDEX('Data Entry'!$H$5:$BE$10004,1407-4,'Visual SPC'!$B$3),"")</f>
        <v/>
      </c>
      <c r="E1407">
        <f>IF(B1407=1,D1407,E1406)</f>
        <v/>
      </c>
      <c r="F1407">
        <f>IF(AND(B1407=1,C1407&gt;1,E1406&lt;&gt;""),ABS(D1407-E1406),"")</f>
        <v/>
      </c>
    </row>
    <row r="1408">
      <c r="A1408" t="n">
        <v>1408</v>
      </c>
      <c r="B1408">
        <f>IF(INDEX('Data Entry'!$H$5:$BE$10004,1408-4,'Visual SPC'!$B$3)="",0,IF(AND(OR('Visual SPC'!$C$4="",'Data Entry'!$C1408&gt;='Visual SPC'!$C$4),OR('Visual SPC'!$E$4="",'Data Entry'!$C1408&lt;='Visual SPC'!$E$4),OR('Visual SPC'!$G$4="",'Data Entry'!$D1408='Visual SPC'!$G$4),OR('Visual SPC'!$I$4="",'Data Entry'!$E1408='Visual SPC'!$I$4),OR('Visual SPC'!$K$4="",'Data Entry'!$F1408='Visual SPC'!$K$4)),1,0))</f>
        <v/>
      </c>
      <c r="C1408">
        <f>C1407+B1408</f>
        <v/>
      </c>
      <c r="D1408">
        <f>IF(B1408=1,INDEX('Data Entry'!$H$5:$BE$10004,1408-4,'Visual SPC'!$B$3),"")</f>
        <v/>
      </c>
      <c r="E1408">
        <f>IF(B1408=1,D1408,E1407)</f>
        <v/>
      </c>
      <c r="F1408">
        <f>IF(AND(B1408=1,C1408&gt;1,E1407&lt;&gt;""),ABS(D1408-E1407),"")</f>
        <v/>
      </c>
    </row>
    <row r="1409">
      <c r="A1409" t="n">
        <v>1409</v>
      </c>
      <c r="B1409">
        <f>IF(INDEX('Data Entry'!$H$5:$BE$10004,1409-4,'Visual SPC'!$B$3)="",0,IF(AND(OR('Visual SPC'!$C$4="",'Data Entry'!$C1409&gt;='Visual SPC'!$C$4),OR('Visual SPC'!$E$4="",'Data Entry'!$C1409&lt;='Visual SPC'!$E$4),OR('Visual SPC'!$G$4="",'Data Entry'!$D1409='Visual SPC'!$G$4),OR('Visual SPC'!$I$4="",'Data Entry'!$E1409='Visual SPC'!$I$4),OR('Visual SPC'!$K$4="",'Data Entry'!$F1409='Visual SPC'!$K$4)),1,0))</f>
        <v/>
      </c>
      <c r="C1409">
        <f>C1408+B1409</f>
        <v/>
      </c>
      <c r="D1409">
        <f>IF(B1409=1,INDEX('Data Entry'!$H$5:$BE$10004,1409-4,'Visual SPC'!$B$3),"")</f>
        <v/>
      </c>
      <c r="E1409">
        <f>IF(B1409=1,D1409,E1408)</f>
        <v/>
      </c>
      <c r="F1409">
        <f>IF(AND(B1409=1,C1409&gt;1,E1408&lt;&gt;""),ABS(D1409-E1408),"")</f>
        <v/>
      </c>
    </row>
    <row r="1410">
      <c r="A1410" t="n">
        <v>1410</v>
      </c>
      <c r="B1410">
        <f>IF(INDEX('Data Entry'!$H$5:$BE$10004,1410-4,'Visual SPC'!$B$3)="",0,IF(AND(OR('Visual SPC'!$C$4="",'Data Entry'!$C1410&gt;='Visual SPC'!$C$4),OR('Visual SPC'!$E$4="",'Data Entry'!$C1410&lt;='Visual SPC'!$E$4),OR('Visual SPC'!$G$4="",'Data Entry'!$D1410='Visual SPC'!$G$4),OR('Visual SPC'!$I$4="",'Data Entry'!$E1410='Visual SPC'!$I$4),OR('Visual SPC'!$K$4="",'Data Entry'!$F1410='Visual SPC'!$K$4)),1,0))</f>
        <v/>
      </c>
      <c r="C1410">
        <f>C1409+B1410</f>
        <v/>
      </c>
      <c r="D1410">
        <f>IF(B1410=1,INDEX('Data Entry'!$H$5:$BE$10004,1410-4,'Visual SPC'!$B$3),"")</f>
        <v/>
      </c>
      <c r="E1410">
        <f>IF(B1410=1,D1410,E1409)</f>
        <v/>
      </c>
      <c r="F1410">
        <f>IF(AND(B1410=1,C1410&gt;1,E1409&lt;&gt;""),ABS(D1410-E1409),"")</f>
        <v/>
      </c>
    </row>
    <row r="1411">
      <c r="A1411" t="n">
        <v>1411</v>
      </c>
      <c r="B1411">
        <f>IF(INDEX('Data Entry'!$H$5:$BE$10004,1411-4,'Visual SPC'!$B$3)="",0,IF(AND(OR('Visual SPC'!$C$4="",'Data Entry'!$C1411&gt;='Visual SPC'!$C$4),OR('Visual SPC'!$E$4="",'Data Entry'!$C1411&lt;='Visual SPC'!$E$4),OR('Visual SPC'!$G$4="",'Data Entry'!$D1411='Visual SPC'!$G$4),OR('Visual SPC'!$I$4="",'Data Entry'!$E1411='Visual SPC'!$I$4),OR('Visual SPC'!$K$4="",'Data Entry'!$F1411='Visual SPC'!$K$4)),1,0))</f>
        <v/>
      </c>
      <c r="C1411">
        <f>C1410+B1411</f>
        <v/>
      </c>
      <c r="D1411">
        <f>IF(B1411=1,INDEX('Data Entry'!$H$5:$BE$10004,1411-4,'Visual SPC'!$B$3),"")</f>
        <v/>
      </c>
      <c r="E1411">
        <f>IF(B1411=1,D1411,E1410)</f>
        <v/>
      </c>
      <c r="F1411">
        <f>IF(AND(B1411=1,C1411&gt;1,E1410&lt;&gt;""),ABS(D1411-E1410),"")</f>
        <v/>
      </c>
    </row>
    <row r="1412">
      <c r="A1412" t="n">
        <v>1412</v>
      </c>
      <c r="B1412">
        <f>IF(INDEX('Data Entry'!$H$5:$BE$10004,1412-4,'Visual SPC'!$B$3)="",0,IF(AND(OR('Visual SPC'!$C$4="",'Data Entry'!$C1412&gt;='Visual SPC'!$C$4),OR('Visual SPC'!$E$4="",'Data Entry'!$C1412&lt;='Visual SPC'!$E$4),OR('Visual SPC'!$G$4="",'Data Entry'!$D1412='Visual SPC'!$G$4),OR('Visual SPC'!$I$4="",'Data Entry'!$E1412='Visual SPC'!$I$4),OR('Visual SPC'!$K$4="",'Data Entry'!$F1412='Visual SPC'!$K$4)),1,0))</f>
        <v/>
      </c>
      <c r="C1412">
        <f>C1411+B1412</f>
        <v/>
      </c>
      <c r="D1412">
        <f>IF(B1412=1,INDEX('Data Entry'!$H$5:$BE$10004,1412-4,'Visual SPC'!$B$3),"")</f>
        <v/>
      </c>
      <c r="E1412">
        <f>IF(B1412=1,D1412,E1411)</f>
        <v/>
      </c>
      <c r="F1412">
        <f>IF(AND(B1412=1,C1412&gt;1,E1411&lt;&gt;""),ABS(D1412-E1411),"")</f>
        <v/>
      </c>
    </row>
    <row r="1413">
      <c r="A1413" t="n">
        <v>1413</v>
      </c>
      <c r="B1413">
        <f>IF(INDEX('Data Entry'!$H$5:$BE$10004,1413-4,'Visual SPC'!$B$3)="",0,IF(AND(OR('Visual SPC'!$C$4="",'Data Entry'!$C1413&gt;='Visual SPC'!$C$4),OR('Visual SPC'!$E$4="",'Data Entry'!$C1413&lt;='Visual SPC'!$E$4),OR('Visual SPC'!$G$4="",'Data Entry'!$D1413='Visual SPC'!$G$4),OR('Visual SPC'!$I$4="",'Data Entry'!$E1413='Visual SPC'!$I$4),OR('Visual SPC'!$K$4="",'Data Entry'!$F1413='Visual SPC'!$K$4)),1,0))</f>
        <v/>
      </c>
      <c r="C1413">
        <f>C1412+B1413</f>
        <v/>
      </c>
      <c r="D1413">
        <f>IF(B1413=1,INDEX('Data Entry'!$H$5:$BE$10004,1413-4,'Visual SPC'!$B$3),"")</f>
        <v/>
      </c>
      <c r="E1413">
        <f>IF(B1413=1,D1413,E1412)</f>
        <v/>
      </c>
      <c r="F1413">
        <f>IF(AND(B1413=1,C1413&gt;1,E1412&lt;&gt;""),ABS(D1413-E1412),"")</f>
        <v/>
      </c>
    </row>
    <row r="1414">
      <c r="A1414" t="n">
        <v>1414</v>
      </c>
      <c r="B1414">
        <f>IF(INDEX('Data Entry'!$H$5:$BE$10004,1414-4,'Visual SPC'!$B$3)="",0,IF(AND(OR('Visual SPC'!$C$4="",'Data Entry'!$C1414&gt;='Visual SPC'!$C$4),OR('Visual SPC'!$E$4="",'Data Entry'!$C1414&lt;='Visual SPC'!$E$4),OR('Visual SPC'!$G$4="",'Data Entry'!$D1414='Visual SPC'!$G$4),OR('Visual SPC'!$I$4="",'Data Entry'!$E1414='Visual SPC'!$I$4),OR('Visual SPC'!$K$4="",'Data Entry'!$F1414='Visual SPC'!$K$4)),1,0))</f>
        <v/>
      </c>
      <c r="C1414">
        <f>C1413+B1414</f>
        <v/>
      </c>
      <c r="D1414">
        <f>IF(B1414=1,INDEX('Data Entry'!$H$5:$BE$10004,1414-4,'Visual SPC'!$B$3),"")</f>
        <v/>
      </c>
      <c r="E1414">
        <f>IF(B1414=1,D1414,E1413)</f>
        <v/>
      </c>
      <c r="F1414">
        <f>IF(AND(B1414=1,C1414&gt;1,E1413&lt;&gt;""),ABS(D1414-E1413),"")</f>
        <v/>
      </c>
    </row>
    <row r="1415">
      <c r="A1415" t="n">
        <v>1415</v>
      </c>
      <c r="B1415">
        <f>IF(INDEX('Data Entry'!$H$5:$BE$10004,1415-4,'Visual SPC'!$B$3)="",0,IF(AND(OR('Visual SPC'!$C$4="",'Data Entry'!$C1415&gt;='Visual SPC'!$C$4),OR('Visual SPC'!$E$4="",'Data Entry'!$C1415&lt;='Visual SPC'!$E$4),OR('Visual SPC'!$G$4="",'Data Entry'!$D1415='Visual SPC'!$G$4),OR('Visual SPC'!$I$4="",'Data Entry'!$E1415='Visual SPC'!$I$4),OR('Visual SPC'!$K$4="",'Data Entry'!$F1415='Visual SPC'!$K$4)),1,0))</f>
        <v/>
      </c>
      <c r="C1415">
        <f>C1414+B1415</f>
        <v/>
      </c>
      <c r="D1415">
        <f>IF(B1415=1,INDEX('Data Entry'!$H$5:$BE$10004,1415-4,'Visual SPC'!$B$3),"")</f>
        <v/>
      </c>
      <c r="E1415">
        <f>IF(B1415=1,D1415,E1414)</f>
        <v/>
      </c>
      <c r="F1415">
        <f>IF(AND(B1415=1,C1415&gt;1,E1414&lt;&gt;""),ABS(D1415-E1414),"")</f>
        <v/>
      </c>
    </row>
    <row r="1416">
      <c r="A1416" t="n">
        <v>1416</v>
      </c>
      <c r="B1416">
        <f>IF(INDEX('Data Entry'!$H$5:$BE$10004,1416-4,'Visual SPC'!$B$3)="",0,IF(AND(OR('Visual SPC'!$C$4="",'Data Entry'!$C1416&gt;='Visual SPC'!$C$4),OR('Visual SPC'!$E$4="",'Data Entry'!$C1416&lt;='Visual SPC'!$E$4),OR('Visual SPC'!$G$4="",'Data Entry'!$D1416='Visual SPC'!$G$4),OR('Visual SPC'!$I$4="",'Data Entry'!$E1416='Visual SPC'!$I$4),OR('Visual SPC'!$K$4="",'Data Entry'!$F1416='Visual SPC'!$K$4)),1,0))</f>
        <v/>
      </c>
      <c r="C1416">
        <f>C1415+B1416</f>
        <v/>
      </c>
      <c r="D1416">
        <f>IF(B1416=1,INDEX('Data Entry'!$H$5:$BE$10004,1416-4,'Visual SPC'!$B$3),"")</f>
        <v/>
      </c>
      <c r="E1416">
        <f>IF(B1416=1,D1416,E1415)</f>
        <v/>
      </c>
      <c r="F1416">
        <f>IF(AND(B1416=1,C1416&gt;1,E1415&lt;&gt;""),ABS(D1416-E1415),"")</f>
        <v/>
      </c>
    </row>
    <row r="1417">
      <c r="A1417" t="n">
        <v>1417</v>
      </c>
      <c r="B1417">
        <f>IF(INDEX('Data Entry'!$H$5:$BE$10004,1417-4,'Visual SPC'!$B$3)="",0,IF(AND(OR('Visual SPC'!$C$4="",'Data Entry'!$C1417&gt;='Visual SPC'!$C$4),OR('Visual SPC'!$E$4="",'Data Entry'!$C1417&lt;='Visual SPC'!$E$4),OR('Visual SPC'!$G$4="",'Data Entry'!$D1417='Visual SPC'!$G$4),OR('Visual SPC'!$I$4="",'Data Entry'!$E1417='Visual SPC'!$I$4),OR('Visual SPC'!$K$4="",'Data Entry'!$F1417='Visual SPC'!$K$4)),1,0))</f>
        <v/>
      </c>
      <c r="C1417">
        <f>C1416+B1417</f>
        <v/>
      </c>
      <c r="D1417">
        <f>IF(B1417=1,INDEX('Data Entry'!$H$5:$BE$10004,1417-4,'Visual SPC'!$B$3),"")</f>
        <v/>
      </c>
      <c r="E1417">
        <f>IF(B1417=1,D1417,E1416)</f>
        <v/>
      </c>
      <c r="F1417">
        <f>IF(AND(B1417=1,C1417&gt;1,E1416&lt;&gt;""),ABS(D1417-E1416),"")</f>
        <v/>
      </c>
    </row>
    <row r="1418">
      <c r="A1418" t="n">
        <v>1418</v>
      </c>
      <c r="B1418">
        <f>IF(INDEX('Data Entry'!$H$5:$BE$10004,1418-4,'Visual SPC'!$B$3)="",0,IF(AND(OR('Visual SPC'!$C$4="",'Data Entry'!$C1418&gt;='Visual SPC'!$C$4),OR('Visual SPC'!$E$4="",'Data Entry'!$C1418&lt;='Visual SPC'!$E$4),OR('Visual SPC'!$G$4="",'Data Entry'!$D1418='Visual SPC'!$G$4),OR('Visual SPC'!$I$4="",'Data Entry'!$E1418='Visual SPC'!$I$4),OR('Visual SPC'!$K$4="",'Data Entry'!$F1418='Visual SPC'!$K$4)),1,0))</f>
        <v/>
      </c>
      <c r="C1418">
        <f>C1417+B1418</f>
        <v/>
      </c>
      <c r="D1418">
        <f>IF(B1418=1,INDEX('Data Entry'!$H$5:$BE$10004,1418-4,'Visual SPC'!$B$3),"")</f>
        <v/>
      </c>
      <c r="E1418">
        <f>IF(B1418=1,D1418,E1417)</f>
        <v/>
      </c>
      <c r="F1418">
        <f>IF(AND(B1418=1,C1418&gt;1,E1417&lt;&gt;""),ABS(D1418-E1417),"")</f>
        <v/>
      </c>
    </row>
    <row r="1419">
      <c r="A1419" t="n">
        <v>1419</v>
      </c>
      <c r="B1419">
        <f>IF(INDEX('Data Entry'!$H$5:$BE$10004,1419-4,'Visual SPC'!$B$3)="",0,IF(AND(OR('Visual SPC'!$C$4="",'Data Entry'!$C1419&gt;='Visual SPC'!$C$4),OR('Visual SPC'!$E$4="",'Data Entry'!$C1419&lt;='Visual SPC'!$E$4),OR('Visual SPC'!$G$4="",'Data Entry'!$D1419='Visual SPC'!$G$4),OR('Visual SPC'!$I$4="",'Data Entry'!$E1419='Visual SPC'!$I$4),OR('Visual SPC'!$K$4="",'Data Entry'!$F1419='Visual SPC'!$K$4)),1,0))</f>
        <v/>
      </c>
      <c r="C1419">
        <f>C1418+B1419</f>
        <v/>
      </c>
      <c r="D1419">
        <f>IF(B1419=1,INDEX('Data Entry'!$H$5:$BE$10004,1419-4,'Visual SPC'!$B$3),"")</f>
        <v/>
      </c>
      <c r="E1419">
        <f>IF(B1419=1,D1419,E1418)</f>
        <v/>
      </c>
      <c r="F1419">
        <f>IF(AND(B1419=1,C1419&gt;1,E1418&lt;&gt;""),ABS(D1419-E1418),"")</f>
        <v/>
      </c>
    </row>
    <row r="1420">
      <c r="A1420" t="n">
        <v>1420</v>
      </c>
      <c r="B1420">
        <f>IF(INDEX('Data Entry'!$H$5:$BE$10004,1420-4,'Visual SPC'!$B$3)="",0,IF(AND(OR('Visual SPC'!$C$4="",'Data Entry'!$C1420&gt;='Visual SPC'!$C$4),OR('Visual SPC'!$E$4="",'Data Entry'!$C1420&lt;='Visual SPC'!$E$4),OR('Visual SPC'!$G$4="",'Data Entry'!$D1420='Visual SPC'!$G$4),OR('Visual SPC'!$I$4="",'Data Entry'!$E1420='Visual SPC'!$I$4),OR('Visual SPC'!$K$4="",'Data Entry'!$F1420='Visual SPC'!$K$4)),1,0))</f>
        <v/>
      </c>
      <c r="C1420">
        <f>C1419+B1420</f>
        <v/>
      </c>
      <c r="D1420">
        <f>IF(B1420=1,INDEX('Data Entry'!$H$5:$BE$10004,1420-4,'Visual SPC'!$B$3),"")</f>
        <v/>
      </c>
      <c r="E1420">
        <f>IF(B1420=1,D1420,E1419)</f>
        <v/>
      </c>
      <c r="F1420">
        <f>IF(AND(B1420=1,C1420&gt;1,E1419&lt;&gt;""),ABS(D1420-E1419),"")</f>
        <v/>
      </c>
    </row>
    <row r="1421">
      <c r="A1421" t="n">
        <v>1421</v>
      </c>
      <c r="B1421">
        <f>IF(INDEX('Data Entry'!$H$5:$BE$10004,1421-4,'Visual SPC'!$B$3)="",0,IF(AND(OR('Visual SPC'!$C$4="",'Data Entry'!$C1421&gt;='Visual SPC'!$C$4),OR('Visual SPC'!$E$4="",'Data Entry'!$C1421&lt;='Visual SPC'!$E$4),OR('Visual SPC'!$G$4="",'Data Entry'!$D1421='Visual SPC'!$G$4),OR('Visual SPC'!$I$4="",'Data Entry'!$E1421='Visual SPC'!$I$4),OR('Visual SPC'!$K$4="",'Data Entry'!$F1421='Visual SPC'!$K$4)),1,0))</f>
        <v/>
      </c>
      <c r="C1421">
        <f>C1420+B1421</f>
        <v/>
      </c>
      <c r="D1421">
        <f>IF(B1421=1,INDEX('Data Entry'!$H$5:$BE$10004,1421-4,'Visual SPC'!$B$3),"")</f>
        <v/>
      </c>
      <c r="E1421">
        <f>IF(B1421=1,D1421,E1420)</f>
        <v/>
      </c>
      <c r="F1421">
        <f>IF(AND(B1421=1,C1421&gt;1,E1420&lt;&gt;""),ABS(D1421-E1420),"")</f>
        <v/>
      </c>
    </row>
    <row r="1422">
      <c r="A1422" t="n">
        <v>1422</v>
      </c>
      <c r="B1422">
        <f>IF(INDEX('Data Entry'!$H$5:$BE$10004,1422-4,'Visual SPC'!$B$3)="",0,IF(AND(OR('Visual SPC'!$C$4="",'Data Entry'!$C1422&gt;='Visual SPC'!$C$4),OR('Visual SPC'!$E$4="",'Data Entry'!$C1422&lt;='Visual SPC'!$E$4),OR('Visual SPC'!$G$4="",'Data Entry'!$D1422='Visual SPC'!$G$4),OR('Visual SPC'!$I$4="",'Data Entry'!$E1422='Visual SPC'!$I$4),OR('Visual SPC'!$K$4="",'Data Entry'!$F1422='Visual SPC'!$K$4)),1,0))</f>
        <v/>
      </c>
      <c r="C1422">
        <f>C1421+B1422</f>
        <v/>
      </c>
      <c r="D1422">
        <f>IF(B1422=1,INDEX('Data Entry'!$H$5:$BE$10004,1422-4,'Visual SPC'!$B$3),"")</f>
        <v/>
      </c>
      <c r="E1422">
        <f>IF(B1422=1,D1422,E1421)</f>
        <v/>
      </c>
      <c r="F1422">
        <f>IF(AND(B1422=1,C1422&gt;1,E1421&lt;&gt;""),ABS(D1422-E1421),"")</f>
        <v/>
      </c>
    </row>
    <row r="1423">
      <c r="A1423" t="n">
        <v>1423</v>
      </c>
      <c r="B1423">
        <f>IF(INDEX('Data Entry'!$H$5:$BE$10004,1423-4,'Visual SPC'!$B$3)="",0,IF(AND(OR('Visual SPC'!$C$4="",'Data Entry'!$C1423&gt;='Visual SPC'!$C$4),OR('Visual SPC'!$E$4="",'Data Entry'!$C1423&lt;='Visual SPC'!$E$4),OR('Visual SPC'!$G$4="",'Data Entry'!$D1423='Visual SPC'!$G$4),OR('Visual SPC'!$I$4="",'Data Entry'!$E1423='Visual SPC'!$I$4),OR('Visual SPC'!$K$4="",'Data Entry'!$F1423='Visual SPC'!$K$4)),1,0))</f>
        <v/>
      </c>
      <c r="C1423">
        <f>C1422+B1423</f>
        <v/>
      </c>
      <c r="D1423">
        <f>IF(B1423=1,INDEX('Data Entry'!$H$5:$BE$10004,1423-4,'Visual SPC'!$B$3),"")</f>
        <v/>
      </c>
      <c r="E1423">
        <f>IF(B1423=1,D1423,E1422)</f>
        <v/>
      </c>
      <c r="F1423">
        <f>IF(AND(B1423=1,C1423&gt;1,E1422&lt;&gt;""),ABS(D1423-E1422),"")</f>
        <v/>
      </c>
    </row>
    <row r="1424">
      <c r="A1424" t="n">
        <v>1424</v>
      </c>
      <c r="B1424">
        <f>IF(INDEX('Data Entry'!$H$5:$BE$10004,1424-4,'Visual SPC'!$B$3)="",0,IF(AND(OR('Visual SPC'!$C$4="",'Data Entry'!$C1424&gt;='Visual SPC'!$C$4),OR('Visual SPC'!$E$4="",'Data Entry'!$C1424&lt;='Visual SPC'!$E$4),OR('Visual SPC'!$G$4="",'Data Entry'!$D1424='Visual SPC'!$G$4),OR('Visual SPC'!$I$4="",'Data Entry'!$E1424='Visual SPC'!$I$4),OR('Visual SPC'!$K$4="",'Data Entry'!$F1424='Visual SPC'!$K$4)),1,0))</f>
        <v/>
      </c>
      <c r="C1424">
        <f>C1423+B1424</f>
        <v/>
      </c>
      <c r="D1424">
        <f>IF(B1424=1,INDEX('Data Entry'!$H$5:$BE$10004,1424-4,'Visual SPC'!$B$3),"")</f>
        <v/>
      </c>
      <c r="E1424">
        <f>IF(B1424=1,D1424,E1423)</f>
        <v/>
      </c>
      <c r="F1424">
        <f>IF(AND(B1424=1,C1424&gt;1,E1423&lt;&gt;""),ABS(D1424-E1423),"")</f>
        <v/>
      </c>
    </row>
    <row r="1425">
      <c r="A1425" t="n">
        <v>1425</v>
      </c>
      <c r="B1425">
        <f>IF(INDEX('Data Entry'!$H$5:$BE$10004,1425-4,'Visual SPC'!$B$3)="",0,IF(AND(OR('Visual SPC'!$C$4="",'Data Entry'!$C1425&gt;='Visual SPC'!$C$4),OR('Visual SPC'!$E$4="",'Data Entry'!$C1425&lt;='Visual SPC'!$E$4),OR('Visual SPC'!$G$4="",'Data Entry'!$D1425='Visual SPC'!$G$4),OR('Visual SPC'!$I$4="",'Data Entry'!$E1425='Visual SPC'!$I$4),OR('Visual SPC'!$K$4="",'Data Entry'!$F1425='Visual SPC'!$K$4)),1,0))</f>
        <v/>
      </c>
      <c r="C1425">
        <f>C1424+B1425</f>
        <v/>
      </c>
      <c r="D1425">
        <f>IF(B1425=1,INDEX('Data Entry'!$H$5:$BE$10004,1425-4,'Visual SPC'!$B$3),"")</f>
        <v/>
      </c>
      <c r="E1425">
        <f>IF(B1425=1,D1425,E1424)</f>
        <v/>
      </c>
      <c r="F1425">
        <f>IF(AND(B1425=1,C1425&gt;1,E1424&lt;&gt;""),ABS(D1425-E1424),"")</f>
        <v/>
      </c>
    </row>
    <row r="1426">
      <c r="A1426" t="n">
        <v>1426</v>
      </c>
      <c r="B1426">
        <f>IF(INDEX('Data Entry'!$H$5:$BE$10004,1426-4,'Visual SPC'!$B$3)="",0,IF(AND(OR('Visual SPC'!$C$4="",'Data Entry'!$C1426&gt;='Visual SPC'!$C$4),OR('Visual SPC'!$E$4="",'Data Entry'!$C1426&lt;='Visual SPC'!$E$4),OR('Visual SPC'!$G$4="",'Data Entry'!$D1426='Visual SPC'!$G$4),OR('Visual SPC'!$I$4="",'Data Entry'!$E1426='Visual SPC'!$I$4),OR('Visual SPC'!$K$4="",'Data Entry'!$F1426='Visual SPC'!$K$4)),1,0))</f>
        <v/>
      </c>
      <c r="C1426">
        <f>C1425+B1426</f>
        <v/>
      </c>
      <c r="D1426">
        <f>IF(B1426=1,INDEX('Data Entry'!$H$5:$BE$10004,1426-4,'Visual SPC'!$B$3),"")</f>
        <v/>
      </c>
      <c r="E1426">
        <f>IF(B1426=1,D1426,E1425)</f>
        <v/>
      </c>
      <c r="F1426">
        <f>IF(AND(B1426=1,C1426&gt;1,E1425&lt;&gt;""),ABS(D1426-E1425),"")</f>
        <v/>
      </c>
    </row>
    <row r="1427">
      <c r="A1427" t="n">
        <v>1427</v>
      </c>
      <c r="B1427">
        <f>IF(INDEX('Data Entry'!$H$5:$BE$10004,1427-4,'Visual SPC'!$B$3)="",0,IF(AND(OR('Visual SPC'!$C$4="",'Data Entry'!$C1427&gt;='Visual SPC'!$C$4),OR('Visual SPC'!$E$4="",'Data Entry'!$C1427&lt;='Visual SPC'!$E$4),OR('Visual SPC'!$G$4="",'Data Entry'!$D1427='Visual SPC'!$G$4),OR('Visual SPC'!$I$4="",'Data Entry'!$E1427='Visual SPC'!$I$4),OR('Visual SPC'!$K$4="",'Data Entry'!$F1427='Visual SPC'!$K$4)),1,0))</f>
        <v/>
      </c>
      <c r="C1427">
        <f>C1426+B1427</f>
        <v/>
      </c>
      <c r="D1427">
        <f>IF(B1427=1,INDEX('Data Entry'!$H$5:$BE$10004,1427-4,'Visual SPC'!$B$3),"")</f>
        <v/>
      </c>
      <c r="E1427">
        <f>IF(B1427=1,D1427,E1426)</f>
        <v/>
      </c>
      <c r="F1427">
        <f>IF(AND(B1427=1,C1427&gt;1,E1426&lt;&gt;""),ABS(D1427-E1426),"")</f>
        <v/>
      </c>
    </row>
    <row r="1428">
      <c r="A1428" t="n">
        <v>1428</v>
      </c>
      <c r="B1428">
        <f>IF(INDEX('Data Entry'!$H$5:$BE$10004,1428-4,'Visual SPC'!$B$3)="",0,IF(AND(OR('Visual SPC'!$C$4="",'Data Entry'!$C1428&gt;='Visual SPC'!$C$4),OR('Visual SPC'!$E$4="",'Data Entry'!$C1428&lt;='Visual SPC'!$E$4),OR('Visual SPC'!$G$4="",'Data Entry'!$D1428='Visual SPC'!$G$4),OR('Visual SPC'!$I$4="",'Data Entry'!$E1428='Visual SPC'!$I$4),OR('Visual SPC'!$K$4="",'Data Entry'!$F1428='Visual SPC'!$K$4)),1,0))</f>
        <v/>
      </c>
      <c r="C1428">
        <f>C1427+B1428</f>
        <v/>
      </c>
      <c r="D1428">
        <f>IF(B1428=1,INDEX('Data Entry'!$H$5:$BE$10004,1428-4,'Visual SPC'!$B$3),"")</f>
        <v/>
      </c>
      <c r="E1428">
        <f>IF(B1428=1,D1428,E1427)</f>
        <v/>
      </c>
      <c r="F1428">
        <f>IF(AND(B1428=1,C1428&gt;1,E1427&lt;&gt;""),ABS(D1428-E1427),"")</f>
        <v/>
      </c>
    </row>
    <row r="1429">
      <c r="A1429" t="n">
        <v>1429</v>
      </c>
      <c r="B1429">
        <f>IF(INDEX('Data Entry'!$H$5:$BE$10004,1429-4,'Visual SPC'!$B$3)="",0,IF(AND(OR('Visual SPC'!$C$4="",'Data Entry'!$C1429&gt;='Visual SPC'!$C$4),OR('Visual SPC'!$E$4="",'Data Entry'!$C1429&lt;='Visual SPC'!$E$4),OR('Visual SPC'!$G$4="",'Data Entry'!$D1429='Visual SPC'!$G$4),OR('Visual SPC'!$I$4="",'Data Entry'!$E1429='Visual SPC'!$I$4),OR('Visual SPC'!$K$4="",'Data Entry'!$F1429='Visual SPC'!$K$4)),1,0))</f>
        <v/>
      </c>
      <c r="C1429">
        <f>C1428+B1429</f>
        <v/>
      </c>
      <c r="D1429">
        <f>IF(B1429=1,INDEX('Data Entry'!$H$5:$BE$10004,1429-4,'Visual SPC'!$B$3),"")</f>
        <v/>
      </c>
      <c r="E1429">
        <f>IF(B1429=1,D1429,E1428)</f>
        <v/>
      </c>
      <c r="F1429">
        <f>IF(AND(B1429=1,C1429&gt;1,E1428&lt;&gt;""),ABS(D1429-E1428),"")</f>
        <v/>
      </c>
    </row>
    <row r="1430">
      <c r="A1430" t="n">
        <v>1430</v>
      </c>
      <c r="B1430">
        <f>IF(INDEX('Data Entry'!$H$5:$BE$10004,1430-4,'Visual SPC'!$B$3)="",0,IF(AND(OR('Visual SPC'!$C$4="",'Data Entry'!$C1430&gt;='Visual SPC'!$C$4),OR('Visual SPC'!$E$4="",'Data Entry'!$C1430&lt;='Visual SPC'!$E$4),OR('Visual SPC'!$G$4="",'Data Entry'!$D1430='Visual SPC'!$G$4),OR('Visual SPC'!$I$4="",'Data Entry'!$E1430='Visual SPC'!$I$4),OR('Visual SPC'!$K$4="",'Data Entry'!$F1430='Visual SPC'!$K$4)),1,0))</f>
        <v/>
      </c>
      <c r="C1430">
        <f>C1429+B1430</f>
        <v/>
      </c>
      <c r="D1430">
        <f>IF(B1430=1,INDEX('Data Entry'!$H$5:$BE$10004,1430-4,'Visual SPC'!$B$3),"")</f>
        <v/>
      </c>
      <c r="E1430">
        <f>IF(B1430=1,D1430,E1429)</f>
        <v/>
      </c>
      <c r="F1430">
        <f>IF(AND(B1430=1,C1430&gt;1,E1429&lt;&gt;""),ABS(D1430-E1429),"")</f>
        <v/>
      </c>
    </row>
    <row r="1431">
      <c r="A1431" t="n">
        <v>1431</v>
      </c>
      <c r="B1431">
        <f>IF(INDEX('Data Entry'!$H$5:$BE$10004,1431-4,'Visual SPC'!$B$3)="",0,IF(AND(OR('Visual SPC'!$C$4="",'Data Entry'!$C1431&gt;='Visual SPC'!$C$4),OR('Visual SPC'!$E$4="",'Data Entry'!$C1431&lt;='Visual SPC'!$E$4),OR('Visual SPC'!$G$4="",'Data Entry'!$D1431='Visual SPC'!$G$4),OR('Visual SPC'!$I$4="",'Data Entry'!$E1431='Visual SPC'!$I$4),OR('Visual SPC'!$K$4="",'Data Entry'!$F1431='Visual SPC'!$K$4)),1,0))</f>
        <v/>
      </c>
      <c r="C1431">
        <f>C1430+B1431</f>
        <v/>
      </c>
      <c r="D1431">
        <f>IF(B1431=1,INDEX('Data Entry'!$H$5:$BE$10004,1431-4,'Visual SPC'!$B$3),"")</f>
        <v/>
      </c>
      <c r="E1431">
        <f>IF(B1431=1,D1431,E1430)</f>
        <v/>
      </c>
      <c r="F1431">
        <f>IF(AND(B1431=1,C1431&gt;1,E1430&lt;&gt;""),ABS(D1431-E1430),"")</f>
        <v/>
      </c>
    </row>
    <row r="1432">
      <c r="A1432" t="n">
        <v>1432</v>
      </c>
      <c r="B1432">
        <f>IF(INDEX('Data Entry'!$H$5:$BE$10004,1432-4,'Visual SPC'!$B$3)="",0,IF(AND(OR('Visual SPC'!$C$4="",'Data Entry'!$C1432&gt;='Visual SPC'!$C$4),OR('Visual SPC'!$E$4="",'Data Entry'!$C1432&lt;='Visual SPC'!$E$4),OR('Visual SPC'!$G$4="",'Data Entry'!$D1432='Visual SPC'!$G$4),OR('Visual SPC'!$I$4="",'Data Entry'!$E1432='Visual SPC'!$I$4),OR('Visual SPC'!$K$4="",'Data Entry'!$F1432='Visual SPC'!$K$4)),1,0))</f>
        <v/>
      </c>
      <c r="C1432">
        <f>C1431+B1432</f>
        <v/>
      </c>
      <c r="D1432">
        <f>IF(B1432=1,INDEX('Data Entry'!$H$5:$BE$10004,1432-4,'Visual SPC'!$B$3),"")</f>
        <v/>
      </c>
      <c r="E1432">
        <f>IF(B1432=1,D1432,E1431)</f>
        <v/>
      </c>
      <c r="F1432">
        <f>IF(AND(B1432=1,C1432&gt;1,E1431&lt;&gt;""),ABS(D1432-E1431),"")</f>
        <v/>
      </c>
    </row>
    <row r="1433">
      <c r="A1433" t="n">
        <v>1433</v>
      </c>
      <c r="B1433">
        <f>IF(INDEX('Data Entry'!$H$5:$BE$10004,1433-4,'Visual SPC'!$B$3)="",0,IF(AND(OR('Visual SPC'!$C$4="",'Data Entry'!$C1433&gt;='Visual SPC'!$C$4),OR('Visual SPC'!$E$4="",'Data Entry'!$C1433&lt;='Visual SPC'!$E$4),OR('Visual SPC'!$G$4="",'Data Entry'!$D1433='Visual SPC'!$G$4),OR('Visual SPC'!$I$4="",'Data Entry'!$E1433='Visual SPC'!$I$4),OR('Visual SPC'!$K$4="",'Data Entry'!$F1433='Visual SPC'!$K$4)),1,0))</f>
        <v/>
      </c>
      <c r="C1433">
        <f>C1432+B1433</f>
        <v/>
      </c>
      <c r="D1433">
        <f>IF(B1433=1,INDEX('Data Entry'!$H$5:$BE$10004,1433-4,'Visual SPC'!$B$3),"")</f>
        <v/>
      </c>
      <c r="E1433">
        <f>IF(B1433=1,D1433,E1432)</f>
        <v/>
      </c>
      <c r="F1433">
        <f>IF(AND(B1433=1,C1433&gt;1,E1432&lt;&gt;""),ABS(D1433-E1432),"")</f>
        <v/>
      </c>
    </row>
    <row r="1434">
      <c r="A1434" t="n">
        <v>1434</v>
      </c>
      <c r="B1434">
        <f>IF(INDEX('Data Entry'!$H$5:$BE$10004,1434-4,'Visual SPC'!$B$3)="",0,IF(AND(OR('Visual SPC'!$C$4="",'Data Entry'!$C1434&gt;='Visual SPC'!$C$4),OR('Visual SPC'!$E$4="",'Data Entry'!$C1434&lt;='Visual SPC'!$E$4),OR('Visual SPC'!$G$4="",'Data Entry'!$D1434='Visual SPC'!$G$4),OR('Visual SPC'!$I$4="",'Data Entry'!$E1434='Visual SPC'!$I$4),OR('Visual SPC'!$K$4="",'Data Entry'!$F1434='Visual SPC'!$K$4)),1,0))</f>
        <v/>
      </c>
      <c r="C1434">
        <f>C1433+B1434</f>
        <v/>
      </c>
      <c r="D1434">
        <f>IF(B1434=1,INDEX('Data Entry'!$H$5:$BE$10004,1434-4,'Visual SPC'!$B$3),"")</f>
        <v/>
      </c>
      <c r="E1434">
        <f>IF(B1434=1,D1434,E1433)</f>
        <v/>
      </c>
      <c r="F1434">
        <f>IF(AND(B1434=1,C1434&gt;1,E1433&lt;&gt;""),ABS(D1434-E1433),"")</f>
        <v/>
      </c>
    </row>
    <row r="1435">
      <c r="A1435" t="n">
        <v>1435</v>
      </c>
      <c r="B1435">
        <f>IF(INDEX('Data Entry'!$H$5:$BE$10004,1435-4,'Visual SPC'!$B$3)="",0,IF(AND(OR('Visual SPC'!$C$4="",'Data Entry'!$C1435&gt;='Visual SPC'!$C$4),OR('Visual SPC'!$E$4="",'Data Entry'!$C1435&lt;='Visual SPC'!$E$4),OR('Visual SPC'!$G$4="",'Data Entry'!$D1435='Visual SPC'!$G$4),OR('Visual SPC'!$I$4="",'Data Entry'!$E1435='Visual SPC'!$I$4),OR('Visual SPC'!$K$4="",'Data Entry'!$F1435='Visual SPC'!$K$4)),1,0))</f>
        <v/>
      </c>
      <c r="C1435">
        <f>C1434+B1435</f>
        <v/>
      </c>
      <c r="D1435">
        <f>IF(B1435=1,INDEX('Data Entry'!$H$5:$BE$10004,1435-4,'Visual SPC'!$B$3),"")</f>
        <v/>
      </c>
      <c r="E1435">
        <f>IF(B1435=1,D1435,E1434)</f>
        <v/>
      </c>
      <c r="F1435">
        <f>IF(AND(B1435=1,C1435&gt;1,E1434&lt;&gt;""),ABS(D1435-E1434),"")</f>
        <v/>
      </c>
    </row>
    <row r="1436">
      <c r="A1436" t="n">
        <v>1436</v>
      </c>
      <c r="B1436">
        <f>IF(INDEX('Data Entry'!$H$5:$BE$10004,1436-4,'Visual SPC'!$B$3)="",0,IF(AND(OR('Visual SPC'!$C$4="",'Data Entry'!$C1436&gt;='Visual SPC'!$C$4),OR('Visual SPC'!$E$4="",'Data Entry'!$C1436&lt;='Visual SPC'!$E$4),OR('Visual SPC'!$G$4="",'Data Entry'!$D1436='Visual SPC'!$G$4),OR('Visual SPC'!$I$4="",'Data Entry'!$E1436='Visual SPC'!$I$4),OR('Visual SPC'!$K$4="",'Data Entry'!$F1436='Visual SPC'!$K$4)),1,0))</f>
        <v/>
      </c>
      <c r="C1436">
        <f>C1435+B1436</f>
        <v/>
      </c>
      <c r="D1436">
        <f>IF(B1436=1,INDEX('Data Entry'!$H$5:$BE$10004,1436-4,'Visual SPC'!$B$3),"")</f>
        <v/>
      </c>
      <c r="E1436">
        <f>IF(B1436=1,D1436,E1435)</f>
        <v/>
      </c>
      <c r="F1436">
        <f>IF(AND(B1436=1,C1436&gt;1,E1435&lt;&gt;""),ABS(D1436-E1435),"")</f>
        <v/>
      </c>
    </row>
    <row r="1437">
      <c r="A1437" t="n">
        <v>1437</v>
      </c>
      <c r="B1437">
        <f>IF(INDEX('Data Entry'!$H$5:$BE$10004,1437-4,'Visual SPC'!$B$3)="",0,IF(AND(OR('Visual SPC'!$C$4="",'Data Entry'!$C1437&gt;='Visual SPC'!$C$4),OR('Visual SPC'!$E$4="",'Data Entry'!$C1437&lt;='Visual SPC'!$E$4),OR('Visual SPC'!$G$4="",'Data Entry'!$D1437='Visual SPC'!$G$4),OR('Visual SPC'!$I$4="",'Data Entry'!$E1437='Visual SPC'!$I$4),OR('Visual SPC'!$K$4="",'Data Entry'!$F1437='Visual SPC'!$K$4)),1,0))</f>
        <v/>
      </c>
      <c r="C1437">
        <f>C1436+B1437</f>
        <v/>
      </c>
      <c r="D1437">
        <f>IF(B1437=1,INDEX('Data Entry'!$H$5:$BE$10004,1437-4,'Visual SPC'!$B$3),"")</f>
        <v/>
      </c>
      <c r="E1437">
        <f>IF(B1437=1,D1437,E1436)</f>
        <v/>
      </c>
      <c r="F1437">
        <f>IF(AND(B1437=1,C1437&gt;1,E1436&lt;&gt;""),ABS(D1437-E1436),"")</f>
        <v/>
      </c>
    </row>
    <row r="1438">
      <c r="A1438" t="n">
        <v>1438</v>
      </c>
      <c r="B1438">
        <f>IF(INDEX('Data Entry'!$H$5:$BE$10004,1438-4,'Visual SPC'!$B$3)="",0,IF(AND(OR('Visual SPC'!$C$4="",'Data Entry'!$C1438&gt;='Visual SPC'!$C$4),OR('Visual SPC'!$E$4="",'Data Entry'!$C1438&lt;='Visual SPC'!$E$4),OR('Visual SPC'!$G$4="",'Data Entry'!$D1438='Visual SPC'!$G$4),OR('Visual SPC'!$I$4="",'Data Entry'!$E1438='Visual SPC'!$I$4),OR('Visual SPC'!$K$4="",'Data Entry'!$F1438='Visual SPC'!$K$4)),1,0))</f>
        <v/>
      </c>
      <c r="C1438">
        <f>C1437+B1438</f>
        <v/>
      </c>
      <c r="D1438">
        <f>IF(B1438=1,INDEX('Data Entry'!$H$5:$BE$10004,1438-4,'Visual SPC'!$B$3),"")</f>
        <v/>
      </c>
      <c r="E1438">
        <f>IF(B1438=1,D1438,E1437)</f>
        <v/>
      </c>
      <c r="F1438">
        <f>IF(AND(B1438=1,C1438&gt;1,E1437&lt;&gt;""),ABS(D1438-E1437),"")</f>
        <v/>
      </c>
    </row>
    <row r="1439">
      <c r="A1439" t="n">
        <v>1439</v>
      </c>
      <c r="B1439">
        <f>IF(INDEX('Data Entry'!$H$5:$BE$10004,1439-4,'Visual SPC'!$B$3)="",0,IF(AND(OR('Visual SPC'!$C$4="",'Data Entry'!$C1439&gt;='Visual SPC'!$C$4),OR('Visual SPC'!$E$4="",'Data Entry'!$C1439&lt;='Visual SPC'!$E$4),OR('Visual SPC'!$G$4="",'Data Entry'!$D1439='Visual SPC'!$G$4),OR('Visual SPC'!$I$4="",'Data Entry'!$E1439='Visual SPC'!$I$4),OR('Visual SPC'!$K$4="",'Data Entry'!$F1439='Visual SPC'!$K$4)),1,0))</f>
        <v/>
      </c>
      <c r="C1439">
        <f>C1438+B1439</f>
        <v/>
      </c>
      <c r="D1439">
        <f>IF(B1439=1,INDEX('Data Entry'!$H$5:$BE$10004,1439-4,'Visual SPC'!$B$3),"")</f>
        <v/>
      </c>
      <c r="E1439">
        <f>IF(B1439=1,D1439,E1438)</f>
        <v/>
      </c>
      <c r="F1439">
        <f>IF(AND(B1439=1,C1439&gt;1,E1438&lt;&gt;""),ABS(D1439-E1438),"")</f>
        <v/>
      </c>
    </row>
    <row r="1440">
      <c r="A1440" t="n">
        <v>1440</v>
      </c>
      <c r="B1440">
        <f>IF(INDEX('Data Entry'!$H$5:$BE$10004,1440-4,'Visual SPC'!$B$3)="",0,IF(AND(OR('Visual SPC'!$C$4="",'Data Entry'!$C1440&gt;='Visual SPC'!$C$4),OR('Visual SPC'!$E$4="",'Data Entry'!$C1440&lt;='Visual SPC'!$E$4),OR('Visual SPC'!$G$4="",'Data Entry'!$D1440='Visual SPC'!$G$4),OR('Visual SPC'!$I$4="",'Data Entry'!$E1440='Visual SPC'!$I$4),OR('Visual SPC'!$K$4="",'Data Entry'!$F1440='Visual SPC'!$K$4)),1,0))</f>
        <v/>
      </c>
      <c r="C1440">
        <f>C1439+B1440</f>
        <v/>
      </c>
      <c r="D1440">
        <f>IF(B1440=1,INDEX('Data Entry'!$H$5:$BE$10004,1440-4,'Visual SPC'!$B$3),"")</f>
        <v/>
      </c>
      <c r="E1440">
        <f>IF(B1440=1,D1440,E1439)</f>
        <v/>
      </c>
      <c r="F1440">
        <f>IF(AND(B1440=1,C1440&gt;1,E1439&lt;&gt;""),ABS(D1440-E1439),"")</f>
        <v/>
      </c>
    </row>
    <row r="1441">
      <c r="A1441" t="n">
        <v>1441</v>
      </c>
      <c r="B1441">
        <f>IF(INDEX('Data Entry'!$H$5:$BE$10004,1441-4,'Visual SPC'!$B$3)="",0,IF(AND(OR('Visual SPC'!$C$4="",'Data Entry'!$C1441&gt;='Visual SPC'!$C$4),OR('Visual SPC'!$E$4="",'Data Entry'!$C1441&lt;='Visual SPC'!$E$4),OR('Visual SPC'!$G$4="",'Data Entry'!$D1441='Visual SPC'!$G$4),OR('Visual SPC'!$I$4="",'Data Entry'!$E1441='Visual SPC'!$I$4),OR('Visual SPC'!$K$4="",'Data Entry'!$F1441='Visual SPC'!$K$4)),1,0))</f>
        <v/>
      </c>
      <c r="C1441">
        <f>C1440+B1441</f>
        <v/>
      </c>
      <c r="D1441">
        <f>IF(B1441=1,INDEX('Data Entry'!$H$5:$BE$10004,1441-4,'Visual SPC'!$B$3),"")</f>
        <v/>
      </c>
      <c r="E1441">
        <f>IF(B1441=1,D1441,E1440)</f>
        <v/>
      </c>
      <c r="F1441">
        <f>IF(AND(B1441=1,C1441&gt;1,E1440&lt;&gt;""),ABS(D1441-E1440),"")</f>
        <v/>
      </c>
    </row>
    <row r="1442">
      <c r="A1442" t="n">
        <v>1442</v>
      </c>
      <c r="B1442">
        <f>IF(INDEX('Data Entry'!$H$5:$BE$10004,1442-4,'Visual SPC'!$B$3)="",0,IF(AND(OR('Visual SPC'!$C$4="",'Data Entry'!$C1442&gt;='Visual SPC'!$C$4),OR('Visual SPC'!$E$4="",'Data Entry'!$C1442&lt;='Visual SPC'!$E$4),OR('Visual SPC'!$G$4="",'Data Entry'!$D1442='Visual SPC'!$G$4),OR('Visual SPC'!$I$4="",'Data Entry'!$E1442='Visual SPC'!$I$4),OR('Visual SPC'!$K$4="",'Data Entry'!$F1442='Visual SPC'!$K$4)),1,0))</f>
        <v/>
      </c>
      <c r="C1442">
        <f>C1441+B1442</f>
        <v/>
      </c>
      <c r="D1442">
        <f>IF(B1442=1,INDEX('Data Entry'!$H$5:$BE$10004,1442-4,'Visual SPC'!$B$3),"")</f>
        <v/>
      </c>
      <c r="E1442">
        <f>IF(B1442=1,D1442,E1441)</f>
        <v/>
      </c>
      <c r="F1442">
        <f>IF(AND(B1442=1,C1442&gt;1,E1441&lt;&gt;""),ABS(D1442-E1441),"")</f>
        <v/>
      </c>
    </row>
    <row r="1443">
      <c r="A1443" t="n">
        <v>1443</v>
      </c>
      <c r="B1443">
        <f>IF(INDEX('Data Entry'!$H$5:$BE$10004,1443-4,'Visual SPC'!$B$3)="",0,IF(AND(OR('Visual SPC'!$C$4="",'Data Entry'!$C1443&gt;='Visual SPC'!$C$4),OR('Visual SPC'!$E$4="",'Data Entry'!$C1443&lt;='Visual SPC'!$E$4),OR('Visual SPC'!$G$4="",'Data Entry'!$D1443='Visual SPC'!$G$4),OR('Visual SPC'!$I$4="",'Data Entry'!$E1443='Visual SPC'!$I$4),OR('Visual SPC'!$K$4="",'Data Entry'!$F1443='Visual SPC'!$K$4)),1,0))</f>
        <v/>
      </c>
      <c r="C1443">
        <f>C1442+B1443</f>
        <v/>
      </c>
      <c r="D1443">
        <f>IF(B1443=1,INDEX('Data Entry'!$H$5:$BE$10004,1443-4,'Visual SPC'!$B$3),"")</f>
        <v/>
      </c>
      <c r="E1443">
        <f>IF(B1443=1,D1443,E1442)</f>
        <v/>
      </c>
      <c r="F1443">
        <f>IF(AND(B1443=1,C1443&gt;1,E1442&lt;&gt;""),ABS(D1443-E1442),"")</f>
        <v/>
      </c>
    </row>
    <row r="1444">
      <c r="A1444" t="n">
        <v>1444</v>
      </c>
      <c r="B1444">
        <f>IF(INDEX('Data Entry'!$H$5:$BE$10004,1444-4,'Visual SPC'!$B$3)="",0,IF(AND(OR('Visual SPC'!$C$4="",'Data Entry'!$C1444&gt;='Visual SPC'!$C$4),OR('Visual SPC'!$E$4="",'Data Entry'!$C1444&lt;='Visual SPC'!$E$4),OR('Visual SPC'!$G$4="",'Data Entry'!$D1444='Visual SPC'!$G$4),OR('Visual SPC'!$I$4="",'Data Entry'!$E1444='Visual SPC'!$I$4),OR('Visual SPC'!$K$4="",'Data Entry'!$F1444='Visual SPC'!$K$4)),1,0))</f>
        <v/>
      </c>
      <c r="C1444">
        <f>C1443+B1444</f>
        <v/>
      </c>
      <c r="D1444">
        <f>IF(B1444=1,INDEX('Data Entry'!$H$5:$BE$10004,1444-4,'Visual SPC'!$B$3),"")</f>
        <v/>
      </c>
      <c r="E1444">
        <f>IF(B1444=1,D1444,E1443)</f>
        <v/>
      </c>
      <c r="F1444">
        <f>IF(AND(B1444=1,C1444&gt;1,E1443&lt;&gt;""),ABS(D1444-E1443),"")</f>
        <v/>
      </c>
    </row>
    <row r="1445">
      <c r="A1445" t="n">
        <v>1445</v>
      </c>
      <c r="B1445">
        <f>IF(INDEX('Data Entry'!$H$5:$BE$10004,1445-4,'Visual SPC'!$B$3)="",0,IF(AND(OR('Visual SPC'!$C$4="",'Data Entry'!$C1445&gt;='Visual SPC'!$C$4),OR('Visual SPC'!$E$4="",'Data Entry'!$C1445&lt;='Visual SPC'!$E$4),OR('Visual SPC'!$G$4="",'Data Entry'!$D1445='Visual SPC'!$G$4),OR('Visual SPC'!$I$4="",'Data Entry'!$E1445='Visual SPC'!$I$4),OR('Visual SPC'!$K$4="",'Data Entry'!$F1445='Visual SPC'!$K$4)),1,0))</f>
        <v/>
      </c>
      <c r="C1445">
        <f>C1444+B1445</f>
        <v/>
      </c>
      <c r="D1445">
        <f>IF(B1445=1,INDEX('Data Entry'!$H$5:$BE$10004,1445-4,'Visual SPC'!$B$3),"")</f>
        <v/>
      </c>
      <c r="E1445">
        <f>IF(B1445=1,D1445,E1444)</f>
        <v/>
      </c>
      <c r="F1445">
        <f>IF(AND(B1445=1,C1445&gt;1,E1444&lt;&gt;""),ABS(D1445-E1444),"")</f>
        <v/>
      </c>
    </row>
    <row r="1446">
      <c r="A1446" t="n">
        <v>1446</v>
      </c>
      <c r="B1446">
        <f>IF(INDEX('Data Entry'!$H$5:$BE$10004,1446-4,'Visual SPC'!$B$3)="",0,IF(AND(OR('Visual SPC'!$C$4="",'Data Entry'!$C1446&gt;='Visual SPC'!$C$4),OR('Visual SPC'!$E$4="",'Data Entry'!$C1446&lt;='Visual SPC'!$E$4),OR('Visual SPC'!$G$4="",'Data Entry'!$D1446='Visual SPC'!$G$4),OR('Visual SPC'!$I$4="",'Data Entry'!$E1446='Visual SPC'!$I$4),OR('Visual SPC'!$K$4="",'Data Entry'!$F1446='Visual SPC'!$K$4)),1,0))</f>
        <v/>
      </c>
      <c r="C1446">
        <f>C1445+B1446</f>
        <v/>
      </c>
      <c r="D1446">
        <f>IF(B1446=1,INDEX('Data Entry'!$H$5:$BE$10004,1446-4,'Visual SPC'!$B$3),"")</f>
        <v/>
      </c>
      <c r="E1446">
        <f>IF(B1446=1,D1446,E1445)</f>
        <v/>
      </c>
      <c r="F1446">
        <f>IF(AND(B1446=1,C1446&gt;1,E1445&lt;&gt;""),ABS(D1446-E1445),"")</f>
        <v/>
      </c>
    </row>
    <row r="1447">
      <c r="A1447" t="n">
        <v>1447</v>
      </c>
      <c r="B1447">
        <f>IF(INDEX('Data Entry'!$H$5:$BE$10004,1447-4,'Visual SPC'!$B$3)="",0,IF(AND(OR('Visual SPC'!$C$4="",'Data Entry'!$C1447&gt;='Visual SPC'!$C$4),OR('Visual SPC'!$E$4="",'Data Entry'!$C1447&lt;='Visual SPC'!$E$4),OR('Visual SPC'!$G$4="",'Data Entry'!$D1447='Visual SPC'!$G$4),OR('Visual SPC'!$I$4="",'Data Entry'!$E1447='Visual SPC'!$I$4),OR('Visual SPC'!$K$4="",'Data Entry'!$F1447='Visual SPC'!$K$4)),1,0))</f>
        <v/>
      </c>
      <c r="C1447">
        <f>C1446+B1447</f>
        <v/>
      </c>
      <c r="D1447">
        <f>IF(B1447=1,INDEX('Data Entry'!$H$5:$BE$10004,1447-4,'Visual SPC'!$B$3),"")</f>
        <v/>
      </c>
      <c r="E1447">
        <f>IF(B1447=1,D1447,E1446)</f>
        <v/>
      </c>
      <c r="F1447">
        <f>IF(AND(B1447=1,C1447&gt;1,E1446&lt;&gt;""),ABS(D1447-E1446),"")</f>
        <v/>
      </c>
    </row>
    <row r="1448">
      <c r="A1448" t="n">
        <v>1448</v>
      </c>
      <c r="B1448">
        <f>IF(INDEX('Data Entry'!$H$5:$BE$10004,1448-4,'Visual SPC'!$B$3)="",0,IF(AND(OR('Visual SPC'!$C$4="",'Data Entry'!$C1448&gt;='Visual SPC'!$C$4),OR('Visual SPC'!$E$4="",'Data Entry'!$C1448&lt;='Visual SPC'!$E$4),OR('Visual SPC'!$G$4="",'Data Entry'!$D1448='Visual SPC'!$G$4),OR('Visual SPC'!$I$4="",'Data Entry'!$E1448='Visual SPC'!$I$4),OR('Visual SPC'!$K$4="",'Data Entry'!$F1448='Visual SPC'!$K$4)),1,0))</f>
        <v/>
      </c>
      <c r="C1448">
        <f>C1447+B1448</f>
        <v/>
      </c>
      <c r="D1448">
        <f>IF(B1448=1,INDEX('Data Entry'!$H$5:$BE$10004,1448-4,'Visual SPC'!$B$3),"")</f>
        <v/>
      </c>
      <c r="E1448">
        <f>IF(B1448=1,D1448,E1447)</f>
        <v/>
      </c>
      <c r="F1448">
        <f>IF(AND(B1448=1,C1448&gt;1,E1447&lt;&gt;""),ABS(D1448-E1447),"")</f>
        <v/>
      </c>
    </row>
    <row r="1449">
      <c r="A1449" t="n">
        <v>1449</v>
      </c>
      <c r="B1449">
        <f>IF(INDEX('Data Entry'!$H$5:$BE$10004,1449-4,'Visual SPC'!$B$3)="",0,IF(AND(OR('Visual SPC'!$C$4="",'Data Entry'!$C1449&gt;='Visual SPC'!$C$4),OR('Visual SPC'!$E$4="",'Data Entry'!$C1449&lt;='Visual SPC'!$E$4),OR('Visual SPC'!$G$4="",'Data Entry'!$D1449='Visual SPC'!$G$4),OR('Visual SPC'!$I$4="",'Data Entry'!$E1449='Visual SPC'!$I$4),OR('Visual SPC'!$K$4="",'Data Entry'!$F1449='Visual SPC'!$K$4)),1,0))</f>
        <v/>
      </c>
      <c r="C1449">
        <f>C1448+B1449</f>
        <v/>
      </c>
      <c r="D1449">
        <f>IF(B1449=1,INDEX('Data Entry'!$H$5:$BE$10004,1449-4,'Visual SPC'!$B$3),"")</f>
        <v/>
      </c>
      <c r="E1449">
        <f>IF(B1449=1,D1449,E1448)</f>
        <v/>
      </c>
      <c r="F1449">
        <f>IF(AND(B1449=1,C1449&gt;1,E1448&lt;&gt;""),ABS(D1449-E1448),"")</f>
        <v/>
      </c>
    </row>
    <row r="1450">
      <c r="A1450" t="n">
        <v>1450</v>
      </c>
      <c r="B1450">
        <f>IF(INDEX('Data Entry'!$H$5:$BE$10004,1450-4,'Visual SPC'!$B$3)="",0,IF(AND(OR('Visual SPC'!$C$4="",'Data Entry'!$C1450&gt;='Visual SPC'!$C$4),OR('Visual SPC'!$E$4="",'Data Entry'!$C1450&lt;='Visual SPC'!$E$4),OR('Visual SPC'!$G$4="",'Data Entry'!$D1450='Visual SPC'!$G$4),OR('Visual SPC'!$I$4="",'Data Entry'!$E1450='Visual SPC'!$I$4),OR('Visual SPC'!$K$4="",'Data Entry'!$F1450='Visual SPC'!$K$4)),1,0))</f>
        <v/>
      </c>
      <c r="C1450">
        <f>C1449+B1450</f>
        <v/>
      </c>
      <c r="D1450">
        <f>IF(B1450=1,INDEX('Data Entry'!$H$5:$BE$10004,1450-4,'Visual SPC'!$B$3),"")</f>
        <v/>
      </c>
      <c r="E1450">
        <f>IF(B1450=1,D1450,E1449)</f>
        <v/>
      </c>
      <c r="F1450">
        <f>IF(AND(B1450=1,C1450&gt;1,E1449&lt;&gt;""),ABS(D1450-E1449),"")</f>
        <v/>
      </c>
    </row>
    <row r="1451">
      <c r="A1451" t="n">
        <v>1451</v>
      </c>
      <c r="B1451">
        <f>IF(INDEX('Data Entry'!$H$5:$BE$10004,1451-4,'Visual SPC'!$B$3)="",0,IF(AND(OR('Visual SPC'!$C$4="",'Data Entry'!$C1451&gt;='Visual SPC'!$C$4),OR('Visual SPC'!$E$4="",'Data Entry'!$C1451&lt;='Visual SPC'!$E$4),OR('Visual SPC'!$G$4="",'Data Entry'!$D1451='Visual SPC'!$G$4),OR('Visual SPC'!$I$4="",'Data Entry'!$E1451='Visual SPC'!$I$4),OR('Visual SPC'!$K$4="",'Data Entry'!$F1451='Visual SPC'!$K$4)),1,0))</f>
        <v/>
      </c>
      <c r="C1451">
        <f>C1450+B1451</f>
        <v/>
      </c>
      <c r="D1451">
        <f>IF(B1451=1,INDEX('Data Entry'!$H$5:$BE$10004,1451-4,'Visual SPC'!$B$3),"")</f>
        <v/>
      </c>
      <c r="E1451">
        <f>IF(B1451=1,D1451,E1450)</f>
        <v/>
      </c>
      <c r="F1451">
        <f>IF(AND(B1451=1,C1451&gt;1,E1450&lt;&gt;""),ABS(D1451-E1450),"")</f>
        <v/>
      </c>
    </row>
    <row r="1452">
      <c r="A1452" t="n">
        <v>1452</v>
      </c>
      <c r="B1452">
        <f>IF(INDEX('Data Entry'!$H$5:$BE$10004,1452-4,'Visual SPC'!$B$3)="",0,IF(AND(OR('Visual SPC'!$C$4="",'Data Entry'!$C1452&gt;='Visual SPC'!$C$4),OR('Visual SPC'!$E$4="",'Data Entry'!$C1452&lt;='Visual SPC'!$E$4),OR('Visual SPC'!$G$4="",'Data Entry'!$D1452='Visual SPC'!$G$4),OR('Visual SPC'!$I$4="",'Data Entry'!$E1452='Visual SPC'!$I$4),OR('Visual SPC'!$K$4="",'Data Entry'!$F1452='Visual SPC'!$K$4)),1,0))</f>
        <v/>
      </c>
      <c r="C1452">
        <f>C1451+B1452</f>
        <v/>
      </c>
      <c r="D1452">
        <f>IF(B1452=1,INDEX('Data Entry'!$H$5:$BE$10004,1452-4,'Visual SPC'!$B$3),"")</f>
        <v/>
      </c>
      <c r="E1452">
        <f>IF(B1452=1,D1452,E1451)</f>
        <v/>
      </c>
      <c r="F1452">
        <f>IF(AND(B1452=1,C1452&gt;1,E1451&lt;&gt;""),ABS(D1452-E1451),"")</f>
        <v/>
      </c>
    </row>
    <row r="1453">
      <c r="A1453" t="n">
        <v>1453</v>
      </c>
      <c r="B1453">
        <f>IF(INDEX('Data Entry'!$H$5:$BE$10004,1453-4,'Visual SPC'!$B$3)="",0,IF(AND(OR('Visual SPC'!$C$4="",'Data Entry'!$C1453&gt;='Visual SPC'!$C$4),OR('Visual SPC'!$E$4="",'Data Entry'!$C1453&lt;='Visual SPC'!$E$4),OR('Visual SPC'!$G$4="",'Data Entry'!$D1453='Visual SPC'!$G$4),OR('Visual SPC'!$I$4="",'Data Entry'!$E1453='Visual SPC'!$I$4),OR('Visual SPC'!$K$4="",'Data Entry'!$F1453='Visual SPC'!$K$4)),1,0))</f>
        <v/>
      </c>
      <c r="C1453">
        <f>C1452+B1453</f>
        <v/>
      </c>
      <c r="D1453">
        <f>IF(B1453=1,INDEX('Data Entry'!$H$5:$BE$10004,1453-4,'Visual SPC'!$B$3),"")</f>
        <v/>
      </c>
      <c r="E1453">
        <f>IF(B1453=1,D1453,E1452)</f>
        <v/>
      </c>
      <c r="F1453">
        <f>IF(AND(B1453=1,C1453&gt;1,E1452&lt;&gt;""),ABS(D1453-E1452),"")</f>
        <v/>
      </c>
    </row>
    <row r="1454">
      <c r="A1454" t="n">
        <v>1454</v>
      </c>
      <c r="B1454">
        <f>IF(INDEX('Data Entry'!$H$5:$BE$10004,1454-4,'Visual SPC'!$B$3)="",0,IF(AND(OR('Visual SPC'!$C$4="",'Data Entry'!$C1454&gt;='Visual SPC'!$C$4),OR('Visual SPC'!$E$4="",'Data Entry'!$C1454&lt;='Visual SPC'!$E$4),OR('Visual SPC'!$G$4="",'Data Entry'!$D1454='Visual SPC'!$G$4),OR('Visual SPC'!$I$4="",'Data Entry'!$E1454='Visual SPC'!$I$4),OR('Visual SPC'!$K$4="",'Data Entry'!$F1454='Visual SPC'!$K$4)),1,0))</f>
        <v/>
      </c>
      <c r="C1454">
        <f>C1453+B1454</f>
        <v/>
      </c>
      <c r="D1454">
        <f>IF(B1454=1,INDEX('Data Entry'!$H$5:$BE$10004,1454-4,'Visual SPC'!$B$3),"")</f>
        <v/>
      </c>
      <c r="E1454">
        <f>IF(B1454=1,D1454,E1453)</f>
        <v/>
      </c>
      <c r="F1454">
        <f>IF(AND(B1454=1,C1454&gt;1,E1453&lt;&gt;""),ABS(D1454-E1453),"")</f>
        <v/>
      </c>
    </row>
    <row r="1455">
      <c r="A1455" t="n">
        <v>1455</v>
      </c>
      <c r="B1455">
        <f>IF(INDEX('Data Entry'!$H$5:$BE$10004,1455-4,'Visual SPC'!$B$3)="",0,IF(AND(OR('Visual SPC'!$C$4="",'Data Entry'!$C1455&gt;='Visual SPC'!$C$4),OR('Visual SPC'!$E$4="",'Data Entry'!$C1455&lt;='Visual SPC'!$E$4),OR('Visual SPC'!$G$4="",'Data Entry'!$D1455='Visual SPC'!$G$4),OR('Visual SPC'!$I$4="",'Data Entry'!$E1455='Visual SPC'!$I$4),OR('Visual SPC'!$K$4="",'Data Entry'!$F1455='Visual SPC'!$K$4)),1,0))</f>
        <v/>
      </c>
      <c r="C1455">
        <f>C1454+B1455</f>
        <v/>
      </c>
      <c r="D1455">
        <f>IF(B1455=1,INDEX('Data Entry'!$H$5:$BE$10004,1455-4,'Visual SPC'!$B$3),"")</f>
        <v/>
      </c>
      <c r="E1455">
        <f>IF(B1455=1,D1455,E1454)</f>
        <v/>
      </c>
      <c r="F1455">
        <f>IF(AND(B1455=1,C1455&gt;1,E1454&lt;&gt;""),ABS(D1455-E1454),"")</f>
        <v/>
      </c>
    </row>
    <row r="1456">
      <c r="A1456" t="n">
        <v>1456</v>
      </c>
      <c r="B1456">
        <f>IF(INDEX('Data Entry'!$H$5:$BE$10004,1456-4,'Visual SPC'!$B$3)="",0,IF(AND(OR('Visual SPC'!$C$4="",'Data Entry'!$C1456&gt;='Visual SPC'!$C$4),OR('Visual SPC'!$E$4="",'Data Entry'!$C1456&lt;='Visual SPC'!$E$4),OR('Visual SPC'!$G$4="",'Data Entry'!$D1456='Visual SPC'!$G$4),OR('Visual SPC'!$I$4="",'Data Entry'!$E1456='Visual SPC'!$I$4),OR('Visual SPC'!$K$4="",'Data Entry'!$F1456='Visual SPC'!$K$4)),1,0))</f>
        <v/>
      </c>
      <c r="C1456">
        <f>C1455+B1456</f>
        <v/>
      </c>
      <c r="D1456">
        <f>IF(B1456=1,INDEX('Data Entry'!$H$5:$BE$10004,1456-4,'Visual SPC'!$B$3),"")</f>
        <v/>
      </c>
      <c r="E1456">
        <f>IF(B1456=1,D1456,E1455)</f>
        <v/>
      </c>
      <c r="F1456">
        <f>IF(AND(B1456=1,C1456&gt;1,E1455&lt;&gt;""),ABS(D1456-E1455),"")</f>
        <v/>
      </c>
    </row>
    <row r="1457">
      <c r="A1457" t="n">
        <v>1457</v>
      </c>
      <c r="B1457">
        <f>IF(INDEX('Data Entry'!$H$5:$BE$10004,1457-4,'Visual SPC'!$B$3)="",0,IF(AND(OR('Visual SPC'!$C$4="",'Data Entry'!$C1457&gt;='Visual SPC'!$C$4),OR('Visual SPC'!$E$4="",'Data Entry'!$C1457&lt;='Visual SPC'!$E$4),OR('Visual SPC'!$G$4="",'Data Entry'!$D1457='Visual SPC'!$G$4),OR('Visual SPC'!$I$4="",'Data Entry'!$E1457='Visual SPC'!$I$4),OR('Visual SPC'!$K$4="",'Data Entry'!$F1457='Visual SPC'!$K$4)),1,0))</f>
        <v/>
      </c>
      <c r="C1457">
        <f>C1456+B1457</f>
        <v/>
      </c>
      <c r="D1457">
        <f>IF(B1457=1,INDEX('Data Entry'!$H$5:$BE$10004,1457-4,'Visual SPC'!$B$3),"")</f>
        <v/>
      </c>
      <c r="E1457">
        <f>IF(B1457=1,D1457,E1456)</f>
        <v/>
      </c>
      <c r="F1457">
        <f>IF(AND(B1457=1,C1457&gt;1,E1456&lt;&gt;""),ABS(D1457-E1456),"")</f>
        <v/>
      </c>
    </row>
    <row r="1458">
      <c r="A1458" t="n">
        <v>1458</v>
      </c>
      <c r="B1458">
        <f>IF(INDEX('Data Entry'!$H$5:$BE$10004,1458-4,'Visual SPC'!$B$3)="",0,IF(AND(OR('Visual SPC'!$C$4="",'Data Entry'!$C1458&gt;='Visual SPC'!$C$4),OR('Visual SPC'!$E$4="",'Data Entry'!$C1458&lt;='Visual SPC'!$E$4),OR('Visual SPC'!$G$4="",'Data Entry'!$D1458='Visual SPC'!$G$4),OR('Visual SPC'!$I$4="",'Data Entry'!$E1458='Visual SPC'!$I$4),OR('Visual SPC'!$K$4="",'Data Entry'!$F1458='Visual SPC'!$K$4)),1,0))</f>
        <v/>
      </c>
      <c r="C1458">
        <f>C1457+B1458</f>
        <v/>
      </c>
      <c r="D1458">
        <f>IF(B1458=1,INDEX('Data Entry'!$H$5:$BE$10004,1458-4,'Visual SPC'!$B$3),"")</f>
        <v/>
      </c>
      <c r="E1458">
        <f>IF(B1458=1,D1458,E1457)</f>
        <v/>
      </c>
      <c r="F1458">
        <f>IF(AND(B1458=1,C1458&gt;1,E1457&lt;&gt;""),ABS(D1458-E1457),"")</f>
        <v/>
      </c>
    </row>
    <row r="1459">
      <c r="A1459" t="n">
        <v>1459</v>
      </c>
      <c r="B1459">
        <f>IF(INDEX('Data Entry'!$H$5:$BE$10004,1459-4,'Visual SPC'!$B$3)="",0,IF(AND(OR('Visual SPC'!$C$4="",'Data Entry'!$C1459&gt;='Visual SPC'!$C$4),OR('Visual SPC'!$E$4="",'Data Entry'!$C1459&lt;='Visual SPC'!$E$4),OR('Visual SPC'!$G$4="",'Data Entry'!$D1459='Visual SPC'!$G$4),OR('Visual SPC'!$I$4="",'Data Entry'!$E1459='Visual SPC'!$I$4),OR('Visual SPC'!$K$4="",'Data Entry'!$F1459='Visual SPC'!$K$4)),1,0))</f>
        <v/>
      </c>
      <c r="C1459">
        <f>C1458+B1459</f>
        <v/>
      </c>
      <c r="D1459">
        <f>IF(B1459=1,INDEX('Data Entry'!$H$5:$BE$10004,1459-4,'Visual SPC'!$B$3),"")</f>
        <v/>
      </c>
      <c r="E1459">
        <f>IF(B1459=1,D1459,E1458)</f>
        <v/>
      </c>
      <c r="F1459">
        <f>IF(AND(B1459=1,C1459&gt;1,E1458&lt;&gt;""),ABS(D1459-E1458),"")</f>
        <v/>
      </c>
    </row>
    <row r="1460">
      <c r="A1460" t="n">
        <v>1460</v>
      </c>
      <c r="B1460">
        <f>IF(INDEX('Data Entry'!$H$5:$BE$10004,1460-4,'Visual SPC'!$B$3)="",0,IF(AND(OR('Visual SPC'!$C$4="",'Data Entry'!$C1460&gt;='Visual SPC'!$C$4),OR('Visual SPC'!$E$4="",'Data Entry'!$C1460&lt;='Visual SPC'!$E$4),OR('Visual SPC'!$G$4="",'Data Entry'!$D1460='Visual SPC'!$G$4),OR('Visual SPC'!$I$4="",'Data Entry'!$E1460='Visual SPC'!$I$4),OR('Visual SPC'!$K$4="",'Data Entry'!$F1460='Visual SPC'!$K$4)),1,0))</f>
        <v/>
      </c>
      <c r="C1460">
        <f>C1459+B1460</f>
        <v/>
      </c>
      <c r="D1460">
        <f>IF(B1460=1,INDEX('Data Entry'!$H$5:$BE$10004,1460-4,'Visual SPC'!$B$3),"")</f>
        <v/>
      </c>
      <c r="E1460">
        <f>IF(B1460=1,D1460,E1459)</f>
        <v/>
      </c>
      <c r="F1460">
        <f>IF(AND(B1460=1,C1460&gt;1,E1459&lt;&gt;""),ABS(D1460-E1459),"")</f>
        <v/>
      </c>
    </row>
    <row r="1461">
      <c r="A1461" t="n">
        <v>1461</v>
      </c>
      <c r="B1461">
        <f>IF(INDEX('Data Entry'!$H$5:$BE$10004,1461-4,'Visual SPC'!$B$3)="",0,IF(AND(OR('Visual SPC'!$C$4="",'Data Entry'!$C1461&gt;='Visual SPC'!$C$4),OR('Visual SPC'!$E$4="",'Data Entry'!$C1461&lt;='Visual SPC'!$E$4),OR('Visual SPC'!$G$4="",'Data Entry'!$D1461='Visual SPC'!$G$4),OR('Visual SPC'!$I$4="",'Data Entry'!$E1461='Visual SPC'!$I$4),OR('Visual SPC'!$K$4="",'Data Entry'!$F1461='Visual SPC'!$K$4)),1,0))</f>
        <v/>
      </c>
      <c r="C1461">
        <f>C1460+B1461</f>
        <v/>
      </c>
      <c r="D1461">
        <f>IF(B1461=1,INDEX('Data Entry'!$H$5:$BE$10004,1461-4,'Visual SPC'!$B$3),"")</f>
        <v/>
      </c>
      <c r="E1461">
        <f>IF(B1461=1,D1461,E1460)</f>
        <v/>
      </c>
      <c r="F1461">
        <f>IF(AND(B1461=1,C1461&gt;1,E1460&lt;&gt;""),ABS(D1461-E1460),"")</f>
        <v/>
      </c>
    </row>
    <row r="1462">
      <c r="A1462" t="n">
        <v>1462</v>
      </c>
      <c r="B1462">
        <f>IF(INDEX('Data Entry'!$H$5:$BE$10004,1462-4,'Visual SPC'!$B$3)="",0,IF(AND(OR('Visual SPC'!$C$4="",'Data Entry'!$C1462&gt;='Visual SPC'!$C$4),OR('Visual SPC'!$E$4="",'Data Entry'!$C1462&lt;='Visual SPC'!$E$4),OR('Visual SPC'!$G$4="",'Data Entry'!$D1462='Visual SPC'!$G$4),OR('Visual SPC'!$I$4="",'Data Entry'!$E1462='Visual SPC'!$I$4),OR('Visual SPC'!$K$4="",'Data Entry'!$F1462='Visual SPC'!$K$4)),1,0))</f>
        <v/>
      </c>
      <c r="C1462">
        <f>C1461+B1462</f>
        <v/>
      </c>
      <c r="D1462">
        <f>IF(B1462=1,INDEX('Data Entry'!$H$5:$BE$10004,1462-4,'Visual SPC'!$B$3),"")</f>
        <v/>
      </c>
      <c r="E1462">
        <f>IF(B1462=1,D1462,E1461)</f>
        <v/>
      </c>
      <c r="F1462">
        <f>IF(AND(B1462=1,C1462&gt;1,E1461&lt;&gt;""),ABS(D1462-E1461),"")</f>
        <v/>
      </c>
    </row>
    <row r="1463">
      <c r="A1463" t="n">
        <v>1463</v>
      </c>
      <c r="B1463">
        <f>IF(INDEX('Data Entry'!$H$5:$BE$10004,1463-4,'Visual SPC'!$B$3)="",0,IF(AND(OR('Visual SPC'!$C$4="",'Data Entry'!$C1463&gt;='Visual SPC'!$C$4),OR('Visual SPC'!$E$4="",'Data Entry'!$C1463&lt;='Visual SPC'!$E$4),OR('Visual SPC'!$G$4="",'Data Entry'!$D1463='Visual SPC'!$G$4),OR('Visual SPC'!$I$4="",'Data Entry'!$E1463='Visual SPC'!$I$4),OR('Visual SPC'!$K$4="",'Data Entry'!$F1463='Visual SPC'!$K$4)),1,0))</f>
        <v/>
      </c>
      <c r="C1463">
        <f>C1462+B1463</f>
        <v/>
      </c>
      <c r="D1463">
        <f>IF(B1463=1,INDEX('Data Entry'!$H$5:$BE$10004,1463-4,'Visual SPC'!$B$3),"")</f>
        <v/>
      </c>
      <c r="E1463">
        <f>IF(B1463=1,D1463,E1462)</f>
        <v/>
      </c>
      <c r="F1463">
        <f>IF(AND(B1463=1,C1463&gt;1,E1462&lt;&gt;""),ABS(D1463-E1462),"")</f>
        <v/>
      </c>
    </row>
    <row r="1464">
      <c r="A1464" t="n">
        <v>1464</v>
      </c>
      <c r="B1464">
        <f>IF(INDEX('Data Entry'!$H$5:$BE$10004,1464-4,'Visual SPC'!$B$3)="",0,IF(AND(OR('Visual SPC'!$C$4="",'Data Entry'!$C1464&gt;='Visual SPC'!$C$4),OR('Visual SPC'!$E$4="",'Data Entry'!$C1464&lt;='Visual SPC'!$E$4),OR('Visual SPC'!$G$4="",'Data Entry'!$D1464='Visual SPC'!$G$4),OR('Visual SPC'!$I$4="",'Data Entry'!$E1464='Visual SPC'!$I$4),OR('Visual SPC'!$K$4="",'Data Entry'!$F1464='Visual SPC'!$K$4)),1,0))</f>
        <v/>
      </c>
      <c r="C1464">
        <f>C1463+B1464</f>
        <v/>
      </c>
      <c r="D1464">
        <f>IF(B1464=1,INDEX('Data Entry'!$H$5:$BE$10004,1464-4,'Visual SPC'!$B$3),"")</f>
        <v/>
      </c>
      <c r="E1464">
        <f>IF(B1464=1,D1464,E1463)</f>
        <v/>
      </c>
      <c r="F1464">
        <f>IF(AND(B1464=1,C1464&gt;1,E1463&lt;&gt;""),ABS(D1464-E1463),"")</f>
        <v/>
      </c>
    </row>
    <row r="1465">
      <c r="A1465" t="n">
        <v>1465</v>
      </c>
      <c r="B1465">
        <f>IF(INDEX('Data Entry'!$H$5:$BE$10004,1465-4,'Visual SPC'!$B$3)="",0,IF(AND(OR('Visual SPC'!$C$4="",'Data Entry'!$C1465&gt;='Visual SPC'!$C$4),OR('Visual SPC'!$E$4="",'Data Entry'!$C1465&lt;='Visual SPC'!$E$4),OR('Visual SPC'!$G$4="",'Data Entry'!$D1465='Visual SPC'!$G$4),OR('Visual SPC'!$I$4="",'Data Entry'!$E1465='Visual SPC'!$I$4),OR('Visual SPC'!$K$4="",'Data Entry'!$F1465='Visual SPC'!$K$4)),1,0))</f>
        <v/>
      </c>
      <c r="C1465">
        <f>C1464+B1465</f>
        <v/>
      </c>
      <c r="D1465">
        <f>IF(B1465=1,INDEX('Data Entry'!$H$5:$BE$10004,1465-4,'Visual SPC'!$B$3),"")</f>
        <v/>
      </c>
      <c r="E1465">
        <f>IF(B1465=1,D1465,E1464)</f>
        <v/>
      </c>
      <c r="F1465">
        <f>IF(AND(B1465=1,C1465&gt;1,E1464&lt;&gt;""),ABS(D1465-E1464),"")</f>
        <v/>
      </c>
    </row>
    <row r="1466">
      <c r="A1466" t="n">
        <v>1466</v>
      </c>
      <c r="B1466">
        <f>IF(INDEX('Data Entry'!$H$5:$BE$10004,1466-4,'Visual SPC'!$B$3)="",0,IF(AND(OR('Visual SPC'!$C$4="",'Data Entry'!$C1466&gt;='Visual SPC'!$C$4),OR('Visual SPC'!$E$4="",'Data Entry'!$C1466&lt;='Visual SPC'!$E$4),OR('Visual SPC'!$G$4="",'Data Entry'!$D1466='Visual SPC'!$G$4),OR('Visual SPC'!$I$4="",'Data Entry'!$E1466='Visual SPC'!$I$4),OR('Visual SPC'!$K$4="",'Data Entry'!$F1466='Visual SPC'!$K$4)),1,0))</f>
        <v/>
      </c>
      <c r="C1466">
        <f>C1465+B1466</f>
        <v/>
      </c>
      <c r="D1466">
        <f>IF(B1466=1,INDEX('Data Entry'!$H$5:$BE$10004,1466-4,'Visual SPC'!$B$3),"")</f>
        <v/>
      </c>
      <c r="E1466">
        <f>IF(B1466=1,D1466,E1465)</f>
        <v/>
      </c>
      <c r="F1466">
        <f>IF(AND(B1466=1,C1466&gt;1,E1465&lt;&gt;""),ABS(D1466-E1465),"")</f>
        <v/>
      </c>
    </row>
    <row r="1467">
      <c r="A1467" t="n">
        <v>1467</v>
      </c>
      <c r="B1467">
        <f>IF(INDEX('Data Entry'!$H$5:$BE$10004,1467-4,'Visual SPC'!$B$3)="",0,IF(AND(OR('Visual SPC'!$C$4="",'Data Entry'!$C1467&gt;='Visual SPC'!$C$4),OR('Visual SPC'!$E$4="",'Data Entry'!$C1467&lt;='Visual SPC'!$E$4),OR('Visual SPC'!$G$4="",'Data Entry'!$D1467='Visual SPC'!$G$4),OR('Visual SPC'!$I$4="",'Data Entry'!$E1467='Visual SPC'!$I$4),OR('Visual SPC'!$K$4="",'Data Entry'!$F1467='Visual SPC'!$K$4)),1,0))</f>
        <v/>
      </c>
      <c r="C1467">
        <f>C1466+B1467</f>
        <v/>
      </c>
      <c r="D1467">
        <f>IF(B1467=1,INDEX('Data Entry'!$H$5:$BE$10004,1467-4,'Visual SPC'!$B$3),"")</f>
        <v/>
      </c>
      <c r="E1467">
        <f>IF(B1467=1,D1467,E1466)</f>
        <v/>
      </c>
      <c r="F1467">
        <f>IF(AND(B1467=1,C1467&gt;1,E1466&lt;&gt;""),ABS(D1467-E1466),"")</f>
        <v/>
      </c>
    </row>
    <row r="1468">
      <c r="A1468" t="n">
        <v>1468</v>
      </c>
      <c r="B1468">
        <f>IF(INDEX('Data Entry'!$H$5:$BE$10004,1468-4,'Visual SPC'!$B$3)="",0,IF(AND(OR('Visual SPC'!$C$4="",'Data Entry'!$C1468&gt;='Visual SPC'!$C$4),OR('Visual SPC'!$E$4="",'Data Entry'!$C1468&lt;='Visual SPC'!$E$4),OR('Visual SPC'!$G$4="",'Data Entry'!$D1468='Visual SPC'!$G$4),OR('Visual SPC'!$I$4="",'Data Entry'!$E1468='Visual SPC'!$I$4),OR('Visual SPC'!$K$4="",'Data Entry'!$F1468='Visual SPC'!$K$4)),1,0))</f>
        <v/>
      </c>
      <c r="C1468">
        <f>C1467+B1468</f>
        <v/>
      </c>
      <c r="D1468">
        <f>IF(B1468=1,INDEX('Data Entry'!$H$5:$BE$10004,1468-4,'Visual SPC'!$B$3),"")</f>
        <v/>
      </c>
      <c r="E1468">
        <f>IF(B1468=1,D1468,E1467)</f>
        <v/>
      </c>
      <c r="F1468">
        <f>IF(AND(B1468=1,C1468&gt;1,E1467&lt;&gt;""),ABS(D1468-E1467),"")</f>
        <v/>
      </c>
    </row>
    <row r="1469">
      <c r="A1469" t="n">
        <v>1469</v>
      </c>
      <c r="B1469">
        <f>IF(INDEX('Data Entry'!$H$5:$BE$10004,1469-4,'Visual SPC'!$B$3)="",0,IF(AND(OR('Visual SPC'!$C$4="",'Data Entry'!$C1469&gt;='Visual SPC'!$C$4),OR('Visual SPC'!$E$4="",'Data Entry'!$C1469&lt;='Visual SPC'!$E$4),OR('Visual SPC'!$G$4="",'Data Entry'!$D1469='Visual SPC'!$G$4),OR('Visual SPC'!$I$4="",'Data Entry'!$E1469='Visual SPC'!$I$4),OR('Visual SPC'!$K$4="",'Data Entry'!$F1469='Visual SPC'!$K$4)),1,0))</f>
        <v/>
      </c>
      <c r="C1469">
        <f>C1468+B1469</f>
        <v/>
      </c>
      <c r="D1469">
        <f>IF(B1469=1,INDEX('Data Entry'!$H$5:$BE$10004,1469-4,'Visual SPC'!$B$3),"")</f>
        <v/>
      </c>
      <c r="E1469">
        <f>IF(B1469=1,D1469,E1468)</f>
        <v/>
      </c>
      <c r="F1469">
        <f>IF(AND(B1469=1,C1469&gt;1,E1468&lt;&gt;""),ABS(D1469-E1468),"")</f>
        <v/>
      </c>
    </row>
    <row r="1470">
      <c r="A1470" t="n">
        <v>1470</v>
      </c>
      <c r="B1470">
        <f>IF(INDEX('Data Entry'!$H$5:$BE$10004,1470-4,'Visual SPC'!$B$3)="",0,IF(AND(OR('Visual SPC'!$C$4="",'Data Entry'!$C1470&gt;='Visual SPC'!$C$4),OR('Visual SPC'!$E$4="",'Data Entry'!$C1470&lt;='Visual SPC'!$E$4),OR('Visual SPC'!$G$4="",'Data Entry'!$D1470='Visual SPC'!$G$4),OR('Visual SPC'!$I$4="",'Data Entry'!$E1470='Visual SPC'!$I$4),OR('Visual SPC'!$K$4="",'Data Entry'!$F1470='Visual SPC'!$K$4)),1,0))</f>
        <v/>
      </c>
      <c r="C1470">
        <f>C1469+B1470</f>
        <v/>
      </c>
      <c r="D1470">
        <f>IF(B1470=1,INDEX('Data Entry'!$H$5:$BE$10004,1470-4,'Visual SPC'!$B$3),"")</f>
        <v/>
      </c>
      <c r="E1470">
        <f>IF(B1470=1,D1470,E1469)</f>
        <v/>
      </c>
      <c r="F1470">
        <f>IF(AND(B1470=1,C1470&gt;1,E1469&lt;&gt;""),ABS(D1470-E1469),"")</f>
        <v/>
      </c>
    </row>
    <row r="1471">
      <c r="A1471" t="n">
        <v>1471</v>
      </c>
      <c r="B1471">
        <f>IF(INDEX('Data Entry'!$H$5:$BE$10004,1471-4,'Visual SPC'!$B$3)="",0,IF(AND(OR('Visual SPC'!$C$4="",'Data Entry'!$C1471&gt;='Visual SPC'!$C$4),OR('Visual SPC'!$E$4="",'Data Entry'!$C1471&lt;='Visual SPC'!$E$4),OR('Visual SPC'!$G$4="",'Data Entry'!$D1471='Visual SPC'!$G$4),OR('Visual SPC'!$I$4="",'Data Entry'!$E1471='Visual SPC'!$I$4),OR('Visual SPC'!$K$4="",'Data Entry'!$F1471='Visual SPC'!$K$4)),1,0))</f>
        <v/>
      </c>
      <c r="C1471">
        <f>C1470+B1471</f>
        <v/>
      </c>
      <c r="D1471">
        <f>IF(B1471=1,INDEX('Data Entry'!$H$5:$BE$10004,1471-4,'Visual SPC'!$B$3),"")</f>
        <v/>
      </c>
      <c r="E1471">
        <f>IF(B1471=1,D1471,E1470)</f>
        <v/>
      </c>
      <c r="F1471">
        <f>IF(AND(B1471=1,C1471&gt;1,E1470&lt;&gt;""),ABS(D1471-E1470),"")</f>
        <v/>
      </c>
    </row>
    <row r="1472">
      <c r="A1472" t="n">
        <v>1472</v>
      </c>
      <c r="B1472">
        <f>IF(INDEX('Data Entry'!$H$5:$BE$10004,1472-4,'Visual SPC'!$B$3)="",0,IF(AND(OR('Visual SPC'!$C$4="",'Data Entry'!$C1472&gt;='Visual SPC'!$C$4),OR('Visual SPC'!$E$4="",'Data Entry'!$C1472&lt;='Visual SPC'!$E$4),OR('Visual SPC'!$G$4="",'Data Entry'!$D1472='Visual SPC'!$G$4),OR('Visual SPC'!$I$4="",'Data Entry'!$E1472='Visual SPC'!$I$4),OR('Visual SPC'!$K$4="",'Data Entry'!$F1472='Visual SPC'!$K$4)),1,0))</f>
        <v/>
      </c>
      <c r="C1472">
        <f>C1471+B1472</f>
        <v/>
      </c>
      <c r="D1472">
        <f>IF(B1472=1,INDEX('Data Entry'!$H$5:$BE$10004,1472-4,'Visual SPC'!$B$3),"")</f>
        <v/>
      </c>
      <c r="E1472">
        <f>IF(B1472=1,D1472,E1471)</f>
        <v/>
      </c>
      <c r="F1472">
        <f>IF(AND(B1472=1,C1472&gt;1,E1471&lt;&gt;""),ABS(D1472-E1471),"")</f>
        <v/>
      </c>
    </row>
    <row r="1473">
      <c r="A1473" t="n">
        <v>1473</v>
      </c>
      <c r="B1473">
        <f>IF(INDEX('Data Entry'!$H$5:$BE$10004,1473-4,'Visual SPC'!$B$3)="",0,IF(AND(OR('Visual SPC'!$C$4="",'Data Entry'!$C1473&gt;='Visual SPC'!$C$4),OR('Visual SPC'!$E$4="",'Data Entry'!$C1473&lt;='Visual SPC'!$E$4),OR('Visual SPC'!$G$4="",'Data Entry'!$D1473='Visual SPC'!$G$4),OR('Visual SPC'!$I$4="",'Data Entry'!$E1473='Visual SPC'!$I$4),OR('Visual SPC'!$K$4="",'Data Entry'!$F1473='Visual SPC'!$K$4)),1,0))</f>
        <v/>
      </c>
      <c r="C1473">
        <f>C1472+B1473</f>
        <v/>
      </c>
      <c r="D1473">
        <f>IF(B1473=1,INDEX('Data Entry'!$H$5:$BE$10004,1473-4,'Visual SPC'!$B$3),"")</f>
        <v/>
      </c>
      <c r="E1473">
        <f>IF(B1473=1,D1473,E1472)</f>
        <v/>
      </c>
      <c r="F1473">
        <f>IF(AND(B1473=1,C1473&gt;1,E1472&lt;&gt;""),ABS(D1473-E1472),"")</f>
        <v/>
      </c>
    </row>
    <row r="1474">
      <c r="A1474" t="n">
        <v>1474</v>
      </c>
      <c r="B1474">
        <f>IF(INDEX('Data Entry'!$H$5:$BE$10004,1474-4,'Visual SPC'!$B$3)="",0,IF(AND(OR('Visual SPC'!$C$4="",'Data Entry'!$C1474&gt;='Visual SPC'!$C$4),OR('Visual SPC'!$E$4="",'Data Entry'!$C1474&lt;='Visual SPC'!$E$4),OR('Visual SPC'!$G$4="",'Data Entry'!$D1474='Visual SPC'!$G$4),OR('Visual SPC'!$I$4="",'Data Entry'!$E1474='Visual SPC'!$I$4),OR('Visual SPC'!$K$4="",'Data Entry'!$F1474='Visual SPC'!$K$4)),1,0))</f>
        <v/>
      </c>
      <c r="C1474">
        <f>C1473+B1474</f>
        <v/>
      </c>
      <c r="D1474">
        <f>IF(B1474=1,INDEX('Data Entry'!$H$5:$BE$10004,1474-4,'Visual SPC'!$B$3),"")</f>
        <v/>
      </c>
      <c r="E1474">
        <f>IF(B1474=1,D1474,E1473)</f>
        <v/>
      </c>
      <c r="F1474">
        <f>IF(AND(B1474=1,C1474&gt;1,E1473&lt;&gt;""),ABS(D1474-E1473),"")</f>
        <v/>
      </c>
    </row>
    <row r="1475">
      <c r="A1475" t="n">
        <v>1475</v>
      </c>
      <c r="B1475">
        <f>IF(INDEX('Data Entry'!$H$5:$BE$10004,1475-4,'Visual SPC'!$B$3)="",0,IF(AND(OR('Visual SPC'!$C$4="",'Data Entry'!$C1475&gt;='Visual SPC'!$C$4),OR('Visual SPC'!$E$4="",'Data Entry'!$C1475&lt;='Visual SPC'!$E$4),OR('Visual SPC'!$G$4="",'Data Entry'!$D1475='Visual SPC'!$G$4),OR('Visual SPC'!$I$4="",'Data Entry'!$E1475='Visual SPC'!$I$4),OR('Visual SPC'!$K$4="",'Data Entry'!$F1475='Visual SPC'!$K$4)),1,0))</f>
        <v/>
      </c>
      <c r="C1475">
        <f>C1474+B1475</f>
        <v/>
      </c>
      <c r="D1475">
        <f>IF(B1475=1,INDEX('Data Entry'!$H$5:$BE$10004,1475-4,'Visual SPC'!$B$3),"")</f>
        <v/>
      </c>
      <c r="E1475">
        <f>IF(B1475=1,D1475,E1474)</f>
        <v/>
      </c>
      <c r="F1475">
        <f>IF(AND(B1475=1,C1475&gt;1,E1474&lt;&gt;""),ABS(D1475-E1474),"")</f>
        <v/>
      </c>
    </row>
    <row r="1476">
      <c r="A1476" t="n">
        <v>1476</v>
      </c>
      <c r="B1476">
        <f>IF(INDEX('Data Entry'!$H$5:$BE$10004,1476-4,'Visual SPC'!$B$3)="",0,IF(AND(OR('Visual SPC'!$C$4="",'Data Entry'!$C1476&gt;='Visual SPC'!$C$4),OR('Visual SPC'!$E$4="",'Data Entry'!$C1476&lt;='Visual SPC'!$E$4),OR('Visual SPC'!$G$4="",'Data Entry'!$D1476='Visual SPC'!$G$4),OR('Visual SPC'!$I$4="",'Data Entry'!$E1476='Visual SPC'!$I$4),OR('Visual SPC'!$K$4="",'Data Entry'!$F1476='Visual SPC'!$K$4)),1,0))</f>
        <v/>
      </c>
      <c r="C1476">
        <f>C1475+B1476</f>
        <v/>
      </c>
      <c r="D1476">
        <f>IF(B1476=1,INDEX('Data Entry'!$H$5:$BE$10004,1476-4,'Visual SPC'!$B$3),"")</f>
        <v/>
      </c>
      <c r="E1476">
        <f>IF(B1476=1,D1476,E1475)</f>
        <v/>
      </c>
      <c r="F1476">
        <f>IF(AND(B1476=1,C1476&gt;1,E1475&lt;&gt;""),ABS(D1476-E1475),"")</f>
        <v/>
      </c>
    </row>
    <row r="1477">
      <c r="A1477" t="n">
        <v>1477</v>
      </c>
      <c r="B1477">
        <f>IF(INDEX('Data Entry'!$H$5:$BE$10004,1477-4,'Visual SPC'!$B$3)="",0,IF(AND(OR('Visual SPC'!$C$4="",'Data Entry'!$C1477&gt;='Visual SPC'!$C$4),OR('Visual SPC'!$E$4="",'Data Entry'!$C1477&lt;='Visual SPC'!$E$4),OR('Visual SPC'!$G$4="",'Data Entry'!$D1477='Visual SPC'!$G$4),OR('Visual SPC'!$I$4="",'Data Entry'!$E1477='Visual SPC'!$I$4),OR('Visual SPC'!$K$4="",'Data Entry'!$F1477='Visual SPC'!$K$4)),1,0))</f>
        <v/>
      </c>
      <c r="C1477">
        <f>C1476+B1477</f>
        <v/>
      </c>
      <c r="D1477">
        <f>IF(B1477=1,INDEX('Data Entry'!$H$5:$BE$10004,1477-4,'Visual SPC'!$B$3),"")</f>
        <v/>
      </c>
      <c r="E1477">
        <f>IF(B1477=1,D1477,E1476)</f>
        <v/>
      </c>
      <c r="F1477">
        <f>IF(AND(B1477=1,C1477&gt;1,E1476&lt;&gt;""),ABS(D1477-E1476),"")</f>
        <v/>
      </c>
    </row>
    <row r="1478">
      <c r="A1478" t="n">
        <v>1478</v>
      </c>
      <c r="B1478">
        <f>IF(INDEX('Data Entry'!$H$5:$BE$10004,1478-4,'Visual SPC'!$B$3)="",0,IF(AND(OR('Visual SPC'!$C$4="",'Data Entry'!$C1478&gt;='Visual SPC'!$C$4),OR('Visual SPC'!$E$4="",'Data Entry'!$C1478&lt;='Visual SPC'!$E$4),OR('Visual SPC'!$G$4="",'Data Entry'!$D1478='Visual SPC'!$G$4),OR('Visual SPC'!$I$4="",'Data Entry'!$E1478='Visual SPC'!$I$4),OR('Visual SPC'!$K$4="",'Data Entry'!$F1478='Visual SPC'!$K$4)),1,0))</f>
        <v/>
      </c>
      <c r="C1478">
        <f>C1477+B1478</f>
        <v/>
      </c>
      <c r="D1478">
        <f>IF(B1478=1,INDEX('Data Entry'!$H$5:$BE$10004,1478-4,'Visual SPC'!$B$3),"")</f>
        <v/>
      </c>
      <c r="E1478">
        <f>IF(B1478=1,D1478,E1477)</f>
        <v/>
      </c>
      <c r="F1478">
        <f>IF(AND(B1478=1,C1478&gt;1,E1477&lt;&gt;""),ABS(D1478-E1477),"")</f>
        <v/>
      </c>
    </row>
    <row r="1479">
      <c r="A1479" t="n">
        <v>1479</v>
      </c>
      <c r="B1479">
        <f>IF(INDEX('Data Entry'!$H$5:$BE$10004,1479-4,'Visual SPC'!$B$3)="",0,IF(AND(OR('Visual SPC'!$C$4="",'Data Entry'!$C1479&gt;='Visual SPC'!$C$4),OR('Visual SPC'!$E$4="",'Data Entry'!$C1479&lt;='Visual SPC'!$E$4),OR('Visual SPC'!$G$4="",'Data Entry'!$D1479='Visual SPC'!$G$4),OR('Visual SPC'!$I$4="",'Data Entry'!$E1479='Visual SPC'!$I$4),OR('Visual SPC'!$K$4="",'Data Entry'!$F1479='Visual SPC'!$K$4)),1,0))</f>
        <v/>
      </c>
      <c r="C1479">
        <f>C1478+B1479</f>
        <v/>
      </c>
      <c r="D1479">
        <f>IF(B1479=1,INDEX('Data Entry'!$H$5:$BE$10004,1479-4,'Visual SPC'!$B$3),"")</f>
        <v/>
      </c>
      <c r="E1479">
        <f>IF(B1479=1,D1479,E1478)</f>
        <v/>
      </c>
      <c r="F1479">
        <f>IF(AND(B1479=1,C1479&gt;1,E1478&lt;&gt;""),ABS(D1479-E1478),"")</f>
        <v/>
      </c>
    </row>
    <row r="1480">
      <c r="A1480" t="n">
        <v>1480</v>
      </c>
      <c r="B1480">
        <f>IF(INDEX('Data Entry'!$H$5:$BE$10004,1480-4,'Visual SPC'!$B$3)="",0,IF(AND(OR('Visual SPC'!$C$4="",'Data Entry'!$C1480&gt;='Visual SPC'!$C$4),OR('Visual SPC'!$E$4="",'Data Entry'!$C1480&lt;='Visual SPC'!$E$4),OR('Visual SPC'!$G$4="",'Data Entry'!$D1480='Visual SPC'!$G$4),OR('Visual SPC'!$I$4="",'Data Entry'!$E1480='Visual SPC'!$I$4),OR('Visual SPC'!$K$4="",'Data Entry'!$F1480='Visual SPC'!$K$4)),1,0))</f>
        <v/>
      </c>
      <c r="C1480">
        <f>C1479+B1480</f>
        <v/>
      </c>
      <c r="D1480">
        <f>IF(B1480=1,INDEX('Data Entry'!$H$5:$BE$10004,1480-4,'Visual SPC'!$B$3),"")</f>
        <v/>
      </c>
      <c r="E1480">
        <f>IF(B1480=1,D1480,E1479)</f>
        <v/>
      </c>
      <c r="F1480">
        <f>IF(AND(B1480=1,C1480&gt;1,E1479&lt;&gt;""),ABS(D1480-E1479),"")</f>
        <v/>
      </c>
    </row>
    <row r="1481">
      <c r="A1481" t="n">
        <v>1481</v>
      </c>
      <c r="B1481">
        <f>IF(INDEX('Data Entry'!$H$5:$BE$10004,1481-4,'Visual SPC'!$B$3)="",0,IF(AND(OR('Visual SPC'!$C$4="",'Data Entry'!$C1481&gt;='Visual SPC'!$C$4),OR('Visual SPC'!$E$4="",'Data Entry'!$C1481&lt;='Visual SPC'!$E$4),OR('Visual SPC'!$G$4="",'Data Entry'!$D1481='Visual SPC'!$G$4),OR('Visual SPC'!$I$4="",'Data Entry'!$E1481='Visual SPC'!$I$4),OR('Visual SPC'!$K$4="",'Data Entry'!$F1481='Visual SPC'!$K$4)),1,0))</f>
        <v/>
      </c>
      <c r="C1481">
        <f>C1480+B1481</f>
        <v/>
      </c>
      <c r="D1481">
        <f>IF(B1481=1,INDEX('Data Entry'!$H$5:$BE$10004,1481-4,'Visual SPC'!$B$3),"")</f>
        <v/>
      </c>
      <c r="E1481">
        <f>IF(B1481=1,D1481,E1480)</f>
        <v/>
      </c>
      <c r="F1481">
        <f>IF(AND(B1481=1,C1481&gt;1,E1480&lt;&gt;""),ABS(D1481-E1480),"")</f>
        <v/>
      </c>
    </row>
    <row r="1482">
      <c r="A1482" t="n">
        <v>1482</v>
      </c>
      <c r="B1482">
        <f>IF(INDEX('Data Entry'!$H$5:$BE$10004,1482-4,'Visual SPC'!$B$3)="",0,IF(AND(OR('Visual SPC'!$C$4="",'Data Entry'!$C1482&gt;='Visual SPC'!$C$4),OR('Visual SPC'!$E$4="",'Data Entry'!$C1482&lt;='Visual SPC'!$E$4),OR('Visual SPC'!$G$4="",'Data Entry'!$D1482='Visual SPC'!$G$4),OR('Visual SPC'!$I$4="",'Data Entry'!$E1482='Visual SPC'!$I$4),OR('Visual SPC'!$K$4="",'Data Entry'!$F1482='Visual SPC'!$K$4)),1,0))</f>
        <v/>
      </c>
      <c r="C1482">
        <f>C1481+B1482</f>
        <v/>
      </c>
      <c r="D1482">
        <f>IF(B1482=1,INDEX('Data Entry'!$H$5:$BE$10004,1482-4,'Visual SPC'!$B$3),"")</f>
        <v/>
      </c>
      <c r="E1482">
        <f>IF(B1482=1,D1482,E1481)</f>
        <v/>
      </c>
      <c r="F1482">
        <f>IF(AND(B1482=1,C1482&gt;1,E1481&lt;&gt;""),ABS(D1482-E1481),"")</f>
        <v/>
      </c>
    </row>
    <row r="1483">
      <c r="A1483" t="n">
        <v>1483</v>
      </c>
      <c r="B1483">
        <f>IF(INDEX('Data Entry'!$H$5:$BE$10004,1483-4,'Visual SPC'!$B$3)="",0,IF(AND(OR('Visual SPC'!$C$4="",'Data Entry'!$C1483&gt;='Visual SPC'!$C$4),OR('Visual SPC'!$E$4="",'Data Entry'!$C1483&lt;='Visual SPC'!$E$4),OR('Visual SPC'!$G$4="",'Data Entry'!$D1483='Visual SPC'!$G$4),OR('Visual SPC'!$I$4="",'Data Entry'!$E1483='Visual SPC'!$I$4),OR('Visual SPC'!$K$4="",'Data Entry'!$F1483='Visual SPC'!$K$4)),1,0))</f>
        <v/>
      </c>
      <c r="C1483">
        <f>C1482+B1483</f>
        <v/>
      </c>
      <c r="D1483">
        <f>IF(B1483=1,INDEX('Data Entry'!$H$5:$BE$10004,1483-4,'Visual SPC'!$B$3),"")</f>
        <v/>
      </c>
      <c r="E1483">
        <f>IF(B1483=1,D1483,E1482)</f>
        <v/>
      </c>
      <c r="F1483">
        <f>IF(AND(B1483=1,C1483&gt;1,E1482&lt;&gt;""),ABS(D1483-E1482),"")</f>
        <v/>
      </c>
    </row>
    <row r="1484">
      <c r="A1484" t="n">
        <v>1484</v>
      </c>
      <c r="B1484">
        <f>IF(INDEX('Data Entry'!$H$5:$BE$10004,1484-4,'Visual SPC'!$B$3)="",0,IF(AND(OR('Visual SPC'!$C$4="",'Data Entry'!$C1484&gt;='Visual SPC'!$C$4),OR('Visual SPC'!$E$4="",'Data Entry'!$C1484&lt;='Visual SPC'!$E$4),OR('Visual SPC'!$G$4="",'Data Entry'!$D1484='Visual SPC'!$G$4),OR('Visual SPC'!$I$4="",'Data Entry'!$E1484='Visual SPC'!$I$4),OR('Visual SPC'!$K$4="",'Data Entry'!$F1484='Visual SPC'!$K$4)),1,0))</f>
        <v/>
      </c>
      <c r="C1484">
        <f>C1483+B1484</f>
        <v/>
      </c>
      <c r="D1484">
        <f>IF(B1484=1,INDEX('Data Entry'!$H$5:$BE$10004,1484-4,'Visual SPC'!$B$3),"")</f>
        <v/>
      </c>
      <c r="E1484">
        <f>IF(B1484=1,D1484,E1483)</f>
        <v/>
      </c>
      <c r="F1484">
        <f>IF(AND(B1484=1,C1484&gt;1,E1483&lt;&gt;""),ABS(D1484-E1483),"")</f>
        <v/>
      </c>
    </row>
    <row r="1485">
      <c r="A1485" t="n">
        <v>1485</v>
      </c>
      <c r="B1485">
        <f>IF(INDEX('Data Entry'!$H$5:$BE$10004,1485-4,'Visual SPC'!$B$3)="",0,IF(AND(OR('Visual SPC'!$C$4="",'Data Entry'!$C1485&gt;='Visual SPC'!$C$4),OR('Visual SPC'!$E$4="",'Data Entry'!$C1485&lt;='Visual SPC'!$E$4),OR('Visual SPC'!$G$4="",'Data Entry'!$D1485='Visual SPC'!$G$4),OR('Visual SPC'!$I$4="",'Data Entry'!$E1485='Visual SPC'!$I$4),OR('Visual SPC'!$K$4="",'Data Entry'!$F1485='Visual SPC'!$K$4)),1,0))</f>
        <v/>
      </c>
      <c r="C1485">
        <f>C1484+B1485</f>
        <v/>
      </c>
      <c r="D1485">
        <f>IF(B1485=1,INDEX('Data Entry'!$H$5:$BE$10004,1485-4,'Visual SPC'!$B$3),"")</f>
        <v/>
      </c>
      <c r="E1485">
        <f>IF(B1485=1,D1485,E1484)</f>
        <v/>
      </c>
      <c r="F1485">
        <f>IF(AND(B1485=1,C1485&gt;1,E1484&lt;&gt;""),ABS(D1485-E1484),"")</f>
        <v/>
      </c>
    </row>
    <row r="1486">
      <c r="A1486" t="n">
        <v>1486</v>
      </c>
      <c r="B1486">
        <f>IF(INDEX('Data Entry'!$H$5:$BE$10004,1486-4,'Visual SPC'!$B$3)="",0,IF(AND(OR('Visual SPC'!$C$4="",'Data Entry'!$C1486&gt;='Visual SPC'!$C$4),OR('Visual SPC'!$E$4="",'Data Entry'!$C1486&lt;='Visual SPC'!$E$4),OR('Visual SPC'!$G$4="",'Data Entry'!$D1486='Visual SPC'!$G$4),OR('Visual SPC'!$I$4="",'Data Entry'!$E1486='Visual SPC'!$I$4),OR('Visual SPC'!$K$4="",'Data Entry'!$F1486='Visual SPC'!$K$4)),1,0))</f>
        <v/>
      </c>
      <c r="C1486">
        <f>C1485+B1486</f>
        <v/>
      </c>
      <c r="D1486">
        <f>IF(B1486=1,INDEX('Data Entry'!$H$5:$BE$10004,1486-4,'Visual SPC'!$B$3),"")</f>
        <v/>
      </c>
      <c r="E1486">
        <f>IF(B1486=1,D1486,E1485)</f>
        <v/>
      </c>
      <c r="F1486">
        <f>IF(AND(B1486=1,C1486&gt;1,E1485&lt;&gt;""),ABS(D1486-E1485),"")</f>
        <v/>
      </c>
    </row>
    <row r="1487">
      <c r="A1487" t="n">
        <v>1487</v>
      </c>
      <c r="B1487">
        <f>IF(INDEX('Data Entry'!$H$5:$BE$10004,1487-4,'Visual SPC'!$B$3)="",0,IF(AND(OR('Visual SPC'!$C$4="",'Data Entry'!$C1487&gt;='Visual SPC'!$C$4),OR('Visual SPC'!$E$4="",'Data Entry'!$C1487&lt;='Visual SPC'!$E$4),OR('Visual SPC'!$G$4="",'Data Entry'!$D1487='Visual SPC'!$G$4),OR('Visual SPC'!$I$4="",'Data Entry'!$E1487='Visual SPC'!$I$4),OR('Visual SPC'!$K$4="",'Data Entry'!$F1487='Visual SPC'!$K$4)),1,0))</f>
        <v/>
      </c>
      <c r="C1487">
        <f>C1486+B1487</f>
        <v/>
      </c>
      <c r="D1487">
        <f>IF(B1487=1,INDEX('Data Entry'!$H$5:$BE$10004,1487-4,'Visual SPC'!$B$3),"")</f>
        <v/>
      </c>
      <c r="E1487">
        <f>IF(B1487=1,D1487,E1486)</f>
        <v/>
      </c>
      <c r="F1487">
        <f>IF(AND(B1487=1,C1487&gt;1,E1486&lt;&gt;""),ABS(D1487-E1486),"")</f>
        <v/>
      </c>
    </row>
    <row r="1488">
      <c r="A1488" t="n">
        <v>1488</v>
      </c>
      <c r="B1488">
        <f>IF(INDEX('Data Entry'!$H$5:$BE$10004,1488-4,'Visual SPC'!$B$3)="",0,IF(AND(OR('Visual SPC'!$C$4="",'Data Entry'!$C1488&gt;='Visual SPC'!$C$4),OR('Visual SPC'!$E$4="",'Data Entry'!$C1488&lt;='Visual SPC'!$E$4),OR('Visual SPC'!$G$4="",'Data Entry'!$D1488='Visual SPC'!$G$4),OR('Visual SPC'!$I$4="",'Data Entry'!$E1488='Visual SPC'!$I$4),OR('Visual SPC'!$K$4="",'Data Entry'!$F1488='Visual SPC'!$K$4)),1,0))</f>
        <v/>
      </c>
      <c r="C1488">
        <f>C1487+B1488</f>
        <v/>
      </c>
      <c r="D1488">
        <f>IF(B1488=1,INDEX('Data Entry'!$H$5:$BE$10004,1488-4,'Visual SPC'!$B$3),"")</f>
        <v/>
      </c>
      <c r="E1488">
        <f>IF(B1488=1,D1488,E1487)</f>
        <v/>
      </c>
      <c r="F1488">
        <f>IF(AND(B1488=1,C1488&gt;1,E1487&lt;&gt;""),ABS(D1488-E1487),"")</f>
        <v/>
      </c>
    </row>
    <row r="1489">
      <c r="A1489" t="n">
        <v>1489</v>
      </c>
      <c r="B1489">
        <f>IF(INDEX('Data Entry'!$H$5:$BE$10004,1489-4,'Visual SPC'!$B$3)="",0,IF(AND(OR('Visual SPC'!$C$4="",'Data Entry'!$C1489&gt;='Visual SPC'!$C$4),OR('Visual SPC'!$E$4="",'Data Entry'!$C1489&lt;='Visual SPC'!$E$4),OR('Visual SPC'!$G$4="",'Data Entry'!$D1489='Visual SPC'!$G$4),OR('Visual SPC'!$I$4="",'Data Entry'!$E1489='Visual SPC'!$I$4),OR('Visual SPC'!$K$4="",'Data Entry'!$F1489='Visual SPC'!$K$4)),1,0))</f>
        <v/>
      </c>
      <c r="C1489">
        <f>C1488+B1489</f>
        <v/>
      </c>
      <c r="D1489">
        <f>IF(B1489=1,INDEX('Data Entry'!$H$5:$BE$10004,1489-4,'Visual SPC'!$B$3),"")</f>
        <v/>
      </c>
      <c r="E1489">
        <f>IF(B1489=1,D1489,E1488)</f>
        <v/>
      </c>
      <c r="F1489">
        <f>IF(AND(B1489=1,C1489&gt;1,E1488&lt;&gt;""),ABS(D1489-E1488),"")</f>
        <v/>
      </c>
    </row>
    <row r="1490">
      <c r="A1490" t="n">
        <v>1490</v>
      </c>
      <c r="B1490">
        <f>IF(INDEX('Data Entry'!$H$5:$BE$10004,1490-4,'Visual SPC'!$B$3)="",0,IF(AND(OR('Visual SPC'!$C$4="",'Data Entry'!$C1490&gt;='Visual SPC'!$C$4),OR('Visual SPC'!$E$4="",'Data Entry'!$C1490&lt;='Visual SPC'!$E$4),OR('Visual SPC'!$G$4="",'Data Entry'!$D1490='Visual SPC'!$G$4),OR('Visual SPC'!$I$4="",'Data Entry'!$E1490='Visual SPC'!$I$4),OR('Visual SPC'!$K$4="",'Data Entry'!$F1490='Visual SPC'!$K$4)),1,0))</f>
        <v/>
      </c>
      <c r="C1490">
        <f>C1489+B1490</f>
        <v/>
      </c>
      <c r="D1490">
        <f>IF(B1490=1,INDEX('Data Entry'!$H$5:$BE$10004,1490-4,'Visual SPC'!$B$3),"")</f>
        <v/>
      </c>
      <c r="E1490">
        <f>IF(B1490=1,D1490,E1489)</f>
        <v/>
      </c>
      <c r="F1490">
        <f>IF(AND(B1490=1,C1490&gt;1,E1489&lt;&gt;""),ABS(D1490-E1489),"")</f>
        <v/>
      </c>
    </row>
    <row r="1491">
      <c r="A1491" t="n">
        <v>1491</v>
      </c>
      <c r="B1491">
        <f>IF(INDEX('Data Entry'!$H$5:$BE$10004,1491-4,'Visual SPC'!$B$3)="",0,IF(AND(OR('Visual SPC'!$C$4="",'Data Entry'!$C1491&gt;='Visual SPC'!$C$4),OR('Visual SPC'!$E$4="",'Data Entry'!$C1491&lt;='Visual SPC'!$E$4),OR('Visual SPC'!$G$4="",'Data Entry'!$D1491='Visual SPC'!$G$4),OR('Visual SPC'!$I$4="",'Data Entry'!$E1491='Visual SPC'!$I$4),OR('Visual SPC'!$K$4="",'Data Entry'!$F1491='Visual SPC'!$K$4)),1,0))</f>
        <v/>
      </c>
      <c r="C1491">
        <f>C1490+B1491</f>
        <v/>
      </c>
      <c r="D1491">
        <f>IF(B1491=1,INDEX('Data Entry'!$H$5:$BE$10004,1491-4,'Visual SPC'!$B$3),"")</f>
        <v/>
      </c>
      <c r="E1491">
        <f>IF(B1491=1,D1491,E1490)</f>
        <v/>
      </c>
      <c r="F1491">
        <f>IF(AND(B1491=1,C1491&gt;1,E1490&lt;&gt;""),ABS(D1491-E1490),"")</f>
        <v/>
      </c>
    </row>
    <row r="1492">
      <c r="A1492" t="n">
        <v>1492</v>
      </c>
      <c r="B1492">
        <f>IF(INDEX('Data Entry'!$H$5:$BE$10004,1492-4,'Visual SPC'!$B$3)="",0,IF(AND(OR('Visual SPC'!$C$4="",'Data Entry'!$C1492&gt;='Visual SPC'!$C$4),OR('Visual SPC'!$E$4="",'Data Entry'!$C1492&lt;='Visual SPC'!$E$4),OR('Visual SPC'!$G$4="",'Data Entry'!$D1492='Visual SPC'!$G$4),OR('Visual SPC'!$I$4="",'Data Entry'!$E1492='Visual SPC'!$I$4),OR('Visual SPC'!$K$4="",'Data Entry'!$F1492='Visual SPC'!$K$4)),1,0))</f>
        <v/>
      </c>
      <c r="C1492">
        <f>C1491+B1492</f>
        <v/>
      </c>
      <c r="D1492">
        <f>IF(B1492=1,INDEX('Data Entry'!$H$5:$BE$10004,1492-4,'Visual SPC'!$B$3),"")</f>
        <v/>
      </c>
      <c r="E1492">
        <f>IF(B1492=1,D1492,E1491)</f>
        <v/>
      </c>
      <c r="F1492">
        <f>IF(AND(B1492=1,C1492&gt;1,E1491&lt;&gt;""),ABS(D1492-E1491),"")</f>
        <v/>
      </c>
    </row>
    <row r="1493">
      <c r="A1493" t="n">
        <v>1493</v>
      </c>
      <c r="B1493">
        <f>IF(INDEX('Data Entry'!$H$5:$BE$10004,1493-4,'Visual SPC'!$B$3)="",0,IF(AND(OR('Visual SPC'!$C$4="",'Data Entry'!$C1493&gt;='Visual SPC'!$C$4),OR('Visual SPC'!$E$4="",'Data Entry'!$C1493&lt;='Visual SPC'!$E$4),OR('Visual SPC'!$G$4="",'Data Entry'!$D1493='Visual SPC'!$G$4),OR('Visual SPC'!$I$4="",'Data Entry'!$E1493='Visual SPC'!$I$4),OR('Visual SPC'!$K$4="",'Data Entry'!$F1493='Visual SPC'!$K$4)),1,0))</f>
        <v/>
      </c>
      <c r="C1493">
        <f>C1492+B1493</f>
        <v/>
      </c>
      <c r="D1493">
        <f>IF(B1493=1,INDEX('Data Entry'!$H$5:$BE$10004,1493-4,'Visual SPC'!$B$3),"")</f>
        <v/>
      </c>
      <c r="E1493">
        <f>IF(B1493=1,D1493,E1492)</f>
        <v/>
      </c>
      <c r="F1493">
        <f>IF(AND(B1493=1,C1493&gt;1,E1492&lt;&gt;""),ABS(D1493-E1492),"")</f>
        <v/>
      </c>
    </row>
    <row r="1494">
      <c r="A1494" t="n">
        <v>1494</v>
      </c>
      <c r="B1494">
        <f>IF(INDEX('Data Entry'!$H$5:$BE$10004,1494-4,'Visual SPC'!$B$3)="",0,IF(AND(OR('Visual SPC'!$C$4="",'Data Entry'!$C1494&gt;='Visual SPC'!$C$4),OR('Visual SPC'!$E$4="",'Data Entry'!$C1494&lt;='Visual SPC'!$E$4),OR('Visual SPC'!$G$4="",'Data Entry'!$D1494='Visual SPC'!$G$4),OR('Visual SPC'!$I$4="",'Data Entry'!$E1494='Visual SPC'!$I$4),OR('Visual SPC'!$K$4="",'Data Entry'!$F1494='Visual SPC'!$K$4)),1,0))</f>
        <v/>
      </c>
      <c r="C1494">
        <f>C1493+B1494</f>
        <v/>
      </c>
      <c r="D1494">
        <f>IF(B1494=1,INDEX('Data Entry'!$H$5:$BE$10004,1494-4,'Visual SPC'!$B$3),"")</f>
        <v/>
      </c>
      <c r="E1494">
        <f>IF(B1494=1,D1494,E1493)</f>
        <v/>
      </c>
      <c r="F1494">
        <f>IF(AND(B1494=1,C1494&gt;1,E1493&lt;&gt;""),ABS(D1494-E1493),"")</f>
        <v/>
      </c>
    </row>
    <row r="1495">
      <c r="A1495" t="n">
        <v>1495</v>
      </c>
      <c r="B1495">
        <f>IF(INDEX('Data Entry'!$H$5:$BE$10004,1495-4,'Visual SPC'!$B$3)="",0,IF(AND(OR('Visual SPC'!$C$4="",'Data Entry'!$C1495&gt;='Visual SPC'!$C$4),OR('Visual SPC'!$E$4="",'Data Entry'!$C1495&lt;='Visual SPC'!$E$4),OR('Visual SPC'!$G$4="",'Data Entry'!$D1495='Visual SPC'!$G$4),OR('Visual SPC'!$I$4="",'Data Entry'!$E1495='Visual SPC'!$I$4),OR('Visual SPC'!$K$4="",'Data Entry'!$F1495='Visual SPC'!$K$4)),1,0))</f>
        <v/>
      </c>
      <c r="C1495">
        <f>C1494+B1495</f>
        <v/>
      </c>
      <c r="D1495">
        <f>IF(B1495=1,INDEX('Data Entry'!$H$5:$BE$10004,1495-4,'Visual SPC'!$B$3),"")</f>
        <v/>
      </c>
      <c r="E1495">
        <f>IF(B1495=1,D1495,E1494)</f>
        <v/>
      </c>
      <c r="F1495">
        <f>IF(AND(B1495=1,C1495&gt;1,E1494&lt;&gt;""),ABS(D1495-E1494),"")</f>
        <v/>
      </c>
    </row>
    <row r="1496">
      <c r="A1496" t="n">
        <v>1496</v>
      </c>
      <c r="B1496">
        <f>IF(INDEX('Data Entry'!$H$5:$BE$10004,1496-4,'Visual SPC'!$B$3)="",0,IF(AND(OR('Visual SPC'!$C$4="",'Data Entry'!$C1496&gt;='Visual SPC'!$C$4),OR('Visual SPC'!$E$4="",'Data Entry'!$C1496&lt;='Visual SPC'!$E$4),OR('Visual SPC'!$G$4="",'Data Entry'!$D1496='Visual SPC'!$G$4),OR('Visual SPC'!$I$4="",'Data Entry'!$E1496='Visual SPC'!$I$4),OR('Visual SPC'!$K$4="",'Data Entry'!$F1496='Visual SPC'!$K$4)),1,0))</f>
        <v/>
      </c>
      <c r="C1496">
        <f>C1495+B1496</f>
        <v/>
      </c>
      <c r="D1496">
        <f>IF(B1496=1,INDEX('Data Entry'!$H$5:$BE$10004,1496-4,'Visual SPC'!$B$3),"")</f>
        <v/>
      </c>
      <c r="E1496">
        <f>IF(B1496=1,D1496,E1495)</f>
        <v/>
      </c>
      <c r="F1496">
        <f>IF(AND(B1496=1,C1496&gt;1,E1495&lt;&gt;""),ABS(D1496-E1495),"")</f>
        <v/>
      </c>
    </row>
    <row r="1497">
      <c r="A1497" t="n">
        <v>1497</v>
      </c>
      <c r="B1497">
        <f>IF(INDEX('Data Entry'!$H$5:$BE$10004,1497-4,'Visual SPC'!$B$3)="",0,IF(AND(OR('Visual SPC'!$C$4="",'Data Entry'!$C1497&gt;='Visual SPC'!$C$4),OR('Visual SPC'!$E$4="",'Data Entry'!$C1497&lt;='Visual SPC'!$E$4),OR('Visual SPC'!$G$4="",'Data Entry'!$D1497='Visual SPC'!$G$4),OR('Visual SPC'!$I$4="",'Data Entry'!$E1497='Visual SPC'!$I$4),OR('Visual SPC'!$K$4="",'Data Entry'!$F1497='Visual SPC'!$K$4)),1,0))</f>
        <v/>
      </c>
      <c r="C1497">
        <f>C1496+B1497</f>
        <v/>
      </c>
      <c r="D1497">
        <f>IF(B1497=1,INDEX('Data Entry'!$H$5:$BE$10004,1497-4,'Visual SPC'!$B$3),"")</f>
        <v/>
      </c>
      <c r="E1497">
        <f>IF(B1497=1,D1497,E1496)</f>
        <v/>
      </c>
      <c r="F1497">
        <f>IF(AND(B1497=1,C1497&gt;1,E1496&lt;&gt;""),ABS(D1497-E1496),"")</f>
        <v/>
      </c>
    </row>
    <row r="1498">
      <c r="A1498" t="n">
        <v>1498</v>
      </c>
      <c r="B1498">
        <f>IF(INDEX('Data Entry'!$H$5:$BE$10004,1498-4,'Visual SPC'!$B$3)="",0,IF(AND(OR('Visual SPC'!$C$4="",'Data Entry'!$C1498&gt;='Visual SPC'!$C$4),OR('Visual SPC'!$E$4="",'Data Entry'!$C1498&lt;='Visual SPC'!$E$4),OR('Visual SPC'!$G$4="",'Data Entry'!$D1498='Visual SPC'!$G$4),OR('Visual SPC'!$I$4="",'Data Entry'!$E1498='Visual SPC'!$I$4),OR('Visual SPC'!$K$4="",'Data Entry'!$F1498='Visual SPC'!$K$4)),1,0))</f>
        <v/>
      </c>
      <c r="C1498">
        <f>C1497+B1498</f>
        <v/>
      </c>
      <c r="D1498">
        <f>IF(B1498=1,INDEX('Data Entry'!$H$5:$BE$10004,1498-4,'Visual SPC'!$B$3),"")</f>
        <v/>
      </c>
      <c r="E1498">
        <f>IF(B1498=1,D1498,E1497)</f>
        <v/>
      </c>
      <c r="F1498">
        <f>IF(AND(B1498=1,C1498&gt;1,E1497&lt;&gt;""),ABS(D1498-E1497),"")</f>
        <v/>
      </c>
    </row>
    <row r="1499">
      <c r="A1499" t="n">
        <v>1499</v>
      </c>
      <c r="B1499">
        <f>IF(INDEX('Data Entry'!$H$5:$BE$10004,1499-4,'Visual SPC'!$B$3)="",0,IF(AND(OR('Visual SPC'!$C$4="",'Data Entry'!$C1499&gt;='Visual SPC'!$C$4),OR('Visual SPC'!$E$4="",'Data Entry'!$C1499&lt;='Visual SPC'!$E$4),OR('Visual SPC'!$G$4="",'Data Entry'!$D1499='Visual SPC'!$G$4),OR('Visual SPC'!$I$4="",'Data Entry'!$E1499='Visual SPC'!$I$4),OR('Visual SPC'!$K$4="",'Data Entry'!$F1499='Visual SPC'!$K$4)),1,0))</f>
        <v/>
      </c>
      <c r="C1499">
        <f>C1498+B1499</f>
        <v/>
      </c>
      <c r="D1499">
        <f>IF(B1499=1,INDEX('Data Entry'!$H$5:$BE$10004,1499-4,'Visual SPC'!$B$3),"")</f>
        <v/>
      </c>
      <c r="E1499">
        <f>IF(B1499=1,D1499,E1498)</f>
        <v/>
      </c>
      <c r="F1499">
        <f>IF(AND(B1499=1,C1499&gt;1,E1498&lt;&gt;""),ABS(D1499-E1498),"")</f>
        <v/>
      </c>
    </row>
    <row r="1500">
      <c r="A1500" t="n">
        <v>1500</v>
      </c>
      <c r="B1500">
        <f>IF(INDEX('Data Entry'!$H$5:$BE$10004,1500-4,'Visual SPC'!$B$3)="",0,IF(AND(OR('Visual SPC'!$C$4="",'Data Entry'!$C1500&gt;='Visual SPC'!$C$4),OR('Visual SPC'!$E$4="",'Data Entry'!$C1500&lt;='Visual SPC'!$E$4),OR('Visual SPC'!$G$4="",'Data Entry'!$D1500='Visual SPC'!$G$4),OR('Visual SPC'!$I$4="",'Data Entry'!$E1500='Visual SPC'!$I$4),OR('Visual SPC'!$K$4="",'Data Entry'!$F1500='Visual SPC'!$K$4)),1,0))</f>
        <v/>
      </c>
      <c r="C1500">
        <f>C1499+B1500</f>
        <v/>
      </c>
      <c r="D1500">
        <f>IF(B1500=1,INDEX('Data Entry'!$H$5:$BE$10004,1500-4,'Visual SPC'!$B$3),"")</f>
        <v/>
      </c>
      <c r="E1500">
        <f>IF(B1500=1,D1500,E1499)</f>
        <v/>
      </c>
      <c r="F1500">
        <f>IF(AND(B1500=1,C1500&gt;1,E1499&lt;&gt;""),ABS(D1500-E1499),"")</f>
        <v/>
      </c>
    </row>
    <row r="1501">
      <c r="A1501" t="n">
        <v>1501</v>
      </c>
      <c r="B1501">
        <f>IF(INDEX('Data Entry'!$H$5:$BE$10004,1501-4,'Visual SPC'!$B$3)="",0,IF(AND(OR('Visual SPC'!$C$4="",'Data Entry'!$C1501&gt;='Visual SPC'!$C$4),OR('Visual SPC'!$E$4="",'Data Entry'!$C1501&lt;='Visual SPC'!$E$4),OR('Visual SPC'!$G$4="",'Data Entry'!$D1501='Visual SPC'!$G$4),OR('Visual SPC'!$I$4="",'Data Entry'!$E1501='Visual SPC'!$I$4),OR('Visual SPC'!$K$4="",'Data Entry'!$F1501='Visual SPC'!$K$4)),1,0))</f>
        <v/>
      </c>
      <c r="C1501">
        <f>C1500+B1501</f>
        <v/>
      </c>
      <c r="D1501">
        <f>IF(B1501=1,INDEX('Data Entry'!$H$5:$BE$10004,1501-4,'Visual SPC'!$B$3),"")</f>
        <v/>
      </c>
      <c r="E1501">
        <f>IF(B1501=1,D1501,E1500)</f>
        <v/>
      </c>
      <c r="F1501">
        <f>IF(AND(B1501=1,C1501&gt;1,E1500&lt;&gt;""),ABS(D1501-E1500),"")</f>
        <v/>
      </c>
    </row>
    <row r="1502">
      <c r="A1502" t="n">
        <v>1502</v>
      </c>
      <c r="B1502">
        <f>IF(INDEX('Data Entry'!$H$5:$BE$10004,1502-4,'Visual SPC'!$B$3)="",0,IF(AND(OR('Visual SPC'!$C$4="",'Data Entry'!$C1502&gt;='Visual SPC'!$C$4),OR('Visual SPC'!$E$4="",'Data Entry'!$C1502&lt;='Visual SPC'!$E$4),OR('Visual SPC'!$G$4="",'Data Entry'!$D1502='Visual SPC'!$G$4),OR('Visual SPC'!$I$4="",'Data Entry'!$E1502='Visual SPC'!$I$4),OR('Visual SPC'!$K$4="",'Data Entry'!$F1502='Visual SPC'!$K$4)),1,0))</f>
        <v/>
      </c>
      <c r="C1502">
        <f>C1501+B1502</f>
        <v/>
      </c>
      <c r="D1502">
        <f>IF(B1502=1,INDEX('Data Entry'!$H$5:$BE$10004,1502-4,'Visual SPC'!$B$3),"")</f>
        <v/>
      </c>
      <c r="E1502">
        <f>IF(B1502=1,D1502,E1501)</f>
        <v/>
      </c>
      <c r="F1502">
        <f>IF(AND(B1502=1,C1502&gt;1,E1501&lt;&gt;""),ABS(D1502-E1501),"")</f>
        <v/>
      </c>
    </row>
    <row r="1503">
      <c r="A1503" t="n">
        <v>1503</v>
      </c>
      <c r="B1503">
        <f>IF(INDEX('Data Entry'!$H$5:$BE$10004,1503-4,'Visual SPC'!$B$3)="",0,IF(AND(OR('Visual SPC'!$C$4="",'Data Entry'!$C1503&gt;='Visual SPC'!$C$4),OR('Visual SPC'!$E$4="",'Data Entry'!$C1503&lt;='Visual SPC'!$E$4),OR('Visual SPC'!$G$4="",'Data Entry'!$D1503='Visual SPC'!$G$4),OR('Visual SPC'!$I$4="",'Data Entry'!$E1503='Visual SPC'!$I$4),OR('Visual SPC'!$K$4="",'Data Entry'!$F1503='Visual SPC'!$K$4)),1,0))</f>
        <v/>
      </c>
      <c r="C1503">
        <f>C1502+B1503</f>
        <v/>
      </c>
      <c r="D1503">
        <f>IF(B1503=1,INDEX('Data Entry'!$H$5:$BE$10004,1503-4,'Visual SPC'!$B$3),"")</f>
        <v/>
      </c>
      <c r="E1503">
        <f>IF(B1503=1,D1503,E1502)</f>
        <v/>
      </c>
      <c r="F1503">
        <f>IF(AND(B1503=1,C1503&gt;1,E1502&lt;&gt;""),ABS(D1503-E1502),"")</f>
        <v/>
      </c>
    </row>
    <row r="1504">
      <c r="A1504" t="n">
        <v>1504</v>
      </c>
      <c r="B1504">
        <f>IF(INDEX('Data Entry'!$H$5:$BE$10004,1504-4,'Visual SPC'!$B$3)="",0,IF(AND(OR('Visual SPC'!$C$4="",'Data Entry'!$C1504&gt;='Visual SPC'!$C$4),OR('Visual SPC'!$E$4="",'Data Entry'!$C1504&lt;='Visual SPC'!$E$4),OR('Visual SPC'!$G$4="",'Data Entry'!$D1504='Visual SPC'!$G$4),OR('Visual SPC'!$I$4="",'Data Entry'!$E1504='Visual SPC'!$I$4),OR('Visual SPC'!$K$4="",'Data Entry'!$F1504='Visual SPC'!$K$4)),1,0))</f>
        <v/>
      </c>
      <c r="C1504">
        <f>C1503+B1504</f>
        <v/>
      </c>
      <c r="D1504">
        <f>IF(B1504=1,INDEX('Data Entry'!$H$5:$BE$10004,1504-4,'Visual SPC'!$B$3),"")</f>
        <v/>
      </c>
      <c r="E1504">
        <f>IF(B1504=1,D1504,E1503)</f>
        <v/>
      </c>
      <c r="F1504">
        <f>IF(AND(B1504=1,C1504&gt;1,E1503&lt;&gt;""),ABS(D1504-E1503),"")</f>
        <v/>
      </c>
    </row>
    <row r="1505">
      <c r="A1505" t="n">
        <v>1505</v>
      </c>
      <c r="B1505">
        <f>IF(INDEX('Data Entry'!$H$5:$BE$10004,1505-4,'Visual SPC'!$B$3)="",0,IF(AND(OR('Visual SPC'!$C$4="",'Data Entry'!$C1505&gt;='Visual SPC'!$C$4),OR('Visual SPC'!$E$4="",'Data Entry'!$C1505&lt;='Visual SPC'!$E$4),OR('Visual SPC'!$G$4="",'Data Entry'!$D1505='Visual SPC'!$G$4),OR('Visual SPC'!$I$4="",'Data Entry'!$E1505='Visual SPC'!$I$4),OR('Visual SPC'!$K$4="",'Data Entry'!$F1505='Visual SPC'!$K$4)),1,0))</f>
        <v/>
      </c>
      <c r="C1505">
        <f>C1504+B1505</f>
        <v/>
      </c>
      <c r="D1505">
        <f>IF(B1505=1,INDEX('Data Entry'!$H$5:$BE$10004,1505-4,'Visual SPC'!$B$3),"")</f>
        <v/>
      </c>
      <c r="E1505">
        <f>IF(B1505=1,D1505,E1504)</f>
        <v/>
      </c>
      <c r="F1505">
        <f>IF(AND(B1505=1,C1505&gt;1,E1504&lt;&gt;""),ABS(D1505-E1504),"")</f>
        <v/>
      </c>
    </row>
    <row r="1506">
      <c r="A1506" t="n">
        <v>1506</v>
      </c>
      <c r="B1506">
        <f>IF(INDEX('Data Entry'!$H$5:$BE$10004,1506-4,'Visual SPC'!$B$3)="",0,IF(AND(OR('Visual SPC'!$C$4="",'Data Entry'!$C1506&gt;='Visual SPC'!$C$4),OR('Visual SPC'!$E$4="",'Data Entry'!$C1506&lt;='Visual SPC'!$E$4),OR('Visual SPC'!$G$4="",'Data Entry'!$D1506='Visual SPC'!$G$4),OR('Visual SPC'!$I$4="",'Data Entry'!$E1506='Visual SPC'!$I$4),OR('Visual SPC'!$K$4="",'Data Entry'!$F1506='Visual SPC'!$K$4)),1,0))</f>
        <v/>
      </c>
      <c r="C1506">
        <f>C1505+B1506</f>
        <v/>
      </c>
      <c r="D1506">
        <f>IF(B1506=1,INDEX('Data Entry'!$H$5:$BE$10004,1506-4,'Visual SPC'!$B$3),"")</f>
        <v/>
      </c>
      <c r="E1506">
        <f>IF(B1506=1,D1506,E1505)</f>
        <v/>
      </c>
      <c r="F1506">
        <f>IF(AND(B1506=1,C1506&gt;1,E1505&lt;&gt;""),ABS(D1506-E1505),"")</f>
        <v/>
      </c>
    </row>
    <row r="1507">
      <c r="A1507" t="n">
        <v>1507</v>
      </c>
      <c r="B1507">
        <f>IF(INDEX('Data Entry'!$H$5:$BE$10004,1507-4,'Visual SPC'!$B$3)="",0,IF(AND(OR('Visual SPC'!$C$4="",'Data Entry'!$C1507&gt;='Visual SPC'!$C$4),OR('Visual SPC'!$E$4="",'Data Entry'!$C1507&lt;='Visual SPC'!$E$4),OR('Visual SPC'!$G$4="",'Data Entry'!$D1507='Visual SPC'!$G$4),OR('Visual SPC'!$I$4="",'Data Entry'!$E1507='Visual SPC'!$I$4),OR('Visual SPC'!$K$4="",'Data Entry'!$F1507='Visual SPC'!$K$4)),1,0))</f>
        <v/>
      </c>
      <c r="C1507">
        <f>C1506+B1507</f>
        <v/>
      </c>
      <c r="D1507">
        <f>IF(B1507=1,INDEX('Data Entry'!$H$5:$BE$10004,1507-4,'Visual SPC'!$B$3),"")</f>
        <v/>
      </c>
      <c r="E1507">
        <f>IF(B1507=1,D1507,E1506)</f>
        <v/>
      </c>
      <c r="F1507">
        <f>IF(AND(B1507=1,C1507&gt;1,E1506&lt;&gt;""),ABS(D1507-E1506),"")</f>
        <v/>
      </c>
    </row>
    <row r="1508">
      <c r="A1508" t="n">
        <v>1508</v>
      </c>
      <c r="B1508">
        <f>IF(INDEX('Data Entry'!$H$5:$BE$10004,1508-4,'Visual SPC'!$B$3)="",0,IF(AND(OR('Visual SPC'!$C$4="",'Data Entry'!$C1508&gt;='Visual SPC'!$C$4),OR('Visual SPC'!$E$4="",'Data Entry'!$C1508&lt;='Visual SPC'!$E$4),OR('Visual SPC'!$G$4="",'Data Entry'!$D1508='Visual SPC'!$G$4),OR('Visual SPC'!$I$4="",'Data Entry'!$E1508='Visual SPC'!$I$4),OR('Visual SPC'!$K$4="",'Data Entry'!$F1508='Visual SPC'!$K$4)),1,0))</f>
        <v/>
      </c>
      <c r="C1508">
        <f>C1507+B1508</f>
        <v/>
      </c>
      <c r="D1508">
        <f>IF(B1508=1,INDEX('Data Entry'!$H$5:$BE$10004,1508-4,'Visual SPC'!$B$3),"")</f>
        <v/>
      </c>
      <c r="E1508">
        <f>IF(B1508=1,D1508,E1507)</f>
        <v/>
      </c>
      <c r="F1508">
        <f>IF(AND(B1508=1,C1508&gt;1,E1507&lt;&gt;""),ABS(D1508-E1507),"")</f>
        <v/>
      </c>
    </row>
    <row r="1509">
      <c r="A1509" t="n">
        <v>1509</v>
      </c>
      <c r="B1509">
        <f>IF(INDEX('Data Entry'!$H$5:$BE$10004,1509-4,'Visual SPC'!$B$3)="",0,IF(AND(OR('Visual SPC'!$C$4="",'Data Entry'!$C1509&gt;='Visual SPC'!$C$4),OR('Visual SPC'!$E$4="",'Data Entry'!$C1509&lt;='Visual SPC'!$E$4),OR('Visual SPC'!$G$4="",'Data Entry'!$D1509='Visual SPC'!$G$4),OR('Visual SPC'!$I$4="",'Data Entry'!$E1509='Visual SPC'!$I$4),OR('Visual SPC'!$K$4="",'Data Entry'!$F1509='Visual SPC'!$K$4)),1,0))</f>
        <v/>
      </c>
      <c r="C1509">
        <f>C1508+B1509</f>
        <v/>
      </c>
      <c r="D1509">
        <f>IF(B1509=1,INDEX('Data Entry'!$H$5:$BE$10004,1509-4,'Visual SPC'!$B$3),"")</f>
        <v/>
      </c>
      <c r="E1509">
        <f>IF(B1509=1,D1509,E1508)</f>
        <v/>
      </c>
      <c r="F1509">
        <f>IF(AND(B1509=1,C1509&gt;1,E1508&lt;&gt;""),ABS(D1509-E1508),"")</f>
        <v/>
      </c>
    </row>
    <row r="1510">
      <c r="A1510" t="n">
        <v>1510</v>
      </c>
      <c r="B1510">
        <f>IF(INDEX('Data Entry'!$H$5:$BE$10004,1510-4,'Visual SPC'!$B$3)="",0,IF(AND(OR('Visual SPC'!$C$4="",'Data Entry'!$C1510&gt;='Visual SPC'!$C$4),OR('Visual SPC'!$E$4="",'Data Entry'!$C1510&lt;='Visual SPC'!$E$4),OR('Visual SPC'!$G$4="",'Data Entry'!$D1510='Visual SPC'!$G$4),OR('Visual SPC'!$I$4="",'Data Entry'!$E1510='Visual SPC'!$I$4),OR('Visual SPC'!$K$4="",'Data Entry'!$F1510='Visual SPC'!$K$4)),1,0))</f>
        <v/>
      </c>
      <c r="C1510">
        <f>C1509+B1510</f>
        <v/>
      </c>
      <c r="D1510">
        <f>IF(B1510=1,INDEX('Data Entry'!$H$5:$BE$10004,1510-4,'Visual SPC'!$B$3),"")</f>
        <v/>
      </c>
      <c r="E1510">
        <f>IF(B1510=1,D1510,E1509)</f>
        <v/>
      </c>
      <c r="F1510">
        <f>IF(AND(B1510=1,C1510&gt;1,E1509&lt;&gt;""),ABS(D1510-E1509),"")</f>
        <v/>
      </c>
    </row>
    <row r="1511">
      <c r="A1511" t="n">
        <v>1511</v>
      </c>
      <c r="B1511">
        <f>IF(INDEX('Data Entry'!$H$5:$BE$10004,1511-4,'Visual SPC'!$B$3)="",0,IF(AND(OR('Visual SPC'!$C$4="",'Data Entry'!$C1511&gt;='Visual SPC'!$C$4),OR('Visual SPC'!$E$4="",'Data Entry'!$C1511&lt;='Visual SPC'!$E$4),OR('Visual SPC'!$G$4="",'Data Entry'!$D1511='Visual SPC'!$G$4),OR('Visual SPC'!$I$4="",'Data Entry'!$E1511='Visual SPC'!$I$4),OR('Visual SPC'!$K$4="",'Data Entry'!$F1511='Visual SPC'!$K$4)),1,0))</f>
        <v/>
      </c>
      <c r="C1511">
        <f>C1510+B1511</f>
        <v/>
      </c>
      <c r="D1511">
        <f>IF(B1511=1,INDEX('Data Entry'!$H$5:$BE$10004,1511-4,'Visual SPC'!$B$3),"")</f>
        <v/>
      </c>
      <c r="E1511">
        <f>IF(B1511=1,D1511,E1510)</f>
        <v/>
      </c>
      <c r="F1511">
        <f>IF(AND(B1511=1,C1511&gt;1,E1510&lt;&gt;""),ABS(D1511-E1510),"")</f>
        <v/>
      </c>
    </row>
    <row r="1512">
      <c r="A1512" t="n">
        <v>1512</v>
      </c>
      <c r="B1512">
        <f>IF(INDEX('Data Entry'!$H$5:$BE$10004,1512-4,'Visual SPC'!$B$3)="",0,IF(AND(OR('Visual SPC'!$C$4="",'Data Entry'!$C1512&gt;='Visual SPC'!$C$4),OR('Visual SPC'!$E$4="",'Data Entry'!$C1512&lt;='Visual SPC'!$E$4),OR('Visual SPC'!$G$4="",'Data Entry'!$D1512='Visual SPC'!$G$4),OR('Visual SPC'!$I$4="",'Data Entry'!$E1512='Visual SPC'!$I$4),OR('Visual SPC'!$K$4="",'Data Entry'!$F1512='Visual SPC'!$K$4)),1,0))</f>
        <v/>
      </c>
      <c r="C1512">
        <f>C1511+B1512</f>
        <v/>
      </c>
      <c r="D1512">
        <f>IF(B1512=1,INDEX('Data Entry'!$H$5:$BE$10004,1512-4,'Visual SPC'!$B$3),"")</f>
        <v/>
      </c>
      <c r="E1512">
        <f>IF(B1512=1,D1512,E1511)</f>
        <v/>
      </c>
      <c r="F1512">
        <f>IF(AND(B1512=1,C1512&gt;1,E1511&lt;&gt;""),ABS(D1512-E1511),"")</f>
        <v/>
      </c>
    </row>
    <row r="1513">
      <c r="A1513" t="n">
        <v>1513</v>
      </c>
      <c r="B1513">
        <f>IF(INDEX('Data Entry'!$H$5:$BE$10004,1513-4,'Visual SPC'!$B$3)="",0,IF(AND(OR('Visual SPC'!$C$4="",'Data Entry'!$C1513&gt;='Visual SPC'!$C$4),OR('Visual SPC'!$E$4="",'Data Entry'!$C1513&lt;='Visual SPC'!$E$4),OR('Visual SPC'!$G$4="",'Data Entry'!$D1513='Visual SPC'!$G$4),OR('Visual SPC'!$I$4="",'Data Entry'!$E1513='Visual SPC'!$I$4),OR('Visual SPC'!$K$4="",'Data Entry'!$F1513='Visual SPC'!$K$4)),1,0))</f>
        <v/>
      </c>
      <c r="C1513">
        <f>C1512+B1513</f>
        <v/>
      </c>
      <c r="D1513">
        <f>IF(B1513=1,INDEX('Data Entry'!$H$5:$BE$10004,1513-4,'Visual SPC'!$B$3),"")</f>
        <v/>
      </c>
      <c r="E1513">
        <f>IF(B1513=1,D1513,E1512)</f>
        <v/>
      </c>
      <c r="F1513">
        <f>IF(AND(B1513=1,C1513&gt;1,E1512&lt;&gt;""),ABS(D1513-E1512),"")</f>
        <v/>
      </c>
    </row>
    <row r="1514">
      <c r="A1514" t="n">
        <v>1514</v>
      </c>
      <c r="B1514">
        <f>IF(INDEX('Data Entry'!$H$5:$BE$10004,1514-4,'Visual SPC'!$B$3)="",0,IF(AND(OR('Visual SPC'!$C$4="",'Data Entry'!$C1514&gt;='Visual SPC'!$C$4),OR('Visual SPC'!$E$4="",'Data Entry'!$C1514&lt;='Visual SPC'!$E$4),OR('Visual SPC'!$G$4="",'Data Entry'!$D1514='Visual SPC'!$G$4),OR('Visual SPC'!$I$4="",'Data Entry'!$E1514='Visual SPC'!$I$4),OR('Visual SPC'!$K$4="",'Data Entry'!$F1514='Visual SPC'!$K$4)),1,0))</f>
        <v/>
      </c>
      <c r="C1514">
        <f>C1513+B1514</f>
        <v/>
      </c>
      <c r="D1514">
        <f>IF(B1514=1,INDEX('Data Entry'!$H$5:$BE$10004,1514-4,'Visual SPC'!$B$3),"")</f>
        <v/>
      </c>
      <c r="E1514">
        <f>IF(B1514=1,D1514,E1513)</f>
        <v/>
      </c>
      <c r="F1514">
        <f>IF(AND(B1514=1,C1514&gt;1,E1513&lt;&gt;""),ABS(D1514-E1513),"")</f>
        <v/>
      </c>
    </row>
    <row r="1515">
      <c r="A1515" t="n">
        <v>1515</v>
      </c>
      <c r="B1515">
        <f>IF(INDEX('Data Entry'!$H$5:$BE$10004,1515-4,'Visual SPC'!$B$3)="",0,IF(AND(OR('Visual SPC'!$C$4="",'Data Entry'!$C1515&gt;='Visual SPC'!$C$4),OR('Visual SPC'!$E$4="",'Data Entry'!$C1515&lt;='Visual SPC'!$E$4),OR('Visual SPC'!$G$4="",'Data Entry'!$D1515='Visual SPC'!$G$4),OR('Visual SPC'!$I$4="",'Data Entry'!$E1515='Visual SPC'!$I$4),OR('Visual SPC'!$K$4="",'Data Entry'!$F1515='Visual SPC'!$K$4)),1,0))</f>
        <v/>
      </c>
      <c r="C1515">
        <f>C1514+B1515</f>
        <v/>
      </c>
      <c r="D1515">
        <f>IF(B1515=1,INDEX('Data Entry'!$H$5:$BE$10004,1515-4,'Visual SPC'!$B$3),"")</f>
        <v/>
      </c>
      <c r="E1515">
        <f>IF(B1515=1,D1515,E1514)</f>
        <v/>
      </c>
      <c r="F1515">
        <f>IF(AND(B1515=1,C1515&gt;1,E1514&lt;&gt;""),ABS(D1515-E1514),"")</f>
        <v/>
      </c>
    </row>
    <row r="1516">
      <c r="A1516" t="n">
        <v>1516</v>
      </c>
      <c r="B1516">
        <f>IF(INDEX('Data Entry'!$H$5:$BE$10004,1516-4,'Visual SPC'!$B$3)="",0,IF(AND(OR('Visual SPC'!$C$4="",'Data Entry'!$C1516&gt;='Visual SPC'!$C$4),OR('Visual SPC'!$E$4="",'Data Entry'!$C1516&lt;='Visual SPC'!$E$4),OR('Visual SPC'!$G$4="",'Data Entry'!$D1516='Visual SPC'!$G$4),OR('Visual SPC'!$I$4="",'Data Entry'!$E1516='Visual SPC'!$I$4),OR('Visual SPC'!$K$4="",'Data Entry'!$F1516='Visual SPC'!$K$4)),1,0))</f>
        <v/>
      </c>
      <c r="C1516">
        <f>C1515+B1516</f>
        <v/>
      </c>
      <c r="D1516">
        <f>IF(B1516=1,INDEX('Data Entry'!$H$5:$BE$10004,1516-4,'Visual SPC'!$B$3),"")</f>
        <v/>
      </c>
      <c r="E1516">
        <f>IF(B1516=1,D1516,E1515)</f>
        <v/>
      </c>
      <c r="F1516">
        <f>IF(AND(B1516=1,C1516&gt;1,E1515&lt;&gt;""),ABS(D1516-E1515),"")</f>
        <v/>
      </c>
    </row>
    <row r="1517">
      <c r="A1517" t="n">
        <v>1517</v>
      </c>
      <c r="B1517">
        <f>IF(INDEX('Data Entry'!$H$5:$BE$10004,1517-4,'Visual SPC'!$B$3)="",0,IF(AND(OR('Visual SPC'!$C$4="",'Data Entry'!$C1517&gt;='Visual SPC'!$C$4),OR('Visual SPC'!$E$4="",'Data Entry'!$C1517&lt;='Visual SPC'!$E$4),OR('Visual SPC'!$G$4="",'Data Entry'!$D1517='Visual SPC'!$G$4),OR('Visual SPC'!$I$4="",'Data Entry'!$E1517='Visual SPC'!$I$4),OR('Visual SPC'!$K$4="",'Data Entry'!$F1517='Visual SPC'!$K$4)),1,0))</f>
        <v/>
      </c>
      <c r="C1517">
        <f>C1516+B1517</f>
        <v/>
      </c>
      <c r="D1517">
        <f>IF(B1517=1,INDEX('Data Entry'!$H$5:$BE$10004,1517-4,'Visual SPC'!$B$3),"")</f>
        <v/>
      </c>
      <c r="E1517">
        <f>IF(B1517=1,D1517,E1516)</f>
        <v/>
      </c>
      <c r="F1517">
        <f>IF(AND(B1517=1,C1517&gt;1,E1516&lt;&gt;""),ABS(D1517-E1516),"")</f>
        <v/>
      </c>
    </row>
    <row r="1518">
      <c r="A1518" t="n">
        <v>1518</v>
      </c>
      <c r="B1518">
        <f>IF(INDEX('Data Entry'!$H$5:$BE$10004,1518-4,'Visual SPC'!$B$3)="",0,IF(AND(OR('Visual SPC'!$C$4="",'Data Entry'!$C1518&gt;='Visual SPC'!$C$4),OR('Visual SPC'!$E$4="",'Data Entry'!$C1518&lt;='Visual SPC'!$E$4),OR('Visual SPC'!$G$4="",'Data Entry'!$D1518='Visual SPC'!$G$4),OR('Visual SPC'!$I$4="",'Data Entry'!$E1518='Visual SPC'!$I$4),OR('Visual SPC'!$K$4="",'Data Entry'!$F1518='Visual SPC'!$K$4)),1,0))</f>
        <v/>
      </c>
      <c r="C1518">
        <f>C1517+B1518</f>
        <v/>
      </c>
      <c r="D1518">
        <f>IF(B1518=1,INDEX('Data Entry'!$H$5:$BE$10004,1518-4,'Visual SPC'!$B$3),"")</f>
        <v/>
      </c>
      <c r="E1518">
        <f>IF(B1518=1,D1518,E1517)</f>
        <v/>
      </c>
      <c r="F1518">
        <f>IF(AND(B1518=1,C1518&gt;1,E1517&lt;&gt;""),ABS(D1518-E1517),"")</f>
        <v/>
      </c>
    </row>
    <row r="1519">
      <c r="A1519" t="n">
        <v>1519</v>
      </c>
      <c r="B1519">
        <f>IF(INDEX('Data Entry'!$H$5:$BE$10004,1519-4,'Visual SPC'!$B$3)="",0,IF(AND(OR('Visual SPC'!$C$4="",'Data Entry'!$C1519&gt;='Visual SPC'!$C$4),OR('Visual SPC'!$E$4="",'Data Entry'!$C1519&lt;='Visual SPC'!$E$4),OR('Visual SPC'!$G$4="",'Data Entry'!$D1519='Visual SPC'!$G$4),OR('Visual SPC'!$I$4="",'Data Entry'!$E1519='Visual SPC'!$I$4),OR('Visual SPC'!$K$4="",'Data Entry'!$F1519='Visual SPC'!$K$4)),1,0))</f>
        <v/>
      </c>
      <c r="C1519">
        <f>C1518+B1519</f>
        <v/>
      </c>
      <c r="D1519">
        <f>IF(B1519=1,INDEX('Data Entry'!$H$5:$BE$10004,1519-4,'Visual SPC'!$B$3),"")</f>
        <v/>
      </c>
      <c r="E1519">
        <f>IF(B1519=1,D1519,E1518)</f>
        <v/>
      </c>
      <c r="F1519">
        <f>IF(AND(B1519=1,C1519&gt;1,E1518&lt;&gt;""),ABS(D1519-E1518),"")</f>
        <v/>
      </c>
    </row>
    <row r="1520">
      <c r="A1520" t="n">
        <v>1520</v>
      </c>
      <c r="B1520">
        <f>IF(INDEX('Data Entry'!$H$5:$BE$10004,1520-4,'Visual SPC'!$B$3)="",0,IF(AND(OR('Visual SPC'!$C$4="",'Data Entry'!$C1520&gt;='Visual SPC'!$C$4),OR('Visual SPC'!$E$4="",'Data Entry'!$C1520&lt;='Visual SPC'!$E$4),OR('Visual SPC'!$G$4="",'Data Entry'!$D1520='Visual SPC'!$G$4),OR('Visual SPC'!$I$4="",'Data Entry'!$E1520='Visual SPC'!$I$4),OR('Visual SPC'!$K$4="",'Data Entry'!$F1520='Visual SPC'!$K$4)),1,0))</f>
        <v/>
      </c>
      <c r="C1520">
        <f>C1519+B1520</f>
        <v/>
      </c>
      <c r="D1520">
        <f>IF(B1520=1,INDEX('Data Entry'!$H$5:$BE$10004,1520-4,'Visual SPC'!$B$3),"")</f>
        <v/>
      </c>
      <c r="E1520">
        <f>IF(B1520=1,D1520,E1519)</f>
        <v/>
      </c>
      <c r="F1520">
        <f>IF(AND(B1520=1,C1520&gt;1,E1519&lt;&gt;""),ABS(D1520-E1519),"")</f>
        <v/>
      </c>
    </row>
    <row r="1521">
      <c r="A1521" t="n">
        <v>1521</v>
      </c>
      <c r="B1521">
        <f>IF(INDEX('Data Entry'!$H$5:$BE$10004,1521-4,'Visual SPC'!$B$3)="",0,IF(AND(OR('Visual SPC'!$C$4="",'Data Entry'!$C1521&gt;='Visual SPC'!$C$4),OR('Visual SPC'!$E$4="",'Data Entry'!$C1521&lt;='Visual SPC'!$E$4),OR('Visual SPC'!$G$4="",'Data Entry'!$D1521='Visual SPC'!$G$4),OR('Visual SPC'!$I$4="",'Data Entry'!$E1521='Visual SPC'!$I$4),OR('Visual SPC'!$K$4="",'Data Entry'!$F1521='Visual SPC'!$K$4)),1,0))</f>
        <v/>
      </c>
      <c r="C1521">
        <f>C1520+B1521</f>
        <v/>
      </c>
      <c r="D1521">
        <f>IF(B1521=1,INDEX('Data Entry'!$H$5:$BE$10004,1521-4,'Visual SPC'!$B$3),"")</f>
        <v/>
      </c>
      <c r="E1521">
        <f>IF(B1521=1,D1521,E1520)</f>
        <v/>
      </c>
      <c r="F1521">
        <f>IF(AND(B1521=1,C1521&gt;1,E1520&lt;&gt;""),ABS(D1521-E1520),"")</f>
        <v/>
      </c>
    </row>
    <row r="1522">
      <c r="A1522" t="n">
        <v>1522</v>
      </c>
      <c r="B1522">
        <f>IF(INDEX('Data Entry'!$H$5:$BE$10004,1522-4,'Visual SPC'!$B$3)="",0,IF(AND(OR('Visual SPC'!$C$4="",'Data Entry'!$C1522&gt;='Visual SPC'!$C$4),OR('Visual SPC'!$E$4="",'Data Entry'!$C1522&lt;='Visual SPC'!$E$4),OR('Visual SPC'!$G$4="",'Data Entry'!$D1522='Visual SPC'!$G$4),OR('Visual SPC'!$I$4="",'Data Entry'!$E1522='Visual SPC'!$I$4),OR('Visual SPC'!$K$4="",'Data Entry'!$F1522='Visual SPC'!$K$4)),1,0))</f>
        <v/>
      </c>
      <c r="C1522">
        <f>C1521+B1522</f>
        <v/>
      </c>
      <c r="D1522">
        <f>IF(B1522=1,INDEX('Data Entry'!$H$5:$BE$10004,1522-4,'Visual SPC'!$B$3),"")</f>
        <v/>
      </c>
      <c r="E1522">
        <f>IF(B1522=1,D1522,E1521)</f>
        <v/>
      </c>
      <c r="F1522">
        <f>IF(AND(B1522=1,C1522&gt;1,E1521&lt;&gt;""),ABS(D1522-E1521),"")</f>
        <v/>
      </c>
    </row>
    <row r="1523">
      <c r="A1523" t="n">
        <v>1523</v>
      </c>
      <c r="B1523">
        <f>IF(INDEX('Data Entry'!$H$5:$BE$10004,1523-4,'Visual SPC'!$B$3)="",0,IF(AND(OR('Visual SPC'!$C$4="",'Data Entry'!$C1523&gt;='Visual SPC'!$C$4),OR('Visual SPC'!$E$4="",'Data Entry'!$C1523&lt;='Visual SPC'!$E$4),OR('Visual SPC'!$G$4="",'Data Entry'!$D1523='Visual SPC'!$G$4),OR('Visual SPC'!$I$4="",'Data Entry'!$E1523='Visual SPC'!$I$4),OR('Visual SPC'!$K$4="",'Data Entry'!$F1523='Visual SPC'!$K$4)),1,0))</f>
        <v/>
      </c>
      <c r="C1523">
        <f>C1522+B1523</f>
        <v/>
      </c>
      <c r="D1523">
        <f>IF(B1523=1,INDEX('Data Entry'!$H$5:$BE$10004,1523-4,'Visual SPC'!$B$3),"")</f>
        <v/>
      </c>
      <c r="E1523">
        <f>IF(B1523=1,D1523,E1522)</f>
        <v/>
      </c>
      <c r="F1523">
        <f>IF(AND(B1523=1,C1523&gt;1,E1522&lt;&gt;""),ABS(D1523-E1522),"")</f>
        <v/>
      </c>
    </row>
    <row r="1524">
      <c r="A1524" t="n">
        <v>1524</v>
      </c>
      <c r="B1524">
        <f>IF(INDEX('Data Entry'!$H$5:$BE$10004,1524-4,'Visual SPC'!$B$3)="",0,IF(AND(OR('Visual SPC'!$C$4="",'Data Entry'!$C1524&gt;='Visual SPC'!$C$4),OR('Visual SPC'!$E$4="",'Data Entry'!$C1524&lt;='Visual SPC'!$E$4),OR('Visual SPC'!$G$4="",'Data Entry'!$D1524='Visual SPC'!$G$4),OR('Visual SPC'!$I$4="",'Data Entry'!$E1524='Visual SPC'!$I$4),OR('Visual SPC'!$K$4="",'Data Entry'!$F1524='Visual SPC'!$K$4)),1,0))</f>
        <v/>
      </c>
      <c r="C1524">
        <f>C1523+B1524</f>
        <v/>
      </c>
      <c r="D1524">
        <f>IF(B1524=1,INDEX('Data Entry'!$H$5:$BE$10004,1524-4,'Visual SPC'!$B$3),"")</f>
        <v/>
      </c>
      <c r="E1524">
        <f>IF(B1524=1,D1524,E1523)</f>
        <v/>
      </c>
      <c r="F1524">
        <f>IF(AND(B1524=1,C1524&gt;1,E1523&lt;&gt;""),ABS(D1524-E1523),"")</f>
        <v/>
      </c>
    </row>
    <row r="1525">
      <c r="A1525" t="n">
        <v>1525</v>
      </c>
      <c r="B1525">
        <f>IF(INDEX('Data Entry'!$H$5:$BE$10004,1525-4,'Visual SPC'!$B$3)="",0,IF(AND(OR('Visual SPC'!$C$4="",'Data Entry'!$C1525&gt;='Visual SPC'!$C$4),OR('Visual SPC'!$E$4="",'Data Entry'!$C1525&lt;='Visual SPC'!$E$4),OR('Visual SPC'!$G$4="",'Data Entry'!$D1525='Visual SPC'!$G$4),OR('Visual SPC'!$I$4="",'Data Entry'!$E1525='Visual SPC'!$I$4),OR('Visual SPC'!$K$4="",'Data Entry'!$F1525='Visual SPC'!$K$4)),1,0))</f>
        <v/>
      </c>
      <c r="C1525">
        <f>C1524+B1525</f>
        <v/>
      </c>
      <c r="D1525">
        <f>IF(B1525=1,INDEX('Data Entry'!$H$5:$BE$10004,1525-4,'Visual SPC'!$B$3),"")</f>
        <v/>
      </c>
      <c r="E1525">
        <f>IF(B1525=1,D1525,E1524)</f>
        <v/>
      </c>
      <c r="F1525">
        <f>IF(AND(B1525=1,C1525&gt;1,E1524&lt;&gt;""),ABS(D1525-E1524),"")</f>
        <v/>
      </c>
    </row>
    <row r="1526">
      <c r="A1526" t="n">
        <v>1526</v>
      </c>
      <c r="B1526">
        <f>IF(INDEX('Data Entry'!$H$5:$BE$10004,1526-4,'Visual SPC'!$B$3)="",0,IF(AND(OR('Visual SPC'!$C$4="",'Data Entry'!$C1526&gt;='Visual SPC'!$C$4),OR('Visual SPC'!$E$4="",'Data Entry'!$C1526&lt;='Visual SPC'!$E$4),OR('Visual SPC'!$G$4="",'Data Entry'!$D1526='Visual SPC'!$G$4),OR('Visual SPC'!$I$4="",'Data Entry'!$E1526='Visual SPC'!$I$4),OR('Visual SPC'!$K$4="",'Data Entry'!$F1526='Visual SPC'!$K$4)),1,0))</f>
        <v/>
      </c>
      <c r="C1526">
        <f>C1525+B1526</f>
        <v/>
      </c>
      <c r="D1526">
        <f>IF(B1526=1,INDEX('Data Entry'!$H$5:$BE$10004,1526-4,'Visual SPC'!$B$3),"")</f>
        <v/>
      </c>
      <c r="E1526">
        <f>IF(B1526=1,D1526,E1525)</f>
        <v/>
      </c>
      <c r="F1526">
        <f>IF(AND(B1526=1,C1526&gt;1,E1525&lt;&gt;""),ABS(D1526-E1525),"")</f>
        <v/>
      </c>
    </row>
    <row r="1527">
      <c r="A1527" t="n">
        <v>1527</v>
      </c>
      <c r="B1527">
        <f>IF(INDEX('Data Entry'!$H$5:$BE$10004,1527-4,'Visual SPC'!$B$3)="",0,IF(AND(OR('Visual SPC'!$C$4="",'Data Entry'!$C1527&gt;='Visual SPC'!$C$4),OR('Visual SPC'!$E$4="",'Data Entry'!$C1527&lt;='Visual SPC'!$E$4),OR('Visual SPC'!$G$4="",'Data Entry'!$D1527='Visual SPC'!$G$4),OR('Visual SPC'!$I$4="",'Data Entry'!$E1527='Visual SPC'!$I$4),OR('Visual SPC'!$K$4="",'Data Entry'!$F1527='Visual SPC'!$K$4)),1,0))</f>
        <v/>
      </c>
      <c r="C1527">
        <f>C1526+B1527</f>
        <v/>
      </c>
      <c r="D1527">
        <f>IF(B1527=1,INDEX('Data Entry'!$H$5:$BE$10004,1527-4,'Visual SPC'!$B$3),"")</f>
        <v/>
      </c>
      <c r="E1527">
        <f>IF(B1527=1,D1527,E1526)</f>
        <v/>
      </c>
      <c r="F1527">
        <f>IF(AND(B1527=1,C1527&gt;1,E1526&lt;&gt;""),ABS(D1527-E1526),"")</f>
        <v/>
      </c>
    </row>
    <row r="1528">
      <c r="A1528" t="n">
        <v>1528</v>
      </c>
      <c r="B1528">
        <f>IF(INDEX('Data Entry'!$H$5:$BE$10004,1528-4,'Visual SPC'!$B$3)="",0,IF(AND(OR('Visual SPC'!$C$4="",'Data Entry'!$C1528&gt;='Visual SPC'!$C$4),OR('Visual SPC'!$E$4="",'Data Entry'!$C1528&lt;='Visual SPC'!$E$4),OR('Visual SPC'!$G$4="",'Data Entry'!$D1528='Visual SPC'!$G$4),OR('Visual SPC'!$I$4="",'Data Entry'!$E1528='Visual SPC'!$I$4),OR('Visual SPC'!$K$4="",'Data Entry'!$F1528='Visual SPC'!$K$4)),1,0))</f>
        <v/>
      </c>
      <c r="C1528">
        <f>C1527+B1528</f>
        <v/>
      </c>
      <c r="D1528">
        <f>IF(B1528=1,INDEX('Data Entry'!$H$5:$BE$10004,1528-4,'Visual SPC'!$B$3),"")</f>
        <v/>
      </c>
      <c r="E1528">
        <f>IF(B1528=1,D1528,E1527)</f>
        <v/>
      </c>
      <c r="F1528">
        <f>IF(AND(B1528=1,C1528&gt;1,E1527&lt;&gt;""),ABS(D1528-E1527),"")</f>
        <v/>
      </c>
    </row>
    <row r="1529">
      <c r="A1529" t="n">
        <v>1529</v>
      </c>
      <c r="B1529">
        <f>IF(INDEX('Data Entry'!$H$5:$BE$10004,1529-4,'Visual SPC'!$B$3)="",0,IF(AND(OR('Visual SPC'!$C$4="",'Data Entry'!$C1529&gt;='Visual SPC'!$C$4),OR('Visual SPC'!$E$4="",'Data Entry'!$C1529&lt;='Visual SPC'!$E$4),OR('Visual SPC'!$G$4="",'Data Entry'!$D1529='Visual SPC'!$G$4),OR('Visual SPC'!$I$4="",'Data Entry'!$E1529='Visual SPC'!$I$4),OR('Visual SPC'!$K$4="",'Data Entry'!$F1529='Visual SPC'!$K$4)),1,0))</f>
        <v/>
      </c>
      <c r="C1529">
        <f>C1528+B1529</f>
        <v/>
      </c>
      <c r="D1529">
        <f>IF(B1529=1,INDEX('Data Entry'!$H$5:$BE$10004,1529-4,'Visual SPC'!$B$3),"")</f>
        <v/>
      </c>
      <c r="E1529">
        <f>IF(B1529=1,D1529,E1528)</f>
        <v/>
      </c>
      <c r="F1529">
        <f>IF(AND(B1529=1,C1529&gt;1,E1528&lt;&gt;""),ABS(D1529-E1528),"")</f>
        <v/>
      </c>
    </row>
    <row r="1530">
      <c r="A1530" t="n">
        <v>1530</v>
      </c>
      <c r="B1530">
        <f>IF(INDEX('Data Entry'!$H$5:$BE$10004,1530-4,'Visual SPC'!$B$3)="",0,IF(AND(OR('Visual SPC'!$C$4="",'Data Entry'!$C1530&gt;='Visual SPC'!$C$4),OR('Visual SPC'!$E$4="",'Data Entry'!$C1530&lt;='Visual SPC'!$E$4),OR('Visual SPC'!$G$4="",'Data Entry'!$D1530='Visual SPC'!$G$4),OR('Visual SPC'!$I$4="",'Data Entry'!$E1530='Visual SPC'!$I$4),OR('Visual SPC'!$K$4="",'Data Entry'!$F1530='Visual SPC'!$K$4)),1,0))</f>
        <v/>
      </c>
      <c r="C1530">
        <f>C1529+B1530</f>
        <v/>
      </c>
      <c r="D1530">
        <f>IF(B1530=1,INDEX('Data Entry'!$H$5:$BE$10004,1530-4,'Visual SPC'!$B$3),"")</f>
        <v/>
      </c>
      <c r="E1530">
        <f>IF(B1530=1,D1530,E1529)</f>
        <v/>
      </c>
      <c r="F1530">
        <f>IF(AND(B1530=1,C1530&gt;1,E1529&lt;&gt;""),ABS(D1530-E1529),"")</f>
        <v/>
      </c>
    </row>
    <row r="1531">
      <c r="A1531" t="n">
        <v>1531</v>
      </c>
      <c r="B1531">
        <f>IF(INDEX('Data Entry'!$H$5:$BE$10004,1531-4,'Visual SPC'!$B$3)="",0,IF(AND(OR('Visual SPC'!$C$4="",'Data Entry'!$C1531&gt;='Visual SPC'!$C$4),OR('Visual SPC'!$E$4="",'Data Entry'!$C1531&lt;='Visual SPC'!$E$4),OR('Visual SPC'!$G$4="",'Data Entry'!$D1531='Visual SPC'!$G$4),OR('Visual SPC'!$I$4="",'Data Entry'!$E1531='Visual SPC'!$I$4),OR('Visual SPC'!$K$4="",'Data Entry'!$F1531='Visual SPC'!$K$4)),1,0))</f>
        <v/>
      </c>
      <c r="C1531">
        <f>C1530+B1531</f>
        <v/>
      </c>
      <c r="D1531">
        <f>IF(B1531=1,INDEX('Data Entry'!$H$5:$BE$10004,1531-4,'Visual SPC'!$B$3),"")</f>
        <v/>
      </c>
      <c r="E1531">
        <f>IF(B1531=1,D1531,E1530)</f>
        <v/>
      </c>
      <c r="F1531">
        <f>IF(AND(B1531=1,C1531&gt;1,E1530&lt;&gt;""),ABS(D1531-E1530),"")</f>
        <v/>
      </c>
    </row>
    <row r="1532">
      <c r="A1532" t="n">
        <v>1532</v>
      </c>
      <c r="B1532">
        <f>IF(INDEX('Data Entry'!$H$5:$BE$10004,1532-4,'Visual SPC'!$B$3)="",0,IF(AND(OR('Visual SPC'!$C$4="",'Data Entry'!$C1532&gt;='Visual SPC'!$C$4),OR('Visual SPC'!$E$4="",'Data Entry'!$C1532&lt;='Visual SPC'!$E$4),OR('Visual SPC'!$G$4="",'Data Entry'!$D1532='Visual SPC'!$G$4),OR('Visual SPC'!$I$4="",'Data Entry'!$E1532='Visual SPC'!$I$4),OR('Visual SPC'!$K$4="",'Data Entry'!$F1532='Visual SPC'!$K$4)),1,0))</f>
        <v/>
      </c>
      <c r="C1532">
        <f>C1531+B1532</f>
        <v/>
      </c>
      <c r="D1532">
        <f>IF(B1532=1,INDEX('Data Entry'!$H$5:$BE$10004,1532-4,'Visual SPC'!$B$3),"")</f>
        <v/>
      </c>
      <c r="E1532">
        <f>IF(B1532=1,D1532,E1531)</f>
        <v/>
      </c>
      <c r="F1532">
        <f>IF(AND(B1532=1,C1532&gt;1,E1531&lt;&gt;""),ABS(D1532-E1531),"")</f>
        <v/>
      </c>
    </row>
    <row r="1533">
      <c r="A1533" t="n">
        <v>1533</v>
      </c>
      <c r="B1533">
        <f>IF(INDEX('Data Entry'!$H$5:$BE$10004,1533-4,'Visual SPC'!$B$3)="",0,IF(AND(OR('Visual SPC'!$C$4="",'Data Entry'!$C1533&gt;='Visual SPC'!$C$4),OR('Visual SPC'!$E$4="",'Data Entry'!$C1533&lt;='Visual SPC'!$E$4),OR('Visual SPC'!$G$4="",'Data Entry'!$D1533='Visual SPC'!$G$4),OR('Visual SPC'!$I$4="",'Data Entry'!$E1533='Visual SPC'!$I$4),OR('Visual SPC'!$K$4="",'Data Entry'!$F1533='Visual SPC'!$K$4)),1,0))</f>
        <v/>
      </c>
      <c r="C1533">
        <f>C1532+B1533</f>
        <v/>
      </c>
      <c r="D1533">
        <f>IF(B1533=1,INDEX('Data Entry'!$H$5:$BE$10004,1533-4,'Visual SPC'!$B$3),"")</f>
        <v/>
      </c>
      <c r="E1533">
        <f>IF(B1533=1,D1533,E1532)</f>
        <v/>
      </c>
      <c r="F1533">
        <f>IF(AND(B1533=1,C1533&gt;1,E1532&lt;&gt;""),ABS(D1533-E1532),"")</f>
        <v/>
      </c>
    </row>
    <row r="1534">
      <c r="A1534" t="n">
        <v>1534</v>
      </c>
      <c r="B1534">
        <f>IF(INDEX('Data Entry'!$H$5:$BE$10004,1534-4,'Visual SPC'!$B$3)="",0,IF(AND(OR('Visual SPC'!$C$4="",'Data Entry'!$C1534&gt;='Visual SPC'!$C$4),OR('Visual SPC'!$E$4="",'Data Entry'!$C1534&lt;='Visual SPC'!$E$4),OR('Visual SPC'!$G$4="",'Data Entry'!$D1534='Visual SPC'!$G$4),OR('Visual SPC'!$I$4="",'Data Entry'!$E1534='Visual SPC'!$I$4),OR('Visual SPC'!$K$4="",'Data Entry'!$F1534='Visual SPC'!$K$4)),1,0))</f>
        <v/>
      </c>
      <c r="C1534">
        <f>C1533+B1534</f>
        <v/>
      </c>
      <c r="D1534">
        <f>IF(B1534=1,INDEX('Data Entry'!$H$5:$BE$10004,1534-4,'Visual SPC'!$B$3),"")</f>
        <v/>
      </c>
      <c r="E1534">
        <f>IF(B1534=1,D1534,E1533)</f>
        <v/>
      </c>
      <c r="F1534">
        <f>IF(AND(B1534=1,C1534&gt;1,E1533&lt;&gt;""),ABS(D1534-E1533),"")</f>
        <v/>
      </c>
    </row>
    <row r="1535">
      <c r="A1535" t="n">
        <v>1535</v>
      </c>
      <c r="B1535">
        <f>IF(INDEX('Data Entry'!$H$5:$BE$10004,1535-4,'Visual SPC'!$B$3)="",0,IF(AND(OR('Visual SPC'!$C$4="",'Data Entry'!$C1535&gt;='Visual SPC'!$C$4),OR('Visual SPC'!$E$4="",'Data Entry'!$C1535&lt;='Visual SPC'!$E$4),OR('Visual SPC'!$G$4="",'Data Entry'!$D1535='Visual SPC'!$G$4),OR('Visual SPC'!$I$4="",'Data Entry'!$E1535='Visual SPC'!$I$4),OR('Visual SPC'!$K$4="",'Data Entry'!$F1535='Visual SPC'!$K$4)),1,0))</f>
        <v/>
      </c>
      <c r="C1535">
        <f>C1534+B1535</f>
        <v/>
      </c>
      <c r="D1535">
        <f>IF(B1535=1,INDEX('Data Entry'!$H$5:$BE$10004,1535-4,'Visual SPC'!$B$3),"")</f>
        <v/>
      </c>
      <c r="E1535">
        <f>IF(B1535=1,D1535,E1534)</f>
        <v/>
      </c>
      <c r="F1535">
        <f>IF(AND(B1535=1,C1535&gt;1,E1534&lt;&gt;""),ABS(D1535-E1534),"")</f>
        <v/>
      </c>
    </row>
    <row r="1536">
      <c r="A1536" t="n">
        <v>1536</v>
      </c>
      <c r="B1536">
        <f>IF(INDEX('Data Entry'!$H$5:$BE$10004,1536-4,'Visual SPC'!$B$3)="",0,IF(AND(OR('Visual SPC'!$C$4="",'Data Entry'!$C1536&gt;='Visual SPC'!$C$4),OR('Visual SPC'!$E$4="",'Data Entry'!$C1536&lt;='Visual SPC'!$E$4),OR('Visual SPC'!$G$4="",'Data Entry'!$D1536='Visual SPC'!$G$4),OR('Visual SPC'!$I$4="",'Data Entry'!$E1536='Visual SPC'!$I$4),OR('Visual SPC'!$K$4="",'Data Entry'!$F1536='Visual SPC'!$K$4)),1,0))</f>
        <v/>
      </c>
      <c r="C1536">
        <f>C1535+B1536</f>
        <v/>
      </c>
      <c r="D1536">
        <f>IF(B1536=1,INDEX('Data Entry'!$H$5:$BE$10004,1536-4,'Visual SPC'!$B$3),"")</f>
        <v/>
      </c>
      <c r="E1536">
        <f>IF(B1536=1,D1536,E1535)</f>
        <v/>
      </c>
      <c r="F1536">
        <f>IF(AND(B1536=1,C1536&gt;1,E1535&lt;&gt;""),ABS(D1536-E1535),"")</f>
        <v/>
      </c>
    </row>
    <row r="1537">
      <c r="A1537" t="n">
        <v>1537</v>
      </c>
      <c r="B1537">
        <f>IF(INDEX('Data Entry'!$H$5:$BE$10004,1537-4,'Visual SPC'!$B$3)="",0,IF(AND(OR('Visual SPC'!$C$4="",'Data Entry'!$C1537&gt;='Visual SPC'!$C$4),OR('Visual SPC'!$E$4="",'Data Entry'!$C1537&lt;='Visual SPC'!$E$4),OR('Visual SPC'!$G$4="",'Data Entry'!$D1537='Visual SPC'!$G$4),OR('Visual SPC'!$I$4="",'Data Entry'!$E1537='Visual SPC'!$I$4),OR('Visual SPC'!$K$4="",'Data Entry'!$F1537='Visual SPC'!$K$4)),1,0))</f>
        <v/>
      </c>
      <c r="C1537">
        <f>C1536+B1537</f>
        <v/>
      </c>
      <c r="D1537">
        <f>IF(B1537=1,INDEX('Data Entry'!$H$5:$BE$10004,1537-4,'Visual SPC'!$B$3),"")</f>
        <v/>
      </c>
      <c r="E1537">
        <f>IF(B1537=1,D1537,E1536)</f>
        <v/>
      </c>
      <c r="F1537">
        <f>IF(AND(B1537=1,C1537&gt;1,E1536&lt;&gt;""),ABS(D1537-E1536),"")</f>
        <v/>
      </c>
    </row>
    <row r="1538">
      <c r="A1538" t="n">
        <v>1538</v>
      </c>
      <c r="B1538">
        <f>IF(INDEX('Data Entry'!$H$5:$BE$10004,1538-4,'Visual SPC'!$B$3)="",0,IF(AND(OR('Visual SPC'!$C$4="",'Data Entry'!$C1538&gt;='Visual SPC'!$C$4),OR('Visual SPC'!$E$4="",'Data Entry'!$C1538&lt;='Visual SPC'!$E$4),OR('Visual SPC'!$G$4="",'Data Entry'!$D1538='Visual SPC'!$G$4),OR('Visual SPC'!$I$4="",'Data Entry'!$E1538='Visual SPC'!$I$4),OR('Visual SPC'!$K$4="",'Data Entry'!$F1538='Visual SPC'!$K$4)),1,0))</f>
        <v/>
      </c>
      <c r="C1538">
        <f>C1537+B1538</f>
        <v/>
      </c>
      <c r="D1538">
        <f>IF(B1538=1,INDEX('Data Entry'!$H$5:$BE$10004,1538-4,'Visual SPC'!$B$3),"")</f>
        <v/>
      </c>
      <c r="E1538">
        <f>IF(B1538=1,D1538,E1537)</f>
        <v/>
      </c>
      <c r="F1538">
        <f>IF(AND(B1538=1,C1538&gt;1,E1537&lt;&gt;""),ABS(D1538-E1537),"")</f>
        <v/>
      </c>
    </row>
    <row r="1539">
      <c r="A1539" t="n">
        <v>1539</v>
      </c>
      <c r="B1539">
        <f>IF(INDEX('Data Entry'!$H$5:$BE$10004,1539-4,'Visual SPC'!$B$3)="",0,IF(AND(OR('Visual SPC'!$C$4="",'Data Entry'!$C1539&gt;='Visual SPC'!$C$4),OR('Visual SPC'!$E$4="",'Data Entry'!$C1539&lt;='Visual SPC'!$E$4),OR('Visual SPC'!$G$4="",'Data Entry'!$D1539='Visual SPC'!$G$4),OR('Visual SPC'!$I$4="",'Data Entry'!$E1539='Visual SPC'!$I$4),OR('Visual SPC'!$K$4="",'Data Entry'!$F1539='Visual SPC'!$K$4)),1,0))</f>
        <v/>
      </c>
      <c r="C1539">
        <f>C1538+B1539</f>
        <v/>
      </c>
      <c r="D1539">
        <f>IF(B1539=1,INDEX('Data Entry'!$H$5:$BE$10004,1539-4,'Visual SPC'!$B$3),"")</f>
        <v/>
      </c>
      <c r="E1539">
        <f>IF(B1539=1,D1539,E1538)</f>
        <v/>
      </c>
      <c r="F1539">
        <f>IF(AND(B1539=1,C1539&gt;1,E1538&lt;&gt;""),ABS(D1539-E1538),"")</f>
        <v/>
      </c>
    </row>
    <row r="1540">
      <c r="A1540" t="n">
        <v>1540</v>
      </c>
      <c r="B1540">
        <f>IF(INDEX('Data Entry'!$H$5:$BE$10004,1540-4,'Visual SPC'!$B$3)="",0,IF(AND(OR('Visual SPC'!$C$4="",'Data Entry'!$C1540&gt;='Visual SPC'!$C$4),OR('Visual SPC'!$E$4="",'Data Entry'!$C1540&lt;='Visual SPC'!$E$4),OR('Visual SPC'!$G$4="",'Data Entry'!$D1540='Visual SPC'!$G$4),OR('Visual SPC'!$I$4="",'Data Entry'!$E1540='Visual SPC'!$I$4),OR('Visual SPC'!$K$4="",'Data Entry'!$F1540='Visual SPC'!$K$4)),1,0))</f>
        <v/>
      </c>
      <c r="C1540">
        <f>C1539+B1540</f>
        <v/>
      </c>
      <c r="D1540">
        <f>IF(B1540=1,INDEX('Data Entry'!$H$5:$BE$10004,1540-4,'Visual SPC'!$B$3),"")</f>
        <v/>
      </c>
      <c r="E1540">
        <f>IF(B1540=1,D1540,E1539)</f>
        <v/>
      </c>
      <c r="F1540">
        <f>IF(AND(B1540=1,C1540&gt;1,E1539&lt;&gt;""),ABS(D1540-E1539),"")</f>
        <v/>
      </c>
    </row>
    <row r="1541">
      <c r="A1541" t="n">
        <v>1541</v>
      </c>
      <c r="B1541">
        <f>IF(INDEX('Data Entry'!$H$5:$BE$10004,1541-4,'Visual SPC'!$B$3)="",0,IF(AND(OR('Visual SPC'!$C$4="",'Data Entry'!$C1541&gt;='Visual SPC'!$C$4),OR('Visual SPC'!$E$4="",'Data Entry'!$C1541&lt;='Visual SPC'!$E$4),OR('Visual SPC'!$G$4="",'Data Entry'!$D1541='Visual SPC'!$G$4),OR('Visual SPC'!$I$4="",'Data Entry'!$E1541='Visual SPC'!$I$4),OR('Visual SPC'!$K$4="",'Data Entry'!$F1541='Visual SPC'!$K$4)),1,0))</f>
        <v/>
      </c>
      <c r="C1541">
        <f>C1540+B1541</f>
        <v/>
      </c>
      <c r="D1541">
        <f>IF(B1541=1,INDEX('Data Entry'!$H$5:$BE$10004,1541-4,'Visual SPC'!$B$3),"")</f>
        <v/>
      </c>
      <c r="E1541">
        <f>IF(B1541=1,D1541,E1540)</f>
        <v/>
      </c>
      <c r="F1541">
        <f>IF(AND(B1541=1,C1541&gt;1,E1540&lt;&gt;""),ABS(D1541-E1540),"")</f>
        <v/>
      </c>
    </row>
    <row r="1542">
      <c r="A1542" t="n">
        <v>1542</v>
      </c>
      <c r="B1542">
        <f>IF(INDEX('Data Entry'!$H$5:$BE$10004,1542-4,'Visual SPC'!$B$3)="",0,IF(AND(OR('Visual SPC'!$C$4="",'Data Entry'!$C1542&gt;='Visual SPC'!$C$4),OR('Visual SPC'!$E$4="",'Data Entry'!$C1542&lt;='Visual SPC'!$E$4),OR('Visual SPC'!$G$4="",'Data Entry'!$D1542='Visual SPC'!$G$4),OR('Visual SPC'!$I$4="",'Data Entry'!$E1542='Visual SPC'!$I$4),OR('Visual SPC'!$K$4="",'Data Entry'!$F1542='Visual SPC'!$K$4)),1,0))</f>
        <v/>
      </c>
      <c r="C1542">
        <f>C1541+B1542</f>
        <v/>
      </c>
      <c r="D1542">
        <f>IF(B1542=1,INDEX('Data Entry'!$H$5:$BE$10004,1542-4,'Visual SPC'!$B$3),"")</f>
        <v/>
      </c>
      <c r="E1542">
        <f>IF(B1542=1,D1542,E1541)</f>
        <v/>
      </c>
      <c r="F1542">
        <f>IF(AND(B1542=1,C1542&gt;1,E1541&lt;&gt;""),ABS(D1542-E1541),"")</f>
        <v/>
      </c>
    </row>
    <row r="1543">
      <c r="A1543" t="n">
        <v>1543</v>
      </c>
      <c r="B1543">
        <f>IF(INDEX('Data Entry'!$H$5:$BE$10004,1543-4,'Visual SPC'!$B$3)="",0,IF(AND(OR('Visual SPC'!$C$4="",'Data Entry'!$C1543&gt;='Visual SPC'!$C$4),OR('Visual SPC'!$E$4="",'Data Entry'!$C1543&lt;='Visual SPC'!$E$4),OR('Visual SPC'!$G$4="",'Data Entry'!$D1543='Visual SPC'!$G$4),OR('Visual SPC'!$I$4="",'Data Entry'!$E1543='Visual SPC'!$I$4),OR('Visual SPC'!$K$4="",'Data Entry'!$F1543='Visual SPC'!$K$4)),1,0))</f>
        <v/>
      </c>
      <c r="C1543">
        <f>C1542+B1543</f>
        <v/>
      </c>
      <c r="D1543">
        <f>IF(B1543=1,INDEX('Data Entry'!$H$5:$BE$10004,1543-4,'Visual SPC'!$B$3),"")</f>
        <v/>
      </c>
      <c r="E1543">
        <f>IF(B1543=1,D1543,E1542)</f>
        <v/>
      </c>
      <c r="F1543">
        <f>IF(AND(B1543=1,C1543&gt;1,E1542&lt;&gt;""),ABS(D1543-E1542),"")</f>
        <v/>
      </c>
    </row>
    <row r="1544">
      <c r="A1544" t="n">
        <v>1544</v>
      </c>
      <c r="B1544">
        <f>IF(INDEX('Data Entry'!$H$5:$BE$10004,1544-4,'Visual SPC'!$B$3)="",0,IF(AND(OR('Visual SPC'!$C$4="",'Data Entry'!$C1544&gt;='Visual SPC'!$C$4),OR('Visual SPC'!$E$4="",'Data Entry'!$C1544&lt;='Visual SPC'!$E$4),OR('Visual SPC'!$G$4="",'Data Entry'!$D1544='Visual SPC'!$G$4),OR('Visual SPC'!$I$4="",'Data Entry'!$E1544='Visual SPC'!$I$4),OR('Visual SPC'!$K$4="",'Data Entry'!$F1544='Visual SPC'!$K$4)),1,0))</f>
        <v/>
      </c>
      <c r="C1544">
        <f>C1543+B1544</f>
        <v/>
      </c>
      <c r="D1544">
        <f>IF(B1544=1,INDEX('Data Entry'!$H$5:$BE$10004,1544-4,'Visual SPC'!$B$3),"")</f>
        <v/>
      </c>
      <c r="E1544">
        <f>IF(B1544=1,D1544,E1543)</f>
        <v/>
      </c>
      <c r="F1544">
        <f>IF(AND(B1544=1,C1544&gt;1,E1543&lt;&gt;""),ABS(D1544-E1543),"")</f>
        <v/>
      </c>
    </row>
    <row r="1545">
      <c r="A1545" t="n">
        <v>1545</v>
      </c>
      <c r="B1545">
        <f>IF(INDEX('Data Entry'!$H$5:$BE$10004,1545-4,'Visual SPC'!$B$3)="",0,IF(AND(OR('Visual SPC'!$C$4="",'Data Entry'!$C1545&gt;='Visual SPC'!$C$4),OR('Visual SPC'!$E$4="",'Data Entry'!$C1545&lt;='Visual SPC'!$E$4),OR('Visual SPC'!$G$4="",'Data Entry'!$D1545='Visual SPC'!$G$4),OR('Visual SPC'!$I$4="",'Data Entry'!$E1545='Visual SPC'!$I$4),OR('Visual SPC'!$K$4="",'Data Entry'!$F1545='Visual SPC'!$K$4)),1,0))</f>
        <v/>
      </c>
      <c r="C1545">
        <f>C1544+B1545</f>
        <v/>
      </c>
      <c r="D1545">
        <f>IF(B1545=1,INDEX('Data Entry'!$H$5:$BE$10004,1545-4,'Visual SPC'!$B$3),"")</f>
        <v/>
      </c>
      <c r="E1545">
        <f>IF(B1545=1,D1545,E1544)</f>
        <v/>
      </c>
      <c r="F1545">
        <f>IF(AND(B1545=1,C1545&gt;1,E1544&lt;&gt;""),ABS(D1545-E1544),"")</f>
        <v/>
      </c>
    </row>
    <row r="1546">
      <c r="A1546" t="n">
        <v>1546</v>
      </c>
      <c r="B1546">
        <f>IF(INDEX('Data Entry'!$H$5:$BE$10004,1546-4,'Visual SPC'!$B$3)="",0,IF(AND(OR('Visual SPC'!$C$4="",'Data Entry'!$C1546&gt;='Visual SPC'!$C$4),OR('Visual SPC'!$E$4="",'Data Entry'!$C1546&lt;='Visual SPC'!$E$4),OR('Visual SPC'!$G$4="",'Data Entry'!$D1546='Visual SPC'!$G$4),OR('Visual SPC'!$I$4="",'Data Entry'!$E1546='Visual SPC'!$I$4),OR('Visual SPC'!$K$4="",'Data Entry'!$F1546='Visual SPC'!$K$4)),1,0))</f>
        <v/>
      </c>
      <c r="C1546">
        <f>C1545+B1546</f>
        <v/>
      </c>
      <c r="D1546">
        <f>IF(B1546=1,INDEX('Data Entry'!$H$5:$BE$10004,1546-4,'Visual SPC'!$B$3),"")</f>
        <v/>
      </c>
      <c r="E1546">
        <f>IF(B1546=1,D1546,E1545)</f>
        <v/>
      </c>
      <c r="F1546">
        <f>IF(AND(B1546=1,C1546&gt;1,E1545&lt;&gt;""),ABS(D1546-E1545),"")</f>
        <v/>
      </c>
    </row>
    <row r="1547">
      <c r="A1547" t="n">
        <v>1547</v>
      </c>
      <c r="B1547">
        <f>IF(INDEX('Data Entry'!$H$5:$BE$10004,1547-4,'Visual SPC'!$B$3)="",0,IF(AND(OR('Visual SPC'!$C$4="",'Data Entry'!$C1547&gt;='Visual SPC'!$C$4),OR('Visual SPC'!$E$4="",'Data Entry'!$C1547&lt;='Visual SPC'!$E$4),OR('Visual SPC'!$G$4="",'Data Entry'!$D1547='Visual SPC'!$G$4),OR('Visual SPC'!$I$4="",'Data Entry'!$E1547='Visual SPC'!$I$4),OR('Visual SPC'!$K$4="",'Data Entry'!$F1547='Visual SPC'!$K$4)),1,0))</f>
        <v/>
      </c>
      <c r="C1547">
        <f>C1546+B1547</f>
        <v/>
      </c>
      <c r="D1547">
        <f>IF(B1547=1,INDEX('Data Entry'!$H$5:$BE$10004,1547-4,'Visual SPC'!$B$3),"")</f>
        <v/>
      </c>
      <c r="E1547">
        <f>IF(B1547=1,D1547,E1546)</f>
        <v/>
      </c>
      <c r="F1547">
        <f>IF(AND(B1547=1,C1547&gt;1,E1546&lt;&gt;""),ABS(D1547-E1546),"")</f>
        <v/>
      </c>
    </row>
    <row r="1548">
      <c r="A1548" t="n">
        <v>1548</v>
      </c>
      <c r="B1548">
        <f>IF(INDEX('Data Entry'!$H$5:$BE$10004,1548-4,'Visual SPC'!$B$3)="",0,IF(AND(OR('Visual SPC'!$C$4="",'Data Entry'!$C1548&gt;='Visual SPC'!$C$4),OR('Visual SPC'!$E$4="",'Data Entry'!$C1548&lt;='Visual SPC'!$E$4),OR('Visual SPC'!$G$4="",'Data Entry'!$D1548='Visual SPC'!$G$4),OR('Visual SPC'!$I$4="",'Data Entry'!$E1548='Visual SPC'!$I$4),OR('Visual SPC'!$K$4="",'Data Entry'!$F1548='Visual SPC'!$K$4)),1,0))</f>
        <v/>
      </c>
      <c r="C1548">
        <f>C1547+B1548</f>
        <v/>
      </c>
      <c r="D1548">
        <f>IF(B1548=1,INDEX('Data Entry'!$H$5:$BE$10004,1548-4,'Visual SPC'!$B$3),"")</f>
        <v/>
      </c>
      <c r="E1548">
        <f>IF(B1548=1,D1548,E1547)</f>
        <v/>
      </c>
      <c r="F1548">
        <f>IF(AND(B1548=1,C1548&gt;1,E1547&lt;&gt;""),ABS(D1548-E1547),"")</f>
        <v/>
      </c>
    </row>
    <row r="1549">
      <c r="A1549" t="n">
        <v>1549</v>
      </c>
      <c r="B1549">
        <f>IF(INDEX('Data Entry'!$H$5:$BE$10004,1549-4,'Visual SPC'!$B$3)="",0,IF(AND(OR('Visual SPC'!$C$4="",'Data Entry'!$C1549&gt;='Visual SPC'!$C$4),OR('Visual SPC'!$E$4="",'Data Entry'!$C1549&lt;='Visual SPC'!$E$4),OR('Visual SPC'!$G$4="",'Data Entry'!$D1549='Visual SPC'!$G$4),OR('Visual SPC'!$I$4="",'Data Entry'!$E1549='Visual SPC'!$I$4),OR('Visual SPC'!$K$4="",'Data Entry'!$F1549='Visual SPC'!$K$4)),1,0))</f>
        <v/>
      </c>
      <c r="C1549">
        <f>C1548+B1549</f>
        <v/>
      </c>
      <c r="D1549">
        <f>IF(B1549=1,INDEX('Data Entry'!$H$5:$BE$10004,1549-4,'Visual SPC'!$B$3),"")</f>
        <v/>
      </c>
      <c r="E1549">
        <f>IF(B1549=1,D1549,E1548)</f>
        <v/>
      </c>
      <c r="F1549">
        <f>IF(AND(B1549=1,C1549&gt;1,E1548&lt;&gt;""),ABS(D1549-E1548),"")</f>
        <v/>
      </c>
    </row>
    <row r="1550">
      <c r="A1550" t="n">
        <v>1550</v>
      </c>
      <c r="B1550">
        <f>IF(INDEX('Data Entry'!$H$5:$BE$10004,1550-4,'Visual SPC'!$B$3)="",0,IF(AND(OR('Visual SPC'!$C$4="",'Data Entry'!$C1550&gt;='Visual SPC'!$C$4),OR('Visual SPC'!$E$4="",'Data Entry'!$C1550&lt;='Visual SPC'!$E$4),OR('Visual SPC'!$G$4="",'Data Entry'!$D1550='Visual SPC'!$G$4),OR('Visual SPC'!$I$4="",'Data Entry'!$E1550='Visual SPC'!$I$4),OR('Visual SPC'!$K$4="",'Data Entry'!$F1550='Visual SPC'!$K$4)),1,0))</f>
        <v/>
      </c>
      <c r="C1550">
        <f>C1549+B1550</f>
        <v/>
      </c>
      <c r="D1550">
        <f>IF(B1550=1,INDEX('Data Entry'!$H$5:$BE$10004,1550-4,'Visual SPC'!$B$3),"")</f>
        <v/>
      </c>
      <c r="E1550">
        <f>IF(B1550=1,D1550,E1549)</f>
        <v/>
      </c>
      <c r="F1550">
        <f>IF(AND(B1550=1,C1550&gt;1,E1549&lt;&gt;""),ABS(D1550-E1549),"")</f>
        <v/>
      </c>
    </row>
    <row r="1551">
      <c r="A1551" t="n">
        <v>1551</v>
      </c>
      <c r="B1551">
        <f>IF(INDEX('Data Entry'!$H$5:$BE$10004,1551-4,'Visual SPC'!$B$3)="",0,IF(AND(OR('Visual SPC'!$C$4="",'Data Entry'!$C1551&gt;='Visual SPC'!$C$4),OR('Visual SPC'!$E$4="",'Data Entry'!$C1551&lt;='Visual SPC'!$E$4),OR('Visual SPC'!$G$4="",'Data Entry'!$D1551='Visual SPC'!$G$4),OR('Visual SPC'!$I$4="",'Data Entry'!$E1551='Visual SPC'!$I$4),OR('Visual SPC'!$K$4="",'Data Entry'!$F1551='Visual SPC'!$K$4)),1,0))</f>
        <v/>
      </c>
      <c r="C1551">
        <f>C1550+B1551</f>
        <v/>
      </c>
      <c r="D1551">
        <f>IF(B1551=1,INDEX('Data Entry'!$H$5:$BE$10004,1551-4,'Visual SPC'!$B$3),"")</f>
        <v/>
      </c>
      <c r="E1551">
        <f>IF(B1551=1,D1551,E1550)</f>
        <v/>
      </c>
      <c r="F1551">
        <f>IF(AND(B1551=1,C1551&gt;1,E1550&lt;&gt;""),ABS(D1551-E1550),"")</f>
        <v/>
      </c>
    </row>
    <row r="1552">
      <c r="A1552" t="n">
        <v>1552</v>
      </c>
      <c r="B1552">
        <f>IF(INDEX('Data Entry'!$H$5:$BE$10004,1552-4,'Visual SPC'!$B$3)="",0,IF(AND(OR('Visual SPC'!$C$4="",'Data Entry'!$C1552&gt;='Visual SPC'!$C$4),OR('Visual SPC'!$E$4="",'Data Entry'!$C1552&lt;='Visual SPC'!$E$4),OR('Visual SPC'!$G$4="",'Data Entry'!$D1552='Visual SPC'!$G$4),OR('Visual SPC'!$I$4="",'Data Entry'!$E1552='Visual SPC'!$I$4),OR('Visual SPC'!$K$4="",'Data Entry'!$F1552='Visual SPC'!$K$4)),1,0))</f>
        <v/>
      </c>
      <c r="C1552">
        <f>C1551+B1552</f>
        <v/>
      </c>
      <c r="D1552">
        <f>IF(B1552=1,INDEX('Data Entry'!$H$5:$BE$10004,1552-4,'Visual SPC'!$B$3),"")</f>
        <v/>
      </c>
      <c r="E1552">
        <f>IF(B1552=1,D1552,E1551)</f>
        <v/>
      </c>
      <c r="F1552">
        <f>IF(AND(B1552=1,C1552&gt;1,E1551&lt;&gt;""),ABS(D1552-E1551),"")</f>
        <v/>
      </c>
    </row>
    <row r="1553">
      <c r="A1553" t="n">
        <v>1553</v>
      </c>
      <c r="B1553">
        <f>IF(INDEX('Data Entry'!$H$5:$BE$10004,1553-4,'Visual SPC'!$B$3)="",0,IF(AND(OR('Visual SPC'!$C$4="",'Data Entry'!$C1553&gt;='Visual SPC'!$C$4),OR('Visual SPC'!$E$4="",'Data Entry'!$C1553&lt;='Visual SPC'!$E$4),OR('Visual SPC'!$G$4="",'Data Entry'!$D1553='Visual SPC'!$G$4),OR('Visual SPC'!$I$4="",'Data Entry'!$E1553='Visual SPC'!$I$4),OR('Visual SPC'!$K$4="",'Data Entry'!$F1553='Visual SPC'!$K$4)),1,0))</f>
        <v/>
      </c>
      <c r="C1553">
        <f>C1552+B1553</f>
        <v/>
      </c>
      <c r="D1553">
        <f>IF(B1553=1,INDEX('Data Entry'!$H$5:$BE$10004,1553-4,'Visual SPC'!$B$3),"")</f>
        <v/>
      </c>
      <c r="E1553">
        <f>IF(B1553=1,D1553,E1552)</f>
        <v/>
      </c>
      <c r="F1553">
        <f>IF(AND(B1553=1,C1553&gt;1,E1552&lt;&gt;""),ABS(D1553-E1552),"")</f>
        <v/>
      </c>
    </row>
    <row r="1554">
      <c r="A1554" t="n">
        <v>1554</v>
      </c>
      <c r="B1554">
        <f>IF(INDEX('Data Entry'!$H$5:$BE$10004,1554-4,'Visual SPC'!$B$3)="",0,IF(AND(OR('Visual SPC'!$C$4="",'Data Entry'!$C1554&gt;='Visual SPC'!$C$4),OR('Visual SPC'!$E$4="",'Data Entry'!$C1554&lt;='Visual SPC'!$E$4),OR('Visual SPC'!$G$4="",'Data Entry'!$D1554='Visual SPC'!$G$4),OR('Visual SPC'!$I$4="",'Data Entry'!$E1554='Visual SPC'!$I$4),OR('Visual SPC'!$K$4="",'Data Entry'!$F1554='Visual SPC'!$K$4)),1,0))</f>
        <v/>
      </c>
      <c r="C1554">
        <f>C1553+B1554</f>
        <v/>
      </c>
      <c r="D1554">
        <f>IF(B1554=1,INDEX('Data Entry'!$H$5:$BE$10004,1554-4,'Visual SPC'!$B$3),"")</f>
        <v/>
      </c>
      <c r="E1554">
        <f>IF(B1554=1,D1554,E1553)</f>
        <v/>
      </c>
      <c r="F1554">
        <f>IF(AND(B1554=1,C1554&gt;1,E1553&lt;&gt;""),ABS(D1554-E1553),"")</f>
        <v/>
      </c>
    </row>
    <row r="1555">
      <c r="A1555" t="n">
        <v>1555</v>
      </c>
      <c r="B1555">
        <f>IF(INDEX('Data Entry'!$H$5:$BE$10004,1555-4,'Visual SPC'!$B$3)="",0,IF(AND(OR('Visual SPC'!$C$4="",'Data Entry'!$C1555&gt;='Visual SPC'!$C$4),OR('Visual SPC'!$E$4="",'Data Entry'!$C1555&lt;='Visual SPC'!$E$4),OR('Visual SPC'!$G$4="",'Data Entry'!$D1555='Visual SPC'!$G$4),OR('Visual SPC'!$I$4="",'Data Entry'!$E1555='Visual SPC'!$I$4),OR('Visual SPC'!$K$4="",'Data Entry'!$F1555='Visual SPC'!$K$4)),1,0))</f>
        <v/>
      </c>
      <c r="C1555">
        <f>C1554+B1555</f>
        <v/>
      </c>
      <c r="D1555">
        <f>IF(B1555=1,INDEX('Data Entry'!$H$5:$BE$10004,1555-4,'Visual SPC'!$B$3),"")</f>
        <v/>
      </c>
      <c r="E1555">
        <f>IF(B1555=1,D1555,E1554)</f>
        <v/>
      </c>
      <c r="F1555">
        <f>IF(AND(B1555=1,C1555&gt;1,E1554&lt;&gt;""),ABS(D1555-E1554),"")</f>
        <v/>
      </c>
    </row>
    <row r="1556">
      <c r="A1556" t="n">
        <v>1556</v>
      </c>
      <c r="B1556">
        <f>IF(INDEX('Data Entry'!$H$5:$BE$10004,1556-4,'Visual SPC'!$B$3)="",0,IF(AND(OR('Visual SPC'!$C$4="",'Data Entry'!$C1556&gt;='Visual SPC'!$C$4),OR('Visual SPC'!$E$4="",'Data Entry'!$C1556&lt;='Visual SPC'!$E$4),OR('Visual SPC'!$G$4="",'Data Entry'!$D1556='Visual SPC'!$G$4),OR('Visual SPC'!$I$4="",'Data Entry'!$E1556='Visual SPC'!$I$4),OR('Visual SPC'!$K$4="",'Data Entry'!$F1556='Visual SPC'!$K$4)),1,0))</f>
        <v/>
      </c>
      <c r="C1556">
        <f>C1555+B1556</f>
        <v/>
      </c>
      <c r="D1556">
        <f>IF(B1556=1,INDEX('Data Entry'!$H$5:$BE$10004,1556-4,'Visual SPC'!$B$3),"")</f>
        <v/>
      </c>
      <c r="E1556">
        <f>IF(B1556=1,D1556,E1555)</f>
        <v/>
      </c>
      <c r="F1556">
        <f>IF(AND(B1556=1,C1556&gt;1,E1555&lt;&gt;""),ABS(D1556-E1555),"")</f>
        <v/>
      </c>
    </row>
    <row r="1557">
      <c r="A1557" t="n">
        <v>1557</v>
      </c>
      <c r="B1557">
        <f>IF(INDEX('Data Entry'!$H$5:$BE$10004,1557-4,'Visual SPC'!$B$3)="",0,IF(AND(OR('Visual SPC'!$C$4="",'Data Entry'!$C1557&gt;='Visual SPC'!$C$4),OR('Visual SPC'!$E$4="",'Data Entry'!$C1557&lt;='Visual SPC'!$E$4),OR('Visual SPC'!$G$4="",'Data Entry'!$D1557='Visual SPC'!$G$4),OR('Visual SPC'!$I$4="",'Data Entry'!$E1557='Visual SPC'!$I$4),OR('Visual SPC'!$K$4="",'Data Entry'!$F1557='Visual SPC'!$K$4)),1,0))</f>
        <v/>
      </c>
      <c r="C1557">
        <f>C1556+B1557</f>
        <v/>
      </c>
      <c r="D1557">
        <f>IF(B1557=1,INDEX('Data Entry'!$H$5:$BE$10004,1557-4,'Visual SPC'!$B$3),"")</f>
        <v/>
      </c>
      <c r="E1557">
        <f>IF(B1557=1,D1557,E1556)</f>
        <v/>
      </c>
      <c r="F1557">
        <f>IF(AND(B1557=1,C1557&gt;1,E1556&lt;&gt;""),ABS(D1557-E1556),"")</f>
        <v/>
      </c>
    </row>
    <row r="1558">
      <c r="A1558" t="n">
        <v>1558</v>
      </c>
      <c r="B1558">
        <f>IF(INDEX('Data Entry'!$H$5:$BE$10004,1558-4,'Visual SPC'!$B$3)="",0,IF(AND(OR('Visual SPC'!$C$4="",'Data Entry'!$C1558&gt;='Visual SPC'!$C$4),OR('Visual SPC'!$E$4="",'Data Entry'!$C1558&lt;='Visual SPC'!$E$4),OR('Visual SPC'!$G$4="",'Data Entry'!$D1558='Visual SPC'!$G$4),OR('Visual SPC'!$I$4="",'Data Entry'!$E1558='Visual SPC'!$I$4),OR('Visual SPC'!$K$4="",'Data Entry'!$F1558='Visual SPC'!$K$4)),1,0))</f>
        <v/>
      </c>
      <c r="C1558">
        <f>C1557+B1558</f>
        <v/>
      </c>
      <c r="D1558">
        <f>IF(B1558=1,INDEX('Data Entry'!$H$5:$BE$10004,1558-4,'Visual SPC'!$B$3),"")</f>
        <v/>
      </c>
      <c r="E1558">
        <f>IF(B1558=1,D1558,E1557)</f>
        <v/>
      </c>
      <c r="F1558">
        <f>IF(AND(B1558=1,C1558&gt;1,E1557&lt;&gt;""),ABS(D1558-E1557),"")</f>
        <v/>
      </c>
    </row>
    <row r="1559">
      <c r="A1559" t="n">
        <v>1559</v>
      </c>
      <c r="B1559">
        <f>IF(INDEX('Data Entry'!$H$5:$BE$10004,1559-4,'Visual SPC'!$B$3)="",0,IF(AND(OR('Visual SPC'!$C$4="",'Data Entry'!$C1559&gt;='Visual SPC'!$C$4),OR('Visual SPC'!$E$4="",'Data Entry'!$C1559&lt;='Visual SPC'!$E$4),OR('Visual SPC'!$G$4="",'Data Entry'!$D1559='Visual SPC'!$G$4),OR('Visual SPC'!$I$4="",'Data Entry'!$E1559='Visual SPC'!$I$4),OR('Visual SPC'!$K$4="",'Data Entry'!$F1559='Visual SPC'!$K$4)),1,0))</f>
        <v/>
      </c>
      <c r="C1559">
        <f>C1558+B1559</f>
        <v/>
      </c>
      <c r="D1559">
        <f>IF(B1559=1,INDEX('Data Entry'!$H$5:$BE$10004,1559-4,'Visual SPC'!$B$3),"")</f>
        <v/>
      </c>
      <c r="E1559">
        <f>IF(B1559=1,D1559,E1558)</f>
        <v/>
      </c>
      <c r="F1559">
        <f>IF(AND(B1559=1,C1559&gt;1,E1558&lt;&gt;""),ABS(D1559-E1558),"")</f>
        <v/>
      </c>
    </row>
    <row r="1560">
      <c r="A1560" t="n">
        <v>1560</v>
      </c>
      <c r="B1560">
        <f>IF(INDEX('Data Entry'!$H$5:$BE$10004,1560-4,'Visual SPC'!$B$3)="",0,IF(AND(OR('Visual SPC'!$C$4="",'Data Entry'!$C1560&gt;='Visual SPC'!$C$4),OR('Visual SPC'!$E$4="",'Data Entry'!$C1560&lt;='Visual SPC'!$E$4),OR('Visual SPC'!$G$4="",'Data Entry'!$D1560='Visual SPC'!$G$4),OR('Visual SPC'!$I$4="",'Data Entry'!$E1560='Visual SPC'!$I$4),OR('Visual SPC'!$K$4="",'Data Entry'!$F1560='Visual SPC'!$K$4)),1,0))</f>
        <v/>
      </c>
      <c r="C1560">
        <f>C1559+B1560</f>
        <v/>
      </c>
      <c r="D1560">
        <f>IF(B1560=1,INDEX('Data Entry'!$H$5:$BE$10004,1560-4,'Visual SPC'!$B$3),"")</f>
        <v/>
      </c>
      <c r="E1560">
        <f>IF(B1560=1,D1560,E1559)</f>
        <v/>
      </c>
      <c r="F1560">
        <f>IF(AND(B1560=1,C1560&gt;1,E1559&lt;&gt;""),ABS(D1560-E1559),"")</f>
        <v/>
      </c>
    </row>
    <row r="1561">
      <c r="A1561" t="n">
        <v>1561</v>
      </c>
      <c r="B1561">
        <f>IF(INDEX('Data Entry'!$H$5:$BE$10004,1561-4,'Visual SPC'!$B$3)="",0,IF(AND(OR('Visual SPC'!$C$4="",'Data Entry'!$C1561&gt;='Visual SPC'!$C$4),OR('Visual SPC'!$E$4="",'Data Entry'!$C1561&lt;='Visual SPC'!$E$4),OR('Visual SPC'!$G$4="",'Data Entry'!$D1561='Visual SPC'!$G$4),OR('Visual SPC'!$I$4="",'Data Entry'!$E1561='Visual SPC'!$I$4),OR('Visual SPC'!$K$4="",'Data Entry'!$F1561='Visual SPC'!$K$4)),1,0))</f>
        <v/>
      </c>
      <c r="C1561">
        <f>C1560+B1561</f>
        <v/>
      </c>
      <c r="D1561">
        <f>IF(B1561=1,INDEX('Data Entry'!$H$5:$BE$10004,1561-4,'Visual SPC'!$B$3),"")</f>
        <v/>
      </c>
      <c r="E1561">
        <f>IF(B1561=1,D1561,E1560)</f>
        <v/>
      </c>
      <c r="F1561">
        <f>IF(AND(B1561=1,C1561&gt;1,E1560&lt;&gt;""),ABS(D1561-E1560),"")</f>
        <v/>
      </c>
    </row>
    <row r="1562">
      <c r="A1562" t="n">
        <v>1562</v>
      </c>
      <c r="B1562">
        <f>IF(INDEX('Data Entry'!$H$5:$BE$10004,1562-4,'Visual SPC'!$B$3)="",0,IF(AND(OR('Visual SPC'!$C$4="",'Data Entry'!$C1562&gt;='Visual SPC'!$C$4),OR('Visual SPC'!$E$4="",'Data Entry'!$C1562&lt;='Visual SPC'!$E$4),OR('Visual SPC'!$G$4="",'Data Entry'!$D1562='Visual SPC'!$G$4),OR('Visual SPC'!$I$4="",'Data Entry'!$E1562='Visual SPC'!$I$4),OR('Visual SPC'!$K$4="",'Data Entry'!$F1562='Visual SPC'!$K$4)),1,0))</f>
        <v/>
      </c>
      <c r="C1562">
        <f>C1561+B1562</f>
        <v/>
      </c>
      <c r="D1562">
        <f>IF(B1562=1,INDEX('Data Entry'!$H$5:$BE$10004,1562-4,'Visual SPC'!$B$3),"")</f>
        <v/>
      </c>
      <c r="E1562">
        <f>IF(B1562=1,D1562,E1561)</f>
        <v/>
      </c>
      <c r="F1562">
        <f>IF(AND(B1562=1,C1562&gt;1,E1561&lt;&gt;""),ABS(D1562-E1561),"")</f>
        <v/>
      </c>
    </row>
    <row r="1563">
      <c r="A1563" t="n">
        <v>1563</v>
      </c>
      <c r="B1563">
        <f>IF(INDEX('Data Entry'!$H$5:$BE$10004,1563-4,'Visual SPC'!$B$3)="",0,IF(AND(OR('Visual SPC'!$C$4="",'Data Entry'!$C1563&gt;='Visual SPC'!$C$4),OR('Visual SPC'!$E$4="",'Data Entry'!$C1563&lt;='Visual SPC'!$E$4),OR('Visual SPC'!$G$4="",'Data Entry'!$D1563='Visual SPC'!$G$4),OR('Visual SPC'!$I$4="",'Data Entry'!$E1563='Visual SPC'!$I$4),OR('Visual SPC'!$K$4="",'Data Entry'!$F1563='Visual SPC'!$K$4)),1,0))</f>
        <v/>
      </c>
      <c r="C1563">
        <f>C1562+B1563</f>
        <v/>
      </c>
      <c r="D1563">
        <f>IF(B1563=1,INDEX('Data Entry'!$H$5:$BE$10004,1563-4,'Visual SPC'!$B$3),"")</f>
        <v/>
      </c>
      <c r="E1563">
        <f>IF(B1563=1,D1563,E1562)</f>
        <v/>
      </c>
      <c r="F1563">
        <f>IF(AND(B1563=1,C1563&gt;1,E1562&lt;&gt;""),ABS(D1563-E1562),"")</f>
        <v/>
      </c>
    </row>
    <row r="1564">
      <c r="A1564" t="n">
        <v>1564</v>
      </c>
      <c r="B1564">
        <f>IF(INDEX('Data Entry'!$H$5:$BE$10004,1564-4,'Visual SPC'!$B$3)="",0,IF(AND(OR('Visual SPC'!$C$4="",'Data Entry'!$C1564&gt;='Visual SPC'!$C$4),OR('Visual SPC'!$E$4="",'Data Entry'!$C1564&lt;='Visual SPC'!$E$4),OR('Visual SPC'!$G$4="",'Data Entry'!$D1564='Visual SPC'!$G$4),OR('Visual SPC'!$I$4="",'Data Entry'!$E1564='Visual SPC'!$I$4),OR('Visual SPC'!$K$4="",'Data Entry'!$F1564='Visual SPC'!$K$4)),1,0))</f>
        <v/>
      </c>
      <c r="C1564">
        <f>C1563+B1564</f>
        <v/>
      </c>
      <c r="D1564">
        <f>IF(B1564=1,INDEX('Data Entry'!$H$5:$BE$10004,1564-4,'Visual SPC'!$B$3),"")</f>
        <v/>
      </c>
      <c r="E1564">
        <f>IF(B1564=1,D1564,E1563)</f>
        <v/>
      </c>
      <c r="F1564">
        <f>IF(AND(B1564=1,C1564&gt;1,E1563&lt;&gt;""),ABS(D1564-E1563),"")</f>
        <v/>
      </c>
    </row>
    <row r="1565">
      <c r="A1565" t="n">
        <v>1565</v>
      </c>
      <c r="B1565">
        <f>IF(INDEX('Data Entry'!$H$5:$BE$10004,1565-4,'Visual SPC'!$B$3)="",0,IF(AND(OR('Visual SPC'!$C$4="",'Data Entry'!$C1565&gt;='Visual SPC'!$C$4),OR('Visual SPC'!$E$4="",'Data Entry'!$C1565&lt;='Visual SPC'!$E$4),OR('Visual SPC'!$G$4="",'Data Entry'!$D1565='Visual SPC'!$G$4),OR('Visual SPC'!$I$4="",'Data Entry'!$E1565='Visual SPC'!$I$4),OR('Visual SPC'!$K$4="",'Data Entry'!$F1565='Visual SPC'!$K$4)),1,0))</f>
        <v/>
      </c>
      <c r="C1565">
        <f>C1564+B1565</f>
        <v/>
      </c>
      <c r="D1565">
        <f>IF(B1565=1,INDEX('Data Entry'!$H$5:$BE$10004,1565-4,'Visual SPC'!$B$3),"")</f>
        <v/>
      </c>
      <c r="E1565">
        <f>IF(B1565=1,D1565,E1564)</f>
        <v/>
      </c>
      <c r="F1565">
        <f>IF(AND(B1565=1,C1565&gt;1,E1564&lt;&gt;""),ABS(D1565-E1564),"")</f>
        <v/>
      </c>
    </row>
    <row r="1566">
      <c r="A1566" t="n">
        <v>1566</v>
      </c>
      <c r="B1566">
        <f>IF(INDEX('Data Entry'!$H$5:$BE$10004,1566-4,'Visual SPC'!$B$3)="",0,IF(AND(OR('Visual SPC'!$C$4="",'Data Entry'!$C1566&gt;='Visual SPC'!$C$4),OR('Visual SPC'!$E$4="",'Data Entry'!$C1566&lt;='Visual SPC'!$E$4),OR('Visual SPC'!$G$4="",'Data Entry'!$D1566='Visual SPC'!$G$4),OR('Visual SPC'!$I$4="",'Data Entry'!$E1566='Visual SPC'!$I$4),OR('Visual SPC'!$K$4="",'Data Entry'!$F1566='Visual SPC'!$K$4)),1,0))</f>
        <v/>
      </c>
      <c r="C1566">
        <f>C1565+B1566</f>
        <v/>
      </c>
      <c r="D1566">
        <f>IF(B1566=1,INDEX('Data Entry'!$H$5:$BE$10004,1566-4,'Visual SPC'!$B$3),"")</f>
        <v/>
      </c>
      <c r="E1566">
        <f>IF(B1566=1,D1566,E1565)</f>
        <v/>
      </c>
      <c r="F1566">
        <f>IF(AND(B1566=1,C1566&gt;1,E1565&lt;&gt;""),ABS(D1566-E1565),"")</f>
        <v/>
      </c>
    </row>
    <row r="1567">
      <c r="A1567" t="n">
        <v>1567</v>
      </c>
      <c r="B1567">
        <f>IF(INDEX('Data Entry'!$H$5:$BE$10004,1567-4,'Visual SPC'!$B$3)="",0,IF(AND(OR('Visual SPC'!$C$4="",'Data Entry'!$C1567&gt;='Visual SPC'!$C$4),OR('Visual SPC'!$E$4="",'Data Entry'!$C1567&lt;='Visual SPC'!$E$4),OR('Visual SPC'!$G$4="",'Data Entry'!$D1567='Visual SPC'!$G$4),OR('Visual SPC'!$I$4="",'Data Entry'!$E1567='Visual SPC'!$I$4),OR('Visual SPC'!$K$4="",'Data Entry'!$F1567='Visual SPC'!$K$4)),1,0))</f>
        <v/>
      </c>
      <c r="C1567">
        <f>C1566+B1567</f>
        <v/>
      </c>
      <c r="D1567">
        <f>IF(B1567=1,INDEX('Data Entry'!$H$5:$BE$10004,1567-4,'Visual SPC'!$B$3),"")</f>
        <v/>
      </c>
      <c r="E1567">
        <f>IF(B1567=1,D1567,E1566)</f>
        <v/>
      </c>
      <c r="F1567">
        <f>IF(AND(B1567=1,C1567&gt;1,E1566&lt;&gt;""),ABS(D1567-E1566),"")</f>
        <v/>
      </c>
    </row>
    <row r="1568">
      <c r="A1568" t="n">
        <v>1568</v>
      </c>
      <c r="B1568">
        <f>IF(INDEX('Data Entry'!$H$5:$BE$10004,1568-4,'Visual SPC'!$B$3)="",0,IF(AND(OR('Visual SPC'!$C$4="",'Data Entry'!$C1568&gt;='Visual SPC'!$C$4),OR('Visual SPC'!$E$4="",'Data Entry'!$C1568&lt;='Visual SPC'!$E$4),OR('Visual SPC'!$G$4="",'Data Entry'!$D1568='Visual SPC'!$G$4),OR('Visual SPC'!$I$4="",'Data Entry'!$E1568='Visual SPC'!$I$4),OR('Visual SPC'!$K$4="",'Data Entry'!$F1568='Visual SPC'!$K$4)),1,0))</f>
        <v/>
      </c>
      <c r="C1568">
        <f>C1567+B1568</f>
        <v/>
      </c>
      <c r="D1568">
        <f>IF(B1568=1,INDEX('Data Entry'!$H$5:$BE$10004,1568-4,'Visual SPC'!$B$3),"")</f>
        <v/>
      </c>
      <c r="E1568">
        <f>IF(B1568=1,D1568,E1567)</f>
        <v/>
      </c>
      <c r="F1568">
        <f>IF(AND(B1568=1,C1568&gt;1,E1567&lt;&gt;""),ABS(D1568-E1567),"")</f>
        <v/>
      </c>
    </row>
    <row r="1569">
      <c r="A1569" t="n">
        <v>1569</v>
      </c>
      <c r="B1569">
        <f>IF(INDEX('Data Entry'!$H$5:$BE$10004,1569-4,'Visual SPC'!$B$3)="",0,IF(AND(OR('Visual SPC'!$C$4="",'Data Entry'!$C1569&gt;='Visual SPC'!$C$4),OR('Visual SPC'!$E$4="",'Data Entry'!$C1569&lt;='Visual SPC'!$E$4),OR('Visual SPC'!$G$4="",'Data Entry'!$D1569='Visual SPC'!$G$4),OR('Visual SPC'!$I$4="",'Data Entry'!$E1569='Visual SPC'!$I$4),OR('Visual SPC'!$K$4="",'Data Entry'!$F1569='Visual SPC'!$K$4)),1,0))</f>
        <v/>
      </c>
      <c r="C1569">
        <f>C1568+B1569</f>
        <v/>
      </c>
      <c r="D1569">
        <f>IF(B1569=1,INDEX('Data Entry'!$H$5:$BE$10004,1569-4,'Visual SPC'!$B$3),"")</f>
        <v/>
      </c>
      <c r="E1569">
        <f>IF(B1569=1,D1569,E1568)</f>
        <v/>
      </c>
      <c r="F1569">
        <f>IF(AND(B1569=1,C1569&gt;1,E1568&lt;&gt;""),ABS(D1569-E1568),"")</f>
        <v/>
      </c>
    </row>
    <row r="1570">
      <c r="A1570" t="n">
        <v>1570</v>
      </c>
      <c r="B1570">
        <f>IF(INDEX('Data Entry'!$H$5:$BE$10004,1570-4,'Visual SPC'!$B$3)="",0,IF(AND(OR('Visual SPC'!$C$4="",'Data Entry'!$C1570&gt;='Visual SPC'!$C$4),OR('Visual SPC'!$E$4="",'Data Entry'!$C1570&lt;='Visual SPC'!$E$4),OR('Visual SPC'!$G$4="",'Data Entry'!$D1570='Visual SPC'!$G$4),OR('Visual SPC'!$I$4="",'Data Entry'!$E1570='Visual SPC'!$I$4),OR('Visual SPC'!$K$4="",'Data Entry'!$F1570='Visual SPC'!$K$4)),1,0))</f>
        <v/>
      </c>
      <c r="C1570">
        <f>C1569+B1570</f>
        <v/>
      </c>
      <c r="D1570">
        <f>IF(B1570=1,INDEX('Data Entry'!$H$5:$BE$10004,1570-4,'Visual SPC'!$B$3),"")</f>
        <v/>
      </c>
      <c r="E1570">
        <f>IF(B1570=1,D1570,E1569)</f>
        <v/>
      </c>
      <c r="F1570">
        <f>IF(AND(B1570=1,C1570&gt;1,E1569&lt;&gt;""),ABS(D1570-E1569),"")</f>
        <v/>
      </c>
    </row>
    <row r="1571">
      <c r="A1571" t="n">
        <v>1571</v>
      </c>
      <c r="B1571">
        <f>IF(INDEX('Data Entry'!$H$5:$BE$10004,1571-4,'Visual SPC'!$B$3)="",0,IF(AND(OR('Visual SPC'!$C$4="",'Data Entry'!$C1571&gt;='Visual SPC'!$C$4),OR('Visual SPC'!$E$4="",'Data Entry'!$C1571&lt;='Visual SPC'!$E$4),OR('Visual SPC'!$G$4="",'Data Entry'!$D1571='Visual SPC'!$G$4),OR('Visual SPC'!$I$4="",'Data Entry'!$E1571='Visual SPC'!$I$4),OR('Visual SPC'!$K$4="",'Data Entry'!$F1571='Visual SPC'!$K$4)),1,0))</f>
        <v/>
      </c>
      <c r="C1571">
        <f>C1570+B1571</f>
        <v/>
      </c>
      <c r="D1571">
        <f>IF(B1571=1,INDEX('Data Entry'!$H$5:$BE$10004,1571-4,'Visual SPC'!$B$3),"")</f>
        <v/>
      </c>
      <c r="E1571">
        <f>IF(B1571=1,D1571,E1570)</f>
        <v/>
      </c>
      <c r="F1571">
        <f>IF(AND(B1571=1,C1571&gt;1,E1570&lt;&gt;""),ABS(D1571-E1570),"")</f>
        <v/>
      </c>
    </row>
    <row r="1572">
      <c r="A1572" t="n">
        <v>1572</v>
      </c>
      <c r="B1572">
        <f>IF(INDEX('Data Entry'!$H$5:$BE$10004,1572-4,'Visual SPC'!$B$3)="",0,IF(AND(OR('Visual SPC'!$C$4="",'Data Entry'!$C1572&gt;='Visual SPC'!$C$4),OR('Visual SPC'!$E$4="",'Data Entry'!$C1572&lt;='Visual SPC'!$E$4),OR('Visual SPC'!$G$4="",'Data Entry'!$D1572='Visual SPC'!$G$4),OR('Visual SPC'!$I$4="",'Data Entry'!$E1572='Visual SPC'!$I$4),OR('Visual SPC'!$K$4="",'Data Entry'!$F1572='Visual SPC'!$K$4)),1,0))</f>
        <v/>
      </c>
      <c r="C1572">
        <f>C1571+B1572</f>
        <v/>
      </c>
      <c r="D1572">
        <f>IF(B1572=1,INDEX('Data Entry'!$H$5:$BE$10004,1572-4,'Visual SPC'!$B$3),"")</f>
        <v/>
      </c>
      <c r="E1572">
        <f>IF(B1572=1,D1572,E1571)</f>
        <v/>
      </c>
      <c r="F1572">
        <f>IF(AND(B1572=1,C1572&gt;1,E1571&lt;&gt;""),ABS(D1572-E1571),"")</f>
        <v/>
      </c>
    </row>
    <row r="1573">
      <c r="A1573" t="n">
        <v>1573</v>
      </c>
      <c r="B1573">
        <f>IF(INDEX('Data Entry'!$H$5:$BE$10004,1573-4,'Visual SPC'!$B$3)="",0,IF(AND(OR('Visual SPC'!$C$4="",'Data Entry'!$C1573&gt;='Visual SPC'!$C$4),OR('Visual SPC'!$E$4="",'Data Entry'!$C1573&lt;='Visual SPC'!$E$4),OR('Visual SPC'!$G$4="",'Data Entry'!$D1573='Visual SPC'!$G$4),OR('Visual SPC'!$I$4="",'Data Entry'!$E1573='Visual SPC'!$I$4),OR('Visual SPC'!$K$4="",'Data Entry'!$F1573='Visual SPC'!$K$4)),1,0))</f>
        <v/>
      </c>
      <c r="C1573">
        <f>C1572+B1573</f>
        <v/>
      </c>
      <c r="D1573">
        <f>IF(B1573=1,INDEX('Data Entry'!$H$5:$BE$10004,1573-4,'Visual SPC'!$B$3),"")</f>
        <v/>
      </c>
      <c r="E1573">
        <f>IF(B1573=1,D1573,E1572)</f>
        <v/>
      </c>
      <c r="F1573">
        <f>IF(AND(B1573=1,C1573&gt;1,E1572&lt;&gt;""),ABS(D1573-E1572),"")</f>
        <v/>
      </c>
    </row>
    <row r="1574">
      <c r="A1574" t="n">
        <v>1574</v>
      </c>
      <c r="B1574">
        <f>IF(INDEX('Data Entry'!$H$5:$BE$10004,1574-4,'Visual SPC'!$B$3)="",0,IF(AND(OR('Visual SPC'!$C$4="",'Data Entry'!$C1574&gt;='Visual SPC'!$C$4),OR('Visual SPC'!$E$4="",'Data Entry'!$C1574&lt;='Visual SPC'!$E$4),OR('Visual SPC'!$G$4="",'Data Entry'!$D1574='Visual SPC'!$G$4),OR('Visual SPC'!$I$4="",'Data Entry'!$E1574='Visual SPC'!$I$4),OR('Visual SPC'!$K$4="",'Data Entry'!$F1574='Visual SPC'!$K$4)),1,0))</f>
        <v/>
      </c>
      <c r="C1574">
        <f>C1573+B1574</f>
        <v/>
      </c>
      <c r="D1574">
        <f>IF(B1574=1,INDEX('Data Entry'!$H$5:$BE$10004,1574-4,'Visual SPC'!$B$3),"")</f>
        <v/>
      </c>
      <c r="E1574">
        <f>IF(B1574=1,D1574,E1573)</f>
        <v/>
      </c>
      <c r="F1574">
        <f>IF(AND(B1574=1,C1574&gt;1,E1573&lt;&gt;""),ABS(D1574-E1573),"")</f>
        <v/>
      </c>
    </row>
    <row r="1575">
      <c r="A1575" t="n">
        <v>1575</v>
      </c>
      <c r="B1575">
        <f>IF(INDEX('Data Entry'!$H$5:$BE$10004,1575-4,'Visual SPC'!$B$3)="",0,IF(AND(OR('Visual SPC'!$C$4="",'Data Entry'!$C1575&gt;='Visual SPC'!$C$4),OR('Visual SPC'!$E$4="",'Data Entry'!$C1575&lt;='Visual SPC'!$E$4),OR('Visual SPC'!$G$4="",'Data Entry'!$D1575='Visual SPC'!$G$4),OR('Visual SPC'!$I$4="",'Data Entry'!$E1575='Visual SPC'!$I$4),OR('Visual SPC'!$K$4="",'Data Entry'!$F1575='Visual SPC'!$K$4)),1,0))</f>
        <v/>
      </c>
      <c r="C1575">
        <f>C1574+B1575</f>
        <v/>
      </c>
      <c r="D1575">
        <f>IF(B1575=1,INDEX('Data Entry'!$H$5:$BE$10004,1575-4,'Visual SPC'!$B$3),"")</f>
        <v/>
      </c>
      <c r="E1575">
        <f>IF(B1575=1,D1575,E1574)</f>
        <v/>
      </c>
      <c r="F1575">
        <f>IF(AND(B1575=1,C1575&gt;1,E1574&lt;&gt;""),ABS(D1575-E1574),"")</f>
        <v/>
      </c>
    </row>
    <row r="1576">
      <c r="A1576" t="n">
        <v>1576</v>
      </c>
      <c r="B1576">
        <f>IF(INDEX('Data Entry'!$H$5:$BE$10004,1576-4,'Visual SPC'!$B$3)="",0,IF(AND(OR('Visual SPC'!$C$4="",'Data Entry'!$C1576&gt;='Visual SPC'!$C$4),OR('Visual SPC'!$E$4="",'Data Entry'!$C1576&lt;='Visual SPC'!$E$4),OR('Visual SPC'!$G$4="",'Data Entry'!$D1576='Visual SPC'!$G$4),OR('Visual SPC'!$I$4="",'Data Entry'!$E1576='Visual SPC'!$I$4),OR('Visual SPC'!$K$4="",'Data Entry'!$F1576='Visual SPC'!$K$4)),1,0))</f>
        <v/>
      </c>
      <c r="C1576">
        <f>C1575+B1576</f>
        <v/>
      </c>
      <c r="D1576">
        <f>IF(B1576=1,INDEX('Data Entry'!$H$5:$BE$10004,1576-4,'Visual SPC'!$B$3),"")</f>
        <v/>
      </c>
      <c r="E1576">
        <f>IF(B1576=1,D1576,E1575)</f>
        <v/>
      </c>
      <c r="F1576">
        <f>IF(AND(B1576=1,C1576&gt;1,E1575&lt;&gt;""),ABS(D1576-E1575),"")</f>
        <v/>
      </c>
    </row>
    <row r="1577">
      <c r="A1577" t="n">
        <v>1577</v>
      </c>
      <c r="B1577">
        <f>IF(INDEX('Data Entry'!$H$5:$BE$10004,1577-4,'Visual SPC'!$B$3)="",0,IF(AND(OR('Visual SPC'!$C$4="",'Data Entry'!$C1577&gt;='Visual SPC'!$C$4),OR('Visual SPC'!$E$4="",'Data Entry'!$C1577&lt;='Visual SPC'!$E$4),OR('Visual SPC'!$G$4="",'Data Entry'!$D1577='Visual SPC'!$G$4),OR('Visual SPC'!$I$4="",'Data Entry'!$E1577='Visual SPC'!$I$4),OR('Visual SPC'!$K$4="",'Data Entry'!$F1577='Visual SPC'!$K$4)),1,0))</f>
        <v/>
      </c>
      <c r="C1577">
        <f>C1576+B1577</f>
        <v/>
      </c>
      <c r="D1577">
        <f>IF(B1577=1,INDEX('Data Entry'!$H$5:$BE$10004,1577-4,'Visual SPC'!$B$3),"")</f>
        <v/>
      </c>
      <c r="E1577">
        <f>IF(B1577=1,D1577,E1576)</f>
        <v/>
      </c>
      <c r="F1577">
        <f>IF(AND(B1577=1,C1577&gt;1,E1576&lt;&gt;""),ABS(D1577-E1576),"")</f>
        <v/>
      </c>
    </row>
    <row r="1578">
      <c r="A1578" t="n">
        <v>1578</v>
      </c>
      <c r="B1578">
        <f>IF(INDEX('Data Entry'!$H$5:$BE$10004,1578-4,'Visual SPC'!$B$3)="",0,IF(AND(OR('Visual SPC'!$C$4="",'Data Entry'!$C1578&gt;='Visual SPC'!$C$4),OR('Visual SPC'!$E$4="",'Data Entry'!$C1578&lt;='Visual SPC'!$E$4),OR('Visual SPC'!$G$4="",'Data Entry'!$D1578='Visual SPC'!$G$4),OR('Visual SPC'!$I$4="",'Data Entry'!$E1578='Visual SPC'!$I$4),OR('Visual SPC'!$K$4="",'Data Entry'!$F1578='Visual SPC'!$K$4)),1,0))</f>
        <v/>
      </c>
      <c r="C1578">
        <f>C1577+B1578</f>
        <v/>
      </c>
      <c r="D1578">
        <f>IF(B1578=1,INDEX('Data Entry'!$H$5:$BE$10004,1578-4,'Visual SPC'!$B$3),"")</f>
        <v/>
      </c>
      <c r="E1578">
        <f>IF(B1578=1,D1578,E1577)</f>
        <v/>
      </c>
      <c r="F1578">
        <f>IF(AND(B1578=1,C1578&gt;1,E1577&lt;&gt;""),ABS(D1578-E1577),"")</f>
        <v/>
      </c>
    </row>
    <row r="1579">
      <c r="A1579" t="n">
        <v>1579</v>
      </c>
      <c r="B1579">
        <f>IF(INDEX('Data Entry'!$H$5:$BE$10004,1579-4,'Visual SPC'!$B$3)="",0,IF(AND(OR('Visual SPC'!$C$4="",'Data Entry'!$C1579&gt;='Visual SPC'!$C$4),OR('Visual SPC'!$E$4="",'Data Entry'!$C1579&lt;='Visual SPC'!$E$4),OR('Visual SPC'!$G$4="",'Data Entry'!$D1579='Visual SPC'!$G$4),OR('Visual SPC'!$I$4="",'Data Entry'!$E1579='Visual SPC'!$I$4),OR('Visual SPC'!$K$4="",'Data Entry'!$F1579='Visual SPC'!$K$4)),1,0))</f>
        <v/>
      </c>
      <c r="C1579">
        <f>C1578+B1579</f>
        <v/>
      </c>
      <c r="D1579">
        <f>IF(B1579=1,INDEX('Data Entry'!$H$5:$BE$10004,1579-4,'Visual SPC'!$B$3),"")</f>
        <v/>
      </c>
      <c r="E1579">
        <f>IF(B1579=1,D1579,E1578)</f>
        <v/>
      </c>
      <c r="F1579">
        <f>IF(AND(B1579=1,C1579&gt;1,E1578&lt;&gt;""),ABS(D1579-E1578),"")</f>
        <v/>
      </c>
    </row>
    <row r="1580">
      <c r="A1580" t="n">
        <v>1580</v>
      </c>
      <c r="B1580">
        <f>IF(INDEX('Data Entry'!$H$5:$BE$10004,1580-4,'Visual SPC'!$B$3)="",0,IF(AND(OR('Visual SPC'!$C$4="",'Data Entry'!$C1580&gt;='Visual SPC'!$C$4),OR('Visual SPC'!$E$4="",'Data Entry'!$C1580&lt;='Visual SPC'!$E$4),OR('Visual SPC'!$G$4="",'Data Entry'!$D1580='Visual SPC'!$G$4),OR('Visual SPC'!$I$4="",'Data Entry'!$E1580='Visual SPC'!$I$4),OR('Visual SPC'!$K$4="",'Data Entry'!$F1580='Visual SPC'!$K$4)),1,0))</f>
        <v/>
      </c>
      <c r="C1580">
        <f>C1579+B1580</f>
        <v/>
      </c>
      <c r="D1580">
        <f>IF(B1580=1,INDEX('Data Entry'!$H$5:$BE$10004,1580-4,'Visual SPC'!$B$3),"")</f>
        <v/>
      </c>
      <c r="E1580">
        <f>IF(B1580=1,D1580,E1579)</f>
        <v/>
      </c>
      <c r="F1580">
        <f>IF(AND(B1580=1,C1580&gt;1,E1579&lt;&gt;""),ABS(D1580-E1579),"")</f>
        <v/>
      </c>
    </row>
    <row r="1581">
      <c r="A1581" t="n">
        <v>1581</v>
      </c>
      <c r="B1581">
        <f>IF(INDEX('Data Entry'!$H$5:$BE$10004,1581-4,'Visual SPC'!$B$3)="",0,IF(AND(OR('Visual SPC'!$C$4="",'Data Entry'!$C1581&gt;='Visual SPC'!$C$4),OR('Visual SPC'!$E$4="",'Data Entry'!$C1581&lt;='Visual SPC'!$E$4),OR('Visual SPC'!$G$4="",'Data Entry'!$D1581='Visual SPC'!$G$4),OR('Visual SPC'!$I$4="",'Data Entry'!$E1581='Visual SPC'!$I$4),OR('Visual SPC'!$K$4="",'Data Entry'!$F1581='Visual SPC'!$K$4)),1,0))</f>
        <v/>
      </c>
      <c r="C1581">
        <f>C1580+B1581</f>
        <v/>
      </c>
      <c r="D1581">
        <f>IF(B1581=1,INDEX('Data Entry'!$H$5:$BE$10004,1581-4,'Visual SPC'!$B$3),"")</f>
        <v/>
      </c>
      <c r="E1581">
        <f>IF(B1581=1,D1581,E1580)</f>
        <v/>
      </c>
      <c r="F1581">
        <f>IF(AND(B1581=1,C1581&gt;1,E1580&lt;&gt;""),ABS(D1581-E1580),"")</f>
        <v/>
      </c>
    </row>
    <row r="1582">
      <c r="A1582" t="n">
        <v>1582</v>
      </c>
      <c r="B1582">
        <f>IF(INDEX('Data Entry'!$H$5:$BE$10004,1582-4,'Visual SPC'!$B$3)="",0,IF(AND(OR('Visual SPC'!$C$4="",'Data Entry'!$C1582&gt;='Visual SPC'!$C$4),OR('Visual SPC'!$E$4="",'Data Entry'!$C1582&lt;='Visual SPC'!$E$4),OR('Visual SPC'!$G$4="",'Data Entry'!$D1582='Visual SPC'!$G$4),OR('Visual SPC'!$I$4="",'Data Entry'!$E1582='Visual SPC'!$I$4),OR('Visual SPC'!$K$4="",'Data Entry'!$F1582='Visual SPC'!$K$4)),1,0))</f>
        <v/>
      </c>
      <c r="C1582">
        <f>C1581+B1582</f>
        <v/>
      </c>
      <c r="D1582">
        <f>IF(B1582=1,INDEX('Data Entry'!$H$5:$BE$10004,1582-4,'Visual SPC'!$B$3),"")</f>
        <v/>
      </c>
      <c r="E1582">
        <f>IF(B1582=1,D1582,E1581)</f>
        <v/>
      </c>
      <c r="F1582">
        <f>IF(AND(B1582=1,C1582&gt;1,E1581&lt;&gt;""),ABS(D1582-E1581),"")</f>
        <v/>
      </c>
    </row>
    <row r="1583">
      <c r="A1583" t="n">
        <v>1583</v>
      </c>
      <c r="B1583">
        <f>IF(INDEX('Data Entry'!$H$5:$BE$10004,1583-4,'Visual SPC'!$B$3)="",0,IF(AND(OR('Visual SPC'!$C$4="",'Data Entry'!$C1583&gt;='Visual SPC'!$C$4),OR('Visual SPC'!$E$4="",'Data Entry'!$C1583&lt;='Visual SPC'!$E$4),OR('Visual SPC'!$G$4="",'Data Entry'!$D1583='Visual SPC'!$G$4),OR('Visual SPC'!$I$4="",'Data Entry'!$E1583='Visual SPC'!$I$4),OR('Visual SPC'!$K$4="",'Data Entry'!$F1583='Visual SPC'!$K$4)),1,0))</f>
        <v/>
      </c>
      <c r="C1583">
        <f>C1582+B1583</f>
        <v/>
      </c>
      <c r="D1583">
        <f>IF(B1583=1,INDEX('Data Entry'!$H$5:$BE$10004,1583-4,'Visual SPC'!$B$3),"")</f>
        <v/>
      </c>
      <c r="E1583">
        <f>IF(B1583=1,D1583,E1582)</f>
        <v/>
      </c>
      <c r="F1583">
        <f>IF(AND(B1583=1,C1583&gt;1,E1582&lt;&gt;""),ABS(D1583-E1582),"")</f>
        <v/>
      </c>
    </row>
    <row r="1584">
      <c r="A1584" t="n">
        <v>1584</v>
      </c>
      <c r="B1584">
        <f>IF(INDEX('Data Entry'!$H$5:$BE$10004,1584-4,'Visual SPC'!$B$3)="",0,IF(AND(OR('Visual SPC'!$C$4="",'Data Entry'!$C1584&gt;='Visual SPC'!$C$4),OR('Visual SPC'!$E$4="",'Data Entry'!$C1584&lt;='Visual SPC'!$E$4),OR('Visual SPC'!$G$4="",'Data Entry'!$D1584='Visual SPC'!$G$4),OR('Visual SPC'!$I$4="",'Data Entry'!$E1584='Visual SPC'!$I$4),OR('Visual SPC'!$K$4="",'Data Entry'!$F1584='Visual SPC'!$K$4)),1,0))</f>
        <v/>
      </c>
      <c r="C1584">
        <f>C1583+B1584</f>
        <v/>
      </c>
      <c r="D1584">
        <f>IF(B1584=1,INDEX('Data Entry'!$H$5:$BE$10004,1584-4,'Visual SPC'!$B$3),"")</f>
        <v/>
      </c>
      <c r="E1584">
        <f>IF(B1584=1,D1584,E1583)</f>
        <v/>
      </c>
      <c r="F1584">
        <f>IF(AND(B1584=1,C1584&gt;1,E1583&lt;&gt;""),ABS(D1584-E1583),"")</f>
        <v/>
      </c>
    </row>
    <row r="1585">
      <c r="A1585" t="n">
        <v>1585</v>
      </c>
      <c r="B1585">
        <f>IF(INDEX('Data Entry'!$H$5:$BE$10004,1585-4,'Visual SPC'!$B$3)="",0,IF(AND(OR('Visual SPC'!$C$4="",'Data Entry'!$C1585&gt;='Visual SPC'!$C$4),OR('Visual SPC'!$E$4="",'Data Entry'!$C1585&lt;='Visual SPC'!$E$4),OR('Visual SPC'!$G$4="",'Data Entry'!$D1585='Visual SPC'!$G$4),OR('Visual SPC'!$I$4="",'Data Entry'!$E1585='Visual SPC'!$I$4),OR('Visual SPC'!$K$4="",'Data Entry'!$F1585='Visual SPC'!$K$4)),1,0))</f>
        <v/>
      </c>
      <c r="C1585">
        <f>C1584+B1585</f>
        <v/>
      </c>
      <c r="D1585">
        <f>IF(B1585=1,INDEX('Data Entry'!$H$5:$BE$10004,1585-4,'Visual SPC'!$B$3),"")</f>
        <v/>
      </c>
      <c r="E1585">
        <f>IF(B1585=1,D1585,E1584)</f>
        <v/>
      </c>
      <c r="F1585">
        <f>IF(AND(B1585=1,C1585&gt;1,E1584&lt;&gt;""),ABS(D1585-E1584),"")</f>
        <v/>
      </c>
    </row>
    <row r="1586">
      <c r="A1586" t="n">
        <v>1586</v>
      </c>
      <c r="B1586">
        <f>IF(INDEX('Data Entry'!$H$5:$BE$10004,1586-4,'Visual SPC'!$B$3)="",0,IF(AND(OR('Visual SPC'!$C$4="",'Data Entry'!$C1586&gt;='Visual SPC'!$C$4),OR('Visual SPC'!$E$4="",'Data Entry'!$C1586&lt;='Visual SPC'!$E$4),OR('Visual SPC'!$G$4="",'Data Entry'!$D1586='Visual SPC'!$G$4),OR('Visual SPC'!$I$4="",'Data Entry'!$E1586='Visual SPC'!$I$4),OR('Visual SPC'!$K$4="",'Data Entry'!$F1586='Visual SPC'!$K$4)),1,0))</f>
        <v/>
      </c>
      <c r="C1586">
        <f>C1585+B1586</f>
        <v/>
      </c>
      <c r="D1586">
        <f>IF(B1586=1,INDEX('Data Entry'!$H$5:$BE$10004,1586-4,'Visual SPC'!$B$3),"")</f>
        <v/>
      </c>
      <c r="E1586">
        <f>IF(B1586=1,D1586,E1585)</f>
        <v/>
      </c>
      <c r="F1586">
        <f>IF(AND(B1586=1,C1586&gt;1,E1585&lt;&gt;""),ABS(D1586-E1585),"")</f>
        <v/>
      </c>
    </row>
    <row r="1587">
      <c r="A1587" t="n">
        <v>1587</v>
      </c>
      <c r="B1587">
        <f>IF(INDEX('Data Entry'!$H$5:$BE$10004,1587-4,'Visual SPC'!$B$3)="",0,IF(AND(OR('Visual SPC'!$C$4="",'Data Entry'!$C1587&gt;='Visual SPC'!$C$4),OR('Visual SPC'!$E$4="",'Data Entry'!$C1587&lt;='Visual SPC'!$E$4),OR('Visual SPC'!$G$4="",'Data Entry'!$D1587='Visual SPC'!$G$4),OR('Visual SPC'!$I$4="",'Data Entry'!$E1587='Visual SPC'!$I$4),OR('Visual SPC'!$K$4="",'Data Entry'!$F1587='Visual SPC'!$K$4)),1,0))</f>
        <v/>
      </c>
      <c r="C1587">
        <f>C1586+B1587</f>
        <v/>
      </c>
      <c r="D1587">
        <f>IF(B1587=1,INDEX('Data Entry'!$H$5:$BE$10004,1587-4,'Visual SPC'!$B$3),"")</f>
        <v/>
      </c>
      <c r="E1587">
        <f>IF(B1587=1,D1587,E1586)</f>
        <v/>
      </c>
      <c r="F1587">
        <f>IF(AND(B1587=1,C1587&gt;1,E1586&lt;&gt;""),ABS(D1587-E1586),"")</f>
        <v/>
      </c>
    </row>
    <row r="1588">
      <c r="A1588" t="n">
        <v>1588</v>
      </c>
      <c r="B1588">
        <f>IF(INDEX('Data Entry'!$H$5:$BE$10004,1588-4,'Visual SPC'!$B$3)="",0,IF(AND(OR('Visual SPC'!$C$4="",'Data Entry'!$C1588&gt;='Visual SPC'!$C$4),OR('Visual SPC'!$E$4="",'Data Entry'!$C1588&lt;='Visual SPC'!$E$4),OR('Visual SPC'!$G$4="",'Data Entry'!$D1588='Visual SPC'!$G$4),OR('Visual SPC'!$I$4="",'Data Entry'!$E1588='Visual SPC'!$I$4),OR('Visual SPC'!$K$4="",'Data Entry'!$F1588='Visual SPC'!$K$4)),1,0))</f>
        <v/>
      </c>
      <c r="C1588">
        <f>C1587+B1588</f>
        <v/>
      </c>
      <c r="D1588">
        <f>IF(B1588=1,INDEX('Data Entry'!$H$5:$BE$10004,1588-4,'Visual SPC'!$B$3),"")</f>
        <v/>
      </c>
      <c r="E1588">
        <f>IF(B1588=1,D1588,E1587)</f>
        <v/>
      </c>
      <c r="F1588">
        <f>IF(AND(B1588=1,C1588&gt;1,E1587&lt;&gt;""),ABS(D1588-E1587),"")</f>
        <v/>
      </c>
    </row>
    <row r="1589">
      <c r="A1589" t="n">
        <v>1589</v>
      </c>
      <c r="B1589">
        <f>IF(INDEX('Data Entry'!$H$5:$BE$10004,1589-4,'Visual SPC'!$B$3)="",0,IF(AND(OR('Visual SPC'!$C$4="",'Data Entry'!$C1589&gt;='Visual SPC'!$C$4),OR('Visual SPC'!$E$4="",'Data Entry'!$C1589&lt;='Visual SPC'!$E$4),OR('Visual SPC'!$G$4="",'Data Entry'!$D1589='Visual SPC'!$G$4),OR('Visual SPC'!$I$4="",'Data Entry'!$E1589='Visual SPC'!$I$4),OR('Visual SPC'!$K$4="",'Data Entry'!$F1589='Visual SPC'!$K$4)),1,0))</f>
        <v/>
      </c>
      <c r="C1589">
        <f>C1588+B1589</f>
        <v/>
      </c>
      <c r="D1589">
        <f>IF(B1589=1,INDEX('Data Entry'!$H$5:$BE$10004,1589-4,'Visual SPC'!$B$3),"")</f>
        <v/>
      </c>
      <c r="E1589">
        <f>IF(B1589=1,D1589,E1588)</f>
        <v/>
      </c>
      <c r="F1589">
        <f>IF(AND(B1589=1,C1589&gt;1,E1588&lt;&gt;""),ABS(D1589-E1588),"")</f>
        <v/>
      </c>
    </row>
    <row r="1590">
      <c r="A1590" t="n">
        <v>1590</v>
      </c>
      <c r="B1590">
        <f>IF(INDEX('Data Entry'!$H$5:$BE$10004,1590-4,'Visual SPC'!$B$3)="",0,IF(AND(OR('Visual SPC'!$C$4="",'Data Entry'!$C1590&gt;='Visual SPC'!$C$4),OR('Visual SPC'!$E$4="",'Data Entry'!$C1590&lt;='Visual SPC'!$E$4),OR('Visual SPC'!$G$4="",'Data Entry'!$D1590='Visual SPC'!$G$4),OR('Visual SPC'!$I$4="",'Data Entry'!$E1590='Visual SPC'!$I$4),OR('Visual SPC'!$K$4="",'Data Entry'!$F1590='Visual SPC'!$K$4)),1,0))</f>
        <v/>
      </c>
      <c r="C1590">
        <f>C1589+B1590</f>
        <v/>
      </c>
      <c r="D1590">
        <f>IF(B1590=1,INDEX('Data Entry'!$H$5:$BE$10004,1590-4,'Visual SPC'!$B$3),"")</f>
        <v/>
      </c>
      <c r="E1590">
        <f>IF(B1590=1,D1590,E1589)</f>
        <v/>
      </c>
      <c r="F1590">
        <f>IF(AND(B1590=1,C1590&gt;1,E1589&lt;&gt;""),ABS(D1590-E1589),"")</f>
        <v/>
      </c>
    </row>
    <row r="1591">
      <c r="A1591" t="n">
        <v>1591</v>
      </c>
      <c r="B1591">
        <f>IF(INDEX('Data Entry'!$H$5:$BE$10004,1591-4,'Visual SPC'!$B$3)="",0,IF(AND(OR('Visual SPC'!$C$4="",'Data Entry'!$C1591&gt;='Visual SPC'!$C$4),OR('Visual SPC'!$E$4="",'Data Entry'!$C1591&lt;='Visual SPC'!$E$4),OR('Visual SPC'!$G$4="",'Data Entry'!$D1591='Visual SPC'!$G$4),OR('Visual SPC'!$I$4="",'Data Entry'!$E1591='Visual SPC'!$I$4),OR('Visual SPC'!$K$4="",'Data Entry'!$F1591='Visual SPC'!$K$4)),1,0))</f>
        <v/>
      </c>
      <c r="C1591">
        <f>C1590+B1591</f>
        <v/>
      </c>
      <c r="D1591">
        <f>IF(B1591=1,INDEX('Data Entry'!$H$5:$BE$10004,1591-4,'Visual SPC'!$B$3),"")</f>
        <v/>
      </c>
      <c r="E1591">
        <f>IF(B1591=1,D1591,E1590)</f>
        <v/>
      </c>
      <c r="F1591">
        <f>IF(AND(B1591=1,C1591&gt;1,E1590&lt;&gt;""),ABS(D1591-E1590),"")</f>
        <v/>
      </c>
    </row>
    <row r="1592">
      <c r="A1592" t="n">
        <v>1592</v>
      </c>
      <c r="B1592">
        <f>IF(INDEX('Data Entry'!$H$5:$BE$10004,1592-4,'Visual SPC'!$B$3)="",0,IF(AND(OR('Visual SPC'!$C$4="",'Data Entry'!$C1592&gt;='Visual SPC'!$C$4),OR('Visual SPC'!$E$4="",'Data Entry'!$C1592&lt;='Visual SPC'!$E$4),OR('Visual SPC'!$G$4="",'Data Entry'!$D1592='Visual SPC'!$G$4),OR('Visual SPC'!$I$4="",'Data Entry'!$E1592='Visual SPC'!$I$4),OR('Visual SPC'!$K$4="",'Data Entry'!$F1592='Visual SPC'!$K$4)),1,0))</f>
        <v/>
      </c>
      <c r="C1592">
        <f>C1591+B1592</f>
        <v/>
      </c>
      <c r="D1592">
        <f>IF(B1592=1,INDEX('Data Entry'!$H$5:$BE$10004,1592-4,'Visual SPC'!$B$3),"")</f>
        <v/>
      </c>
      <c r="E1592">
        <f>IF(B1592=1,D1592,E1591)</f>
        <v/>
      </c>
      <c r="F1592">
        <f>IF(AND(B1592=1,C1592&gt;1,E1591&lt;&gt;""),ABS(D1592-E1591),"")</f>
        <v/>
      </c>
    </row>
    <row r="1593">
      <c r="A1593" t="n">
        <v>1593</v>
      </c>
      <c r="B1593">
        <f>IF(INDEX('Data Entry'!$H$5:$BE$10004,1593-4,'Visual SPC'!$B$3)="",0,IF(AND(OR('Visual SPC'!$C$4="",'Data Entry'!$C1593&gt;='Visual SPC'!$C$4),OR('Visual SPC'!$E$4="",'Data Entry'!$C1593&lt;='Visual SPC'!$E$4),OR('Visual SPC'!$G$4="",'Data Entry'!$D1593='Visual SPC'!$G$4),OR('Visual SPC'!$I$4="",'Data Entry'!$E1593='Visual SPC'!$I$4),OR('Visual SPC'!$K$4="",'Data Entry'!$F1593='Visual SPC'!$K$4)),1,0))</f>
        <v/>
      </c>
      <c r="C1593">
        <f>C1592+B1593</f>
        <v/>
      </c>
      <c r="D1593">
        <f>IF(B1593=1,INDEX('Data Entry'!$H$5:$BE$10004,1593-4,'Visual SPC'!$B$3),"")</f>
        <v/>
      </c>
      <c r="E1593">
        <f>IF(B1593=1,D1593,E1592)</f>
        <v/>
      </c>
      <c r="F1593">
        <f>IF(AND(B1593=1,C1593&gt;1,E1592&lt;&gt;""),ABS(D1593-E1592),"")</f>
        <v/>
      </c>
    </row>
    <row r="1594">
      <c r="A1594" t="n">
        <v>1594</v>
      </c>
      <c r="B1594">
        <f>IF(INDEX('Data Entry'!$H$5:$BE$10004,1594-4,'Visual SPC'!$B$3)="",0,IF(AND(OR('Visual SPC'!$C$4="",'Data Entry'!$C1594&gt;='Visual SPC'!$C$4),OR('Visual SPC'!$E$4="",'Data Entry'!$C1594&lt;='Visual SPC'!$E$4),OR('Visual SPC'!$G$4="",'Data Entry'!$D1594='Visual SPC'!$G$4),OR('Visual SPC'!$I$4="",'Data Entry'!$E1594='Visual SPC'!$I$4),OR('Visual SPC'!$K$4="",'Data Entry'!$F1594='Visual SPC'!$K$4)),1,0))</f>
        <v/>
      </c>
      <c r="C1594">
        <f>C1593+B1594</f>
        <v/>
      </c>
      <c r="D1594">
        <f>IF(B1594=1,INDEX('Data Entry'!$H$5:$BE$10004,1594-4,'Visual SPC'!$B$3),"")</f>
        <v/>
      </c>
      <c r="E1594">
        <f>IF(B1594=1,D1594,E1593)</f>
        <v/>
      </c>
      <c r="F1594">
        <f>IF(AND(B1594=1,C1594&gt;1,E1593&lt;&gt;""),ABS(D1594-E1593),"")</f>
        <v/>
      </c>
    </row>
    <row r="1595">
      <c r="A1595" t="n">
        <v>1595</v>
      </c>
      <c r="B1595">
        <f>IF(INDEX('Data Entry'!$H$5:$BE$10004,1595-4,'Visual SPC'!$B$3)="",0,IF(AND(OR('Visual SPC'!$C$4="",'Data Entry'!$C1595&gt;='Visual SPC'!$C$4),OR('Visual SPC'!$E$4="",'Data Entry'!$C1595&lt;='Visual SPC'!$E$4),OR('Visual SPC'!$G$4="",'Data Entry'!$D1595='Visual SPC'!$G$4),OR('Visual SPC'!$I$4="",'Data Entry'!$E1595='Visual SPC'!$I$4),OR('Visual SPC'!$K$4="",'Data Entry'!$F1595='Visual SPC'!$K$4)),1,0))</f>
        <v/>
      </c>
      <c r="C1595">
        <f>C1594+B1595</f>
        <v/>
      </c>
      <c r="D1595">
        <f>IF(B1595=1,INDEX('Data Entry'!$H$5:$BE$10004,1595-4,'Visual SPC'!$B$3),"")</f>
        <v/>
      </c>
      <c r="E1595">
        <f>IF(B1595=1,D1595,E1594)</f>
        <v/>
      </c>
      <c r="F1595">
        <f>IF(AND(B1595=1,C1595&gt;1,E1594&lt;&gt;""),ABS(D1595-E1594),"")</f>
        <v/>
      </c>
    </row>
    <row r="1596">
      <c r="A1596" t="n">
        <v>1596</v>
      </c>
      <c r="B1596">
        <f>IF(INDEX('Data Entry'!$H$5:$BE$10004,1596-4,'Visual SPC'!$B$3)="",0,IF(AND(OR('Visual SPC'!$C$4="",'Data Entry'!$C1596&gt;='Visual SPC'!$C$4),OR('Visual SPC'!$E$4="",'Data Entry'!$C1596&lt;='Visual SPC'!$E$4),OR('Visual SPC'!$G$4="",'Data Entry'!$D1596='Visual SPC'!$G$4),OR('Visual SPC'!$I$4="",'Data Entry'!$E1596='Visual SPC'!$I$4),OR('Visual SPC'!$K$4="",'Data Entry'!$F1596='Visual SPC'!$K$4)),1,0))</f>
        <v/>
      </c>
      <c r="C1596">
        <f>C1595+B1596</f>
        <v/>
      </c>
      <c r="D1596">
        <f>IF(B1596=1,INDEX('Data Entry'!$H$5:$BE$10004,1596-4,'Visual SPC'!$B$3),"")</f>
        <v/>
      </c>
      <c r="E1596">
        <f>IF(B1596=1,D1596,E1595)</f>
        <v/>
      </c>
      <c r="F1596">
        <f>IF(AND(B1596=1,C1596&gt;1,E1595&lt;&gt;""),ABS(D1596-E1595),"")</f>
        <v/>
      </c>
    </row>
    <row r="1597">
      <c r="A1597" t="n">
        <v>1597</v>
      </c>
      <c r="B1597">
        <f>IF(INDEX('Data Entry'!$H$5:$BE$10004,1597-4,'Visual SPC'!$B$3)="",0,IF(AND(OR('Visual SPC'!$C$4="",'Data Entry'!$C1597&gt;='Visual SPC'!$C$4),OR('Visual SPC'!$E$4="",'Data Entry'!$C1597&lt;='Visual SPC'!$E$4),OR('Visual SPC'!$G$4="",'Data Entry'!$D1597='Visual SPC'!$G$4),OR('Visual SPC'!$I$4="",'Data Entry'!$E1597='Visual SPC'!$I$4),OR('Visual SPC'!$K$4="",'Data Entry'!$F1597='Visual SPC'!$K$4)),1,0))</f>
        <v/>
      </c>
      <c r="C1597">
        <f>C1596+B1597</f>
        <v/>
      </c>
      <c r="D1597">
        <f>IF(B1597=1,INDEX('Data Entry'!$H$5:$BE$10004,1597-4,'Visual SPC'!$B$3),"")</f>
        <v/>
      </c>
      <c r="E1597">
        <f>IF(B1597=1,D1597,E1596)</f>
        <v/>
      </c>
      <c r="F1597">
        <f>IF(AND(B1597=1,C1597&gt;1,E1596&lt;&gt;""),ABS(D1597-E1596),"")</f>
        <v/>
      </c>
    </row>
    <row r="1598">
      <c r="A1598" t="n">
        <v>1598</v>
      </c>
      <c r="B1598">
        <f>IF(INDEX('Data Entry'!$H$5:$BE$10004,1598-4,'Visual SPC'!$B$3)="",0,IF(AND(OR('Visual SPC'!$C$4="",'Data Entry'!$C1598&gt;='Visual SPC'!$C$4),OR('Visual SPC'!$E$4="",'Data Entry'!$C1598&lt;='Visual SPC'!$E$4),OR('Visual SPC'!$G$4="",'Data Entry'!$D1598='Visual SPC'!$G$4),OR('Visual SPC'!$I$4="",'Data Entry'!$E1598='Visual SPC'!$I$4),OR('Visual SPC'!$K$4="",'Data Entry'!$F1598='Visual SPC'!$K$4)),1,0))</f>
        <v/>
      </c>
      <c r="C1598">
        <f>C1597+B1598</f>
        <v/>
      </c>
      <c r="D1598">
        <f>IF(B1598=1,INDEX('Data Entry'!$H$5:$BE$10004,1598-4,'Visual SPC'!$B$3),"")</f>
        <v/>
      </c>
      <c r="E1598">
        <f>IF(B1598=1,D1598,E1597)</f>
        <v/>
      </c>
      <c r="F1598">
        <f>IF(AND(B1598=1,C1598&gt;1,E1597&lt;&gt;""),ABS(D1598-E1597),"")</f>
        <v/>
      </c>
    </row>
    <row r="1599">
      <c r="A1599" t="n">
        <v>1599</v>
      </c>
      <c r="B1599">
        <f>IF(INDEX('Data Entry'!$H$5:$BE$10004,1599-4,'Visual SPC'!$B$3)="",0,IF(AND(OR('Visual SPC'!$C$4="",'Data Entry'!$C1599&gt;='Visual SPC'!$C$4),OR('Visual SPC'!$E$4="",'Data Entry'!$C1599&lt;='Visual SPC'!$E$4),OR('Visual SPC'!$G$4="",'Data Entry'!$D1599='Visual SPC'!$G$4),OR('Visual SPC'!$I$4="",'Data Entry'!$E1599='Visual SPC'!$I$4),OR('Visual SPC'!$K$4="",'Data Entry'!$F1599='Visual SPC'!$K$4)),1,0))</f>
        <v/>
      </c>
      <c r="C1599">
        <f>C1598+B1599</f>
        <v/>
      </c>
      <c r="D1599">
        <f>IF(B1599=1,INDEX('Data Entry'!$H$5:$BE$10004,1599-4,'Visual SPC'!$B$3),"")</f>
        <v/>
      </c>
      <c r="E1599">
        <f>IF(B1599=1,D1599,E1598)</f>
        <v/>
      </c>
      <c r="F1599">
        <f>IF(AND(B1599=1,C1599&gt;1,E1598&lt;&gt;""),ABS(D1599-E1598),"")</f>
        <v/>
      </c>
    </row>
    <row r="1600">
      <c r="A1600" t="n">
        <v>1600</v>
      </c>
      <c r="B1600">
        <f>IF(INDEX('Data Entry'!$H$5:$BE$10004,1600-4,'Visual SPC'!$B$3)="",0,IF(AND(OR('Visual SPC'!$C$4="",'Data Entry'!$C1600&gt;='Visual SPC'!$C$4),OR('Visual SPC'!$E$4="",'Data Entry'!$C1600&lt;='Visual SPC'!$E$4),OR('Visual SPC'!$G$4="",'Data Entry'!$D1600='Visual SPC'!$G$4),OR('Visual SPC'!$I$4="",'Data Entry'!$E1600='Visual SPC'!$I$4),OR('Visual SPC'!$K$4="",'Data Entry'!$F1600='Visual SPC'!$K$4)),1,0))</f>
        <v/>
      </c>
      <c r="C1600">
        <f>C1599+B1600</f>
        <v/>
      </c>
      <c r="D1600">
        <f>IF(B1600=1,INDEX('Data Entry'!$H$5:$BE$10004,1600-4,'Visual SPC'!$B$3),"")</f>
        <v/>
      </c>
      <c r="E1600">
        <f>IF(B1600=1,D1600,E1599)</f>
        <v/>
      </c>
      <c r="F1600">
        <f>IF(AND(B1600=1,C1600&gt;1,E1599&lt;&gt;""),ABS(D1600-E1599),"")</f>
        <v/>
      </c>
    </row>
    <row r="1601">
      <c r="A1601" t="n">
        <v>1601</v>
      </c>
      <c r="B1601">
        <f>IF(INDEX('Data Entry'!$H$5:$BE$10004,1601-4,'Visual SPC'!$B$3)="",0,IF(AND(OR('Visual SPC'!$C$4="",'Data Entry'!$C1601&gt;='Visual SPC'!$C$4),OR('Visual SPC'!$E$4="",'Data Entry'!$C1601&lt;='Visual SPC'!$E$4),OR('Visual SPC'!$G$4="",'Data Entry'!$D1601='Visual SPC'!$G$4),OR('Visual SPC'!$I$4="",'Data Entry'!$E1601='Visual SPC'!$I$4),OR('Visual SPC'!$K$4="",'Data Entry'!$F1601='Visual SPC'!$K$4)),1,0))</f>
        <v/>
      </c>
      <c r="C1601">
        <f>C1600+B1601</f>
        <v/>
      </c>
      <c r="D1601">
        <f>IF(B1601=1,INDEX('Data Entry'!$H$5:$BE$10004,1601-4,'Visual SPC'!$B$3),"")</f>
        <v/>
      </c>
      <c r="E1601">
        <f>IF(B1601=1,D1601,E1600)</f>
        <v/>
      </c>
      <c r="F1601">
        <f>IF(AND(B1601=1,C1601&gt;1,E1600&lt;&gt;""),ABS(D1601-E1600),"")</f>
        <v/>
      </c>
    </row>
    <row r="1602">
      <c r="A1602" t="n">
        <v>1602</v>
      </c>
      <c r="B1602">
        <f>IF(INDEX('Data Entry'!$H$5:$BE$10004,1602-4,'Visual SPC'!$B$3)="",0,IF(AND(OR('Visual SPC'!$C$4="",'Data Entry'!$C1602&gt;='Visual SPC'!$C$4),OR('Visual SPC'!$E$4="",'Data Entry'!$C1602&lt;='Visual SPC'!$E$4),OR('Visual SPC'!$G$4="",'Data Entry'!$D1602='Visual SPC'!$G$4),OR('Visual SPC'!$I$4="",'Data Entry'!$E1602='Visual SPC'!$I$4),OR('Visual SPC'!$K$4="",'Data Entry'!$F1602='Visual SPC'!$K$4)),1,0))</f>
        <v/>
      </c>
      <c r="C1602">
        <f>C1601+B1602</f>
        <v/>
      </c>
      <c r="D1602">
        <f>IF(B1602=1,INDEX('Data Entry'!$H$5:$BE$10004,1602-4,'Visual SPC'!$B$3),"")</f>
        <v/>
      </c>
      <c r="E1602">
        <f>IF(B1602=1,D1602,E1601)</f>
        <v/>
      </c>
      <c r="F1602">
        <f>IF(AND(B1602=1,C1602&gt;1,E1601&lt;&gt;""),ABS(D1602-E1601),"")</f>
        <v/>
      </c>
    </row>
    <row r="1603">
      <c r="A1603" t="n">
        <v>1603</v>
      </c>
      <c r="B1603">
        <f>IF(INDEX('Data Entry'!$H$5:$BE$10004,1603-4,'Visual SPC'!$B$3)="",0,IF(AND(OR('Visual SPC'!$C$4="",'Data Entry'!$C1603&gt;='Visual SPC'!$C$4),OR('Visual SPC'!$E$4="",'Data Entry'!$C1603&lt;='Visual SPC'!$E$4),OR('Visual SPC'!$G$4="",'Data Entry'!$D1603='Visual SPC'!$G$4),OR('Visual SPC'!$I$4="",'Data Entry'!$E1603='Visual SPC'!$I$4),OR('Visual SPC'!$K$4="",'Data Entry'!$F1603='Visual SPC'!$K$4)),1,0))</f>
        <v/>
      </c>
      <c r="C1603">
        <f>C1602+B1603</f>
        <v/>
      </c>
      <c r="D1603">
        <f>IF(B1603=1,INDEX('Data Entry'!$H$5:$BE$10004,1603-4,'Visual SPC'!$B$3),"")</f>
        <v/>
      </c>
      <c r="E1603">
        <f>IF(B1603=1,D1603,E1602)</f>
        <v/>
      </c>
      <c r="F1603">
        <f>IF(AND(B1603=1,C1603&gt;1,E1602&lt;&gt;""),ABS(D1603-E1602),"")</f>
        <v/>
      </c>
    </row>
    <row r="1604">
      <c r="A1604" t="n">
        <v>1604</v>
      </c>
      <c r="B1604">
        <f>IF(INDEX('Data Entry'!$H$5:$BE$10004,1604-4,'Visual SPC'!$B$3)="",0,IF(AND(OR('Visual SPC'!$C$4="",'Data Entry'!$C1604&gt;='Visual SPC'!$C$4),OR('Visual SPC'!$E$4="",'Data Entry'!$C1604&lt;='Visual SPC'!$E$4),OR('Visual SPC'!$G$4="",'Data Entry'!$D1604='Visual SPC'!$G$4),OR('Visual SPC'!$I$4="",'Data Entry'!$E1604='Visual SPC'!$I$4),OR('Visual SPC'!$K$4="",'Data Entry'!$F1604='Visual SPC'!$K$4)),1,0))</f>
        <v/>
      </c>
      <c r="C1604">
        <f>C1603+B1604</f>
        <v/>
      </c>
      <c r="D1604">
        <f>IF(B1604=1,INDEX('Data Entry'!$H$5:$BE$10004,1604-4,'Visual SPC'!$B$3),"")</f>
        <v/>
      </c>
      <c r="E1604">
        <f>IF(B1604=1,D1604,E1603)</f>
        <v/>
      </c>
      <c r="F1604">
        <f>IF(AND(B1604=1,C1604&gt;1,E1603&lt;&gt;""),ABS(D1604-E1603),"")</f>
        <v/>
      </c>
    </row>
    <row r="1605">
      <c r="A1605" t="n">
        <v>1605</v>
      </c>
      <c r="B1605">
        <f>IF(INDEX('Data Entry'!$H$5:$BE$10004,1605-4,'Visual SPC'!$B$3)="",0,IF(AND(OR('Visual SPC'!$C$4="",'Data Entry'!$C1605&gt;='Visual SPC'!$C$4),OR('Visual SPC'!$E$4="",'Data Entry'!$C1605&lt;='Visual SPC'!$E$4),OR('Visual SPC'!$G$4="",'Data Entry'!$D1605='Visual SPC'!$G$4),OR('Visual SPC'!$I$4="",'Data Entry'!$E1605='Visual SPC'!$I$4),OR('Visual SPC'!$K$4="",'Data Entry'!$F1605='Visual SPC'!$K$4)),1,0))</f>
        <v/>
      </c>
      <c r="C1605">
        <f>C1604+B1605</f>
        <v/>
      </c>
      <c r="D1605">
        <f>IF(B1605=1,INDEX('Data Entry'!$H$5:$BE$10004,1605-4,'Visual SPC'!$B$3),"")</f>
        <v/>
      </c>
      <c r="E1605">
        <f>IF(B1605=1,D1605,E1604)</f>
        <v/>
      </c>
      <c r="F1605">
        <f>IF(AND(B1605=1,C1605&gt;1,E1604&lt;&gt;""),ABS(D1605-E1604),"")</f>
        <v/>
      </c>
    </row>
    <row r="1606">
      <c r="A1606" t="n">
        <v>1606</v>
      </c>
      <c r="B1606">
        <f>IF(INDEX('Data Entry'!$H$5:$BE$10004,1606-4,'Visual SPC'!$B$3)="",0,IF(AND(OR('Visual SPC'!$C$4="",'Data Entry'!$C1606&gt;='Visual SPC'!$C$4),OR('Visual SPC'!$E$4="",'Data Entry'!$C1606&lt;='Visual SPC'!$E$4),OR('Visual SPC'!$G$4="",'Data Entry'!$D1606='Visual SPC'!$G$4),OR('Visual SPC'!$I$4="",'Data Entry'!$E1606='Visual SPC'!$I$4),OR('Visual SPC'!$K$4="",'Data Entry'!$F1606='Visual SPC'!$K$4)),1,0))</f>
        <v/>
      </c>
      <c r="C1606">
        <f>C1605+B1606</f>
        <v/>
      </c>
      <c r="D1606">
        <f>IF(B1606=1,INDEX('Data Entry'!$H$5:$BE$10004,1606-4,'Visual SPC'!$B$3),"")</f>
        <v/>
      </c>
      <c r="E1606">
        <f>IF(B1606=1,D1606,E1605)</f>
        <v/>
      </c>
      <c r="F1606">
        <f>IF(AND(B1606=1,C1606&gt;1,E1605&lt;&gt;""),ABS(D1606-E1605),"")</f>
        <v/>
      </c>
    </row>
    <row r="1607">
      <c r="A1607" t="n">
        <v>1607</v>
      </c>
      <c r="B1607">
        <f>IF(INDEX('Data Entry'!$H$5:$BE$10004,1607-4,'Visual SPC'!$B$3)="",0,IF(AND(OR('Visual SPC'!$C$4="",'Data Entry'!$C1607&gt;='Visual SPC'!$C$4),OR('Visual SPC'!$E$4="",'Data Entry'!$C1607&lt;='Visual SPC'!$E$4),OR('Visual SPC'!$G$4="",'Data Entry'!$D1607='Visual SPC'!$G$4),OR('Visual SPC'!$I$4="",'Data Entry'!$E1607='Visual SPC'!$I$4),OR('Visual SPC'!$K$4="",'Data Entry'!$F1607='Visual SPC'!$K$4)),1,0))</f>
        <v/>
      </c>
      <c r="C1607">
        <f>C1606+B1607</f>
        <v/>
      </c>
      <c r="D1607">
        <f>IF(B1607=1,INDEX('Data Entry'!$H$5:$BE$10004,1607-4,'Visual SPC'!$B$3),"")</f>
        <v/>
      </c>
      <c r="E1607">
        <f>IF(B1607=1,D1607,E1606)</f>
        <v/>
      </c>
      <c r="F1607">
        <f>IF(AND(B1607=1,C1607&gt;1,E1606&lt;&gt;""),ABS(D1607-E1606),"")</f>
        <v/>
      </c>
    </row>
    <row r="1608">
      <c r="A1608" t="n">
        <v>1608</v>
      </c>
      <c r="B1608">
        <f>IF(INDEX('Data Entry'!$H$5:$BE$10004,1608-4,'Visual SPC'!$B$3)="",0,IF(AND(OR('Visual SPC'!$C$4="",'Data Entry'!$C1608&gt;='Visual SPC'!$C$4),OR('Visual SPC'!$E$4="",'Data Entry'!$C1608&lt;='Visual SPC'!$E$4),OR('Visual SPC'!$G$4="",'Data Entry'!$D1608='Visual SPC'!$G$4),OR('Visual SPC'!$I$4="",'Data Entry'!$E1608='Visual SPC'!$I$4),OR('Visual SPC'!$K$4="",'Data Entry'!$F1608='Visual SPC'!$K$4)),1,0))</f>
        <v/>
      </c>
      <c r="C1608">
        <f>C1607+B1608</f>
        <v/>
      </c>
      <c r="D1608">
        <f>IF(B1608=1,INDEX('Data Entry'!$H$5:$BE$10004,1608-4,'Visual SPC'!$B$3),"")</f>
        <v/>
      </c>
      <c r="E1608">
        <f>IF(B1608=1,D1608,E1607)</f>
        <v/>
      </c>
      <c r="F1608">
        <f>IF(AND(B1608=1,C1608&gt;1,E1607&lt;&gt;""),ABS(D1608-E1607),"")</f>
        <v/>
      </c>
    </row>
    <row r="1609">
      <c r="A1609" t="n">
        <v>1609</v>
      </c>
      <c r="B1609">
        <f>IF(INDEX('Data Entry'!$H$5:$BE$10004,1609-4,'Visual SPC'!$B$3)="",0,IF(AND(OR('Visual SPC'!$C$4="",'Data Entry'!$C1609&gt;='Visual SPC'!$C$4),OR('Visual SPC'!$E$4="",'Data Entry'!$C1609&lt;='Visual SPC'!$E$4),OR('Visual SPC'!$G$4="",'Data Entry'!$D1609='Visual SPC'!$G$4),OR('Visual SPC'!$I$4="",'Data Entry'!$E1609='Visual SPC'!$I$4),OR('Visual SPC'!$K$4="",'Data Entry'!$F1609='Visual SPC'!$K$4)),1,0))</f>
        <v/>
      </c>
      <c r="C1609">
        <f>C1608+B1609</f>
        <v/>
      </c>
      <c r="D1609">
        <f>IF(B1609=1,INDEX('Data Entry'!$H$5:$BE$10004,1609-4,'Visual SPC'!$B$3),"")</f>
        <v/>
      </c>
      <c r="E1609">
        <f>IF(B1609=1,D1609,E1608)</f>
        <v/>
      </c>
      <c r="F1609">
        <f>IF(AND(B1609=1,C1609&gt;1,E1608&lt;&gt;""),ABS(D1609-E1608),"")</f>
        <v/>
      </c>
    </row>
    <row r="1610">
      <c r="A1610" t="n">
        <v>1610</v>
      </c>
      <c r="B1610">
        <f>IF(INDEX('Data Entry'!$H$5:$BE$10004,1610-4,'Visual SPC'!$B$3)="",0,IF(AND(OR('Visual SPC'!$C$4="",'Data Entry'!$C1610&gt;='Visual SPC'!$C$4),OR('Visual SPC'!$E$4="",'Data Entry'!$C1610&lt;='Visual SPC'!$E$4),OR('Visual SPC'!$G$4="",'Data Entry'!$D1610='Visual SPC'!$G$4),OR('Visual SPC'!$I$4="",'Data Entry'!$E1610='Visual SPC'!$I$4),OR('Visual SPC'!$K$4="",'Data Entry'!$F1610='Visual SPC'!$K$4)),1,0))</f>
        <v/>
      </c>
      <c r="C1610">
        <f>C1609+B1610</f>
        <v/>
      </c>
      <c r="D1610">
        <f>IF(B1610=1,INDEX('Data Entry'!$H$5:$BE$10004,1610-4,'Visual SPC'!$B$3),"")</f>
        <v/>
      </c>
      <c r="E1610">
        <f>IF(B1610=1,D1610,E1609)</f>
        <v/>
      </c>
      <c r="F1610">
        <f>IF(AND(B1610=1,C1610&gt;1,E1609&lt;&gt;""),ABS(D1610-E1609),"")</f>
        <v/>
      </c>
    </row>
    <row r="1611">
      <c r="A1611" t="n">
        <v>1611</v>
      </c>
      <c r="B1611">
        <f>IF(INDEX('Data Entry'!$H$5:$BE$10004,1611-4,'Visual SPC'!$B$3)="",0,IF(AND(OR('Visual SPC'!$C$4="",'Data Entry'!$C1611&gt;='Visual SPC'!$C$4),OR('Visual SPC'!$E$4="",'Data Entry'!$C1611&lt;='Visual SPC'!$E$4),OR('Visual SPC'!$G$4="",'Data Entry'!$D1611='Visual SPC'!$G$4),OR('Visual SPC'!$I$4="",'Data Entry'!$E1611='Visual SPC'!$I$4),OR('Visual SPC'!$K$4="",'Data Entry'!$F1611='Visual SPC'!$K$4)),1,0))</f>
        <v/>
      </c>
      <c r="C1611">
        <f>C1610+B1611</f>
        <v/>
      </c>
      <c r="D1611">
        <f>IF(B1611=1,INDEX('Data Entry'!$H$5:$BE$10004,1611-4,'Visual SPC'!$B$3),"")</f>
        <v/>
      </c>
      <c r="E1611">
        <f>IF(B1611=1,D1611,E1610)</f>
        <v/>
      </c>
      <c r="F1611">
        <f>IF(AND(B1611=1,C1611&gt;1,E1610&lt;&gt;""),ABS(D1611-E1610),"")</f>
        <v/>
      </c>
    </row>
    <row r="1612">
      <c r="A1612" t="n">
        <v>1612</v>
      </c>
      <c r="B1612">
        <f>IF(INDEX('Data Entry'!$H$5:$BE$10004,1612-4,'Visual SPC'!$B$3)="",0,IF(AND(OR('Visual SPC'!$C$4="",'Data Entry'!$C1612&gt;='Visual SPC'!$C$4),OR('Visual SPC'!$E$4="",'Data Entry'!$C1612&lt;='Visual SPC'!$E$4),OR('Visual SPC'!$G$4="",'Data Entry'!$D1612='Visual SPC'!$G$4),OR('Visual SPC'!$I$4="",'Data Entry'!$E1612='Visual SPC'!$I$4),OR('Visual SPC'!$K$4="",'Data Entry'!$F1612='Visual SPC'!$K$4)),1,0))</f>
        <v/>
      </c>
      <c r="C1612">
        <f>C1611+B1612</f>
        <v/>
      </c>
      <c r="D1612">
        <f>IF(B1612=1,INDEX('Data Entry'!$H$5:$BE$10004,1612-4,'Visual SPC'!$B$3),"")</f>
        <v/>
      </c>
      <c r="E1612">
        <f>IF(B1612=1,D1612,E1611)</f>
        <v/>
      </c>
      <c r="F1612">
        <f>IF(AND(B1612=1,C1612&gt;1,E1611&lt;&gt;""),ABS(D1612-E1611),"")</f>
        <v/>
      </c>
    </row>
    <row r="1613">
      <c r="A1613" t="n">
        <v>1613</v>
      </c>
      <c r="B1613">
        <f>IF(INDEX('Data Entry'!$H$5:$BE$10004,1613-4,'Visual SPC'!$B$3)="",0,IF(AND(OR('Visual SPC'!$C$4="",'Data Entry'!$C1613&gt;='Visual SPC'!$C$4),OR('Visual SPC'!$E$4="",'Data Entry'!$C1613&lt;='Visual SPC'!$E$4),OR('Visual SPC'!$G$4="",'Data Entry'!$D1613='Visual SPC'!$G$4),OR('Visual SPC'!$I$4="",'Data Entry'!$E1613='Visual SPC'!$I$4),OR('Visual SPC'!$K$4="",'Data Entry'!$F1613='Visual SPC'!$K$4)),1,0))</f>
        <v/>
      </c>
      <c r="C1613">
        <f>C1612+B1613</f>
        <v/>
      </c>
      <c r="D1613">
        <f>IF(B1613=1,INDEX('Data Entry'!$H$5:$BE$10004,1613-4,'Visual SPC'!$B$3),"")</f>
        <v/>
      </c>
      <c r="E1613">
        <f>IF(B1613=1,D1613,E1612)</f>
        <v/>
      </c>
      <c r="F1613">
        <f>IF(AND(B1613=1,C1613&gt;1,E1612&lt;&gt;""),ABS(D1613-E1612),"")</f>
        <v/>
      </c>
    </row>
    <row r="1614">
      <c r="A1614" t="n">
        <v>1614</v>
      </c>
      <c r="B1614">
        <f>IF(INDEX('Data Entry'!$H$5:$BE$10004,1614-4,'Visual SPC'!$B$3)="",0,IF(AND(OR('Visual SPC'!$C$4="",'Data Entry'!$C1614&gt;='Visual SPC'!$C$4),OR('Visual SPC'!$E$4="",'Data Entry'!$C1614&lt;='Visual SPC'!$E$4),OR('Visual SPC'!$G$4="",'Data Entry'!$D1614='Visual SPC'!$G$4),OR('Visual SPC'!$I$4="",'Data Entry'!$E1614='Visual SPC'!$I$4),OR('Visual SPC'!$K$4="",'Data Entry'!$F1614='Visual SPC'!$K$4)),1,0))</f>
        <v/>
      </c>
      <c r="C1614">
        <f>C1613+B1614</f>
        <v/>
      </c>
      <c r="D1614">
        <f>IF(B1614=1,INDEX('Data Entry'!$H$5:$BE$10004,1614-4,'Visual SPC'!$B$3),"")</f>
        <v/>
      </c>
      <c r="E1614">
        <f>IF(B1614=1,D1614,E1613)</f>
        <v/>
      </c>
      <c r="F1614">
        <f>IF(AND(B1614=1,C1614&gt;1,E1613&lt;&gt;""),ABS(D1614-E1613),"")</f>
        <v/>
      </c>
    </row>
    <row r="1615">
      <c r="A1615" t="n">
        <v>1615</v>
      </c>
      <c r="B1615">
        <f>IF(INDEX('Data Entry'!$H$5:$BE$10004,1615-4,'Visual SPC'!$B$3)="",0,IF(AND(OR('Visual SPC'!$C$4="",'Data Entry'!$C1615&gt;='Visual SPC'!$C$4),OR('Visual SPC'!$E$4="",'Data Entry'!$C1615&lt;='Visual SPC'!$E$4),OR('Visual SPC'!$G$4="",'Data Entry'!$D1615='Visual SPC'!$G$4),OR('Visual SPC'!$I$4="",'Data Entry'!$E1615='Visual SPC'!$I$4),OR('Visual SPC'!$K$4="",'Data Entry'!$F1615='Visual SPC'!$K$4)),1,0))</f>
        <v/>
      </c>
      <c r="C1615">
        <f>C1614+B1615</f>
        <v/>
      </c>
      <c r="D1615">
        <f>IF(B1615=1,INDEX('Data Entry'!$H$5:$BE$10004,1615-4,'Visual SPC'!$B$3),"")</f>
        <v/>
      </c>
      <c r="E1615">
        <f>IF(B1615=1,D1615,E1614)</f>
        <v/>
      </c>
      <c r="F1615">
        <f>IF(AND(B1615=1,C1615&gt;1,E1614&lt;&gt;""),ABS(D1615-E1614),"")</f>
        <v/>
      </c>
    </row>
    <row r="1616">
      <c r="A1616" t="n">
        <v>1616</v>
      </c>
      <c r="B1616">
        <f>IF(INDEX('Data Entry'!$H$5:$BE$10004,1616-4,'Visual SPC'!$B$3)="",0,IF(AND(OR('Visual SPC'!$C$4="",'Data Entry'!$C1616&gt;='Visual SPC'!$C$4),OR('Visual SPC'!$E$4="",'Data Entry'!$C1616&lt;='Visual SPC'!$E$4),OR('Visual SPC'!$G$4="",'Data Entry'!$D1616='Visual SPC'!$G$4),OR('Visual SPC'!$I$4="",'Data Entry'!$E1616='Visual SPC'!$I$4),OR('Visual SPC'!$K$4="",'Data Entry'!$F1616='Visual SPC'!$K$4)),1,0))</f>
        <v/>
      </c>
      <c r="C1616">
        <f>C1615+B1616</f>
        <v/>
      </c>
      <c r="D1616">
        <f>IF(B1616=1,INDEX('Data Entry'!$H$5:$BE$10004,1616-4,'Visual SPC'!$B$3),"")</f>
        <v/>
      </c>
      <c r="E1616">
        <f>IF(B1616=1,D1616,E1615)</f>
        <v/>
      </c>
      <c r="F1616">
        <f>IF(AND(B1616=1,C1616&gt;1,E1615&lt;&gt;""),ABS(D1616-E1615),"")</f>
        <v/>
      </c>
    </row>
    <row r="1617">
      <c r="A1617" t="n">
        <v>1617</v>
      </c>
      <c r="B1617">
        <f>IF(INDEX('Data Entry'!$H$5:$BE$10004,1617-4,'Visual SPC'!$B$3)="",0,IF(AND(OR('Visual SPC'!$C$4="",'Data Entry'!$C1617&gt;='Visual SPC'!$C$4),OR('Visual SPC'!$E$4="",'Data Entry'!$C1617&lt;='Visual SPC'!$E$4),OR('Visual SPC'!$G$4="",'Data Entry'!$D1617='Visual SPC'!$G$4),OR('Visual SPC'!$I$4="",'Data Entry'!$E1617='Visual SPC'!$I$4),OR('Visual SPC'!$K$4="",'Data Entry'!$F1617='Visual SPC'!$K$4)),1,0))</f>
        <v/>
      </c>
      <c r="C1617">
        <f>C1616+B1617</f>
        <v/>
      </c>
      <c r="D1617">
        <f>IF(B1617=1,INDEX('Data Entry'!$H$5:$BE$10004,1617-4,'Visual SPC'!$B$3),"")</f>
        <v/>
      </c>
      <c r="E1617">
        <f>IF(B1617=1,D1617,E1616)</f>
        <v/>
      </c>
      <c r="F1617">
        <f>IF(AND(B1617=1,C1617&gt;1,E1616&lt;&gt;""),ABS(D1617-E1616),"")</f>
        <v/>
      </c>
    </row>
    <row r="1618">
      <c r="A1618" t="n">
        <v>1618</v>
      </c>
      <c r="B1618">
        <f>IF(INDEX('Data Entry'!$H$5:$BE$10004,1618-4,'Visual SPC'!$B$3)="",0,IF(AND(OR('Visual SPC'!$C$4="",'Data Entry'!$C1618&gt;='Visual SPC'!$C$4),OR('Visual SPC'!$E$4="",'Data Entry'!$C1618&lt;='Visual SPC'!$E$4),OR('Visual SPC'!$G$4="",'Data Entry'!$D1618='Visual SPC'!$G$4),OR('Visual SPC'!$I$4="",'Data Entry'!$E1618='Visual SPC'!$I$4),OR('Visual SPC'!$K$4="",'Data Entry'!$F1618='Visual SPC'!$K$4)),1,0))</f>
        <v/>
      </c>
      <c r="C1618">
        <f>C1617+B1618</f>
        <v/>
      </c>
      <c r="D1618">
        <f>IF(B1618=1,INDEX('Data Entry'!$H$5:$BE$10004,1618-4,'Visual SPC'!$B$3),"")</f>
        <v/>
      </c>
      <c r="E1618">
        <f>IF(B1618=1,D1618,E1617)</f>
        <v/>
      </c>
      <c r="F1618">
        <f>IF(AND(B1618=1,C1618&gt;1,E1617&lt;&gt;""),ABS(D1618-E1617),"")</f>
        <v/>
      </c>
    </row>
    <row r="1619">
      <c r="A1619" t="n">
        <v>1619</v>
      </c>
      <c r="B1619">
        <f>IF(INDEX('Data Entry'!$H$5:$BE$10004,1619-4,'Visual SPC'!$B$3)="",0,IF(AND(OR('Visual SPC'!$C$4="",'Data Entry'!$C1619&gt;='Visual SPC'!$C$4),OR('Visual SPC'!$E$4="",'Data Entry'!$C1619&lt;='Visual SPC'!$E$4),OR('Visual SPC'!$G$4="",'Data Entry'!$D1619='Visual SPC'!$G$4),OR('Visual SPC'!$I$4="",'Data Entry'!$E1619='Visual SPC'!$I$4),OR('Visual SPC'!$K$4="",'Data Entry'!$F1619='Visual SPC'!$K$4)),1,0))</f>
        <v/>
      </c>
      <c r="C1619">
        <f>C1618+B1619</f>
        <v/>
      </c>
      <c r="D1619">
        <f>IF(B1619=1,INDEX('Data Entry'!$H$5:$BE$10004,1619-4,'Visual SPC'!$B$3),"")</f>
        <v/>
      </c>
      <c r="E1619">
        <f>IF(B1619=1,D1619,E1618)</f>
        <v/>
      </c>
      <c r="F1619">
        <f>IF(AND(B1619=1,C1619&gt;1,E1618&lt;&gt;""),ABS(D1619-E1618),"")</f>
        <v/>
      </c>
    </row>
    <row r="1620">
      <c r="A1620" t="n">
        <v>1620</v>
      </c>
      <c r="B1620">
        <f>IF(INDEX('Data Entry'!$H$5:$BE$10004,1620-4,'Visual SPC'!$B$3)="",0,IF(AND(OR('Visual SPC'!$C$4="",'Data Entry'!$C1620&gt;='Visual SPC'!$C$4),OR('Visual SPC'!$E$4="",'Data Entry'!$C1620&lt;='Visual SPC'!$E$4),OR('Visual SPC'!$G$4="",'Data Entry'!$D1620='Visual SPC'!$G$4),OR('Visual SPC'!$I$4="",'Data Entry'!$E1620='Visual SPC'!$I$4),OR('Visual SPC'!$K$4="",'Data Entry'!$F1620='Visual SPC'!$K$4)),1,0))</f>
        <v/>
      </c>
      <c r="C1620">
        <f>C1619+B1620</f>
        <v/>
      </c>
      <c r="D1620">
        <f>IF(B1620=1,INDEX('Data Entry'!$H$5:$BE$10004,1620-4,'Visual SPC'!$B$3),"")</f>
        <v/>
      </c>
      <c r="E1620">
        <f>IF(B1620=1,D1620,E1619)</f>
        <v/>
      </c>
      <c r="F1620">
        <f>IF(AND(B1620=1,C1620&gt;1,E1619&lt;&gt;""),ABS(D1620-E1619),"")</f>
        <v/>
      </c>
    </row>
    <row r="1621">
      <c r="A1621" t="n">
        <v>1621</v>
      </c>
      <c r="B1621">
        <f>IF(INDEX('Data Entry'!$H$5:$BE$10004,1621-4,'Visual SPC'!$B$3)="",0,IF(AND(OR('Visual SPC'!$C$4="",'Data Entry'!$C1621&gt;='Visual SPC'!$C$4),OR('Visual SPC'!$E$4="",'Data Entry'!$C1621&lt;='Visual SPC'!$E$4),OR('Visual SPC'!$G$4="",'Data Entry'!$D1621='Visual SPC'!$G$4),OR('Visual SPC'!$I$4="",'Data Entry'!$E1621='Visual SPC'!$I$4),OR('Visual SPC'!$K$4="",'Data Entry'!$F1621='Visual SPC'!$K$4)),1,0))</f>
        <v/>
      </c>
      <c r="C1621">
        <f>C1620+B1621</f>
        <v/>
      </c>
      <c r="D1621">
        <f>IF(B1621=1,INDEX('Data Entry'!$H$5:$BE$10004,1621-4,'Visual SPC'!$B$3),"")</f>
        <v/>
      </c>
      <c r="E1621">
        <f>IF(B1621=1,D1621,E1620)</f>
        <v/>
      </c>
      <c r="F1621">
        <f>IF(AND(B1621=1,C1621&gt;1,E1620&lt;&gt;""),ABS(D1621-E1620),"")</f>
        <v/>
      </c>
    </row>
    <row r="1622">
      <c r="A1622" t="n">
        <v>1622</v>
      </c>
      <c r="B1622">
        <f>IF(INDEX('Data Entry'!$H$5:$BE$10004,1622-4,'Visual SPC'!$B$3)="",0,IF(AND(OR('Visual SPC'!$C$4="",'Data Entry'!$C1622&gt;='Visual SPC'!$C$4),OR('Visual SPC'!$E$4="",'Data Entry'!$C1622&lt;='Visual SPC'!$E$4),OR('Visual SPC'!$G$4="",'Data Entry'!$D1622='Visual SPC'!$G$4),OR('Visual SPC'!$I$4="",'Data Entry'!$E1622='Visual SPC'!$I$4),OR('Visual SPC'!$K$4="",'Data Entry'!$F1622='Visual SPC'!$K$4)),1,0))</f>
        <v/>
      </c>
      <c r="C1622">
        <f>C1621+B1622</f>
        <v/>
      </c>
      <c r="D1622">
        <f>IF(B1622=1,INDEX('Data Entry'!$H$5:$BE$10004,1622-4,'Visual SPC'!$B$3),"")</f>
        <v/>
      </c>
      <c r="E1622">
        <f>IF(B1622=1,D1622,E1621)</f>
        <v/>
      </c>
      <c r="F1622">
        <f>IF(AND(B1622=1,C1622&gt;1,E1621&lt;&gt;""),ABS(D1622-E1621),"")</f>
        <v/>
      </c>
    </row>
    <row r="1623">
      <c r="A1623" t="n">
        <v>1623</v>
      </c>
      <c r="B1623">
        <f>IF(INDEX('Data Entry'!$H$5:$BE$10004,1623-4,'Visual SPC'!$B$3)="",0,IF(AND(OR('Visual SPC'!$C$4="",'Data Entry'!$C1623&gt;='Visual SPC'!$C$4),OR('Visual SPC'!$E$4="",'Data Entry'!$C1623&lt;='Visual SPC'!$E$4),OR('Visual SPC'!$G$4="",'Data Entry'!$D1623='Visual SPC'!$G$4),OR('Visual SPC'!$I$4="",'Data Entry'!$E1623='Visual SPC'!$I$4),OR('Visual SPC'!$K$4="",'Data Entry'!$F1623='Visual SPC'!$K$4)),1,0))</f>
        <v/>
      </c>
      <c r="C1623">
        <f>C1622+B1623</f>
        <v/>
      </c>
      <c r="D1623">
        <f>IF(B1623=1,INDEX('Data Entry'!$H$5:$BE$10004,1623-4,'Visual SPC'!$B$3),"")</f>
        <v/>
      </c>
      <c r="E1623">
        <f>IF(B1623=1,D1623,E1622)</f>
        <v/>
      </c>
      <c r="F1623">
        <f>IF(AND(B1623=1,C1623&gt;1,E1622&lt;&gt;""),ABS(D1623-E1622),"")</f>
        <v/>
      </c>
    </row>
    <row r="1624">
      <c r="A1624" t="n">
        <v>1624</v>
      </c>
      <c r="B1624">
        <f>IF(INDEX('Data Entry'!$H$5:$BE$10004,1624-4,'Visual SPC'!$B$3)="",0,IF(AND(OR('Visual SPC'!$C$4="",'Data Entry'!$C1624&gt;='Visual SPC'!$C$4),OR('Visual SPC'!$E$4="",'Data Entry'!$C1624&lt;='Visual SPC'!$E$4),OR('Visual SPC'!$G$4="",'Data Entry'!$D1624='Visual SPC'!$G$4),OR('Visual SPC'!$I$4="",'Data Entry'!$E1624='Visual SPC'!$I$4),OR('Visual SPC'!$K$4="",'Data Entry'!$F1624='Visual SPC'!$K$4)),1,0))</f>
        <v/>
      </c>
      <c r="C1624">
        <f>C1623+B1624</f>
        <v/>
      </c>
      <c r="D1624">
        <f>IF(B1624=1,INDEX('Data Entry'!$H$5:$BE$10004,1624-4,'Visual SPC'!$B$3),"")</f>
        <v/>
      </c>
      <c r="E1624">
        <f>IF(B1624=1,D1624,E1623)</f>
        <v/>
      </c>
      <c r="F1624">
        <f>IF(AND(B1624=1,C1624&gt;1,E1623&lt;&gt;""),ABS(D1624-E1623),"")</f>
        <v/>
      </c>
    </row>
    <row r="1625">
      <c r="A1625" t="n">
        <v>1625</v>
      </c>
      <c r="B1625">
        <f>IF(INDEX('Data Entry'!$H$5:$BE$10004,1625-4,'Visual SPC'!$B$3)="",0,IF(AND(OR('Visual SPC'!$C$4="",'Data Entry'!$C1625&gt;='Visual SPC'!$C$4),OR('Visual SPC'!$E$4="",'Data Entry'!$C1625&lt;='Visual SPC'!$E$4),OR('Visual SPC'!$G$4="",'Data Entry'!$D1625='Visual SPC'!$G$4),OR('Visual SPC'!$I$4="",'Data Entry'!$E1625='Visual SPC'!$I$4),OR('Visual SPC'!$K$4="",'Data Entry'!$F1625='Visual SPC'!$K$4)),1,0))</f>
        <v/>
      </c>
      <c r="C1625">
        <f>C1624+B1625</f>
        <v/>
      </c>
      <c r="D1625">
        <f>IF(B1625=1,INDEX('Data Entry'!$H$5:$BE$10004,1625-4,'Visual SPC'!$B$3),"")</f>
        <v/>
      </c>
      <c r="E1625">
        <f>IF(B1625=1,D1625,E1624)</f>
        <v/>
      </c>
      <c r="F1625">
        <f>IF(AND(B1625=1,C1625&gt;1,E1624&lt;&gt;""),ABS(D1625-E1624),"")</f>
        <v/>
      </c>
    </row>
    <row r="1626">
      <c r="A1626" t="n">
        <v>1626</v>
      </c>
      <c r="B1626">
        <f>IF(INDEX('Data Entry'!$H$5:$BE$10004,1626-4,'Visual SPC'!$B$3)="",0,IF(AND(OR('Visual SPC'!$C$4="",'Data Entry'!$C1626&gt;='Visual SPC'!$C$4),OR('Visual SPC'!$E$4="",'Data Entry'!$C1626&lt;='Visual SPC'!$E$4),OR('Visual SPC'!$G$4="",'Data Entry'!$D1626='Visual SPC'!$G$4),OR('Visual SPC'!$I$4="",'Data Entry'!$E1626='Visual SPC'!$I$4),OR('Visual SPC'!$K$4="",'Data Entry'!$F1626='Visual SPC'!$K$4)),1,0))</f>
        <v/>
      </c>
      <c r="C1626">
        <f>C1625+B1626</f>
        <v/>
      </c>
      <c r="D1626">
        <f>IF(B1626=1,INDEX('Data Entry'!$H$5:$BE$10004,1626-4,'Visual SPC'!$B$3),"")</f>
        <v/>
      </c>
      <c r="E1626">
        <f>IF(B1626=1,D1626,E1625)</f>
        <v/>
      </c>
      <c r="F1626">
        <f>IF(AND(B1626=1,C1626&gt;1,E1625&lt;&gt;""),ABS(D1626-E1625),"")</f>
        <v/>
      </c>
    </row>
    <row r="1627">
      <c r="A1627" t="n">
        <v>1627</v>
      </c>
      <c r="B1627">
        <f>IF(INDEX('Data Entry'!$H$5:$BE$10004,1627-4,'Visual SPC'!$B$3)="",0,IF(AND(OR('Visual SPC'!$C$4="",'Data Entry'!$C1627&gt;='Visual SPC'!$C$4),OR('Visual SPC'!$E$4="",'Data Entry'!$C1627&lt;='Visual SPC'!$E$4),OR('Visual SPC'!$G$4="",'Data Entry'!$D1627='Visual SPC'!$G$4),OR('Visual SPC'!$I$4="",'Data Entry'!$E1627='Visual SPC'!$I$4),OR('Visual SPC'!$K$4="",'Data Entry'!$F1627='Visual SPC'!$K$4)),1,0))</f>
        <v/>
      </c>
      <c r="C1627">
        <f>C1626+B1627</f>
        <v/>
      </c>
      <c r="D1627">
        <f>IF(B1627=1,INDEX('Data Entry'!$H$5:$BE$10004,1627-4,'Visual SPC'!$B$3),"")</f>
        <v/>
      </c>
      <c r="E1627">
        <f>IF(B1627=1,D1627,E1626)</f>
        <v/>
      </c>
      <c r="F1627">
        <f>IF(AND(B1627=1,C1627&gt;1,E1626&lt;&gt;""),ABS(D1627-E1626),"")</f>
        <v/>
      </c>
    </row>
    <row r="1628">
      <c r="A1628" t="n">
        <v>1628</v>
      </c>
      <c r="B1628">
        <f>IF(INDEX('Data Entry'!$H$5:$BE$10004,1628-4,'Visual SPC'!$B$3)="",0,IF(AND(OR('Visual SPC'!$C$4="",'Data Entry'!$C1628&gt;='Visual SPC'!$C$4),OR('Visual SPC'!$E$4="",'Data Entry'!$C1628&lt;='Visual SPC'!$E$4),OR('Visual SPC'!$G$4="",'Data Entry'!$D1628='Visual SPC'!$G$4),OR('Visual SPC'!$I$4="",'Data Entry'!$E1628='Visual SPC'!$I$4),OR('Visual SPC'!$K$4="",'Data Entry'!$F1628='Visual SPC'!$K$4)),1,0))</f>
        <v/>
      </c>
      <c r="C1628">
        <f>C1627+B1628</f>
        <v/>
      </c>
      <c r="D1628">
        <f>IF(B1628=1,INDEX('Data Entry'!$H$5:$BE$10004,1628-4,'Visual SPC'!$B$3),"")</f>
        <v/>
      </c>
      <c r="E1628">
        <f>IF(B1628=1,D1628,E1627)</f>
        <v/>
      </c>
      <c r="F1628">
        <f>IF(AND(B1628=1,C1628&gt;1,E1627&lt;&gt;""),ABS(D1628-E1627),"")</f>
        <v/>
      </c>
    </row>
    <row r="1629">
      <c r="A1629" t="n">
        <v>1629</v>
      </c>
      <c r="B1629">
        <f>IF(INDEX('Data Entry'!$H$5:$BE$10004,1629-4,'Visual SPC'!$B$3)="",0,IF(AND(OR('Visual SPC'!$C$4="",'Data Entry'!$C1629&gt;='Visual SPC'!$C$4),OR('Visual SPC'!$E$4="",'Data Entry'!$C1629&lt;='Visual SPC'!$E$4),OR('Visual SPC'!$G$4="",'Data Entry'!$D1629='Visual SPC'!$G$4),OR('Visual SPC'!$I$4="",'Data Entry'!$E1629='Visual SPC'!$I$4),OR('Visual SPC'!$K$4="",'Data Entry'!$F1629='Visual SPC'!$K$4)),1,0))</f>
        <v/>
      </c>
      <c r="C1629">
        <f>C1628+B1629</f>
        <v/>
      </c>
      <c r="D1629">
        <f>IF(B1629=1,INDEX('Data Entry'!$H$5:$BE$10004,1629-4,'Visual SPC'!$B$3),"")</f>
        <v/>
      </c>
      <c r="E1629">
        <f>IF(B1629=1,D1629,E1628)</f>
        <v/>
      </c>
      <c r="F1629">
        <f>IF(AND(B1629=1,C1629&gt;1,E1628&lt;&gt;""),ABS(D1629-E1628),"")</f>
        <v/>
      </c>
    </row>
    <row r="1630">
      <c r="A1630" t="n">
        <v>1630</v>
      </c>
      <c r="B1630">
        <f>IF(INDEX('Data Entry'!$H$5:$BE$10004,1630-4,'Visual SPC'!$B$3)="",0,IF(AND(OR('Visual SPC'!$C$4="",'Data Entry'!$C1630&gt;='Visual SPC'!$C$4),OR('Visual SPC'!$E$4="",'Data Entry'!$C1630&lt;='Visual SPC'!$E$4),OR('Visual SPC'!$G$4="",'Data Entry'!$D1630='Visual SPC'!$G$4),OR('Visual SPC'!$I$4="",'Data Entry'!$E1630='Visual SPC'!$I$4),OR('Visual SPC'!$K$4="",'Data Entry'!$F1630='Visual SPC'!$K$4)),1,0))</f>
        <v/>
      </c>
      <c r="C1630">
        <f>C1629+B1630</f>
        <v/>
      </c>
      <c r="D1630">
        <f>IF(B1630=1,INDEX('Data Entry'!$H$5:$BE$10004,1630-4,'Visual SPC'!$B$3),"")</f>
        <v/>
      </c>
      <c r="E1630">
        <f>IF(B1630=1,D1630,E1629)</f>
        <v/>
      </c>
      <c r="F1630">
        <f>IF(AND(B1630=1,C1630&gt;1,E1629&lt;&gt;""),ABS(D1630-E1629),"")</f>
        <v/>
      </c>
    </row>
    <row r="1631">
      <c r="A1631" t="n">
        <v>1631</v>
      </c>
      <c r="B1631">
        <f>IF(INDEX('Data Entry'!$H$5:$BE$10004,1631-4,'Visual SPC'!$B$3)="",0,IF(AND(OR('Visual SPC'!$C$4="",'Data Entry'!$C1631&gt;='Visual SPC'!$C$4),OR('Visual SPC'!$E$4="",'Data Entry'!$C1631&lt;='Visual SPC'!$E$4),OR('Visual SPC'!$G$4="",'Data Entry'!$D1631='Visual SPC'!$G$4),OR('Visual SPC'!$I$4="",'Data Entry'!$E1631='Visual SPC'!$I$4),OR('Visual SPC'!$K$4="",'Data Entry'!$F1631='Visual SPC'!$K$4)),1,0))</f>
        <v/>
      </c>
      <c r="C1631">
        <f>C1630+B1631</f>
        <v/>
      </c>
      <c r="D1631">
        <f>IF(B1631=1,INDEX('Data Entry'!$H$5:$BE$10004,1631-4,'Visual SPC'!$B$3),"")</f>
        <v/>
      </c>
      <c r="E1631">
        <f>IF(B1631=1,D1631,E1630)</f>
        <v/>
      </c>
      <c r="F1631">
        <f>IF(AND(B1631=1,C1631&gt;1,E1630&lt;&gt;""),ABS(D1631-E1630),"")</f>
        <v/>
      </c>
    </row>
    <row r="1632">
      <c r="A1632" t="n">
        <v>1632</v>
      </c>
      <c r="B1632">
        <f>IF(INDEX('Data Entry'!$H$5:$BE$10004,1632-4,'Visual SPC'!$B$3)="",0,IF(AND(OR('Visual SPC'!$C$4="",'Data Entry'!$C1632&gt;='Visual SPC'!$C$4),OR('Visual SPC'!$E$4="",'Data Entry'!$C1632&lt;='Visual SPC'!$E$4),OR('Visual SPC'!$G$4="",'Data Entry'!$D1632='Visual SPC'!$G$4),OR('Visual SPC'!$I$4="",'Data Entry'!$E1632='Visual SPC'!$I$4),OR('Visual SPC'!$K$4="",'Data Entry'!$F1632='Visual SPC'!$K$4)),1,0))</f>
        <v/>
      </c>
      <c r="C1632">
        <f>C1631+B1632</f>
        <v/>
      </c>
      <c r="D1632">
        <f>IF(B1632=1,INDEX('Data Entry'!$H$5:$BE$10004,1632-4,'Visual SPC'!$B$3),"")</f>
        <v/>
      </c>
      <c r="E1632">
        <f>IF(B1632=1,D1632,E1631)</f>
        <v/>
      </c>
      <c r="F1632">
        <f>IF(AND(B1632=1,C1632&gt;1,E1631&lt;&gt;""),ABS(D1632-E1631),"")</f>
        <v/>
      </c>
    </row>
    <row r="1633">
      <c r="A1633" t="n">
        <v>1633</v>
      </c>
      <c r="B1633">
        <f>IF(INDEX('Data Entry'!$H$5:$BE$10004,1633-4,'Visual SPC'!$B$3)="",0,IF(AND(OR('Visual SPC'!$C$4="",'Data Entry'!$C1633&gt;='Visual SPC'!$C$4),OR('Visual SPC'!$E$4="",'Data Entry'!$C1633&lt;='Visual SPC'!$E$4),OR('Visual SPC'!$G$4="",'Data Entry'!$D1633='Visual SPC'!$G$4),OR('Visual SPC'!$I$4="",'Data Entry'!$E1633='Visual SPC'!$I$4),OR('Visual SPC'!$K$4="",'Data Entry'!$F1633='Visual SPC'!$K$4)),1,0))</f>
        <v/>
      </c>
      <c r="C1633">
        <f>C1632+B1633</f>
        <v/>
      </c>
      <c r="D1633">
        <f>IF(B1633=1,INDEX('Data Entry'!$H$5:$BE$10004,1633-4,'Visual SPC'!$B$3),"")</f>
        <v/>
      </c>
      <c r="E1633">
        <f>IF(B1633=1,D1633,E1632)</f>
        <v/>
      </c>
      <c r="F1633">
        <f>IF(AND(B1633=1,C1633&gt;1,E1632&lt;&gt;""),ABS(D1633-E1632),"")</f>
        <v/>
      </c>
    </row>
    <row r="1634">
      <c r="A1634" t="n">
        <v>1634</v>
      </c>
      <c r="B1634">
        <f>IF(INDEX('Data Entry'!$H$5:$BE$10004,1634-4,'Visual SPC'!$B$3)="",0,IF(AND(OR('Visual SPC'!$C$4="",'Data Entry'!$C1634&gt;='Visual SPC'!$C$4),OR('Visual SPC'!$E$4="",'Data Entry'!$C1634&lt;='Visual SPC'!$E$4),OR('Visual SPC'!$G$4="",'Data Entry'!$D1634='Visual SPC'!$G$4),OR('Visual SPC'!$I$4="",'Data Entry'!$E1634='Visual SPC'!$I$4),OR('Visual SPC'!$K$4="",'Data Entry'!$F1634='Visual SPC'!$K$4)),1,0))</f>
        <v/>
      </c>
      <c r="C1634">
        <f>C1633+B1634</f>
        <v/>
      </c>
      <c r="D1634">
        <f>IF(B1634=1,INDEX('Data Entry'!$H$5:$BE$10004,1634-4,'Visual SPC'!$B$3),"")</f>
        <v/>
      </c>
      <c r="E1634">
        <f>IF(B1634=1,D1634,E1633)</f>
        <v/>
      </c>
      <c r="F1634">
        <f>IF(AND(B1634=1,C1634&gt;1,E1633&lt;&gt;""),ABS(D1634-E1633),"")</f>
        <v/>
      </c>
    </row>
    <row r="1635">
      <c r="A1635" t="n">
        <v>1635</v>
      </c>
      <c r="B1635">
        <f>IF(INDEX('Data Entry'!$H$5:$BE$10004,1635-4,'Visual SPC'!$B$3)="",0,IF(AND(OR('Visual SPC'!$C$4="",'Data Entry'!$C1635&gt;='Visual SPC'!$C$4),OR('Visual SPC'!$E$4="",'Data Entry'!$C1635&lt;='Visual SPC'!$E$4),OR('Visual SPC'!$G$4="",'Data Entry'!$D1635='Visual SPC'!$G$4),OR('Visual SPC'!$I$4="",'Data Entry'!$E1635='Visual SPC'!$I$4),OR('Visual SPC'!$K$4="",'Data Entry'!$F1635='Visual SPC'!$K$4)),1,0))</f>
        <v/>
      </c>
      <c r="C1635">
        <f>C1634+B1635</f>
        <v/>
      </c>
      <c r="D1635">
        <f>IF(B1635=1,INDEX('Data Entry'!$H$5:$BE$10004,1635-4,'Visual SPC'!$B$3),"")</f>
        <v/>
      </c>
      <c r="E1635">
        <f>IF(B1635=1,D1635,E1634)</f>
        <v/>
      </c>
      <c r="F1635">
        <f>IF(AND(B1635=1,C1635&gt;1,E1634&lt;&gt;""),ABS(D1635-E1634),"")</f>
        <v/>
      </c>
    </row>
    <row r="1636">
      <c r="A1636" t="n">
        <v>1636</v>
      </c>
      <c r="B1636">
        <f>IF(INDEX('Data Entry'!$H$5:$BE$10004,1636-4,'Visual SPC'!$B$3)="",0,IF(AND(OR('Visual SPC'!$C$4="",'Data Entry'!$C1636&gt;='Visual SPC'!$C$4),OR('Visual SPC'!$E$4="",'Data Entry'!$C1636&lt;='Visual SPC'!$E$4),OR('Visual SPC'!$G$4="",'Data Entry'!$D1636='Visual SPC'!$G$4),OR('Visual SPC'!$I$4="",'Data Entry'!$E1636='Visual SPC'!$I$4),OR('Visual SPC'!$K$4="",'Data Entry'!$F1636='Visual SPC'!$K$4)),1,0))</f>
        <v/>
      </c>
      <c r="C1636">
        <f>C1635+B1636</f>
        <v/>
      </c>
      <c r="D1636">
        <f>IF(B1636=1,INDEX('Data Entry'!$H$5:$BE$10004,1636-4,'Visual SPC'!$B$3),"")</f>
        <v/>
      </c>
      <c r="E1636">
        <f>IF(B1636=1,D1636,E1635)</f>
        <v/>
      </c>
      <c r="F1636">
        <f>IF(AND(B1636=1,C1636&gt;1,E1635&lt;&gt;""),ABS(D1636-E1635),"")</f>
        <v/>
      </c>
    </row>
    <row r="1637">
      <c r="A1637" t="n">
        <v>1637</v>
      </c>
      <c r="B1637">
        <f>IF(INDEX('Data Entry'!$H$5:$BE$10004,1637-4,'Visual SPC'!$B$3)="",0,IF(AND(OR('Visual SPC'!$C$4="",'Data Entry'!$C1637&gt;='Visual SPC'!$C$4),OR('Visual SPC'!$E$4="",'Data Entry'!$C1637&lt;='Visual SPC'!$E$4),OR('Visual SPC'!$G$4="",'Data Entry'!$D1637='Visual SPC'!$G$4),OR('Visual SPC'!$I$4="",'Data Entry'!$E1637='Visual SPC'!$I$4),OR('Visual SPC'!$K$4="",'Data Entry'!$F1637='Visual SPC'!$K$4)),1,0))</f>
        <v/>
      </c>
      <c r="C1637">
        <f>C1636+B1637</f>
        <v/>
      </c>
      <c r="D1637">
        <f>IF(B1637=1,INDEX('Data Entry'!$H$5:$BE$10004,1637-4,'Visual SPC'!$B$3),"")</f>
        <v/>
      </c>
      <c r="E1637">
        <f>IF(B1637=1,D1637,E1636)</f>
        <v/>
      </c>
      <c r="F1637">
        <f>IF(AND(B1637=1,C1637&gt;1,E1636&lt;&gt;""),ABS(D1637-E1636),"")</f>
        <v/>
      </c>
    </row>
    <row r="1638">
      <c r="A1638" t="n">
        <v>1638</v>
      </c>
      <c r="B1638">
        <f>IF(INDEX('Data Entry'!$H$5:$BE$10004,1638-4,'Visual SPC'!$B$3)="",0,IF(AND(OR('Visual SPC'!$C$4="",'Data Entry'!$C1638&gt;='Visual SPC'!$C$4),OR('Visual SPC'!$E$4="",'Data Entry'!$C1638&lt;='Visual SPC'!$E$4),OR('Visual SPC'!$G$4="",'Data Entry'!$D1638='Visual SPC'!$G$4),OR('Visual SPC'!$I$4="",'Data Entry'!$E1638='Visual SPC'!$I$4),OR('Visual SPC'!$K$4="",'Data Entry'!$F1638='Visual SPC'!$K$4)),1,0))</f>
        <v/>
      </c>
      <c r="C1638">
        <f>C1637+B1638</f>
        <v/>
      </c>
      <c r="D1638">
        <f>IF(B1638=1,INDEX('Data Entry'!$H$5:$BE$10004,1638-4,'Visual SPC'!$B$3),"")</f>
        <v/>
      </c>
      <c r="E1638">
        <f>IF(B1638=1,D1638,E1637)</f>
        <v/>
      </c>
      <c r="F1638">
        <f>IF(AND(B1638=1,C1638&gt;1,E1637&lt;&gt;""),ABS(D1638-E1637),"")</f>
        <v/>
      </c>
    </row>
    <row r="1639">
      <c r="A1639" t="n">
        <v>1639</v>
      </c>
      <c r="B1639">
        <f>IF(INDEX('Data Entry'!$H$5:$BE$10004,1639-4,'Visual SPC'!$B$3)="",0,IF(AND(OR('Visual SPC'!$C$4="",'Data Entry'!$C1639&gt;='Visual SPC'!$C$4),OR('Visual SPC'!$E$4="",'Data Entry'!$C1639&lt;='Visual SPC'!$E$4),OR('Visual SPC'!$G$4="",'Data Entry'!$D1639='Visual SPC'!$G$4),OR('Visual SPC'!$I$4="",'Data Entry'!$E1639='Visual SPC'!$I$4),OR('Visual SPC'!$K$4="",'Data Entry'!$F1639='Visual SPC'!$K$4)),1,0))</f>
        <v/>
      </c>
      <c r="C1639">
        <f>C1638+B1639</f>
        <v/>
      </c>
      <c r="D1639">
        <f>IF(B1639=1,INDEX('Data Entry'!$H$5:$BE$10004,1639-4,'Visual SPC'!$B$3),"")</f>
        <v/>
      </c>
      <c r="E1639">
        <f>IF(B1639=1,D1639,E1638)</f>
        <v/>
      </c>
      <c r="F1639">
        <f>IF(AND(B1639=1,C1639&gt;1,E1638&lt;&gt;""),ABS(D1639-E1638),"")</f>
        <v/>
      </c>
    </row>
    <row r="1640">
      <c r="A1640" t="n">
        <v>1640</v>
      </c>
      <c r="B1640">
        <f>IF(INDEX('Data Entry'!$H$5:$BE$10004,1640-4,'Visual SPC'!$B$3)="",0,IF(AND(OR('Visual SPC'!$C$4="",'Data Entry'!$C1640&gt;='Visual SPC'!$C$4),OR('Visual SPC'!$E$4="",'Data Entry'!$C1640&lt;='Visual SPC'!$E$4),OR('Visual SPC'!$G$4="",'Data Entry'!$D1640='Visual SPC'!$G$4),OR('Visual SPC'!$I$4="",'Data Entry'!$E1640='Visual SPC'!$I$4),OR('Visual SPC'!$K$4="",'Data Entry'!$F1640='Visual SPC'!$K$4)),1,0))</f>
        <v/>
      </c>
      <c r="C1640">
        <f>C1639+B1640</f>
        <v/>
      </c>
      <c r="D1640">
        <f>IF(B1640=1,INDEX('Data Entry'!$H$5:$BE$10004,1640-4,'Visual SPC'!$B$3),"")</f>
        <v/>
      </c>
      <c r="E1640">
        <f>IF(B1640=1,D1640,E1639)</f>
        <v/>
      </c>
      <c r="F1640">
        <f>IF(AND(B1640=1,C1640&gt;1,E1639&lt;&gt;""),ABS(D1640-E1639),"")</f>
        <v/>
      </c>
    </row>
    <row r="1641">
      <c r="A1641" t="n">
        <v>1641</v>
      </c>
      <c r="B1641">
        <f>IF(INDEX('Data Entry'!$H$5:$BE$10004,1641-4,'Visual SPC'!$B$3)="",0,IF(AND(OR('Visual SPC'!$C$4="",'Data Entry'!$C1641&gt;='Visual SPC'!$C$4),OR('Visual SPC'!$E$4="",'Data Entry'!$C1641&lt;='Visual SPC'!$E$4),OR('Visual SPC'!$G$4="",'Data Entry'!$D1641='Visual SPC'!$G$4),OR('Visual SPC'!$I$4="",'Data Entry'!$E1641='Visual SPC'!$I$4),OR('Visual SPC'!$K$4="",'Data Entry'!$F1641='Visual SPC'!$K$4)),1,0))</f>
        <v/>
      </c>
      <c r="C1641">
        <f>C1640+B1641</f>
        <v/>
      </c>
      <c r="D1641">
        <f>IF(B1641=1,INDEX('Data Entry'!$H$5:$BE$10004,1641-4,'Visual SPC'!$B$3),"")</f>
        <v/>
      </c>
      <c r="E1641">
        <f>IF(B1641=1,D1641,E1640)</f>
        <v/>
      </c>
      <c r="F1641">
        <f>IF(AND(B1641=1,C1641&gt;1,E1640&lt;&gt;""),ABS(D1641-E1640),"")</f>
        <v/>
      </c>
    </row>
    <row r="1642">
      <c r="A1642" t="n">
        <v>1642</v>
      </c>
      <c r="B1642">
        <f>IF(INDEX('Data Entry'!$H$5:$BE$10004,1642-4,'Visual SPC'!$B$3)="",0,IF(AND(OR('Visual SPC'!$C$4="",'Data Entry'!$C1642&gt;='Visual SPC'!$C$4),OR('Visual SPC'!$E$4="",'Data Entry'!$C1642&lt;='Visual SPC'!$E$4),OR('Visual SPC'!$G$4="",'Data Entry'!$D1642='Visual SPC'!$G$4),OR('Visual SPC'!$I$4="",'Data Entry'!$E1642='Visual SPC'!$I$4),OR('Visual SPC'!$K$4="",'Data Entry'!$F1642='Visual SPC'!$K$4)),1,0))</f>
        <v/>
      </c>
      <c r="C1642">
        <f>C1641+B1642</f>
        <v/>
      </c>
      <c r="D1642">
        <f>IF(B1642=1,INDEX('Data Entry'!$H$5:$BE$10004,1642-4,'Visual SPC'!$B$3),"")</f>
        <v/>
      </c>
      <c r="E1642">
        <f>IF(B1642=1,D1642,E1641)</f>
        <v/>
      </c>
      <c r="F1642">
        <f>IF(AND(B1642=1,C1642&gt;1,E1641&lt;&gt;""),ABS(D1642-E1641),"")</f>
        <v/>
      </c>
    </row>
    <row r="1643">
      <c r="A1643" t="n">
        <v>1643</v>
      </c>
      <c r="B1643">
        <f>IF(INDEX('Data Entry'!$H$5:$BE$10004,1643-4,'Visual SPC'!$B$3)="",0,IF(AND(OR('Visual SPC'!$C$4="",'Data Entry'!$C1643&gt;='Visual SPC'!$C$4),OR('Visual SPC'!$E$4="",'Data Entry'!$C1643&lt;='Visual SPC'!$E$4),OR('Visual SPC'!$G$4="",'Data Entry'!$D1643='Visual SPC'!$G$4),OR('Visual SPC'!$I$4="",'Data Entry'!$E1643='Visual SPC'!$I$4),OR('Visual SPC'!$K$4="",'Data Entry'!$F1643='Visual SPC'!$K$4)),1,0))</f>
        <v/>
      </c>
      <c r="C1643">
        <f>C1642+B1643</f>
        <v/>
      </c>
      <c r="D1643">
        <f>IF(B1643=1,INDEX('Data Entry'!$H$5:$BE$10004,1643-4,'Visual SPC'!$B$3),"")</f>
        <v/>
      </c>
      <c r="E1643">
        <f>IF(B1643=1,D1643,E1642)</f>
        <v/>
      </c>
      <c r="F1643">
        <f>IF(AND(B1643=1,C1643&gt;1,E1642&lt;&gt;""),ABS(D1643-E1642),"")</f>
        <v/>
      </c>
    </row>
    <row r="1644">
      <c r="A1644" t="n">
        <v>1644</v>
      </c>
      <c r="B1644">
        <f>IF(INDEX('Data Entry'!$H$5:$BE$10004,1644-4,'Visual SPC'!$B$3)="",0,IF(AND(OR('Visual SPC'!$C$4="",'Data Entry'!$C1644&gt;='Visual SPC'!$C$4),OR('Visual SPC'!$E$4="",'Data Entry'!$C1644&lt;='Visual SPC'!$E$4),OR('Visual SPC'!$G$4="",'Data Entry'!$D1644='Visual SPC'!$G$4),OR('Visual SPC'!$I$4="",'Data Entry'!$E1644='Visual SPC'!$I$4),OR('Visual SPC'!$K$4="",'Data Entry'!$F1644='Visual SPC'!$K$4)),1,0))</f>
        <v/>
      </c>
      <c r="C1644">
        <f>C1643+B1644</f>
        <v/>
      </c>
      <c r="D1644">
        <f>IF(B1644=1,INDEX('Data Entry'!$H$5:$BE$10004,1644-4,'Visual SPC'!$B$3),"")</f>
        <v/>
      </c>
      <c r="E1644">
        <f>IF(B1644=1,D1644,E1643)</f>
        <v/>
      </c>
      <c r="F1644">
        <f>IF(AND(B1644=1,C1644&gt;1,E1643&lt;&gt;""),ABS(D1644-E1643),"")</f>
        <v/>
      </c>
    </row>
    <row r="1645">
      <c r="A1645" t="n">
        <v>1645</v>
      </c>
      <c r="B1645">
        <f>IF(INDEX('Data Entry'!$H$5:$BE$10004,1645-4,'Visual SPC'!$B$3)="",0,IF(AND(OR('Visual SPC'!$C$4="",'Data Entry'!$C1645&gt;='Visual SPC'!$C$4),OR('Visual SPC'!$E$4="",'Data Entry'!$C1645&lt;='Visual SPC'!$E$4),OR('Visual SPC'!$G$4="",'Data Entry'!$D1645='Visual SPC'!$G$4),OR('Visual SPC'!$I$4="",'Data Entry'!$E1645='Visual SPC'!$I$4),OR('Visual SPC'!$K$4="",'Data Entry'!$F1645='Visual SPC'!$K$4)),1,0))</f>
        <v/>
      </c>
      <c r="C1645">
        <f>C1644+B1645</f>
        <v/>
      </c>
      <c r="D1645">
        <f>IF(B1645=1,INDEX('Data Entry'!$H$5:$BE$10004,1645-4,'Visual SPC'!$B$3),"")</f>
        <v/>
      </c>
      <c r="E1645">
        <f>IF(B1645=1,D1645,E1644)</f>
        <v/>
      </c>
      <c r="F1645">
        <f>IF(AND(B1645=1,C1645&gt;1,E1644&lt;&gt;""),ABS(D1645-E1644),"")</f>
        <v/>
      </c>
    </row>
    <row r="1646">
      <c r="A1646" t="n">
        <v>1646</v>
      </c>
      <c r="B1646">
        <f>IF(INDEX('Data Entry'!$H$5:$BE$10004,1646-4,'Visual SPC'!$B$3)="",0,IF(AND(OR('Visual SPC'!$C$4="",'Data Entry'!$C1646&gt;='Visual SPC'!$C$4),OR('Visual SPC'!$E$4="",'Data Entry'!$C1646&lt;='Visual SPC'!$E$4),OR('Visual SPC'!$G$4="",'Data Entry'!$D1646='Visual SPC'!$G$4),OR('Visual SPC'!$I$4="",'Data Entry'!$E1646='Visual SPC'!$I$4),OR('Visual SPC'!$K$4="",'Data Entry'!$F1646='Visual SPC'!$K$4)),1,0))</f>
        <v/>
      </c>
      <c r="C1646">
        <f>C1645+B1646</f>
        <v/>
      </c>
      <c r="D1646">
        <f>IF(B1646=1,INDEX('Data Entry'!$H$5:$BE$10004,1646-4,'Visual SPC'!$B$3),"")</f>
        <v/>
      </c>
      <c r="E1646">
        <f>IF(B1646=1,D1646,E1645)</f>
        <v/>
      </c>
      <c r="F1646">
        <f>IF(AND(B1646=1,C1646&gt;1,E1645&lt;&gt;""),ABS(D1646-E1645),"")</f>
        <v/>
      </c>
    </row>
    <row r="1647">
      <c r="A1647" t="n">
        <v>1647</v>
      </c>
      <c r="B1647">
        <f>IF(INDEX('Data Entry'!$H$5:$BE$10004,1647-4,'Visual SPC'!$B$3)="",0,IF(AND(OR('Visual SPC'!$C$4="",'Data Entry'!$C1647&gt;='Visual SPC'!$C$4),OR('Visual SPC'!$E$4="",'Data Entry'!$C1647&lt;='Visual SPC'!$E$4),OR('Visual SPC'!$G$4="",'Data Entry'!$D1647='Visual SPC'!$G$4),OR('Visual SPC'!$I$4="",'Data Entry'!$E1647='Visual SPC'!$I$4),OR('Visual SPC'!$K$4="",'Data Entry'!$F1647='Visual SPC'!$K$4)),1,0))</f>
        <v/>
      </c>
      <c r="C1647">
        <f>C1646+B1647</f>
        <v/>
      </c>
      <c r="D1647">
        <f>IF(B1647=1,INDEX('Data Entry'!$H$5:$BE$10004,1647-4,'Visual SPC'!$B$3),"")</f>
        <v/>
      </c>
      <c r="E1647">
        <f>IF(B1647=1,D1647,E1646)</f>
        <v/>
      </c>
      <c r="F1647">
        <f>IF(AND(B1647=1,C1647&gt;1,E1646&lt;&gt;""),ABS(D1647-E1646),"")</f>
        <v/>
      </c>
    </row>
    <row r="1648">
      <c r="A1648" t="n">
        <v>1648</v>
      </c>
      <c r="B1648">
        <f>IF(INDEX('Data Entry'!$H$5:$BE$10004,1648-4,'Visual SPC'!$B$3)="",0,IF(AND(OR('Visual SPC'!$C$4="",'Data Entry'!$C1648&gt;='Visual SPC'!$C$4),OR('Visual SPC'!$E$4="",'Data Entry'!$C1648&lt;='Visual SPC'!$E$4),OR('Visual SPC'!$G$4="",'Data Entry'!$D1648='Visual SPC'!$G$4),OR('Visual SPC'!$I$4="",'Data Entry'!$E1648='Visual SPC'!$I$4),OR('Visual SPC'!$K$4="",'Data Entry'!$F1648='Visual SPC'!$K$4)),1,0))</f>
        <v/>
      </c>
      <c r="C1648">
        <f>C1647+B1648</f>
        <v/>
      </c>
      <c r="D1648">
        <f>IF(B1648=1,INDEX('Data Entry'!$H$5:$BE$10004,1648-4,'Visual SPC'!$B$3),"")</f>
        <v/>
      </c>
      <c r="E1648">
        <f>IF(B1648=1,D1648,E1647)</f>
        <v/>
      </c>
      <c r="F1648">
        <f>IF(AND(B1648=1,C1648&gt;1,E1647&lt;&gt;""),ABS(D1648-E1647),"")</f>
        <v/>
      </c>
    </row>
    <row r="1649">
      <c r="A1649" t="n">
        <v>1649</v>
      </c>
      <c r="B1649">
        <f>IF(INDEX('Data Entry'!$H$5:$BE$10004,1649-4,'Visual SPC'!$B$3)="",0,IF(AND(OR('Visual SPC'!$C$4="",'Data Entry'!$C1649&gt;='Visual SPC'!$C$4),OR('Visual SPC'!$E$4="",'Data Entry'!$C1649&lt;='Visual SPC'!$E$4),OR('Visual SPC'!$G$4="",'Data Entry'!$D1649='Visual SPC'!$G$4),OR('Visual SPC'!$I$4="",'Data Entry'!$E1649='Visual SPC'!$I$4),OR('Visual SPC'!$K$4="",'Data Entry'!$F1649='Visual SPC'!$K$4)),1,0))</f>
        <v/>
      </c>
      <c r="C1649">
        <f>C1648+B1649</f>
        <v/>
      </c>
      <c r="D1649">
        <f>IF(B1649=1,INDEX('Data Entry'!$H$5:$BE$10004,1649-4,'Visual SPC'!$B$3),"")</f>
        <v/>
      </c>
      <c r="E1649">
        <f>IF(B1649=1,D1649,E1648)</f>
        <v/>
      </c>
      <c r="F1649">
        <f>IF(AND(B1649=1,C1649&gt;1,E1648&lt;&gt;""),ABS(D1649-E1648),"")</f>
        <v/>
      </c>
    </row>
    <row r="1650">
      <c r="A1650" t="n">
        <v>1650</v>
      </c>
      <c r="B1650">
        <f>IF(INDEX('Data Entry'!$H$5:$BE$10004,1650-4,'Visual SPC'!$B$3)="",0,IF(AND(OR('Visual SPC'!$C$4="",'Data Entry'!$C1650&gt;='Visual SPC'!$C$4),OR('Visual SPC'!$E$4="",'Data Entry'!$C1650&lt;='Visual SPC'!$E$4),OR('Visual SPC'!$G$4="",'Data Entry'!$D1650='Visual SPC'!$G$4),OR('Visual SPC'!$I$4="",'Data Entry'!$E1650='Visual SPC'!$I$4),OR('Visual SPC'!$K$4="",'Data Entry'!$F1650='Visual SPC'!$K$4)),1,0))</f>
        <v/>
      </c>
      <c r="C1650">
        <f>C1649+B1650</f>
        <v/>
      </c>
      <c r="D1650">
        <f>IF(B1650=1,INDEX('Data Entry'!$H$5:$BE$10004,1650-4,'Visual SPC'!$B$3),"")</f>
        <v/>
      </c>
      <c r="E1650">
        <f>IF(B1650=1,D1650,E1649)</f>
        <v/>
      </c>
      <c r="F1650">
        <f>IF(AND(B1650=1,C1650&gt;1,E1649&lt;&gt;""),ABS(D1650-E1649),"")</f>
        <v/>
      </c>
    </row>
    <row r="1651">
      <c r="A1651" t="n">
        <v>1651</v>
      </c>
      <c r="B1651">
        <f>IF(INDEX('Data Entry'!$H$5:$BE$10004,1651-4,'Visual SPC'!$B$3)="",0,IF(AND(OR('Visual SPC'!$C$4="",'Data Entry'!$C1651&gt;='Visual SPC'!$C$4),OR('Visual SPC'!$E$4="",'Data Entry'!$C1651&lt;='Visual SPC'!$E$4),OR('Visual SPC'!$G$4="",'Data Entry'!$D1651='Visual SPC'!$G$4),OR('Visual SPC'!$I$4="",'Data Entry'!$E1651='Visual SPC'!$I$4),OR('Visual SPC'!$K$4="",'Data Entry'!$F1651='Visual SPC'!$K$4)),1,0))</f>
        <v/>
      </c>
      <c r="C1651">
        <f>C1650+B1651</f>
        <v/>
      </c>
      <c r="D1651">
        <f>IF(B1651=1,INDEX('Data Entry'!$H$5:$BE$10004,1651-4,'Visual SPC'!$B$3),"")</f>
        <v/>
      </c>
      <c r="E1651">
        <f>IF(B1651=1,D1651,E1650)</f>
        <v/>
      </c>
      <c r="F1651">
        <f>IF(AND(B1651=1,C1651&gt;1,E1650&lt;&gt;""),ABS(D1651-E1650),"")</f>
        <v/>
      </c>
    </row>
    <row r="1652">
      <c r="A1652" t="n">
        <v>1652</v>
      </c>
      <c r="B1652">
        <f>IF(INDEX('Data Entry'!$H$5:$BE$10004,1652-4,'Visual SPC'!$B$3)="",0,IF(AND(OR('Visual SPC'!$C$4="",'Data Entry'!$C1652&gt;='Visual SPC'!$C$4),OR('Visual SPC'!$E$4="",'Data Entry'!$C1652&lt;='Visual SPC'!$E$4),OR('Visual SPC'!$G$4="",'Data Entry'!$D1652='Visual SPC'!$G$4),OR('Visual SPC'!$I$4="",'Data Entry'!$E1652='Visual SPC'!$I$4),OR('Visual SPC'!$K$4="",'Data Entry'!$F1652='Visual SPC'!$K$4)),1,0))</f>
        <v/>
      </c>
      <c r="C1652">
        <f>C1651+B1652</f>
        <v/>
      </c>
      <c r="D1652">
        <f>IF(B1652=1,INDEX('Data Entry'!$H$5:$BE$10004,1652-4,'Visual SPC'!$B$3),"")</f>
        <v/>
      </c>
      <c r="E1652">
        <f>IF(B1652=1,D1652,E1651)</f>
        <v/>
      </c>
      <c r="F1652">
        <f>IF(AND(B1652=1,C1652&gt;1,E1651&lt;&gt;""),ABS(D1652-E1651),"")</f>
        <v/>
      </c>
    </row>
    <row r="1653">
      <c r="A1653" t="n">
        <v>1653</v>
      </c>
      <c r="B1653">
        <f>IF(INDEX('Data Entry'!$H$5:$BE$10004,1653-4,'Visual SPC'!$B$3)="",0,IF(AND(OR('Visual SPC'!$C$4="",'Data Entry'!$C1653&gt;='Visual SPC'!$C$4),OR('Visual SPC'!$E$4="",'Data Entry'!$C1653&lt;='Visual SPC'!$E$4),OR('Visual SPC'!$G$4="",'Data Entry'!$D1653='Visual SPC'!$G$4),OR('Visual SPC'!$I$4="",'Data Entry'!$E1653='Visual SPC'!$I$4),OR('Visual SPC'!$K$4="",'Data Entry'!$F1653='Visual SPC'!$K$4)),1,0))</f>
        <v/>
      </c>
      <c r="C1653">
        <f>C1652+B1653</f>
        <v/>
      </c>
      <c r="D1653">
        <f>IF(B1653=1,INDEX('Data Entry'!$H$5:$BE$10004,1653-4,'Visual SPC'!$B$3),"")</f>
        <v/>
      </c>
      <c r="E1653">
        <f>IF(B1653=1,D1653,E1652)</f>
        <v/>
      </c>
      <c r="F1653">
        <f>IF(AND(B1653=1,C1653&gt;1,E1652&lt;&gt;""),ABS(D1653-E1652),"")</f>
        <v/>
      </c>
    </row>
    <row r="1654">
      <c r="A1654" t="n">
        <v>1654</v>
      </c>
      <c r="B1654">
        <f>IF(INDEX('Data Entry'!$H$5:$BE$10004,1654-4,'Visual SPC'!$B$3)="",0,IF(AND(OR('Visual SPC'!$C$4="",'Data Entry'!$C1654&gt;='Visual SPC'!$C$4),OR('Visual SPC'!$E$4="",'Data Entry'!$C1654&lt;='Visual SPC'!$E$4),OR('Visual SPC'!$G$4="",'Data Entry'!$D1654='Visual SPC'!$G$4),OR('Visual SPC'!$I$4="",'Data Entry'!$E1654='Visual SPC'!$I$4),OR('Visual SPC'!$K$4="",'Data Entry'!$F1654='Visual SPC'!$K$4)),1,0))</f>
        <v/>
      </c>
      <c r="C1654">
        <f>C1653+B1654</f>
        <v/>
      </c>
      <c r="D1654">
        <f>IF(B1654=1,INDEX('Data Entry'!$H$5:$BE$10004,1654-4,'Visual SPC'!$B$3),"")</f>
        <v/>
      </c>
      <c r="E1654">
        <f>IF(B1654=1,D1654,E1653)</f>
        <v/>
      </c>
      <c r="F1654">
        <f>IF(AND(B1654=1,C1654&gt;1,E1653&lt;&gt;""),ABS(D1654-E1653),"")</f>
        <v/>
      </c>
    </row>
    <row r="1655">
      <c r="A1655" t="n">
        <v>1655</v>
      </c>
      <c r="B1655">
        <f>IF(INDEX('Data Entry'!$H$5:$BE$10004,1655-4,'Visual SPC'!$B$3)="",0,IF(AND(OR('Visual SPC'!$C$4="",'Data Entry'!$C1655&gt;='Visual SPC'!$C$4),OR('Visual SPC'!$E$4="",'Data Entry'!$C1655&lt;='Visual SPC'!$E$4),OR('Visual SPC'!$G$4="",'Data Entry'!$D1655='Visual SPC'!$G$4),OR('Visual SPC'!$I$4="",'Data Entry'!$E1655='Visual SPC'!$I$4),OR('Visual SPC'!$K$4="",'Data Entry'!$F1655='Visual SPC'!$K$4)),1,0))</f>
        <v/>
      </c>
      <c r="C1655">
        <f>C1654+B1655</f>
        <v/>
      </c>
      <c r="D1655">
        <f>IF(B1655=1,INDEX('Data Entry'!$H$5:$BE$10004,1655-4,'Visual SPC'!$B$3),"")</f>
        <v/>
      </c>
      <c r="E1655">
        <f>IF(B1655=1,D1655,E1654)</f>
        <v/>
      </c>
      <c r="F1655">
        <f>IF(AND(B1655=1,C1655&gt;1,E1654&lt;&gt;""),ABS(D1655-E1654),"")</f>
        <v/>
      </c>
    </row>
    <row r="1656">
      <c r="A1656" t="n">
        <v>1656</v>
      </c>
      <c r="B1656">
        <f>IF(INDEX('Data Entry'!$H$5:$BE$10004,1656-4,'Visual SPC'!$B$3)="",0,IF(AND(OR('Visual SPC'!$C$4="",'Data Entry'!$C1656&gt;='Visual SPC'!$C$4),OR('Visual SPC'!$E$4="",'Data Entry'!$C1656&lt;='Visual SPC'!$E$4),OR('Visual SPC'!$G$4="",'Data Entry'!$D1656='Visual SPC'!$G$4),OR('Visual SPC'!$I$4="",'Data Entry'!$E1656='Visual SPC'!$I$4),OR('Visual SPC'!$K$4="",'Data Entry'!$F1656='Visual SPC'!$K$4)),1,0))</f>
        <v/>
      </c>
      <c r="C1656">
        <f>C1655+B1656</f>
        <v/>
      </c>
      <c r="D1656">
        <f>IF(B1656=1,INDEX('Data Entry'!$H$5:$BE$10004,1656-4,'Visual SPC'!$B$3),"")</f>
        <v/>
      </c>
      <c r="E1656">
        <f>IF(B1656=1,D1656,E1655)</f>
        <v/>
      </c>
      <c r="F1656">
        <f>IF(AND(B1656=1,C1656&gt;1,E1655&lt;&gt;""),ABS(D1656-E1655),"")</f>
        <v/>
      </c>
    </row>
    <row r="1657">
      <c r="A1657" t="n">
        <v>1657</v>
      </c>
      <c r="B1657">
        <f>IF(INDEX('Data Entry'!$H$5:$BE$10004,1657-4,'Visual SPC'!$B$3)="",0,IF(AND(OR('Visual SPC'!$C$4="",'Data Entry'!$C1657&gt;='Visual SPC'!$C$4),OR('Visual SPC'!$E$4="",'Data Entry'!$C1657&lt;='Visual SPC'!$E$4),OR('Visual SPC'!$G$4="",'Data Entry'!$D1657='Visual SPC'!$G$4),OR('Visual SPC'!$I$4="",'Data Entry'!$E1657='Visual SPC'!$I$4),OR('Visual SPC'!$K$4="",'Data Entry'!$F1657='Visual SPC'!$K$4)),1,0))</f>
        <v/>
      </c>
      <c r="C1657">
        <f>C1656+B1657</f>
        <v/>
      </c>
      <c r="D1657">
        <f>IF(B1657=1,INDEX('Data Entry'!$H$5:$BE$10004,1657-4,'Visual SPC'!$B$3),"")</f>
        <v/>
      </c>
      <c r="E1657">
        <f>IF(B1657=1,D1657,E1656)</f>
        <v/>
      </c>
      <c r="F1657">
        <f>IF(AND(B1657=1,C1657&gt;1,E1656&lt;&gt;""),ABS(D1657-E1656),"")</f>
        <v/>
      </c>
    </row>
    <row r="1658">
      <c r="A1658" t="n">
        <v>1658</v>
      </c>
      <c r="B1658">
        <f>IF(INDEX('Data Entry'!$H$5:$BE$10004,1658-4,'Visual SPC'!$B$3)="",0,IF(AND(OR('Visual SPC'!$C$4="",'Data Entry'!$C1658&gt;='Visual SPC'!$C$4),OR('Visual SPC'!$E$4="",'Data Entry'!$C1658&lt;='Visual SPC'!$E$4),OR('Visual SPC'!$G$4="",'Data Entry'!$D1658='Visual SPC'!$G$4),OR('Visual SPC'!$I$4="",'Data Entry'!$E1658='Visual SPC'!$I$4),OR('Visual SPC'!$K$4="",'Data Entry'!$F1658='Visual SPC'!$K$4)),1,0))</f>
        <v/>
      </c>
      <c r="C1658">
        <f>C1657+B1658</f>
        <v/>
      </c>
      <c r="D1658">
        <f>IF(B1658=1,INDEX('Data Entry'!$H$5:$BE$10004,1658-4,'Visual SPC'!$B$3),"")</f>
        <v/>
      </c>
      <c r="E1658">
        <f>IF(B1658=1,D1658,E1657)</f>
        <v/>
      </c>
      <c r="F1658">
        <f>IF(AND(B1658=1,C1658&gt;1,E1657&lt;&gt;""),ABS(D1658-E1657),"")</f>
        <v/>
      </c>
    </row>
    <row r="1659">
      <c r="A1659" t="n">
        <v>1659</v>
      </c>
      <c r="B1659">
        <f>IF(INDEX('Data Entry'!$H$5:$BE$10004,1659-4,'Visual SPC'!$B$3)="",0,IF(AND(OR('Visual SPC'!$C$4="",'Data Entry'!$C1659&gt;='Visual SPC'!$C$4),OR('Visual SPC'!$E$4="",'Data Entry'!$C1659&lt;='Visual SPC'!$E$4),OR('Visual SPC'!$G$4="",'Data Entry'!$D1659='Visual SPC'!$G$4),OR('Visual SPC'!$I$4="",'Data Entry'!$E1659='Visual SPC'!$I$4),OR('Visual SPC'!$K$4="",'Data Entry'!$F1659='Visual SPC'!$K$4)),1,0))</f>
        <v/>
      </c>
      <c r="C1659">
        <f>C1658+B1659</f>
        <v/>
      </c>
      <c r="D1659">
        <f>IF(B1659=1,INDEX('Data Entry'!$H$5:$BE$10004,1659-4,'Visual SPC'!$B$3),"")</f>
        <v/>
      </c>
      <c r="E1659">
        <f>IF(B1659=1,D1659,E1658)</f>
        <v/>
      </c>
      <c r="F1659">
        <f>IF(AND(B1659=1,C1659&gt;1,E1658&lt;&gt;""),ABS(D1659-E1658),"")</f>
        <v/>
      </c>
    </row>
    <row r="1660">
      <c r="A1660" t="n">
        <v>1660</v>
      </c>
      <c r="B1660">
        <f>IF(INDEX('Data Entry'!$H$5:$BE$10004,1660-4,'Visual SPC'!$B$3)="",0,IF(AND(OR('Visual SPC'!$C$4="",'Data Entry'!$C1660&gt;='Visual SPC'!$C$4),OR('Visual SPC'!$E$4="",'Data Entry'!$C1660&lt;='Visual SPC'!$E$4),OR('Visual SPC'!$G$4="",'Data Entry'!$D1660='Visual SPC'!$G$4),OR('Visual SPC'!$I$4="",'Data Entry'!$E1660='Visual SPC'!$I$4),OR('Visual SPC'!$K$4="",'Data Entry'!$F1660='Visual SPC'!$K$4)),1,0))</f>
        <v/>
      </c>
      <c r="C1660">
        <f>C1659+B1660</f>
        <v/>
      </c>
      <c r="D1660">
        <f>IF(B1660=1,INDEX('Data Entry'!$H$5:$BE$10004,1660-4,'Visual SPC'!$B$3),"")</f>
        <v/>
      </c>
      <c r="E1660">
        <f>IF(B1660=1,D1660,E1659)</f>
        <v/>
      </c>
      <c r="F1660">
        <f>IF(AND(B1660=1,C1660&gt;1,E1659&lt;&gt;""),ABS(D1660-E1659),"")</f>
        <v/>
      </c>
    </row>
    <row r="1661">
      <c r="A1661" t="n">
        <v>1661</v>
      </c>
      <c r="B1661">
        <f>IF(INDEX('Data Entry'!$H$5:$BE$10004,1661-4,'Visual SPC'!$B$3)="",0,IF(AND(OR('Visual SPC'!$C$4="",'Data Entry'!$C1661&gt;='Visual SPC'!$C$4),OR('Visual SPC'!$E$4="",'Data Entry'!$C1661&lt;='Visual SPC'!$E$4),OR('Visual SPC'!$G$4="",'Data Entry'!$D1661='Visual SPC'!$G$4),OR('Visual SPC'!$I$4="",'Data Entry'!$E1661='Visual SPC'!$I$4),OR('Visual SPC'!$K$4="",'Data Entry'!$F1661='Visual SPC'!$K$4)),1,0))</f>
        <v/>
      </c>
      <c r="C1661">
        <f>C1660+B1661</f>
        <v/>
      </c>
      <c r="D1661">
        <f>IF(B1661=1,INDEX('Data Entry'!$H$5:$BE$10004,1661-4,'Visual SPC'!$B$3),"")</f>
        <v/>
      </c>
      <c r="E1661">
        <f>IF(B1661=1,D1661,E1660)</f>
        <v/>
      </c>
      <c r="F1661">
        <f>IF(AND(B1661=1,C1661&gt;1,E1660&lt;&gt;""),ABS(D1661-E1660),"")</f>
        <v/>
      </c>
    </row>
    <row r="1662">
      <c r="A1662" t="n">
        <v>1662</v>
      </c>
      <c r="B1662">
        <f>IF(INDEX('Data Entry'!$H$5:$BE$10004,1662-4,'Visual SPC'!$B$3)="",0,IF(AND(OR('Visual SPC'!$C$4="",'Data Entry'!$C1662&gt;='Visual SPC'!$C$4),OR('Visual SPC'!$E$4="",'Data Entry'!$C1662&lt;='Visual SPC'!$E$4),OR('Visual SPC'!$G$4="",'Data Entry'!$D1662='Visual SPC'!$G$4),OR('Visual SPC'!$I$4="",'Data Entry'!$E1662='Visual SPC'!$I$4),OR('Visual SPC'!$K$4="",'Data Entry'!$F1662='Visual SPC'!$K$4)),1,0))</f>
        <v/>
      </c>
      <c r="C1662">
        <f>C1661+B1662</f>
        <v/>
      </c>
      <c r="D1662">
        <f>IF(B1662=1,INDEX('Data Entry'!$H$5:$BE$10004,1662-4,'Visual SPC'!$B$3),"")</f>
        <v/>
      </c>
      <c r="E1662">
        <f>IF(B1662=1,D1662,E1661)</f>
        <v/>
      </c>
      <c r="F1662">
        <f>IF(AND(B1662=1,C1662&gt;1,E1661&lt;&gt;""),ABS(D1662-E1661),"")</f>
        <v/>
      </c>
    </row>
    <row r="1663">
      <c r="A1663" t="n">
        <v>1663</v>
      </c>
      <c r="B1663">
        <f>IF(INDEX('Data Entry'!$H$5:$BE$10004,1663-4,'Visual SPC'!$B$3)="",0,IF(AND(OR('Visual SPC'!$C$4="",'Data Entry'!$C1663&gt;='Visual SPC'!$C$4),OR('Visual SPC'!$E$4="",'Data Entry'!$C1663&lt;='Visual SPC'!$E$4),OR('Visual SPC'!$G$4="",'Data Entry'!$D1663='Visual SPC'!$G$4),OR('Visual SPC'!$I$4="",'Data Entry'!$E1663='Visual SPC'!$I$4),OR('Visual SPC'!$K$4="",'Data Entry'!$F1663='Visual SPC'!$K$4)),1,0))</f>
        <v/>
      </c>
      <c r="C1663">
        <f>C1662+B1663</f>
        <v/>
      </c>
      <c r="D1663">
        <f>IF(B1663=1,INDEX('Data Entry'!$H$5:$BE$10004,1663-4,'Visual SPC'!$B$3),"")</f>
        <v/>
      </c>
      <c r="E1663">
        <f>IF(B1663=1,D1663,E1662)</f>
        <v/>
      </c>
      <c r="F1663">
        <f>IF(AND(B1663=1,C1663&gt;1,E1662&lt;&gt;""),ABS(D1663-E1662),"")</f>
        <v/>
      </c>
    </row>
    <row r="1664">
      <c r="A1664" t="n">
        <v>1664</v>
      </c>
      <c r="B1664">
        <f>IF(INDEX('Data Entry'!$H$5:$BE$10004,1664-4,'Visual SPC'!$B$3)="",0,IF(AND(OR('Visual SPC'!$C$4="",'Data Entry'!$C1664&gt;='Visual SPC'!$C$4),OR('Visual SPC'!$E$4="",'Data Entry'!$C1664&lt;='Visual SPC'!$E$4),OR('Visual SPC'!$G$4="",'Data Entry'!$D1664='Visual SPC'!$G$4),OR('Visual SPC'!$I$4="",'Data Entry'!$E1664='Visual SPC'!$I$4),OR('Visual SPC'!$K$4="",'Data Entry'!$F1664='Visual SPC'!$K$4)),1,0))</f>
        <v/>
      </c>
      <c r="C1664">
        <f>C1663+B1664</f>
        <v/>
      </c>
      <c r="D1664">
        <f>IF(B1664=1,INDEX('Data Entry'!$H$5:$BE$10004,1664-4,'Visual SPC'!$B$3),"")</f>
        <v/>
      </c>
      <c r="E1664">
        <f>IF(B1664=1,D1664,E1663)</f>
        <v/>
      </c>
      <c r="F1664">
        <f>IF(AND(B1664=1,C1664&gt;1,E1663&lt;&gt;""),ABS(D1664-E1663),"")</f>
        <v/>
      </c>
    </row>
    <row r="1665">
      <c r="A1665" t="n">
        <v>1665</v>
      </c>
      <c r="B1665">
        <f>IF(INDEX('Data Entry'!$H$5:$BE$10004,1665-4,'Visual SPC'!$B$3)="",0,IF(AND(OR('Visual SPC'!$C$4="",'Data Entry'!$C1665&gt;='Visual SPC'!$C$4),OR('Visual SPC'!$E$4="",'Data Entry'!$C1665&lt;='Visual SPC'!$E$4),OR('Visual SPC'!$G$4="",'Data Entry'!$D1665='Visual SPC'!$G$4),OR('Visual SPC'!$I$4="",'Data Entry'!$E1665='Visual SPC'!$I$4),OR('Visual SPC'!$K$4="",'Data Entry'!$F1665='Visual SPC'!$K$4)),1,0))</f>
        <v/>
      </c>
      <c r="C1665">
        <f>C1664+B1665</f>
        <v/>
      </c>
      <c r="D1665">
        <f>IF(B1665=1,INDEX('Data Entry'!$H$5:$BE$10004,1665-4,'Visual SPC'!$B$3),"")</f>
        <v/>
      </c>
      <c r="E1665">
        <f>IF(B1665=1,D1665,E1664)</f>
        <v/>
      </c>
      <c r="F1665">
        <f>IF(AND(B1665=1,C1665&gt;1,E1664&lt;&gt;""),ABS(D1665-E1664),"")</f>
        <v/>
      </c>
    </row>
    <row r="1666">
      <c r="A1666" t="n">
        <v>1666</v>
      </c>
      <c r="B1666">
        <f>IF(INDEX('Data Entry'!$H$5:$BE$10004,1666-4,'Visual SPC'!$B$3)="",0,IF(AND(OR('Visual SPC'!$C$4="",'Data Entry'!$C1666&gt;='Visual SPC'!$C$4),OR('Visual SPC'!$E$4="",'Data Entry'!$C1666&lt;='Visual SPC'!$E$4),OR('Visual SPC'!$G$4="",'Data Entry'!$D1666='Visual SPC'!$G$4),OR('Visual SPC'!$I$4="",'Data Entry'!$E1666='Visual SPC'!$I$4),OR('Visual SPC'!$K$4="",'Data Entry'!$F1666='Visual SPC'!$K$4)),1,0))</f>
        <v/>
      </c>
      <c r="C1666">
        <f>C1665+B1666</f>
        <v/>
      </c>
      <c r="D1666">
        <f>IF(B1666=1,INDEX('Data Entry'!$H$5:$BE$10004,1666-4,'Visual SPC'!$B$3),"")</f>
        <v/>
      </c>
      <c r="E1666">
        <f>IF(B1666=1,D1666,E1665)</f>
        <v/>
      </c>
      <c r="F1666">
        <f>IF(AND(B1666=1,C1666&gt;1,E1665&lt;&gt;""),ABS(D1666-E1665),"")</f>
        <v/>
      </c>
    </row>
    <row r="1667">
      <c r="A1667" t="n">
        <v>1667</v>
      </c>
      <c r="B1667">
        <f>IF(INDEX('Data Entry'!$H$5:$BE$10004,1667-4,'Visual SPC'!$B$3)="",0,IF(AND(OR('Visual SPC'!$C$4="",'Data Entry'!$C1667&gt;='Visual SPC'!$C$4),OR('Visual SPC'!$E$4="",'Data Entry'!$C1667&lt;='Visual SPC'!$E$4),OR('Visual SPC'!$G$4="",'Data Entry'!$D1667='Visual SPC'!$G$4),OR('Visual SPC'!$I$4="",'Data Entry'!$E1667='Visual SPC'!$I$4),OR('Visual SPC'!$K$4="",'Data Entry'!$F1667='Visual SPC'!$K$4)),1,0))</f>
        <v/>
      </c>
      <c r="C1667">
        <f>C1666+B1667</f>
        <v/>
      </c>
      <c r="D1667">
        <f>IF(B1667=1,INDEX('Data Entry'!$H$5:$BE$10004,1667-4,'Visual SPC'!$B$3),"")</f>
        <v/>
      </c>
      <c r="E1667">
        <f>IF(B1667=1,D1667,E1666)</f>
        <v/>
      </c>
      <c r="F1667">
        <f>IF(AND(B1667=1,C1667&gt;1,E1666&lt;&gt;""),ABS(D1667-E1666),"")</f>
        <v/>
      </c>
    </row>
    <row r="1668">
      <c r="A1668" t="n">
        <v>1668</v>
      </c>
      <c r="B1668">
        <f>IF(INDEX('Data Entry'!$H$5:$BE$10004,1668-4,'Visual SPC'!$B$3)="",0,IF(AND(OR('Visual SPC'!$C$4="",'Data Entry'!$C1668&gt;='Visual SPC'!$C$4),OR('Visual SPC'!$E$4="",'Data Entry'!$C1668&lt;='Visual SPC'!$E$4),OR('Visual SPC'!$G$4="",'Data Entry'!$D1668='Visual SPC'!$G$4),OR('Visual SPC'!$I$4="",'Data Entry'!$E1668='Visual SPC'!$I$4),OR('Visual SPC'!$K$4="",'Data Entry'!$F1668='Visual SPC'!$K$4)),1,0))</f>
        <v/>
      </c>
      <c r="C1668">
        <f>C1667+B1668</f>
        <v/>
      </c>
      <c r="D1668">
        <f>IF(B1668=1,INDEX('Data Entry'!$H$5:$BE$10004,1668-4,'Visual SPC'!$B$3),"")</f>
        <v/>
      </c>
      <c r="E1668">
        <f>IF(B1668=1,D1668,E1667)</f>
        <v/>
      </c>
      <c r="F1668">
        <f>IF(AND(B1668=1,C1668&gt;1,E1667&lt;&gt;""),ABS(D1668-E1667),"")</f>
        <v/>
      </c>
    </row>
    <row r="1669">
      <c r="A1669" t="n">
        <v>1669</v>
      </c>
      <c r="B1669">
        <f>IF(INDEX('Data Entry'!$H$5:$BE$10004,1669-4,'Visual SPC'!$B$3)="",0,IF(AND(OR('Visual SPC'!$C$4="",'Data Entry'!$C1669&gt;='Visual SPC'!$C$4),OR('Visual SPC'!$E$4="",'Data Entry'!$C1669&lt;='Visual SPC'!$E$4),OR('Visual SPC'!$G$4="",'Data Entry'!$D1669='Visual SPC'!$G$4),OR('Visual SPC'!$I$4="",'Data Entry'!$E1669='Visual SPC'!$I$4),OR('Visual SPC'!$K$4="",'Data Entry'!$F1669='Visual SPC'!$K$4)),1,0))</f>
        <v/>
      </c>
      <c r="C1669">
        <f>C1668+B1669</f>
        <v/>
      </c>
      <c r="D1669">
        <f>IF(B1669=1,INDEX('Data Entry'!$H$5:$BE$10004,1669-4,'Visual SPC'!$B$3),"")</f>
        <v/>
      </c>
      <c r="E1669">
        <f>IF(B1669=1,D1669,E1668)</f>
        <v/>
      </c>
      <c r="F1669">
        <f>IF(AND(B1669=1,C1669&gt;1,E1668&lt;&gt;""),ABS(D1669-E1668),"")</f>
        <v/>
      </c>
    </row>
    <row r="1670">
      <c r="A1670" t="n">
        <v>1670</v>
      </c>
      <c r="B1670">
        <f>IF(INDEX('Data Entry'!$H$5:$BE$10004,1670-4,'Visual SPC'!$B$3)="",0,IF(AND(OR('Visual SPC'!$C$4="",'Data Entry'!$C1670&gt;='Visual SPC'!$C$4),OR('Visual SPC'!$E$4="",'Data Entry'!$C1670&lt;='Visual SPC'!$E$4),OR('Visual SPC'!$G$4="",'Data Entry'!$D1670='Visual SPC'!$G$4),OR('Visual SPC'!$I$4="",'Data Entry'!$E1670='Visual SPC'!$I$4),OR('Visual SPC'!$K$4="",'Data Entry'!$F1670='Visual SPC'!$K$4)),1,0))</f>
        <v/>
      </c>
      <c r="C1670">
        <f>C1669+B1670</f>
        <v/>
      </c>
      <c r="D1670">
        <f>IF(B1670=1,INDEX('Data Entry'!$H$5:$BE$10004,1670-4,'Visual SPC'!$B$3),"")</f>
        <v/>
      </c>
      <c r="E1670">
        <f>IF(B1670=1,D1670,E1669)</f>
        <v/>
      </c>
      <c r="F1670">
        <f>IF(AND(B1670=1,C1670&gt;1,E1669&lt;&gt;""),ABS(D1670-E1669),"")</f>
        <v/>
      </c>
    </row>
    <row r="1671">
      <c r="A1671" t="n">
        <v>1671</v>
      </c>
      <c r="B1671">
        <f>IF(INDEX('Data Entry'!$H$5:$BE$10004,1671-4,'Visual SPC'!$B$3)="",0,IF(AND(OR('Visual SPC'!$C$4="",'Data Entry'!$C1671&gt;='Visual SPC'!$C$4),OR('Visual SPC'!$E$4="",'Data Entry'!$C1671&lt;='Visual SPC'!$E$4),OR('Visual SPC'!$G$4="",'Data Entry'!$D1671='Visual SPC'!$G$4),OR('Visual SPC'!$I$4="",'Data Entry'!$E1671='Visual SPC'!$I$4),OR('Visual SPC'!$K$4="",'Data Entry'!$F1671='Visual SPC'!$K$4)),1,0))</f>
        <v/>
      </c>
      <c r="C1671">
        <f>C1670+B1671</f>
        <v/>
      </c>
      <c r="D1671">
        <f>IF(B1671=1,INDEX('Data Entry'!$H$5:$BE$10004,1671-4,'Visual SPC'!$B$3),"")</f>
        <v/>
      </c>
      <c r="E1671">
        <f>IF(B1671=1,D1671,E1670)</f>
        <v/>
      </c>
      <c r="F1671">
        <f>IF(AND(B1671=1,C1671&gt;1,E1670&lt;&gt;""),ABS(D1671-E1670),"")</f>
        <v/>
      </c>
    </row>
    <row r="1672">
      <c r="A1672" t="n">
        <v>1672</v>
      </c>
      <c r="B1672">
        <f>IF(INDEX('Data Entry'!$H$5:$BE$10004,1672-4,'Visual SPC'!$B$3)="",0,IF(AND(OR('Visual SPC'!$C$4="",'Data Entry'!$C1672&gt;='Visual SPC'!$C$4),OR('Visual SPC'!$E$4="",'Data Entry'!$C1672&lt;='Visual SPC'!$E$4),OR('Visual SPC'!$G$4="",'Data Entry'!$D1672='Visual SPC'!$G$4),OR('Visual SPC'!$I$4="",'Data Entry'!$E1672='Visual SPC'!$I$4),OR('Visual SPC'!$K$4="",'Data Entry'!$F1672='Visual SPC'!$K$4)),1,0))</f>
        <v/>
      </c>
      <c r="C1672">
        <f>C1671+B1672</f>
        <v/>
      </c>
      <c r="D1672">
        <f>IF(B1672=1,INDEX('Data Entry'!$H$5:$BE$10004,1672-4,'Visual SPC'!$B$3),"")</f>
        <v/>
      </c>
      <c r="E1672">
        <f>IF(B1672=1,D1672,E1671)</f>
        <v/>
      </c>
      <c r="F1672">
        <f>IF(AND(B1672=1,C1672&gt;1,E1671&lt;&gt;""),ABS(D1672-E1671),"")</f>
        <v/>
      </c>
    </row>
    <row r="1673">
      <c r="A1673" t="n">
        <v>1673</v>
      </c>
      <c r="B1673">
        <f>IF(INDEX('Data Entry'!$H$5:$BE$10004,1673-4,'Visual SPC'!$B$3)="",0,IF(AND(OR('Visual SPC'!$C$4="",'Data Entry'!$C1673&gt;='Visual SPC'!$C$4),OR('Visual SPC'!$E$4="",'Data Entry'!$C1673&lt;='Visual SPC'!$E$4),OR('Visual SPC'!$G$4="",'Data Entry'!$D1673='Visual SPC'!$G$4),OR('Visual SPC'!$I$4="",'Data Entry'!$E1673='Visual SPC'!$I$4),OR('Visual SPC'!$K$4="",'Data Entry'!$F1673='Visual SPC'!$K$4)),1,0))</f>
        <v/>
      </c>
      <c r="C1673">
        <f>C1672+B1673</f>
        <v/>
      </c>
      <c r="D1673">
        <f>IF(B1673=1,INDEX('Data Entry'!$H$5:$BE$10004,1673-4,'Visual SPC'!$B$3),"")</f>
        <v/>
      </c>
      <c r="E1673">
        <f>IF(B1673=1,D1673,E1672)</f>
        <v/>
      </c>
      <c r="F1673">
        <f>IF(AND(B1673=1,C1673&gt;1,E1672&lt;&gt;""),ABS(D1673-E1672),"")</f>
        <v/>
      </c>
    </row>
    <row r="1674">
      <c r="A1674" t="n">
        <v>1674</v>
      </c>
      <c r="B1674">
        <f>IF(INDEX('Data Entry'!$H$5:$BE$10004,1674-4,'Visual SPC'!$B$3)="",0,IF(AND(OR('Visual SPC'!$C$4="",'Data Entry'!$C1674&gt;='Visual SPC'!$C$4),OR('Visual SPC'!$E$4="",'Data Entry'!$C1674&lt;='Visual SPC'!$E$4),OR('Visual SPC'!$G$4="",'Data Entry'!$D1674='Visual SPC'!$G$4),OR('Visual SPC'!$I$4="",'Data Entry'!$E1674='Visual SPC'!$I$4),OR('Visual SPC'!$K$4="",'Data Entry'!$F1674='Visual SPC'!$K$4)),1,0))</f>
        <v/>
      </c>
      <c r="C1674">
        <f>C1673+B1674</f>
        <v/>
      </c>
      <c r="D1674">
        <f>IF(B1674=1,INDEX('Data Entry'!$H$5:$BE$10004,1674-4,'Visual SPC'!$B$3),"")</f>
        <v/>
      </c>
      <c r="E1674">
        <f>IF(B1674=1,D1674,E1673)</f>
        <v/>
      </c>
      <c r="F1674">
        <f>IF(AND(B1674=1,C1674&gt;1,E1673&lt;&gt;""),ABS(D1674-E1673),"")</f>
        <v/>
      </c>
    </row>
    <row r="1675">
      <c r="A1675" t="n">
        <v>1675</v>
      </c>
      <c r="B1675">
        <f>IF(INDEX('Data Entry'!$H$5:$BE$10004,1675-4,'Visual SPC'!$B$3)="",0,IF(AND(OR('Visual SPC'!$C$4="",'Data Entry'!$C1675&gt;='Visual SPC'!$C$4),OR('Visual SPC'!$E$4="",'Data Entry'!$C1675&lt;='Visual SPC'!$E$4),OR('Visual SPC'!$G$4="",'Data Entry'!$D1675='Visual SPC'!$G$4),OR('Visual SPC'!$I$4="",'Data Entry'!$E1675='Visual SPC'!$I$4),OR('Visual SPC'!$K$4="",'Data Entry'!$F1675='Visual SPC'!$K$4)),1,0))</f>
        <v/>
      </c>
      <c r="C1675">
        <f>C1674+B1675</f>
        <v/>
      </c>
      <c r="D1675">
        <f>IF(B1675=1,INDEX('Data Entry'!$H$5:$BE$10004,1675-4,'Visual SPC'!$B$3),"")</f>
        <v/>
      </c>
      <c r="E1675">
        <f>IF(B1675=1,D1675,E1674)</f>
        <v/>
      </c>
      <c r="F1675">
        <f>IF(AND(B1675=1,C1675&gt;1,E1674&lt;&gt;""),ABS(D1675-E1674),"")</f>
        <v/>
      </c>
    </row>
    <row r="1676">
      <c r="A1676" t="n">
        <v>1676</v>
      </c>
      <c r="B1676">
        <f>IF(INDEX('Data Entry'!$H$5:$BE$10004,1676-4,'Visual SPC'!$B$3)="",0,IF(AND(OR('Visual SPC'!$C$4="",'Data Entry'!$C1676&gt;='Visual SPC'!$C$4),OR('Visual SPC'!$E$4="",'Data Entry'!$C1676&lt;='Visual SPC'!$E$4),OR('Visual SPC'!$G$4="",'Data Entry'!$D1676='Visual SPC'!$G$4),OR('Visual SPC'!$I$4="",'Data Entry'!$E1676='Visual SPC'!$I$4),OR('Visual SPC'!$K$4="",'Data Entry'!$F1676='Visual SPC'!$K$4)),1,0))</f>
        <v/>
      </c>
      <c r="C1676">
        <f>C1675+B1676</f>
        <v/>
      </c>
      <c r="D1676">
        <f>IF(B1676=1,INDEX('Data Entry'!$H$5:$BE$10004,1676-4,'Visual SPC'!$B$3),"")</f>
        <v/>
      </c>
      <c r="E1676">
        <f>IF(B1676=1,D1676,E1675)</f>
        <v/>
      </c>
      <c r="F1676">
        <f>IF(AND(B1676=1,C1676&gt;1,E1675&lt;&gt;""),ABS(D1676-E1675),"")</f>
        <v/>
      </c>
    </row>
    <row r="1677">
      <c r="A1677" t="n">
        <v>1677</v>
      </c>
      <c r="B1677">
        <f>IF(INDEX('Data Entry'!$H$5:$BE$10004,1677-4,'Visual SPC'!$B$3)="",0,IF(AND(OR('Visual SPC'!$C$4="",'Data Entry'!$C1677&gt;='Visual SPC'!$C$4),OR('Visual SPC'!$E$4="",'Data Entry'!$C1677&lt;='Visual SPC'!$E$4),OR('Visual SPC'!$G$4="",'Data Entry'!$D1677='Visual SPC'!$G$4),OR('Visual SPC'!$I$4="",'Data Entry'!$E1677='Visual SPC'!$I$4),OR('Visual SPC'!$K$4="",'Data Entry'!$F1677='Visual SPC'!$K$4)),1,0))</f>
        <v/>
      </c>
      <c r="C1677">
        <f>C1676+B1677</f>
        <v/>
      </c>
      <c r="D1677">
        <f>IF(B1677=1,INDEX('Data Entry'!$H$5:$BE$10004,1677-4,'Visual SPC'!$B$3),"")</f>
        <v/>
      </c>
      <c r="E1677">
        <f>IF(B1677=1,D1677,E1676)</f>
        <v/>
      </c>
      <c r="F1677">
        <f>IF(AND(B1677=1,C1677&gt;1,E1676&lt;&gt;""),ABS(D1677-E1676),"")</f>
        <v/>
      </c>
    </row>
    <row r="1678">
      <c r="A1678" t="n">
        <v>1678</v>
      </c>
      <c r="B1678">
        <f>IF(INDEX('Data Entry'!$H$5:$BE$10004,1678-4,'Visual SPC'!$B$3)="",0,IF(AND(OR('Visual SPC'!$C$4="",'Data Entry'!$C1678&gt;='Visual SPC'!$C$4),OR('Visual SPC'!$E$4="",'Data Entry'!$C1678&lt;='Visual SPC'!$E$4),OR('Visual SPC'!$G$4="",'Data Entry'!$D1678='Visual SPC'!$G$4),OR('Visual SPC'!$I$4="",'Data Entry'!$E1678='Visual SPC'!$I$4),OR('Visual SPC'!$K$4="",'Data Entry'!$F1678='Visual SPC'!$K$4)),1,0))</f>
        <v/>
      </c>
      <c r="C1678">
        <f>C1677+B1678</f>
        <v/>
      </c>
      <c r="D1678">
        <f>IF(B1678=1,INDEX('Data Entry'!$H$5:$BE$10004,1678-4,'Visual SPC'!$B$3),"")</f>
        <v/>
      </c>
      <c r="E1678">
        <f>IF(B1678=1,D1678,E1677)</f>
        <v/>
      </c>
      <c r="F1678">
        <f>IF(AND(B1678=1,C1678&gt;1,E1677&lt;&gt;""),ABS(D1678-E1677),"")</f>
        <v/>
      </c>
    </row>
    <row r="1679">
      <c r="A1679" t="n">
        <v>1679</v>
      </c>
      <c r="B1679">
        <f>IF(INDEX('Data Entry'!$H$5:$BE$10004,1679-4,'Visual SPC'!$B$3)="",0,IF(AND(OR('Visual SPC'!$C$4="",'Data Entry'!$C1679&gt;='Visual SPC'!$C$4),OR('Visual SPC'!$E$4="",'Data Entry'!$C1679&lt;='Visual SPC'!$E$4),OR('Visual SPC'!$G$4="",'Data Entry'!$D1679='Visual SPC'!$G$4),OR('Visual SPC'!$I$4="",'Data Entry'!$E1679='Visual SPC'!$I$4),OR('Visual SPC'!$K$4="",'Data Entry'!$F1679='Visual SPC'!$K$4)),1,0))</f>
        <v/>
      </c>
      <c r="C1679">
        <f>C1678+B1679</f>
        <v/>
      </c>
      <c r="D1679">
        <f>IF(B1679=1,INDEX('Data Entry'!$H$5:$BE$10004,1679-4,'Visual SPC'!$B$3),"")</f>
        <v/>
      </c>
      <c r="E1679">
        <f>IF(B1679=1,D1679,E1678)</f>
        <v/>
      </c>
      <c r="F1679">
        <f>IF(AND(B1679=1,C1679&gt;1,E1678&lt;&gt;""),ABS(D1679-E1678),"")</f>
        <v/>
      </c>
    </row>
    <row r="1680">
      <c r="A1680" t="n">
        <v>1680</v>
      </c>
      <c r="B1680">
        <f>IF(INDEX('Data Entry'!$H$5:$BE$10004,1680-4,'Visual SPC'!$B$3)="",0,IF(AND(OR('Visual SPC'!$C$4="",'Data Entry'!$C1680&gt;='Visual SPC'!$C$4),OR('Visual SPC'!$E$4="",'Data Entry'!$C1680&lt;='Visual SPC'!$E$4),OR('Visual SPC'!$G$4="",'Data Entry'!$D1680='Visual SPC'!$G$4),OR('Visual SPC'!$I$4="",'Data Entry'!$E1680='Visual SPC'!$I$4),OR('Visual SPC'!$K$4="",'Data Entry'!$F1680='Visual SPC'!$K$4)),1,0))</f>
        <v/>
      </c>
      <c r="C1680">
        <f>C1679+B1680</f>
        <v/>
      </c>
      <c r="D1680">
        <f>IF(B1680=1,INDEX('Data Entry'!$H$5:$BE$10004,1680-4,'Visual SPC'!$B$3),"")</f>
        <v/>
      </c>
      <c r="E1680">
        <f>IF(B1680=1,D1680,E1679)</f>
        <v/>
      </c>
      <c r="F1680">
        <f>IF(AND(B1680=1,C1680&gt;1,E1679&lt;&gt;""),ABS(D1680-E1679),"")</f>
        <v/>
      </c>
    </row>
    <row r="1681">
      <c r="A1681" t="n">
        <v>1681</v>
      </c>
      <c r="B1681">
        <f>IF(INDEX('Data Entry'!$H$5:$BE$10004,1681-4,'Visual SPC'!$B$3)="",0,IF(AND(OR('Visual SPC'!$C$4="",'Data Entry'!$C1681&gt;='Visual SPC'!$C$4),OR('Visual SPC'!$E$4="",'Data Entry'!$C1681&lt;='Visual SPC'!$E$4),OR('Visual SPC'!$G$4="",'Data Entry'!$D1681='Visual SPC'!$G$4),OR('Visual SPC'!$I$4="",'Data Entry'!$E1681='Visual SPC'!$I$4),OR('Visual SPC'!$K$4="",'Data Entry'!$F1681='Visual SPC'!$K$4)),1,0))</f>
        <v/>
      </c>
      <c r="C1681">
        <f>C1680+B1681</f>
        <v/>
      </c>
      <c r="D1681">
        <f>IF(B1681=1,INDEX('Data Entry'!$H$5:$BE$10004,1681-4,'Visual SPC'!$B$3),"")</f>
        <v/>
      </c>
      <c r="E1681">
        <f>IF(B1681=1,D1681,E1680)</f>
        <v/>
      </c>
      <c r="F1681">
        <f>IF(AND(B1681=1,C1681&gt;1,E1680&lt;&gt;""),ABS(D1681-E1680),"")</f>
        <v/>
      </c>
    </row>
    <row r="1682">
      <c r="A1682" t="n">
        <v>1682</v>
      </c>
      <c r="B1682">
        <f>IF(INDEX('Data Entry'!$H$5:$BE$10004,1682-4,'Visual SPC'!$B$3)="",0,IF(AND(OR('Visual SPC'!$C$4="",'Data Entry'!$C1682&gt;='Visual SPC'!$C$4),OR('Visual SPC'!$E$4="",'Data Entry'!$C1682&lt;='Visual SPC'!$E$4),OR('Visual SPC'!$G$4="",'Data Entry'!$D1682='Visual SPC'!$G$4),OR('Visual SPC'!$I$4="",'Data Entry'!$E1682='Visual SPC'!$I$4),OR('Visual SPC'!$K$4="",'Data Entry'!$F1682='Visual SPC'!$K$4)),1,0))</f>
        <v/>
      </c>
      <c r="C1682">
        <f>C1681+B1682</f>
        <v/>
      </c>
      <c r="D1682">
        <f>IF(B1682=1,INDEX('Data Entry'!$H$5:$BE$10004,1682-4,'Visual SPC'!$B$3),"")</f>
        <v/>
      </c>
      <c r="E1682">
        <f>IF(B1682=1,D1682,E1681)</f>
        <v/>
      </c>
      <c r="F1682">
        <f>IF(AND(B1682=1,C1682&gt;1,E1681&lt;&gt;""),ABS(D1682-E1681),"")</f>
        <v/>
      </c>
    </row>
    <row r="1683">
      <c r="A1683" t="n">
        <v>1683</v>
      </c>
      <c r="B1683">
        <f>IF(INDEX('Data Entry'!$H$5:$BE$10004,1683-4,'Visual SPC'!$B$3)="",0,IF(AND(OR('Visual SPC'!$C$4="",'Data Entry'!$C1683&gt;='Visual SPC'!$C$4),OR('Visual SPC'!$E$4="",'Data Entry'!$C1683&lt;='Visual SPC'!$E$4),OR('Visual SPC'!$G$4="",'Data Entry'!$D1683='Visual SPC'!$G$4),OR('Visual SPC'!$I$4="",'Data Entry'!$E1683='Visual SPC'!$I$4),OR('Visual SPC'!$K$4="",'Data Entry'!$F1683='Visual SPC'!$K$4)),1,0))</f>
        <v/>
      </c>
      <c r="C1683">
        <f>C1682+B1683</f>
        <v/>
      </c>
      <c r="D1683">
        <f>IF(B1683=1,INDEX('Data Entry'!$H$5:$BE$10004,1683-4,'Visual SPC'!$B$3),"")</f>
        <v/>
      </c>
      <c r="E1683">
        <f>IF(B1683=1,D1683,E1682)</f>
        <v/>
      </c>
      <c r="F1683">
        <f>IF(AND(B1683=1,C1683&gt;1,E1682&lt;&gt;""),ABS(D1683-E1682),"")</f>
        <v/>
      </c>
    </row>
    <row r="1684">
      <c r="A1684" t="n">
        <v>1684</v>
      </c>
      <c r="B1684">
        <f>IF(INDEX('Data Entry'!$H$5:$BE$10004,1684-4,'Visual SPC'!$B$3)="",0,IF(AND(OR('Visual SPC'!$C$4="",'Data Entry'!$C1684&gt;='Visual SPC'!$C$4),OR('Visual SPC'!$E$4="",'Data Entry'!$C1684&lt;='Visual SPC'!$E$4),OR('Visual SPC'!$G$4="",'Data Entry'!$D1684='Visual SPC'!$G$4),OR('Visual SPC'!$I$4="",'Data Entry'!$E1684='Visual SPC'!$I$4),OR('Visual SPC'!$K$4="",'Data Entry'!$F1684='Visual SPC'!$K$4)),1,0))</f>
        <v/>
      </c>
      <c r="C1684">
        <f>C1683+B1684</f>
        <v/>
      </c>
      <c r="D1684">
        <f>IF(B1684=1,INDEX('Data Entry'!$H$5:$BE$10004,1684-4,'Visual SPC'!$B$3),"")</f>
        <v/>
      </c>
      <c r="E1684">
        <f>IF(B1684=1,D1684,E1683)</f>
        <v/>
      </c>
      <c r="F1684">
        <f>IF(AND(B1684=1,C1684&gt;1,E1683&lt;&gt;""),ABS(D1684-E1683),"")</f>
        <v/>
      </c>
    </row>
    <row r="1685">
      <c r="A1685" t="n">
        <v>1685</v>
      </c>
      <c r="B1685">
        <f>IF(INDEX('Data Entry'!$H$5:$BE$10004,1685-4,'Visual SPC'!$B$3)="",0,IF(AND(OR('Visual SPC'!$C$4="",'Data Entry'!$C1685&gt;='Visual SPC'!$C$4),OR('Visual SPC'!$E$4="",'Data Entry'!$C1685&lt;='Visual SPC'!$E$4),OR('Visual SPC'!$G$4="",'Data Entry'!$D1685='Visual SPC'!$G$4),OR('Visual SPC'!$I$4="",'Data Entry'!$E1685='Visual SPC'!$I$4),OR('Visual SPC'!$K$4="",'Data Entry'!$F1685='Visual SPC'!$K$4)),1,0))</f>
        <v/>
      </c>
      <c r="C1685">
        <f>C1684+B1685</f>
        <v/>
      </c>
      <c r="D1685">
        <f>IF(B1685=1,INDEX('Data Entry'!$H$5:$BE$10004,1685-4,'Visual SPC'!$B$3),"")</f>
        <v/>
      </c>
      <c r="E1685">
        <f>IF(B1685=1,D1685,E1684)</f>
        <v/>
      </c>
      <c r="F1685">
        <f>IF(AND(B1685=1,C1685&gt;1,E1684&lt;&gt;""),ABS(D1685-E1684),"")</f>
        <v/>
      </c>
    </row>
    <row r="1686">
      <c r="A1686" t="n">
        <v>1686</v>
      </c>
      <c r="B1686">
        <f>IF(INDEX('Data Entry'!$H$5:$BE$10004,1686-4,'Visual SPC'!$B$3)="",0,IF(AND(OR('Visual SPC'!$C$4="",'Data Entry'!$C1686&gt;='Visual SPC'!$C$4),OR('Visual SPC'!$E$4="",'Data Entry'!$C1686&lt;='Visual SPC'!$E$4),OR('Visual SPC'!$G$4="",'Data Entry'!$D1686='Visual SPC'!$G$4),OR('Visual SPC'!$I$4="",'Data Entry'!$E1686='Visual SPC'!$I$4),OR('Visual SPC'!$K$4="",'Data Entry'!$F1686='Visual SPC'!$K$4)),1,0))</f>
        <v/>
      </c>
      <c r="C1686">
        <f>C1685+B1686</f>
        <v/>
      </c>
      <c r="D1686">
        <f>IF(B1686=1,INDEX('Data Entry'!$H$5:$BE$10004,1686-4,'Visual SPC'!$B$3),"")</f>
        <v/>
      </c>
      <c r="E1686">
        <f>IF(B1686=1,D1686,E1685)</f>
        <v/>
      </c>
      <c r="F1686">
        <f>IF(AND(B1686=1,C1686&gt;1,E1685&lt;&gt;""),ABS(D1686-E1685),"")</f>
        <v/>
      </c>
    </row>
    <row r="1687">
      <c r="A1687" t="n">
        <v>1687</v>
      </c>
      <c r="B1687">
        <f>IF(INDEX('Data Entry'!$H$5:$BE$10004,1687-4,'Visual SPC'!$B$3)="",0,IF(AND(OR('Visual SPC'!$C$4="",'Data Entry'!$C1687&gt;='Visual SPC'!$C$4),OR('Visual SPC'!$E$4="",'Data Entry'!$C1687&lt;='Visual SPC'!$E$4),OR('Visual SPC'!$G$4="",'Data Entry'!$D1687='Visual SPC'!$G$4),OR('Visual SPC'!$I$4="",'Data Entry'!$E1687='Visual SPC'!$I$4),OR('Visual SPC'!$K$4="",'Data Entry'!$F1687='Visual SPC'!$K$4)),1,0))</f>
        <v/>
      </c>
      <c r="C1687">
        <f>C1686+B1687</f>
        <v/>
      </c>
      <c r="D1687">
        <f>IF(B1687=1,INDEX('Data Entry'!$H$5:$BE$10004,1687-4,'Visual SPC'!$B$3),"")</f>
        <v/>
      </c>
      <c r="E1687">
        <f>IF(B1687=1,D1687,E1686)</f>
        <v/>
      </c>
      <c r="F1687">
        <f>IF(AND(B1687=1,C1687&gt;1,E1686&lt;&gt;""),ABS(D1687-E1686),"")</f>
        <v/>
      </c>
    </row>
    <row r="1688">
      <c r="A1688" t="n">
        <v>1688</v>
      </c>
      <c r="B1688">
        <f>IF(INDEX('Data Entry'!$H$5:$BE$10004,1688-4,'Visual SPC'!$B$3)="",0,IF(AND(OR('Visual SPC'!$C$4="",'Data Entry'!$C1688&gt;='Visual SPC'!$C$4),OR('Visual SPC'!$E$4="",'Data Entry'!$C1688&lt;='Visual SPC'!$E$4),OR('Visual SPC'!$G$4="",'Data Entry'!$D1688='Visual SPC'!$G$4),OR('Visual SPC'!$I$4="",'Data Entry'!$E1688='Visual SPC'!$I$4),OR('Visual SPC'!$K$4="",'Data Entry'!$F1688='Visual SPC'!$K$4)),1,0))</f>
        <v/>
      </c>
      <c r="C1688">
        <f>C1687+B1688</f>
        <v/>
      </c>
      <c r="D1688">
        <f>IF(B1688=1,INDEX('Data Entry'!$H$5:$BE$10004,1688-4,'Visual SPC'!$B$3),"")</f>
        <v/>
      </c>
      <c r="E1688">
        <f>IF(B1688=1,D1688,E1687)</f>
        <v/>
      </c>
      <c r="F1688">
        <f>IF(AND(B1688=1,C1688&gt;1,E1687&lt;&gt;""),ABS(D1688-E1687),"")</f>
        <v/>
      </c>
    </row>
    <row r="1689">
      <c r="A1689" t="n">
        <v>1689</v>
      </c>
      <c r="B1689">
        <f>IF(INDEX('Data Entry'!$H$5:$BE$10004,1689-4,'Visual SPC'!$B$3)="",0,IF(AND(OR('Visual SPC'!$C$4="",'Data Entry'!$C1689&gt;='Visual SPC'!$C$4),OR('Visual SPC'!$E$4="",'Data Entry'!$C1689&lt;='Visual SPC'!$E$4),OR('Visual SPC'!$G$4="",'Data Entry'!$D1689='Visual SPC'!$G$4),OR('Visual SPC'!$I$4="",'Data Entry'!$E1689='Visual SPC'!$I$4),OR('Visual SPC'!$K$4="",'Data Entry'!$F1689='Visual SPC'!$K$4)),1,0))</f>
        <v/>
      </c>
      <c r="C1689">
        <f>C1688+B1689</f>
        <v/>
      </c>
      <c r="D1689">
        <f>IF(B1689=1,INDEX('Data Entry'!$H$5:$BE$10004,1689-4,'Visual SPC'!$B$3),"")</f>
        <v/>
      </c>
      <c r="E1689">
        <f>IF(B1689=1,D1689,E1688)</f>
        <v/>
      </c>
      <c r="F1689">
        <f>IF(AND(B1689=1,C1689&gt;1,E1688&lt;&gt;""),ABS(D1689-E1688),"")</f>
        <v/>
      </c>
    </row>
    <row r="1690">
      <c r="A1690" t="n">
        <v>1690</v>
      </c>
      <c r="B1690">
        <f>IF(INDEX('Data Entry'!$H$5:$BE$10004,1690-4,'Visual SPC'!$B$3)="",0,IF(AND(OR('Visual SPC'!$C$4="",'Data Entry'!$C1690&gt;='Visual SPC'!$C$4),OR('Visual SPC'!$E$4="",'Data Entry'!$C1690&lt;='Visual SPC'!$E$4),OR('Visual SPC'!$G$4="",'Data Entry'!$D1690='Visual SPC'!$G$4),OR('Visual SPC'!$I$4="",'Data Entry'!$E1690='Visual SPC'!$I$4),OR('Visual SPC'!$K$4="",'Data Entry'!$F1690='Visual SPC'!$K$4)),1,0))</f>
        <v/>
      </c>
      <c r="C1690">
        <f>C1689+B1690</f>
        <v/>
      </c>
      <c r="D1690">
        <f>IF(B1690=1,INDEX('Data Entry'!$H$5:$BE$10004,1690-4,'Visual SPC'!$B$3),"")</f>
        <v/>
      </c>
      <c r="E1690">
        <f>IF(B1690=1,D1690,E1689)</f>
        <v/>
      </c>
      <c r="F1690">
        <f>IF(AND(B1690=1,C1690&gt;1,E1689&lt;&gt;""),ABS(D1690-E1689),"")</f>
        <v/>
      </c>
    </row>
    <row r="1691">
      <c r="A1691" t="n">
        <v>1691</v>
      </c>
      <c r="B1691">
        <f>IF(INDEX('Data Entry'!$H$5:$BE$10004,1691-4,'Visual SPC'!$B$3)="",0,IF(AND(OR('Visual SPC'!$C$4="",'Data Entry'!$C1691&gt;='Visual SPC'!$C$4),OR('Visual SPC'!$E$4="",'Data Entry'!$C1691&lt;='Visual SPC'!$E$4),OR('Visual SPC'!$G$4="",'Data Entry'!$D1691='Visual SPC'!$G$4),OR('Visual SPC'!$I$4="",'Data Entry'!$E1691='Visual SPC'!$I$4),OR('Visual SPC'!$K$4="",'Data Entry'!$F1691='Visual SPC'!$K$4)),1,0))</f>
        <v/>
      </c>
      <c r="C1691">
        <f>C1690+B1691</f>
        <v/>
      </c>
      <c r="D1691">
        <f>IF(B1691=1,INDEX('Data Entry'!$H$5:$BE$10004,1691-4,'Visual SPC'!$B$3),"")</f>
        <v/>
      </c>
      <c r="E1691">
        <f>IF(B1691=1,D1691,E1690)</f>
        <v/>
      </c>
      <c r="F1691">
        <f>IF(AND(B1691=1,C1691&gt;1,E1690&lt;&gt;""),ABS(D1691-E1690),"")</f>
        <v/>
      </c>
    </row>
    <row r="1692">
      <c r="A1692" t="n">
        <v>1692</v>
      </c>
      <c r="B1692">
        <f>IF(INDEX('Data Entry'!$H$5:$BE$10004,1692-4,'Visual SPC'!$B$3)="",0,IF(AND(OR('Visual SPC'!$C$4="",'Data Entry'!$C1692&gt;='Visual SPC'!$C$4),OR('Visual SPC'!$E$4="",'Data Entry'!$C1692&lt;='Visual SPC'!$E$4),OR('Visual SPC'!$G$4="",'Data Entry'!$D1692='Visual SPC'!$G$4),OR('Visual SPC'!$I$4="",'Data Entry'!$E1692='Visual SPC'!$I$4),OR('Visual SPC'!$K$4="",'Data Entry'!$F1692='Visual SPC'!$K$4)),1,0))</f>
        <v/>
      </c>
      <c r="C1692">
        <f>C1691+B1692</f>
        <v/>
      </c>
      <c r="D1692">
        <f>IF(B1692=1,INDEX('Data Entry'!$H$5:$BE$10004,1692-4,'Visual SPC'!$B$3),"")</f>
        <v/>
      </c>
      <c r="E1692">
        <f>IF(B1692=1,D1692,E1691)</f>
        <v/>
      </c>
      <c r="F1692">
        <f>IF(AND(B1692=1,C1692&gt;1,E1691&lt;&gt;""),ABS(D1692-E1691),"")</f>
        <v/>
      </c>
    </row>
    <row r="1693">
      <c r="A1693" t="n">
        <v>1693</v>
      </c>
      <c r="B1693">
        <f>IF(INDEX('Data Entry'!$H$5:$BE$10004,1693-4,'Visual SPC'!$B$3)="",0,IF(AND(OR('Visual SPC'!$C$4="",'Data Entry'!$C1693&gt;='Visual SPC'!$C$4),OR('Visual SPC'!$E$4="",'Data Entry'!$C1693&lt;='Visual SPC'!$E$4),OR('Visual SPC'!$G$4="",'Data Entry'!$D1693='Visual SPC'!$G$4),OR('Visual SPC'!$I$4="",'Data Entry'!$E1693='Visual SPC'!$I$4),OR('Visual SPC'!$K$4="",'Data Entry'!$F1693='Visual SPC'!$K$4)),1,0))</f>
        <v/>
      </c>
      <c r="C1693">
        <f>C1692+B1693</f>
        <v/>
      </c>
      <c r="D1693">
        <f>IF(B1693=1,INDEX('Data Entry'!$H$5:$BE$10004,1693-4,'Visual SPC'!$B$3),"")</f>
        <v/>
      </c>
      <c r="E1693">
        <f>IF(B1693=1,D1693,E1692)</f>
        <v/>
      </c>
      <c r="F1693">
        <f>IF(AND(B1693=1,C1693&gt;1,E1692&lt;&gt;""),ABS(D1693-E1692),"")</f>
        <v/>
      </c>
    </row>
    <row r="1694">
      <c r="A1694" t="n">
        <v>1694</v>
      </c>
      <c r="B1694">
        <f>IF(INDEX('Data Entry'!$H$5:$BE$10004,1694-4,'Visual SPC'!$B$3)="",0,IF(AND(OR('Visual SPC'!$C$4="",'Data Entry'!$C1694&gt;='Visual SPC'!$C$4),OR('Visual SPC'!$E$4="",'Data Entry'!$C1694&lt;='Visual SPC'!$E$4),OR('Visual SPC'!$G$4="",'Data Entry'!$D1694='Visual SPC'!$G$4),OR('Visual SPC'!$I$4="",'Data Entry'!$E1694='Visual SPC'!$I$4),OR('Visual SPC'!$K$4="",'Data Entry'!$F1694='Visual SPC'!$K$4)),1,0))</f>
        <v/>
      </c>
      <c r="C1694">
        <f>C1693+B1694</f>
        <v/>
      </c>
      <c r="D1694">
        <f>IF(B1694=1,INDEX('Data Entry'!$H$5:$BE$10004,1694-4,'Visual SPC'!$B$3),"")</f>
        <v/>
      </c>
      <c r="E1694">
        <f>IF(B1694=1,D1694,E1693)</f>
        <v/>
      </c>
      <c r="F1694">
        <f>IF(AND(B1694=1,C1694&gt;1,E1693&lt;&gt;""),ABS(D1694-E1693),"")</f>
        <v/>
      </c>
    </row>
    <row r="1695">
      <c r="A1695" t="n">
        <v>1695</v>
      </c>
      <c r="B1695">
        <f>IF(INDEX('Data Entry'!$H$5:$BE$10004,1695-4,'Visual SPC'!$B$3)="",0,IF(AND(OR('Visual SPC'!$C$4="",'Data Entry'!$C1695&gt;='Visual SPC'!$C$4),OR('Visual SPC'!$E$4="",'Data Entry'!$C1695&lt;='Visual SPC'!$E$4),OR('Visual SPC'!$G$4="",'Data Entry'!$D1695='Visual SPC'!$G$4),OR('Visual SPC'!$I$4="",'Data Entry'!$E1695='Visual SPC'!$I$4),OR('Visual SPC'!$K$4="",'Data Entry'!$F1695='Visual SPC'!$K$4)),1,0))</f>
        <v/>
      </c>
      <c r="C1695">
        <f>C1694+B1695</f>
        <v/>
      </c>
      <c r="D1695">
        <f>IF(B1695=1,INDEX('Data Entry'!$H$5:$BE$10004,1695-4,'Visual SPC'!$B$3),"")</f>
        <v/>
      </c>
      <c r="E1695">
        <f>IF(B1695=1,D1695,E1694)</f>
        <v/>
      </c>
      <c r="F1695">
        <f>IF(AND(B1695=1,C1695&gt;1,E1694&lt;&gt;""),ABS(D1695-E1694),"")</f>
        <v/>
      </c>
    </row>
    <row r="1696">
      <c r="A1696" t="n">
        <v>1696</v>
      </c>
      <c r="B1696">
        <f>IF(INDEX('Data Entry'!$H$5:$BE$10004,1696-4,'Visual SPC'!$B$3)="",0,IF(AND(OR('Visual SPC'!$C$4="",'Data Entry'!$C1696&gt;='Visual SPC'!$C$4),OR('Visual SPC'!$E$4="",'Data Entry'!$C1696&lt;='Visual SPC'!$E$4),OR('Visual SPC'!$G$4="",'Data Entry'!$D1696='Visual SPC'!$G$4),OR('Visual SPC'!$I$4="",'Data Entry'!$E1696='Visual SPC'!$I$4),OR('Visual SPC'!$K$4="",'Data Entry'!$F1696='Visual SPC'!$K$4)),1,0))</f>
        <v/>
      </c>
      <c r="C1696">
        <f>C1695+B1696</f>
        <v/>
      </c>
      <c r="D1696">
        <f>IF(B1696=1,INDEX('Data Entry'!$H$5:$BE$10004,1696-4,'Visual SPC'!$B$3),"")</f>
        <v/>
      </c>
      <c r="E1696">
        <f>IF(B1696=1,D1696,E1695)</f>
        <v/>
      </c>
      <c r="F1696">
        <f>IF(AND(B1696=1,C1696&gt;1,E1695&lt;&gt;""),ABS(D1696-E1695),"")</f>
        <v/>
      </c>
    </row>
    <row r="1697">
      <c r="A1697" t="n">
        <v>1697</v>
      </c>
      <c r="B1697">
        <f>IF(INDEX('Data Entry'!$H$5:$BE$10004,1697-4,'Visual SPC'!$B$3)="",0,IF(AND(OR('Visual SPC'!$C$4="",'Data Entry'!$C1697&gt;='Visual SPC'!$C$4),OR('Visual SPC'!$E$4="",'Data Entry'!$C1697&lt;='Visual SPC'!$E$4),OR('Visual SPC'!$G$4="",'Data Entry'!$D1697='Visual SPC'!$G$4),OR('Visual SPC'!$I$4="",'Data Entry'!$E1697='Visual SPC'!$I$4),OR('Visual SPC'!$K$4="",'Data Entry'!$F1697='Visual SPC'!$K$4)),1,0))</f>
        <v/>
      </c>
      <c r="C1697">
        <f>C1696+B1697</f>
        <v/>
      </c>
      <c r="D1697">
        <f>IF(B1697=1,INDEX('Data Entry'!$H$5:$BE$10004,1697-4,'Visual SPC'!$B$3),"")</f>
        <v/>
      </c>
      <c r="E1697">
        <f>IF(B1697=1,D1697,E1696)</f>
        <v/>
      </c>
      <c r="F1697">
        <f>IF(AND(B1697=1,C1697&gt;1,E1696&lt;&gt;""),ABS(D1697-E1696),"")</f>
        <v/>
      </c>
    </row>
    <row r="1698">
      <c r="A1698" t="n">
        <v>1698</v>
      </c>
      <c r="B1698">
        <f>IF(INDEX('Data Entry'!$H$5:$BE$10004,1698-4,'Visual SPC'!$B$3)="",0,IF(AND(OR('Visual SPC'!$C$4="",'Data Entry'!$C1698&gt;='Visual SPC'!$C$4),OR('Visual SPC'!$E$4="",'Data Entry'!$C1698&lt;='Visual SPC'!$E$4),OR('Visual SPC'!$G$4="",'Data Entry'!$D1698='Visual SPC'!$G$4),OR('Visual SPC'!$I$4="",'Data Entry'!$E1698='Visual SPC'!$I$4),OR('Visual SPC'!$K$4="",'Data Entry'!$F1698='Visual SPC'!$K$4)),1,0))</f>
        <v/>
      </c>
      <c r="C1698">
        <f>C1697+B1698</f>
        <v/>
      </c>
      <c r="D1698">
        <f>IF(B1698=1,INDEX('Data Entry'!$H$5:$BE$10004,1698-4,'Visual SPC'!$B$3),"")</f>
        <v/>
      </c>
      <c r="E1698">
        <f>IF(B1698=1,D1698,E1697)</f>
        <v/>
      </c>
      <c r="F1698">
        <f>IF(AND(B1698=1,C1698&gt;1,E1697&lt;&gt;""),ABS(D1698-E1697),"")</f>
        <v/>
      </c>
    </row>
    <row r="1699">
      <c r="A1699" t="n">
        <v>1699</v>
      </c>
      <c r="B1699">
        <f>IF(INDEX('Data Entry'!$H$5:$BE$10004,1699-4,'Visual SPC'!$B$3)="",0,IF(AND(OR('Visual SPC'!$C$4="",'Data Entry'!$C1699&gt;='Visual SPC'!$C$4),OR('Visual SPC'!$E$4="",'Data Entry'!$C1699&lt;='Visual SPC'!$E$4),OR('Visual SPC'!$G$4="",'Data Entry'!$D1699='Visual SPC'!$G$4),OR('Visual SPC'!$I$4="",'Data Entry'!$E1699='Visual SPC'!$I$4),OR('Visual SPC'!$K$4="",'Data Entry'!$F1699='Visual SPC'!$K$4)),1,0))</f>
        <v/>
      </c>
      <c r="C1699">
        <f>C1698+B1699</f>
        <v/>
      </c>
      <c r="D1699">
        <f>IF(B1699=1,INDEX('Data Entry'!$H$5:$BE$10004,1699-4,'Visual SPC'!$B$3),"")</f>
        <v/>
      </c>
      <c r="E1699">
        <f>IF(B1699=1,D1699,E1698)</f>
        <v/>
      </c>
      <c r="F1699">
        <f>IF(AND(B1699=1,C1699&gt;1,E1698&lt;&gt;""),ABS(D1699-E1698),"")</f>
        <v/>
      </c>
    </row>
    <row r="1700">
      <c r="A1700" t="n">
        <v>1700</v>
      </c>
      <c r="B1700">
        <f>IF(INDEX('Data Entry'!$H$5:$BE$10004,1700-4,'Visual SPC'!$B$3)="",0,IF(AND(OR('Visual SPC'!$C$4="",'Data Entry'!$C1700&gt;='Visual SPC'!$C$4),OR('Visual SPC'!$E$4="",'Data Entry'!$C1700&lt;='Visual SPC'!$E$4),OR('Visual SPC'!$G$4="",'Data Entry'!$D1700='Visual SPC'!$G$4),OR('Visual SPC'!$I$4="",'Data Entry'!$E1700='Visual SPC'!$I$4),OR('Visual SPC'!$K$4="",'Data Entry'!$F1700='Visual SPC'!$K$4)),1,0))</f>
        <v/>
      </c>
      <c r="C1700">
        <f>C1699+B1700</f>
        <v/>
      </c>
      <c r="D1700">
        <f>IF(B1700=1,INDEX('Data Entry'!$H$5:$BE$10004,1700-4,'Visual SPC'!$B$3),"")</f>
        <v/>
      </c>
      <c r="E1700">
        <f>IF(B1700=1,D1700,E1699)</f>
        <v/>
      </c>
      <c r="F1700">
        <f>IF(AND(B1700=1,C1700&gt;1,E1699&lt;&gt;""),ABS(D1700-E1699),"")</f>
        <v/>
      </c>
    </row>
    <row r="1701">
      <c r="A1701" t="n">
        <v>1701</v>
      </c>
      <c r="B1701">
        <f>IF(INDEX('Data Entry'!$H$5:$BE$10004,1701-4,'Visual SPC'!$B$3)="",0,IF(AND(OR('Visual SPC'!$C$4="",'Data Entry'!$C1701&gt;='Visual SPC'!$C$4),OR('Visual SPC'!$E$4="",'Data Entry'!$C1701&lt;='Visual SPC'!$E$4),OR('Visual SPC'!$G$4="",'Data Entry'!$D1701='Visual SPC'!$G$4),OR('Visual SPC'!$I$4="",'Data Entry'!$E1701='Visual SPC'!$I$4),OR('Visual SPC'!$K$4="",'Data Entry'!$F1701='Visual SPC'!$K$4)),1,0))</f>
        <v/>
      </c>
      <c r="C1701">
        <f>C1700+B1701</f>
        <v/>
      </c>
      <c r="D1701">
        <f>IF(B1701=1,INDEX('Data Entry'!$H$5:$BE$10004,1701-4,'Visual SPC'!$B$3),"")</f>
        <v/>
      </c>
      <c r="E1701">
        <f>IF(B1701=1,D1701,E1700)</f>
        <v/>
      </c>
      <c r="F1701">
        <f>IF(AND(B1701=1,C1701&gt;1,E1700&lt;&gt;""),ABS(D1701-E1700),"")</f>
        <v/>
      </c>
    </row>
    <row r="1702">
      <c r="A1702" t="n">
        <v>1702</v>
      </c>
      <c r="B1702">
        <f>IF(INDEX('Data Entry'!$H$5:$BE$10004,1702-4,'Visual SPC'!$B$3)="",0,IF(AND(OR('Visual SPC'!$C$4="",'Data Entry'!$C1702&gt;='Visual SPC'!$C$4),OR('Visual SPC'!$E$4="",'Data Entry'!$C1702&lt;='Visual SPC'!$E$4),OR('Visual SPC'!$G$4="",'Data Entry'!$D1702='Visual SPC'!$G$4),OR('Visual SPC'!$I$4="",'Data Entry'!$E1702='Visual SPC'!$I$4),OR('Visual SPC'!$K$4="",'Data Entry'!$F1702='Visual SPC'!$K$4)),1,0))</f>
        <v/>
      </c>
      <c r="C1702">
        <f>C1701+B1702</f>
        <v/>
      </c>
      <c r="D1702">
        <f>IF(B1702=1,INDEX('Data Entry'!$H$5:$BE$10004,1702-4,'Visual SPC'!$B$3),"")</f>
        <v/>
      </c>
      <c r="E1702">
        <f>IF(B1702=1,D1702,E1701)</f>
        <v/>
      </c>
      <c r="F1702">
        <f>IF(AND(B1702=1,C1702&gt;1,E1701&lt;&gt;""),ABS(D1702-E1701),"")</f>
        <v/>
      </c>
    </row>
    <row r="1703">
      <c r="A1703" t="n">
        <v>1703</v>
      </c>
      <c r="B1703">
        <f>IF(INDEX('Data Entry'!$H$5:$BE$10004,1703-4,'Visual SPC'!$B$3)="",0,IF(AND(OR('Visual SPC'!$C$4="",'Data Entry'!$C1703&gt;='Visual SPC'!$C$4),OR('Visual SPC'!$E$4="",'Data Entry'!$C1703&lt;='Visual SPC'!$E$4),OR('Visual SPC'!$G$4="",'Data Entry'!$D1703='Visual SPC'!$G$4),OR('Visual SPC'!$I$4="",'Data Entry'!$E1703='Visual SPC'!$I$4),OR('Visual SPC'!$K$4="",'Data Entry'!$F1703='Visual SPC'!$K$4)),1,0))</f>
        <v/>
      </c>
      <c r="C1703">
        <f>C1702+B1703</f>
        <v/>
      </c>
      <c r="D1703">
        <f>IF(B1703=1,INDEX('Data Entry'!$H$5:$BE$10004,1703-4,'Visual SPC'!$B$3),"")</f>
        <v/>
      </c>
      <c r="E1703">
        <f>IF(B1703=1,D1703,E1702)</f>
        <v/>
      </c>
      <c r="F1703">
        <f>IF(AND(B1703=1,C1703&gt;1,E1702&lt;&gt;""),ABS(D1703-E1702),"")</f>
        <v/>
      </c>
    </row>
    <row r="1704">
      <c r="A1704" t="n">
        <v>1704</v>
      </c>
      <c r="B1704">
        <f>IF(INDEX('Data Entry'!$H$5:$BE$10004,1704-4,'Visual SPC'!$B$3)="",0,IF(AND(OR('Visual SPC'!$C$4="",'Data Entry'!$C1704&gt;='Visual SPC'!$C$4),OR('Visual SPC'!$E$4="",'Data Entry'!$C1704&lt;='Visual SPC'!$E$4),OR('Visual SPC'!$G$4="",'Data Entry'!$D1704='Visual SPC'!$G$4),OR('Visual SPC'!$I$4="",'Data Entry'!$E1704='Visual SPC'!$I$4),OR('Visual SPC'!$K$4="",'Data Entry'!$F1704='Visual SPC'!$K$4)),1,0))</f>
        <v/>
      </c>
      <c r="C1704">
        <f>C1703+B1704</f>
        <v/>
      </c>
      <c r="D1704">
        <f>IF(B1704=1,INDEX('Data Entry'!$H$5:$BE$10004,1704-4,'Visual SPC'!$B$3),"")</f>
        <v/>
      </c>
      <c r="E1704">
        <f>IF(B1704=1,D1704,E1703)</f>
        <v/>
      </c>
      <c r="F1704">
        <f>IF(AND(B1704=1,C1704&gt;1,E1703&lt;&gt;""),ABS(D1704-E1703),"")</f>
        <v/>
      </c>
    </row>
    <row r="1705">
      <c r="A1705" t="n">
        <v>1705</v>
      </c>
      <c r="B1705">
        <f>IF(INDEX('Data Entry'!$H$5:$BE$10004,1705-4,'Visual SPC'!$B$3)="",0,IF(AND(OR('Visual SPC'!$C$4="",'Data Entry'!$C1705&gt;='Visual SPC'!$C$4),OR('Visual SPC'!$E$4="",'Data Entry'!$C1705&lt;='Visual SPC'!$E$4),OR('Visual SPC'!$G$4="",'Data Entry'!$D1705='Visual SPC'!$G$4),OR('Visual SPC'!$I$4="",'Data Entry'!$E1705='Visual SPC'!$I$4),OR('Visual SPC'!$K$4="",'Data Entry'!$F1705='Visual SPC'!$K$4)),1,0))</f>
        <v/>
      </c>
      <c r="C1705">
        <f>C1704+B1705</f>
        <v/>
      </c>
      <c r="D1705">
        <f>IF(B1705=1,INDEX('Data Entry'!$H$5:$BE$10004,1705-4,'Visual SPC'!$B$3),"")</f>
        <v/>
      </c>
      <c r="E1705">
        <f>IF(B1705=1,D1705,E1704)</f>
        <v/>
      </c>
      <c r="F1705">
        <f>IF(AND(B1705=1,C1705&gt;1,E1704&lt;&gt;""),ABS(D1705-E1704),"")</f>
        <v/>
      </c>
    </row>
    <row r="1706">
      <c r="A1706" t="n">
        <v>1706</v>
      </c>
      <c r="B1706">
        <f>IF(INDEX('Data Entry'!$H$5:$BE$10004,1706-4,'Visual SPC'!$B$3)="",0,IF(AND(OR('Visual SPC'!$C$4="",'Data Entry'!$C1706&gt;='Visual SPC'!$C$4),OR('Visual SPC'!$E$4="",'Data Entry'!$C1706&lt;='Visual SPC'!$E$4),OR('Visual SPC'!$G$4="",'Data Entry'!$D1706='Visual SPC'!$G$4),OR('Visual SPC'!$I$4="",'Data Entry'!$E1706='Visual SPC'!$I$4),OR('Visual SPC'!$K$4="",'Data Entry'!$F1706='Visual SPC'!$K$4)),1,0))</f>
        <v/>
      </c>
      <c r="C1706">
        <f>C1705+B1706</f>
        <v/>
      </c>
      <c r="D1706">
        <f>IF(B1706=1,INDEX('Data Entry'!$H$5:$BE$10004,1706-4,'Visual SPC'!$B$3),"")</f>
        <v/>
      </c>
      <c r="E1706">
        <f>IF(B1706=1,D1706,E1705)</f>
        <v/>
      </c>
      <c r="F1706">
        <f>IF(AND(B1706=1,C1706&gt;1,E1705&lt;&gt;""),ABS(D1706-E1705),"")</f>
        <v/>
      </c>
    </row>
    <row r="1707">
      <c r="A1707" t="n">
        <v>1707</v>
      </c>
      <c r="B1707">
        <f>IF(INDEX('Data Entry'!$H$5:$BE$10004,1707-4,'Visual SPC'!$B$3)="",0,IF(AND(OR('Visual SPC'!$C$4="",'Data Entry'!$C1707&gt;='Visual SPC'!$C$4),OR('Visual SPC'!$E$4="",'Data Entry'!$C1707&lt;='Visual SPC'!$E$4),OR('Visual SPC'!$G$4="",'Data Entry'!$D1707='Visual SPC'!$G$4),OR('Visual SPC'!$I$4="",'Data Entry'!$E1707='Visual SPC'!$I$4),OR('Visual SPC'!$K$4="",'Data Entry'!$F1707='Visual SPC'!$K$4)),1,0))</f>
        <v/>
      </c>
      <c r="C1707">
        <f>C1706+B1707</f>
        <v/>
      </c>
      <c r="D1707">
        <f>IF(B1707=1,INDEX('Data Entry'!$H$5:$BE$10004,1707-4,'Visual SPC'!$B$3),"")</f>
        <v/>
      </c>
      <c r="E1707">
        <f>IF(B1707=1,D1707,E1706)</f>
        <v/>
      </c>
      <c r="F1707">
        <f>IF(AND(B1707=1,C1707&gt;1,E1706&lt;&gt;""),ABS(D1707-E1706),"")</f>
        <v/>
      </c>
    </row>
    <row r="1708">
      <c r="A1708" t="n">
        <v>1708</v>
      </c>
      <c r="B1708">
        <f>IF(INDEX('Data Entry'!$H$5:$BE$10004,1708-4,'Visual SPC'!$B$3)="",0,IF(AND(OR('Visual SPC'!$C$4="",'Data Entry'!$C1708&gt;='Visual SPC'!$C$4),OR('Visual SPC'!$E$4="",'Data Entry'!$C1708&lt;='Visual SPC'!$E$4),OR('Visual SPC'!$G$4="",'Data Entry'!$D1708='Visual SPC'!$G$4),OR('Visual SPC'!$I$4="",'Data Entry'!$E1708='Visual SPC'!$I$4),OR('Visual SPC'!$K$4="",'Data Entry'!$F1708='Visual SPC'!$K$4)),1,0))</f>
        <v/>
      </c>
      <c r="C1708">
        <f>C1707+B1708</f>
        <v/>
      </c>
      <c r="D1708">
        <f>IF(B1708=1,INDEX('Data Entry'!$H$5:$BE$10004,1708-4,'Visual SPC'!$B$3),"")</f>
        <v/>
      </c>
      <c r="E1708">
        <f>IF(B1708=1,D1708,E1707)</f>
        <v/>
      </c>
      <c r="F1708">
        <f>IF(AND(B1708=1,C1708&gt;1,E1707&lt;&gt;""),ABS(D1708-E1707),"")</f>
        <v/>
      </c>
    </row>
    <row r="1709">
      <c r="A1709" t="n">
        <v>1709</v>
      </c>
      <c r="B1709">
        <f>IF(INDEX('Data Entry'!$H$5:$BE$10004,1709-4,'Visual SPC'!$B$3)="",0,IF(AND(OR('Visual SPC'!$C$4="",'Data Entry'!$C1709&gt;='Visual SPC'!$C$4),OR('Visual SPC'!$E$4="",'Data Entry'!$C1709&lt;='Visual SPC'!$E$4),OR('Visual SPC'!$G$4="",'Data Entry'!$D1709='Visual SPC'!$G$4),OR('Visual SPC'!$I$4="",'Data Entry'!$E1709='Visual SPC'!$I$4),OR('Visual SPC'!$K$4="",'Data Entry'!$F1709='Visual SPC'!$K$4)),1,0))</f>
        <v/>
      </c>
      <c r="C1709">
        <f>C1708+B1709</f>
        <v/>
      </c>
      <c r="D1709">
        <f>IF(B1709=1,INDEX('Data Entry'!$H$5:$BE$10004,1709-4,'Visual SPC'!$B$3),"")</f>
        <v/>
      </c>
      <c r="E1709">
        <f>IF(B1709=1,D1709,E1708)</f>
        <v/>
      </c>
      <c r="F1709">
        <f>IF(AND(B1709=1,C1709&gt;1,E1708&lt;&gt;""),ABS(D1709-E1708),"")</f>
        <v/>
      </c>
    </row>
    <row r="1710">
      <c r="A1710" t="n">
        <v>1710</v>
      </c>
      <c r="B1710">
        <f>IF(INDEX('Data Entry'!$H$5:$BE$10004,1710-4,'Visual SPC'!$B$3)="",0,IF(AND(OR('Visual SPC'!$C$4="",'Data Entry'!$C1710&gt;='Visual SPC'!$C$4),OR('Visual SPC'!$E$4="",'Data Entry'!$C1710&lt;='Visual SPC'!$E$4),OR('Visual SPC'!$G$4="",'Data Entry'!$D1710='Visual SPC'!$G$4),OR('Visual SPC'!$I$4="",'Data Entry'!$E1710='Visual SPC'!$I$4),OR('Visual SPC'!$K$4="",'Data Entry'!$F1710='Visual SPC'!$K$4)),1,0))</f>
        <v/>
      </c>
      <c r="C1710">
        <f>C1709+B1710</f>
        <v/>
      </c>
      <c r="D1710">
        <f>IF(B1710=1,INDEX('Data Entry'!$H$5:$BE$10004,1710-4,'Visual SPC'!$B$3),"")</f>
        <v/>
      </c>
      <c r="E1710">
        <f>IF(B1710=1,D1710,E1709)</f>
        <v/>
      </c>
      <c r="F1710">
        <f>IF(AND(B1710=1,C1710&gt;1,E1709&lt;&gt;""),ABS(D1710-E1709),"")</f>
        <v/>
      </c>
    </row>
    <row r="1711">
      <c r="A1711" t="n">
        <v>1711</v>
      </c>
      <c r="B1711">
        <f>IF(INDEX('Data Entry'!$H$5:$BE$10004,1711-4,'Visual SPC'!$B$3)="",0,IF(AND(OR('Visual SPC'!$C$4="",'Data Entry'!$C1711&gt;='Visual SPC'!$C$4),OR('Visual SPC'!$E$4="",'Data Entry'!$C1711&lt;='Visual SPC'!$E$4),OR('Visual SPC'!$G$4="",'Data Entry'!$D1711='Visual SPC'!$G$4),OR('Visual SPC'!$I$4="",'Data Entry'!$E1711='Visual SPC'!$I$4),OR('Visual SPC'!$K$4="",'Data Entry'!$F1711='Visual SPC'!$K$4)),1,0))</f>
        <v/>
      </c>
      <c r="C1711">
        <f>C1710+B1711</f>
        <v/>
      </c>
      <c r="D1711">
        <f>IF(B1711=1,INDEX('Data Entry'!$H$5:$BE$10004,1711-4,'Visual SPC'!$B$3),"")</f>
        <v/>
      </c>
      <c r="E1711">
        <f>IF(B1711=1,D1711,E1710)</f>
        <v/>
      </c>
      <c r="F1711">
        <f>IF(AND(B1711=1,C1711&gt;1,E1710&lt;&gt;""),ABS(D1711-E1710),"")</f>
        <v/>
      </c>
    </row>
    <row r="1712">
      <c r="A1712" t="n">
        <v>1712</v>
      </c>
      <c r="B1712">
        <f>IF(INDEX('Data Entry'!$H$5:$BE$10004,1712-4,'Visual SPC'!$B$3)="",0,IF(AND(OR('Visual SPC'!$C$4="",'Data Entry'!$C1712&gt;='Visual SPC'!$C$4),OR('Visual SPC'!$E$4="",'Data Entry'!$C1712&lt;='Visual SPC'!$E$4),OR('Visual SPC'!$G$4="",'Data Entry'!$D1712='Visual SPC'!$G$4),OR('Visual SPC'!$I$4="",'Data Entry'!$E1712='Visual SPC'!$I$4),OR('Visual SPC'!$K$4="",'Data Entry'!$F1712='Visual SPC'!$K$4)),1,0))</f>
        <v/>
      </c>
      <c r="C1712">
        <f>C1711+B1712</f>
        <v/>
      </c>
      <c r="D1712">
        <f>IF(B1712=1,INDEX('Data Entry'!$H$5:$BE$10004,1712-4,'Visual SPC'!$B$3),"")</f>
        <v/>
      </c>
      <c r="E1712">
        <f>IF(B1712=1,D1712,E1711)</f>
        <v/>
      </c>
      <c r="F1712">
        <f>IF(AND(B1712=1,C1712&gt;1,E1711&lt;&gt;""),ABS(D1712-E1711),"")</f>
        <v/>
      </c>
    </row>
    <row r="1713">
      <c r="A1713" t="n">
        <v>1713</v>
      </c>
      <c r="B1713">
        <f>IF(INDEX('Data Entry'!$H$5:$BE$10004,1713-4,'Visual SPC'!$B$3)="",0,IF(AND(OR('Visual SPC'!$C$4="",'Data Entry'!$C1713&gt;='Visual SPC'!$C$4),OR('Visual SPC'!$E$4="",'Data Entry'!$C1713&lt;='Visual SPC'!$E$4),OR('Visual SPC'!$G$4="",'Data Entry'!$D1713='Visual SPC'!$G$4),OR('Visual SPC'!$I$4="",'Data Entry'!$E1713='Visual SPC'!$I$4),OR('Visual SPC'!$K$4="",'Data Entry'!$F1713='Visual SPC'!$K$4)),1,0))</f>
        <v/>
      </c>
      <c r="C1713">
        <f>C1712+B1713</f>
        <v/>
      </c>
      <c r="D1713">
        <f>IF(B1713=1,INDEX('Data Entry'!$H$5:$BE$10004,1713-4,'Visual SPC'!$B$3),"")</f>
        <v/>
      </c>
      <c r="E1713">
        <f>IF(B1713=1,D1713,E1712)</f>
        <v/>
      </c>
      <c r="F1713">
        <f>IF(AND(B1713=1,C1713&gt;1,E1712&lt;&gt;""),ABS(D1713-E1712),"")</f>
        <v/>
      </c>
    </row>
    <row r="1714">
      <c r="A1714" t="n">
        <v>1714</v>
      </c>
      <c r="B1714">
        <f>IF(INDEX('Data Entry'!$H$5:$BE$10004,1714-4,'Visual SPC'!$B$3)="",0,IF(AND(OR('Visual SPC'!$C$4="",'Data Entry'!$C1714&gt;='Visual SPC'!$C$4),OR('Visual SPC'!$E$4="",'Data Entry'!$C1714&lt;='Visual SPC'!$E$4),OR('Visual SPC'!$G$4="",'Data Entry'!$D1714='Visual SPC'!$G$4),OR('Visual SPC'!$I$4="",'Data Entry'!$E1714='Visual SPC'!$I$4),OR('Visual SPC'!$K$4="",'Data Entry'!$F1714='Visual SPC'!$K$4)),1,0))</f>
        <v/>
      </c>
      <c r="C1714">
        <f>C1713+B1714</f>
        <v/>
      </c>
      <c r="D1714">
        <f>IF(B1714=1,INDEX('Data Entry'!$H$5:$BE$10004,1714-4,'Visual SPC'!$B$3),"")</f>
        <v/>
      </c>
      <c r="E1714">
        <f>IF(B1714=1,D1714,E1713)</f>
        <v/>
      </c>
      <c r="F1714">
        <f>IF(AND(B1714=1,C1714&gt;1,E1713&lt;&gt;""),ABS(D1714-E1713),"")</f>
        <v/>
      </c>
    </row>
    <row r="1715">
      <c r="A1715" t="n">
        <v>1715</v>
      </c>
      <c r="B1715">
        <f>IF(INDEX('Data Entry'!$H$5:$BE$10004,1715-4,'Visual SPC'!$B$3)="",0,IF(AND(OR('Visual SPC'!$C$4="",'Data Entry'!$C1715&gt;='Visual SPC'!$C$4),OR('Visual SPC'!$E$4="",'Data Entry'!$C1715&lt;='Visual SPC'!$E$4),OR('Visual SPC'!$G$4="",'Data Entry'!$D1715='Visual SPC'!$G$4),OR('Visual SPC'!$I$4="",'Data Entry'!$E1715='Visual SPC'!$I$4),OR('Visual SPC'!$K$4="",'Data Entry'!$F1715='Visual SPC'!$K$4)),1,0))</f>
        <v/>
      </c>
      <c r="C1715">
        <f>C1714+B1715</f>
        <v/>
      </c>
      <c r="D1715">
        <f>IF(B1715=1,INDEX('Data Entry'!$H$5:$BE$10004,1715-4,'Visual SPC'!$B$3),"")</f>
        <v/>
      </c>
      <c r="E1715">
        <f>IF(B1715=1,D1715,E1714)</f>
        <v/>
      </c>
      <c r="F1715">
        <f>IF(AND(B1715=1,C1715&gt;1,E1714&lt;&gt;""),ABS(D1715-E1714),"")</f>
        <v/>
      </c>
    </row>
    <row r="1716">
      <c r="A1716" t="n">
        <v>1716</v>
      </c>
      <c r="B1716">
        <f>IF(INDEX('Data Entry'!$H$5:$BE$10004,1716-4,'Visual SPC'!$B$3)="",0,IF(AND(OR('Visual SPC'!$C$4="",'Data Entry'!$C1716&gt;='Visual SPC'!$C$4),OR('Visual SPC'!$E$4="",'Data Entry'!$C1716&lt;='Visual SPC'!$E$4),OR('Visual SPC'!$G$4="",'Data Entry'!$D1716='Visual SPC'!$G$4),OR('Visual SPC'!$I$4="",'Data Entry'!$E1716='Visual SPC'!$I$4),OR('Visual SPC'!$K$4="",'Data Entry'!$F1716='Visual SPC'!$K$4)),1,0))</f>
        <v/>
      </c>
      <c r="C1716">
        <f>C1715+B1716</f>
        <v/>
      </c>
      <c r="D1716">
        <f>IF(B1716=1,INDEX('Data Entry'!$H$5:$BE$10004,1716-4,'Visual SPC'!$B$3),"")</f>
        <v/>
      </c>
      <c r="E1716">
        <f>IF(B1716=1,D1716,E1715)</f>
        <v/>
      </c>
      <c r="F1716">
        <f>IF(AND(B1716=1,C1716&gt;1,E1715&lt;&gt;""),ABS(D1716-E1715),"")</f>
        <v/>
      </c>
    </row>
    <row r="1717">
      <c r="A1717" t="n">
        <v>1717</v>
      </c>
      <c r="B1717">
        <f>IF(INDEX('Data Entry'!$H$5:$BE$10004,1717-4,'Visual SPC'!$B$3)="",0,IF(AND(OR('Visual SPC'!$C$4="",'Data Entry'!$C1717&gt;='Visual SPC'!$C$4),OR('Visual SPC'!$E$4="",'Data Entry'!$C1717&lt;='Visual SPC'!$E$4),OR('Visual SPC'!$G$4="",'Data Entry'!$D1717='Visual SPC'!$G$4),OR('Visual SPC'!$I$4="",'Data Entry'!$E1717='Visual SPC'!$I$4),OR('Visual SPC'!$K$4="",'Data Entry'!$F1717='Visual SPC'!$K$4)),1,0))</f>
        <v/>
      </c>
      <c r="C1717">
        <f>C1716+B1717</f>
        <v/>
      </c>
      <c r="D1717">
        <f>IF(B1717=1,INDEX('Data Entry'!$H$5:$BE$10004,1717-4,'Visual SPC'!$B$3),"")</f>
        <v/>
      </c>
      <c r="E1717">
        <f>IF(B1717=1,D1717,E1716)</f>
        <v/>
      </c>
      <c r="F1717">
        <f>IF(AND(B1717=1,C1717&gt;1,E1716&lt;&gt;""),ABS(D1717-E1716),"")</f>
        <v/>
      </c>
    </row>
    <row r="1718">
      <c r="A1718" t="n">
        <v>1718</v>
      </c>
      <c r="B1718">
        <f>IF(INDEX('Data Entry'!$H$5:$BE$10004,1718-4,'Visual SPC'!$B$3)="",0,IF(AND(OR('Visual SPC'!$C$4="",'Data Entry'!$C1718&gt;='Visual SPC'!$C$4),OR('Visual SPC'!$E$4="",'Data Entry'!$C1718&lt;='Visual SPC'!$E$4),OR('Visual SPC'!$G$4="",'Data Entry'!$D1718='Visual SPC'!$G$4),OR('Visual SPC'!$I$4="",'Data Entry'!$E1718='Visual SPC'!$I$4),OR('Visual SPC'!$K$4="",'Data Entry'!$F1718='Visual SPC'!$K$4)),1,0))</f>
        <v/>
      </c>
      <c r="C1718">
        <f>C1717+B1718</f>
        <v/>
      </c>
      <c r="D1718">
        <f>IF(B1718=1,INDEX('Data Entry'!$H$5:$BE$10004,1718-4,'Visual SPC'!$B$3),"")</f>
        <v/>
      </c>
      <c r="E1718">
        <f>IF(B1718=1,D1718,E1717)</f>
        <v/>
      </c>
      <c r="F1718">
        <f>IF(AND(B1718=1,C1718&gt;1,E1717&lt;&gt;""),ABS(D1718-E1717),"")</f>
        <v/>
      </c>
    </row>
    <row r="1719">
      <c r="A1719" t="n">
        <v>1719</v>
      </c>
      <c r="B1719">
        <f>IF(INDEX('Data Entry'!$H$5:$BE$10004,1719-4,'Visual SPC'!$B$3)="",0,IF(AND(OR('Visual SPC'!$C$4="",'Data Entry'!$C1719&gt;='Visual SPC'!$C$4),OR('Visual SPC'!$E$4="",'Data Entry'!$C1719&lt;='Visual SPC'!$E$4),OR('Visual SPC'!$G$4="",'Data Entry'!$D1719='Visual SPC'!$G$4),OR('Visual SPC'!$I$4="",'Data Entry'!$E1719='Visual SPC'!$I$4),OR('Visual SPC'!$K$4="",'Data Entry'!$F1719='Visual SPC'!$K$4)),1,0))</f>
        <v/>
      </c>
      <c r="C1719">
        <f>C1718+B1719</f>
        <v/>
      </c>
      <c r="D1719">
        <f>IF(B1719=1,INDEX('Data Entry'!$H$5:$BE$10004,1719-4,'Visual SPC'!$B$3),"")</f>
        <v/>
      </c>
      <c r="E1719">
        <f>IF(B1719=1,D1719,E1718)</f>
        <v/>
      </c>
      <c r="F1719">
        <f>IF(AND(B1719=1,C1719&gt;1,E1718&lt;&gt;""),ABS(D1719-E1718),"")</f>
        <v/>
      </c>
    </row>
    <row r="1720">
      <c r="A1720" t="n">
        <v>1720</v>
      </c>
      <c r="B1720">
        <f>IF(INDEX('Data Entry'!$H$5:$BE$10004,1720-4,'Visual SPC'!$B$3)="",0,IF(AND(OR('Visual SPC'!$C$4="",'Data Entry'!$C1720&gt;='Visual SPC'!$C$4),OR('Visual SPC'!$E$4="",'Data Entry'!$C1720&lt;='Visual SPC'!$E$4),OR('Visual SPC'!$G$4="",'Data Entry'!$D1720='Visual SPC'!$G$4),OR('Visual SPC'!$I$4="",'Data Entry'!$E1720='Visual SPC'!$I$4),OR('Visual SPC'!$K$4="",'Data Entry'!$F1720='Visual SPC'!$K$4)),1,0))</f>
        <v/>
      </c>
      <c r="C1720">
        <f>C1719+B1720</f>
        <v/>
      </c>
      <c r="D1720">
        <f>IF(B1720=1,INDEX('Data Entry'!$H$5:$BE$10004,1720-4,'Visual SPC'!$B$3),"")</f>
        <v/>
      </c>
      <c r="E1720">
        <f>IF(B1720=1,D1720,E1719)</f>
        <v/>
      </c>
      <c r="F1720">
        <f>IF(AND(B1720=1,C1720&gt;1,E1719&lt;&gt;""),ABS(D1720-E1719),"")</f>
        <v/>
      </c>
    </row>
    <row r="1721">
      <c r="A1721" t="n">
        <v>1721</v>
      </c>
      <c r="B1721">
        <f>IF(INDEX('Data Entry'!$H$5:$BE$10004,1721-4,'Visual SPC'!$B$3)="",0,IF(AND(OR('Visual SPC'!$C$4="",'Data Entry'!$C1721&gt;='Visual SPC'!$C$4),OR('Visual SPC'!$E$4="",'Data Entry'!$C1721&lt;='Visual SPC'!$E$4),OR('Visual SPC'!$G$4="",'Data Entry'!$D1721='Visual SPC'!$G$4),OR('Visual SPC'!$I$4="",'Data Entry'!$E1721='Visual SPC'!$I$4),OR('Visual SPC'!$K$4="",'Data Entry'!$F1721='Visual SPC'!$K$4)),1,0))</f>
        <v/>
      </c>
      <c r="C1721">
        <f>C1720+B1721</f>
        <v/>
      </c>
      <c r="D1721">
        <f>IF(B1721=1,INDEX('Data Entry'!$H$5:$BE$10004,1721-4,'Visual SPC'!$B$3),"")</f>
        <v/>
      </c>
      <c r="E1721">
        <f>IF(B1721=1,D1721,E1720)</f>
        <v/>
      </c>
      <c r="F1721">
        <f>IF(AND(B1721=1,C1721&gt;1,E1720&lt;&gt;""),ABS(D1721-E1720),"")</f>
        <v/>
      </c>
    </row>
    <row r="1722">
      <c r="A1722" t="n">
        <v>1722</v>
      </c>
      <c r="B1722">
        <f>IF(INDEX('Data Entry'!$H$5:$BE$10004,1722-4,'Visual SPC'!$B$3)="",0,IF(AND(OR('Visual SPC'!$C$4="",'Data Entry'!$C1722&gt;='Visual SPC'!$C$4),OR('Visual SPC'!$E$4="",'Data Entry'!$C1722&lt;='Visual SPC'!$E$4),OR('Visual SPC'!$G$4="",'Data Entry'!$D1722='Visual SPC'!$G$4),OR('Visual SPC'!$I$4="",'Data Entry'!$E1722='Visual SPC'!$I$4),OR('Visual SPC'!$K$4="",'Data Entry'!$F1722='Visual SPC'!$K$4)),1,0))</f>
        <v/>
      </c>
      <c r="C1722">
        <f>C1721+B1722</f>
        <v/>
      </c>
      <c r="D1722">
        <f>IF(B1722=1,INDEX('Data Entry'!$H$5:$BE$10004,1722-4,'Visual SPC'!$B$3),"")</f>
        <v/>
      </c>
      <c r="E1722">
        <f>IF(B1722=1,D1722,E1721)</f>
        <v/>
      </c>
      <c r="F1722">
        <f>IF(AND(B1722=1,C1722&gt;1,E1721&lt;&gt;""),ABS(D1722-E1721),"")</f>
        <v/>
      </c>
    </row>
    <row r="1723">
      <c r="A1723" t="n">
        <v>1723</v>
      </c>
      <c r="B1723">
        <f>IF(INDEX('Data Entry'!$H$5:$BE$10004,1723-4,'Visual SPC'!$B$3)="",0,IF(AND(OR('Visual SPC'!$C$4="",'Data Entry'!$C1723&gt;='Visual SPC'!$C$4),OR('Visual SPC'!$E$4="",'Data Entry'!$C1723&lt;='Visual SPC'!$E$4),OR('Visual SPC'!$G$4="",'Data Entry'!$D1723='Visual SPC'!$G$4),OR('Visual SPC'!$I$4="",'Data Entry'!$E1723='Visual SPC'!$I$4),OR('Visual SPC'!$K$4="",'Data Entry'!$F1723='Visual SPC'!$K$4)),1,0))</f>
        <v/>
      </c>
      <c r="C1723">
        <f>C1722+B1723</f>
        <v/>
      </c>
      <c r="D1723">
        <f>IF(B1723=1,INDEX('Data Entry'!$H$5:$BE$10004,1723-4,'Visual SPC'!$B$3),"")</f>
        <v/>
      </c>
      <c r="E1723">
        <f>IF(B1723=1,D1723,E1722)</f>
        <v/>
      </c>
      <c r="F1723">
        <f>IF(AND(B1723=1,C1723&gt;1,E1722&lt;&gt;""),ABS(D1723-E1722),"")</f>
        <v/>
      </c>
    </row>
    <row r="1724">
      <c r="A1724" t="n">
        <v>1724</v>
      </c>
      <c r="B1724">
        <f>IF(INDEX('Data Entry'!$H$5:$BE$10004,1724-4,'Visual SPC'!$B$3)="",0,IF(AND(OR('Visual SPC'!$C$4="",'Data Entry'!$C1724&gt;='Visual SPC'!$C$4),OR('Visual SPC'!$E$4="",'Data Entry'!$C1724&lt;='Visual SPC'!$E$4),OR('Visual SPC'!$G$4="",'Data Entry'!$D1724='Visual SPC'!$G$4),OR('Visual SPC'!$I$4="",'Data Entry'!$E1724='Visual SPC'!$I$4),OR('Visual SPC'!$K$4="",'Data Entry'!$F1724='Visual SPC'!$K$4)),1,0))</f>
        <v/>
      </c>
      <c r="C1724">
        <f>C1723+B1724</f>
        <v/>
      </c>
      <c r="D1724">
        <f>IF(B1724=1,INDEX('Data Entry'!$H$5:$BE$10004,1724-4,'Visual SPC'!$B$3),"")</f>
        <v/>
      </c>
      <c r="E1724">
        <f>IF(B1724=1,D1724,E1723)</f>
        <v/>
      </c>
      <c r="F1724">
        <f>IF(AND(B1724=1,C1724&gt;1,E1723&lt;&gt;""),ABS(D1724-E1723),"")</f>
        <v/>
      </c>
    </row>
    <row r="1725">
      <c r="A1725" t="n">
        <v>1725</v>
      </c>
      <c r="B1725">
        <f>IF(INDEX('Data Entry'!$H$5:$BE$10004,1725-4,'Visual SPC'!$B$3)="",0,IF(AND(OR('Visual SPC'!$C$4="",'Data Entry'!$C1725&gt;='Visual SPC'!$C$4),OR('Visual SPC'!$E$4="",'Data Entry'!$C1725&lt;='Visual SPC'!$E$4),OR('Visual SPC'!$G$4="",'Data Entry'!$D1725='Visual SPC'!$G$4),OR('Visual SPC'!$I$4="",'Data Entry'!$E1725='Visual SPC'!$I$4),OR('Visual SPC'!$K$4="",'Data Entry'!$F1725='Visual SPC'!$K$4)),1,0))</f>
        <v/>
      </c>
      <c r="C1725">
        <f>C1724+B1725</f>
        <v/>
      </c>
      <c r="D1725">
        <f>IF(B1725=1,INDEX('Data Entry'!$H$5:$BE$10004,1725-4,'Visual SPC'!$B$3),"")</f>
        <v/>
      </c>
      <c r="E1725">
        <f>IF(B1725=1,D1725,E1724)</f>
        <v/>
      </c>
      <c r="F1725">
        <f>IF(AND(B1725=1,C1725&gt;1,E1724&lt;&gt;""),ABS(D1725-E1724),"")</f>
        <v/>
      </c>
    </row>
    <row r="1726">
      <c r="A1726" t="n">
        <v>1726</v>
      </c>
      <c r="B1726">
        <f>IF(INDEX('Data Entry'!$H$5:$BE$10004,1726-4,'Visual SPC'!$B$3)="",0,IF(AND(OR('Visual SPC'!$C$4="",'Data Entry'!$C1726&gt;='Visual SPC'!$C$4),OR('Visual SPC'!$E$4="",'Data Entry'!$C1726&lt;='Visual SPC'!$E$4),OR('Visual SPC'!$G$4="",'Data Entry'!$D1726='Visual SPC'!$G$4),OR('Visual SPC'!$I$4="",'Data Entry'!$E1726='Visual SPC'!$I$4),OR('Visual SPC'!$K$4="",'Data Entry'!$F1726='Visual SPC'!$K$4)),1,0))</f>
        <v/>
      </c>
      <c r="C1726">
        <f>C1725+B1726</f>
        <v/>
      </c>
      <c r="D1726">
        <f>IF(B1726=1,INDEX('Data Entry'!$H$5:$BE$10004,1726-4,'Visual SPC'!$B$3),"")</f>
        <v/>
      </c>
      <c r="E1726">
        <f>IF(B1726=1,D1726,E1725)</f>
        <v/>
      </c>
      <c r="F1726">
        <f>IF(AND(B1726=1,C1726&gt;1,E1725&lt;&gt;""),ABS(D1726-E1725),"")</f>
        <v/>
      </c>
    </row>
    <row r="1727">
      <c r="A1727" t="n">
        <v>1727</v>
      </c>
      <c r="B1727">
        <f>IF(INDEX('Data Entry'!$H$5:$BE$10004,1727-4,'Visual SPC'!$B$3)="",0,IF(AND(OR('Visual SPC'!$C$4="",'Data Entry'!$C1727&gt;='Visual SPC'!$C$4),OR('Visual SPC'!$E$4="",'Data Entry'!$C1727&lt;='Visual SPC'!$E$4),OR('Visual SPC'!$G$4="",'Data Entry'!$D1727='Visual SPC'!$G$4),OR('Visual SPC'!$I$4="",'Data Entry'!$E1727='Visual SPC'!$I$4),OR('Visual SPC'!$K$4="",'Data Entry'!$F1727='Visual SPC'!$K$4)),1,0))</f>
        <v/>
      </c>
      <c r="C1727">
        <f>C1726+B1727</f>
        <v/>
      </c>
      <c r="D1727">
        <f>IF(B1727=1,INDEX('Data Entry'!$H$5:$BE$10004,1727-4,'Visual SPC'!$B$3),"")</f>
        <v/>
      </c>
      <c r="E1727">
        <f>IF(B1727=1,D1727,E1726)</f>
        <v/>
      </c>
      <c r="F1727">
        <f>IF(AND(B1727=1,C1727&gt;1,E1726&lt;&gt;""),ABS(D1727-E1726),"")</f>
        <v/>
      </c>
    </row>
    <row r="1728">
      <c r="A1728" t="n">
        <v>1728</v>
      </c>
      <c r="B1728">
        <f>IF(INDEX('Data Entry'!$H$5:$BE$10004,1728-4,'Visual SPC'!$B$3)="",0,IF(AND(OR('Visual SPC'!$C$4="",'Data Entry'!$C1728&gt;='Visual SPC'!$C$4),OR('Visual SPC'!$E$4="",'Data Entry'!$C1728&lt;='Visual SPC'!$E$4),OR('Visual SPC'!$G$4="",'Data Entry'!$D1728='Visual SPC'!$G$4),OR('Visual SPC'!$I$4="",'Data Entry'!$E1728='Visual SPC'!$I$4),OR('Visual SPC'!$K$4="",'Data Entry'!$F1728='Visual SPC'!$K$4)),1,0))</f>
        <v/>
      </c>
      <c r="C1728">
        <f>C1727+B1728</f>
        <v/>
      </c>
      <c r="D1728">
        <f>IF(B1728=1,INDEX('Data Entry'!$H$5:$BE$10004,1728-4,'Visual SPC'!$B$3),"")</f>
        <v/>
      </c>
      <c r="E1728">
        <f>IF(B1728=1,D1728,E1727)</f>
        <v/>
      </c>
      <c r="F1728">
        <f>IF(AND(B1728=1,C1728&gt;1,E1727&lt;&gt;""),ABS(D1728-E1727),"")</f>
        <v/>
      </c>
    </row>
    <row r="1729">
      <c r="A1729" t="n">
        <v>1729</v>
      </c>
      <c r="B1729">
        <f>IF(INDEX('Data Entry'!$H$5:$BE$10004,1729-4,'Visual SPC'!$B$3)="",0,IF(AND(OR('Visual SPC'!$C$4="",'Data Entry'!$C1729&gt;='Visual SPC'!$C$4),OR('Visual SPC'!$E$4="",'Data Entry'!$C1729&lt;='Visual SPC'!$E$4),OR('Visual SPC'!$G$4="",'Data Entry'!$D1729='Visual SPC'!$G$4),OR('Visual SPC'!$I$4="",'Data Entry'!$E1729='Visual SPC'!$I$4),OR('Visual SPC'!$K$4="",'Data Entry'!$F1729='Visual SPC'!$K$4)),1,0))</f>
        <v/>
      </c>
      <c r="C1729">
        <f>C1728+B1729</f>
        <v/>
      </c>
      <c r="D1729">
        <f>IF(B1729=1,INDEX('Data Entry'!$H$5:$BE$10004,1729-4,'Visual SPC'!$B$3),"")</f>
        <v/>
      </c>
      <c r="E1729">
        <f>IF(B1729=1,D1729,E1728)</f>
        <v/>
      </c>
      <c r="F1729">
        <f>IF(AND(B1729=1,C1729&gt;1,E1728&lt;&gt;""),ABS(D1729-E1728),"")</f>
        <v/>
      </c>
    </row>
    <row r="1730">
      <c r="A1730" t="n">
        <v>1730</v>
      </c>
      <c r="B1730">
        <f>IF(INDEX('Data Entry'!$H$5:$BE$10004,1730-4,'Visual SPC'!$B$3)="",0,IF(AND(OR('Visual SPC'!$C$4="",'Data Entry'!$C1730&gt;='Visual SPC'!$C$4),OR('Visual SPC'!$E$4="",'Data Entry'!$C1730&lt;='Visual SPC'!$E$4),OR('Visual SPC'!$G$4="",'Data Entry'!$D1730='Visual SPC'!$G$4),OR('Visual SPC'!$I$4="",'Data Entry'!$E1730='Visual SPC'!$I$4),OR('Visual SPC'!$K$4="",'Data Entry'!$F1730='Visual SPC'!$K$4)),1,0))</f>
        <v/>
      </c>
      <c r="C1730">
        <f>C1729+B1730</f>
        <v/>
      </c>
      <c r="D1730">
        <f>IF(B1730=1,INDEX('Data Entry'!$H$5:$BE$10004,1730-4,'Visual SPC'!$B$3),"")</f>
        <v/>
      </c>
      <c r="E1730">
        <f>IF(B1730=1,D1730,E1729)</f>
        <v/>
      </c>
      <c r="F1730">
        <f>IF(AND(B1730=1,C1730&gt;1,E1729&lt;&gt;""),ABS(D1730-E1729),"")</f>
        <v/>
      </c>
    </row>
    <row r="1731">
      <c r="A1731" t="n">
        <v>1731</v>
      </c>
      <c r="B1731">
        <f>IF(INDEX('Data Entry'!$H$5:$BE$10004,1731-4,'Visual SPC'!$B$3)="",0,IF(AND(OR('Visual SPC'!$C$4="",'Data Entry'!$C1731&gt;='Visual SPC'!$C$4),OR('Visual SPC'!$E$4="",'Data Entry'!$C1731&lt;='Visual SPC'!$E$4),OR('Visual SPC'!$G$4="",'Data Entry'!$D1731='Visual SPC'!$G$4),OR('Visual SPC'!$I$4="",'Data Entry'!$E1731='Visual SPC'!$I$4),OR('Visual SPC'!$K$4="",'Data Entry'!$F1731='Visual SPC'!$K$4)),1,0))</f>
        <v/>
      </c>
      <c r="C1731">
        <f>C1730+B1731</f>
        <v/>
      </c>
      <c r="D1731">
        <f>IF(B1731=1,INDEX('Data Entry'!$H$5:$BE$10004,1731-4,'Visual SPC'!$B$3),"")</f>
        <v/>
      </c>
      <c r="E1731">
        <f>IF(B1731=1,D1731,E1730)</f>
        <v/>
      </c>
      <c r="F1731">
        <f>IF(AND(B1731=1,C1731&gt;1,E1730&lt;&gt;""),ABS(D1731-E1730),"")</f>
        <v/>
      </c>
    </row>
    <row r="1732">
      <c r="A1732" t="n">
        <v>1732</v>
      </c>
      <c r="B1732">
        <f>IF(INDEX('Data Entry'!$H$5:$BE$10004,1732-4,'Visual SPC'!$B$3)="",0,IF(AND(OR('Visual SPC'!$C$4="",'Data Entry'!$C1732&gt;='Visual SPC'!$C$4),OR('Visual SPC'!$E$4="",'Data Entry'!$C1732&lt;='Visual SPC'!$E$4),OR('Visual SPC'!$G$4="",'Data Entry'!$D1732='Visual SPC'!$G$4),OR('Visual SPC'!$I$4="",'Data Entry'!$E1732='Visual SPC'!$I$4),OR('Visual SPC'!$K$4="",'Data Entry'!$F1732='Visual SPC'!$K$4)),1,0))</f>
        <v/>
      </c>
      <c r="C1732">
        <f>C1731+B1732</f>
        <v/>
      </c>
      <c r="D1732">
        <f>IF(B1732=1,INDEX('Data Entry'!$H$5:$BE$10004,1732-4,'Visual SPC'!$B$3),"")</f>
        <v/>
      </c>
      <c r="E1732">
        <f>IF(B1732=1,D1732,E1731)</f>
        <v/>
      </c>
      <c r="F1732">
        <f>IF(AND(B1732=1,C1732&gt;1,E1731&lt;&gt;""),ABS(D1732-E1731),"")</f>
        <v/>
      </c>
    </row>
    <row r="1733">
      <c r="A1733" t="n">
        <v>1733</v>
      </c>
      <c r="B1733">
        <f>IF(INDEX('Data Entry'!$H$5:$BE$10004,1733-4,'Visual SPC'!$B$3)="",0,IF(AND(OR('Visual SPC'!$C$4="",'Data Entry'!$C1733&gt;='Visual SPC'!$C$4),OR('Visual SPC'!$E$4="",'Data Entry'!$C1733&lt;='Visual SPC'!$E$4),OR('Visual SPC'!$G$4="",'Data Entry'!$D1733='Visual SPC'!$G$4),OR('Visual SPC'!$I$4="",'Data Entry'!$E1733='Visual SPC'!$I$4),OR('Visual SPC'!$K$4="",'Data Entry'!$F1733='Visual SPC'!$K$4)),1,0))</f>
        <v/>
      </c>
      <c r="C1733">
        <f>C1732+B1733</f>
        <v/>
      </c>
      <c r="D1733">
        <f>IF(B1733=1,INDEX('Data Entry'!$H$5:$BE$10004,1733-4,'Visual SPC'!$B$3),"")</f>
        <v/>
      </c>
      <c r="E1733">
        <f>IF(B1733=1,D1733,E1732)</f>
        <v/>
      </c>
      <c r="F1733">
        <f>IF(AND(B1733=1,C1733&gt;1,E1732&lt;&gt;""),ABS(D1733-E1732),"")</f>
        <v/>
      </c>
    </row>
    <row r="1734">
      <c r="A1734" t="n">
        <v>1734</v>
      </c>
      <c r="B1734">
        <f>IF(INDEX('Data Entry'!$H$5:$BE$10004,1734-4,'Visual SPC'!$B$3)="",0,IF(AND(OR('Visual SPC'!$C$4="",'Data Entry'!$C1734&gt;='Visual SPC'!$C$4),OR('Visual SPC'!$E$4="",'Data Entry'!$C1734&lt;='Visual SPC'!$E$4),OR('Visual SPC'!$G$4="",'Data Entry'!$D1734='Visual SPC'!$G$4),OR('Visual SPC'!$I$4="",'Data Entry'!$E1734='Visual SPC'!$I$4),OR('Visual SPC'!$K$4="",'Data Entry'!$F1734='Visual SPC'!$K$4)),1,0))</f>
        <v/>
      </c>
      <c r="C1734">
        <f>C1733+B1734</f>
        <v/>
      </c>
      <c r="D1734">
        <f>IF(B1734=1,INDEX('Data Entry'!$H$5:$BE$10004,1734-4,'Visual SPC'!$B$3),"")</f>
        <v/>
      </c>
      <c r="E1734">
        <f>IF(B1734=1,D1734,E1733)</f>
        <v/>
      </c>
      <c r="F1734">
        <f>IF(AND(B1734=1,C1734&gt;1,E1733&lt;&gt;""),ABS(D1734-E1733),"")</f>
        <v/>
      </c>
    </row>
    <row r="1735">
      <c r="A1735" t="n">
        <v>1735</v>
      </c>
      <c r="B1735">
        <f>IF(INDEX('Data Entry'!$H$5:$BE$10004,1735-4,'Visual SPC'!$B$3)="",0,IF(AND(OR('Visual SPC'!$C$4="",'Data Entry'!$C1735&gt;='Visual SPC'!$C$4),OR('Visual SPC'!$E$4="",'Data Entry'!$C1735&lt;='Visual SPC'!$E$4),OR('Visual SPC'!$G$4="",'Data Entry'!$D1735='Visual SPC'!$G$4),OR('Visual SPC'!$I$4="",'Data Entry'!$E1735='Visual SPC'!$I$4),OR('Visual SPC'!$K$4="",'Data Entry'!$F1735='Visual SPC'!$K$4)),1,0))</f>
        <v/>
      </c>
      <c r="C1735">
        <f>C1734+B1735</f>
        <v/>
      </c>
      <c r="D1735">
        <f>IF(B1735=1,INDEX('Data Entry'!$H$5:$BE$10004,1735-4,'Visual SPC'!$B$3),"")</f>
        <v/>
      </c>
      <c r="E1735">
        <f>IF(B1735=1,D1735,E1734)</f>
        <v/>
      </c>
      <c r="F1735">
        <f>IF(AND(B1735=1,C1735&gt;1,E1734&lt;&gt;""),ABS(D1735-E1734),"")</f>
        <v/>
      </c>
    </row>
    <row r="1736">
      <c r="A1736" t="n">
        <v>1736</v>
      </c>
      <c r="B1736">
        <f>IF(INDEX('Data Entry'!$H$5:$BE$10004,1736-4,'Visual SPC'!$B$3)="",0,IF(AND(OR('Visual SPC'!$C$4="",'Data Entry'!$C1736&gt;='Visual SPC'!$C$4),OR('Visual SPC'!$E$4="",'Data Entry'!$C1736&lt;='Visual SPC'!$E$4),OR('Visual SPC'!$G$4="",'Data Entry'!$D1736='Visual SPC'!$G$4),OR('Visual SPC'!$I$4="",'Data Entry'!$E1736='Visual SPC'!$I$4),OR('Visual SPC'!$K$4="",'Data Entry'!$F1736='Visual SPC'!$K$4)),1,0))</f>
        <v/>
      </c>
      <c r="C1736">
        <f>C1735+B1736</f>
        <v/>
      </c>
      <c r="D1736">
        <f>IF(B1736=1,INDEX('Data Entry'!$H$5:$BE$10004,1736-4,'Visual SPC'!$B$3),"")</f>
        <v/>
      </c>
      <c r="E1736">
        <f>IF(B1736=1,D1736,E1735)</f>
        <v/>
      </c>
      <c r="F1736">
        <f>IF(AND(B1736=1,C1736&gt;1,E1735&lt;&gt;""),ABS(D1736-E1735),"")</f>
        <v/>
      </c>
    </row>
    <row r="1737">
      <c r="A1737" t="n">
        <v>1737</v>
      </c>
      <c r="B1737">
        <f>IF(INDEX('Data Entry'!$H$5:$BE$10004,1737-4,'Visual SPC'!$B$3)="",0,IF(AND(OR('Visual SPC'!$C$4="",'Data Entry'!$C1737&gt;='Visual SPC'!$C$4),OR('Visual SPC'!$E$4="",'Data Entry'!$C1737&lt;='Visual SPC'!$E$4),OR('Visual SPC'!$G$4="",'Data Entry'!$D1737='Visual SPC'!$G$4),OR('Visual SPC'!$I$4="",'Data Entry'!$E1737='Visual SPC'!$I$4),OR('Visual SPC'!$K$4="",'Data Entry'!$F1737='Visual SPC'!$K$4)),1,0))</f>
        <v/>
      </c>
      <c r="C1737">
        <f>C1736+B1737</f>
        <v/>
      </c>
      <c r="D1737">
        <f>IF(B1737=1,INDEX('Data Entry'!$H$5:$BE$10004,1737-4,'Visual SPC'!$B$3),"")</f>
        <v/>
      </c>
      <c r="E1737">
        <f>IF(B1737=1,D1737,E1736)</f>
        <v/>
      </c>
      <c r="F1737">
        <f>IF(AND(B1737=1,C1737&gt;1,E1736&lt;&gt;""),ABS(D1737-E1736),"")</f>
        <v/>
      </c>
    </row>
    <row r="1738">
      <c r="A1738" t="n">
        <v>1738</v>
      </c>
      <c r="B1738">
        <f>IF(INDEX('Data Entry'!$H$5:$BE$10004,1738-4,'Visual SPC'!$B$3)="",0,IF(AND(OR('Visual SPC'!$C$4="",'Data Entry'!$C1738&gt;='Visual SPC'!$C$4),OR('Visual SPC'!$E$4="",'Data Entry'!$C1738&lt;='Visual SPC'!$E$4),OR('Visual SPC'!$G$4="",'Data Entry'!$D1738='Visual SPC'!$G$4),OR('Visual SPC'!$I$4="",'Data Entry'!$E1738='Visual SPC'!$I$4),OR('Visual SPC'!$K$4="",'Data Entry'!$F1738='Visual SPC'!$K$4)),1,0))</f>
        <v/>
      </c>
      <c r="C1738">
        <f>C1737+B1738</f>
        <v/>
      </c>
      <c r="D1738">
        <f>IF(B1738=1,INDEX('Data Entry'!$H$5:$BE$10004,1738-4,'Visual SPC'!$B$3),"")</f>
        <v/>
      </c>
      <c r="E1738">
        <f>IF(B1738=1,D1738,E1737)</f>
        <v/>
      </c>
      <c r="F1738">
        <f>IF(AND(B1738=1,C1738&gt;1,E1737&lt;&gt;""),ABS(D1738-E1737),"")</f>
        <v/>
      </c>
    </row>
    <row r="1739">
      <c r="A1739" t="n">
        <v>1739</v>
      </c>
      <c r="B1739">
        <f>IF(INDEX('Data Entry'!$H$5:$BE$10004,1739-4,'Visual SPC'!$B$3)="",0,IF(AND(OR('Visual SPC'!$C$4="",'Data Entry'!$C1739&gt;='Visual SPC'!$C$4),OR('Visual SPC'!$E$4="",'Data Entry'!$C1739&lt;='Visual SPC'!$E$4),OR('Visual SPC'!$G$4="",'Data Entry'!$D1739='Visual SPC'!$G$4),OR('Visual SPC'!$I$4="",'Data Entry'!$E1739='Visual SPC'!$I$4),OR('Visual SPC'!$K$4="",'Data Entry'!$F1739='Visual SPC'!$K$4)),1,0))</f>
        <v/>
      </c>
      <c r="C1739">
        <f>C1738+B1739</f>
        <v/>
      </c>
      <c r="D1739">
        <f>IF(B1739=1,INDEX('Data Entry'!$H$5:$BE$10004,1739-4,'Visual SPC'!$B$3),"")</f>
        <v/>
      </c>
      <c r="E1739">
        <f>IF(B1739=1,D1739,E1738)</f>
        <v/>
      </c>
      <c r="F1739">
        <f>IF(AND(B1739=1,C1739&gt;1,E1738&lt;&gt;""),ABS(D1739-E1738),"")</f>
        <v/>
      </c>
    </row>
    <row r="1740">
      <c r="A1740" t="n">
        <v>1740</v>
      </c>
      <c r="B1740">
        <f>IF(INDEX('Data Entry'!$H$5:$BE$10004,1740-4,'Visual SPC'!$B$3)="",0,IF(AND(OR('Visual SPC'!$C$4="",'Data Entry'!$C1740&gt;='Visual SPC'!$C$4),OR('Visual SPC'!$E$4="",'Data Entry'!$C1740&lt;='Visual SPC'!$E$4),OR('Visual SPC'!$G$4="",'Data Entry'!$D1740='Visual SPC'!$G$4),OR('Visual SPC'!$I$4="",'Data Entry'!$E1740='Visual SPC'!$I$4),OR('Visual SPC'!$K$4="",'Data Entry'!$F1740='Visual SPC'!$K$4)),1,0))</f>
        <v/>
      </c>
      <c r="C1740">
        <f>C1739+B1740</f>
        <v/>
      </c>
      <c r="D1740">
        <f>IF(B1740=1,INDEX('Data Entry'!$H$5:$BE$10004,1740-4,'Visual SPC'!$B$3),"")</f>
        <v/>
      </c>
      <c r="E1740">
        <f>IF(B1740=1,D1740,E1739)</f>
        <v/>
      </c>
      <c r="F1740">
        <f>IF(AND(B1740=1,C1740&gt;1,E1739&lt;&gt;""),ABS(D1740-E1739),"")</f>
        <v/>
      </c>
    </row>
    <row r="1741">
      <c r="A1741" t="n">
        <v>1741</v>
      </c>
      <c r="B1741">
        <f>IF(INDEX('Data Entry'!$H$5:$BE$10004,1741-4,'Visual SPC'!$B$3)="",0,IF(AND(OR('Visual SPC'!$C$4="",'Data Entry'!$C1741&gt;='Visual SPC'!$C$4),OR('Visual SPC'!$E$4="",'Data Entry'!$C1741&lt;='Visual SPC'!$E$4),OR('Visual SPC'!$G$4="",'Data Entry'!$D1741='Visual SPC'!$G$4),OR('Visual SPC'!$I$4="",'Data Entry'!$E1741='Visual SPC'!$I$4),OR('Visual SPC'!$K$4="",'Data Entry'!$F1741='Visual SPC'!$K$4)),1,0))</f>
        <v/>
      </c>
      <c r="C1741">
        <f>C1740+B1741</f>
        <v/>
      </c>
      <c r="D1741">
        <f>IF(B1741=1,INDEX('Data Entry'!$H$5:$BE$10004,1741-4,'Visual SPC'!$B$3),"")</f>
        <v/>
      </c>
      <c r="E1741">
        <f>IF(B1741=1,D1741,E1740)</f>
        <v/>
      </c>
      <c r="F1741">
        <f>IF(AND(B1741=1,C1741&gt;1,E1740&lt;&gt;""),ABS(D1741-E1740),"")</f>
        <v/>
      </c>
    </row>
    <row r="1742">
      <c r="A1742" t="n">
        <v>1742</v>
      </c>
      <c r="B1742">
        <f>IF(INDEX('Data Entry'!$H$5:$BE$10004,1742-4,'Visual SPC'!$B$3)="",0,IF(AND(OR('Visual SPC'!$C$4="",'Data Entry'!$C1742&gt;='Visual SPC'!$C$4),OR('Visual SPC'!$E$4="",'Data Entry'!$C1742&lt;='Visual SPC'!$E$4),OR('Visual SPC'!$G$4="",'Data Entry'!$D1742='Visual SPC'!$G$4),OR('Visual SPC'!$I$4="",'Data Entry'!$E1742='Visual SPC'!$I$4),OR('Visual SPC'!$K$4="",'Data Entry'!$F1742='Visual SPC'!$K$4)),1,0))</f>
        <v/>
      </c>
      <c r="C1742">
        <f>C1741+B1742</f>
        <v/>
      </c>
      <c r="D1742">
        <f>IF(B1742=1,INDEX('Data Entry'!$H$5:$BE$10004,1742-4,'Visual SPC'!$B$3),"")</f>
        <v/>
      </c>
      <c r="E1742">
        <f>IF(B1742=1,D1742,E1741)</f>
        <v/>
      </c>
      <c r="F1742">
        <f>IF(AND(B1742=1,C1742&gt;1,E1741&lt;&gt;""),ABS(D1742-E1741),"")</f>
        <v/>
      </c>
    </row>
    <row r="1743">
      <c r="A1743" t="n">
        <v>1743</v>
      </c>
      <c r="B1743">
        <f>IF(INDEX('Data Entry'!$H$5:$BE$10004,1743-4,'Visual SPC'!$B$3)="",0,IF(AND(OR('Visual SPC'!$C$4="",'Data Entry'!$C1743&gt;='Visual SPC'!$C$4),OR('Visual SPC'!$E$4="",'Data Entry'!$C1743&lt;='Visual SPC'!$E$4),OR('Visual SPC'!$G$4="",'Data Entry'!$D1743='Visual SPC'!$G$4),OR('Visual SPC'!$I$4="",'Data Entry'!$E1743='Visual SPC'!$I$4),OR('Visual SPC'!$K$4="",'Data Entry'!$F1743='Visual SPC'!$K$4)),1,0))</f>
        <v/>
      </c>
      <c r="C1743">
        <f>C1742+B1743</f>
        <v/>
      </c>
      <c r="D1743">
        <f>IF(B1743=1,INDEX('Data Entry'!$H$5:$BE$10004,1743-4,'Visual SPC'!$B$3),"")</f>
        <v/>
      </c>
      <c r="E1743">
        <f>IF(B1743=1,D1743,E1742)</f>
        <v/>
      </c>
      <c r="F1743">
        <f>IF(AND(B1743=1,C1743&gt;1,E1742&lt;&gt;""),ABS(D1743-E1742),"")</f>
        <v/>
      </c>
    </row>
    <row r="1744">
      <c r="A1744" t="n">
        <v>1744</v>
      </c>
      <c r="B1744">
        <f>IF(INDEX('Data Entry'!$H$5:$BE$10004,1744-4,'Visual SPC'!$B$3)="",0,IF(AND(OR('Visual SPC'!$C$4="",'Data Entry'!$C1744&gt;='Visual SPC'!$C$4),OR('Visual SPC'!$E$4="",'Data Entry'!$C1744&lt;='Visual SPC'!$E$4),OR('Visual SPC'!$G$4="",'Data Entry'!$D1744='Visual SPC'!$G$4),OR('Visual SPC'!$I$4="",'Data Entry'!$E1744='Visual SPC'!$I$4),OR('Visual SPC'!$K$4="",'Data Entry'!$F1744='Visual SPC'!$K$4)),1,0))</f>
        <v/>
      </c>
      <c r="C1744">
        <f>C1743+B1744</f>
        <v/>
      </c>
      <c r="D1744">
        <f>IF(B1744=1,INDEX('Data Entry'!$H$5:$BE$10004,1744-4,'Visual SPC'!$B$3),"")</f>
        <v/>
      </c>
      <c r="E1744">
        <f>IF(B1744=1,D1744,E1743)</f>
        <v/>
      </c>
      <c r="F1744">
        <f>IF(AND(B1744=1,C1744&gt;1,E1743&lt;&gt;""),ABS(D1744-E1743),"")</f>
        <v/>
      </c>
    </row>
    <row r="1745">
      <c r="A1745" t="n">
        <v>1745</v>
      </c>
      <c r="B1745">
        <f>IF(INDEX('Data Entry'!$H$5:$BE$10004,1745-4,'Visual SPC'!$B$3)="",0,IF(AND(OR('Visual SPC'!$C$4="",'Data Entry'!$C1745&gt;='Visual SPC'!$C$4),OR('Visual SPC'!$E$4="",'Data Entry'!$C1745&lt;='Visual SPC'!$E$4),OR('Visual SPC'!$G$4="",'Data Entry'!$D1745='Visual SPC'!$G$4),OR('Visual SPC'!$I$4="",'Data Entry'!$E1745='Visual SPC'!$I$4),OR('Visual SPC'!$K$4="",'Data Entry'!$F1745='Visual SPC'!$K$4)),1,0))</f>
        <v/>
      </c>
      <c r="C1745">
        <f>C1744+B1745</f>
        <v/>
      </c>
      <c r="D1745">
        <f>IF(B1745=1,INDEX('Data Entry'!$H$5:$BE$10004,1745-4,'Visual SPC'!$B$3),"")</f>
        <v/>
      </c>
      <c r="E1745">
        <f>IF(B1745=1,D1745,E1744)</f>
        <v/>
      </c>
      <c r="F1745">
        <f>IF(AND(B1745=1,C1745&gt;1,E1744&lt;&gt;""),ABS(D1745-E1744),"")</f>
        <v/>
      </c>
    </row>
    <row r="1746">
      <c r="A1746" t="n">
        <v>1746</v>
      </c>
      <c r="B1746">
        <f>IF(INDEX('Data Entry'!$H$5:$BE$10004,1746-4,'Visual SPC'!$B$3)="",0,IF(AND(OR('Visual SPC'!$C$4="",'Data Entry'!$C1746&gt;='Visual SPC'!$C$4),OR('Visual SPC'!$E$4="",'Data Entry'!$C1746&lt;='Visual SPC'!$E$4),OR('Visual SPC'!$G$4="",'Data Entry'!$D1746='Visual SPC'!$G$4),OR('Visual SPC'!$I$4="",'Data Entry'!$E1746='Visual SPC'!$I$4),OR('Visual SPC'!$K$4="",'Data Entry'!$F1746='Visual SPC'!$K$4)),1,0))</f>
        <v/>
      </c>
      <c r="C1746">
        <f>C1745+B1746</f>
        <v/>
      </c>
      <c r="D1746">
        <f>IF(B1746=1,INDEX('Data Entry'!$H$5:$BE$10004,1746-4,'Visual SPC'!$B$3),"")</f>
        <v/>
      </c>
      <c r="E1746">
        <f>IF(B1746=1,D1746,E1745)</f>
        <v/>
      </c>
      <c r="F1746">
        <f>IF(AND(B1746=1,C1746&gt;1,E1745&lt;&gt;""),ABS(D1746-E1745),"")</f>
        <v/>
      </c>
    </row>
    <row r="1747">
      <c r="A1747" t="n">
        <v>1747</v>
      </c>
      <c r="B1747">
        <f>IF(INDEX('Data Entry'!$H$5:$BE$10004,1747-4,'Visual SPC'!$B$3)="",0,IF(AND(OR('Visual SPC'!$C$4="",'Data Entry'!$C1747&gt;='Visual SPC'!$C$4),OR('Visual SPC'!$E$4="",'Data Entry'!$C1747&lt;='Visual SPC'!$E$4),OR('Visual SPC'!$G$4="",'Data Entry'!$D1747='Visual SPC'!$G$4),OR('Visual SPC'!$I$4="",'Data Entry'!$E1747='Visual SPC'!$I$4),OR('Visual SPC'!$K$4="",'Data Entry'!$F1747='Visual SPC'!$K$4)),1,0))</f>
        <v/>
      </c>
      <c r="C1747">
        <f>C1746+B1747</f>
        <v/>
      </c>
      <c r="D1747">
        <f>IF(B1747=1,INDEX('Data Entry'!$H$5:$BE$10004,1747-4,'Visual SPC'!$B$3),"")</f>
        <v/>
      </c>
      <c r="E1747">
        <f>IF(B1747=1,D1747,E1746)</f>
        <v/>
      </c>
      <c r="F1747">
        <f>IF(AND(B1747=1,C1747&gt;1,E1746&lt;&gt;""),ABS(D1747-E1746),"")</f>
        <v/>
      </c>
    </row>
    <row r="1748">
      <c r="A1748" t="n">
        <v>1748</v>
      </c>
      <c r="B1748">
        <f>IF(INDEX('Data Entry'!$H$5:$BE$10004,1748-4,'Visual SPC'!$B$3)="",0,IF(AND(OR('Visual SPC'!$C$4="",'Data Entry'!$C1748&gt;='Visual SPC'!$C$4),OR('Visual SPC'!$E$4="",'Data Entry'!$C1748&lt;='Visual SPC'!$E$4),OR('Visual SPC'!$G$4="",'Data Entry'!$D1748='Visual SPC'!$G$4),OR('Visual SPC'!$I$4="",'Data Entry'!$E1748='Visual SPC'!$I$4),OR('Visual SPC'!$K$4="",'Data Entry'!$F1748='Visual SPC'!$K$4)),1,0))</f>
        <v/>
      </c>
      <c r="C1748">
        <f>C1747+B1748</f>
        <v/>
      </c>
      <c r="D1748">
        <f>IF(B1748=1,INDEX('Data Entry'!$H$5:$BE$10004,1748-4,'Visual SPC'!$B$3),"")</f>
        <v/>
      </c>
      <c r="E1748">
        <f>IF(B1748=1,D1748,E1747)</f>
        <v/>
      </c>
      <c r="F1748">
        <f>IF(AND(B1748=1,C1748&gt;1,E1747&lt;&gt;""),ABS(D1748-E1747),"")</f>
        <v/>
      </c>
    </row>
    <row r="1749">
      <c r="A1749" t="n">
        <v>1749</v>
      </c>
      <c r="B1749">
        <f>IF(INDEX('Data Entry'!$H$5:$BE$10004,1749-4,'Visual SPC'!$B$3)="",0,IF(AND(OR('Visual SPC'!$C$4="",'Data Entry'!$C1749&gt;='Visual SPC'!$C$4),OR('Visual SPC'!$E$4="",'Data Entry'!$C1749&lt;='Visual SPC'!$E$4),OR('Visual SPC'!$G$4="",'Data Entry'!$D1749='Visual SPC'!$G$4),OR('Visual SPC'!$I$4="",'Data Entry'!$E1749='Visual SPC'!$I$4),OR('Visual SPC'!$K$4="",'Data Entry'!$F1749='Visual SPC'!$K$4)),1,0))</f>
        <v/>
      </c>
      <c r="C1749">
        <f>C1748+B1749</f>
        <v/>
      </c>
      <c r="D1749">
        <f>IF(B1749=1,INDEX('Data Entry'!$H$5:$BE$10004,1749-4,'Visual SPC'!$B$3),"")</f>
        <v/>
      </c>
      <c r="E1749">
        <f>IF(B1749=1,D1749,E1748)</f>
        <v/>
      </c>
      <c r="F1749">
        <f>IF(AND(B1749=1,C1749&gt;1,E1748&lt;&gt;""),ABS(D1749-E1748),"")</f>
        <v/>
      </c>
    </row>
    <row r="1750">
      <c r="A1750" t="n">
        <v>1750</v>
      </c>
      <c r="B1750">
        <f>IF(INDEX('Data Entry'!$H$5:$BE$10004,1750-4,'Visual SPC'!$B$3)="",0,IF(AND(OR('Visual SPC'!$C$4="",'Data Entry'!$C1750&gt;='Visual SPC'!$C$4),OR('Visual SPC'!$E$4="",'Data Entry'!$C1750&lt;='Visual SPC'!$E$4),OR('Visual SPC'!$G$4="",'Data Entry'!$D1750='Visual SPC'!$G$4),OR('Visual SPC'!$I$4="",'Data Entry'!$E1750='Visual SPC'!$I$4),OR('Visual SPC'!$K$4="",'Data Entry'!$F1750='Visual SPC'!$K$4)),1,0))</f>
        <v/>
      </c>
      <c r="C1750">
        <f>C1749+B1750</f>
        <v/>
      </c>
      <c r="D1750">
        <f>IF(B1750=1,INDEX('Data Entry'!$H$5:$BE$10004,1750-4,'Visual SPC'!$B$3),"")</f>
        <v/>
      </c>
      <c r="E1750">
        <f>IF(B1750=1,D1750,E1749)</f>
        <v/>
      </c>
      <c r="F1750">
        <f>IF(AND(B1750=1,C1750&gt;1,E1749&lt;&gt;""),ABS(D1750-E1749),"")</f>
        <v/>
      </c>
    </row>
    <row r="1751">
      <c r="A1751" t="n">
        <v>1751</v>
      </c>
      <c r="B1751">
        <f>IF(INDEX('Data Entry'!$H$5:$BE$10004,1751-4,'Visual SPC'!$B$3)="",0,IF(AND(OR('Visual SPC'!$C$4="",'Data Entry'!$C1751&gt;='Visual SPC'!$C$4),OR('Visual SPC'!$E$4="",'Data Entry'!$C1751&lt;='Visual SPC'!$E$4),OR('Visual SPC'!$G$4="",'Data Entry'!$D1751='Visual SPC'!$G$4),OR('Visual SPC'!$I$4="",'Data Entry'!$E1751='Visual SPC'!$I$4),OR('Visual SPC'!$K$4="",'Data Entry'!$F1751='Visual SPC'!$K$4)),1,0))</f>
        <v/>
      </c>
      <c r="C1751">
        <f>C1750+B1751</f>
        <v/>
      </c>
      <c r="D1751">
        <f>IF(B1751=1,INDEX('Data Entry'!$H$5:$BE$10004,1751-4,'Visual SPC'!$B$3),"")</f>
        <v/>
      </c>
      <c r="E1751">
        <f>IF(B1751=1,D1751,E1750)</f>
        <v/>
      </c>
      <c r="F1751">
        <f>IF(AND(B1751=1,C1751&gt;1,E1750&lt;&gt;""),ABS(D1751-E1750),"")</f>
        <v/>
      </c>
    </row>
    <row r="1752">
      <c r="A1752" t="n">
        <v>1752</v>
      </c>
      <c r="B1752">
        <f>IF(INDEX('Data Entry'!$H$5:$BE$10004,1752-4,'Visual SPC'!$B$3)="",0,IF(AND(OR('Visual SPC'!$C$4="",'Data Entry'!$C1752&gt;='Visual SPC'!$C$4),OR('Visual SPC'!$E$4="",'Data Entry'!$C1752&lt;='Visual SPC'!$E$4),OR('Visual SPC'!$G$4="",'Data Entry'!$D1752='Visual SPC'!$G$4),OR('Visual SPC'!$I$4="",'Data Entry'!$E1752='Visual SPC'!$I$4),OR('Visual SPC'!$K$4="",'Data Entry'!$F1752='Visual SPC'!$K$4)),1,0))</f>
        <v/>
      </c>
      <c r="C1752">
        <f>C1751+B1752</f>
        <v/>
      </c>
      <c r="D1752">
        <f>IF(B1752=1,INDEX('Data Entry'!$H$5:$BE$10004,1752-4,'Visual SPC'!$B$3),"")</f>
        <v/>
      </c>
      <c r="E1752">
        <f>IF(B1752=1,D1752,E1751)</f>
        <v/>
      </c>
      <c r="F1752">
        <f>IF(AND(B1752=1,C1752&gt;1,E1751&lt;&gt;""),ABS(D1752-E1751),"")</f>
        <v/>
      </c>
    </row>
    <row r="1753">
      <c r="A1753" t="n">
        <v>1753</v>
      </c>
      <c r="B1753">
        <f>IF(INDEX('Data Entry'!$H$5:$BE$10004,1753-4,'Visual SPC'!$B$3)="",0,IF(AND(OR('Visual SPC'!$C$4="",'Data Entry'!$C1753&gt;='Visual SPC'!$C$4),OR('Visual SPC'!$E$4="",'Data Entry'!$C1753&lt;='Visual SPC'!$E$4),OR('Visual SPC'!$G$4="",'Data Entry'!$D1753='Visual SPC'!$G$4),OR('Visual SPC'!$I$4="",'Data Entry'!$E1753='Visual SPC'!$I$4),OR('Visual SPC'!$K$4="",'Data Entry'!$F1753='Visual SPC'!$K$4)),1,0))</f>
        <v/>
      </c>
      <c r="C1753">
        <f>C1752+B1753</f>
        <v/>
      </c>
      <c r="D1753">
        <f>IF(B1753=1,INDEX('Data Entry'!$H$5:$BE$10004,1753-4,'Visual SPC'!$B$3),"")</f>
        <v/>
      </c>
      <c r="E1753">
        <f>IF(B1753=1,D1753,E1752)</f>
        <v/>
      </c>
      <c r="F1753">
        <f>IF(AND(B1753=1,C1753&gt;1,E1752&lt;&gt;""),ABS(D1753-E1752),"")</f>
        <v/>
      </c>
    </row>
    <row r="1754">
      <c r="A1754" t="n">
        <v>1754</v>
      </c>
      <c r="B1754">
        <f>IF(INDEX('Data Entry'!$H$5:$BE$10004,1754-4,'Visual SPC'!$B$3)="",0,IF(AND(OR('Visual SPC'!$C$4="",'Data Entry'!$C1754&gt;='Visual SPC'!$C$4),OR('Visual SPC'!$E$4="",'Data Entry'!$C1754&lt;='Visual SPC'!$E$4),OR('Visual SPC'!$G$4="",'Data Entry'!$D1754='Visual SPC'!$G$4),OR('Visual SPC'!$I$4="",'Data Entry'!$E1754='Visual SPC'!$I$4),OR('Visual SPC'!$K$4="",'Data Entry'!$F1754='Visual SPC'!$K$4)),1,0))</f>
        <v/>
      </c>
      <c r="C1754">
        <f>C1753+B1754</f>
        <v/>
      </c>
      <c r="D1754">
        <f>IF(B1754=1,INDEX('Data Entry'!$H$5:$BE$10004,1754-4,'Visual SPC'!$B$3),"")</f>
        <v/>
      </c>
      <c r="E1754">
        <f>IF(B1754=1,D1754,E1753)</f>
        <v/>
      </c>
      <c r="F1754">
        <f>IF(AND(B1754=1,C1754&gt;1,E1753&lt;&gt;""),ABS(D1754-E1753),"")</f>
        <v/>
      </c>
    </row>
    <row r="1755">
      <c r="A1755" t="n">
        <v>1755</v>
      </c>
      <c r="B1755">
        <f>IF(INDEX('Data Entry'!$H$5:$BE$10004,1755-4,'Visual SPC'!$B$3)="",0,IF(AND(OR('Visual SPC'!$C$4="",'Data Entry'!$C1755&gt;='Visual SPC'!$C$4),OR('Visual SPC'!$E$4="",'Data Entry'!$C1755&lt;='Visual SPC'!$E$4),OR('Visual SPC'!$G$4="",'Data Entry'!$D1755='Visual SPC'!$G$4),OR('Visual SPC'!$I$4="",'Data Entry'!$E1755='Visual SPC'!$I$4),OR('Visual SPC'!$K$4="",'Data Entry'!$F1755='Visual SPC'!$K$4)),1,0))</f>
        <v/>
      </c>
      <c r="C1755">
        <f>C1754+B1755</f>
        <v/>
      </c>
      <c r="D1755">
        <f>IF(B1755=1,INDEX('Data Entry'!$H$5:$BE$10004,1755-4,'Visual SPC'!$B$3),"")</f>
        <v/>
      </c>
      <c r="E1755">
        <f>IF(B1755=1,D1755,E1754)</f>
        <v/>
      </c>
      <c r="F1755">
        <f>IF(AND(B1755=1,C1755&gt;1,E1754&lt;&gt;""),ABS(D1755-E1754),"")</f>
        <v/>
      </c>
    </row>
    <row r="1756">
      <c r="A1756" t="n">
        <v>1756</v>
      </c>
      <c r="B1756">
        <f>IF(INDEX('Data Entry'!$H$5:$BE$10004,1756-4,'Visual SPC'!$B$3)="",0,IF(AND(OR('Visual SPC'!$C$4="",'Data Entry'!$C1756&gt;='Visual SPC'!$C$4),OR('Visual SPC'!$E$4="",'Data Entry'!$C1756&lt;='Visual SPC'!$E$4),OR('Visual SPC'!$G$4="",'Data Entry'!$D1756='Visual SPC'!$G$4),OR('Visual SPC'!$I$4="",'Data Entry'!$E1756='Visual SPC'!$I$4),OR('Visual SPC'!$K$4="",'Data Entry'!$F1756='Visual SPC'!$K$4)),1,0))</f>
        <v/>
      </c>
      <c r="C1756">
        <f>C1755+B1756</f>
        <v/>
      </c>
      <c r="D1756">
        <f>IF(B1756=1,INDEX('Data Entry'!$H$5:$BE$10004,1756-4,'Visual SPC'!$B$3),"")</f>
        <v/>
      </c>
      <c r="E1756">
        <f>IF(B1756=1,D1756,E1755)</f>
        <v/>
      </c>
      <c r="F1756">
        <f>IF(AND(B1756=1,C1756&gt;1,E1755&lt;&gt;""),ABS(D1756-E1755),"")</f>
        <v/>
      </c>
    </row>
    <row r="1757">
      <c r="A1757" t="n">
        <v>1757</v>
      </c>
      <c r="B1757">
        <f>IF(INDEX('Data Entry'!$H$5:$BE$10004,1757-4,'Visual SPC'!$B$3)="",0,IF(AND(OR('Visual SPC'!$C$4="",'Data Entry'!$C1757&gt;='Visual SPC'!$C$4),OR('Visual SPC'!$E$4="",'Data Entry'!$C1757&lt;='Visual SPC'!$E$4),OR('Visual SPC'!$G$4="",'Data Entry'!$D1757='Visual SPC'!$G$4),OR('Visual SPC'!$I$4="",'Data Entry'!$E1757='Visual SPC'!$I$4),OR('Visual SPC'!$K$4="",'Data Entry'!$F1757='Visual SPC'!$K$4)),1,0))</f>
        <v/>
      </c>
      <c r="C1757">
        <f>C1756+B1757</f>
        <v/>
      </c>
      <c r="D1757">
        <f>IF(B1757=1,INDEX('Data Entry'!$H$5:$BE$10004,1757-4,'Visual SPC'!$B$3),"")</f>
        <v/>
      </c>
      <c r="E1757">
        <f>IF(B1757=1,D1757,E1756)</f>
        <v/>
      </c>
      <c r="F1757">
        <f>IF(AND(B1757=1,C1757&gt;1,E1756&lt;&gt;""),ABS(D1757-E1756),"")</f>
        <v/>
      </c>
    </row>
    <row r="1758">
      <c r="A1758" t="n">
        <v>1758</v>
      </c>
      <c r="B1758">
        <f>IF(INDEX('Data Entry'!$H$5:$BE$10004,1758-4,'Visual SPC'!$B$3)="",0,IF(AND(OR('Visual SPC'!$C$4="",'Data Entry'!$C1758&gt;='Visual SPC'!$C$4),OR('Visual SPC'!$E$4="",'Data Entry'!$C1758&lt;='Visual SPC'!$E$4),OR('Visual SPC'!$G$4="",'Data Entry'!$D1758='Visual SPC'!$G$4),OR('Visual SPC'!$I$4="",'Data Entry'!$E1758='Visual SPC'!$I$4),OR('Visual SPC'!$K$4="",'Data Entry'!$F1758='Visual SPC'!$K$4)),1,0))</f>
        <v/>
      </c>
      <c r="C1758">
        <f>C1757+B1758</f>
        <v/>
      </c>
      <c r="D1758">
        <f>IF(B1758=1,INDEX('Data Entry'!$H$5:$BE$10004,1758-4,'Visual SPC'!$B$3),"")</f>
        <v/>
      </c>
      <c r="E1758">
        <f>IF(B1758=1,D1758,E1757)</f>
        <v/>
      </c>
      <c r="F1758">
        <f>IF(AND(B1758=1,C1758&gt;1,E1757&lt;&gt;""),ABS(D1758-E1757),"")</f>
        <v/>
      </c>
    </row>
    <row r="1759">
      <c r="A1759" t="n">
        <v>1759</v>
      </c>
      <c r="B1759">
        <f>IF(INDEX('Data Entry'!$H$5:$BE$10004,1759-4,'Visual SPC'!$B$3)="",0,IF(AND(OR('Visual SPC'!$C$4="",'Data Entry'!$C1759&gt;='Visual SPC'!$C$4),OR('Visual SPC'!$E$4="",'Data Entry'!$C1759&lt;='Visual SPC'!$E$4),OR('Visual SPC'!$G$4="",'Data Entry'!$D1759='Visual SPC'!$G$4),OR('Visual SPC'!$I$4="",'Data Entry'!$E1759='Visual SPC'!$I$4),OR('Visual SPC'!$K$4="",'Data Entry'!$F1759='Visual SPC'!$K$4)),1,0))</f>
        <v/>
      </c>
      <c r="C1759">
        <f>C1758+B1759</f>
        <v/>
      </c>
      <c r="D1759">
        <f>IF(B1759=1,INDEX('Data Entry'!$H$5:$BE$10004,1759-4,'Visual SPC'!$B$3),"")</f>
        <v/>
      </c>
      <c r="E1759">
        <f>IF(B1759=1,D1759,E1758)</f>
        <v/>
      </c>
      <c r="F1759">
        <f>IF(AND(B1759=1,C1759&gt;1,E1758&lt;&gt;""),ABS(D1759-E1758),"")</f>
        <v/>
      </c>
    </row>
    <row r="1760">
      <c r="A1760" t="n">
        <v>1760</v>
      </c>
      <c r="B1760">
        <f>IF(INDEX('Data Entry'!$H$5:$BE$10004,1760-4,'Visual SPC'!$B$3)="",0,IF(AND(OR('Visual SPC'!$C$4="",'Data Entry'!$C1760&gt;='Visual SPC'!$C$4),OR('Visual SPC'!$E$4="",'Data Entry'!$C1760&lt;='Visual SPC'!$E$4),OR('Visual SPC'!$G$4="",'Data Entry'!$D1760='Visual SPC'!$G$4),OR('Visual SPC'!$I$4="",'Data Entry'!$E1760='Visual SPC'!$I$4),OR('Visual SPC'!$K$4="",'Data Entry'!$F1760='Visual SPC'!$K$4)),1,0))</f>
        <v/>
      </c>
      <c r="C1760">
        <f>C1759+B1760</f>
        <v/>
      </c>
      <c r="D1760">
        <f>IF(B1760=1,INDEX('Data Entry'!$H$5:$BE$10004,1760-4,'Visual SPC'!$B$3),"")</f>
        <v/>
      </c>
      <c r="E1760">
        <f>IF(B1760=1,D1760,E1759)</f>
        <v/>
      </c>
      <c r="F1760">
        <f>IF(AND(B1760=1,C1760&gt;1,E1759&lt;&gt;""),ABS(D1760-E1759),"")</f>
        <v/>
      </c>
    </row>
    <row r="1761">
      <c r="A1761" t="n">
        <v>1761</v>
      </c>
      <c r="B1761">
        <f>IF(INDEX('Data Entry'!$H$5:$BE$10004,1761-4,'Visual SPC'!$B$3)="",0,IF(AND(OR('Visual SPC'!$C$4="",'Data Entry'!$C1761&gt;='Visual SPC'!$C$4),OR('Visual SPC'!$E$4="",'Data Entry'!$C1761&lt;='Visual SPC'!$E$4),OR('Visual SPC'!$G$4="",'Data Entry'!$D1761='Visual SPC'!$G$4),OR('Visual SPC'!$I$4="",'Data Entry'!$E1761='Visual SPC'!$I$4),OR('Visual SPC'!$K$4="",'Data Entry'!$F1761='Visual SPC'!$K$4)),1,0))</f>
        <v/>
      </c>
      <c r="C1761">
        <f>C1760+B1761</f>
        <v/>
      </c>
      <c r="D1761">
        <f>IF(B1761=1,INDEX('Data Entry'!$H$5:$BE$10004,1761-4,'Visual SPC'!$B$3),"")</f>
        <v/>
      </c>
      <c r="E1761">
        <f>IF(B1761=1,D1761,E1760)</f>
        <v/>
      </c>
      <c r="F1761">
        <f>IF(AND(B1761=1,C1761&gt;1,E1760&lt;&gt;""),ABS(D1761-E1760),"")</f>
        <v/>
      </c>
    </row>
    <row r="1762">
      <c r="A1762" t="n">
        <v>1762</v>
      </c>
      <c r="B1762">
        <f>IF(INDEX('Data Entry'!$H$5:$BE$10004,1762-4,'Visual SPC'!$B$3)="",0,IF(AND(OR('Visual SPC'!$C$4="",'Data Entry'!$C1762&gt;='Visual SPC'!$C$4),OR('Visual SPC'!$E$4="",'Data Entry'!$C1762&lt;='Visual SPC'!$E$4),OR('Visual SPC'!$G$4="",'Data Entry'!$D1762='Visual SPC'!$G$4),OR('Visual SPC'!$I$4="",'Data Entry'!$E1762='Visual SPC'!$I$4),OR('Visual SPC'!$K$4="",'Data Entry'!$F1762='Visual SPC'!$K$4)),1,0))</f>
        <v/>
      </c>
      <c r="C1762">
        <f>C1761+B1762</f>
        <v/>
      </c>
      <c r="D1762">
        <f>IF(B1762=1,INDEX('Data Entry'!$H$5:$BE$10004,1762-4,'Visual SPC'!$B$3),"")</f>
        <v/>
      </c>
      <c r="E1762">
        <f>IF(B1762=1,D1762,E1761)</f>
        <v/>
      </c>
      <c r="F1762">
        <f>IF(AND(B1762=1,C1762&gt;1,E1761&lt;&gt;""),ABS(D1762-E1761),"")</f>
        <v/>
      </c>
    </row>
    <row r="1763">
      <c r="A1763" t="n">
        <v>1763</v>
      </c>
      <c r="B1763">
        <f>IF(INDEX('Data Entry'!$H$5:$BE$10004,1763-4,'Visual SPC'!$B$3)="",0,IF(AND(OR('Visual SPC'!$C$4="",'Data Entry'!$C1763&gt;='Visual SPC'!$C$4),OR('Visual SPC'!$E$4="",'Data Entry'!$C1763&lt;='Visual SPC'!$E$4),OR('Visual SPC'!$G$4="",'Data Entry'!$D1763='Visual SPC'!$G$4),OR('Visual SPC'!$I$4="",'Data Entry'!$E1763='Visual SPC'!$I$4),OR('Visual SPC'!$K$4="",'Data Entry'!$F1763='Visual SPC'!$K$4)),1,0))</f>
        <v/>
      </c>
      <c r="C1763">
        <f>C1762+B1763</f>
        <v/>
      </c>
      <c r="D1763">
        <f>IF(B1763=1,INDEX('Data Entry'!$H$5:$BE$10004,1763-4,'Visual SPC'!$B$3),"")</f>
        <v/>
      </c>
      <c r="E1763">
        <f>IF(B1763=1,D1763,E1762)</f>
        <v/>
      </c>
      <c r="F1763">
        <f>IF(AND(B1763=1,C1763&gt;1,E1762&lt;&gt;""),ABS(D1763-E1762),"")</f>
        <v/>
      </c>
    </row>
    <row r="1764">
      <c r="A1764" t="n">
        <v>1764</v>
      </c>
      <c r="B1764">
        <f>IF(INDEX('Data Entry'!$H$5:$BE$10004,1764-4,'Visual SPC'!$B$3)="",0,IF(AND(OR('Visual SPC'!$C$4="",'Data Entry'!$C1764&gt;='Visual SPC'!$C$4),OR('Visual SPC'!$E$4="",'Data Entry'!$C1764&lt;='Visual SPC'!$E$4),OR('Visual SPC'!$G$4="",'Data Entry'!$D1764='Visual SPC'!$G$4),OR('Visual SPC'!$I$4="",'Data Entry'!$E1764='Visual SPC'!$I$4),OR('Visual SPC'!$K$4="",'Data Entry'!$F1764='Visual SPC'!$K$4)),1,0))</f>
        <v/>
      </c>
      <c r="C1764">
        <f>C1763+B1764</f>
        <v/>
      </c>
      <c r="D1764">
        <f>IF(B1764=1,INDEX('Data Entry'!$H$5:$BE$10004,1764-4,'Visual SPC'!$B$3),"")</f>
        <v/>
      </c>
      <c r="E1764">
        <f>IF(B1764=1,D1764,E1763)</f>
        <v/>
      </c>
      <c r="F1764">
        <f>IF(AND(B1764=1,C1764&gt;1,E1763&lt;&gt;""),ABS(D1764-E1763),"")</f>
        <v/>
      </c>
    </row>
    <row r="1765">
      <c r="A1765" t="n">
        <v>1765</v>
      </c>
      <c r="B1765">
        <f>IF(INDEX('Data Entry'!$H$5:$BE$10004,1765-4,'Visual SPC'!$B$3)="",0,IF(AND(OR('Visual SPC'!$C$4="",'Data Entry'!$C1765&gt;='Visual SPC'!$C$4),OR('Visual SPC'!$E$4="",'Data Entry'!$C1765&lt;='Visual SPC'!$E$4),OR('Visual SPC'!$G$4="",'Data Entry'!$D1765='Visual SPC'!$G$4),OR('Visual SPC'!$I$4="",'Data Entry'!$E1765='Visual SPC'!$I$4),OR('Visual SPC'!$K$4="",'Data Entry'!$F1765='Visual SPC'!$K$4)),1,0))</f>
        <v/>
      </c>
      <c r="C1765">
        <f>C1764+B1765</f>
        <v/>
      </c>
      <c r="D1765">
        <f>IF(B1765=1,INDEX('Data Entry'!$H$5:$BE$10004,1765-4,'Visual SPC'!$B$3),"")</f>
        <v/>
      </c>
      <c r="E1765">
        <f>IF(B1765=1,D1765,E1764)</f>
        <v/>
      </c>
      <c r="F1765">
        <f>IF(AND(B1765=1,C1765&gt;1,E1764&lt;&gt;""),ABS(D1765-E1764),"")</f>
        <v/>
      </c>
    </row>
    <row r="1766">
      <c r="A1766" t="n">
        <v>1766</v>
      </c>
      <c r="B1766">
        <f>IF(INDEX('Data Entry'!$H$5:$BE$10004,1766-4,'Visual SPC'!$B$3)="",0,IF(AND(OR('Visual SPC'!$C$4="",'Data Entry'!$C1766&gt;='Visual SPC'!$C$4),OR('Visual SPC'!$E$4="",'Data Entry'!$C1766&lt;='Visual SPC'!$E$4),OR('Visual SPC'!$G$4="",'Data Entry'!$D1766='Visual SPC'!$G$4),OR('Visual SPC'!$I$4="",'Data Entry'!$E1766='Visual SPC'!$I$4),OR('Visual SPC'!$K$4="",'Data Entry'!$F1766='Visual SPC'!$K$4)),1,0))</f>
        <v/>
      </c>
      <c r="C1766">
        <f>C1765+B1766</f>
        <v/>
      </c>
      <c r="D1766">
        <f>IF(B1766=1,INDEX('Data Entry'!$H$5:$BE$10004,1766-4,'Visual SPC'!$B$3),"")</f>
        <v/>
      </c>
      <c r="E1766">
        <f>IF(B1766=1,D1766,E1765)</f>
        <v/>
      </c>
      <c r="F1766">
        <f>IF(AND(B1766=1,C1766&gt;1,E1765&lt;&gt;""),ABS(D1766-E1765),"")</f>
        <v/>
      </c>
    </row>
    <row r="1767">
      <c r="A1767" t="n">
        <v>1767</v>
      </c>
      <c r="B1767">
        <f>IF(INDEX('Data Entry'!$H$5:$BE$10004,1767-4,'Visual SPC'!$B$3)="",0,IF(AND(OR('Visual SPC'!$C$4="",'Data Entry'!$C1767&gt;='Visual SPC'!$C$4),OR('Visual SPC'!$E$4="",'Data Entry'!$C1767&lt;='Visual SPC'!$E$4),OR('Visual SPC'!$G$4="",'Data Entry'!$D1767='Visual SPC'!$G$4),OR('Visual SPC'!$I$4="",'Data Entry'!$E1767='Visual SPC'!$I$4),OR('Visual SPC'!$K$4="",'Data Entry'!$F1767='Visual SPC'!$K$4)),1,0))</f>
        <v/>
      </c>
      <c r="C1767">
        <f>C1766+B1767</f>
        <v/>
      </c>
      <c r="D1767">
        <f>IF(B1767=1,INDEX('Data Entry'!$H$5:$BE$10004,1767-4,'Visual SPC'!$B$3),"")</f>
        <v/>
      </c>
      <c r="E1767">
        <f>IF(B1767=1,D1767,E1766)</f>
        <v/>
      </c>
      <c r="F1767">
        <f>IF(AND(B1767=1,C1767&gt;1,E1766&lt;&gt;""),ABS(D1767-E1766),"")</f>
        <v/>
      </c>
    </row>
    <row r="1768">
      <c r="A1768" t="n">
        <v>1768</v>
      </c>
      <c r="B1768">
        <f>IF(INDEX('Data Entry'!$H$5:$BE$10004,1768-4,'Visual SPC'!$B$3)="",0,IF(AND(OR('Visual SPC'!$C$4="",'Data Entry'!$C1768&gt;='Visual SPC'!$C$4),OR('Visual SPC'!$E$4="",'Data Entry'!$C1768&lt;='Visual SPC'!$E$4),OR('Visual SPC'!$G$4="",'Data Entry'!$D1768='Visual SPC'!$G$4),OR('Visual SPC'!$I$4="",'Data Entry'!$E1768='Visual SPC'!$I$4),OR('Visual SPC'!$K$4="",'Data Entry'!$F1768='Visual SPC'!$K$4)),1,0))</f>
        <v/>
      </c>
      <c r="C1768">
        <f>C1767+B1768</f>
        <v/>
      </c>
      <c r="D1768">
        <f>IF(B1768=1,INDEX('Data Entry'!$H$5:$BE$10004,1768-4,'Visual SPC'!$B$3),"")</f>
        <v/>
      </c>
      <c r="E1768">
        <f>IF(B1768=1,D1768,E1767)</f>
        <v/>
      </c>
      <c r="F1768">
        <f>IF(AND(B1768=1,C1768&gt;1,E1767&lt;&gt;""),ABS(D1768-E1767),"")</f>
        <v/>
      </c>
    </row>
    <row r="1769">
      <c r="A1769" t="n">
        <v>1769</v>
      </c>
      <c r="B1769">
        <f>IF(INDEX('Data Entry'!$H$5:$BE$10004,1769-4,'Visual SPC'!$B$3)="",0,IF(AND(OR('Visual SPC'!$C$4="",'Data Entry'!$C1769&gt;='Visual SPC'!$C$4),OR('Visual SPC'!$E$4="",'Data Entry'!$C1769&lt;='Visual SPC'!$E$4),OR('Visual SPC'!$G$4="",'Data Entry'!$D1769='Visual SPC'!$G$4),OR('Visual SPC'!$I$4="",'Data Entry'!$E1769='Visual SPC'!$I$4),OR('Visual SPC'!$K$4="",'Data Entry'!$F1769='Visual SPC'!$K$4)),1,0))</f>
        <v/>
      </c>
      <c r="C1769">
        <f>C1768+B1769</f>
        <v/>
      </c>
      <c r="D1769">
        <f>IF(B1769=1,INDEX('Data Entry'!$H$5:$BE$10004,1769-4,'Visual SPC'!$B$3),"")</f>
        <v/>
      </c>
      <c r="E1769">
        <f>IF(B1769=1,D1769,E1768)</f>
        <v/>
      </c>
      <c r="F1769">
        <f>IF(AND(B1769=1,C1769&gt;1,E1768&lt;&gt;""),ABS(D1769-E1768),"")</f>
        <v/>
      </c>
    </row>
    <row r="1770">
      <c r="A1770" t="n">
        <v>1770</v>
      </c>
      <c r="B1770">
        <f>IF(INDEX('Data Entry'!$H$5:$BE$10004,1770-4,'Visual SPC'!$B$3)="",0,IF(AND(OR('Visual SPC'!$C$4="",'Data Entry'!$C1770&gt;='Visual SPC'!$C$4),OR('Visual SPC'!$E$4="",'Data Entry'!$C1770&lt;='Visual SPC'!$E$4),OR('Visual SPC'!$G$4="",'Data Entry'!$D1770='Visual SPC'!$G$4),OR('Visual SPC'!$I$4="",'Data Entry'!$E1770='Visual SPC'!$I$4),OR('Visual SPC'!$K$4="",'Data Entry'!$F1770='Visual SPC'!$K$4)),1,0))</f>
        <v/>
      </c>
      <c r="C1770">
        <f>C1769+B1770</f>
        <v/>
      </c>
      <c r="D1770">
        <f>IF(B1770=1,INDEX('Data Entry'!$H$5:$BE$10004,1770-4,'Visual SPC'!$B$3),"")</f>
        <v/>
      </c>
      <c r="E1770">
        <f>IF(B1770=1,D1770,E1769)</f>
        <v/>
      </c>
      <c r="F1770">
        <f>IF(AND(B1770=1,C1770&gt;1,E1769&lt;&gt;""),ABS(D1770-E1769),"")</f>
        <v/>
      </c>
    </row>
    <row r="1771">
      <c r="A1771" t="n">
        <v>1771</v>
      </c>
      <c r="B1771">
        <f>IF(INDEX('Data Entry'!$H$5:$BE$10004,1771-4,'Visual SPC'!$B$3)="",0,IF(AND(OR('Visual SPC'!$C$4="",'Data Entry'!$C1771&gt;='Visual SPC'!$C$4),OR('Visual SPC'!$E$4="",'Data Entry'!$C1771&lt;='Visual SPC'!$E$4),OR('Visual SPC'!$G$4="",'Data Entry'!$D1771='Visual SPC'!$G$4),OR('Visual SPC'!$I$4="",'Data Entry'!$E1771='Visual SPC'!$I$4),OR('Visual SPC'!$K$4="",'Data Entry'!$F1771='Visual SPC'!$K$4)),1,0))</f>
        <v/>
      </c>
      <c r="C1771">
        <f>C1770+B1771</f>
        <v/>
      </c>
      <c r="D1771">
        <f>IF(B1771=1,INDEX('Data Entry'!$H$5:$BE$10004,1771-4,'Visual SPC'!$B$3),"")</f>
        <v/>
      </c>
      <c r="E1771">
        <f>IF(B1771=1,D1771,E1770)</f>
        <v/>
      </c>
      <c r="F1771">
        <f>IF(AND(B1771=1,C1771&gt;1,E1770&lt;&gt;""),ABS(D1771-E1770),"")</f>
        <v/>
      </c>
    </row>
    <row r="1772">
      <c r="A1772" t="n">
        <v>1772</v>
      </c>
      <c r="B1772">
        <f>IF(INDEX('Data Entry'!$H$5:$BE$10004,1772-4,'Visual SPC'!$B$3)="",0,IF(AND(OR('Visual SPC'!$C$4="",'Data Entry'!$C1772&gt;='Visual SPC'!$C$4),OR('Visual SPC'!$E$4="",'Data Entry'!$C1772&lt;='Visual SPC'!$E$4),OR('Visual SPC'!$G$4="",'Data Entry'!$D1772='Visual SPC'!$G$4),OR('Visual SPC'!$I$4="",'Data Entry'!$E1772='Visual SPC'!$I$4),OR('Visual SPC'!$K$4="",'Data Entry'!$F1772='Visual SPC'!$K$4)),1,0))</f>
        <v/>
      </c>
      <c r="C1772">
        <f>C1771+B1772</f>
        <v/>
      </c>
      <c r="D1772">
        <f>IF(B1772=1,INDEX('Data Entry'!$H$5:$BE$10004,1772-4,'Visual SPC'!$B$3),"")</f>
        <v/>
      </c>
      <c r="E1772">
        <f>IF(B1772=1,D1772,E1771)</f>
        <v/>
      </c>
      <c r="F1772">
        <f>IF(AND(B1772=1,C1772&gt;1,E1771&lt;&gt;""),ABS(D1772-E1771),"")</f>
        <v/>
      </c>
    </row>
    <row r="1773">
      <c r="A1773" t="n">
        <v>1773</v>
      </c>
      <c r="B1773">
        <f>IF(INDEX('Data Entry'!$H$5:$BE$10004,1773-4,'Visual SPC'!$B$3)="",0,IF(AND(OR('Visual SPC'!$C$4="",'Data Entry'!$C1773&gt;='Visual SPC'!$C$4),OR('Visual SPC'!$E$4="",'Data Entry'!$C1773&lt;='Visual SPC'!$E$4),OR('Visual SPC'!$G$4="",'Data Entry'!$D1773='Visual SPC'!$G$4),OR('Visual SPC'!$I$4="",'Data Entry'!$E1773='Visual SPC'!$I$4),OR('Visual SPC'!$K$4="",'Data Entry'!$F1773='Visual SPC'!$K$4)),1,0))</f>
        <v/>
      </c>
      <c r="C1773">
        <f>C1772+B1773</f>
        <v/>
      </c>
      <c r="D1773">
        <f>IF(B1773=1,INDEX('Data Entry'!$H$5:$BE$10004,1773-4,'Visual SPC'!$B$3),"")</f>
        <v/>
      </c>
      <c r="E1773">
        <f>IF(B1773=1,D1773,E1772)</f>
        <v/>
      </c>
      <c r="F1773">
        <f>IF(AND(B1773=1,C1773&gt;1,E1772&lt;&gt;""),ABS(D1773-E1772),"")</f>
        <v/>
      </c>
    </row>
    <row r="1774">
      <c r="A1774" t="n">
        <v>1774</v>
      </c>
      <c r="B1774">
        <f>IF(INDEX('Data Entry'!$H$5:$BE$10004,1774-4,'Visual SPC'!$B$3)="",0,IF(AND(OR('Visual SPC'!$C$4="",'Data Entry'!$C1774&gt;='Visual SPC'!$C$4),OR('Visual SPC'!$E$4="",'Data Entry'!$C1774&lt;='Visual SPC'!$E$4),OR('Visual SPC'!$G$4="",'Data Entry'!$D1774='Visual SPC'!$G$4),OR('Visual SPC'!$I$4="",'Data Entry'!$E1774='Visual SPC'!$I$4),OR('Visual SPC'!$K$4="",'Data Entry'!$F1774='Visual SPC'!$K$4)),1,0))</f>
        <v/>
      </c>
      <c r="C1774">
        <f>C1773+B1774</f>
        <v/>
      </c>
      <c r="D1774">
        <f>IF(B1774=1,INDEX('Data Entry'!$H$5:$BE$10004,1774-4,'Visual SPC'!$B$3),"")</f>
        <v/>
      </c>
      <c r="E1774">
        <f>IF(B1774=1,D1774,E1773)</f>
        <v/>
      </c>
      <c r="F1774">
        <f>IF(AND(B1774=1,C1774&gt;1,E1773&lt;&gt;""),ABS(D1774-E1773),"")</f>
        <v/>
      </c>
    </row>
    <row r="1775">
      <c r="A1775" t="n">
        <v>1775</v>
      </c>
      <c r="B1775">
        <f>IF(INDEX('Data Entry'!$H$5:$BE$10004,1775-4,'Visual SPC'!$B$3)="",0,IF(AND(OR('Visual SPC'!$C$4="",'Data Entry'!$C1775&gt;='Visual SPC'!$C$4),OR('Visual SPC'!$E$4="",'Data Entry'!$C1775&lt;='Visual SPC'!$E$4),OR('Visual SPC'!$G$4="",'Data Entry'!$D1775='Visual SPC'!$G$4),OR('Visual SPC'!$I$4="",'Data Entry'!$E1775='Visual SPC'!$I$4),OR('Visual SPC'!$K$4="",'Data Entry'!$F1775='Visual SPC'!$K$4)),1,0))</f>
        <v/>
      </c>
      <c r="C1775">
        <f>C1774+B1775</f>
        <v/>
      </c>
      <c r="D1775">
        <f>IF(B1775=1,INDEX('Data Entry'!$H$5:$BE$10004,1775-4,'Visual SPC'!$B$3),"")</f>
        <v/>
      </c>
      <c r="E1775">
        <f>IF(B1775=1,D1775,E1774)</f>
        <v/>
      </c>
      <c r="F1775">
        <f>IF(AND(B1775=1,C1775&gt;1,E1774&lt;&gt;""),ABS(D1775-E1774),"")</f>
        <v/>
      </c>
    </row>
    <row r="1776">
      <c r="A1776" t="n">
        <v>1776</v>
      </c>
      <c r="B1776">
        <f>IF(INDEX('Data Entry'!$H$5:$BE$10004,1776-4,'Visual SPC'!$B$3)="",0,IF(AND(OR('Visual SPC'!$C$4="",'Data Entry'!$C1776&gt;='Visual SPC'!$C$4),OR('Visual SPC'!$E$4="",'Data Entry'!$C1776&lt;='Visual SPC'!$E$4),OR('Visual SPC'!$G$4="",'Data Entry'!$D1776='Visual SPC'!$G$4),OR('Visual SPC'!$I$4="",'Data Entry'!$E1776='Visual SPC'!$I$4),OR('Visual SPC'!$K$4="",'Data Entry'!$F1776='Visual SPC'!$K$4)),1,0))</f>
        <v/>
      </c>
      <c r="C1776">
        <f>C1775+B1776</f>
        <v/>
      </c>
      <c r="D1776">
        <f>IF(B1776=1,INDEX('Data Entry'!$H$5:$BE$10004,1776-4,'Visual SPC'!$B$3),"")</f>
        <v/>
      </c>
      <c r="E1776">
        <f>IF(B1776=1,D1776,E1775)</f>
        <v/>
      </c>
      <c r="F1776">
        <f>IF(AND(B1776=1,C1776&gt;1,E1775&lt;&gt;""),ABS(D1776-E1775),"")</f>
        <v/>
      </c>
    </row>
    <row r="1777">
      <c r="A1777" t="n">
        <v>1777</v>
      </c>
      <c r="B1777">
        <f>IF(INDEX('Data Entry'!$H$5:$BE$10004,1777-4,'Visual SPC'!$B$3)="",0,IF(AND(OR('Visual SPC'!$C$4="",'Data Entry'!$C1777&gt;='Visual SPC'!$C$4),OR('Visual SPC'!$E$4="",'Data Entry'!$C1777&lt;='Visual SPC'!$E$4),OR('Visual SPC'!$G$4="",'Data Entry'!$D1777='Visual SPC'!$G$4),OR('Visual SPC'!$I$4="",'Data Entry'!$E1777='Visual SPC'!$I$4),OR('Visual SPC'!$K$4="",'Data Entry'!$F1777='Visual SPC'!$K$4)),1,0))</f>
        <v/>
      </c>
      <c r="C1777">
        <f>C1776+B1777</f>
        <v/>
      </c>
      <c r="D1777">
        <f>IF(B1777=1,INDEX('Data Entry'!$H$5:$BE$10004,1777-4,'Visual SPC'!$B$3),"")</f>
        <v/>
      </c>
      <c r="E1777">
        <f>IF(B1777=1,D1777,E1776)</f>
        <v/>
      </c>
      <c r="F1777">
        <f>IF(AND(B1777=1,C1777&gt;1,E1776&lt;&gt;""),ABS(D1777-E1776),"")</f>
        <v/>
      </c>
    </row>
    <row r="1778">
      <c r="A1778" t="n">
        <v>1778</v>
      </c>
      <c r="B1778">
        <f>IF(INDEX('Data Entry'!$H$5:$BE$10004,1778-4,'Visual SPC'!$B$3)="",0,IF(AND(OR('Visual SPC'!$C$4="",'Data Entry'!$C1778&gt;='Visual SPC'!$C$4),OR('Visual SPC'!$E$4="",'Data Entry'!$C1778&lt;='Visual SPC'!$E$4),OR('Visual SPC'!$G$4="",'Data Entry'!$D1778='Visual SPC'!$G$4),OR('Visual SPC'!$I$4="",'Data Entry'!$E1778='Visual SPC'!$I$4),OR('Visual SPC'!$K$4="",'Data Entry'!$F1778='Visual SPC'!$K$4)),1,0))</f>
        <v/>
      </c>
      <c r="C1778">
        <f>C1777+B1778</f>
        <v/>
      </c>
      <c r="D1778">
        <f>IF(B1778=1,INDEX('Data Entry'!$H$5:$BE$10004,1778-4,'Visual SPC'!$B$3),"")</f>
        <v/>
      </c>
      <c r="E1778">
        <f>IF(B1778=1,D1778,E1777)</f>
        <v/>
      </c>
      <c r="F1778">
        <f>IF(AND(B1778=1,C1778&gt;1,E1777&lt;&gt;""),ABS(D1778-E1777),"")</f>
        <v/>
      </c>
    </row>
    <row r="1779">
      <c r="A1779" t="n">
        <v>1779</v>
      </c>
      <c r="B1779">
        <f>IF(INDEX('Data Entry'!$H$5:$BE$10004,1779-4,'Visual SPC'!$B$3)="",0,IF(AND(OR('Visual SPC'!$C$4="",'Data Entry'!$C1779&gt;='Visual SPC'!$C$4),OR('Visual SPC'!$E$4="",'Data Entry'!$C1779&lt;='Visual SPC'!$E$4),OR('Visual SPC'!$G$4="",'Data Entry'!$D1779='Visual SPC'!$G$4),OR('Visual SPC'!$I$4="",'Data Entry'!$E1779='Visual SPC'!$I$4),OR('Visual SPC'!$K$4="",'Data Entry'!$F1779='Visual SPC'!$K$4)),1,0))</f>
        <v/>
      </c>
      <c r="C1779">
        <f>C1778+B1779</f>
        <v/>
      </c>
      <c r="D1779">
        <f>IF(B1779=1,INDEX('Data Entry'!$H$5:$BE$10004,1779-4,'Visual SPC'!$B$3),"")</f>
        <v/>
      </c>
      <c r="E1779">
        <f>IF(B1779=1,D1779,E1778)</f>
        <v/>
      </c>
      <c r="F1779">
        <f>IF(AND(B1779=1,C1779&gt;1,E1778&lt;&gt;""),ABS(D1779-E1778),"")</f>
        <v/>
      </c>
    </row>
    <row r="1780">
      <c r="A1780" t="n">
        <v>1780</v>
      </c>
      <c r="B1780">
        <f>IF(INDEX('Data Entry'!$H$5:$BE$10004,1780-4,'Visual SPC'!$B$3)="",0,IF(AND(OR('Visual SPC'!$C$4="",'Data Entry'!$C1780&gt;='Visual SPC'!$C$4),OR('Visual SPC'!$E$4="",'Data Entry'!$C1780&lt;='Visual SPC'!$E$4),OR('Visual SPC'!$G$4="",'Data Entry'!$D1780='Visual SPC'!$G$4),OR('Visual SPC'!$I$4="",'Data Entry'!$E1780='Visual SPC'!$I$4),OR('Visual SPC'!$K$4="",'Data Entry'!$F1780='Visual SPC'!$K$4)),1,0))</f>
        <v/>
      </c>
      <c r="C1780">
        <f>C1779+B1780</f>
        <v/>
      </c>
      <c r="D1780">
        <f>IF(B1780=1,INDEX('Data Entry'!$H$5:$BE$10004,1780-4,'Visual SPC'!$B$3),"")</f>
        <v/>
      </c>
      <c r="E1780">
        <f>IF(B1780=1,D1780,E1779)</f>
        <v/>
      </c>
      <c r="F1780">
        <f>IF(AND(B1780=1,C1780&gt;1,E1779&lt;&gt;""),ABS(D1780-E1779),"")</f>
        <v/>
      </c>
    </row>
    <row r="1781">
      <c r="A1781" t="n">
        <v>1781</v>
      </c>
      <c r="B1781">
        <f>IF(INDEX('Data Entry'!$H$5:$BE$10004,1781-4,'Visual SPC'!$B$3)="",0,IF(AND(OR('Visual SPC'!$C$4="",'Data Entry'!$C1781&gt;='Visual SPC'!$C$4),OR('Visual SPC'!$E$4="",'Data Entry'!$C1781&lt;='Visual SPC'!$E$4),OR('Visual SPC'!$G$4="",'Data Entry'!$D1781='Visual SPC'!$G$4),OR('Visual SPC'!$I$4="",'Data Entry'!$E1781='Visual SPC'!$I$4),OR('Visual SPC'!$K$4="",'Data Entry'!$F1781='Visual SPC'!$K$4)),1,0))</f>
        <v/>
      </c>
      <c r="C1781">
        <f>C1780+B1781</f>
        <v/>
      </c>
      <c r="D1781">
        <f>IF(B1781=1,INDEX('Data Entry'!$H$5:$BE$10004,1781-4,'Visual SPC'!$B$3),"")</f>
        <v/>
      </c>
      <c r="E1781">
        <f>IF(B1781=1,D1781,E1780)</f>
        <v/>
      </c>
      <c r="F1781">
        <f>IF(AND(B1781=1,C1781&gt;1,E1780&lt;&gt;""),ABS(D1781-E1780),"")</f>
        <v/>
      </c>
    </row>
    <row r="1782">
      <c r="A1782" t="n">
        <v>1782</v>
      </c>
      <c r="B1782">
        <f>IF(INDEX('Data Entry'!$H$5:$BE$10004,1782-4,'Visual SPC'!$B$3)="",0,IF(AND(OR('Visual SPC'!$C$4="",'Data Entry'!$C1782&gt;='Visual SPC'!$C$4),OR('Visual SPC'!$E$4="",'Data Entry'!$C1782&lt;='Visual SPC'!$E$4),OR('Visual SPC'!$G$4="",'Data Entry'!$D1782='Visual SPC'!$G$4),OR('Visual SPC'!$I$4="",'Data Entry'!$E1782='Visual SPC'!$I$4),OR('Visual SPC'!$K$4="",'Data Entry'!$F1782='Visual SPC'!$K$4)),1,0))</f>
        <v/>
      </c>
      <c r="C1782">
        <f>C1781+B1782</f>
        <v/>
      </c>
      <c r="D1782">
        <f>IF(B1782=1,INDEX('Data Entry'!$H$5:$BE$10004,1782-4,'Visual SPC'!$B$3),"")</f>
        <v/>
      </c>
      <c r="E1782">
        <f>IF(B1782=1,D1782,E1781)</f>
        <v/>
      </c>
      <c r="F1782">
        <f>IF(AND(B1782=1,C1782&gt;1,E1781&lt;&gt;""),ABS(D1782-E1781),"")</f>
        <v/>
      </c>
    </row>
    <row r="1783">
      <c r="A1783" t="n">
        <v>1783</v>
      </c>
      <c r="B1783">
        <f>IF(INDEX('Data Entry'!$H$5:$BE$10004,1783-4,'Visual SPC'!$B$3)="",0,IF(AND(OR('Visual SPC'!$C$4="",'Data Entry'!$C1783&gt;='Visual SPC'!$C$4),OR('Visual SPC'!$E$4="",'Data Entry'!$C1783&lt;='Visual SPC'!$E$4),OR('Visual SPC'!$G$4="",'Data Entry'!$D1783='Visual SPC'!$G$4),OR('Visual SPC'!$I$4="",'Data Entry'!$E1783='Visual SPC'!$I$4),OR('Visual SPC'!$K$4="",'Data Entry'!$F1783='Visual SPC'!$K$4)),1,0))</f>
        <v/>
      </c>
      <c r="C1783">
        <f>C1782+B1783</f>
        <v/>
      </c>
      <c r="D1783">
        <f>IF(B1783=1,INDEX('Data Entry'!$H$5:$BE$10004,1783-4,'Visual SPC'!$B$3),"")</f>
        <v/>
      </c>
      <c r="E1783">
        <f>IF(B1783=1,D1783,E1782)</f>
        <v/>
      </c>
      <c r="F1783">
        <f>IF(AND(B1783=1,C1783&gt;1,E1782&lt;&gt;""),ABS(D1783-E1782),"")</f>
        <v/>
      </c>
    </row>
    <row r="1784">
      <c r="A1784" t="n">
        <v>1784</v>
      </c>
      <c r="B1784">
        <f>IF(INDEX('Data Entry'!$H$5:$BE$10004,1784-4,'Visual SPC'!$B$3)="",0,IF(AND(OR('Visual SPC'!$C$4="",'Data Entry'!$C1784&gt;='Visual SPC'!$C$4),OR('Visual SPC'!$E$4="",'Data Entry'!$C1784&lt;='Visual SPC'!$E$4),OR('Visual SPC'!$G$4="",'Data Entry'!$D1784='Visual SPC'!$G$4),OR('Visual SPC'!$I$4="",'Data Entry'!$E1784='Visual SPC'!$I$4),OR('Visual SPC'!$K$4="",'Data Entry'!$F1784='Visual SPC'!$K$4)),1,0))</f>
        <v/>
      </c>
      <c r="C1784">
        <f>C1783+B1784</f>
        <v/>
      </c>
      <c r="D1784">
        <f>IF(B1784=1,INDEX('Data Entry'!$H$5:$BE$10004,1784-4,'Visual SPC'!$B$3),"")</f>
        <v/>
      </c>
      <c r="E1784">
        <f>IF(B1784=1,D1784,E1783)</f>
        <v/>
      </c>
      <c r="F1784">
        <f>IF(AND(B1784=1,C1784&gt;1,E1783&lt;&gt;""),ABS(D1784-E1783),"")</f>
        <v/>
      </c>
    </row>
    <row r="1785">
      <c r="A1785" t="n">
        <v>1785</v>
      </c>
      <c r="B1785">
        <f>IF(INDEX('Data Entry'!$H$5:$BE$10004,1785-4,'Visual SPC'!$B$3)="",0,IF(AND(OR('Visual SPC'!$C$4="",'Data Entry'!$C1785&gt;='Visual SPC'!$C$4),OR('Visual SPC'!$E$4="",'Data Entry'!$C1785&lt;='Visual SPC'!$E$4),OR('Visual SPC'!$G$4="",'Data Entry'!$D1785='Visual SPC'!$G$4),OR('Visual SPC'!$I$4="",'Data Entry'!$E1785='Visual SPC'!$I$4),OR('Visual SPC'!$K$4="",'Data Entry'!$F1785='Visual SPC'!$K$4)),1,0))</f>
        <v/>
      </c>
      <c r="C1785">
        <f>C1784+B1785</f>
        <v/>
      </c>
      <c r="D1785">
        <f>IF(B1785=1,INDEX('Data Entry'!$H$5:$BE$10004,1785-4,'Visual SPC'!$B$3),"")</f>
        <v/>
      </c>
      <c r="E1785">
        <f>IF(B1785=1,D1785,E1784)</f>
        <v/>
      </c>
      <c r="F1785">
        <f>IF(AND(B1785=1,C1785&gt;1,E1784&lt;&gt;""),ABS(D1785-E1784),"")</f>
        <v/>
      </c>
    </row>
    <row r="1786">
      <c r="A1786" t="n">
        <v>1786</v>
      </c>
      <c r="B1786">
        <f>IF(INDEX('Data Entry'!$H$5:$BE$10004,1786-4,'Visual SPC'!$B$3)="",0,IF(AND(OR('Visual SPC'!$C$4="",'Data Entry'!$C1786&gt;='Visual SPC'!$C$4),OR('Visual SPC'!$E$4="",'Data Entry'!$C1786&lt;='Visual SPC'!$E$4),OR('Visual SPC'!$G$4="",'Data Entry'!$D1786='Visual SPC'!$G$4),OR('Visual SPC'!$I$4="",'Data Entry'!$E1786='Visual SPC'!$I$4),OR('Visual SPC'!$K$4="",'Data Entry'!$F1786='Visual SPC'!$K$4)),1,0))</f>
        <v/>
      </c>
      <c r="C1786">
        <f>C1785+B1786</f>
        <v/>
      </c>
      <c r="D1786">
        <f>IF(B1786=1,INDEX('Data Entry'!$H$5:$BE$10004,1786-4,'Visual SPC'!$B$3),"")</f>
        <v/>
      </c>
      <c r="E1786">
        <f>IF(B1786=1,D1786,E1785)</f>
        <v/>
      </c>
      <c r="F1786">
        <f>IF(AND(B1786=1,C1786&gt;1,E1785&lt;&gt;""),ABS(D1786-E1785),"")</f>
        <v/>
      </c>
    </row>
    <row r="1787">
      <c r="A1787" t="n">
        <v>1787</v>
      </c>
      <c r="B1787">
        <f>IF(INDEX('Data Entry'!$H$5:$BE$10004,1787-4,'Visual SPC'!$B$3)="",0,IF(AND(OR('Visual SPC'!$C$4="",'Data Entry'!$C1787&gt;='Visual SPC'!$C$4),OR('Visual SPC'!$E$4="",'Data Entry'!$C1787&lt;='Visual SPC'!$E$4),OR('Visual SPC'!$G$4="",'Data Entry'!$D1787='Visual SPC'!$G$4),OR('Visual SPC'!$I$4="",'Data Entry'!$E1787='Visual SPC'!$I$4),OR('Visual SPC'!$K$4="",'Data Entry'!$F1787='Visual SPC'!$K$4)),1,0))</f>
        <v/>
      </c>
      <c r="C1787">
        <f>C1786+B1787</f>
        <v/>
      </c>
      <c r="D1787">
        <f>IF(B1787=1,INDEX('Data Entry'!$H$5:$BE$10004,1787-4,'Visual SPC'!$B$3),"")</f>
        <v/>
      </c>
      <c r="E1787">
        <f>IF(B1787=1,D1787,E1786)</f>
        <v/>
      </c>
      <c r="F1787">
        <f>IF(AND(B1787=1,C1787&gt;1,E1786&lt;&gt;""),ABS(D1787-E1786),"")</f>
        <v/>
      </c>
    </row>
    <row r="1788">
      <c r="A1788" t="n">
        <v>1788</v>
      </c>
      <c r="B1788">
        <f>IF(INDEX('Data Entry'!$H$5:$BE$10004,1788-4,'Visual SPC'!$B$3)="",0,IF(AND(OR('Visual SPC'!$C$4="",'Data Entry'!$C1788&gt;='Visual SPC'!$C$4),OR('Visual SPC'!$E$4="",'Data Entry'!$C1788&lt;='Visual SPC'!$E$4),OR('Visual SPC'!$G$4="",'Data Entry'!$D1788='Visual SPC'!$G$4),OR('Visual SPC'!$I$4="",'Data Entry'!$E1788='Visual SPC'!$I$4),OR('Visual SPC'!$K$4="",'Data Entry'!$F1788='Visual SPC'!$K$4)),1,0))</f>
        <v/>
      </c>
      <c r="C1788">
        <f>C1787+B1788</f>
        <v/>
      </c>
      <c r="D1788">
        <f>IF(B1788=1,INDEX('Data Entry'!$H$5:$BE$10004,1788-4,'Visual SPC'!$B$3),"")</f>
        <v/>
      </c>
      <c r="E1788">
        <f>IF(B1788=1,D1788,E1787)</f>
        <v/>
      </c>
      <c r="F1788">
        <f>IF(AND(B1788=1,C1788&gt;1,E1787&lt;&gt;""),ABS(D1788-E1787),"")</f>
        <v/>
      </c>
    </row>
    <row r="1789">
      <c r="A1789" t="n">
        <v>1789</v>
      </c>
      <c r="B1789">
        <f>IF(INDEX('Data Entry'!$H$5:$BE$10004,1789-4,'Visual SPC'!$B$3)="",0,IF(AND(OR('Visual SPC'!$C$4="",'Data Entry'!$C1789&gt;='Visual SPC'!$C$4),OR('Visual SPC'!$E$4="",'Data Entry'!$C1789&lt;='Visual SPC'!$E$4),OR('Visual SPC'!$G$4="",'Data Entry'!$D1789='Visual SPC'!$G$4),OR('Visual SPC'!$I$4="",'Data Entry'!$E1789='Visual SPC'!$I$4),OR('Visual SPC'!$K$4="",'Data Entry'!$F1789='Visual SPC'!$K$4)),1,0))</f>
        <v/>
      </c>
      <c r="C1789">
        <f>C1788+B1789</f>
        <v/>
      </c>
      <c r="D1789">
        <f>IF(B1789=1,INDEX('Data Entry'!$H$5:$BE$10004,1789-4,'Visual SPC'!$B$3),"")</f>
        <v/>
      </c>
      <c r="E1789">
        <f>IF(B1789=1,D1789,E1788)</f>
        <v/>
      </c>
      <c r="F1789">
        <f>IF(AND(B1789=1,C1789&gt;1,E1788&lt;&gt;""),ABS(D1789-E1788),"")</f>
        <v/>
      </c>
    </row>
    <row r="1790">
      <c r="A1790" t="n">
        <v>1790</v>
      </c>
      <c r="B1790">
        <f>IF(INDEX('Data Entry'!$H$5:$BE$10004,1790-4,'Visual SPC'!$B$3)="",0,IF(AND(OR('Visual SPC'!$C$4="",'Data Entry'!$C1790&gt;='Visual SPC'!$C$4),OR('Visual SPC'!$E$4="",'Data Entry'!$C1790&lt;='Visual SPC'!$E$4),OR('Visual SPC'!$G$4="",'Data Entry'!$D1790='Visual SPC'!$G$4),OR('Visual SPC'!$I$4="",'Data Entry'!$E1790='Visual SPC'!$I$4),OR('Visual SPC'!$K$4="",'Data Entry'!$F1790='Visual SPC'!$K$4)),1,0))</f>
        <v/>
      </c>
      <c r="C1790">
        <f>C1789+B1790</f>
        <v/>
      </c>
      <c r="D1790">
        <f>IF(B1790=1,INDEX('Data Entry'!$H$5:$BE$10004,1790-4,'Visual SPC'!$B$3),"")</f>
        <v/>
      </c>
      <c r="E1790">
        <f>IF(B1790=1,D1790,E1789)</f>
        <v/>
      </c>
      <c r="F1790">
        <f>IF(AND(B1790=1,C1790&gt;1,E1789&lt;&gt;""),ABS(D1790-E1789),"")</f>
        <v/>
      </c>
    </row>
    <row r="1791">
      <c r="A1791" t="n">
        <v>1791</v>
      </c>
      <c r="B1791">
        <f>IF(INDEX('Data Entry'!$H$5:$BE$10004,1791-4,'Visual SPC'!$B$3)="",0,IF(AND(OR('Visual SPC'!$C$4="",'Data Entry'!$C1791&gt;='Visual SPC'!$C$4),OR('Visual SPC'!$E$4="",'Data Entry'!$C1791&lt;='Visual SPC'!$E$4),OR('Visual SPC'!$G$4="",'Data Entry'!$D1791='Visual SPC'!$G$4),OR('Visual SPC'!$I$4="",'Data Entry'!$E1791='Visual SPC'!$I$4),OR('Visual SPC'!$K$4="",'Data Entry'!$F1791='Visual SPC'!$K$4)),1,0))</f>
        <v/>
      </c>
      <c r="C1791">
        <f>C1790+B1791</f>
        <v/>
      </c>
      <c r="D1791">
        <f>IF(B1791=1,INDEX('Data Entry'!$H$5:$BE$10004,1791-4,'Visual SPC'!$B$3),"")</f>
        <v/>
      </c>
      <c r="E1791">
        <f>IF(B1791=1,D1791,E1790)</f>
        <v/>
      </c>
      <c r="F1791">
        <f>IF(AND(B1791=1,C1791&gt;1,E1790&lt;&gt;""),ABS(D1791-E1790),"")</f>
        <v/>
      </c>
    </row>
    <row r="1792">
      <c r="A1792" t="n">
        <v>1792</v>
      </c>
      <c r="B1792">
        <f>IF(INDEX('Data Entry'!$H$5:$BE$10004,1792-4,'Visual SPC'!$B$3)="",0,IF(AND(OR('Visual SPC'!$C$4="",'Data Entry'!$C1792&gt;='Visual SPC'!$C$4),OR('Visual SPC'!$E$4="",'Data Entry'!$C1792&lt;='Visual SPC'!$E$4),OR('Visual SPC'!$G$4="",'Data Entry'!$D1792='Visual SPC'!$G$4),OR('Visual SPC'!$I$4="",'Data Entry'!$E1792='Visual SPC'!$I$4),OR('Visual SPC'!$K$4="",'Data Entry'!$F1792='Visual SPC'!$K$4)),1,0))</f>
        <v/>
      </c>
      <c r="C1792">
        <f>C1791+B1792</f>
        <v/>
      </c>
      <c r="D1792">
        <f>IF(B1792=1,INDEX('Data Entry'!$H$5:$BE$10004,1792-4,'Visual SPC'!$B$3),"")</f>
        <v/>
      </c>
      <c r="E1792">
        <f>IF(B1792=1,D1792,E1791)</f>
        <v/>
      </c>
      <c r="F1792">
        <f>IF(AND(B1792=1,C1792&gt;1,E1791&lt;&gt;""),ABS(D1792-E1791),"")</f>
        <v/>
      </c>
    </row>
    <row r="1793">
      <c r="A1793" t="n">
        <v>1793</v>
      </c>
      <c r="B1793">
        <f>IF(INDEX('Data Entry'!$H$5:$BE$10004,1793-4,'Visual SPC'!$B$3)="",0,IF(AND(OR('Visual SPC'!$C$4="",'Data Entry'!$C1793&gt;='Visual SPC'!$C$4),OR('Visual SPC'!$E$4="",'Data Entry'!$C1793&lt;='Visual SPC'!$E$4),OR('Visual SPC'!$G$4="",'Data Entry'!$D1793='Visual SPC'!$G$4),OR('Visual SPC'!$I$4="",'Data Entry'!$E1793='Visual SPC'!$I$4),OR('Visual SPC'!$K$4="",'Data Entry'!$F1793='Visual SPC'!$K$4)),1,0))</f>
        <v/>
      </c>
      <c r="C1793">
        <f>C1792+B1793</f>
        <v/>
      </c>
      <c r="D1793">
        <f>IF(B1793=1,INDEX('Data Entry'!$H$5:$BE$10004,1793-4,'Visual SPC'!$B$3),"")</f>
        <v/>
      </c>
      <c r="E1793">
        <f>IF(B1793=1,D1793,E1792)</f>
        <v/>
      </c>
      <c r="F1793">
        <f>IF(AND(B1793=1,C1793&gt;1,E1792&lt;&gt;""),ABS(D1793-E1792),"")</f>
        <v/>
      </c>
    </row>
    <row r="1794">
      <c r="A1794" t="n">
        <v>1794</v>
      </c>
      <c r="B1794">
        <f>IF(INDEX('Data Entry'!$H$5:$BE$10004,1794-4,'Visual SPC'!$B$3)="",0,IF(AND(OR('Visual SPC'!$C$4="",'Data Entry'!$C1794&gt;='Visual SPC'!$C$4),OR('Visual SPC'!$E$4="",'Data Entry'!$C1794&lt;='Visual SPC'!$E$4),OR('Visual SPC'!$G$4="",'Data Entry'!$D1794='Visual SPC'!$G$4),OR('Visual SPC'!$I$4="",'Data Entry'!$E1794='Visual SPC'!$I$4),OR('Visual SPC'!$K$4="",'Data Entry'!$F1794='Visual SPC'!$K$4)),1,0))</f>
        <v/>
      </c>
      <c r="C1794">
        <f>C1793+B1794</f>
        <v/>
      </c>
      <c r="D1794">
        <f>IF(B1794=1,INDEX('Data Entry'!$H$5:$BE$10004,1794-4,'Visual SPC'!$B$3),"")</f>
        <v/>
      </c>
      <c r="E1794">
        <f>IF(B1794=1,D1794,E1793)</f>
        <v/>
      </c>
      <c r="F1794">
        <f>IF(AND(B1794=1,C1794&gt;1,E1793&lt;&gt;""),ABS(D1794-E1793),"")</f>
        <v/>
      </c>
    </row>
    <row r="1795">
      <c r="A1795" t="n">
        <v>1795</v>
      </c>
      <c r="B1795">
        <f>IF(INDEX('Data Entry'!$H$5:$BE$10004,1795-4,'Visual SPC'!$B$3)="",0,IF(AND(OR('Visual SPC'!$C$4="",'Data Entry'!$C1795&gt;='Visual SPC'!$C$4),OR('Visual SPC'!$E$4="",'Data Entry'!$C1795&lt;='Visual SPC'!$E$4),OR('Visual SPC'!$G$4="",'Data Entry'!$D1795='Visual SPC'!$G$4),OR('Visual SPC'!$I$4="",'Data Entry'!$E1795='Visual SPC'!$I$4),OR('Visual SPC'!$K$4="",'Data Entry'!$F1795='Visual SPC'!$K$4)),1,0))</f>
        <v/>
      </c>
      <c r="C1795">
        <f>C1794+B1795</f>
        <v/>
      </c>
      <c r="D1795">
        <f>IF(B1795=1,INDEX('Data Entry'!$H$5:$BE$10004,1795-4,'Visual SPC'!$B$3),"")</f>
        <v/>
      </c>
      <c r="E1795">
        <f>IF(B1795=1,D1795,E1794)</f>
        <v/>
      </c>
      <c r="F1795">
        <f>IF(AND(B1795=1,C1795&gt;1,E1794&lt;&gt;""),ABS(D1795-E1794),"")</f>
        <v/>
      </c>
    </row>
    <row r="1796">
      <c r="A1796" t="n">
        <v>1796</v>
      </c>
      <c r="B1796">
        <f>IF(INDEX('Data Entry'!$H$5:$BE$10004,1796-4,'Visual SPC'!$B$3)="",0,IF(AND(OR('Visual SPC'!$C$4="",'Data Entry'!$C1796&gt;='Visual SPC'!$C$4),OR('Visual SPC'!$E$4="",'Data Entry'!$C1796&lt;='Visual SPC'!$E$4),OR('Visual SPC'!$G$4="",'Data Entry'!$D1796='Visual SPC'!$G$4),OR('Visual SPC'!$I$4="",'Data Entry'!$E1796='Visual SPC'!$I$4),OR('Visual SPC'!$K$4="",'Data Entry'!$F1796='Visual SPC'!$K$4)),1,0))</f>
        <v/>
      </c>
      <c r="C1796">
        <f>C1795+B1796</f>
        <v/>
      </c>
      <c r="D1796">
        <f>IF(B1796=1,INDEX('Data Entry'!$H$5:$BE$10004,1796-4,'Visual SPC'!$B$3),"")</f>
        <v/>
      </c>
      <c r="E1796">
        <f>IF(B1796=1,D1796,E1795)</f>
        <v/>
      </c>
      <c r="F1796">
        <f>IF(AND(B1796=1,C1796&gt;1,E1795&lt;&gt;""),ABS(D1796-E1795),"")</f>
        <v/>
      </c>
    </row>
    <row r="1797">
      <c r="A1797" t="n">
        <v>1797</v>
      </c>
      <c r="B1797">
        <f>IF(INDEX('Data Entry'!$H$5:$BE$10004,1797-4,'Visual SPC'!$B$3)="",0,IF(AND(OR('Visual SPC'!$C$4="",'Data Entry'!$C1797&gt;='Visual SPC'!$C$4),OR('Visual SPC'!$E$4="",'Data Entry'!$C1797&lt;='Visual SPC'!$E$4),OR('Visual SPC'!$G$4="",'Data Entry'!$D1797='Visual SPC'!$G$4),OR('Visual SPC'!$I$4="",'Data Entry'!$E1797='Visual SPC'!$I$4),OR('Visual SPC'!$K$4="",'Data Entry'!$F1797='Visual SPC'!$K$4)),1,0))</f>
        <v/>
      </c>
      <c r="C1797">
        <f>C1796+B1797</f>
        <v/>
      </c>
      <c r="D1797">
        <f>IF(B1797=1,INDEX('Data Entry'!$H$5:$BE$10004,1797-4,'Visual SPC'!$B$3),"")</f>
        <v/>
      </c>
      <c r="E1797">
        <f>IF(B1797=1,D1797,E1796)</f>
        <v/>
      </c>
      <c r="F1797">
        <f>IF(AND(B1797=1,C1797&gt;1,E1796&lt;&gt;""),ABS(D1797-E1796),"")</f>
        <v/>
      </c>
    </row>
    <row r="1798">
      <c r="A1798" t="n">
        <v>1798</v>
      </c>
      <c r="B1798">
        <f>IF(INDEX('Data Entry'!$H$5:$BE$10004,1798-4,'Visual SPC'!$B$3)="",0,IF(AND(OR('Visual SPC'!$C$4="",'Data Entry'!$C1798&gt;='Visual SPC'!$C$4),OR('Visual SPC'!$E$4="",'Data Entry'!$C1798&lt;='Visual SPC'!$E$4),OR('Visual SPC'!$G$4="",'Data Entry'!$D1798='Visual SPC'!$G$4),OR('Visual SPC'!$I$4="",'Data Entry'!$E1798='Visual SPC'!$I$4),OR('Visual SPC'!$K$4="",'Data Entry'!$F1798='Visual SPC'!$K$4)),1,0))</f>
        <v/>
      </c>
      <c r="C1798">
        <f>C1797+B1798</f>
        <v/>
      </c>
      <c r="D1798">
        <f>IF(B1798=1,INDEX('Data Entry'!$H$5:$BE$10004,1798-4,'Visual SPC'!$B$3),"")</f>
        <v/>
      </c>
      <c r="E1798">
        <f>IF(B1798=1,D1798,E1797)</f>
        <v/>
      </c>
      <c r="F1798">
        <f>IF(AND(B1798=1,C1798&gt;1,E1797&lt;&gt;""),ABS(D1798-E1797),"")</f>
        <v/>
      </c>
    </row>
    <row r="1799">
      <c r="A1799" t="n">
        <v>1799</v>
      </c>
      <c r="B1799">
        <f>IF(INDEX('Data Entry'!$H$5:$BE$10004,1799-4,'Visual SPC'!$B$3)="",0,IF(AND(OR('Visual SPC'!$C$4="",'Data Entry'!$C1799&gt;='Visual SPC'!$C$4),OR('Visual SPC'!$E$4="",'Data Entry'!$C1799&lt;='Visual SPC'!$E$4),OR('Visual SPC'!$G$4="",'Data Entry'!$D1799='Visual SPC'!$G$4),OR('Visual SPC'!$I$4="",'Data Entry'!$E1799='Visual SPC'!$I$4),OR('Visual SPC'!$K$4="",'Data Entry'!$F1799='Visual SPC'!$K$4)),1,0))</f>
        <v/>
      </c>
      <c r="C1799">
        <f>C1798+B1799</f>
        <v/>
      </c>
      <c r="D1799">
        <f>IF(B1799=1,INDEX('Data Entry'!$H$5:$BE$10004,1799-4,'Visual SPC'!$B$3),"")</f>
        <v/>
      </c>
      <c r="E1799">
        <f>IF(B1799=1,D1799,E1798)</f>
        <v/>
      </c>
      <c r="F1799">
        <f>IF(AND(B1799=1,C1799&gt;1,E1798&lt;&gt;""),ABS(D1799-E1798),"")</f>
        <v/>
      </c>
    </row>
    <row r="1800">
      <c r="A1800" t="n">
        <v>1800</v>
      </c>
      <c r="B1800">
        <f>IF(INDEX('Data Entry'!$H$5:$BE$10004,1800-4,'Visual SPC'!$B$3)="",0,IF(AND(OR('Visual SPC'!$C$4="",'Data Entry'!$C1800&gt;='Visual SPC'!$C$4),OR('Visual SPC'!$E$4="",'Data Entry'!$C1800&lt;='Visual SPC'!$E$4),OR('Visual SPC'!$G$4="",'Data Entry'!$D1800='Visual SPC'!$G$4),OR('Visual SPC'!$I$4="",'Data Entry'!$E1800='Visual SPC'!$I$4),OR('Visual SPC'!$K$4="",'Data Entry'!$F1800='Visual SPC'!$K$4)),1,0))</f>
        <v/>
      </c>
      <c r="C1800">
        <f>C1799+B1800</f>
        <v/>
      </c>
      <c r="D1800">
        <f>IF(B1800=1,INDEX('Data Entry'!$H$5:$BE$10004,1800-4,'Visual SPC'!$B$3),"")</f>
        <v/>
      </c>
      <c r="E1800">
        <f>IF(B1800=1,D1800,E1799)</f>
        <v/>
      </c>
      <c r="F1800">
        <f>IF(AND(B1800=1,C1800&gt;1,E1799&lt;&gt;""),ABS(D1800-E1799),"")</f>
        <v/>
      </c>
    </row>
    <row r="1801">
      <c r="A1801" t="n">
        <v>1801</v>
      </c>
      <c r="B1801">
        <f>IF(INDEX('Data Entry'!$H$5:$BE$10004,1801-4,'Visual SPC'!$B$3)="",0,IF(AND(OR('Visual SPC'!$C$4="",'Data Entry'!$C1801&gt;='Visual SPC'!$C$4),OR('Visual SPC'!$E$4="",'Data Entry'!$C1801&lt;='Visual SPC'!$E$4),OR('Visual SPC'!$G$4="",'Data Entry'!$D1801='Visual SPC'!$G$4),OR('Visual SPC'!$I$4="",'Data Entry'!$E1801='Visual SPC'!$I$4),OR('Visual SPC'!$K$4="",'Data Entry'!$F1801='Visual SPC'!$K$4)),1,0))</f>
        <v/>
      </c>
      <c r="C1801">
        <f>C1800+B1801</f>
        <v/>
      </c>
      <c r="D1801">
        <f>IF(B1801=1,INDEX('Data Entry'!$H$5:$BE$10004,1801-4,'Visual SPC'!$B$3),"")</f>
        <v/>
      </c>
      <c r="E1801">
        <f>IF(B1801=1,D1801,E1800)</f>
        <v/>
      </c>
      <c r="F1801">
        <f>IF(AND(B1801=1,C1801&gt;1,E1800&lt;&gt;""),ABS(D1801-E1800),"")</f>
        <v/>
      </c>
    </row>
    <row r="1802">
      <c r="A1802" t="n">
        <v>1802</v>
      </c>
      <c r="B1802">
        <f>IF(INDEX('Data Entry'!$H$5:$BE$10004,1802-4,'Visual SPC'!$B$3)="",0,IF(AND(OR('Visual SPC'!$C$4="",'Data Entry'!$C1802&gt;='Visual SPC'!$C$4),OR('Visual SPC'!$E$4="",'Data Entry'!$C1802&lt;='Visual SPC'!$E$4),OR('Visual SPC'!$G$4="",'Data Entry'!$D1802='Visual SPC'!$G$4),OR('Visual SPC'!$I$4="",'Data Entry'!$E1802='Visual SPC'!$I$4),OR('Visual SPC'!$K$4="",'Data Entry'!$F1802='Visual SPC'!$K$4)),1,0))</f>
        <v/>
      </c>
      <c r="C1802">
        <f>C1801+B1802</f>
        <v/>
      </c>
      <c r="D1802">
        <f>IF(B1802=1,INDEX('Data Entry'!$H$5:$BE$10004,1802-4,'Visual SPC'!$B$3),"")</f>
        <v/>
      </c>
      <c r="E1802">
        <f>IF(B1802=1,D1802,E1801)</f>
        <v/>
      </c>
      <c r="F1802">
        <f>IF(AND(B1802=1,C1802&gt;1,E1801&lt;&gt;""),ABS(D1802-E1801),"")</f>
        <v/>
      </c>
    </row>
    <row r="1803">
      <c r="A1803" t="n">
        <v>1803</v>
      </c>
      <c r="B1803">
        <f>IF(INDEX('Data Entry'!$H$5:$BE$10004,1803-4,'Visual SPC'!$B$3)="",0,IF(AND(OR('Visual SPC'!$C$4="",'Data Entry'!$C1803&gt;='Visual SPC'!$C$4),OR('Visual SPC'!$E$4="",'Data Entry'!$C1803&lt;='Visual SPC'!$E$4),OR('Visual SPC'!$G$4="",'Data Entry'!$D1803='Visual SPC'!$G$4),OR('Visual SPC'!$I$4="",'Data Entry'!$E1803='Visual SPC'!$I$4),OR('Visual SPC'!$K$4="",'Data Entry'!$F1803='Visual SPC'!$K$4)),1,0))</f>
        <v/>
      </c>
      <c r="C1803">
        <f>C1802+B1803</f>
        <v/>
      </c>
      <c r="D1803">
        <f>IF(B1803=1,INDEX('Data Entry'!$H$5:$BE$10004,1803-4,'Visual SPC'!$B$3),"")</f>
        <v/>
      </c>
      <c r="E1803">
        <f>IF(B1803=1,D1803,E1802)</f>
        <v/>
      </c>
      <c r="F1803">
        <f>IF(AND(B1803=1,C1803&gt;1,E1802&lt;&gt;""),ABS(D1803-E1802),"")</f>
        <v/>
      </c>
    </row>
    <row r="1804">
      <c r="A1804" t="n">
        <v>1804</v>
      </c>
      <c r="B1804">
        <f>IF(INDEX('Data Entry'!$H$5:$BE$10004,1804-4,'Visual SPC'!$B$3)="",0,IF(AND(OR('Visual SPC'!$C$4="",'Data Entry'!$C1804&gt;='Visual SPC'!$C$4),OR('Visual SPC'!$E$4="",'Data Entry'!$C1804&lt;='Visual SPC'!$E$4),OR('Visual SPC'!$G$4="",'Data Entry'!$D1804='Visual SPC'!$G$4),OR('Visual SPC'!$I$4="",'Data Entry'!$E1804='Visual SPC'!$I$4),OR('Visual SPC'!$K$4="",'Data Entry'!$F1804='Visual SPC'!$K$4)),1,0))</f>
        <v/>
      </c>
      <c r="C1804">
        <f>C1803+B1804</f>
        <v/>
      </c>
      <c r="D1804">
        <f>IF(B1804=1,INDEX('Data Entry'!$H$5:$BE$10004,1804-4,'Visual SPC'!$B$3),"")</f>
        <v/>
      </c>
      <c r="E1804">
        <f>IF(B1804=1,D1804,E1803)</f>
        <v/>
      </c>
      <c r="F1804">
        <f>IF(AND(B1804=1,C1804&gt;1,E1803&lt;&gt;""),ABS(D1804-E1803),"")</f>
        <v/>
      </c>
    </row>
    <row r="1805">
      <c r="A1805" t="n">
        <v>1805</v>
      </c>
      <c r="B1805">
        <f>IF(INDEX('Data Entry'!$H$5:$BE$10004,1805-4,'Visual SPC'!$B$3)="",0,IF(AND(OR('Visual SPC'!$C$4="",'Data Entry'!$C1805&gt;='Visual SPC'!$C$4),OR('Visual SPC'!$E$4="",'Data Entry'!$C1805&lt;='Visual SPC'!$E$4),OR('Visual SPC'!$G$4="",'Data Entry'!$D1805='Visual SPC'!$G$4),OR('Visual SPC'!$I$4="",'Data Entry'!$E1805='Visual SPC'!$I$4),OR('Visual SPC'!$K$4="",'Data Entry'!$F1805='Visual SPC'!$K$4)),1,0))</f>
        <v/>
      </c>
      <c r="C1805">
        <f>C1804+B1805</f>
        <v/>
      </c>
      <c r="D1805">
        <f>IF(B1805=1,INDEX('Data Entry'!$H$5:$BE$10004,1805-4,'Visual SPC'!$B$3),"")</f>
        <v/>
      </c>
      <c r="E1805">
        <f>IF(B1805=1,D1805,E1804)</f>
        <v/>
      </c>
      <c r="F1805">
        <f>IF(AND(B1805=1,C1805&gt;1,E1804&lt;&gt;""),ABS(D1805-E1804),"")</f>
        <v/>
      </c>
    </row>
    <row r="1806">
      <c r="A1806" t="n">
        <v>1806</v>
      </c>
      <c r="B1806">
        <f>IF(INDEX('Data Entry'!$H$5:$BE$10004,1806-4,'Visual SPC'!$B$3)="",0,IF(AND(OR('Visual SPC'!$C$4="",'Data Entry'!$C1806&gt;='Visual SPC'!$C$4),OR('Visual SPC'!$E$4="",'Data Entry'!$C1806&lt;='Visual SPC'!$E$4),OR('Visual SPC'!$G$4="",'Data Entry'!$D1806='Visual SPC'!$G$4),OR('Visual SPC'!$I$4="",'Data Entry'!$E1806='Visual SPC'!$I$4),OR('Visual SPC'!$K$4="",'Data Entry'!$F1806='Visual SPC'!$K$4)),1,0))</f>
        <v/>
      </c>
      <c r="C1806">
        <f>C1805+B1806</f>
        <v/>
      </c>
      <c r="D1806">
        <f>IF(B1806=1,INDEX('Data Entry'!$H$5:$BE$10004,1806-4,'Visual SPC'!$B$3),"")</f>
        <v/>
      </c>
      <c r="E1806">
        <f>IF(B1806=1,D1806,E1805)</f>
        <v/>
      </c>
      <c r="F1806">
        <f>IF(AND(B1806=1,C1806&gt;1,E1805&lt;&gt;""),ABS(D1806-E1805),"")</f>
        <v/>
      </c>
    </row>
    <row r="1807">
      <c r="A1807" t="n">
        <v>1807</v>
      </c>
      <c r="B1807">
        <f>IF(INDEX('Data Entry'!$H$5:$BE$10004,1807-4,'Visual SPC'!$B$3)="",0,IF(AND(OR('Visual SPC'!$C$4="",'Data Entry'!$C1807&gt;='Visual SPC'!$C$4),OR('Visual SPC'!$E$4="",'Data Entry'!$C1807&lt;='Visual SPC'!$E$4),OR('Visual SPC'!$G$4="",'Data Entry'!$D1807='Visual SPC'!$G$4),OR('Visual SPC'!$I$4="",'Data Entry'!$E1807='Visual SPC'!$I$4),OR('Visual SPC'!$K$4="",'Data Entry'!$F1807='Visual SPC'!$K$4)),1,0))</f>
        <v/>
      </c>
      <c r="C1807">
        <f>C1806+B1807</f>
        <v/>
      </c>
      <c r="D1807">
        <f>IF(B1807=1,INDEX('Data Entry'!$H$5:$BE$10004,1807-4,'Visual SPC'!$B$3),"")</f>
        <v/>
      </c>
      <c r="E1807">
        <f>IF(B1807=1,D1807,E1806)</f>
        <v/>
      </c>
      <c r="F1807">
        <f>IF(AND(B1807=1,C1807&gt;1,E1806&lt;&gt;""),ABS(D1807-E1806),"")</f>
        <v/>
      </c>
    </row>
    <row r="1808">
      <c r="A1808" t="n">
        <v>1808</v>
      </c>
      <c r="B1808">
        <f>IF(INDEX('Data Entry'!$H$5:$BE$10004,1808-4,'Visual SPC'!$B$3)="",0,IF(AND(OR('Visual SPC'!$C$4="",'Data Entry'!$C1808&gt;='Visual SPC'!$C$4),OR('Visual SPC'!$E$4="",'Data Entry'!$C1808&lt;='Visual SPC'!$E$4),OR('Visual SPC'!$G$4="",'Data Entry'!$D1808='Visual SPC'!$G$4),OR('Visual SPC'!$I$4="",'Data Entry'!$E1808='Visual SPC'!$I$4),OR('Visual SPC'!$K$4="",'Data Entry'!$F1808='Visual SPC'!$K$4)),1,0))</f>
        <v/>
      </c>
      <c r="C1808">
        <f>C1807+B1808</f>
        <v/>
      </c>
      <c r="D1808">
        <f>IF(B1808=1,INDEX('Data Entry'!$H$5:$BE$10004,1808-4,'Visual SPC'!$B$3),"")</f>
        <v/>
      </c>
      <c r="E1808">
        <f>IF(B1808=1,D1808,E1807)</f>
        <v/>
      </c>
      <c r="F1808">
        <f>IF(AND(B1808=1,C1808&gt;1,E1807&lt;&gt;""),ABS(D1808-E1807),"")</f>
        <v/>
      </c>
    </row>
    <row r="1809">
      <c r="A1809" t="n">
        <v>1809</v>
      </c>
      <c r="B1809">
        <f>IF(INDEX('Data Entry'!$H$5:$BE$10004,1809-4,'Visual SPC'!$B$3)="",0,IF(AND(OR('Visual SPC'!$C$4="",'Data Entry'!$C1809&gt;='Visual SPC'!$C$4),OR('Visual SPC'!$E$4="",'Data Entry'!$C1809&lt;='Visual SPC'!$E$4),OR('Visual SPC'!$G$4="",'Data Entry'!$D1809='Visual SPC'!$G$4),OR('Visual SPC'!$I$4="",'Data Entry'!$E1809='Visual SPC'!$I$4),OR('Visual SPC'!$K$4="",'Data Entry'!$F1809='Visual SPC'!$K$4)),1,0))</f>
        <v/>
      </c>
      <c r="C1809">
        <f>C1808+B1809</f>
        <v/>
      </c>
      <c r="D1809">
        <f>IF(B1809=1,INDEX('Data Entry'!$H$5:$BE$10004,1809-4,'Visual SPC'!$B$3),"")</f>
        <v/>
      </c>
      <c r="E1809">
        <f>IF(B1809=1,D1809,E1808)</f>
        <v/>
      </c>
      <c r="F1809">
        <f>IF(AND(B1809=1,C1809&gt;1,E1808&lt;&gt;""),ABS(D1809-E1808),"")</f>
        <v/>
      </c>
    </row>
    <row r="1810">
      <c r="A1810" t="n">
        <v>1810</v>
      </c>
      <c r="B1810">
        <f>IF(INDEX('Data Entry'!$H$5:$BE$10004,1810-4,'Visual SPC'!$B$3)="",0,IF(AND(OR('Visual SPC'!$C$4="",'Data Entry'!$C1810&gt;='Visual SPC'!$C$4),OR('Visual SPC'!$E$4="",'Data Entry'!$C1810&lt;='Visual SPC'!$E$4),OR('Visual SPC'!$G$4="",'Data Entry'!$D1810='Visual SPC'!$G$4),OR('Visual SPC'!$I$4="",'Data Entry'!$E1810='Visual SPC'!$I$4),OR('Visual SPC'!$K$4="",'Data Entry'!$F1810='Visual SPC'!$K$4)),1,0))</f>
        <v/>
      </c>
      <c r="C1810">
        <f>C1809+B1810</f>
        <v/>
      </c>
      <c r="D1810">
        <f>IF(B1810=1,INDEX('Data Entry'!$H$5:$BE$10004,1810-4,'Visual SPC'!$B$3),"")</f>
        <v/>
      </c>
      <c r="E1810">
        <f>IF(B1810=1,D1810,E1809)</f>
        <v/>
      </c>
      <c r="F1810">
        <f>IF(AND(B1810=1,C1810&gt;1,E1809&lt;&gt;""),ABS(D1810-E1809),"")</f>
        <v/>
      </c>
    </row>
    <row r="1811">
      <c r="A1811" t="n">
        <v>1811</v>
      </c>
      <c r="B1811">
        <f>IF(INDEX('Data Entry'!$H$5:$BE$10004,1811-4,'Visual SPC'!$B$3)="",0,IF(AND(OR('Visual SPC'!$C$4="",'Data Entry'!$C1811&gt;='Visual SPC'!$C$4),OR('Visual SPC'!$E$4="",'Data Entry'!$C1811&lt;='Visual SPC'!$E$4),OR('Visual SPC'!$G$4="",'Data Entry'!$D1811='Visual SPC'!$G$4),OR('Visual SPC'!$I$4="",'Data Entry'!$E1811='Visual SPC'!$I$4),OR('Visual SPC'!$K$4="",'Data Entry'!$F1811='Visual SPC'!$K$4)),1,0))</f>
        <v/>
      </c>
      <c r="C1811">
        <f>C1810+B1811</f>
        <v/>
      </c>
      <c r="D1811">
        <f>IF(B1811=1,INDEX('Data Entry'!$H$5:$BE$10004,1811-4,'Visual SPC'!$B$3),"")</f>
        <v/>
      </c>
      <c r="E1811">
        <f>IF(B1811=1,D1811,E1810)</f>
        <v/>
      </c>
      <c r="F1811">
        <f>IF(AND(B1811=1,C1811&gt;1,E1810&lt;&gt;""),ABS(D1811-E1810),"")</f>
        <v/>
      </c>
    </row>
    <row r="1812">
      <c r="A1812" t="n">
        <v>1812</v>
      </c>
      <c r="B1812">
        <f>IF(INDEX('Data Entry'!$H$5:$BE$10004,1812-4,'Visual SPC'!$B$3)="",0,IF(AND(OR('Visual SPC'!$C$4="",'Data Entry'!$C1812&gt;='Visual SPC'!$C$4),OR('Visual SPC'!$E$4="",'Data Entry'!$C1812&lt;='Visual SPC'!$E$4),OR('Visual SPC'!$G$4="",'Data Entry'!$D1812='Visual SPC'!$G$4),OR('Visual SPC'!$I$4="",'Data Entry'!$E1812='Visual SPC'!$I$4),OR('Visual SPC'!$K$4="",'Data Entry'!$F1812='Visual SPC'!$K$4)),1,0))</f>
        <v/>
      </c>
      <c r="C1812">
        <f>C1811+B1812</f>
        <v/>
      </c>
      <c r="D1812">
        <f>IF(B1812=1,INDEX('Data Entry'!$H$5:$BE$10004,1812-4,'Visual SPC'!$B$3),"")</f>
        <v/>
      </c>
      <c r="E1812">
        <f>IF(B1812=1,D1812,E1811)</f>
        <v/>
      </c>
      <c r="F1812">
        <f>IF(AND(B1812=1,C1812&gt;1,E1811&lt;&gt;""),ABS(D1812-E1811),"")</f>
        <v/>
      </c>
    </row>
    <row r="1813">
      <c r="A1813" t="n">
        <v>1813</v>
      </c>
      <c r="B1813">
        <f>IF(INDEX('Data Entry'!$H$5:$BE$10004,1813-4,'Visual SPC'!$B$3)="",0,IF(AND(OR('Visual SPC'!$C$4="",'Data Entry'!$C1813&gt;='Visual SPC'!$C$4),OR('Visual SPC'!$E$4="",'Data Entry'!$C1813&lt;='Visual SPC'!$E$4),OR('Visual SPC'!$G$4="",'Data Entry'!$D1813='Visual SPC'!$G$4),OR('Visual SPC'!$I$4="",'Data Entry'!$E1813='Visual SPC'!$I$4),OR('Visual SPC'!$K$4="",'Data Entry'!$F1813='Visual SPC'!$K$4)),1,0))</f>
        <v/>
      </c>
      <c r="C1813">
        <f>C1812+B1813</f>
        <v/>
      </c>
      <c r="D1813">
        <f>IF(B1813=1,INDEX('Data Entry'!$H$5:$BE$10004,1813-4,'Visual SPC'!$B$3),"")</f>
        <v/>
      </c>
      <c r="E1813">
        <f>IF(B1813=1,D1813,E1812)</f>
        <v/>
      </c>
      <c r="F1813">
        <f>IF(AND(B1813=1,C1813&gt;1,E1812&lt;&gt;""),ABS(D1813-E1812),"")</f>
        <v/>
      </c>
    </row>
    <row r="1814">
      <c r="A1814" t="n">
        <v>1814</v>
      </c>
      <c r="B1814">
        <f>IF(INDEX('Data Entry'!$H$5:$BE$10004,1814-4,'Visual SPC'!$B$3)="",0,IF(AND(OR('Visual SPC'!$C$4="",'Data Entry'!$C1814&gt;='Visual SPC'!$C$4),OR('Visual SPC'!$E$4="",'Data Entry'!$C1814&lt;='Visual SPC'!$E$4),OR('Visual SPC'!$G$4="",'Data Entry'!$D1814='Visual SPC'!$G$4),OR('Visual SPC'!$I$4="",'Data Entry'!$E1814='Visual SPC'!$I$4),OR('Visual SPC'!$K$4="",'Data Entry'!$F1814='Visual SPC'!$K$4)),1,0))</f>
        <v/>
      </c>
      <c r="C1814">
        <f>C1813+B1814</f>
        <v/>
      </c>
      <c r="D1814">
        <f>IF(B1814=1,INDEX('Data Entry'!$H$5:$BE$10004,1814-4,'Visual SPC'!$B$3),"")</f>
        <v/>
      </c>
      <c r="E1814">
        <f>IF(B1814=1,D1814,E1813)</f>
        <v/>
      </c>
      <c r="F1814">
        <f>IF(AND(B1814=1,C1814&gt;1,E1813&lt;&gt;""),ABS(D1814-E1813),"")</f>
        <v/>
      </c>
    </row>
    <row r="1815">
      <c r="A1815" t="n">
        <v>1815</v>
      </c>
      <c r="B1815">
        <f>IF(INDEX('Data Entry'!$H$5:$BE$10004,1815-4,'Visual SPC'!$B$3)="",0,IF(AND(OR('Visual SPC'!$C$4="",'Data Entry'!$C1815&gt;='Visual SPC'!$C$4),OR('Visual SPC'!$E$4="",'Data Entry'!$C1815&lt;='Visual SPC'!$E$4),OR('Visual SPC'!$G$4="",'Data Entry'!$D1815='Visual SPC'!$G$4),OR('Visual SPC'!$I$4="",'Data Entry'!$E1815='Visual SPC'!$I$4),OR('Visual SPC'!$K$4="",'Data Entry'!$F1815='Visual SPC'!$K$4)),1,0))</f>
        <v/>
      </c>
      <c r="C1815">
        <f>C1814+B1815</f>
        <v/>
      </c>
      <c r="D1815">
        <f>IF(B1815=1,INDEX('Data Entry'!$H$5:$BE$10004,1815-4,'Visual SPC'!$B$3),"")</f>
        <v/>
      </c>
      <c r="E1815">
        <f>IF(B1815=1,D1815,E1814)</f>
        <v/>
      </c>
      <c r="F1815">
        <f>IF(AND(B1815=1,C1815&gt;1,E1814&lt;&gt;""),ABS(D1815-E1814),"")</f>
        <v/>
      </c>
    </row>
    <row r="1816">
      <c r="A1816" t="n">
        <v>1816</v>
      </c>
      <c r="B1816">
        <f>IF(INDEX('Data Entry'!$H$5:$BE$10004,1816-4,'Visual SPC'!$B$3)="",0,IF(AND(OR('Visual SPC'!$C$4="",'Data Entry'!$C1816&gt;='Visual SPC'!$C$4),OR('Visual SPC'!$E$4="",'Data Entry'!$C1816&lt;='Visual SPC'!$E$4),OR('Visual SPC'!$G$4="",'Data Entry'!$D1816='Visual SPC'!$G$4),OR('Visual SPC'!$I$4="",'Data Entry'!$E1816='Visual SPC'!$I$4),OR('Visual SPC'!$K$4="",'Data Entry'!$F1816='Visual SPC'!$K$4)),1,0))</f>
        <v/>
      </c>
      <c r="C1816">
        <f>C1815+B1816</f>
        <v/>
      </c>
      <c r="D1816">
        <f>IF(B1816=1,INDEX('Data Entry'!$H$5:$BE$10004,1816-4,'Visual SPC'!$B$3),"")</f>
        <v/>
      </c>
      <c r="E1816">
        <f>IF(B1816=1,D1816,E1815)</f>
        <v/>
      </c>
      <c r="F1816">
        <f>IF(AND(B1816=1,C1816&gt;1,E1815&lt;&gt;""),ABS(D1816-E1815),"")</f>
        <v/>
      </c>
    </row>
    <row r="1817">
      <c r="A1817" t="n">
        <v>1817</v>
      </c>
      <c r="B1817">
        <f>IF(INDEX('Data Entry'!$H$5:$BE$10004,1817-4,'Visual SPC'!$B$3)="",0,IF(AND(OR('Visual SPC'!$C$4="",'Data Entry'!$C1817&gt;='Visual SPC'!$C$4),OR('Visual SPC'!$E$4="",'Data Entry'!$C1817&lt;='Visual SPC'!$E$4),OR('Visual SPC'!$G$4="",'Data Entry'!$D1817='Visual SPC'!$G$4),OR('Visual SPC'!$I$4="",'Data Entry'!$E1817='Visual SPC'!$I$4),OR('Visual SPC'!$K$4="",'Data Entry'!$F1817='Visual SPC'!$K$4)),1,0))</f>
        <v/>
      </c>
      <c r="C1817">
        <f>C1816+B1817</f>
        <v/>
      </c>
      <c r="D1817">
        <f>IF(B1817=1,INDEX('Data Entry'!$H$5:$BE$10004,1817-4,'Visual SPC'!$B$3),"")</f>
        <v/>
      </c>
      <c r="E1817">
        <f>IF(B1817=1,D1817,E1816)</f>
        <v/>
      </c>
      <c r="F1817">
        <f>IF(AND(B1817=1,C1817&gt;1,E1816&lt;&gt;""),ABS(D1817-E1816),"")</f>
        <v/>
      </c>
    </row>
    <row r="1818">
      <c r="A1818" t="n">
        <v>1818</v>
      </c>
      <c r="B1818">
        <f>IF(INDEX('Data Entry'!$H$5:$BE$10004,1818-4,'Visual SPC'!$B$3)="",0,IF(AND(OR('Visual SPC'!$C$4="",'Data Entry'!$C1818&gt;='Visual SPC'!$C$4),OR('Visual SPC'!$E$4="",'Data Entry'!$C1818&lt;='Visual SPC'!$E$4),OR('Visual SPC'!$G$4="",'Data Entry'!$D1818='Visual SPC'!$G$4),OR('Visual SPC'!$I$4="",'Data Entry'!$E1818='Visual SPC'!$I$4),OR('Visual SPC'!$K$4="",'Data Entry'!$F1818='Visual SPC'!$K$4)),1,0))</f>
        <v/>
      </c>
      <c r="C1818">
        <f>C1817+B1818</f>
        <v/>
      </c>
      <c r="D1818">
        <f>IF(B1818=1,INDEX('Data Entry'!$H$5:$BE$10004,1818-4,'Visual SPC'!$B$3),"")</f>
        <v/>
      </c>
      <c r="E1818">
        <f>IF(B1818=1,D1818,E1817)</f>
        <v/>
      </c>
      <c r="F1818">
        <f>IF(AND(B1818=1,C1818&gt;1,E1817&lt;&gt;""),ABS(D1818-E1817),"")</f>
        <v/>
      </c>
    </row>
    <row r="1819">
      <c r="A1819" t="n">
        <v>1819</v>
      </c>
      <c r="B1819">
        <f>IF(INDEX('Data Entry'!$H$5:$BE$10004,1819-4,'Visual SPC'!$B$3)="",0,IF(AND(OR('Visual SPC'!$C$4="",'Data Entry'!$C1819&gt;='Visual SPC'!$C$4),OR('Visual SPC'!$E$4="",'Data Entry'!$C1819&lt;='Visual SPC'!$E$4),OR('Visual SPC'!$G$4="",'Data Entry'!$D1819='Visual SPC'!$G$4),OR('Visual SPC'!$I$4="",'Data Entry'!$E1819='Visual SPC'!$I$4),OR('Visual SPC'!$K$4="",'Data Entry'!$F1819='Visual SPC'!$K$4)),1,0))</f>
        <v/>
      </c>
      <c r="C1819">
        <f>C1818+B1819</f>
        <v/>
      </c>
      <c r="D1819">
        <f>IF(B1819=1,INDEX('Data Entry'!$H$5:$BE$10004,1819-4,'Visual SPC'!$B$3),"")</f>
        <v/>
      </c>
      <c r="E1819">
        <f>IF(B1819=1,D1819,E1818)</f>
        <v/>
      </c>
      <c r="F1819">
        <f>IF(AND(B1819=1,C1819&gt;1,E1818&lt;&gt;""),ABS(D1819-E1818),"")</f>
        <v/>
      </c>
    </row>
    <row r="1820">
      <c r="A1820" t="n">
        <v>1820</v>
      </c>
      <c r="B1820">
        <f>IF(INDEX('Data Entry'!$H$5:$BE$10004,1820-4,'Visual SPC'!$B$3)="",0,IF(AND(OR('Visual SPC'!$C$4="",'Data Entry'!$C1820&gt;='Visual SPC'!$C$4),OR('Visual SPC'!$E$4="",'Data Entry'!$C1820&lt;='Visual SPC'!$E$4),OR('Visual SPC'!$G$4="",'Data Entry'!$D1820='Visual SPC'!$G$4),OR('Visual SPC'!$I$4="",'Data Entry'!$E1820='Visual SPC'!$I$4),OR('Visual SPC'!$K$4="",'Data Entry'!$F1820='Visual SPC'!$K$4)),1,0))</f>
        <v/>
      </c>
      <c r="C1820">
        <f>C1819+B1820</f>
        <v/>
      </c>
      <c r="D1820">
        <f>IF(B1820=1,INDEX('Data Entry'!$H$5:$BE$10004,1820-4,'Visual SPC'!$B$3),"")</f>
        <v/>
      </c>
      <c r="E1820">
        <f>IF(B1820=1,D1820,E1819)</f>
        <v/>
      </c>
      <c r="F1820">
        <f>IF(AND(B1820=1,C1820&gt;1,E1819&lt;&gt;""),ABS(D1820-E1819),"")</f>
        <v/>
      </c>
    </row>
    <row r="1821">
      <c r="A1821" t="n">
        <v>1821</v>
      </c>
      <c r="B1821">
        <f>IF(INDEX('Data Entry'!$H$5:$BE$10004,1821-4,'Visual SPC'!$B$3)="",0,IF(AND(OR('Visual SPC'!$C$4="",'Data Entry'!$C1821&gt;='Visual SPC'!$C$4),OR('Visual SPC'!$E$4="",'Data Entry'!$C1821&lt;='Visual SPC'!$E$4),OR('Visual SPC'!$G$4="",'Data Entry'!$D1821='Visual SPC'!$G$4),OR('Visual SPC'!$I$4="",'Data Entry'!$E1821='Visual SPC'!$I$4),OR('Visual SPC'!$K$4="",'Data Entry'!$F1821='Visual SPC'!$K$4)),1,0))</f>
        <v/>
      </c>
      <c r="C1821">
        <f>C1820+B1821</f>
        <v/>
      </c>
      <c r="D1821">
        <f>IF(B1821=1,INDEX('Data Entry'!$H$5:$BE$10004,1821-4,'Visual SPC'!$B$3),"")</f>
        <v/>
      </c>
      <c r="E1821">
        <f>IF(B1821=1,D1821,E1820)</f>
        <v/>
      </c>
      <c r="F1821">
        <f>IF(AND(B1821=1,C1821&gt;1,E1820&lt;&gt;""),ABS(D1821-E1820),"")</f>
        <v/>
      </c>
    </row>
    <row r="1822">
      <c r="A1822" t="n">
        <v>1822</v>
      </c>
      <c r="B1822">
        <f>IF(INDEX('Data Entry'!$H$5:$BE$10004,1822-4,'Visual SPC'!$B$3)="",0,IF(AND(OR('Visual SPC'!$C$4="",'Data Entry'!$C1822&gt;='Visual SPC'!$C$4),OR('Visual SPC'!$E$4="",'Data Entry'!$C1822&lt;='Visual SPC'!$E$4),OR('Visual SPC'!$G$4="",'Data Entry'!$D1822='Visual SPC'!$G$4),OR('Visual SPC'!$I$4="",'Data Entry'!$E1822='Visual SPC'!$I$4),OR('Visual SPC'!$K$4="",'Data Entry'!$F1822='Visual SPC'!$K$4)),1,0))</f>
        <v/>
      </c>
      <c r="C1822">
        <f>C1821+B1822</f>
        <v/>
      </c>
      <c r="D1822">
        <f>IF(B1822=1,INDEX('Data Entry'!$H$5:$BE$10004,1822-4,'Visual SPC'!$B$3),"")</f>
        <v/>
      </c>
      <c r="E1822">
        <f>IF(B1822=1,D1822,E1821)</f>
        <v/>
      </c>
      <c r="F1822">
        <f>IF(AND(B1822=1,C1822&gt;1,E1821&lt;&gt;""),ABS(D1822-E1821),"")</f>
        <v/>
      </c>
    </row>
    <row r="1823">
      <c r="A1823" t="n">
        <v>1823</v>
      </c>
      <c r="B1823">
        <f>IF(INDEX('Data Entry'!$H$5:$BE$10004,1823-4,'Visual SPC'!$B$3)="",0,IF(AND(OR('Visual SPC'!$C$4="",'Data Entry'!$C1823&gt;='Visual SPC'!$C$4),OR('Visual SPC'!$E$4="",'Data Entry'!$C1823&lt;='Visual SPC'!$E$4),OR('Visual SPC'!$G$4="",'Data Entry'!$D1823='Visual SPC'!$G$4),OR('Visual SPC'!$I$4="",'Data Entry'!$E1823='Visual SPC'!$I$4),OR('Visual SPC'!$K$4="",'Data Entry'!$F1823='Visual SPC'!$K$4)),1,0))</f>
        <v/>
      </c>
      <c r="C1823">
        <f>C1822+B1823</f>
        <v/>
      </c>
      <c r="D1823">
        <f>IF(B1823=1,INDEX('Data Entry'!$H$5:$BE$10004,1823-4,'Visual SPC'!$B$3),"")</f>
        <v/>
      </c>
      <c r="E1823">
        <f>IF(B1823=1,D1823,E1822)</f>
        <v/>
      </c>
      <c r="F1823">
        <f>IF(AND(B1823=1,C1823&gt;1,E1822&lt;&gt;""),ABS(D1823-E1822),"")</f>
        <v/>
      </c>
    </row>
    <row r="1824">
      <c r="A1824" t="n">
        <v>1824</v>
      </c>
      <c r="B1824">
        <f>IF(INDEX('Data Entry'!$H$5:$BE$10004,1824-4,'Visual SPC'!$B$3)="",0,IF(AND(OR('Visual SPC'!$C$4="",'Data Entry'!$C1824&gt;='Visual SPC'!$C$4),OR('Visual SPC'!$E$4="",'Data Entry'!$C1824&lt;='Visual SPC'!$E$4),OR('Visual SPC'!$G$4="",'Data Entry'!$D1824='Visual SPC'!$G$4),OR('Visual SPC'!$I$4="",'Data Entry'!$E1824='Visual SPC'!$I$4),OR('Visual SPC'!$K$4="",'Data Entry'!$F1824='Visual SPC'!$K$4)),1,0))</f>
        <v/>
      </c>
      <c r="C1824">
        <f>C1823+B1824</f>
        <v/>
      </c>
      <c r="D1824">
        <f>IF(B1824=1,INDEX('Data Entry'!$H$5:$BE$10004,1824-4,'Visual SPC'!$B$3),"")</f>
        <v/>
      </c>
      <c r="E1824">
        <f>IF(B1824=1,D1824,E1823)</f>
        <v/>
      </c>
      <c r="F1824">
        <f>IF(AND(B1824=1,C1824&gt;1,E1823&lt;&gt;""),ABS(D1824-E1823),"")</f>
        <v/>
      </c>
    </row>
    <row r="1825">
      <c r="A1825" t="n">
        <v>1825</v>
      </c>
      <c r="B1825">
        <f>IF(INDEX('Data Entry'!$H$5:$BE$10004,1825-4,'Visual SPC'!$B$3)="",0,IF(AND(OR('Visual SPC'!$C$4="",'Data Entry'!$C1825&gt;='Visual SPC'!$C$4),OR('Visual SPC'!$E$4="",'Data Entry'!$C1825&lt;='Visual SPC'!$E$4),OR('Visual SPC'!$G$4="",'Data Entry'!$D1825='Visual SPC'!$G$4),OR('Visual SPC'!$I$4="",'Data Entry'!$E1825='Visual SPC'!$I$4),OR('Visual SPC'!$K$4="",'Data Entry'!$F1825='Visual SPC'!$K$4)),1,0))</f>
        <v/>
      </c>
      <c r="C1825">
        <f>C1824+B1825</f>
        <v/>
      </c>
      <c r="D1825">
        <f>IF(B1825=1,INDEX('Data Entry'!$H$5:$BE$10004,1825-4,'Visual SPC'!$B$3),"")</f>
        <v/>
      </c>
      <c r="E1825">
        <f>IF(B1825=1,D1825,E1824)</f>
        <v/>
      </c>
      <c r="F1825">
        <f>IF(AND(B1825=1,C1825&gt;1,E1824&lt;&gt;""),ABS(D1825-E1824),"")</f>
        <v/>
      </c>
    </row>
    <row r="1826">
      <c r="A1826" t="n">
        <v>1826</v>
      </c>
      <c r="B1826">
        <f>IF(INDEX('Data Entry'!$H$5:$BE$10004,1826-4,'Visual SPC'!$B$3)="",0,IF(AND(OR('Visual SPC'!$C$4="",'Data Entry'!$C1826&gt;='Visual SPC'!$C$4),OR('Visual SPC'!$E$4="",'Data Entry'!$C1826&lt;='Visual SPC'!$E$4),OR('Visual SPC'!$G$4="",'Data Entry'!$D1826='Visual SPC'!$G$4),OR('Visual SPC'!$I$4="",'Data Entry'!$E1826='Visual SPC'!$I$4),OR('Visual SPC'!$K$4="",'Data Entry'!$F1826='Visual SPC'!$K$4)),1,0))</f>
        <v/>
      </c>
      <c r="C1826">
        <f>C1825+B1826</f>
        <v/>
      </c>
      <c r="D1826">
        <f>IF(B1826=1,INDEX('Data Entry'!$H$5:$BE$10004,1826-4,'Visual SPC'!$B$3),"")</f>
        <v/>
      </c>
      <c r="E1826">
        <f>IF(B1826=1,D1826,E1825)</f>
        <v/>
      </c>
      <c r="F1826">
        <f>IF(AND(B1826=1,C1826&gt;1,E1825&lt;&gt;""),ABS(D1826-E1825),"")</f>
        <v/>
      </c>
    </row>
    <row r="1827">
      <c r="A1827" t="n">
        <v>1827</v>
      </c>
      <c r="B1827">
        <f>IF(INDEX('Data Entry'!$H$5:$BE$10004,1827-4,'Visual SPC'!$B$3)="",0,IF(AND(OR('Visual SPC'!$C$4="",'Data Entry'!$C1827&gt;='Visual SPC'!$C$4),OR('Visual SPC'!$E$4="",'Data Entry'!$C1827&lt;='Visual SPC'!$E$4),OR('Visual SPC'!$G$4="",'Data Entry'!$D1827='Visual SPC'!$G$4),OR('Visual SPC'!$I$4="",'Data Entry'!$E1827='Visual SPC'!$I$4),OR('Visual SPC'!$K$4="",'Data Entry'!$F1827='Visual SPC'!$K$4)),1,0))</f>
        <v/>
      </c>
      <c r="C1827">
        <f>C1826+B1827</f>
        <v/>
      </c>
      <c r="D1827">
        <f>IF(B1827=1,INDEX('Data Entry'!$H$5:$BE$10004,1827-4,'Visual SPC'!$B$3),"")</f>
        <v/>
      </c>
      <c r="E1827">
        <f>IF(B1827=1,D1827,E1826)</f>
        <v/>
      </c>
      <c r="F1827">
        <f>IF(AND(B1827=1,C1827&gt;1,E1826&lt;&gt;""),ABS(D1827-E1826),"")</f>
        <v/>
      </c>
    </row>
    <row r="1828">
      <c r="A1828" t="n">
        <v>1828</v>
      </c>
      <c r="B1828">
        <f>IF(INDEX('Data Entry'!$H$5:$BE$10004,1828-4,'Visual SPC'!$B$3)="",0,IF(AND(OR('Visual SPC'!$C$4="",'Data Entry'!$C1828&gt;='Visual SPC'!$C$4),OR('Visual SPC'!$E$4="",'Data Entry'!$C1828&lt;='Visual SPC'!$E$4),OR('Visual SPC'!$G$4="",'Data Entry'!$D1828='Visual SPC'!$G$4),OR('Visual SPC'!$I$4="",'Data Entry'!$E1828='Visual SPC'!$I$4),OR('Visual SPC'!$K$4="",'Data Entry'!$F1828='Visual SPC'!$K$4)),1,0))</f>
        <v/>
      </c>
      <c r="C1828">
        <f>C1827+B1828</f>
        <v/>
      </c>
      <c r="D1828">
        <f>IF(B1828=1,INDEX('Data Entry'!$H$5:$BE$10004,1828-4,'Visual SPC'!$B$3),"")</f>
        <v/>
      </c>
      <c r="E1828">
        <f>IF(B1828=1,D1828,E1827)</f>
        <v/>
      </c>
      <c r="F1828">
        <f>IF(AND(B1828=1,C1828&gt;1,E1827&lt;&gt;""),ABS(D1828-E1827),"")</f>
        <v/>
      </c>
    </row>
    <row r="1829">
      <c r="A1829" t="n">
        <v>1829</v>
      </c>
      <c r="B1829">
        <f>IF(INDEX('Data Entry'!$H$5:$BE$10004,1829-4,'Visual SPC'!$B$3)="",0,IF(AND(OR('Visual SPC'!$C$4="",'Data Entry'!$C1829&gt;='Visual SPC'!$C$4),OR('Visual SPC'!$E$4="",'Data Entry'!$C1829&lt;='Visual SPC'!$E$4),OR('Visual SPC'!$G$4="",'Data Entry'!$D1829='Visual SPC'!$G$4),OR('Visual SPC'!$I$4="",'Data Entry'!$E1829='Visual SPC'!$I$4),OR('Visual SPC'!$K$4="",'Data Entry'!$F1829='Visual SPC'!$K$4)),1,0))</f>
        <v/>
      </c>
      <c r="C1829">
        <f>C1828+B1829</f>
        <v/>
      </c>
      <c r="D1829">
        <f>IF(B1829=1,INDEX('Data Entry'!$H$5:$BE$10004,1829-4,'Visual SPC'!$B$3),"")</f>
        <v/>
      </c>
      <c r="E1829">
        <f>IF(B1829=1,D1829,E1828)</f>
        <v/>
      </c>
      <c r="F1829">
        <f>IF(AND(B1829=1,C1829&gt;1,E1828&lt;&gt;""),ABS(D1829-E1828),"")</f>
        <v/>
      </c>
    </row>
    <row r="1830">
      <c r="A1830" t="n">
        <v>1830</v>
      </c>
      <c r="B1830">
        <f>IF(INDEX('Data Entry'!$H$5:$BE$10004,1830-4,'Visual SPC'!$B$3)="",0,IF(AND(OR('Visual SPC'!$C$4="",'Data Entry'!$C1830&gt;='Visual SPC'!$C$4),OR('Visual SPC'!$E$4="",'Data Entry'!$C1830&lt;='Visual SPC'!$E$4),OR('Visual SPC'!$G$4="",'Data Entry'!$D1830='Visual SPC'!$G$4),OR('Visual SPC'!$I$4="",'Data Entry'!$E1830='Visual SPC'!$I$4),OR('Visual SPC'!$K$4="",'Data Entry'!$F1830='Visual SPC'!$K$4)),1,0))</f>
        <v/>
      </c>
      <c r="C1830">
        <f>C1829+B1830</f>
        <v/>
      </c>
      <c r="D1830">
        <f>IF(B1830=1,INDEX('Data Entry'!$H$5:$BE$10004,1830-4,'Visual SPC'!$B$3),"")</f>
        <v/>
      </c>
      <c r="E1830">
        <f>IF(B1830=1,D1830,E1829)</f>
        <v/>
      </c>
      <c r="F1830">
        <f>IF(AND(B1830=1,C1830&gt;1,E1829&lt;&gt;""),ABS(D1830-E1829),"")</f>
        <v/>
      </c>
    </row>
    <row r="1831">
      <c r="A1831" t="n">
        <v>1831</v>
      </c>
      <c r="B1831">
        <f>IF(INDEX('Data Entry'!$H$5:$BE$10004,1831-4,'Visual SPC'!$B$3)="",0,IF(AND(OR('Visual SPC'!$C$4="",'Data Entry'!$C1831&gt;='Visual SPC'!$C$4),OR('Visual SPC'!$E$4="",'Data Entry'!$C1831&lt;='Visual SPC'!$E$4),OR('Visual SPC'!$G$4="",'Data Entry'!$D1831='Visual SPC'!$G$4),OR('Visual SPC'!$I$4="",'Data Entry'!$E1831='Visual SPC'!$I$4),OR('Visual SPC'!$K$4="",'Data Entry'!$F1831='Visual SPC'!$K$4)),1,0))</f>
        <v/>
      </c>
      <c r="C1831">
        <f>C1830+B1831</f>
        <v/>
      </c>
      <c r="D1831">
        <f>IF(B1831=1,INDEX('Data Entry'!$H$5:$BE$10004,1831-4,'Visual SPC'!$B$3),"")</f>
        <v/>
      </c>
      <c r="E1831">
        <f>IF(B1831=1,D1831,E1830)</f>
        <v/>
      </c>
      <c r="F1831">
        <f>IF(AND(B1831=1,C1831&gt;1,E1830&lt;&gt;""),ABS(D1831-E1830),"")</f>
        <v/>
      </c>
    </row>
    <row r="1832">
      <c r="A1832" t="n">
        <v>1832</v>
      </c>
      <c r="B1832">
        <f>IF(INDEX('Data Entry'!$H$5:$BE$10004,1832-4,'Visual SPC'!$B$3)="",0,IF(AND(OR('Visual SPC'!$C$4="",'Data Entry'!$C1832&gt;='Visual SPC'!$C$4),OR('Visual SPC'!$E$4="",'Data Entry'!$C1832&lt;='Visual SPC'!$E$4),OR('Visual SPC'!$G$4="",'Data Entry'!$D1832='Visual SPC'!$G$4),OR('Visual SPC'!$I$4="",'Data Entry'!$E1832='Visual SPC'!$I$4),OR('Visual SPC'!$K$4="",'Data Entry'!$F1832='Visual SPC'!$K$4)),1,0))</f>
        <v/>
      </c>
      <c r="C1832">
        <f>C1831+B1832</f>
        <v/>
      </c>
      <c r="D1832">
        <f>IF(B1832=1,INDEX('Data Entry'!$H$5:$BE$10004,1832-4,'Visual SPC'!$B$3),"")</f>
        <v/>
      </c>
      <c r="E1832">
        <f>IF(B1832=1,D1832,E1831)</f>
        <v/>
      </c>
      <c r="F1832">
        <f>IF(AND(B1832=1,C1832&gt;1,E1831&lt;&gt;""),ABS(D1832-E1831),"")</f>
        <v/>
      </c>
    </row>
    <row r="1833">
      <c r="A1833" t="n">
        <v>1833</v>
      </c>
      <c r="B1833">
        <f>IF(INDEX('Data Entry'!$H$5:$BE$10004,1833-4,'Visual SPC'!$B$3)="",0,IF(AND(OR('Visual SPC'!$C$4="",'Data Entry'!$C1833&gt;='Visual SPC'!$C$4),OR('Visual SPC'!$E$4="",'Data Entry'!$C1833&lt;='Visual SPC'!$E$4),OR('Visual SPC'!$G$4="",'Data Entry'!$D1833='Visual SPC'!$G$4),OR('Visual SPC'!$I$4="",'Data Entry'!$E1833='Visual SPC'!$I$4),OR('Visual SPC'!$K$4="",'Data Entry'!$F1833='Visual SPC'!$K$4)),1,0))</f>
        <v/>
      </c>
      <c r="C1833">
        <f>C1832+B1833</f>
        <v/>
      </c>
      <c r="D1833">
        <f>IF(B1833=1,INDEX('Data Entry'!$H$5:$BE$10004,1833-4,'Visual SPC'!$B$3),"")</f>
        <v/>
      </c>
      <c r="E1833">
        <f>IF(B1833=1,D1833,E1832)</f>
        <v/>
      </c>
      <c r="F1833">
        <f>IF(AND(B1833=1,C1833&gt;1,E1832&lt;&gt;""),ABS(D1833-E1832),"")</f>
        <v/>
      </c>
    </row>
    <row r="1834">
      <c r="A1834" t="n">
        <v>1834</v>
      </c>
      <c r="B1834">
        <f>IF(INDEX('Data Entry'!$H$5:$BE$10004,1834-4,'Visual SPC'!$B$3)="",0,IF(AND(OR('Visual SPC'!$C$4="",'Data Entry'!$C1834&gt;='Visual SPC'!$C$4),OR('Visual SPC'!$E$4="",'Data Entry'!$C1834&lt;='Visual SPC'!$E$4),OR('Visual SPC'!$G$4="",'Data Entry'!$D1834='Visual SPC'!$G$4),OR('Visual SPC'!$I$4="",'Data Entry'!$E1834='Visual SPC'!$I$4),OR('Visual SPC'!$K$4="",'Data Entry'!$F1834='Visual SPC'!$K$4)),1,0))</f>
        <v/>
      </c>
      <c r="C1834">
        <f>C1833+B1834</f>
        <v/>
      </c>
      <c r="D1834">
        <f>IF(B1834=1,INDEX('Data Entry'!$H$5:$BE$10004,1834-4,'Visual SPC'!$B$3),"")</f>
        <v/>
      </c>
      <c r="E1834">
        <f>IF(B1834=1,D1834,E1833)</f>
        <v/>
      </c>
      <c r="F1834">
        <f>IF(AND(B1834=1,C1834&gt;1,E1833&lt;&gt;""),ABS(D1834-E1833),"")</f>
        <v/>
      </c>
    </row>
    <row r="1835">
      <c r="A1835" t="n">
        <v>1835</v>
      </c>
      <c r="B1835">
        <f>IF(INDEX('Data Entry'!$H$5:$BE$10004,1835-4,'Visual SPC'!$B$3)="",0,IF(AND(OR('Visual SPC'!$C$4="",'Data Entry'!$C1835&gt;='Visual SPC'!$C$4),OR('Visual SPC'!$E$4="",'Data Entry'!$C1835&lt;='Visual SPC'!$E$4),OR('Visual SPC'!$G$4="",'Data Entry'!$D1835='Visual SPC'!$G$4),OR('Visual SPC'!$I$4="",'Data Entry'!$E1835='Visual SPC'!$I$4),OR('Visual SPC'!$K$4="",'Data Entry'!$F1835='Visual SPC'!$K$4)),1,0))</f>
        <v/>
      </c>
      <c r="C1835">
        <f>C1834+B1835</f>
        <v/>
      </c>
      <c r="D1835">
        <f>IF(B1835=1,INDEX('Data Entry'!$H$5:$BE$10004,1835-4,'Visual SPC'!$B$3),"")</f>
        <v/>
      </c>
      <c r="E1835">
        <f>IF(B1835=1,D1835,E1834)</f>
        <v/>
      </c>
      <c r="F1835">
        <f>IF(AND(B1835=1,C1835&gt;1,E1834&lt;&gt;""),ABS(D1835-E1834),"")</f>
        <v/>
      </c>
    </row>
    <row r="1836">
      <c r="A1836" t="n">
        <v>1836</v>
      </c>
      <c r="B1836">
        <f>IF(INDEX('Data Entry'!$H$5:$BE$10004,1836-4,'Visual SPC'!$B$3)="",0,IF(AND(OR('Visual SPC'!$C$4="",'Data Entry'!$C1836&gt;='Visual SPC'!$C$4),OR('Visual SPC'!$E$4="",'Data Entry'!$C1836&lt;='Visual SPC'!$E$4),OR('Visual SPC'!$G$4="",'Data Entry'!$D1836='Visual SPC'!$G$4),OR('Visual SPC'!$I$4="",'Data Entry'!$E1836='Visual SPC'!$I$4),OR('Visual SPC'!$K$4="",'Data Entry'!$F1836='Visual SPC'!$K$4)),1,0))</f>
        <v/>
      </c>
      <c r="C1836">
        <f>C1835+B1836</f>
        <v/>
      </c>
      <c r="D1836">
        <f>IF(B1836=1,INDEX('Data Entry'!$H$5:$BE$10004,1836-4,'Visual SPC'!$B$3),"")</f>
        <v/>
      </c>
      <c r="E1836">
        <f>IF(B1836=1,D1836,E1835)</f>
        <v/>
      </c>
      <c r="F1836">
        <f>IF(AND(B1836=1,C1836&gt;1,E1835&lt;&gt;""),ABS(D1836-E1835),"")</f>
        <v/>
      </c>
    </row>
    <row r="1837">
      <c r="A1837" t="n">
        <v>1837</v>
      </c>
      <c r="B1837">
        <f>IF(INDEX('Data Entry'!$H$5:$BE$10004,1837-4,'Visual SPC'!$B$3)="",0,IF(AND(OR('Visual SPC'!$C$4="",'Data Entry'!$C1837&gt;='Visual SPC'!$C$4),OR('Visual SPC'!$E$4="",'Data Entry'!$C1837&lt;='Visual SPC'!$E$4),OR('Visual SPC'!$G$4="",'Data Entry'!$D1837='Visual SPC'!$G$4),OR('Visual SPC'!$I$4="",'Data Entry'!$E1837='Visual SPC'!$I$4),OR('Visual SPC'!$K$4="",'Data Entry'!$F1837='Visual SPC'!$K$4)),1,0))</f>
        <v/>
      </c>
      <c r="C1837">
        <f>C1836+B1837</f>
        <v/>
      </c>
      <c r="D1837">
        <f>IF(B1837=1,INDEX('Data Entry'!$H$5:$BE$10004,1837-4,'Visual SPC'!$B$3),"")</f>
        <v/>
      </c>
      <c r="E1837">
        <f>IF(B1837=1,D1837,E1836)</f>
        <v/>
      </c>
      <c r="F1837">
        <f>IF(AND(B1837=1,C1837&gt;1,E1836&lt;&gt;""),ABS(D1837-E1836),"")</f>
        <v/>
      </c>
    </row>
    <row r="1838">
      <c r="A1838" t="n">
        <v>1838</v>
      </c>
      <c r="B1838">
        <f>IF(INDEX('Data Entry'!$H$5:$BE$10004,1838-4,'Visual SPC'!$B$3)="",0,IF(AND(OR('Visual SPC'!$C$4="",'Data Entry'!$C1838&gt;='Visual SPC'!$C$4),OR('Visual SPC'!$E$4="",'Data Entry'!$C1838&lt;='Visual SPC'!$E$4),OR('Visual SPC'!$G$4="",'Data Entry'!$D1838='Visual SPC'!$G$4),OR('Visual SPC'!$I$4="",'Data Entry'!$E1838='Visual SPC'!$I$4),OR('Visual SPC'!$K$4="",'Data Entry'!$F1838='Visual SPC'!$K$4)),1,0))</f>
        <v/>
      </c>
      <c r="C1838">
        <f>C1837+B1838</f>
        <v/>
      </c>
      <c r="D1838">
        <f>IF(B1838=1,INDEX('Data Entry'!$H$5:$BE$10004,1838-4,'Visual SPC'!$B$3),"")</f>
        <v/>
      </c>
      <c r="E1838">
        <f>IF(B1838=1,D1838,E1837)</f>
        <v/>
      </c>
      <c r="F1838">
        <f>IF(AND(B1838=1,C1838&gt;1,E1837&lt;&gt;""),ABS(D1838-E1837),"")</f>
        <v/>
      </c>
    </row>
    <row r="1839">
      <c r="A1839" t="n">
        <v>1839</v>
      </c>
      <c r="B1839">
        <f>IF(INDEX('Data Entry'!$H$5:$BE$10004,1839-4,'Visual SPC'!$B$3)="",0,IF(AND(OR('Visual SPC'!$C$4="",'Data Entry'!$C1839&gt;='Visual SPC'!$C$4),OR('Visual SPC'!$E$4="",'Data Entry'!$C1839&lt;='Visual SPC'!$E$4),OR('Visual SPC'!$G$4="",'Data Entry'!$D1839='Visual SPC'!$G$4),OR('Visual SPC'!$I$4="",'Data Entry'!$E1839='Visual SPC'!$I$4),OR('Visual SPC'!$K$4="",'Data Entry'!$F1839='Visual SPC'!$K$4)),1,0))</f>
        <v/>
      </c>
      <c r="C1839">
        <f>C1838+B1839</f>
        <v/>
      </c>
      <c r="D1839">
        <f>IF(B1839=1,INDEX('Data Entry'!$H$5:$BE$10004,1839-4,'Visual SPC'!$B$3),"")</f>
        <v/>
      </c>
      <c r="E1839">
        <f>IF(B1839=1,D1839,E1838)</f>
        <v/>
      </c>
      <c r="F1839">
        <f>IF(AND(B1839=1,C1839&gt;1,E1838&lt;&gt;""),ABS(D1839-E1838),"")</f>
        <v/>
      </c>
    </row>
    <row r="1840">
      <c r="A1840" t="n">
        <v>1840</v>
      </c>
      <c r="B1840">
        <f>IF(INDEX('Data Entry'!$H$5:$BE$10004,1840-4,'Visual SPC'!$B$3)="",0,IF(AND(OR('Visual SPC'!$C$4="",'Data Entry'!$C1840&gt;='Visual SPC'!$C$4),OR('Visual SPC'!$E$4="",'Data Entry'!$C1840&lt;='Visual SPC'!$E$4),OR('Visual SPC'!$G$4="",'Data Entry'!$D1840='Visual SPC'!$G$4),OR('Visual SPC'!$I$4="",'Data Entry'!$E1840='Visual SPC'!$I$4),OR('Visual SPC'!$K$4="",'Data Entry'!$F1840='Visual SPC'!$K$4)),1,0))</f>
        <v/>
      </c>
      <c r="C1840">
        <f>C1839+B1840</f>
        <v/>
      </c>
      <c r="D1840">
        <f>IF(B1840=1,INDEX('Data Entry'!$H$5:$BE$10004,1840-4,'Visual SPC'!$B$3),"")</f>
        <v/>
      </c>
      <c r="E1840">
        <f>IF(B1840=1,D1840,E1839)</f>
        <v/>
      </c>
      <c r="F1840">
        <f>IF(AND(B1840=1,C1840&gt;1,E1839&lt;&gt;""),ABS(D1840-E1839),"")</f>
        <v/>
      </c>
    </row>
    <row r="1841">
      <c r="A1841" t="n">
        <v>1841</v>
      </c>
      <c r="B1841">
        <f>IF(INDEX('Data Entry'!$H$5:$BE$10004,1841-4,'Visual SPC'!$B$3)="",0,IF(AND(OR('Visual SPC'!$C$4="",'Data Entry'!$C1841&gt;='Visual SPC'!$C$4),OR('Visual SPC'!$E$4="",'Data Entry'!$C1841&lt;='Visual SPC'!$E$4),OR('Visual SPC'!$G$4="",'Data Entry'!$D1841='Visual SPC'!$G$4),OR('Visual SPC'!$I$4="",'Data Entry'!$E1841='Visual SPC'!$I$4),OR('Visual SPC'!$K$4="",'Data Entry'!$F1841='Visual SPC'!$K$4)),1,0))</f>
        <v/>
      </c>
      <c r="C1841">
        <f>C1840+B1841</f>
        <v/>
      </c>
      <c r="D1841">
        <f>IF(B1841=1,INDEX('Data Entry'!$H$5:$BE$10004,1841-4,'Visual SPC'!$B$3),"")</f>
        <v/>
      </c>
      <c r="E1841">
        <f>IF(B1841=1,D1841,E1840)</f>
        <v/>
      </c>
      <c r="F1841">
        <f>IF(AND(B1841=1,C1841&gt;1,E1840&lt;&gt;""),ABS(D1841-E1840),"")</f>
        <v/>
      </c>
    </row>
    <row r="1842">
      <c r="A1842" t="n">
        <v>1842</v>
      </c>
      <c r="B1842">
        <f>IF(INDEX('Data Entry'!$H$5:$BE$10004,1842-4,'Visual SPC'!$B$3)="",0,IF(AND(OR('Visual SPC'!$C$4="",'Data Entry'!$C1842&gt;='Visual SPC'!$C$4),OR('Visual SPC'!$E$4="",'Data Entry'!$C1842&lt;='Visual SPC'!$E$4),OR('Visual SPC'!$G$4="",'Data Entry'!$D1842='Visual SPC'!$G$4),OR('Visual SPC'!$I$4="",'Data Entry'!$E1842='Visual SPC'!$I$4),OR('Visual SPC'!$K$4="",'Data Entry'!$F1842='Visual SPC'!$K$4)),1,0))</f>
        <v/>
      </c>
      <c r="C1842">
        <f>C1841+B1842</f>
        <v/>
      </c>
      <c r="D1842">
        <f>IF(B1842=1,INDEX('Data Entry'!$H$5:$BE$10004,1842-4,'Visual SPC'!$B$3),"")</f>
        <v/>
      </c>
      <c r="E1842">
        <f>IF(B1842=1,D1842,E1841)</f>
        <v/>
      </c>
      <c r="F1842">
        <f>IF(AND(B1842=1,C1842&gt;1,E1841&lt;&gt;""),ABS(D1842-E1841),"")</f>
        <v/>
      </c>
    </row>
    <row r="1843">
      <c r="A1843" t="n">
        <v>1843</v>
      </c>
      <c r="B1843">
        <f>IF(INDEX('Data Entry'!$H$5:$BE$10004,1843-4,'Visual SPC'!$B$3)="",0,IF(AND(OR('Visual SPC'!$C$4="",'Data Entry'!$C1843&gt;='Visual SPC'!$C$4),OR('Visual SPC'!$E$4="",'Data Entry'!$C1843&lt;='Visual SPC'!$E$4),OR('Visual SPC'!$G$4="",'Data Entry'!$D1843='Visual SPC'!$G$4),OR('Visual SPC'!$I$4="",'Data Entry'!$E1843='Visual SPC'!$I$4),OR('Visual SPC'!$K$4="",'Data Entry'!$F1843='Visual SPC'!$K$4)),1,0))</f>
        <v/>
      </c>
      <c r="C1843">
        <f>C1842+B1843</f>
        <v/>
      </c>
      <c r="D1843">
        <f>IF(B1843=1,INDEX('Data Entry'!$H$5:$BE$10004,1843-4,'Visual SPC'!$B$3),"")</f>
        <v/>
      </c>
      <c r="E1843">
        <f>IF(B1843=1,D1843,E1842)</f>
        <v/>
      </c>
      <c r="F1843">
        <f>IF(AND(B1843=1,C1843&gt;1,E1842&lt;&gt;""),ABS(D1843-E1842),"")</f>
        <v/>
      </c>
    </row>
    <row r="1844">
      <c r="A1844" t="n">
        <v>1844</v>
      </c>
      <c r="B1844">
        <f>IF(INDEX('Data Entry'!$H$5:$BE$10004,1844-4,'Visual SPC'!$B$3)="",0,IF(AND(OR('Visual SPC'!$C$4="",'Data Entry'!$C1844&gt;='Visual SPC'!$C$4),OR('Visual SPC'!$E$4="",'Data Entry'!$C1844&lt;='Visual SPC'!$E$4),OR('Visual SPC'!$G$4="",'Data Entry'!$D1844='Visual SPC'!$G$4),OR('Visual SPC'!$I$4="",'Data Entry'!$E1844='Visual SPC'!$I$4),OR('Visual SPC'!$K$4="",'Data Entry'!$F1844='Visual SPC'!$K$4)),1,0))</f>
        <v/>
      </c>
      <c r="C1844">
        <f>C1843+B1844</f>
        <v/>
      </c>
      <c r="D1844">
        <f>IF(B1844=1,INDEX('Data Entry'!$H$5:$BE$10004,1844-4,'Visual SPC'!$B$3),"")</f>
        <v/>
      </c>
      <c r="E1844">
        <f>IF(B1844=1,D1844,E1843)</f>
        <v/>
      </c>
      <c r="F1844">
        <f>IF(AND(B1844=1,C1844&gt;1,E1843&lt;&gt;""),ABS(D1844-E1843),"")</f>
        <v/>
      </c>
    </row>
    <row r="1845">
      <c r="A1845" t="n">
        <v>1845</v>
      </c>
      <c r="B1845">
        <f>IF(INDEX('Data Entry'!$H$5:$BE$10004,1845-4,'Visual SPC'!$B$3)="",0,IF(AND(OR('Visual SPC'!$C$4="",'Data Entry'!$C1845&gt;='Visual SPC'!$C$4),OR('Visual SPC'!$E$4="",'Data Entry'!$C1845&lt;='Visual SPC'!$E$4),OR('Visual SPC'!$G$4="",'Data Entry'!$D1845='Visual SPC'!$G$4),OR('Visual SPC'!$I$4="",'Data Entry'!$E1845='Visual SPC'!$I$4),OR('Visual SPC'!$K$4="",'Data Entry'!$F1845='Visual SPC'!$K$4)),1,0))</f>
        <v/>
      </c>
      <c r="C1845">
        <f>C1844+B1845</f>
        <v/>
      </c>
      <c r="D1845">
        <f>IF(B1845=1,INDEX('Data Entry'!$H$5:$BE$10004,1845-4,'Visual SPC'!$B$3),"")</f>
        <v/>
      </c>
      <c r="E1845">
        <f>IF(B1845=1,D1845,E1844)</f>
        <v/>
      </c>
      <c r="F1845">
        <f>IF(AND(B1845=1,C1845&gt;1,E1844&lt;&gt;""),ABS(D1845-E1844),"")</f>
        <v/>
      </c>
    </row>
    <row r="1846">
      <c r="A1846" t="n">
        <v>1846</v>
      </c>
      <c r="B1846">
        <f>IF(INDEX('Data Entry'!$H$5:$BE$10004,1846-4,'Visual SPC'!$B$3)="",0,IF(AND(OR('Visual SPC'!$C$4="",'Data Entry'!$C1846&gt;='Visual SPC'!$C$4),OR('Visual SPC'!$E$4="",'Data Entry'!$C1846&lt;='Visual SPC'!$E$4),OR('Visual SPC'!$G$4="",'Data Entry'!$D1846='Visual SPC'!$G$4),OR('Visual SPC'!$I$4="",'Data Entry'!$E1846='Visual SPC'!$I$4),OR('Visual SPC'!$K$4="",'Data Entry'!$F1846='Visual SPC'!$K$4)),1,0))</f>
        <v/>
      </c>
      <c r="C1846">
        <f>C1845+B1846</f>
        <v/>
      </c>
      <c r="D1846">
        <f>IF(B1846=1,INDEX('Data Entry'!$H$5:$BE$10004,1846-4,'Visual SPC'!$B$3),"")</f>
        <v/>
      </c>
      <c r="E1846">
        <f>IF(B1846=1,D1846,E1845)</f>
        <v/>
      </c>
      <c r="F1846">
        <f>IF(AND(B1846=1,C1846&gt;1,E1845&lt;&gt;""),ABS(D1846-E1845),"")</f>
        <v/>
      </c>
    </row>
    <row r="1847">
      <c r="A1847" t="n">
        <v>1847</v>
      </c>
      <c r="B1847">
        <f>IF(INDEX('Data Entry'!$H$5:$BE$10004,1847-4,'Visual SPC'!$B$3)="",0,IF(AND(OR('Visual SPC'!$C$4="",'Data Entry'!$C1847&gt;='Visual SPC'!$C$4),OR('Visual SPC'!$E$4="",'Data Entry'!$C1847&lt;='Visual SPC'!$E$4),OR('Visual SPC'!$G$4="",'Data Entry'!$D1847='Visual SPC'!$G$4),OR('Visual SPC'!$I$4="",'Data Entry'!$E1847='Visual SPC'!$I$4),OR('Visual SPC'!$K$4="",'Data Entry'!$F1847='Visual SPC'!$K$4)),1,0))</f>
        <v/>
      </c>
      <c r="C1847">
        <f>C1846+B1847</f>
        <v/>
      </c>
      <c r="D1847">
        <f>IF(B1847=1,INDEX('Data Entry'!$H$5:$BE$10004,1847-4,'Visual SPC'!$B$3),"")</f>
        <v/>
      </c>
      <c r="E1847">
        <f>IF(B1847=1,D1847,E1846)</f>
        <v/>
      </c>
      <c r="F1847">
        <f>IF(AND(B1847=1,C1847&gt;1,E1846&lt;&gt;""),ABS(D1847-E1846),"")</f>
        <v/>
      </c>
    </row>
    <row r="1848">
      <c r="A1848" t="n">
        <v>1848</v>
      </c>
      <c r="B1848">
        <f>IF(INDEX('Data Entry'!$H$5:$BE$10004,1848-4,'Visual SPC'!$B$3)="",0,IF(AND(OR('Visual SPC'!$C$4="",'Data Entry'!$C1848&gt;='Visual SPC'!$C$4),OR('Visual SPC'!$E$4="",'Data Entry'!$C1848&lt;='Visual SPC'!$E$4),OR('Visual SPC'!$G$4="",'Data Entry'!$D1848='Visual SPC'!$G$4),OR('Visual SPC'!$I$4="",'Data Entry'!$E1848='Visual SPC'!$I$4),OR('Visual SPC'!$K$4="",'Data Entry'!$F1848='Visual SPC'!$K$4)),1,0))</f>
        <v/>
      </c>
      <c r="C1848">
        <f>C1847+B1848</f>
        <v/>
      </c>
      <c r="D1848">
        <f>IF(B1848=1,INDEX('Data Entry'!$H$5:$BE$10004,1848-4,'Visual SPC'!$B$3),"")</f>
        <v/>
      </c>
      <c r="E1848">
        <f>IF(B1848=1,D1848,E1847)</f>
        <v/>
      </c>
      <c r="F1848">
        <f>IF(AND(B1848=1,C1848&gt;1,E1847&lt;&gt;""),ABS(D1848-E1847),"")</f>
        <v/>
      </c>
    </row>
    <row r="1849">
      <c r="A1849" t="n">
        <v>1849</v>
      </c>
      <c r="B1849">
        <f>IF(INDEX('Data Entry'!$H$5:$BE$10004,1849-4,'Visual SPC'!$B$3)="",0,IF(AND(OR('Visual SPC'!$C$4="",'Data Entry'!$C1849&gt;='Visual SPC'!$C$4),OR('Visual SPC'!$E$4="",'Data Entry'!$C1849&lt;='Visual SPC'!$E$4),OR('Visual SPC'!$G$4="",'Data Entry'!$D1849='Visual SPC'!$G$4),OR('Visual SPC'!$I$4="",'Data Entry'!$E1849='Visual SPC'!$I$4),OR('Visual SPC'!$K$4="",'Data Entry'!$F1849='Visual SPC'!$K$4)),1,0))</f>
        <v/>
      </c>
      <c r="C1849">
        <f>C1848+B1849</f>
        <v/>
      </c>
      <c r="D1849">
        <f>IF(B1849=1,INDEX('Data Entry'!$H$5:$BE$10004,1849-4,'Visual SPC'!$B$3),"")</f>
        <v/>
      </c>
      <c r="E1849">
        <f>IF(B1849=1,D1849,E1848)</f>
        <v/>
      </c>
      <c r="F1849">
        <f>IF(AND(B1849=1,C1849&gt;1,E1848&lt;&gt;""),ABS(D1849-E1848),"")</f>
        <v/>
      </c>
    </row>
    <row r="1850">
      <c r="A1850" t="n">
        <v>1850</v>
      </c>
      <c r="B1850">
        <f>IF(INDEX('Data Entry'!$H$5:$BE$10004,1850-4,'Visual SPC'!$B$3)="",0,IF(AND(OR('Visual SPC'!$C$4="",'Data Entry'!$C1850&gt;='Visual SPC'!$C$4),OR('Visual SPC'!$E$4="",'Data Entry'!$C1850&lt;='Visual SPC'!$E$4),OR('Visual SPC'!$G$4="",'Data Entry'!$D1850='Visual SPC'!$G$4),OR('Visual SPC'!$I$4="",'Data Entry'!$E1850='Visual SPC'!$I$4),OR('Visual SPC'!$K$4="",'Data Entry'!$F1850='Visual SPC'!$K$4)),1,0))</f>
        <v/>
      </c>
      <c r="C1850">
        <f>C1849+B1850</f>
        <v/>
      </c>
      <c r="D1850">
        <f>IF(B1850=1,INDEX('Data Entry'!$H$5:$BE$10004,1850-4,'Visual SPC'!$B$3),"")</f>
        <v/>
      </c>
      <c r="E1850">
        <f>IF(B1850=1,D1850,E1849)</f>
        <v/>
      </c>
      <c r="F1850">
        <f>IF(AND(B1850=1,C1850&gt;1,E1849&lt;&gt;""),ABS(D1850-E1849),"")</f>
        <v/>
      </c>
    </row>
    <row r="1851">
      <c r="A1851" t="n">
        <v>1851</v>
      </c>
      <c r="B1851">
        <f>IF(INDEX('Data Entry'!$H$5:$BE$10004,1851-4,'Visual SPC'!$B$3)="",0,IF(AND(OR('Visual SPC'!$C$4="",'Data Entry'!$C1851&gt;='Visual SPC'!$C$4),OR('Visual SPC'!$E$4="",'Data Entry'!$C1851&lt;='Visual SPC'!$E$4),OR('Visual SPC'!$G$4="",'Data Entry'!$D1851='Visual SPC'!$G$4),OR('Visual SPC'!$I$4="",'Data Entry'!$E1851='Visual SPC'!$I$4),OR('Visual SPC'!$K$4="",'Data Entry'!$F1851='Visual SPC'!$K$4)),1,0))</f>
        <v/>
      </c>
      <c r="C1851">
        <f>C1850+B1851</f>
        <v/>
      </c>
      <c r="D1851">
        <f>IF(B1851=1,INDEX('Data Entry'!$H$5:$BE$10004,1851-4,'Visual SPC'!$B$3),"")</f>
        <v/>
      </c>
      <c r="E1851">
        <f>IF(B1851=1,D1851,E1850)</f>
        <v/>
      </c>
      <c r="F1851">
        <f>IF(AND(B1851=1,C1851&gt;1,E1850&lt;&gt;""),ABS(D1851-E1850),"")</f>
        <v/>
      </c>
    </row>
    <row r="1852">
      <c r="A1852" t="n">
        <v>1852</v>
      </c>
      <c r="B1852">
        <f>IF(INDEX('Data Entry'!$H$5:$BE$10004,1852-4,'Visual SPC'!$B$3)="",0,IF(AND(OR('Visual SPC'!$C$4="",'Data Entry'!$C1852&gt;='Visual SPC'!$C$4),OR('Visual SPC'!$E$4="",'Data Entry'!$C1852&lt;='Visual SPC'!$E$4),OR('Visual SPC'!$G$4="",'Data Entry'!$D1852='Visual SPC'!$G$4),OR('Visual SPC'!$I$4="",'Data Entry'!$E1852='Visual SPC'!$I$4),OR('Visual SPC'!$K$4="",'Data Entry'!$F1852='Visual SPC'!$K$4)),1,0))</f>
        <v/>
      </c>
      <c r="C1852">
        <f>C1851+B1852</f>
        <v/>
      </c>
      <c r="D1852">
        <f>IF(B1852=1,INDEX('Data Entry'!$H$5:$BE$10004,1852-4,'Visual SPC'!$B$3),"")</f>
        <v/>
      </c>
      <c r="E1852">
        <f>IF(B1852=1,D1852,E1851)</f>
        <v/>
      </c>
      <c r="F1852">
        <f>IF(AND(B1852=1,C1852&gt;1,E1851&lt;&gt;""),ABS(D1852-E1851),"")</f>
        <v/>
      </c>
    </row>
    <row r="1853">
      <c r="A1853" t="n">
        <v>1853</v>
      </c>
      <c r="B1853">
        <f>IF(INDEX('Data Entry'!$H$5:$BE$10004,1853-4,'Visual SPC'!$B$3)="",0,IF(AND(OR('Visual SPC'!$C$4="",'Data Entry'!$C1853&gt;='Visual SPC'!$C$4),OR('Visual SPC'!$E$4="",'Data Entry'!$C1853&lt;='Visual SPC'!$E$4),OR('Visual SPC'!$G$4="",'Data Entry'!$D1853='Visual SPC'!$G$4),OR('Visual SPC'!$I$4="",'Data Entry'!$E1853='Visual SPC'!$I$4),OR('Visual SPC'!$K$4="",'Data Entry'!$F1853='Visual SPC'!$K$4)),1,0))</f>
        <v/>
      </c>
      <c r="C1853">
        <f>C1852+B1853</f>
        <v/>
      </c>
      <c r="D1853">
        <f>IF(B1853=1,INDEX('Data Entry'!$H$5:$BE$10004,1853-4,'Visual SPC'!$B$3),"")</f>
        <v/>
      </c>
      <c r="E1853">
        <f>IF(B1853=1,D1853,E1852)</f>
        <v/>
      </c>
      <c r="F1853">
        <f>IF(AND(B1853=1,C1853&gt;1,E1852&lt;&gt;""),ABS(D1853-E1852),"")</f>
        <v/>
      </c>
    </row>
    <row r="1854">
      <c r="A1854" t="n">
        <v>1854</v>
      </c>
      <c r="B1854">
        <f>IF(INDEX('Data Entry'!$H$5:$BE$10004,1854-4,'Visual SPC'!$B$3)="",0,IF(AND(OR('Visual SPC'!$C$4="",'Data Entry'!$C1854&gt;='Visual SPC'!$C$4),OR('Visual SPC'!$E$4="",'Data Entry'!$C1854&lt;='Visual SPC'!$E$4),OR('Visual SPC'!$G$4="",'Data Entry'!$D1854='Visual SPC'!$G$4),OR('Visual SPC'!$I$4="",'Data Entry'!$E1854='Visual SPC'!$I$4),OR('Visual SPC'!$K$4="",'Data Entry'!$F1854='Visual SPC'!$K$4)),1,0))</f>
        <v/>
      </c>
      <c r="C1854">
        <f>C1853+B1854</f>
        <v/>
      </c>
      <c r="D1854">
        <f>IF(B1854=1,INDEX('Data Entry'!$H$5:$BE$10004,1854-4,'Visual SPC'!$B$3),"")</f>
        <v/>
      </c>
      <c r="E1854">
        <f>IF(B1854=1,D1854,E1853)</f>
        <v/>
      </c>
      <c r="F1854">
        <f>IF(AND(B1854=1,C1854&gt;1,E1853&lt;&gt;""),ABS(D1854-E1853),"")</f>
        <v/>
      </c>
    </row>
    <row r="1855">
      <c r="A1855" t="n">
        <v>1855</v>
      </c>
      <c r="B1855">
        <f>IF(INDEX('Data Entry'!$H$5:$BE$10004,1855-4,'Visual SPC'!$B$3)="",0,IF(AND(OR('Visual SPC'!$C$4="",'Data Entry'!$C1855&gt;='Visual SPC'!$C$4),OR('Visual SPC'!$E$4="",'Data Entry'!$C1855&lt;='Visual SPC'!$E$4),OR('Visual SPC'!$G$4="",'Data Entry'!$D1855='Visual SPC'!$G$4),OR('Visual SPC'!$I$4="",'Data Entry'!$E1855='Visual SPC'!$I$4),OR('Visual SPC'!$K$4="",'Data Entry'!$F1855='Visual SPC'!$K$4)),1,0))</f>
        <v/>
      </c>
      <c r="C1855">
        <f>C1854+B1855</f>
        <v/>
      </c>
      <c r="D1855">
        <f>IF(B1855=1,INDEX('Data Entry'!$H$5:$BE$10004,1855-4,'Visual SPC'!$B$3),"")</f>
        <v/>
      </c>
      <c r="E1855">
        <f>IF(B1855=1,D1855,E1854)</f>
        <v/>
      </c>
      <c r="F1855">
        <f>IF(AND(B1855=1,C1855&gt;1,E1854&lt;&gt;""),ABS(D1855-E1854),"")</f>
        <v/>
      </c>
    </row>
    <row r="1856">
      <c r="A1856" t="n">
        <v>1856</v>
      </c>
      <c r="B1856">
        <f>IF(INDEX('Data Entry'!$H$5:$BE$10004,1856-4,'Visual SPC'!$B$3)="",0,IF(AND(OR('Visual SPC'!$C$4="",'Data Entry'!$C1856&gt;='Visual SPC'!$C$4),OR('Visual SPC'!$E$4="",'Data Entry'!$C1856&lt;='Visual SPC'!$E$4),OR('Visual SPC'!$G$4="",'Data Entry'!$D1856='Visual SPC'!$G$4),OR('Visual SPC'!$I$4="",'Data Entry'!$E1856='Visual SPC'!$I$4),OR('Visual SPC'!$K$4="",'Data Entry'!$F1856='Visual SPC'!$K$4)),1,0))</f>
        <v/>
      </c>
      <c r="C1856">
        <f>C1855+B1856</f>
        <v/>
      </c>
      <c r="D1856">
        <f>IF(B1856=1,INDEX('Data Entry'!$H$5:$BE$10004,1856-4,'Visual SPC'!$B$3),"")</f>
        <v/>
      </c>
      <c r="E1856">
        <f>IF(B1856=1,D1856,E1855)</f>
        <v/>
      </c>
      <c r="F1856">
        <f>IF(AND(B1856=1,C1856&gt;1,E1855&lt;&gt;""),ABS(D1856-E1855),"")</f>
        <v/>
      </c>
    </row>
    <row r="1857">
      <c r="A1857" t="n">
        <v>1857</v>
      </c>
      <c r="B1857">
        <f>IF(INDEX('Data Entry'!$H$5:$BE$10004,1857-4,'Visual SPC'!$B$3)="",0,IF(AND(OR('Visual SPC'!$C$4="",'Data Entry'!$C1857&gt;='Visual SPC'!$C$4),OR('Visual SPC'!$E$4="",'Data Entry'!$C1857&lt;='Visual SPC'!$E$4),OR('Visual SPC'!$G$4="",'Data Entry'!$D1857='Visual SPC'!$G$4),OR('Visual SPC'!$I$4="",'Data Entry'!$E1857='Visual SPC'!$I$4),OR('Visual SPC'!$K$4="",'Data Entry'!$F1857='Visual SPC'!$K$4)),1,0))</f>
        <v/>
      </c>
      <c r="C1857">
        <f>C1856+B1857</f>
        <v/>
      </c>
      <c r="D1857">
        <f>IF(B1857=1,INDEX('Data Entry'!$H$5:$BE$10004,1857-4,'Visual SPC'!$B$3),"")</f>
        <v/>
      </c>
      <c r="E1857">
        <f>IF(B1857=1,D1857,E1856)</f>
        <v/>
      </c>
      <c r="F1857">
        <f>IF(AND(B1857=1,C1857&gt;1,E1856&lt;&gt;""),ABS(D1857-E1856),"")</f>
        <v/>
      </c>
    </row>
    <row r="1858">
      <c r="A1858" t="n">
        <v>1858</v>
      </c>
      <c r="B1858">
        <f>IF(INDEX('Data Entry'!$H$5:$BE$10004,1858-4,'Visual SPC'!$B$3)="",0,IF(AND(OR('Visual SPC'!$C$4="",'Data Entry'!$C1858&gt;='Visual SPC'!$C$4),OR('Visual SPC'!$E$4="",'Data Entry'!$C1858&lt;='Visual SPC'!$E$4),OR('Visual SPC'!$G$4="",'Data Entry'!$D1858='Visual SPC'!$G$4),OR('Visual SPC'!$I$4="",'Data Entry'!$E1858='Visual SPC'!$I$4),OR('Visual SPC'!$K$4="",'Data Entry'!$F1858='Visual SPC'!$K$4)),1,0))</f>
        <v/>
      </c>
      <c r="C1858">
        <f>C1857+B1858</f>
        <v/>
      </c>
      <c r="D1858">
        <f>IF(B1858=1,INDEX('Data Entry'!$H$5:$BE$10004,1858-4,'Visual SPC'!$B$3),"")</f>
        <v/>
      </c>
      <c r="E1858">
        <f>IF(B1858=1,D1858,E1857)</f>
        <v/>
      </c>
      <c r="F1858">
        <f>IF(AND(B1858=1,C1858&gt;1,E1857&lt;&gt;""),ABS(D1858-E1857),"")</f>
        <v/>
      </c>
    </row>
    <row r="1859">
      <c r="A1859" t="n">
        <v>1859</v>
      </c>
      <c r="B1859">
        <f>IF(INDEX('Data Entry'!$H$5:$BE$10004,1859-4,'Visual SPC'!$B$3)="",0,IF(AND(OR('Visual SPC'!$C$4="",'Data Entry'!$C1859&gt;='Visual SPC'!$C$4),OR('Visual SPC'!$E$4="",'Data Entry'!$C1859&lt;='Visual SPC'!$E$4),OR('Visual SPC'!$G$4="",'Data Entry'!$D1859='Visual SPC'!$G$4),OR('Visual SPC'!$I$4="",'Data Entry'!$E1859='Visual SPC'!$I$4),OR('Visual SPC'!$K$4="",'Data Entry'!$F1859='Visual SPC'!$K$4)),1,0))</f>
        <v/>
      </c>
      <c r="C1859">
        <f>C1858+B1859</f>
        <v/>
      </c>
      <c r="D1859">
        <f>IF(B1859=1,INDEX('Data Entry'!$H$5:$BE$10004,1859-4,'Visual SPC'!$B$3),"")</f>
        <v/>
      </c>
      <c r="E1859">
        <f>IF(B1859=1,D1859,E1858)</f>
        <v/>
      </c>
      <c r="F1859">
        <f>IF(AND(B1859=1,C1859&gt;1,E1858&lt;&gt;""),ABS(D1859-E1858),"")</f>
        <v/>
      </c>
    </row>
    <row r="1860">
      <c r="A1860" t="n">
        <v>1860</v>
      </c>
      <c r="B1860">
        <f>IF(INDEX('Data Entry'!$H$5:$BE$10004,1860-4,'Visual SPC'!$B$3)="",0,IF(AND(OR('Visual SPC'!$C$4="",'Data Entry'!$C1860&gt;='Visual SPC'!$C$4),OR('Visual SPC'!$E$4="",'Data Entry'!$C1860&lt;='Visual SPC'!$E$4),OR('Visual SPC'!$G$4="",'Data Entry'!$D1860='Visual SPC'!$G$4),OR('Visual SPC'!$I$4="",'Data Entry'!$E1860='Visual SPC'!$I$4),OR('Visual SPC'!$K$4="",'Data Entry'!$F1860='Visual SPC'!$K$4)),1,0))</f>
        <v/>
      </c>
      <c r="C1860">
        <f>C1859+B1860</f>
        <v/>
      </c>
      <c r="D1860">
        <f>IF(B1860=1,INDEX('Data Entry'!$H$5:$BE$10004,1860-4,'Visual SPC'!$B$3),"")</f>
        <v/>
      </c>
      <c r="E1860">
        <f>IF(B1860=1,D1860,E1859)</f>
        <v/>
      </c>
      <c r="F1860">
        <f>IF(AND(B1860=1,C1860&gt;1,E1859&lt;&gt;""),ABS(D1860-E1859),"")</f>
        <v/>
      </c>
    </row>
    <row r="1861">
      <c r="A1861" t="n">
        <v>1861</v>
      </c>
      <c r="B1861">
        <f>IF(INDEX('Data Entry'!$H$5:$BE$10004,1861-4,'Visual SPC'!$B$3)="",0,IF(AND(OR('Visual SPC'!$C$4="",'Data Entry'!$C1861&gt;='Visual SPC'!$C$4),OR('Visual SPC'!$E$4="",'Data Entry'!$C1861&lt;='Visual SPC'!$E$4),OR('Visual SPC'!$G$4="",'Data Entry'!$D1861='Visual SPC'!$G$4),OR('Visual SPC'!$I$4="",'Data Entry'!$E1861='Visual SPC'!$I$4),OR('Visual SPC'!$K$4="",'Data Entry'!$F1861='Visual SPC'!$K$4)),1,0))</f>
        <v/>
      </c>
      <c r="C1861">
        <f>C1860+B1861</f>
        <v/>
      </c>
      <c r="D1861">
        <f>IF(B1861=1,INDEX('Data Entry'!$H$5:$BE$10004,1861-4,'Visual SPC'!$B$3),"")</f>
        <v/>
      </c>
      <c r="E1861">
        <f>IF(B1861=1,D1861,E1860)</f>
        <v/>
      </c>
      <c r="F1861">
        <f>IF(AND(B1861=1,C1861&gt;1,E1860&lt;&gt;""),ABS(D1861-E1860),"")</f>
        <v/>
      </c>
    </row>
    <row r="1862">
      <c r="A1862" t="n">
        <v>1862</v>
      </c>
      <c r="B1862">
        <f>IF(INDEX('Data Entry'!$H$5:$BE$10004,1862-4,'Visual SPC'!$B$3)="",0,IF(AND(OR('Visual SPC'!$C$4="",'Data Entry'!$C1862&gt;='Visual SPC'!$C$4),OR('Visual SPC'!$E$4="",'Data Entry'!$C1862&lt;='Visual SPC'!$E$4),OR('Visual SPC'!$G$4="",'Data Entry'!$D1862='Visual SPC'!$G$4),OR('Visual SPC'!$I$4="",'Data Entry'!$E1862='Visual SPC'!$I$4),OR('Visual SPC'!$K$4="",'Data Entry'!$F1862='Visual SPC'!$K$4)),1,0))</f>
        <v/>
      </c>
      <c r="C1862">
        <f>C1861+B1862</f>
        <v/>
      </c>
      <c r="D1862">
        <f>IF(B1862=1,INDEX('Data Entry'!$H$5:$BE$10004,1862-4,'Visual SPC'!$B$3),"")</f>
        <v/>
      </c>
      <c r="E1862">
        <f>IF(B1862=1,D1862,E1861)</f>
        <v/>
      </c>
      <c r="F1862">
        <f>IF(AND(B1862=1,C1862&gt;1,E1861&lt;&gt;""),ABS(D1862-E1861),"")</f>
        <v/>
      </c>
    </row>
    <row r="1863">
      <c r="A1863" t="n">
        <v>1863</v>
      </c>
      <c r="B1863">
        <f>IF(INDEX('Data Entry'!$H$5:$BE$10004,1863-4,'Visual SPC'!$B$3)="",0,IF(AND(OR('Visual SPC'!$C$4="",'Data Entry'!$C1863&gt;='Visual SPC'!$C$4),OR('Visual SPC'!$E$4="",'Data Entry'!$C1863&lt;='Visual SPC'!$E$4),OR('Visual SPC'!$G$4="",'Data Entry'!$D1863='Visual SPC'!$G$4),OR('Visual SPC'!$I$4="",'Data Entry'!$E1863='Visual SPC'!$I$4),OR('Visual SPC'!$K$4="",'Data Entry'!$F1863='Visual SPC'!$K$4)),1,0))</f>
        <v/>
      </c>
      <c r="C1863">
        <f>C1862+B1863</f>
        <v/>
      </c>
      <c r="D1863">
        <f>IF(B1863=1,INDEX('Data Entry'!$H$5:$BE$10004,1863-4,'Visual SPC'!$B$3),"")</f>
        <v/>
      </c>
      <c r="E1863">
        <f>IF(B1863=1,D1863,E1862)</f>
        <v/>
      </c>
      <c r="F1863">
        <f>IF(AND(B1863=1,C1863&gt;1,E1862&lt;&gt;""),ABS(D1863-E1862),"")</f>
        <v/>
      </c>
    </row>
    <row r="1864">
      <c r="A1864" t="n">
        <v>1864</v>
      </c>
      <c r="B1864">
        <f>IF(INDEX('Data Entry'!$H$5:$BE$10004,1864-4,'Visual SPC'!$B$3)="",0,IF(AND(OR('Visual SPC'!$C$4="",'Data Entry'!$C1864&gt;='Visual SPC'!$C$4),OR('Visual SPC'!$E$4="",'Data Entry'!$C1864&lt;='Visual SPC'!$E$4),OR('Visual SPC'!$G$4="",'Data Entry'!$D1864='Visual SPC'!$G$4),OR('Visual SPC'!$I$4="",'Data Entry'!$E1864='Visual SPC'!$I$4),OR('Visual SPC'!$K$4="",'Data Entry'!$F1864='Visual SPC'!$K$4)),1,0))</f>
        <v/>
      </c>
      <c r="C1864">
        <f>C1863+B1864</f>
        <v/>
      </c>
      <c r="D1864">
        <f>IF(B1864=1,INDEX('Data Entry'!$H$5:$BE$10004,1864-4,'Visual SPC'!$B$3),"")</f>
        <v/>
      </c>
      <c r="E1864">
        <f>IF(B1864=1,D1864,E1863)</f>
        <v/>
      </c>
      <c r="F1864">
        <f>IF(AND(B1864=1,C1864&gt;1,E1863&lt;&gt;""),ABS(D1864-E1863),"")</f>
        <v/>
      </c>
    </row>
    <row r="1865">
      <c r="A1865" t="n">
        <v>1865</v>
      </c>
      <c r="B1865">
        <f>IF(INDEX('Data Entry'!$H$5:$BE$10004,1865-4,'Visual SPC'!$B$3)="",0,IF(AND(OR('Visual SPC'!$C$4="",'Data Entry'!$C1865&gt;='Visual SPC'!$C$4),OR('Visual SPC'!$E$4="",'Data Entry'!$C1865&lt;='Visual SPC'!$E$4),OR('Visual SPC'!$G$4="",'Data Entry'!$D1865='Visual SPC'!$G$4),OR('Visual SPC'!$I$4="",'Data Entry'!$E1865='Visual SPC'!$I$4),OR('Visual SPC'!$K$4="",'Data Entry'!$F1865='Visual SPC'!$K$4)),1,0))</f>
        <v/>
      </c>
      <c r="C1865">
        <f>C1864+B1865</f>
        <v/>
      </c>
      <c r="D1865">
        <f>IF(B1865=1,INDEX('Data Entry'!$H$5:$BE$10004,1865-4,'Visual SPC'!$B$3),"")</f>
        <v/>
      </c>
      <c r="E1865">
        <f>IF(B1865=1,D1865,E1864)</f>
        <v/>
      </c>
      <c r="F1865">
        <f>IF(AND(B1865=1,C1865&gt;1,E1864&lt;&gt;""),ABS(D1865-E1864),"")</f>
        <v/>
      </c>
    </row>
    <row r="1866">
      <c r="A1866" t="n">
        <v>1866</v>
      </c>
      <c r="B1866">
        <f>IF(INDEX('Data Entry'!$H$5:$BE$10004,1866-4,'Visual SPC'!$B$3)="",0,IF(AND(OR('Visual SPC'!$C$4="",'Data Entry'!$C1866&gt;='Visual SPC'!$C$4),OR('Visual SPC'!$E$4="",'Data Entry'!$C1866&lt;='Visual SPC'!$E$4),OR('Visual SPC'!$G$4="",'Data Entry'!$D1866='Visual SPC'!$G$4),OR('Visual SPC'!$I$4="",'Data Entry'!$E1866='Visual SPC'!$I$4),OR('Visual SPC'!$K$4="",'Data Entry'!$F1866='Visual SPC'!$K$4)),1,0))</f>
        <v/>
      </c>
      <c r="C1866">
        <f>C1865+B1866</f>
        <v/>
      </c>
      <c r="D1866">
        <f>IF(B1866=1,INDEX('Data Entry'!$H$5:$BE$10004,1866-4,'Visual SPC'!$B$3),"")</f>
        <v/>
      </c>
      <c r="E1866">
        <f>IF(B1866=1,D1866,E1865)</f>
        <v/>
      </c>
      <c r="F1866">
        <f>IF(AND(B1866=1,C1866&gt;1,E1865&lt;&gt;""),ABS(D1866-E1865),"")</f>
        <v/>
      </c>
    </row>
    <row r="1867">
      <c r="A1867" t="n">
        <v>1867</v>
      </c>
      <c r="B1867">
        <f>IF(INDEX('Data Entry'!$H$5:$BE$10004,1867-4,'Visual SPC'!$B$3)="",0,IF(AND(OR('Visual SPC'!$C$4="",'Data Entry'!$C1867&gt;='Visual SPC'!$C$4),OR('Visual SPC'!$E$4="",'Data Entry'!$C1867&lt;='Visual SPC'!$E$4),OR('Visual SPC'!$G$4="",'Data Entry'!$D1867='Visual SPC'!$G$4),OR('Visual SPC'!$I$4="",'Data Entry'!$E1867='Visual SPC'!$I$4),OR('Visual SPC'!$K$4="",'Data Entry'!$F1867='Visual SPC'!$K$4)),1,0))</f>
        <v/>
      </c>
      <c r="C1867">
        <f>C1866+B1867</f>
        <v/>
      </c>
      <c r="D1867">
        <f>IF(B1867=1,INDEX('Data Entry'!$H$5:$BE$10004,1867-4,'Visual SPC'!$B$3),"")</f>
        <v/>
      </c>
      <c r="E1867">
        <f>IF(B1867=1,D1867,E1866)</f>
        <v/>
      </c>
      <c r="F1867">
        <f>IF(AND(B1867=1,C1867&gt;1,E1866&lt;&gt;""),ABS(D1867-E1866),"")</f>
        <v/>
      </c>
    </row>
    <row r="1868">
      <c r="A1868" t="n">
        <v>1868</v>
      </c>
      <c r="B1868">
        <f>IF(INDEX('Data Entry'!$H$5:$BE$10004,1868-4,'Visual SPC'!$B$3)="",0,IF(AND(OR('Visual SPC'!$C$4="",'Data Entry'!$C1868&gt;='Visual SPC'!$C$4),OR('Visual SPC'!$E$4="",'Data Entry'!$C1868&lt;='Visual SPC'!$E$4),OR('Visual SPC'!$G$4="",'Data Entry'!$D1868='Visual SPC'!$G$4),OR('Visual SPC'!$I$4="",'Data Entry'!$E1868='Visual SPC'!$I$4),OR('Visual SPC'!$K$4="",'Data Entry'!$F1868='Visual SPC'!$K$4)),1,0))</f>
        <v/>
      </c>
      <c r="C1868">
        <f>C1867+B1868</f>
        <v/>
      </c>
      <c r="D1868">
        <f>IF(B1868=1,INDEX('Data Entry'!$H$5:$BE$10004,1868-4,'Visual SPC'!$B$3),"")</f>
        <v/>
      </c>
      <c r="E1868">
        <f>IF(B1868=1,D1868,E1867)</f>
        <v/>
      </c>
      <c r="F1868">
        <f>IF(AND(B1868=1,C1868&gt;1,E1867&lt;&gt;""),ABS(D1868-E1867),"")</f>
        <v/>
      </c>
    </row>
    <row r="1869">
      <c r="A1869" t="n">
        <v>1869</v>
      </c>
      <c r="B1869">
        <f>IF(INDEX('Data Entry'!$H$5:$BE$10004,1869-4,'Visual SPC'!$B$3)="",0,IF(AND(OR('Visual SPC'!$C$4="",'Data Entry'!$C1869&gt;='Visual SPC'!$C$4),OR('Visual SPC'!$E$4="",'Data Entry'!$C1869&lt;='Visual SPC'!$E$4),OR('Visual SPC'!$G$4="",'Data Entry'!$D1869='Visual SPC'!$G$4),OR('Visual SPC'!$I$4="",'Data Entry'!$E1869='Visual SPC'!$I$4),OR('Visual SPC'!$K$4="",'Data Entry'!$F1869='Visual SPC'!$K$4)),1,0))</f>
        <v/>
      </c>
      <c r="C1869">
        <f>C1868+B1869</f>
        <v/>
      </c>
      <c r="D1869">
        <f>IF(B1869=1,INDEX('Data Entry'!$H$5:$BE$10004,1869-4,'Visual SPC'!$B$3),"")</f>
        <v/>
      </c>
      <c r="E1869">
        <f>IF(B1869=1,D1869,E1868)</f>
        <v/>
      </c>
      <c r="F1869">
        <f>IF(AND(B1869=1,C1869&gt;1,E1868&lt;&gt;""),ABS(D1869-E1868),"")</f>
        <v/>
      </c>
    </row>
    <row r="1870">
      <c r="A1870" t="n">
        <v>1870</v>
      </c>
      <c r="B1870">
        <f>IF(INDEX('Data Entry'!$H$5:$BE$10004,1870-4,'Visual SPC'!$B$3)="",0,IF(AND(OR('Visual SPC'!$C$4="",'Data Entry'!$C1870&gt;='Visual SPC'!$C$4),OR('Visual SPC'!$E$4="",'Data Entry'!$C1870&lt;='Visual SPC'!$E$4),OR('Visual SPC'!$G$4="",'Data Entry'!$D1870='Visual SPC'!$G$4),OR('Visual SPC'!$I$4="",'Data Entry'!$E1870='Visual SPC'!$I$4),OR('Visual SPC'!$K$4="",'Data Entry'!$F1870='Visual SPC'!$K$4)),1,0))</f>
        <v/>
      </c>
      <c r="C1870">
        <f>C1869+B1870</f>
        <v/>
      </c>
      <c r="D1870">
        <f>IF(B1870=1,INDEX('Data Entry'!$H$5:$BE$10004,1870-4,'Visual SPC'!$B$3),"")</f>
        <v/>
      </c>
      <c r="E1870">
        <f>IF(B1870=1,D1870,E1869)</f>
        <v/>
      </c>
      <c r="F1870">
        <f>IF(AND(B1870=1,C1870&gt;1,E1869&lt;&gt;""),ABS(D1870-E1869),"")</f>
        <v/>
      </c>
    </row>
    <row r="1871">
      <c r="A1871" t="n">
        <v>1871</v>
      </c>
      <c r="B1871">
        <f>IF(INDEX('Data Entry'!$H$5:$BE$10004,1871-4,'Visual SPC'!$B$3)="",0,IF(AND(OR('Visual SPC'!$C$4="",'Data Entry'!$C1871&gt;='Visual SPC'!$C$4),OR('Visual SPC'!$E$4="",'Data Entry'!$C1871&lt;='Visual SPC'!$E$4),OR('Visual SPC'!$G$4="",'Data Entry'!$D1871='Visual SPC'!$G$4),OR('Visual SPC'!$I$4="",'Data Entry'!$E1871='Visual SPC'!$I$4),OR('Visual SPC'!$K$4="",'Data Entry'!$F1871='Visual SPC'!$K$4)),1,0))</f>
        <v/>
      </c>
      <c r="C1871">
        <f>C1870+B1871</f>
        <v/>
      </c>
      <c r="D1871">
        <f>IF(B1871=1,INDEX('Data Entry'!$H$5:$BE$10004,1871-4,'Visual SPC'!$B$3),"")</f>
        <v/>
      </c>
      <c r="E1871">
        <f>IF(B1871=1,D1871,E1870)</f>
        <v/>
      </c>
      <c r="F1871">
        <f>IF(AND(B1871=1,C1871&gt;1,E1870&lt;&gt;""),ABS(D1871-E1870),"")</f>
        <v/>
      </c>
    </row>
    <row r="1872">
      <c r="A1872" t="n">
        <v>1872</v>
      </c>
      <c r="B1872">
        <f>IF(INDEX('Data Entry'!$H$5:$BE$10004,1872-4,'Visual SPC'!$B$3)="",0,IF(AND(OR('Visual SPC'!$C$4="",'Data Entry'!$C1872&gt;='Visual SPC'!$C$4),OR('Visual SPC'!$E$4="",'Data Entry'!$C1872&lt;='Visual SPC'!$E$4),OR('Visual SPC'!$G$4="",'Data Entry'!$D1872='Visual SPC'!$G$4),OR('Visual SPC'!$I$4="",'Data Entry'!$E1872='Visual SPC'!$I$4),OR('Visual SPC'!$K$4="",'Data Entry'!$F1872='Visual SPC'!$K$4)),1,0))</f>
        <v/>
      </c>
      <c r="C1872">
        <f>C1871+B1872</f>
        <v/>
      </c>
      <c r="D1872">
        <f>IF(B1872=1,INDEX('Data Entry'!$H$5:$BE$10004,1872-4,'Visual SPC'!$B$3),"")</f>
        <v/>
      </c>
      <c r="E1872">
        <f>IF(B1872=1,D1872,E1871)</f>
        <v/>
      </c>
      <c r="F1872">
        <f>IF(AND(B1872=1,C1872&gt;1,E1871&lt;&gt;""),ABS(D1872-E1871),"")</f>
        <v/>
      </c>
    </row>
    <row r="1873">
      <c r="A1873" t="n">
        <v>1873</v>
      </c>
      <c r="B1873">
        <f>IF(INDEX('Data Entry'!$H$5:$BE$10004,1873-4,'Visual SPC'!$B$3)="",0,IF(AND(OR('Visual SPC'!$C$4="",'Data Entry'!$C1873&gt;='Visual SPC'!$C$4),OR('Visual SPC'!$E$4="",'Data Entry'!$C1873&lt;='Visual SPC'!$E$4),OR('Visual SPC'!$G$4="",'Data Entry'!$D1873='Visual SPC'!$G$4),OR('Visual SPC'!$I$4="",'Data Entry'!$E1873='Visual SPC'!$I$4),OR('Visual SPC'!$K$4="",'Data Entry'!$F1873='Visual SPC'!$K$4)),1,0))</f>
        <v/>
      </c>
      <c r="C1873">
        <f>C1872+B1873</f>
        <v/>
      </c>
      <c r="D1873">
        <f>IF(B1873=1,INDEX('Data Entry'!$H$5:$BE$10004,1873-4,'Visual SPC'!$B$3),"")</f>
        <v/>
      </c>
      <c r="E1873">
        <f>IF(B1873=1,D1873,E1872)</f>
        <v/>
      </c>
      <c r="F1873">
        <f>IF(AND(B1873=1,C1873&gt;1,E1872&lt;&gt;""),ABS(D1873-E1872),"")</f>
        <v/>
      </c>
    </row>
    <row r="1874">
      <c r="A1874" t="n">
        <v>1874</v>
      </c>
      <c r="B1874">
        <f>IF(INDEX('Data Entry'!$H$5:$BE$10004,1874-4,'Visual SPC'!$B$3)="",0,IF(AND(OR('Visual SPC'!$C$4="",'Data Entry'!$C1874&gt;='Visual SPC'!$C$4),OR('Visual SPC'!$E$4="",'Data Entry'!$C1874&lt;='Visual SPC'!$E$4),OR('Visual SPC'!$G$4="",'Data Entry'!$D1874='Visual SPC'!$G$4),OR('Visual SPC'!$I$4="",'Data Entry'!$E1874='Visual SPC'!$I$4),OR('Visual SPC'!$K$4="",'Data Entry'!$F1874='Visual SPC'!$K$4)),1,0))</f>
        <v/>
      </c>
      <c r="C1874">
        <f>C1873+B1874</f>
        <v/>
      </c>
      <c r="D1874">
        <f>IF(B1874=1,INDEX('Data Entry'!$H$5:$BE$10004,1874-4,'Visual SPC'!$B$3),"")</f>
        <v/>
      </c>
      <c r="E1874">
        <f>IF(B1874=1,D1874,E1873)</f>
        <v/>
      </c>
      <c r="F1874">
        <f>IF(AND(B1874=1,C1874&gt;1,E1873&lt;&gt;""),ABS(D1874-E1873),"")</f>
        <v/>
      </c>
    </row>
    <row r="1875">
      <c r="A1875" t="n">
        <v>1875</v>
      </c>
      <c r="B1875">
        <f>IF(INDEX('Data Entry'!$H$5:$BE$10004,1875-4,'Visual SPC'!$B$3)="",0,IF(AND(OR('Visual SPC'!$C$4="",'Data Entry'!$C1875&gt;='Visual SPC'!$C$4),OR('Visual SPC'!$E$4="",'Data Entry'!$C1875&lt;='Visual SPC'!$E$4),OR('Visual SPC'!$G$4="",'Data Entry'!$D1875='Visual SPC'!$G$4),OR('Visual SPC'!$I$4="",'Data Entry'!$E1875='Visual SPC'!$I$4),OR('Visual SPC'!$K$4="",'Data Entry'!$F1875='Visual SPC'!$K$4)),1,0))</f>
        <v/>
      </c>
      <c r="C1875">
        <f>C1874+B1875</f>
        <v/>
      </c>
      <c r="D1875">
        <f>IF(B1875=1,INDEX('Data Entry'!$H$5:$BE$10004,1875-4,'Visual SPC'!$B$3),"")</f>
        <v/>
      </c>
      <c r="E1875">
        <f>IF(B1875=1,D1875,E1874)</f>
        <v/>
      </c>
      <c r="F1875">
        <f>IF(AND(B1875=1,C1875&gt;1,E1874&lt;&gt;""),ABS(D1875-E1874),"")</f>
        <v/>
      </c>
    </row>
    <row r="1876">
      <c r="A1876" t="n">
        <v>1876</v>
      </c>
      <c r="B1876">
        <f>IF(INDEX('Data Entry'!$H$5:$BE$10004,1876-4,'Visual SPC'!$B$3)="",0,IF(AND(OR('Visual SPC'!$C$4="",'Data Entry'!$C1876&gt;='Visual SPC'!$C$4),OR('Visual SPC'!$E$4="",'Data Entry'!$C1876&lt;='Visual SPC'!$E$4),OR('Visual SPC'!$G$4="",'Data Entry'!$D1876='Visual SPC'!$G$4),OR('Visual SPC'!$I$4="",'Data Entry'!$E1876='Visual SPC'!$I$4),OR('Visual SPC'!$K$4="",'Data Entry'!$F1876='Visual SPC'!$K$4)),1,0))</f>
        <v/>
      </c>
      <c r="C1876">
        <f>C1875+B1876</f>
        <v/>
      </c>
      <c r="D1876">
        <f>IF(B1876=1,INDEX('Data Entry'!$H$5:$BE$10004,1876-4,'Visual SPC'!$B$3),"")</f>
        <v/>
      </c>
      <c r="E1876">
        <f>IF(B1876=1,D1876,E1875)</f>
        <v/>
      </c>
      <c r="F1876">
        <f>IF(AND(B1876=1,C1876&gt;1,E1875&lt;&gt;""),ABS(D1876-E1875),"")</f>
        <v/>
      </c>
    </row>
    <row r="1877">
      <c r="A1877" t="n">
        <v>1877</v>
      </c>
      <c r="B1877">
        <f>IF(INDEX('Data Entry'!$H$5:$BE$10004,1877-4,'Visual SPC'!$B$3)="",0,IF(AND(OR('Visual SPC'!$C$4="",'Data Entry'!$C1877&gt;='Visual SPC'!$C$4),OR('Visual SPC'!$E$4="",'Data Entry'!$C1877&lt;='Visual SPC'!$E$4),OR('Visual SPC'!$G$4="",'Data Entry'!$D1877='Visual SPC'!$G$4),OR('Visual SPC'!$I$4="",'Data Entry'!$E1877='Visual SPC'!$I$4),OR('Visual SPC'!$K$4="",'Data Entry'!$F1877='Visual SPC'!$K$4)),1,0))</f>
        <v/>
      </c>
      <c r="C1877">
        <f>C1876+B1877</f>
        <v/>
      </c>
      <c r="D1877">
        <f>IF(B1877=1,INDEX('Data Entry'!$H$5:$BE$10004,1877-4,'Visual SPC'!$B$3),"")</f>
        <v/>
      </c>
      <c r="E1877">
        <f>IF(B1877=1,D1877,E1876)</f>
        <v/>
      </c>
      <c r="F1877">
        <f>IF(AND(B1877=1,C1877&gt;1,E1876&lt;&gt;""),ABS(D1877-E1876),"")</f>
        <v/>
      </c>
    </row>
    <row r="1878">
      <c r="A1878" t="n">
        <v>1878</v>
      </c>
      <c r="B1878">
        <f>IF(INDEX('Data Entry'!$H$5:$BE$10004,1878-4,'Visual SPC'!$B$3)="",0,IF(AND(OR('Visual SPC'!$C$4="",'Data Entry'!$C1878&gt;='Visual SPC'!$C$4),OR('Visual SPC'!$E$4="",'Data Entry'!$C1878&lt;='Visual SPC'!$E$4),OR('Visual SPC'!$G$4="",'Data Entry'!$D1878='Visual SPC'!$G$4),OR('Visual SPC'!$I$4="",'Data Entry'!$E1878='Visual SPC'!$I$4),OR('Visual SPC'!$K$4="",'Data Entry'!$F1878='Visual SPC'!$K$4)),1,0))</f>
        <v/>
      </c>
      <c r="C1878">
        <f>C1877+B1878</f>
        <v/>
      </c>
      <c r="D1878">
        <f>IF(B1878=1,INDEX('Data Entry'!$H$5:$BE$10004,1878-4,'Visual SPC'!$B$3),"")</f>
        <v/>
      </c>
      <c r="E1878">
        <f>IF(B1878=1,D1878,E1877)</f>
        <v/>
      </c>
      <c r="F1878">
        <f>IF(AND(B1878=1,C1878&gt;1,E1877&lt;&gt;""),ABS(D1878-E1877),"")</f>
        <v/>
      </c>
    </row>
    <row r="1879">
      <c r="A1879" t="n">
        <v>1879</v>
      </c>
      <c r="B1879">
        <f>IF(INDEX('Data Entry'!$H$5:$BE$10004,1879-4,'Visual SPC'!$B$3)="",0,IF(AND(OR('Visual SPC'!$C$4="",'Data Entry'!$C1879&gt;='Visual SPC'!$C$4),OR('Visual SPC'!$E$4="",'Data Entry'!$C1879&lt;='Visual SPC'!$E$4),OR('Visual SPC'!$G$4="",'Data Entry'!$D1879='Visual SPC'!$G$4),OR('Visual SPC'!$I$4="",'Data Entry'!$E1879='Visual SPC'!$I$4),OR('Visual SPC'!$K$4="",'Data Entry'!$F1879='Visual SPC'!$K$4)),1,0))</f>
        <v/>
      </c>
      <c r="C1879">
        <f>C1878+B1879</f>
        <v/>
      </c>
      <c r="D1879">
        <f>IF(B1879=1,INDEX('Data Entry'!$H$5:$BE$10004,1879-4,'Visual SPC'!$B$3),"")</f>
        <v/>
      </c>
      <c r="E1879">
        <f>IF(B1879=1,D1879,E1878)</f>
        <v/>
      </c>
      <c r="F1879">
        <f>IF(AND(B1879=1,C1879&gt;1,E1878&lt;&gt;""),ABS(D1879-E1878),"")</f>
        <v/>
      </c>
    </row>
    <row r="1880">
      <c r="A1880" t="n">
        <v>1880</v>
      </c>
      <c r="B1880">
        <f>IF(INDEX('Data Entry'!$H$5:$BE$10004,1880-4,'Visual SPC'!$B$3)="",0,IF(AND(OR('Visual SPC'!$C$4="",'Data Entry'!$C1880&gt;='Visual SPC'!$C$4),OR('Visual SPC'!$E$4="",'Data Entry'!$C1880&lt;='Visual SPC'!$E$4),OR('Visual SPC'!$G$4="",'Data Entry'!$D1880='Visual SPC'!$G$4),OR('Visual SPC'!$I$4="",'Data Entry'!$E1880='Visual SPC'!$I$4),OR('Visual SPC'!$K$4="",'Data Entry'!$F1880='Visual SPC'!$K$4)),1,0))</f>
        <v/>
      </c>
      <c r="C1880">
        <f>C1879+B1880</f>
        <v/>
      </c>
      <c r="D1880">
        <f>IF(B1880=1,INDEX('Data Entry'!$H$5:$BE$10004,1880-4,'Visual SPC'!$B$3),"")</f>
        <v/>
      </c>
      <c r="E1880">
        <f>IF(B1880=1,D1880,E1879)</f>
        <v/>
      </c>
      <c r="F1880">
        <f>IF(AND(B1880=1,C1880&gt;1,E1879&lt;&gt;""),ABS(D1880-E1879),"")</f>
        <v/>
      </c>
    </row>
    <row r="1881">
      <c r="A1881" t="n">
        <v>1881</v>
      </c>
      <c r="B1881">
        <f>IF(INDEX('Data Entry'!$H$5:$BE$10004,1881-4,'Visual SPC'!$B$3)="",0,IF(AND(OR('Visual SPC'!$C$4="",'Data Entry'!$C1881&gt;='Visual SPC'!$C$4),OR('Visual SPC'!$E$4="",'Data Entry'!$C1881&lt;='Visual SPC'!$E$4),OR('Visual SPC'!$G$4="",'Data Entry'!$D1881='Visual SPC'!$G$4),OR('Visual SPC'!$I$4="",'Data Entry'!$E1881='Visual SPC'!$I$4),OR('Visual SPC'!$K$4="",'Data Entry'!$F1881='Visual SPC'!$K$4)),1,0))</f>
        <v/>
      </c>
      <c r="C1881">
        <f>C1880+B1881</f>
        <v/>
      </c>
      <c r="D1881">
        <f>IF(B1881=1,INDEX('Data Entry'!$H$5:$BE$10004,1881-4,'Visual SPC'!$B$3),"")</f>
        <v/>
      </c>
      <c r="E1881">
        <f>IF(B1881=1,D1881,E1880)</f>
        <v/>
      </c>
      <c r="F1881">
        <f>IF(AND(B1881=1,C1881&gt;1,E1880&lt;&gt;""),ABS(D1881-E1880),"")</f>
        <v/>
      </c>
    </row>
    <row r="1882">
      <c r="A1882" t="n">
        <v>1882</v>
      </c>
      <c r="B1882">
        <f>IF(INDEX('Data Entry'!$H$5:$BE$10004,1882-4,'Visual SPC'!$B$3)="",0,IF(AND(OR('Visual SPC'!$C$4="",'Data Entry'!$C1882&gt;='Visual SPC'!$C$4),OR('Visual SPC'!$E$4="",'Data Entry'!$C1882&lt;='Visual SPC'!$E$4),OR('Visual SPC'!$G$4="",'Data Entry'!$D1882='Visual SPC'!$G$4),OR('Visual SPC'!$I$4="",'Data Entry'!$E1882='Visual SPC'!$I$4),OR('Visual SPC'!$K$4="",'Data Entry'!$F1882='Visual SPC'!$K$4)),1,0))</f>
        <v/>
      </c>
      <c r="C1882">
        <f>C1881+B1882</f>
        <v/>
      </c>
      <c r="D1882">
        <f>IF(B1882=1,INDEX('Data Entry'!$H$5:$BE$10004,1882-4,'Visual SPC'!$B$3),"")</f>
        <v/>
      </c>
      <c r="E1882">
        <f>IF(B1882=1,D1882,E1881)</f>
        <v/>
      </c>
      <c r="F1882">
        <f>IF(AND(B1882=1,C1882&gt;1,E1881&lt;&gt;""),ABS(D1882-E1881),"")</f>
        <v/>
      </c>
    </row>
    <row r="1883">
      <c r="A1883" t="n">
        <v>1883</v>
      </c>
      <c r="B1883">
        <f>IF(INDEX('Data Entry'!$H$5:$BE$10004,1883-4,'Visual SPC'!$B$3)="",0,IF(AND(OR('Visual SPC'!$C$4="",'Data Entry'!$C1883&gt;='Visual SPC'!$C$4),OR('Visual SPC'!$E$4="",'Data Entry'!$C1883&lt;='Visual SPC'!$E$4),OR('Visual SPC'!$G$4="",'Data Entry'!$D1883='Visual SPC'!$G$4),OR('Visual SPC'!$I$4="",'Data Entry'!$E1883='Visual SPC'!$I$4),OR('Visual SPC'!$K$4="",'Data Entry'!$F1883='Visual SPC'!$K$4)),1,0))</f>
        <v/>
      </c>
      <c r="C1883">
        <f>C1882+B1883</f>
        <v/>
      </c>
      <c r="D1883">
        <f>IF(B1883=1,INDEX('Data Entry'!$H$5:$BE$10004,1883-4,'Visual SPC'!$B$3),"")</f>
        <v/>
      </c>
      <c r="E1883">
        <f>IF(B1883=1,D1883,E1882)</f>
        <v/>
      </c>
      <c r="F1883">
        <f>IF(AND(B1883=1,C1883&gt;1,E1882&lt;&gt;""),ABS(D1883-E1882),"")</f>
        <v/>
      </c>
    </row>
    <row r="1884">
      <c r="A1884" t="n">
        <v>1884</v>
      </c>
      <c r="B1884">
        <f>IF(INDEX('Data Entry'!$H$5:$BE$10004,1884-4,'Visual SPC'!$B$3)="",0,IF(AND(OR('Visual SPC'!$C$4="",'Data Entry'!$C1884&gt;='Visual SPC'!$C$4),OR('Visual SPC'!$E$4="",'Data Entry'!$C1884&lt;='Visual SPC'!$E$4),OR('Visual SPC'!$G$4="",'Data Entry'!$D1884='Visual SPC'!$G$4),OR('Visual SPC'!$I$4="",'Data Entry'!$E1884='Visual SPC'!$I$4),OR('Visual SPC'!$K$4="",'Data Entry'!$F1884='Visual SPC'!$K$4)),1,0))</f>
        <v/>
      </c>
      <c r="C1884">
        <f>C1883+B1884</f>
        <v/>
      </c>
      <c r="D1884">
        <f>IF(B1884=1,INDEX('Data Entry'!$H$5:$BE$10004,1884-4,'Visual SPC'!$B$3),"")</f>
        <v/>
      </c>
      <c r="E1884">
        <f>IF(B1884=1,D1884,E1883)</f>
        <v/>
      </c>
      <c r="F1884">
        <f>IF(AND(B1884=1,C1884&gt;1,E1883&lt;&gt;""),ABS(D1884-E1883),"")</f>
        <v/>
      </c>
    </row>
    <row r="1885">
      <c r="A1885" t="n">
        <v>1885</v>
      </c>
      <c r="B1885">
        <f>IF(INDEX('Data Entry'!$H$5:$BE$10004,1885-4,'Visual SPC'!$B$3)="",0,IF(AND(OR('Visual SPC'!$C$4="",'Data Entry'!$C1885&gt;='Visual SPC'!$C$4),OR('Visual SPC'!$E$4="",'Data Entry'!$C1885&lt;='Visual SPC'!$E$4),OR('Visual SPC'!$G$4="",'Data Entry'!$D1885='Visual SPC'!$G$4),OR('Visual SPC'!$I$4="",'Data Entry'!$E1885='Visual SPC'!$I$4),OR('Visual SPC'!$K$4="",'Data Entry'!$F1885='Visual SPC'!$K$4)),1,0))</f>
        <v/>
      </c>
      <c r="C1885">
        <f>C1884+B1885</f>
        <v/>
      </c>
      <c r="D1885">
        <f>IF(B1885=1,INDEX('Data Entry'!$H$5:$BE$10004,1885-4,'Visual SPC'!$B$3),"")</f>
        <v/>
      </c>
      <c r="E1885">
        <f>IF(B1885=1,D1885,E1884)</f>
        <v/>
      </c>
      <c r="F1885">
        <f>IF(AND(B1885=1,C1885&gt;1,E1884&lt;&gt;""),ABS(D1885-E1884),"")</f>
        <v/>
      </c>
    </row>
    <row r="1886">
      <c r="A1886" t="n">
        <v>1886</v>
      </c>
      <c r="B1886">
        <f>IF(INDEX('Data Entry'!$H$5:$BE$10004,1886-4,'Visual SPC'!$B$3)="",0,IF(AND(OR('Visual SPC'!$C$4="",'Data Entry'!$C1886&gt;='Visual SPC'!$C$4),OR('Visual SPC'!$E$4="",'Data Entry'!$C1886&lt;='Visual SPC'!$E$4),OR('Visual SPC'!$G$4="",'Data Entry'!$D1886='Visual SPC'!$G$4),OR('Visual SPC'!$I$4="",'Data Entry'!$E1886='Visual SPC'!$I$4),OR('Visual SPC'!$K$4="",'Data Entry'!$F1886='Visual SPC'!$K$4)),1,0))</f>
        <v/>
      </c>
      <c r="C1886">
        <f>C1885+B1886</f>
        <v/>
      </c>
      <c r="D1886">
        <f>IF(B1886=1,INDEX('Data Entry'!$H$5:$BE$10004,1886-4,'Visual SPC'!$B$3),"")</f>
        <v/>
      </c>
      <c r="E1886">
        <f>IF(B1886=1,D1886,E1885)</f>
        <v/>
      </c>
      <c r="F1886">
        <f>IF(AND(B1886=1,C1886&gt;1,E1885&lt;&gt;""),ABS(D1886-E1885),"")</f>
        <v/>
      </c>
    </row>
    <row r="1887">
      <c r="A1887" t="n">
        <v>1887</v>
      </c>
      <c r="B1887">
        <f>IF(INDEX('Data Entry'!$H$5:$BE$10004,1887-4,'Visual SPC'!$B$3)="",0,IF(AND(OR('Visual SPC'!$C$4="",'Data Entry'!$C1887&gt;='Visual SPC'!$C$4),OR('Visual SPC'!$E$4="",'Data Entry'!$C1887&lt;='Visual SPC'!$E$4),OR('Visual SPC'!$G$4="",'Data Entry'!$D1887='Visual SPC'!$G$4),OR('Visual SPC'!$I$4="",'Data Entry'!$E1887='Visual SPC'!$I$4),OR('Visual SPC'!$K$4="",'Data Entry'!$F1887='Visual SPC'!$K$4)),1,0))</f>
        <v/>
      </c>
      <c r="C1887">
        <f>C1886+B1887</f>
        <v/>
      </c>
      <c r="D1887">
        <f>IF(B1887=1,INDEX('Data Entry'!$H$5:$BE$10004,1887-4,'Visual SPC'!$B$3),"")</f>
        <v/>
      </c>
      <c r="E1887">
        <f>IF(B1887=1,D1887,E1886)</f>
        <v/>
      </c>
      <c r="F1887">
        <f>IF(AND(B1887=1,C1887&gt;1,E1886&lt;&gt;""),ABS(D1887-E1886),"")</f>
        <v/>
      </c>
    </row>
    <row r="1888">
      <c r="A1888" t="n">
        <v>1888</v>
      </c>
      <c r="B1888">
        <f>IF(INDEX('Data Entry'!$H$5:$BE$10004,1888-4,'Visual SPC'!$B$3)="",0,IF(AND(OR('Visual SPC'!$C$4="",'Data Entry'!$C1888&gt;='Visual SPC'!$C$4),OR('Visual SPC'!$E$4="",'Data Entry'!$C1888&lt;='Visual SPC'!$E$4),OR('Visual SPC'!$G$4="",'Data Entry'!$D1888='Visual SPC'!$G$4),OR('Visual SPC'!$I$4="",'Data Entry'!$E1888='Visual SPC'!$I$4),OR('Visual SPC'!$K$4="",'Data Entry'!$F1888='Visual SPC'!$K$4)),1,0))</f>
        <v/>
      </c>
      <c r="C1888">
        <f>C1887+B1888</f>
        <v/>
      </c>
      <c r="D1888">
        <f>IF(B1888=1,INDEX('Data Entry'!$H$5:$BE$10004,1888-4,'Visual SPC'!$B$3),"")</f>
        <v/>
      </c>
      <c r="E1888">
        <f>IF(B1888=1,D1888,E1887)</f>
        <v/>
      </c>
      <c r="F1888">
        <f>IF(AND(B1888=1,C1888&gt;1,E1887&lt;&gt;""),ABS(D1888-E1887),"")</f>
        <v/>
      </c>
    </row>
    <row r="1889">
      <c r="A1889" t="n">
        <v>1889</v>
      </c>
      <c r="B1889">
        <f>IF(INDEX('Data Entry'!$H$5:$BE$10004,1889-4,'Visual SPC'!$B$3)="",0,IF(AND(OR('Visual SPC'!$C$4="",'Data Entry'!$C1889&gt;='Visual SPC'!$C$4),OR('Visual SPC'!$E$4="",'Data Entry'!$C1889&lt;='Visual SPC'!$E$4),OR('Visual SPC'!$G$4="",'Data Entry'!$D1889='Visual SPC'!$G$4),OR('Visual SPC'!$I$4="",'Data Entry'!$E1889='Visual SPC'!$I$4),OR('Visual SPC'!$K$4="",'Data Entry'!$F1889='Visual SPC'!$K$4)),1,0))</f>
        <v/>
      </c>
      <c r="C1889">
        <f>C1888+B1889</f>
        <v/>
      </c>
      <c r="D1889">
        <f>IF(B1889=1,INDEX('Data Entry'!$H$5:$BE$10004,1889-4,'Visual SPC'!$B$3),"")</f>
        <v/>
      </c>
      <c r="E1889">
        <f>IF(B1889=1,D1889,E1888)</f>
        <v/>
      </c>
      <c r="F1889">
        <f>IF(AND(B1889=1,C1889&gt;1,E1888&lt;&gt;""),ABS(D1889-E1888),"")</f>
        <v/>
      </c>
    </row>
    <row r="1890">
      <c r="A1890" t="n">
        <v>1890</v>
      </c>
      <c r="B1890">
        <f>IF(INDEX('Data Entry'!$H$5:$BE$10004,1890-4,'Visual SPC'!$B$3)="",0,IF(AND(OR('Visual SPC'!$C$4="",'Data Entry'!$C1890&gt;='Visual SPC'!$C$4),OR('Visual SPC'!$E$4="",'Data Entry'!$C1890&lt;='Visual SPC'!$E$4),OR('Visual SPC'!$G$4="",'Data Entry'!$D1890='Visual SPC'!$G$4),OR('Visual SPC'!$I$4="",'Data Entry'!$E1890='Visual SPC'!$I$4),OR('Visual SPC'!$K$4="",'Data Entry'!$F1890='Visual SPC'!$K$4)),1,0))</f>
        <v/>
      </c>
      <c r="C1890">
        <f>C1889+B1890</f>
        <v/>
      </c>
      <c r="D1890">
        <f>IF(B1890=1,INDEX('Data Entry'!$H$5:$BE$10004,1890-4,'Visual SPC'!$B$3),"")</f>
        <v/>
      </c>
      <c r="E1890">
        <f>IF(B1890=1,D1890,E1889)</f>
        <v/>
      </c>
      <c r="F1890">
        <f>IF(AND(B1890=1,C1890&gt;1,E1889&lt;&gt;""),ABS(D1890-E1889),"")</f>
        <v/>
      </c>
    </row>
    <row r="1891">
      <c r="A1891" t="n">
        <v>1891</v>
      </c>
      <c r="B1891">
        <f>IF(INDEX('Data Entry'!$H$5:$BE$10004,1891-4,'Visual SPC'!$B$3)="",0,IF(AND(OR('Visual SPC'!$C$4="",'Data Entry'!$C1891&gt;='Visual SPC'!$C$4),OR('Visual SPC'!$E$4="",'Data Entry'!$C1891&lt;='Visual SPC'!$E$4),OR('Visual SPC'!$G$4="",'Data Entry'!$D1891='Visual SPC'!$G$4),OR('Visual SPC'!$I$4="",'Data Entry'!$E1891='Visual SPC'!$I$4),OR('Visual SPC'!$K$4="",'Data Entry'!$F1891='Visual SPC'!$K$4)),1,0))</f>
        <v/>
      </c>
      <c r="C1891">
        <f>C1890+B1891</f>
        <v/>
      </c>
      <c r="D1891">
        <f>IF(B1891=1,INDEX('Data Entry'!$H$5:$BE$10004,1891-4,'Visual SPC'!$B$3),"")</f>
        <v/>
      </c>
      <c r="E1891">
        <f>IF(B1891=1,D1891,E1890)</f>
        <v/>
      </c>
      <c r="F1891">
        <f>IF(AND(B1891=1,C1891&gt;1,E1890&lt;&gt;""),ABS(D1891-E1890),"")</f>
        <v/>
      </c>
    </row>
    <row r="1892">
      <c r="A1892" t="n">
        <v>1892</v>
      </c>
      <c r="B1892">
        <f>IF(INDEX('Data Entry'!$H$5:$BE$10004,1892-4,'Visual SPC'!$B$3)="",0,IF(AND(OR('Visual SPC'!$C$4="",'Data Entry'!$C1892&gt;='Visual SPC'!$C$4),OR('Visual SPC'!$E$4="",'Data Entry'!$C1892&lt;='Visual SPC'!$E$4),OR('Visual SPC'!$G$4="",'Data Entry'!$D1892='Visual SPC'!$G$4),OR('Visual SPC'!$I$4="",'Data Entry'!$E1892='Visual SPC'!$I$4),OR('Visual SPC'!$K$4="",'Data Entry'!$F1892='Visual SPC'!$K$4)),1,0))</f>
        <v/>
      </c>
      <c r="C1892">
        <f>C1891+B1892</f>
        <v/>
      </c>
      <c r="D1892">
        <f>IF(B1892=1,INDEX('Data Entry'!$H$5:$BE$10004,1892-4,'Visual SPC'!$B$3),"")</f>
        <v/>
      </c>
      <c r="E1892">
        <f>IF(B1892=1,D1892,E1891)</f>
        <v/>
      </c>
      <c r="F1892">
        <f>IF(AND(B1892=1,C1892&gt;1,E1891&lt;&gt;""),ABS(D1892-E1891),"")</f>
        <v/>
      </c>
    </row>
    <row r="1893">
      <c r="A1893" t="n">
        <v>1893</v>
      </c>
      <c r="B1893">
        <f>IF(INDEX('Data Entry'!$H$5:$BE$10004,1893-4,'Visual SPC'!$B$3)="",0,IF(AND(OR('Visual SPC'!$C$4="",'Data Entry'!$C1893&gt;='Visual SPC'!$C$4),OR('Visual SPC'!$E$4="",'Data Entry'!$C1893&lt;='Visual SPC'!$E$4),OR('Visual SPC'!$G$4="",'Data Entry'!$D1893='Visual SPC'!$G$4),OR('Visual SPC'!$I$4="",'Data Entry'!$E1893='Visual SPC'!$I$4),OR('Visual SPC'!$K$4="",'Data Entry'!$F1893='Visual SPC'!$K$4)),1,0))</f>
        <v/>
      </c>
      <c r="C1893">
        <f>C1892+B1893</f>
        <v/>
      </c>
      <c r="D1893">
        <f>IF(B1893=1,INDEX('Data Entry'!$H$5:$BE$10004,1893-4,'Visual SPC'!$B$3),"")</f>
        <v/>
      </c>
      <c r="E1893">
        <f>IF(B1893=1,D1893,E1892)</f>
        <v/>
      </c>
      <c r="F1893">
        <f>IF(AND(B1893=1,C1893&gt;1,E1892&lt;&gt;""),ABS(D1893-E1892),"")</f>
        <v/>
      </c>
    </row>
    <row r="1894">
      <c r="A1894" t="n">
        <v>1894</v>
      </c>
      <c r="B1894">
        <f>IF(INDEX('Data Entry'!$H$5:$BE$10004,1894-4,'Visual SPC'!$B$3)="",0,IF(AND(OR('Visual SPC'!$C$4="",'Data Entry'!$C1894&gt;='Visual SPC'!$C$4),OR('Visual SPC'!$E$4="",'Data Entry'!$C1894&lt;='Visual SPC'!$E$4),OR('Visual SPC'!$G$4="",'Data Entry'!$D1894='Visual SPC'!$G$4),OR('Visual SPC'!$I$4="",'Data Entry'!$E1894='Visual SPC'!$I$4),OR('Visual SPC'!$K$4="",'Data Entry'!$F1894='Visual SPC'!$K$4)),1,0))</f>
        <v/>
      </c>
      <c r="C1894">
        <f>C1893+B1894</f>
        <v/>
      </c>
      <c r="D1894">
        <f>IF(B1894=1,INDEX('Data Entry'!$H$5:$BE$10004,1894-4,'Visual SPC'!$B$3),"")</f>
        <v/>
      </c>
      <c r="E1894">
        <f>IF(B1894=1,D1894,E1893)</f>
        <v/>
      </c>
      <c r="F1894">
        <f>IF(AND(B1894=1,C1894&gt;1,E1893&lt;&gt;""),ABS(D1894-E1893),"")</f>
        <v/>
      </c>
    </row>
    <row r="1895">
      <c r="A1895" t="n">
        <v>1895</v>
      </c>
      <c r="B1895">
        <f>IF(INDEX('Data Entry'!$H$5:$BE$10004,1895-4,'Visual SPC'!$B$3)="",0,IF(AND(OR('Visual SPC'!$C$4="",'Data Entry'!$C1895&gt;='Visual SPC'!$C$4),OR('Visual SPC'!$E$4="",'Data Entry'!$C1895&lt;='Visual SPC'!$E$4),OR('Visual SPC'!$G$4="",'Data Entry'!$D1895='Visual SPC'!$G$4),OR('Visual SPC'!$I$4="",'Data Entry'!$E1895='Visual SPC'!$I$4),OR('Visual SPC'!$K$4="",'Data Entry'!$F1895='Visual SPC'!$K$4)),1,0))</f>
        <v/>
      </c>
      <c r="C1895">
        <f>C1894+B1895</f>
        <v/>
      </c>
      <c r="D1895">
        <f>IF(B1895=1,INDEX('Data Entry'!$H$5:$BE$10004,1895-4,'Visual SPC'!$B$3),"")</f>
        <v/>
      </c>
      <c r="E1895">
        <f>IF(B1895=1,D1895,E1894)</f>
        <v/>
      </c>
      <c r="F1895">
        <f>IF(AND(B1895=1,C1895&gt;1,E1894&lt;&gt;""),ABS(D1895-E1894),"")</f>
        <v/>
      </c>
    </row>
    <row r="1896">
      <c r="A1896" t="n">
        <v>1896</v>
      </c>
      <c r="B1896">
        <f>IF(INDEX('Data Entry'!$H$5:$BE$10004,1896-4,'Visual SPC'!$B$3)="",0,IF(AND(OR('Visual SPC'!$C$4="",'Data Entry'!$C1896&gt;='Visual SPC'!$C$4),OR('Visual SPC'!$E$4="",'Data Entry'!$C1896&lt;='Visual SPC'!$E$4),OR('Visual SPC'!$G$4="",'Data Entry'!$D1896='Visual SPC'!$G$4),OR('Visual SPC'!$I$4="",'Data Entry'!$E1896='Visual SPC'!$I$4),OR('Visual SPC'!$K$4="",'Data Entry'!$F1896='Visual SPC'!$K$4)),1,0))</f>
        <v/>
      </c>
      <c r="C1896">
        <f>C1895+B1896</f>
        <v/>
      </c>
      <c r="D1896">
        <f>IF(B1896=1,INDEX('Data Entry'!$H$5:$BE$10004,1896-4,'Visual SPC'!$B$3),"")</f>
        <v/>
      </c>
      <c r="E1896">
        <f>IF(B1896=1,D1896,E1895)</f>
        <v/>
      </c>
      <c r="F1896">
        <f>IF(AND(B1896=1,C1896&gt;1,E1895&lt;&gt;""),ABS(D1896-E1895),"")</f>
        <v/>
      </c>
    </row>
    <row r="1897">
      <c r="A1897" t="n">
        <v>1897</v>
      </c>
      <c r="B1897">
        <f>IF(INDEX('Data Entry'!$H$5:$BE$10004,1897-4,'Visual SPC'!$B$3)="",0,IF(AND(OR('Visual SPC'!$C$4="",'Data Entry'!$C1897&gt;='Visual SPC'!$C$4),OR('Visual SPC'!$E$4="",'Data Entry'!$C1897&lt;='Visual SPC'!$E$4),OR('Visual SPC'!$G$4="",'Data Entry'!$D1897='Visual SPC'!$G$4),OR('Visual SPC'!$I$4="",'Data Entry'!$E1897='Visual SPC'!$I$4),OR('Visual SPC'!$K$4="",'Data Entry'!$F1897='Visual SPC'!$K$4)),1,0))</f>
        <v/>
      </c>
      <c r="C1897">
        <f>C1896+B1897</f>
        <v/>
      </c>
      <c r="D1897">
        <f>IF(B1897=1,INDEX('Data Entry'!$H$5:$BE$10004,1897-4,'Visual SPC'!$B$3),"")</f>
        <v/>
      </c>
      <c r="E1897">
        <f>IF(B1897=1,D1897,E1896)</f>
        <v/>
      </c>
      <c r="F1897">
        <f>IF(AND(B1897=1,C1897&gt;1,E1896&lt;&gt;""),ABS(D1897-E1896),"")</f>
        <v/>
      </c>
    </row>
    <row r="1898">
      <c r="A1898" t="n">
        <v>1898</v>
      </c>
      <c r="B1898">
        <f>IF(INDEX('Data Entry'!$H$5:$BE$10004,1898-4,'Visual SPC'!$B$3)="",0,IF(AND(OR('Visual SPC'!$C$4="",'Data Entry'!$C1898&gt;='Visual SPC'!$C$4),OR('Visual SPC'!$E$4="",'Data Entry'!$C1898&lt;='Visual SPC'!$E$4),OR('Visual SPC'!$G$4="",'Data Entry'!$D1898='Visual SPC'!$G$4),OR('Visual SPC'!$I$4="",'Data Entry'!$E1898='Visual SPC'!$I$4),OR('Visual SPC'!$K$4="",'Data Entry'!$F1898='Visual SPC'!$K$4)),1,0))</f>
        <v/>
      </c>
      <c r="C1898">
        <f>C1897+B1898</f>
        <v/>
      </c>
      <c r="D1898">
        <f>IF(B1898=1,INDEX('Data Entry'!$H$5:$BE$10004,1898-4,'Visual SPC'!$B$3),"")</f>
        <v/>
      </c>
      <c r="E1898">
        <f>IF(B1898=1,D1898,E1897)</f>
        <v/>
      </c>
      <c r="F1898">
        <f>IF(AND(B1898=1,C1898&gt;1,E1897&lt;&gt;""),ABS(D1898-E1897),"")</f>
        <v/>
      </c>
    </row>
    <row r="1899">
      <c r="A1899" t="n">
        <v>1899</v>
      </c>
      <c r="B1899">
        <f>IF(INDEX('Data Entry'!$H$5:$BE$10004,1899-4,'Visual SPC'!$B$3)="",0,IF(AND(OR('Visual SPC'!$C$4="",'Data Entry'!$C1899&gt;='Visual SPC'!$C$4),OR('Visual SPC'!$E$4="",'Data Entry'!$C1899&lt;='Visual SPC'!$E$4),OR('Visual SPC'!$G$4="",'Data Entry'!$D1899='Visual SPC'!$G$4),OR('Visual SPC'!$I$4="",'Data Entry'!$E1899='Visual SPC'!$I$4),OR('Visual SPC'!$K$4="",'Data Entry'!$F1899='Visual SPC'!$K$4)),1,0))</f>
        <v/>
      </c>
      <c r="C1899">
        <f>C1898+B1899</f>
        <v/>
      </c>
      <c r="D1899">
        <f>IF(B1899=1,INDEX('Data Entry'!$H$5:$BE$10004,1899-4,'Visual SPC'!$B$3),"")</f>
        <v/>
      </c>
      <c r="E1899">
        <f>IF(B1899=1,D1899,E1898)</f>
        <v/>
      </c>
      <c r="F1899">
        <f>IF(AND(B1899=1,C1899&gt;1,E1898&lt;&gt;""),ABS(D1899-E1898),"")</f>
        <v/>
      </c>
    </row>
    <row r="1900">
      <c r="A1900" t="n">
        <v>1900</v>
      </c>
      <c r="B1900">
        <f>IF(INDEX('Data Entry'!$H$5:$BE$10004,1900-4,'Visual SPC'!$B$3)="",0,IF(AND(OR('Visual SPC'!$C$4="",'Data Entry'!$C1900&gt;='Visual SPC'!$C$4),OR('Visual SPC'!$E$4="",'Data Entry'!$C1900&lt;='Visual SPC'!$E$4),OR('Visual SPC'!$G$4="",'Data Entry'!$D1900='Visual SPC'!$G$4),OR('Visual SPC'!$I$4="",'Data Entry'!$E1900='Visual SPC'!$I$4),OR('Visual SPC'!$K$4="",'Data Entry'!$F1900='Visual SPC'!$K$4)),1,0))</f>
        <v/>
      </c>
      <c r="C1900">
        <f>C1899+B1900</f>
        <v/>
      </c>
      <c r="D1900">
        <f>IF(B1900=1,INDEX('Data Entry'!$H$5:$BE$10004,1900-4,'Visual SPC'!$B$3),"")</f>
        <v/>
      </c>
      <c r="E1900">
        <f>IF(B1900=1,D1900,E1899)</f>
        <v/>
      </c>
      <c r="F1900">
        <f>IF(AND(B1900=1,C1900&gt;1,E1899&lt;&gt;""),ABS(D1900-E1899),"")</f>
        <v/>
      </c>
    </row>
    <row r="1901">
      <c r="A1901" t="n">
        <v>1901</v>
      </c>
      <c r="B1901">
        <f>IF(INDEX('Data Entry'!$H$5:$BE$10004,1901-4,'Visual SPC'!$B$3)="",0,IF(AND(OR('Visual SPC'!$C$4="",'Data Entry'!$C1901&gt;='Visual SPC'!$C$4),OR('Visual SPC'!$E$4="",'Data Entry'!$C1901&lt;='Visual SPC'!$E$4),OR('Visual SPC'!$G$4="",'Data Entry'!$D1901='Visual SPC'!$G$4),OR('Visual SPC'!$I$4="",'Data Entry'!$E1901='Visual SPC'!$I$4),OR('Visual SPC'!$K$4="",'Data Entry'!$F1901='Visual SPC'!$K$4)),1,0))</f>
        <v/>
      </c>
      <c r="C1901">
        <f>C1900+B1901</f>
        <v/>
      </c>
      <c r="D1901">
        <f>IF(B1901=1,INDEX('Data Entry'!$H$5:$BE$10004,1901-4,'Visual SPC'!$B$3),"")</f>
        <v/>
      </c>
      <c r="E1901">
        <f>IF(B1901=1,D1901,E1900)</f>
        <v/>
      </c>
      <c r="F1901">
        <f>IF(AND(B1901=1,C1901&gt;1,E1900&lt;&gt;""),ABS(D1901-E1900),"")</f>
        <v/>
      </c>
    </row>
    <row r="1902">
      <c r="A1902" t="n">
        <v>1902</v>
      </c>
      <c r="B1902">
        <f>IF(INDEX('Data Entry'!$H$5:$BE$10004,1902-4,'Visual SPC'!$B$3)="",0,IF(AND(OR('Visual SPC'!$C$4="",'Data Entry'!$C1902&gt;='Visual SPC'!$C$4),OR('Visual SPC'!$E$4="",'Data Entry'!$C1902&lt;='Visual SPC'!$E$4),OR('Visual SPC'!$G$4="",'Data Entry'!$D1902='Visual SPC'!$G$4),OR('Visual SPC'!$I$4="",'Data Entry'!$E1902='Visual SPC'!$I$4),OR('Visual SPC'!$K$4="",'Data Entry'!$F1902='Visual SPC'!$K$4)),1,0))</f>
        <v/>
      </c>
      <c r="C1902">
        <f>C1901+B1902</f>
        <v/>
      </c>
      <c r="D1902">
        <f>IF(B1902=1,INDEX('Data Entry'!$H$5:$BE$10004,1902-4,'Visual SPC'!$B$3),"")</f>
        <v/>
      </c>
      <c r="E1902">
        <f>IF(B1902=1,D1902,E1901)</f>
        <v/>
      </c>
      <c r="F1902">
        <f>IF(AND(B1902=1,C1902&gt;1,E1901&lt;&gt;""),ABS(D1902-E1901),"")</f>
        <v/>
      </c>
    </row>
    <row r="1903">
      <c r="A1903" t="n">
        <v>1903</v>
      </c>
      <c r="B1903">
        <f>IF(INDEX('Data Entry'!$H$5:$BE$10004,1903-4,'Visual SPC'!$B$3)="",0,IF(AND(OR('Visual SPC'!$C$4="",'Data Entry'!$C1903&gt;='Visual SPC'!$C$4),OR('Visual SPC'!$E$4="",'Data Entry'!$C1903&lt;='Visual SPC'!$E$4),OR('Visual SPC'!$G$4="",'Data Entry'!$D1903='Visual SPC'!$G$4),OR('Visual SPC'!$I$4="",'Data Entry'!$E1903='Visual SPC'!$I$4),OR('Visual SPC'!$K$4="",'Data Entry'!$F1903='Visual SPC'!$K$4)),1,0))</f>
        <v/>
      </c>
      <c r="C1903">
        <f>C1902+B1903</f>
        <v/>
      </c>
      <c r="D1903">
        <f>IF(B1903=1,INDEX('Data Entry'!$H$5:$BE$10004,1903-4,'Visual SPC'!$B$3),"")</f>
        <v/>
      </c>
      <c r="E1903">
        <f>IF(B1903=1,D1903,E1902)</f>
        <v/>
      </c>
      <c r="F1903">
        <f>IF(AND(B1903=1,C1903&gt;1,E1902&lt;&gt;""),ABS(D1903-E1902),"")</f>
        <v/>
      </c>
    </row>
    <row r="1904">
      <c r="A1904" t="n">
        <v>1904</v>
      </c>
      <c r="B1904">
        <f>IF(INDEX('Data Entry'!$H$5:$BE$10004,1904-4,'Visual SPC'!$B$3)="",0,IF(AND(OR('Visual SPC'!$C$4="",'Data Entry'!$C1904&gt;='Visual SPC'!$C$4),OR('Visual SPC'!$E$4="",'Data Entry'!$C1904&lt;='Visual SPC'!$E$4),OR('Visual SPC'!$G$4="",'Data Entry'!$D1904='Visual SPC'!$G$4),OR('Visual SPC'!$I$4="",'Data Entry'!$E1904='Visual SPC'!$I$4),OR('Visual SPC'!$K$4="",'Data Entry'!$F1904='Visual SPC'!$K$4)),1,0))</f>
        <v/>
      </c>
      <c r="C1904">
        <f>C1903+B1904</f>
        <v/>
      </c>
      <c r="D1904">
        <f>IF(B1904=1,INDEX('Data Entry'!$H$5:$BE$10004,1904-4,'Visual SPC'!$B$3),"")</f>
        <v/>
      </c>
      <c r="E1904">
        <f>IF(B1904=1,D1904,E1903)</f>
        <v/>
      </c>
      <c r="F1904">
        <f>IF(AND(B1904=1,C1904&gt;1,E1903&lt;&gt;""),ABS(D1904-E1903),"")</f>
        <v/>
      </c>
    </row>
    <row r="1905">
      <c r="A1905" t="n">
        <v>1905</v>
      </c>
      <c r="B1905">
        <f>IF(INDEX('Data Entry'!$H$5:$BE$10004,1905-4,'Visual SPC'!$B$3)="",0,IF(AND(OR('Visual SPC'!$C$4="",'Data Entry'!$C1905&gt;='Visual SPC'!$C$4),OR('Visual SPC'!$E$4="",'Data Entry'!$C1905&lt;='Visual SPC'!$E$4),OR('Visual SPC'!$G$4="",'Data Entry'!$D1905='Visual SPC'!$G$4),OR('Visual SPC'!$I$4="",'Data Entry'!$E1905='Visual SPC'!$I$4),OR('Visual SPC'!$K$4="",'Data Entry'!$F1905='Visual SPC'!$K$4)),1,0))</f>
        <v/>
      </c>
      <c r="C1905">
        <f>C1904+B1905</f>
        <v/>
      </c>
      <c r="D1905">
        <f>IF(B1905=1,INDEX('Data Entry'!$H$5:$BE$10004,1905-4,'Visual SPC'!$B$3),"")</f>
        <v/>
      </c>
      <c r="E1905">
        <f>IF(B1905=1,D1905,E1904)</f>
        <v/>
      </c>
      <c r="F1905">
        <f>IF(AND(B1905=1,C1905&gt;1,E1904&lt;&gt;""),ABS(D1905-E1904),"")</f>
        <v/>
      </c>
    </row>
    <row r="1906">
      <c r="A1906" t="n">
        <v>1906</v>
      </c>
      <c r="B1906">
        <f>IF(INDEX('Data Entry'!$H$5:$BE$10004,1906-4,'Visual SPC'!$B$3)="",0,IF(AND(OR('Visual SPC'!$C$4="",'Data Entry'!$C1906&gt;='Visual SPC'!$C$4),OR('Visual SPC'!$E$4="",'Data Entry'!$C1906&lt;='Visual SPC'!$E$4),OR('Visual SPC'!$G$4="",'Data Entry'!$D1906='Visual SPC'!$G$4),OR('Visual SPC'!$I$4="",'Data Entry'!$E1906='Visual SPC'!$I$4),OR('Visual SPC'!$K$4="",'Data Entry'!$F1906='Visual SPC'!$K$4)),1,0))</f>
        <v/>
      </c>
      <c r="C1906">
        <f>C1905+B1906</f>
        <v/>
      </c>
      <c r="D1906">
        <f>IF(B1906=1,INDEX('Data Entry'!$H$5:$BE$10004,1906-4,'Visual SPC'!$B$3),"")</f>
        <v/>
      </c>
      <c r="E1906">
        <f>IF(B1906=1,D1906,E1905)</f>
        <v/>
      </c>
      <c r="F1906">
        <f>IF(AND(B1906=1,C1906&gt;1,E1905&lt;&gt;""),ABS(D1906-E1905),"")</f>
        <v/>
      </c>
    </row>
    <row r="1907">
      <c r="A1907" t="n">
        <v>1907</v>
      </c>
      <c r="B1907">
        <f>IF(INDEX('Data Entry'!$H$5:$BE$10004,1907-4,'Visual SPC'!$B$3)="",0,IF(AND(OR('Visual SPC'!$C$4="",'Data Entry'!$C1907&gt;='Visual SPC'!$C$4),OR('Visual SPC'!$E$4="",'Data Entry'!$C1907&lt;='Visual SPC'!$E$4),OR('Visual SPC'!$G$4="",'Data Entry'!$D1907='Visual SPC'!$G$4),OR('Visual SPC'!$I$4="",'Data Entry'!$E1907='Visual SPC'!$I$4),OR('Visual SPC'!$K$4="",'Data Entry'!$F1907='Visual SPC'!$K$4)),1,0))</f>
        <v/>
      </c>
      <c r="C1907">
        <f>C1906+B1907</f>
        <v/>
      </c>
      <c r="D1907">
        <f>IF(B1907=1,INDEX('Data Entry'!$H$5:$BE$10004,1907-4,'Visual SPC'!$B$3),"")</f>
        <v/>
      </c>
      <c r="E1907">
        <f>IF(B1907=1,D1907,E1906)</f>
        <v/>
      </c>
      <c r="F1907">
        <f>IF(AND(B1907=1,C1907&gt;1,E1906&lt;&gt;""),ABS(D1907-E1906),"")</f>
        <v/>
      </c>
    </row>
    <row r="1908">
      <c r="A1908" t="n">
        <v>1908</v>
      </c>
      <c r="B1908">
        <f>IF(INDEX('Data Entry'!$H$5:$BE$10004,1908-4,'Visual SPC'!$B$3)="",0,IF(AND(OR('Visual SPC'!$C$4="",'Data Entry'!$C1908&gt;='Visual SPC'!$C$4),OR('Visual SPC'!$E$4="",'Data Entry'!$C1908&lt;='Visual SPC'!$E$4),OR('Visual SPC'!$G$4="",'Data Entry'!$D1908='Visual SPC'!$G$4),OR('Visual SPC'!$I$4="",'Data Entry'!$E1908='Visual SPC'!$I$4),OR('Visual SPC'!$K$4="",'Data Entry'!$F1908='Visual SPC'!$K$4)),1,0))</f>
        <v/>
      </c>
      <c r="C1908">
        <f>C1907+B1908</f>
        <v/>
      </c>
      <c r="D1908">
        <f>IF(B1908=1,INDEX('Data Entry'!$H$5:$BE$10004,1908-4,'Visual SPC'!$B$3),"")</f>
        <v/>
      </c>
      <c r="E1908">
        <f>IF(B1908=1,D1908,E1907)</f>
        <v/>
      </c>
      <c r="F1908">
        <f>IF(AND(B1908=1,C1908&gt;1,E1907&lt;&gt;""),ABS(D1908-E1907),"")</f>
        <v/>
      </c>
    </row>
    <row r="1909">
      <c r="A1909" t="n">
        <v>1909</v>
      </c>
      <c r="B1909">
        <f>IF(INDEX('Data Entry'!$H$5:$BE$10004,1909-4,'Visual SPC'!$B$3)="",0,IF(AND(OR('Visual SPC'!$C$4="",'Data Entry'!$C1909&gt;='Visual SPC'!$C$4),OR('Visual SPC'!$E$4="",'Data Entry'!$C1909&lt;='Visual SPC'!$E$4),OR('Visual SPC'!$G$4="",'Data Entry'!$D1909='Visual SPC'!$G$4),OR('Visual SPC'!$I$4="",'Data Entry'!$E1909='Visual SPC'!$I$4),OR('Visual SPC'!$K$4="",'Data Entry'!$F1909='Visual SPC'!$K$4)),1,0))</f>
        <v/>
      </c>
      <c r="C1909">
        <f>C1908+B1909</f>
        <v/>
      </c>
      <c r="D1909">
        <f>IF(B1909=1,INDEX('Data Entry'!$H$5:$BE$10004,1909-4,'Visual SPC'!$B$3),"")</f>
        <v/>
      </c>
      <c r="E1909">
        <f>IF(B1909=1,D1909,E1908)</f>
        <v/>
      </c>
      <c r="F1909">
        <f>IF(AND(B1909=1,C1909&gt;1,E1908&lt;&gt;""),ABS(D1909-E1908),"")</f>
        <v/>
      </c>
    </row>
    <row r="1910">
      <c r="A1910" t="n">
        <v>1910</v>
      </c>
      <c r="B1910">
        <f>IF(INDEX('Data Entry'!$H$5:$BE$10004,1910-4,'Visual SPC'!$B$3)="",0,IF(AND(OR('Visual SPC'!$C$4="",'Data Entry'!$C1910&gt;='Visual SPC'!$C$4),OR('Visual SPC'!$E$4="",'Data Entry'!$C1910&lt;='Visual SPC'!$E$4),OR('Visual SPC'!$G$4="",'Data Entry'!$D1910='Visual SPC'!$G$4),OR('Visual SPC'!$I$4="",'Data Entry'!$E1910='Visual SPC'!$I$4),OR('Visual SPC'!$K$4="",'Data Entry'!$F1910='Visual SPC'!$K$4)),1,0))</f>
        <v/>
      </c>
      <c r="C1910">
        <f>C1909+B1910</f>
        <v/>
      </c>
      <c r="D1910">
        <f>IF(B1910=1,INDEX('Data Entry'!$H$5:$BE$10004,1910-4,'Visual SPC'!$B$3),"")</f>
        <v/>
      </c>
      <c r="E1910">
        <f>IF(B1910=1,D1910,E1909)</f>
        <v/>
      </c>
      <c r="F1910">
        <f>IF(AND(B1910=1,C1910&gt;1,E1909&lt;&gt;""),ABS(D1910-E1909),"")</f>
        <v/>
      </c>
    </row>
    <row r="1911">
      <c r="A1911" t="n">
        <v>1911</v>
      </c>
      <c r="B1911">
        <f>IF(INDEX('Data Entry'!$H$5:$BE$10004,1911-4,'Visual SPC'!$B$3)="",0,IF(AND(OR('Visual SPC'!$C$4="",'Data Entry'!$C1911&gt;='Visual SPC'!$C$4),OR('Visual SPC'!$E$4="",'Data Entry'!$C1911&lt;='Visual SPC'!$E$4),OR('Visual SPC'!$G$4="",'Data Entry'!$D1911='Visual SPC'!$G$4),OR('Visual SPC'!$I$4="",'Data Entry'!$E1911='Visual SPC'!$I$4),OR('Visual SPC'!$K$4="",'Data Entry'!$F1911='Visual SPC'!$K$4)),1,0))</f>
        <v/>
      </c>
      <c r="C1911">
        <f>C1910+B1911</f>
        <v/>
      </c>
      <c r="D1911">
        <f>IF(B1911=1,INDEX('Data Entry'!$H$5:$BE$10004,1911-4,'Visual SPC'!$B$3),"")</f>
        <v/>
      </c>
      <c r="E1911">
        <f>IF(B1911=1,D1911,E1910)</f>
        <v/>
      </c>
      <c r="F1911">
        <f>IF(AND(B1911=1,C1911&gt;1,E1910&lt;&gt;""),ABS(D1911-E1910),"")</f>
        <v/>
      </c>
    </row>
    <row r="1912">
      <c r="A1912" t="n">
        <v>1912</v>
      </c>
      <c r="B1912">
        <f>IF(INDEX('Data Entry'!$H$5:$BE$10004,1912-4,'Visual SPC'!$B$3)="",0,IF(AND(OR('Visual SPC'!$C$4="",'Data Entry'!$C1912&gt;='Visual SPC'!$C$4),OR('Visual SPC'!$E$4="",'Data Entry'!$C1912&lt;='Visual SPC'!$E$4),OR('Visual SPC'!$G$4="",'Data Entry'!$D1912='Visual SPC'!$G$4),OR('Visual SPC'!$I$4="",'Data Entry'!$E1912='Visual SPC'!$I$4),OR('Visual SPC'!$K$4="",'Data Entry'!$F1912='Visual SPC'!$K$4)),1,0))</f>
        <v/>
      </c>
      <c r="C1912">
        <f>C1911+B1912</f>
        <v/>
      </c>
      <c r="D1912">
        <f>IF(B1912=1,INDEX('Data Entry'!$H$5:$BE$10004,1912-4,'Visual SPC'!$B$3),"")</f>
        <v/>
      </c>
      <c r="E1912">
        <f>IF(B1912=1,D1912,E1911)</f>
        <v/>
      </c>
      <c r="F1912">
        <f>IF(AND(B1912=1,C1912&gt;1,E1911&lt;&gt;""),ABS(D1912-E1911),"")</f>
        <v/>
      </c>
    </row>
    <row r="1913">
      <c r="A1913" t="n">
        <v>1913</v>
      </c>
      <c r="B1913">
        <f>IF(INDEX('Data Entry'!$H$5:$BE$10004,1913-4,'Visual SPC'!$B$3)="",0,IF(AND(OR('Visual SPC'!$C$4="",'Data Entry'!$C1913&gt;='Visual SPC'!$C$4),OR('Visual SPC'!$E$4="",'Data Entry'!$C1913&lt;='Visual SPC'!$E$4),OR('Visual SPC'!$G$4="",'Data Entry'!$D1913='Visual SPC'!$G$4),OR('Visual SPC'!$I$4="",'Data Entry'!$E1913='Visual SPC'!$I$4),OR('Visual SPC'!$K$4="",'Data Entry'!$F1913='Visual SPC'!$K$4)),1,0))</f>
        <v/>
      </c>
      <c r="C1913">
        <f>C1912+B1913</f>
        <v/>
      </c>
      <c r="D1913">
        <f>IF(B1913=1,INDEX('Data Entry'!$H$5:$BE$10004,1913-4,'Visual SPC'!$B$3),"")</f>
        <v/>
      </c>
      <c r="E1913">
        <f>IF(B1913=1,D1913,E1912)</f>
        <v/>
      </c>
      <c r="F1913">
        <f>IF(AND(B1913=1,C1913&gt;1,E1912&lt;&gt;""),ABS(D1913-E1912),"")</f>
        <v/>
      </c>
    </row>
    <row r="1914">
      <c r="A1914" t="n">
        <v>1914</v>
      </c>
      <c r="B1914">
        <f>IF(INDEX('Data Entry'!$H$5:$BE$10004,1914-4,'Visual SPC'!$B$3)="",0,IF(AND(OR('Visual SPC'!$C$4="",'Data Entry'!$C1914&gt;='Visual SPC'!$C$4),OR('Visual SPC'!$E$4="",'Data Entry'!$C1914&lt;='Visual SPC'!$E$4),OR('Visual SPC'!$G$4="",'Data Entry'!$D1914='Visual SPC'!$G$4),OR('Visual SPC'!$I$4="",'Data Entry'!$E1914='Visual SPC'!$I$4),OR('Visual SPC'!$K$4="",'Data Entry'!$F1914='Visual SPC'!$K$4)),1,0))</f>
        <v/>
      </c>
      <c r="C1914">
        <f>C1913+B1914</f>
        <v/>
      </c>
      <c r="D1914">
        <f>IF(B1914=1,INDEX('Data Entry'!$H$5:$BE$10004,1914-4,'Visual SPC'!$B$3),"")</f>
        <v/>
      </c>
      <c r="E1914">
        <f>IF(B1914=1,D1914,E1913)</f>
        <v/>
      </c>
      <c r="F1914">
        <f>IF(AND(B1914=1,C1914&gt;1,E1913&lt;&gt;""),ABS(D1914-E1913),"")</f>
        <v/>
      </c>
    </row>
    <row r="1915">
      <c r="A1915" t="n">
        <v>1915</v>
      </c>
      <c r="B1915">
        <f>IF(INDEX('Data Entry'!$H$5:$BE$10004,1915-4,'Visual SPC'!$B$3)="",0,IF(AND(OR('Visual SPC'!$C$4="",'Data Entry'!$C1915&gt;='Visual SPC'!$C$4),OR('Visual SPC'!$E$4="",'Data Entry'!$C1915&lt;='Visual SPC'!$E$4),OR('Visual SPC'!$G$4="",'Data Entry'!$D1915='Visual SPC'!$G$4),OR('Visual SPC'!$I$4="",'Data Entry'!$E1915='Visual SPC'!$I$4),OR('Visual SPC'!$K$4="",'Data Entry'!$F1915='Visual SPC'!$K$4)),1,0))</f>
        <v/>
      </c>
      <c r="C1915">
        <f>C1914+B1915</f>
        <v/>
      </c>
      <c r="D1915">
        <f>IF(B1915=1,INDEX('Data Entry'!$H$5:$BE$10004,1915-4,'Visual SPC'!$B$3),"")</f>
        <v/>
      </c>
      <c r="E1915">
        <f>IF(B1915=1,D1915,E1914)</f>
        <v/>
      </c>
      <c r="F1915">
        <f>IF(AND(B1915=1,C1915&gt;1,E1914&lt;&gt;""),ABS(D1915-E1914),"")</f>
        <v/>
      </c>
    </row>
    <row r="1916">
      <c r="A1916" t="n">
        <v>1916</v>
      </c>
      <c r="B1916">
        <f>IF(INDEX('Data Entry'!$H$5:$BE$10004,1916-4,'Visual SPC'!$B$3)="",0,IF(AND(OR('Visual SPC'!$C$4="",'Data Entry'!$C1916&gt;='Visual SPC'!$C$4),OR('Visual SPC'!$E$4="",'Data Entry'!$C1916&lt;='Visual SPC'!$E$4),OR('Visual SPC'!$G$4="",'Data Entry'!$D1916='Visual SPC'!$G$4),OR('Visual SPC'!$I$4="",'Data Entry'!$E1916='Visual SPC'!$I$4),OR('Visual SPC'!$K$4="",'Data Entry'!$F1916='Visual SPC'!$K$4)),1,0))</f>
        <v/>
      </c>
      <c r="C1916">
        <f>C1915+B1916</f>
        <v/>
      </c>
      <c r="D1916">
        <f>IF(B1916=1,INDEX('Data Entry'!$H$5:$BE$10004,1916-4,'Visual SPC'!$B$3),"")</f>
        <v/>
      </c>
      <c r="E1916">
        <f>IF(B1916=1,D1916,E1915)</f>
        <v/>
      </c>
      <c r="F1916">
        <f>IF(AND(B1916=1,C1916&gt;1,E1915&lt;&gt;""),ABS(D1916-E1915),"")</f>
        <v/>
      </c>
    </row>
    <row r="1917">
      <c r="A1917" t="n">
        <v>1917</v>
      </c>
      <c r="B1917">
        <f>IF(INDEX('Data Entry'!$H$5:$BE$10004,1917-4,'Visual SPC'!$B$3)="",0,IF(AND(OR('Visual SPC'!$C$4="",'Data Entry'!$C1917&gt;='Visual SPC'!$C$4),OR('Visual SPC'!$E$4="",'Data Entry'!$C1917&lt;='Visual SPC'!$E$4),OR('Visual SPC'!$G$4="",'Data Entry'!$D1917='Visual SPC'!$G$4),OR('Visual SPC'!$I$4="",'Data Entry'!$E1917='Visual SPC'!$I$4),OR('Visual SPC'!$K$4="",'Data Entry'!$F1917='Visual SPC'!$K$4)),1,0))</f>
        <v/>
      </c>
      <c r="C1917">
        <f>C1916+B1917</f>
        <v/>
      </c>
      <c r="D1917">
        <f>IF(B1917=1,INDEX('Data Entry'!$H$5:$BE$10004,1917-4,'Visual SPC'!$B$3),"")</f>
        <v/>
      </c>
      <c r="E1917">
        <f>IF(B1917=1,D1917,E1916)</f>
        <v/>
      </c>
      <c r="F1917">
        <f>IF(AND(B1917=1,C1917&gt;1,E1916&lt;&gt;""),ABS(D1917-E1916),"")</f>
        <v/>
      </c>
    </row>
    <row r="1918">
      <c r="A1918" t="n">
        <v>1918</v>
      </c>
      <c r="B1918">
        <f>IF(INDEX('Data Entry'!$H$5:$BE$10004,1918-4,'Visual SPC'!$B$3)="",0,IF(AND(OR('Visual SPC'!$C$4="",'Data Entry'!$C1918&gt;='Visual SPC'!$C$4),OR('Visual SPC'!$E$4="",'Data Entry'!$C1918&lt;='Visual SPC'!$E$4),OR('Visual SPC'!$G$4="",'Data Entry'!$D1918='Visual SPC'!$G$4),OR('Visual SPC'!$I$4="",'Data Entry'!$E1918='Visual SPC'!$I$4),OR('Visual SPC'!$K$4="",'Data Entry'!$F1918='Visual SPC'!$K$4)),1,0))</f>
        <v/>
      </c>
      <c r="C1918">
        <f>C1917+B1918</f>
        <v/>
      </c>
      <c r="D1918">
        <f>IF(B1918=1,INDEX('Data Entry'!$H$5:$BE$10004,1918-4,'Visual SPC'!$B$3),"")</f>
        <v/>
      </c>
      <c r="E1918">
        <f>IF(B1918=1,D1918,E1917)</f>
        <v/>
      </c>
      <c r="F1918">
        <f>IF(AND(B1918=1,C1918&gt;1,E1917&lt;&gt;""),ABS(D1918-E1917),"")</f>
        <v/>
      </c>
    </row>
    <row r="1919">
      <c r="A1919" t="n">
        <v>1919</v>
      </c>
      <c r="B1919">
        <f>IF(INDEX('Data Entry'!$H$5:$BE$10004,1919-4,'Visual SPC'!$B$3)="",0,IF(AND(OR('Visual SPC'!$C$4="",'Data Entry'!$C1919&gt;='Visual SPC'!$C$4),OR('Visual SPC'!$E$4="",'Data Entry'!$C1919&lt;='Visual SPC'!$E$4),OR('Visual SPC'!$G$4="",'Data Entry'!$D1919='Visual SPC'!$G$4),OR('Visual SPC'!$I$4="",'Data Entry'!$E1919='Visual SPC'!$I$4),OR('Visual SPC'!$K$4="",'Data Entry'!$F1919='Visual SPC'!$K$4)),1,0))</f>
        <v/>
      </c>
      <c r="C1919">
        <f>C1918+B1919</f>
        <v/>
      </c>
      <c r="D1919">
        <f>IF(B1919=1,INDEX('Data Entry'!$H$5:$BE$10004,1919-4,'Visual SPC'!$B$3),"")</f>
        <v/>
      </c>
      <c r="E1919">
        <f>IF(B1919=1,D1919,E1918)</f>
        <v/>
      </c>
      <c r="F1919">
        <f>IF(AND(B1919=1,C1919&gt;1,E1918&lt;&gt;""),ABS(D1919-E1918),"")</f>
        <v/>
      </c>
    </row>
    <row r="1920">
      <c r="A1920" t="n">
        <v>1920</v>
      </c>
      <c r="B1920">
        <f>IF(INDEX('Data Entry'!$H$5:$BE$10004,1920-4,'Visual SPC'!$B$3)="",0,IF(AND(OR('Visual SPC'!$C$4="",'Data Entry'!$C1920&gt;='Visual SPC'!$C$4),OR('Visual SPC'!$E$4="",'Data Entry'!$C1920&lt;='Visual SPC'!$E$4),OR('Visual SPC'!$G$4="",'Data Entry'!$D1920='Visual SPC'!$G$4),OR('Visual SPC'!$I$4="",'Data Entry'!$E1920='Visual SPC'!$I$4),OR('Visual SPC'!$K$4="",'Data Entry'!$F1920='Visual SPC'!$K$4)),1,0))</f>
        <v/>
      </c>
      <c r="C1920">
        <f>C1919+B1920</f>
        <v/>
      </c>
      <c r="D1920">
        <f>IF(B1920=1,INDEX('Data Entry'!$H$5:$BE$10004,1920-4,'Visual SPC'!$B$3),"")</f>
        <v/>
      </c>
      <c r="E1920">
        <f>IF(B1920=1,D1920,E1919)</f>
        <v/>
      </c>
      <c r="F1920">
        <f>IF(AND(B1920=1,C1920&gt;1,E1919&lt;&gt;""),ABS(D1920-E1919),"")</f>
        <v/>
      </c>
    </row>
    <row r="1921">
      <c r="A1921" t="n">
        <v>1921</v>
      </c>
      <c r="B1921">
        <f>IF(INDEX('Data Entry'!$H$5:$BE$10004,1921-4,'Visual SPC'!$B$3)="",0,IF(AND(OR('Visual SPC'!$C$4="",'Data Entry'!$C1921&gt;='Visual SPC'!$C$4),OR('Visual SPC'!$E$4="",'Data Entry'!$C1921&lt;='Visual SPC'!$E$4),OR('Visual SPC'!$G$4="",'Data Entry'!$D1921='Visual SPC'!$G$4),OR('Visual SPC'!$I$4="",'Data Entry'!$E1921='Visual SPC'!$I$4),OR('Visual SPC'!$K$4="",'Data Entry'!$F1921='Visual SPC'!$K$4)),1,0))</f>
        <v/>
      </c>
      <c r="C1921">
        <f>C1920+B1921</f>
        <v/>
      </c>
      <c r="D1921">
        <f>IF(B1921=1,INDEX('Data Entry'!$H$5:$BE$10004,1921-4,'Visual SPC'!$B$3),"")</f>
        <v/>
      </c>
      <c r="E1921">
        <f>IF(B1921=1,D1921,E1920)</f>
        <v/>
      </c>
      <c r="F1921">
        <f>IF(AND(B1921=1,C1921&gt;1,E1920&lt;&gt;""),ABS(D1921-E1920),"")</f>
        <v/>
      </c>
    </row>
    <row r="1922">
      <c r="A1922" t="n">
        <v>1922</v>
      </c>
      <c r="B1922">
        <f>IF(INDEX('Data Entry'!$H$5:$BE$10004,1922-4,'Visual SPC'!$B$3)="",0,IF(AND(OR('Visual SPC'!$C$4="",'Data Entry'!$C1922&gt;='Visual SPC'!$C$4),OR('Visual SPC'!$E$4="",'Data Entry'!$C1922&lt;='Visual SPC'!$E$4),OR('Visual SPC'!$G$4="",'Data Entry'!$D1922='Visual SPC'!$G$4),OR('Visual SPC'!$I$4="",'Data Entry'!$E1922='Visual SPC'!$I$4),OR('Visual SPC'!$K$4="",'Data Entry'!$F1922='Visual SPC'!$K$4)),1,0))</f>
        <v/>
      </c>
      <c r="C1922">
        <f>C1921+B1922</f>
        <v/>
      </c>
      <c r="D1922">
        <f>IF(B1922=1,INDEX('Data Entry'!$H$5:$BE$10004,1922-4,'Visual SPC'!$B$3),"")</f>
        <v/>
      </c>
      <c r="E1922">
        <f>IF(B1922=1,D1922,E1921)</f>
        <v/>
      </c>
      <c r="F1922">
        <f>IF(AND(B1922=1,C1922&gt;1,E1921&lt;&gt;""),ABS(D1922-E1921),"")</f>
        <v/>
      </c>
    </row>
    <row r="1923">
      <c r="A1923" t="n">
        <v>1923</v>
      </c>
      <c r="B1923">
        <f>IF(INDEX('Data Entry'!$H$5:$BE$10004,1923-4,'Visual SPC'!$B$3)="",0,IF(AND(OR('Visual SPC'!$C$4="",'Data Entry'!$C1923&gt;='Visual SPC'!$C$4),OR('Visual SPC'!$E$4="",'Data Entry'!$C1923&lt;='Visual SPC'!$E$4),OR('Visual SPC'!$G$4="",'Data Entry'!$D1923='Visual SPC'!$G$4),OR('Visual SPC'!$I$4="",'Data Entry'!$E1923='Visual SPC'!$I$4),OR('Visual SPC'!$K$4="",'Data Entry'!$F1923='Visual SPC'!$K$4)),1,0))</f>
        <v/>
      </c>
      <c r="C1923">
        <f>C1922+B1923</f>
        <v/>
      </c>
      <c r="D1923">
        <f>IF(B1923=1,INDEX('Data Entry'!$H$5:$BE$10004,1923-4,'Visual SPC'!$B$3),"")</f>
        <v/>
      </c>
      <c r="E1923">
        <f>IF(B1923=1,D1923,E1922)</f>
        <v/>
      </c>
      <c r="F1923">
        <f>IF(AND(B1923=1,C1923&gt;1,E1922&lt;&gt;""),ABS(D1923-E1922),"")</f>
        <v/>
      </c>
    </row>
    <row r="1924">
      <c r="A1924" t="n">
        <v>1924</v>
      </c>
      <c r="B1924">
        <f>IF(INDEX('Data Entry'!$H$5:$BE$10004,1924-4,'Visual SPC'!$B$3)="",0,IF(AND(OR('Visual SPC'!$C$4="",'Data Entry'!$C1924&gt;='Visual SPC'!$C$4),OR('Visual SPC'!$E$4="",'Data Entry'!$C1924&lt;='Visual SPC'!$E$4),OR('Visual SPC'!$G$4="",'Data Entry'!$D1924='Visual SPC'!$G$4),OR('Visual SPC'!$I$4="",'Data Entry'!$E1924='Visual SPC'!$I$4),OR('Visual SPC'!$K$4="",'Data Entry'!$F1924='Visual SPC'!$K$4)),1,0))</f>
        <v/>
      </c>
      <c r="C1924">
        <f>C1923+B1924</f>
        <v/>
      </c>
      <c r="D1924">
        <f>IF(B1924=1,INDEX('Data Entry'!$H$5:$BE$10004,1924-4,'Visual SPC'!$B$3),"")</f>
        <v/>
      </c>
      <c r="E1924">
        <f>IF(B1924=1,D1924,E1923)</f>
        <v/>
      </c>
      <c r="F1924">
        <f>IF(AND(B1924=1,C1924&gt;1,E1923&lt;&gt;""),ABS(D1924-E1923),"")</f>
        <v/>
      </c>
    </row>
    <row r="1925">
      <c r="A1925" t="n">
        <v>1925</v>
      </c>
      <c r="B1925">
        <f>IF(INDEX('Data Entry'!$H$5:$BE$10004,1925-4,'Visual SPC'!$B$3)="",0,IF(AND(OR('Visual SPC'!$C$4="",'Data Entry'!$C1925&gt;='Visual SPC'!$C$4),OR('Visual SPC'!$E$4="",'Data Entry'!$C1925&lt;='Visual SPC'!$E$4),OR('Visual SPC'!$G$4="",'Data Entry'!$D1925='Visual SPC'!$G$4),OR('Visual SPC'!$I$4="",'Data Entry'!$E1925='Visual SPC'!$I$4),OR('Visual SPC'!$K$4="",'Data Entry'!$F1925='Visual SPC'!$K$4)),1,0))</f>
        <v/>
      </c>
      <c r="C1925">
        <f>C1924+B1925</f>
        <v/>
      </c>
      <c r="D1925">
        <f>IF(B1925=1,INDEX('Data Entry'!$H$5:$BE$10004,1925-4,'Visual SPC'!$B$3),"")</f>
        <v/>
      </c>
      <c r="E1925">
        <f>IF(B1925=1,D1925,E1924)</f>
        <v/>
      </c>
      <c r="F1925">
        <f>IF(AND(B1925=1,C1925&gt;1,E1924&lt;&gt;""),ABS(D1925-E1924),"")</f>
        <v/>
      </c>
    </row>
    <row r="1926">
      <c r="A1926" t="n">
        <v>1926</v>
      </c>
      <c r="B1926">
        <f>IF(INDEX('Data Entry'!$H$5:$BE$10004,1926-4,'Visual SPC'!$B$3)="",0,IF(AND(OR('Visual SPC'!$C$4="",'Data Entry'!$C1926&gt;='Visual SPC'!$C$4),OR('Visual SPC'!$E$4="",'Data Entry'!$C1926&lt;='Visual SPC'!$E$4),OR('Visual SPC'!$G$4="",'Data Entry'!$D1926='Visual SPC'!$G$4),OR('Visual SPC'!$I$4="",'Data Entry'!$E1926='Visual SPC'!$I$4),OR('Visual SPC'!$K$4="",'Data Entry'!$F1926='Visual SPC'!$K$4)),1,0))</f>
        <v/>
      </c>
      <c r="C1926">
        <f>C1925+B1926</f>
        <v/>
      </c>
      <c r="D1926">
        <f>IF(B1926=1,INDEX('Data Entry'!$H$5:$BE$10004,1926-4,'Visual SPC'!$B$3),"")</f>
        <v/>
      </c>
      <c r="E1926">
        <f>IF(B1926=1,D1926,E1925)</f>
        <v/>
      </c>
      <c r="F1926">
        <f>IF(AND(B1926=1,C1926&gt;1,E1925&lt;&gt;""),ABS(D1926-E1925),"")</f>
        <v/>
      </c>
    </row>
    <row r="1927">
      <c r="A1927" t="n">
        <v>1927</v>
      </c>
      <c r="B1927">
        <f>IF(INDEX('Data Entry'!$H$5:$BE$10004,1927-4,'Visual SPC'!$B$3)="",0,IF(AND(OR('Visual SPC'!$C$4="",'Data Entry'!$C1927&gt;='Visual SPC'!$C$4),OR('Visual SPC'!$E$4="",'Data Entry'!$C1927&lt;='Visual SPC'!$E$4),OR('Visual SPC'!$G$4="",'Data Entry'!$D1927='Visual SPC'!$G$4),OR('Visual SPC'!$I$4="",'Data Entry'!$E1927='Visual SPC'!$I$4),OR('Visual SPC'!$K$4="",'Data Entry'!$F1927='Visual SPC'!$K$4)),1,0))</f>
        <v/>
      </c>
      <c r="C1927">
        <f>C1926+B1927</f>
        <v/>
      </c>
      <c r="D1927">
        <f>IF(B1927=1,INDEX('Data Entry'!$H$5:$BE$10004,1927-4,'Visual SPC'!$B$3),"")</f>
        <v/>
      </c>
      <c r="E1927">
        <f>IF(B1927=1,D1927,E1926)</f>
        <v/>
      </c>
      <c r="F1927">
        <f>IF(AND(B1927=1,C1927&gt;1,E1926&lt;&gt;""),ABS(D1927-E1926),"")</f>
        <v/>
      </c>
    </row>
    <row r="1928">
      <c r="A1928" t="n">
        <v>1928</v>
      </c>
      <c r="B1928">
        <f>IF(INDEX('Data Entry'!$H$5:$BE$10004,1928-4,'Visual SPC'!$B$3)="",0,IF(AND(OR('Visual SPC'!$C$4="",'Data Entry'!$C1928&gt;='Visual SPC'!$C$4),OR('Visual SPC'!$E$4="",'Data Entry'!$C1928&lt;='Visual SPC'!$E$4),OR('Visual SPC'!$G$4="",'Data Entry'!$D1928='Visual SPC'!$G$4),OR('Visual SPC'!$I$4="",'Data Entry'!$E1928='Visual SPC'!$I$4),OR('Visual SPC'!$K$4="",'Data Entry'!$F1928='Visual SPC'!$K$4)),1,0))</f>
        <v/>
      </c>
      <c r="C1928">
        <f>C1927+B1928</f>
        <v/>
      </c>
      <c r="D1928">
        <f>IF(B1928=1,INDEX('Data Entry'!$H$5:$BE$10004,1928-4,'Visual SPC'!$B$3),"")</f>
        <v/>
      </c>
      <c r="E1928">
        <f>IF(B1928=1,D1928,E1927)</f>
        <v/>
      </c>
      <c r="F1928">
        <f>IF(AND(B1928=1,C1928&gt;1,E1927&lt;&gt;""),ABS(D1928-E1927),"")</f>
        <v/>
      </c>
    </row>
    <row r="1929">
      <c r="A1929" t="n">
        <v>1929</v>
      </c>
      <c r="B1929">
        <f>IF(INDEX('Data Entry'!$H$5:$BE$10004,1929-4,'Visual SPC'!$B$3)="",0,IF(AND(OR('Visual SPC'!$C$4="",'Data Entry'!$C1929&gt;='Visual SPC'!$C$4),OR('Visual SPC'!$E$4="",'Data Entry'!$C1929&lt;='Visual SPC'!$E$4),OR('Visual SPC'!$G$4="",'Data Entry'!$D1929='Visual SPC'!$G$4),OR('Visual SPC'!$I$4="",'Data Entry'!$E1929='Visual SPC'!$I$4),OR('Visual SPC'!$K$4="",'Data Entry'!$F1929='Visual SPC'!$K$4)),1,0))</f>
        <v/>
      </c>
      <c r="C1929">
        <f>C1928+B1929</f>
        <v/>
      </c>
      <c r="D1929">
        <f>IF(B1929=1,INDEX('Data Entry'!$H$5:$BE$10004,1929-4,'Visual SPC'!$B$3),"")</f>
        <v/>
      </c>
      <c r="E1929">
        <f>IF(B1929=1,D1929,E1928)</f>
        <v/>
      </c>
      <c r="F1929">
        <f>IF(AND(B1929=1,C1929&gt;1,E1928&lt;&gt;""),ABS(D1929-E1928),"")</f>
        <v/>
      </c>
    </row>
    <row r="1930">
      <c r="A1930" t="n">
        <v>1930</v>
      </c>
      <c r="B1930">
        <f>IF(INDEX('Data Entry'!$H$5:$BE$10004,1930-4,'Visual SPC'!$B$3)="",0,IF(AND(OR('Visual SPC'!$C$4="",'Data Entry'!$C1930&gt;='Visual SPC'!$C$4),OR('Visual SPC'!$E$4="",'Data Entry'!$C1930&lt;='Visual SPC'!$E$4),OR('Visual SPC'!$G$4="",'Data Entry'!$D1930='Visual SPC'!$G$4),OR('Visual SPC'!$I$4="",'Data Entry'!$E1930='Visual SPC'!$I$4),OR('Visual SPC'!$K$4="",'Data Entry'!$F1930='Visual SPC'!$K$4)),1,0))</f>
        <v/>
      </c>
      <c r="C1930">
        <f>C1929+B1930</f>
        <v/>
      </c>
      <c r="D1930">
        <f>IF(B1930=1,INDEX('Data Entry'!$H$5:$BE$10004,1930-4,'Visual SPC'!$B$3),"")</f>
        <v/>
      </c>
      <c r="E1930">
        <f>IF(B1930=1,D1930,E1929)</f>
        <v/>
      </c>
      <c r="F1930">
        <f>IF(AND(B1930=1,C1930&gt;1,E1929&lt;&gt;""),ABS(D1930-E1929),"")</f>
        <v/>
      </c>
    </row>
    <row r="1931">
      <c r="A1931" t="n">
        <v>1931</v>
      </c>
      <c r="B1931">
        <f>IF(INDEX('Data Entry'!$H$5:$BE$10004,1931-4,'Visual SPC'!$B$3)="",0,IF(AND(OR('Visual SPC'!$C$4="",'Data Entry'!$C1931&gt;='Visual SPC'!$C$4),OR('Visual SPC'!$E$4="",'Data Entry'!$C1931&lt;='Visual SPC'!$E$4),OR('Visual SPC'!$G$4="",'Data Entry'!$D1931='Visual SPC'!$G$4),OR('Visual SPC'!$I$4="",'Data Entry'!$E1931='Visual SPC'!$I$4),OR('Visual SPC'!$K$4="",'Data Entry'!$F1931='Visual SPC'!$K$4)),1,0))</f>
        <v/>
      </c>
      <c r="C1931">
        <f>C1930+B1931</f>
        <v/>
      </c>
      <c r="D1931">
        <f>IF(B1931=1,INDEX('Data Entry'!$H$5:$BE$10004,1931-4,'Visual SPC'!$B$3),"")</f>
        <v/>
      </c>
      <c r="E1931">
        <f>IF(B1931=1,D1931,E1930)</f>
        <v/>
      </c>
      <c r="F1931">
        <f>IF(AND(B1931=1,C1931&gt;1,E1930&lt;&gt;""),ABS(D1931-E1930),"")</f>
        <v/>
      </c>
    </row>
    <row r="1932">
      <c r="A1932" t="n">
        <v>1932</v>
      </c>
      <c r="B1932">
        <f>IF(INDEX('Data Entry'!$H$5:$BE$10004,1932-4,'Visual SPC'!$B$3)="",0,IF(AND(OR('Visual SPC'!$C$4="",'Data Entry'!$C1932&gt;='Visual SPC'!$C$4),OR('Visual SPC'!$E$4="",'Data Entry'!$C1932&lt;='Visual SPC'!$E$4),OR('Visual SPC'!$G$4="",'Data Entry'!$D1932='Visual SPC'!$G$4),OR('Visual SPC'!$I$4="",'Data Entry'!$E1932='Visual SPC'!$I$4),OR('Visual SPC'!$K$4="",'Data Entry'!$F1932='Visual SPC'!$K$4)),1,0))</f>
        <v/>
      </c>
      <c r="C1932">
        <f>C1931+B1932</f>
        <v/>
      </c>
      <c r="D1932">
        <f>IF(B1932=1,INDEX('Data Entry'!$H$5:$BE$10004,1932-4,'Visual SPC'!$B$3),"")</f>
        <v/>
      </c>
      <c r="E1932">
        <f>IF(B1932=1,D1932,E1931)</f>
        <v/>
      </c>
      <c r="F1932">
        <f>IF(AND(B1932=1,C1932&gt;1,E1931&lt;&gt;""),ABS(D1932-E1931),"")</f>
        <v/>
      </c>
    </row>
    <row r="1933">
      <c r="A1933" t="n">
        <v>1933</v>
      </c>
      <c r="B1933">
        <f>IF(INDEX('Data Entry'!$H$5:$BE$10004,1933-4,'Visual SPC'!$B$3)="",0,IF(AND(OR('Visual SPC'!$C$4="",'Data Entry'!$C1933&gt;='Visual SPC'!$C$4),OR('Visual SPC'!$E$4="",'Data Entry'!$C1933&lt;='Visual SPC'!$E$4),OR('Visual SPC'!$G$4="",'Data Entry'!$D1933='Visual SPC'!$G$4),OR('Visual SPC'!$I$4="",'Data Entry'!$E1933='Visual SPC'!$I$4),OR('Visual SPC'!$K$4="",'Data Entry'!$F1933='Visual SPC'!$K$4)),1,0))</f>
        <v/>
      </c>
      <c r="C1933">
        <f>C1932+B1933</f>
        <v/>
      </c>
      <c r="D1933">
        <f>IF(B1933=1,INDEX('Data Entry'!$H$5:$BE$10004,1933-4,'Visual SPC'!$B$3),"")</f>
        <v/>
      </c>
      <c r="E1933">
        <f>IF(B1933=1,D1933,E1932)</f>
        <v/>
      </c>
      <c r="F1933">
        <f>IF(AND(B1933=1,C1933&gt;1,E1932&lt;&gt;""),ABS(D1933-E1932),"")</f>
        <v/>
      </c>
    </row>
    <row r="1934">
      <c r="A1934" t="n">
        <v>1934</v>
      </c>
      <c r="B1934">
        <f>IF(INDEX('Data Entry'!$H$5:$BE$10004,1934-4,'Visual SPC'!$B$3)="",0,IF(AND(OR('Visual SPC'!$C$4="",'Data Entry'!$C1934&gt;='Visual SPC'!$C$4),OR('Visual SPC'!$E$4="",'Data Entry'!$C1934&lt;='Visual SPC'!$E$4),OR('Visual SPC'!$G$4="",'Data Entry'!$D1934='Visual SPC'!$G$4),OR('Visual SPC'!$I$4="",'Data Entry'!$E1934='Visual SPC'!$I$4),OR('Visual SPC'!$K$4="",'Data Entry'!$F1934='Visual SPC'!$K$4)),1,0))</f>
        <v/>
      </c>
      <c r="C1934">
        <f>C1933+B1934</f>
        <v/>
      </c>
      <c r="D1934">
        <f>IF(B1934=1,INDEX('Data Entry'!$H$5:$BE$10004,1934-4,'Visual SPC'!$B$3),"")</f>
        <v/>
      </c>
      <c r="E1934">
        <f>IF(B1934=1,D1934,E1933)</f>
        <v/>
      </c>
      <c r="F1934">
        <f>IF(AND(B1934=1,C1934&gt;1,E1933&lt;&gt;""),ABS(D1934-E1933),"")</f>
        <v/>
      </c>
    </row>
    <row r="1935">
      <c r="A1935" t="n">
        <v>1935</v>
      </c>
      <c r="B1935">
        <f>IF(INDEX('Data Entry'!$H$5:$BE$10004,1935-4,'Visual SPC'!$B$3)="",0,IF(AND(OR('Visual SPC'!$C$4="",'Data Entry'!$C1935&gt;='Visual SPC'!$C$4),OR('Visual SPC'!$E$4="",'Data Entry'!$C1935&lt;='Visual SPC'!$E$4),OR('Visual SPC'!$G$4="",'Data Entry'!$D1935='Visual SPC'!$G$4),OR('Visual SPC'!$I$4="",'Data Entry'!$E1935='Visual SPC'!$I$4),OR('Visual SPC'!$K$4="",'Data Entry'!$F1935='Visual SPC'!$K$4)),1,0))</f>
        <v/>
      </c>
      <c r="C1935">
        <f>C1934+B1935</f>
        <v/>
      </c>
      <c r="D1935">
        <f>IF(B1935=1,INDEX('Data Entry'!$H$5:$BE$10004,1935-4,'Visual SPC'!$B$3),"")</f>
        <v/>
      </c>
      <c r="E1935">
        <f>IF(B1935=1,D1935,E1934)</f>
        <v/>
      </c>
      <c r="F1935">
        <f>IF(AND(B1935=1,C1935&gt;1,E1934&lt;&gt;""),ABS(D1935-E1934),"")</f>
        <v/>
      </c>
    </row>
    <row r="1936">
      <c r="A1936" t="n">
        <v>1936</v>
      </c>
      <c r="B1936">
        <f>IF(INDEX('Data Entry'!$H$5:$BE$10004,1936-4,'Visual SPC'!$B$3)="",0,IF(AND(OR('Visual SPC'!$C$4="",'Data Entry'!$C1936&gt;='Visual SPC'!$C$4),OR('Visual SPC'!$E$4="",'Data Entry'!$C1936&lt;='Visual SPC'!$E$4),OR('Visual SPC'!$G$4="",'Data Entry'!$D1936='Visual SPC'!$G$4),OR('Visual SPC'!$I$4="",'Data Entry'!$E1936='Visual SPC'!$I$4),OR('Visual SPC'!$K$4="",'Data Entry'!$F1936='Visual SPC'!$K$4)),1,0))</f>
        <v/>
      </c>
      <c r="C1936">
        <f>C1935+B1936</f>
        <v/>
      </c>
      <c r="D1936">
        <f>IF(B1936=1,INDEX('Data Entry'!$H$5:$BE$10004,1936-4,'Visual SPC'!$B$3),"")</f>
        <v/>
      </c>
      <c r="E1936">
        <f>IF(B1936=1,D1936,E1935)</f>
        <v/>
      </c>
      <c r="F1936">
        <f>IF(AND(B1936=1,C1936&gt;1,E1935&lt;&gt;""),ABS(D1936-E1935),"")</f>
        <v/>
      </c>
    </row>
    <row r="1937">
      <c r="A1937" t="n">
        <v>1937</v>
      </c>
      <c r="B1937">
        <f>IF(INDEX('Data Entry'!$H$5:$BE$10004,1937-4,'Visual SPC'!$B$3)="",0,IF(AND(OR('Visual SPC'!$C$4="",'Data Entry'!$C1937&gt;='Visual SPC'!$C$4),OR('Visual SPC'!$E$4="",'Data Entry'!$C1937&lt;='Visual SPC'!$E$4),OR('Visual SPC'!$G$4="",'Data Entry'!$D1937='Visual SPC'!$G$4),OR('Visual SPC'!$I$4="",'Data Entry'!$E1937='Visual SPC'!$I$4),OR('Visual SPC'!$K$4="",'Data Entry'!$F1937='Visual SPC'!$K$4)),1,0))</f>
        <v/>
      </c>
      <c r="C1937">
        <f>C1936+B1937</f>
        <v/>
      </c>
      <c r="D1937">
        <f>IF(B1937=1,INDEX('Data Entry'!$H$5:$BE$10004,1937-4,'Visual SPC'!$B$3),"")</f>
        <v/>
      </c>
      <c r="E1937">
        <f>IF(B1937=1,D1937,E1936)</f>
        <v/>
      </c>
      <c r="F1937">
        <f>IF(AND(B1937=1,C1937&gt;1,E1936&lt;&gt;""),ABS(D1937-E1936),"")</f>
        <v/>
      </c>
    </row>
    <row r="1938">
      <c r="A1938" t="n">
        <v>1938</v>
      </c>
      <c r="B1938">
        <f>IF(INDEX('Data Entry'!$H$5:$BE$10004,1938-4,'Visual SPC'!$B$3)="",0,IF(AND(OR('Visual SPC'!$C$4="",'Data Entry'!$C1938&gt;='Visual SPC'!$C$4),OR('Visual SPC'!$E$4="",'Data Entry'!$C1938&lt;='Visual SPC'!$E$4),OR('Visual SPC'!$G$4="",'Data Entry'!$D1938='Visual SPC'!$G$4),OR('Visual SPC'!$I$4="",'Data Entry'!$E1938='Visual SPC'!$I$4),OR('Visual SPC'!$K$4="",'Data Entry'!$F1938='Visual SPC'!$K$4)),1,0))</f>
        <v/>
      </c>
      <c r="C1938">
        <f>C1937+B1938</f>
        <v/>
      </c>
      <c r="D1938">
        <f>IF(B1938=1,INDEX('Data Entry'!$H$5:$BE$10004,1938-4,'Visual SPC'!$B$3),"")</f>
        <v/>
      </c>
      <c r="E1938">
        <f>IF(B1938=1,D1938,E1937)</f>
        <v/>
      </c>
      <c r="F1938">
        <f>IF(AND(B1938=1,C1938&gt;1,E1937&lt;&gt;""),ABS(D1938-E1937),"")</f>
        <v/>
      </c>
    </row>
    <row r="1939">
      <c r="A1939" t="n">
        <v>1939</v>
      </c>
      <c r="B1939">
        <f>IF(INDEX('Data Entry'!$H$5:$BE$10004,1939-4,'Visual SPC'!$B$3)="",0,IF(AND(OR('Visual SPC'!$C$4="",'Data Entry'!$C1939&gt;='Visual SPC'!$C$4),OR('Visual SPC'!$E$4="",'Data Entry'!$C1939&lt;='Visual SPC'!$E$4),OR('Visual SPC'!$G$4="",'Data Entry'!$D1939='Visual SPC'!$G$4),OR('Visual SPC'!$I$4="",'Data Entry'!$E1939='Visual SPC'!$I$4),OR('Visual SPC'!$K$4="",'Data Entry'!$F1939='Visual SPC'!$K$4)),1,0))</f>
        <v/>
      </c>
      <c r="C1939">
        <f>C1938+B1939</f>
        <v/>
      </c>
      <c r="D1939">
        <f>IF(B1939=1,INDEX('Data Entry'!$H$5:$BE$10004,1939-4,'Visual SPC'!$B$3),"")</f>
        <v/>
      </c>
      <c r="E1939">
        <f>IF(B1939=1,D1939,E1938)</f>
        <v/>
      </c>
      <c r="F1939">
        <f>IF(AND(B1939=1,C1939&gt;1,E1938&lt;&gt;""),ABS(D1939-E1938),"")</f>
        <v/>
      </c>
    </row>
    <row r="1940">
      <c r="A1940" t="n">
        <v>1940</v>
      </c>
      <c r="B1940">
        <f>IF(INDEX('Data Entry'!$H$5:$BE$10004,1940-4,'Visual SPC'!$B$3)="",0,IF(AND(OR('Visual SPC'!$C$4="",'Data Entry'!$C1940&gt;='Visual SPC'!$C$4),OR('Visual SPC'!$E$4="",'Data Entry'!$C1940&lt;='Visual SPC'!$E$4),OR('Visual SPC'!$G$4="",'Data Entry'!$D1940='Visual SPC'!$G$4),OR('Visual SPC'!$I$4="",'Data Entry'!$E1940='Visual SPC'!$I$4),OR('Visual SPC'!$K$4="",'Data Entry'!$F1940='Visual SPC'!$K$4)),1,0))</f>
        <v/>
      </c>
      <c r="C1940">
        <f>C1939+B1940</f>
        <v/>
      </c>
      <c r="D1940">
        <f>IF(B1940=1,INDEX('Data Entry'!$H$5:$BE$10004,1940-4,'Visual SPC'!$B$3),"")</f>
        <v/>
      </c>
      <c r="E1940">
        <f>IF(B1940=1,D1940,E1939)</f>
        <v/>
      </c>
      <c r="F1940">
        <f>IF(AND(B1940=1,C1940&gt;1,E1939&lt;&gt;""),ABS(D1940-E1939),"")</f>
        <v/>
      </c>
    </row>
    <row r="1941">
      <c r="A1941" t="n">
        <v>1941</v>
      </c>
      <c r="B1941">
        <f>IF(INDEX('Data Entry'!$H$5:$BE$10004,1941-4,'Visual SPC'!$B$3)="",0,IF(AND(OR('Visual SPC'!$C$4="",'Data Entry'!$C1941&gt;='Visual SPC'!$C$4),OR('Visual SPC'!$E$4="",'Data Entry'!$C1941&lt;='Visual SPC'!$E$4),OR('Visual SPC'!$G$4="",'Data Entry'!$D1941='Visual SPC'!$G$4),OR('Visual SPC'!$I$4="",'Data Entry'!$E1941='Visual SPC'!$I$4),OR('Visual SPC'!$K$4="",'Data Entry'!$F1941='Visual SPC'!$K$4)),1,0))</f>
        <v/>
      </c>
      <c r="C1941">
        <f>C1940+B1941</f>
        <v/>
      </c>
      <c r="D1941">
        <f>IF(B1941=1,INDEX('Data Entry'!$H$5:$BE$10004,1941-4,'Visual SPC'!$B$3),"")</f>
        <v/>
      </c>
      <c r="E1941">
        <f>IF(B1941=1,D1941,E1940)</f>
        <v/>
      </c>
      <c r="F1941">
        <f>IF(AND(B1941=1,C1941&gt;1,E1940&lt;&gt;""),ABS(D1941-E1940),"")</f>
        <v/>
      </c>
    </row>
    <row r="1942">
      <c r="A1942" t="n">
        <v>1942</v>
      </c>
      <c r="B1942">
        <f>IF(INDEX('Data Entry'!$H$5:$BE$10004,1942-4,'Visual SPC'!$B$3)="",0,IF(AND(OR('Visual SPC'!$C$4="",'Data Entry'!$C1942&gt;='Visual SPC'!$C$4),OR('Visual SPC'!$E$4="",'Data Entry'!$C1942&lt;='Visual SPC'!$E$4),OR('Visual SPC'!$G$4="",'Data Entry'!$D1942='Visual SPC'!$G$4),OR('Visual SPC'!$I$4="",'Data Entry'!$E1942='Visual SPC'!$I$4),OR('Visual SPC'!$K$4="",'Data Entry'!$F1942='Visual SPC'!$K$4)),1,0))</f>
        <v/>
      </c>
      <c r="C1942">
        <f>C1941+B1942</f>
        <v/>
      </c>
      <c r="D1942">
        <f>IF(B1942=1,INDEX('Data Entry'!$H$5:$BE$10004,1942-4,'Visual SPC'!$B$3),"")</f>
        <v/>
      </c>
      <c r="E1942">
        <f>IF(B1942=1,D1942,E1941)</f>
        <v/>
      </c>
      <c r="F1942">
        <f>IF(AND(B1942=1,C1942&gt;1,E1941&lt;&gt;""),ABS(D1942-E1941),"")</f>
        <v/>
      </c>
    </row>
    <row r="1943">
      <c r="A1943" t="n">
        <v>1943</v>
      </c>
      <c r="B1943">
        <f>IF(INDEX('Data Entry'!$H$5:$BE$10004,1943-4,'Visual SPC'!$B$3)="",0,IF(AND(OR('Visual SPC'!$C$4="",'Data Entry'!$C1943&gt;='Visual SPC'!$C$4),OR('Visual SPC'!$E$4="",'Data Entry'!$C1943&lt;='Visual SPC'!$E$4),OR('Visual SPC'!$G$4="",'Data Entry'!$D1943='Visual SPC'!$G$4),OR('Visual SPC'!$I$4="",'Data Entry'!$E1943='Visual SPC'!$I$4),OR('Visual SPC'!$K$4="",'Data Entry'!$F1943='Visual SPC'!$K$4)),1,0))</f>
        <v/>
      </c>
      <c r="C1943">
        <f>C1942+B1943</f>
        <v/>
      </c>
      <c r="D1943">
        <f>IF(B1943=1,INDEX('Data Entry'!$H$5:$BE$10004,1943-4,'Visual SPC'!$B$3),"")</f>
        <v/>
      </c>
      <c r="E1943">
        <f>IF(B1943=1,D1943,E1942)</f>
        <v/>
      </c>
      <c r="F1943">
        <f>IF(AND(B1943=1,C1943&gt;1,E1942&lt;&gt;""),ABS(D1943-E1942),"")</f>
        <v/>
      </c>
    </row>
    <row r="1944">
      <c r="A1944" t="n">
        <v>1944</v>
      </c>
      <c r="B1944">
        <f>IF(INDEX('Data Entry'!$H$5:$BE$10004,1944-4,'Visual SPC'!$B$3)="",0,IF(AND(OR('Visual SPC'!$C$4="",'Data Entry'!$C1944&gt;='Visual SPC'!$C$4),OR('Visual SPC'!$E$4="",'Data Entry'!$C1944&lt;='Visual SPC'!$E$4),OR('Visual SPC'!$G$4="",'Data Entry'!$D1944='Visual SPC'!$G$4),OR('Visual SPC'!$I$4="",'Data Entry'!$E1944='Visual SPC'!$I$4),OR('Visual SPC'!$K$4="",'Data Entry'!$F1944='Visual SPC'!$K$4)),1,0))</f>
        <v/>
      </c>
      <c r="C1944">
        <f>C1943+B1944</f>
        <v/>
      </c>
      <c r="D1944">
        <f>IF(B1944=1,INDEX('Data Entry'!$H$5:$BE$10004,1944-4,'Visual SPC'!$B$3),"")</f>
        <v/>
      </c>
      <c r="E1944">
        <f>IF(B1944=1,D1944,E1943)</f>
        <v/>
      </c>
      <c r="F1944">
        <f>IF(AND(B1944=1,C1944&gt;1,E1943&lt;&gt;""),ABS(D1944-E1943),"")</f>
        <v/>
      </c>
    </row>
    <row r="1945">
      <c r="A1945" t="n">
        <v>1945</v>
      </c>
      <c r="B1945">
        <f>IF(INDEX('Data Entry'!$H$5:$BE$10004,1945-4,'Visual SPC'!$B$3)="",0,IF(AND(OR('Visual SPC'!$C$4="",'Data Entry'!$C1945&gt;='Visual SPC'!$C$4),OR('Visual SPC'!$E$4="",'Data Entry'!$C1945&lt;='Visual SPC'!$E$4),OR('Visual SPC'!$G$4="",'Data Entry'!$D1945='Visual SPC'!$G$4),OR('Visual SPC'!$I$4="",'Data Entry'!$E1945='Visual SPC'!$I$4),OR('Visual SPC'!$K$4="",'Data Entry'!$F1945='Visual SPC'!$K$4)),1,0))</f>
        <v/>
      </c>
      <c r="C1945">
        <f>C1944+B1945</f>
        <v/>
      </c>
      <c r="D1945">
        <f>IF(B1945=1,INDEX('Data Entry'!$H$5:$BE$10004,1945-4,'Visual SPC'!$B$3),"")</f>
        <v/>
      </c>
      <c r="E1945">
        <f>IF(B1945=1,D1945,E1944)</f>
        <v/>
      </c>
      <c r="F1945">
        <f>IF(AND(B1945=1,C1945&gt;1,E1944&lt;&gt;""),ABS(D1945-E1944),"")</f>
        <v/>
      </c>
    </row>
    <row r="1946">
      <c r="A1946" t="n">
        <v>1946</v>
      </c>
      <c r="B1946">
        <f>IF(INDEX('Data Entry'!$H$5:$BE$10004,1946-4,'Visual SPC'!$B$3)="",0,IF(AND(OR('Visual SPC'!$C$4="",'Data Entry'!$C1946&gt;='Visual SPC'!$C$4),OR('Visual SPC'!$E$4="",'Data Entry'!$C1946&lt;='Visual SPC'!$E$4),OR('Visual SPC'!$G$4="",'Data Entry'!$D1946='Visual SPC'!$G$4),OR('Visual SPC'!$I$4="",'Data Entry'!$E1946='Visual SPC'!$I$4),OR('Visual SPC'!$K$4="",'Data Entry'!$F1946='Visual SPC'!$K$4)),1,0))</f>
        <v/>
      </c>
      <c r="C1946">
        <f>C1945+B1946</f>
        <v/>
      </c>
      <c r="D1946">
        <f>IF(B1946=1,INDEX('Data Entry'!$H$5:$BE$10004,1946-4,'Visual SPC'!$B$3),"")</f>
        <v/>
      </c>
      <c r="E1946">
        <f>IF(B1946=1,D1946,E1945)</f>
        <v/>
      </c>
      <c r="F1946">
        <f>IF(AND(B1946=1,C1946&gt;1,E1945&lt;&gt;""),ABS(D1946-E1945),"")</f>
        <v/>
      </c>
    </row>
    <row r="1947">
      <c r="A1947" t="n">
        <v>1947</v>
      </c>
      <c r="B1947">
        <f>IF(INDEX('Data Entry'!$H$5:$BE$10004,1947-4,'Visual SPC'!$B$3)="",0,IF(AND(OR('Visual SPC'!$C$4="",'Data Entry'!$C1947&gt;='Visual SPC'!$C$4),OR('Visual SPC'!$E$4="",'Data Entry'!$C1947&lt;='Visual SPC'!$E$4),OR('Visual SPC'!$G$4="",'Data Entry'!$D1947='Visual SPC'!$G$4),OR('Visual SPC'!$I$4="",'Data Entry'!$E1947='Visual SPC'!$I$4),OR('Visual SPC'!$K$4="",'Data Entry'!$F1947='Visual SPC'!$K$4)),1,0))</f>
        <v/>
      </c>
      <c r="C1947">
        <f>C1946+B1947</f>
        <v/>
      </c>
      <c r="D1947">
        <f>IF(B1947=1,INDEX('Data Entry'!$H$5:$BE$10004,1947-4,'Visual SPC'!$B$3),"")</f>
        <v/>
      </c>
      <c r="E1947">
        <f>IF(B1947=1,D1947,E1946)</f>
        <v/>
      </c>
      <c r="F1947">
        <f>IF(AND(B1947=1,C1947&gt;1,E1946&lt;&gt;""),ABS(D1947-E1946),"")</f>
        <v/>
      </c>
    </row>
    <row r="1948">
      <c r="A1948" t="n">
        <v>1948</v>
      </c>
      <c r="B1948">
        <f>IF(INDEX('Data Entry'!$H$5:$BE$10004,1948-4,'Visual SPC'!$B$3)="",0,IF(AND(OR('Visual SPC'!$C$4="",'Data Entry'!$C1948&gt;='Visual SPC'!$C$4),OR('Visual SPC'!$E$4="",'Data Entry'!$C1948&lt;='Visual SPC'!$E$4),OR('Visual SPC'!$G$4="",'Data Entry'!$D1948='Visual SPC'!$G$4),OR('Visual SPC'!$I$4="",'Data Entry'!$E1948='Visual SPC'!$I$4),OR('Visual SPC'!$K$4="",'Data Entry'!$F1948='Visual SPC'!$K$4)),1,0))</f>
        <v/>
      </c>
      <c r="C1948">
        <f>C1947+B1948</f>
        <v/>
      </c>
      <c r="D1948">
        <f>IF(B1948=1,INDEX('Data Entry'!$H$5:$BE$10004,1948-4,'Visual SPC'!$B$3),"")</f>
        <v/>
      </c>
      <c r="E1948">
        <f>IF(B1948=1,D1948,E1947)</f>
        <v/>
      </c>
      <c r="F1948">
        <f>IF(AND(B1948=1,C1948&gt;1,E1947&lt;&gt;""),ABS(D1948-E1947),"")</f>
        <v/>
      </c>
    </row>
    <row r="1949">
      <c r="A1949" t="n">
        <v>1949</v>
      </c>
      <c r="B1949">
        <f>IF(INDEX('Data Entry'!$H$5:$BE$10004,1949-4,'Visual SPC'!$B$3)="",0,IF(AND(OR('Visual SPC'!$C$4="",'Data Entry'!$C1949&gt;='Visual SPC'!$C$4),OR('Visual SPC'!$E$4="",'Data Entry'!$C1949&lt;='Visual SPC'!$E$4),OR('Visual SPC'!$G$4="",'Data Entry'!$D1949='Visual SPC'!$G$4),OR('Visual SPC'!$I$4="",'Data Entry'!$E1949='Visual SPC'!$I$4),OR('Visual SPC'!$K$4="",'Data Entry'!$F1949='Visual SPC'!$K$4)),1,0))</f>
        <v/>
      </c>
      <c r="C1949">
        <f>C1948+B1949</f>
        <v/>
      </c>
      <c r="D1949">
        <f>IF(B1949=1,INDEX('Data Entry'!$H$5:$BE$10004,1949-4,'Visual SPC'!$B$3),"")</f>
        <v/>
      </c>
      <c r="E1949">
        <f>IF(B1949=1,D1949,E1948)</f>
        <v/>
      </c>
      <c r="F1949">
        <f>IF(AND(B1949=1,C1949&gt;1,E1948&lt;&gt;""),ABS(D1949-E1948),"")</f>
        <v/>
      </c>
    </row>
    <row r="1950">
      <c r="A1950" t="n">
        <v>1950</v>
      </c>
      <c r="B1950">
        <f>IF(INDEX('Data Entry'!$H$5:$BE$10004,1950-4,'Visual SPC'!$B$3)="",0,IF(AND(OR('Visual SPC'!$C$4="",'Data Entry'!$C1950&gt;='Visual SPC'!$C$4),OR('Visual SPC'!$E$4="",'Data Entry'!$C1950&lt;='Visual SPC'!$E$4),OR('Visual SPC'!$G$4="",'Data Entry'!$D1950='Visual SPC'!$G$4),OR('Visual SPC'!$I$4="",'Data Entry'!$E1950='Visual SPC'!$I$4),OR('Visual SPC'!$K$4="",'Data Entry'!$F1950='Visual SPC'!$K$4)),1,0))</f>
        <v/>
      </c>
      <c r="C1950">
        <f>C1949+B1950</f>
        <v/>
      </c>
      <c r="D1950">
        <f>IF(B1950=1,INDEX('Data Entry'!$H$5:$BE$10004,1950-4,'Visual SPC'!$B$3),"")</f>
        <v/>
      </c>
      <c r="E1950">
        <f>IF(B1950=1,D1950,E1949)</f>
        <v/>
      </c>
      <c r="F1950">
        <f>IF(AND(B1950=1,C1950&gt;1,E1949&lt;&gt;""),ABS(D1950-E1949),"")</f>
        <v/>
      </c>
    </row>
    <row r="1951">
      <c r="A1951" t="n">
        <v>1951</v>
      </c>
      <c r="B1951">
        <f>IF(INDEX('Data Entry'!$H$5:$BE$10004,1951-4,'Visual SPC'!$B$3)="",0,IF(AND(OR('Visual SPC'!$C$4="",'Data Entry'!$C1951&gt;='Visual SPC'!$C$4),OR('Visual SPC'!$E$4="",'Data Entry'!$C1951&lt;='Visual SPC'!$E$4),OR('Visual SPC'!$G$4="",'Data Entry'!$D1951='Visual SPC'!$G$4),OR('Visual SPC'!$I$4="",'Data Entry'!$E1951='Visual SPC'!$I$4),OR('Visual SPC'!$K$4="",'Data Entry'!$F1951='Visual SPC'!$K$4)),1,0))</f>
        <v/>
      </c>
      <c r="C1951">
        <f>C1950+B1951</f>
        <v/>
      </c>
      <c r="D1951">
        <f>IF(B1951=1,INDEX('Data Entry'!$H$5:$BE$10004,1951-4,'Visual SPC'!$B$3),"")</f>
        <v/>
      </c>
      <c r="E1951">
        <f>IF(B1951=1,D1951,E1950)</f>
        <v/>
      </c>
      <c r="F1951">
        <f>IF(AND(B1951=1,C1951&gt;1,E1950&lt;&gt;""),ABS(D1951-E1950),"")</f>
        <v/>
      </c>
    </row>
    <row r="1952">
      <c r="A1952" t="n">
        <v>1952</v>
      </c>
      <c r="B1952">
        <f>IF(INDEX('Data Entry'!$H$5:$BE$10004,1952-4,'Visual SPC'!$B$3)="",0,IF(AND(OR('Visual SPC'!$C$4="",'Data Entry'!$C1952&gt;='Visual SPC'!$C$4),OR('Visual SPC'!$E$4="",'Data Entry'!$C1952&lt;='Visual SPC'!$E$4),OR('Visual SPC'!$G$4="",'Data Entry'!$D1952='Visual SPC'!$G$4),OR('Visual SPC'!$I$4="",'Data Entry'!$E1952='Visual SPC'!$I$4),OR('Visual SPC'!$K$4="",'Data Entry'!$F1952='Visual SPC'!$K$4)),1,0))</f>
        <v/>
      </c>
      <c r="C1952">
        <f>C1951+B1952</f>
        <v/>
      </c>
      <c r="D1952">
        <f>IF(B1952=1,INDEX('Data Entry'!$H$5:$BE$10004,1952-4,'Visual SPC'!$B$3),"")</f>
        <v/>
      </c>
      <c r="E1952">
        <f>IF(B1952=1,D1952,E1951)</f>
        <v/>
      </c>
      <c r="F1952">
        <f>IF(AND(B1952=1,C1952&gt;1,E1951&lt;&gt;""),ABS(D1952-E1951),"")</f>
        <v/>
      </c>
    </row>
    <row r="1953">
      <c r="A1953" t="n">
        <v>1953</v>
      </c>
      <c r="B1953">
        <f>IF(INDEX('Data Entry'!$H$5:$BE$10004,1953-4,'Visual SPC'!$B$3)="",0,IF(AND(OR('Visual SPC'!$C$4="",'Data Entry'!$C1953&gt;='Visual SPC'!$C$4),OR('Visual SPC'!$E$4="",'Data Entry'!$C1953&lt;='Visual SPC'!$E$4),OR('Visual SPC'!$G$4="",'Data Entry'!$D1953='Visual SPC'!$G$4),OR('Visual SPC'!$I$4="",'Data Entry'!$E1953='Visual SPC'!$I$4),OR('Visual SPC'!$K$4="",'Data Entry'!$F1953='Visual SPC'!$K$4)),1,0))</f>
        <v/>
      </c>
      <c r="C1953">
        <f>C1952+B1953</f>
        <v/>
      </c>
      <c r="D1953">
        <f>IF(B1953=1,INDEX('Data Entry'!$H$5:$BE$10004,1953-4,'Visual SPC'!$B$3),"")</f>
        <v/>
      </c>
      <c r="E1953">
        <f>IF(B1953=1,D1953,E1952)</f>
        <v/>
      </c>
      <c r="F1953">
        <f>IF(AND(B1953=1,C1953&gt;1,E1952&lt;&gt;""),ABS(D1953-E1952),"")</f>
        <v/>
      </c>
    </row>
    <row r="1954">
      <c r="A1954" t="n">
        <v>1954</v>
      </c>
      <c r="B1954">
        <f>IF(INDEX('Data Entry'!$H$5:$BE$10004,1954-4,'Visual SPC'!$B$3)="",0,IF(AND(OR('Visual SPC'!$C$4="",'Data Entry'!$C1954&gt;='Visual SPC'!$C$4),OR('Visual SPC'!$E$4="",'Data Entry'!$C1954&lt;='Visual SPC'!$E$4),OR('Visual SPC'!$G$4="",'Data Entry'!$D1954='Visual SPC'!$G$4),OR('Visual SPC'!$I$4="",'Data Entry'!$E1954='Visual SPC'!$I$4),OR('Visual SPC'!$K$4="",'Data Entry'!$F1954='Visual SPC'!$K$4)),1,0))</f>
        <v/>
      </c>
      <c r="C1954">
        <f>C1953+B1954</f>
        <v/>
      </c>
      <c r="D1954">
        <f>IF(B1954=1,INDEX('Data Entry'!$H$5:$BE$10004,1954-4,'Visual SPC'!$B$3),"")</f>
        <v/>
      </c>
      <c r="E1954">
        <f>IF(B1954=1,D1954,E1953)</f>
        <v/>
      </c>
      <c r="F1954">
        <f>IF(AND(B1954=1,C1954&gt;1,E1953&lt;&gt;""),ABS(D1954-E1953),"")</f>
        <v/>
      </c>
    </row>
    <row r="1955">
      <c r="A1955" t="n">
        <v>1955</v>
      </c>
      <c r="B1955">
        <f>IF(INDEX('Data Entry'!$H$5:$BE$10004,1955-4,'Visual SPC'!$B$3)="",0,IF(AND(OR('Visual SPC'!$C$4="",'Data Entry'!$C1955&gt;='Visual SPC'!$C$4),OR('Visual SPC'!$E$4="",'Data Entry'!$C1955&lt;='Visual SPC'!$E$4),OR('Visual SPC'!$G$4="",'Data Entry'!$D1955='Visual SPC'!$G$4),OR('Visual SPC'!$I$4="",'Data Entry'!$E1955='Visual SPC'!$I$4),OR('Visual SPC'!$K$4="",'Data Entry'!$F1955='Visual SPC'!$K$4)),1,0))</f>
        <v/>
      </c>
      <c r="C1955">
        <f>C1954+B1955</f>
        <v/>
      </c>
      <c r="D1955">
        <f>IF(B1955=1,INDEX('Data Entry'!$H$5:$BE$10004,1955-4,'Visual SPC'!$B$3),"")</f>
        <v/>
      </c>
      <c r="E1955">
        <f>IF(B1955=1,D1955,E1954)</f>
        <v/>
      </c>
      <c r="F1955">
        <f>IF(AND(B1955=1,C1955&gt;1,E1954&lt;&gt;""),ABS(D1955-E1954),"")</f>
        <v/>
      </c>
    </row>
    <row r="1956">
      <c r="A1956" t="n">
        <v>1956</v>
      </c>
      <c r="B1956">
        <f>IF(INDEX('Data Entry'!$H$5:$BE$10004,1956-4,'Visual SPC'!$B$3)="",0,IF(AND(OR('Visual SPC'!$C$4="",'Data Entry'!$C1956&gt;='Visual SPC'!$C$4),OR('Visual SPC'!$E$4="",'Data Entry'!$C1956&lt;='Visual SPC'!$E$4),OR('Visual SPC'!$G$4="",'Data Entry'!$D1956='Visual SPC'!$G$4),OR('Visual SPC'!$I$4="",'Data Entry'!$E1956='Visual SPC'!$I$4),OR('Visual SPC'!$K$4="",'Data Entry'!$F1956='Visual SPC'!$K$4)),1,0))</f>
        <v/>
      </c>
      <c r="C1956">
        <f>C1955+B1956</f>
        <v/>
      </c>
      <c r="D1956">
        <f>IF(B1956=1,INDEX('Data Entry'!$H$5:$BE$10004,1956-4,'Visual SPC'!$B$3),"")</f>
        <v/>
      </c>
      <c r="E1956">
        <f>IF(B1956=1,D1956,E1955)</f>
        <v/>
      </c>
      <c r="F1956">
        <f>IF(AND(B1956=1,C1956&gt;1,E1955&lt;&gt;""),ABS(D1956-E1955),"")</f>
        <v/>
      </c>
    </row>
    <row r="1957">
      <c r="A1957" t="n">
        <v>1957</v>
      </c>
      <c r="B1957">
        <f>IF(INDEX('Data Entry'!$H$5:$BE$10004,1957-4,'Visual SPC'!$B$3)="",0,IF(AND(OR('Visual SPC'!$C$4="",'Data Entry'!$C1957&gt;='Visual SPC'!$C$4),OR('Visual SPC'!$E$4="",'Data Entry'!$C1957&lt;='Visual SPC'!$E$4),OR('Visual SPC'!$G$4="",'Data Entry'!$D1957='Visual SPC'!$G$4),OR('Visual SPC'!$I$4="",'Data Entry'!$E1957='Visual SPC'!$I$4),OR('Visual SPC'!$K$4="",'Data Entry'!$F1957='Visual SPC'!$K$4)),1,0))</f>
        <v/>
      </c>
      <c r="C1957">
        <f>C1956+B1957</f>
        <v/>
      </c>
      <c r="D1957">
        <f>IF(B1957=1,INDEX('Data Entry'!$H$5:$BE$10004,1957-4,'Visual SPC'!$B$3),"")</f>
        <v/>
      </c>
      <c r="E1957">
        <f>IF(B1957=1,D1957,E1956)</f>
        <v/>
      </c>
      <c r="F1957">
        <f>IF(AND(B1957=1,C1957&gt;1,E1956&lt;&gt;""),ABS(D1957-E1956),"")</f>
        <v/>
      </c>
    </row>
    <row r="1958">
      <c r="A1958" t="n">
        <v>1958</v>
      </c>
      <c r="B1958">
        <f>IF(INDEX('Data Entry'!$H$5:$BE$10004,1958-4,'Visual SPC'!$B$3)="",0,IF(AND(OR('Visual SPC'!$C$4="",'Data Entry'!$C1958&gt;='Visual SPC'!$C$4),OR('Visual SPC'!$E$4="",'Data Entry'!$C1958&lt;='Visual SPC'!$E$4),OR('Visual SPC'!$G$4="",'Data Entry'!$D1958='Visual SPC'!$G$4),OR('Visual SPC'!$I$4="",'Data Entry'!$E1958='Visual SPC'!$I$4),OR('Visual SPC'!$K$4="",'Data Entry'!$F1958='Visual SPC'!$K$4)),1,0))</f>
        <v/>
      </c>
      <c r="C1958">
        <f>C1957+B1958</f>
        <v/>
      </c>
      <c r="D1958">
        <f>IF(B1958=1,INDEX('Data Entry'!$H$5:$BE$10004,1958-4,'Visual SPC'!$B$3),"")</f>
        <v/>
      </c>
      <c r="E1958">
        <f>IF(B1958=1,D1958,E1957)</f>
        <v/>
      </c>
      <c r="F1958">
        <f>IF(AND(B1958=1,C1958&gt;1,E1957&lt;&gt;""),ABS(D1958-E1957),"")</f>
        <v/>
      </c>
    </row>
    <row r="1959">
      <c r="A1959" t="n">
        <v>1959</v>
      </c>
      <c r="B1959">
        <f>IF(INDEX('Data Entry'!$H$5:$BE$10004,1959-4,'Visual SPC'!$B$3)="",0,IF(AND(OR('Visual SPC'!$C$4="",'Data Entry'!$C1959&gt;='Visual SPC'!$C$4),OR('Visual SPC'!$E$4="",'Data Entry'!$C1959&lt;='Visual SPC'!$E$4),OR('Visual SPC'!$G$4="",'Data Entry'!$D1959='Visual SPC'!$G$4),OR('Visual SPC'!$I$4="",'Data Entry'!$E1959='Visual SPC'!$I$4),OR('Visual SPC'!$K$4="",'Data Entry'!$F1959='Visual SPC'!$K$4)),1,0))</f>
        <v/>
      </c>
      <c r="C1959">
        <f>C1958+B1959</f>
        <v/>
      </c>
      <c r="D1959">
        <f>IF(B1959=1,INDEX('Data Entry'!$H$5:$BE$10004,1959-4,'Visual SPC'!$B$3),"")</f>
        <v/>
      </c>
      <c r="E1959">
        <f>IF(B1959=1,D1959,E1958)</f>
        <v/>
      </c>
      <c r="F1959">
        <f>IF(AND(B1959=1,C1959&gt;1,E1958&lt;&gt;""),ABS(D1959-E1958),"")</f>
        <v/>
      </c>
    </row>
    <row r="1960">
      <c r="A1960" t="n">
        <v>1960</v>
      </c>
      <c r="B1960">
        <f>IF(INDEX('Data Entry'!$H$5:$BE$10004,1960-4,'Visual SPC'!$B$3)="",0,IF(AND(OR('Visual SPC'!$C$4="",'Data Entry'!$C1960&gt;='Visual SPC'!$C$4),OR('Visual SPC'!$E$4="",'Data Entry'!$C1960&lt;='Visual SPC'!$E$4),OR('Visual SPC'!$G$4="",'Data Entry'!$D1960='Visual SPC'!$G$4),OR('Visual SPC'!$I$4="",'Data Entry'!$E1960='Visual SPC'!$I$4),OR('Visual SPC'!$K$4="",'Data Entry'!$F1960='Visual SPC'!$K$4)),1,0))</f>
        <v/>
      </c>
      <c r="C1960">
        <f>C1959+B1960</f>
        <v/>
      </c>
      <c r="D1960">
        <f>IF(B1960=1,INDEX('Data Entry'!$H$5:$BE$10004,1960-4,'Visual SPC'!$B$3),"")</f>
        <v/>
      </c>
      <c r="E1960">
        <f>IF(B1960=1,D1960,E1959)</f>
        <v/>
      </c>
      <c r="F1960">
        <f>IF(AND(B1960=1,C1960&gt;1,E1959&lt;&gt;""),ABS(D1960-E1959),"")</f>
        <v/>
      </c>
    </row>
    <row r="1961">
      <c r="A1961" t="n">
        <v>1961</v>
      </c>
      <c r="B1961">
        <f>IF(INDEX('Data Entry'!$H$5:$BE$10004,1961-4,'Visual SPC'!$B$3)="",0,IF(AND(OR('Visual SPC'!$C$4="",'Data Entry'!$C1961&gt;='Visual SPC'!$C$4),OR('Visual SPC'!$E$4="",'Data Entry'!$C1961&lt;='Visual SPC'!$E$4),OR('Visual SPC'!$G$4="",'Data Entry'!$D1961='Visual SPC'!$G$4),OR('Visual SPC'!$I$4="",'Data Entry'!$E1961='Visual SPC'!$I$4),OR('Visual SPC'!$K$4="",'Data Entry'!$F1961='Visual SPC'!$K$4)),1,0))</f>
        <v/>
      </c>
      <c r="C1961">
        <f>C1960+B1961</f>
        <v/>
      </c>
      <c r="D1961">
        <f>IF(B1961=1,INDEX('Data Entry'!$H$5:$BE$10004,1961-4,'Visual SPC'!$B$3),"")</f>
        <v/>
      </c>
      <c r="E1961">
        <f>IF(B1961=1,D1961,E1960)</f>
        <v/>
      </c>
      <c r="F1961">
        <f>IF(AND(B1961=1,C1961&gt;1,E1960&lt;&gt;""),ABS(D1961-E1960),"")</f>
        <v/>
      </c>
    </row>
    <row r="1962">
      <c r="A1962" t="n">
        <v>1962</v>
      </c>
      <c r="B1962">
        <f>IF(INDEX('Data Entry'!$H$5:$BE$10004,1962-4,'Visual SPC'!$B$3)="",0,IF(AND(OR('Visual SPC'!$C$4="",'Data Entry'!$C1962&gt;='Visual SPC'!$C$4),OR('Visual SPC'!$E$4="",'Data Entry'!$C1962&lt;='Visual SPC'!$E$4),OR('Visual SPC'!$G$4="",'Data Entry'!$D1962='Visual SPC'!$G$4),OR('Visual SPC'!$I$4="",'Data Entry'!$E1962='Visual SPC'!$I$4),OR('Visual SPC'!$K$4="",'Data Entry'!$F1962='Visual SPC'!$K$4)),1,0))</f>
        <v/>
      </c>
      <c r="C1962">
        <f>C1961+B1962</f>
        <v/>
      </c>
      <c r="D1962">
        <f>IF(B1962=1,INDEX('Data Entry'!$H$5:$BE$10004,1962-4,'Visual SPC'!$B$3),"")</f>
        <v/>
      </c>
      <c r="E1962">
        <f>IF(B1962=1,D1962,E1961)</f>
        <v/>
      </c>
      <c r="F1962">
        <f>IF(AND(B1962=1,C1962&gt;1,E1961&lt;&gt;""),ABS(D1962-E1961),"")</f>
        <v/>
      </c>
    </row>
    <row r="1963">
      <c r="A1963" t="n">
        <v>1963</v>
      </c>
      <c r="B1963">
        <f>IF(INDEX('Data Entry'!$H$5:$BE$10004,1963-4,'Visual SPC'!$B$3)="",0,IF(AND(OR('Visual SPC'!$C$4="",'Data Entry'!$C1963&gt;='Visual SPC'!$C$4),OR('Visual SPC'!$E$4="",'Data Entry'!$C1963&lt;='Visual SPC'!$E$4),OR('Visual SPC'!$G$4="",'Data Entry'!$D1963='Visual SPC'!$G$4),OR('Visual SPC'!$I$4="",'Data Entry'!$E1963='Visual SPC'!$I$4),OR('Visual SPC'!$K$4="",'Data Entry'!$F1963='Visual SPC'!$K$4)),1,0))</f>
        <v/>
      </c>
      <c r="C1963">
        <f>C1962+B1963</f>
        <v/>
      </c>
      <c r="D1963">
        <f>IF(B1963=1,INDEX('Data Entry'!$H$5:$BE$10004,1963-4,'Visual SPC'!$B$3),"")</f>
        <v/>
      </c>
      <c r="E1963">
        <f>IF(B1963=1,D1963,E1962)</f>
        <v/>
      </c>
      <c r="F1963">
        <f>IF(AND(B1963=1,C1963&gt;1,E1962&lt;&gt;""),ABS(D1963-E1962),"")</f>
        <v/>
      </c>
    </row>
    <row r="1964">
      <c r="A1964" t="n">
        <v>1964</v>
      </c>
      <c r="B1964">
        <f>IF(INDEX('Data Entry'!$H$5:$BE$10004,1964-4,'Visual SPC'!$B$3)="",0,IF(AND(OR('Visual SPC'!$C$4="",'Data Entry'!$C1964&gt;='Visual SPC'!$C$4),OR('Visual SPC'!$E$4="",'Data Entry'!$C1964&lt;='Visual SPC'!$E$4),OR('Visual SPC'!$G$4="",'Data Entry'!$D1964='Visual SPC'!$G$4),OR('Visual SPC'!$I$4="",'Data Entry'!$E1964='Visual SPC'!$I$4),OR('Visual SPC'!$K$4="",'Data Entry'!$F1964='Visual SPC'!$K$4)),1,0))</f>
        <v/>
      </c>
      <c r="C1964">
        <f>C1963+B1964</f>
        <v/>
      </c>
      <c r="D1964">
        <f>IF(B1964=1,INDEX('Data Entry'!$H$5:$BE$10004,1964-4,'Visual SPC'!$B$3),"")</f>
        <v/>
      </c>
      <c r="E1964">
        <f>IF(B1964=1,D1964,E1963)</f>
        <v/>
      </c>
      <c r="F1964">
        <f>IF(AND(B1964=1,C1964&gt;1,E1963&lt;&gt;""),ABS(D1964-E1963),"")</f>
        <v/>
      </c>
    </row>
    <row r="1965">
      <c r="A1965" t="n">
        <v>1965</v>
      </c>
      <c r="B1965">
        <f>IF(INDEX('Data Entry'!$H$5:$BE$10004,1965-4,'Visual SPC'!$B$3)="",0,IF(AND(OR('Visual SPC'!$C$4="",'Data Entry'!$C1965&gt;='Visual SPC'!$C$4),OR('Visual SPC'!$E$4="",'Data Entry'!$C1965&lt;='Visual SPC'!$E$4),OR('Visual SPC'!$G$4="",'Data Entry'!$D1965='Visual SPC'!$G$4),OR('Visual SPC'!$I$4="",'Data Entry'!$E1965='Visual SPC'!$I$4),OR('Visual SPC'!$K$4="",'Data Entry'!$F1965='Visual SPC'!$K$4)),1,0))</f>
        <v/>
      </c>
      <c r="C1965">
        <f>C1964+B1965</f>
        <v/>
      </c>
      <c r="D1965">
        <f>IF(B1965=1,INDEX('Data Entry'!$H$5:$BE$10004,1965-4,'Visual SPC'!$B$3),"")</f>
        <v/>
      </c>
      <c r="E1965">
        <f>IF(B1965=1,D1965,E1964)</f>
        <v/>
      </c>
      <c r="F1965">
        <f>IF(AND(B1965=1,C1965&gt;1,E1964&lt;&gt;""),ABS(D1965-E1964),"")</f>
        <v/>
      </c>
    </row>
    <row r="1966">
      <c r="A1966" t="n">
        <v>1966</v>
      </c>
      <c r="B1966">
        <f>IF(INDEX('Data Entry'!$H$5:$BE$10004,1966-4,'Visual SPC'!$B$3)="",0,IF(AND(OR('Visual SPC'!$C$4="",'Data Entry'!$C1966&gt;='Visual SPC'!$C$4),OR('Visual SPC'!$E$4="",'Data Entry'!$C1966&lt;='Visual SPC'!$E$4),OR('Visual SPC'!$G$4="",'Data Entry'!$D1966='Visual SPC'!$G$4),OR('Visual SPC'!$I$4="",'Data Entry'!$E1966='Visual SPC'!$I$4),OR('Visual SPC'!$K$4="",'Data Entry'!$F1966='Visual SPC'!$K$4)),1,0))</f>
        <v/>
      </c>
      <c r="C1966">
        <f>C1965+B1966</f>
        <v/>
      </c>
      <c r="D1966">
        <f>IF(B1966=1,INDEX('Data Entry'!$H$5:$BE$10004,1966-4,'Visual SPC'!$B$3),"")</f>
        <v/>
      </c>
      <c r="E1966">
        <f>IF(B1966=1,D1966,E1965)</f>
        <v/>
      </c>
      <c r="F1966">
        <f>IF(AND(B1966=1,C1966&gt;1,E1965&lt;&gt;""),ABS(D1966-E1965),"")</f>
        <v/>
      </c>
    </row>
    <row r="1967">
      <c r="A1967" t="n">
        <v>1967</v>
      </c>
      <c r="B1967">
        <f>IF(INDEX('Data Entry'!$H$5:$BE$10004,1967-4,'Visual SPC'!$B$3)="",0,IF(AND(OR('Visual SPC'!$C$4="",'Data Entry'!$C1967&gt;='Visual SPC'!$C$4),OR('Visual SPC'!$E$4="",'Data Entry'!$C1967&lt;='Visual SPC'!$E$4),OR('Visual SPC'!$G$4="",'Data Entry'!$D1967='Visual SPC'!$G$4),OR('Visual SPC'!$I$4="",'Data Entry'!$E1967='Visual SPC'!$I$4),OR('Visual SPC'!$K$4="",'Data Entry'!$F1967='Visual SPC'!$K$4)),1,0))</f>
        <v/>
      </c>
      <c r="C1967">
        <f>C1966+B1967</f>
        <v/>
      </c>
      <c r="D1967">
        <f>IF(B1967=1,INDEX('Data Entry'!$H$5:$BE$10004,1967-4,'Visual SPC'!$B$3),"")</f>
        <v/>
      </c>
      <c r="E1967">
        <f>IF(B1967=1,D1967,E1966)</f>
        <v/>
      </c>
      <c r="F1967">
        <f>IF(AND(B1967=1,C1967&gt;1,E1966&lt;&gt;""),ABS(D1967-E1966),"")</f>
        <v/>
      </c>
    </row>
    <row r="1968">
      <c r="A1968" t="n">
        <v>1968</v>
      </c>
      <c r="B1968">
        <f>IF(INDEX('Data Entry'!$H$5:$BE$10004,1968-4,'Visual SPC'!$B$3)="",0,IF(AND(OR('Visual SPC'!$C$4="",'Data Entry'!$C1968&gt;='Visual SPC'!$C$4),OR('Visual SPC'!$E$4="",'Data Entry'!$C1968&lt;='Visual SPC'!$E$4),OR('Visual SPC'!$G$4="",'Data Entry'!$D1968='Visual SPC'!$G$4),OR('Visual SPC'!$I$4="",'Data Entry'!$E1968='Visual SPC'!$I$4),OR('Visual SPC'!$K$4="",'Data Entry'!$F1968='Visual SPC'!$K$4)),1,0))</f>
        <v/>
      </c>
      <c r="C1968">
        <f>C1967+B1968</f>
        <v/>
      </c>
      <c r="D1968">
        <f>IF(B1968=1,INDEX('Data Entry'!$H$5:$BE$10004,1968-4,'Visual SPC'!$B$3),"")</f>
        <v/>
      </c>
      <c r="E1968">
        <f>IF(B1968=1,D1968,E1967)</f>
        <v/>
      </c>
      <c r="F1968">
        <f>IF(AND(B1968=1,C1968&gt;1,E1967&lt;&gt;""),ABS(D1968-E1967),"")</f>
        <v/>
      </c>
    </row>
    <row r="1969">
      <c r="A1969" t="n">
        <v>1969</v>
      </c>
      <c r="B1969">
        <f>IF(INDEX('Data Entry'!$H$5:$BE$10004,1969-4,'Visual SPC'!$B$3)="",0,IF(AND(OR('Visual SPC'!$C$4="",'Data Entry'!$C1969&gt;='Visual SPC'!$C$4),OR('Visual SPC'!$E$4="",'Data Entry'!$C1969&lt;='Visual SPC'!$E$4),OR('Visual SPC'!$G$4="",'Data Entry'!$D1969='Visual SPC'!$G$4),OR('Visual SPC'!$I$4="",'Data Entry'!$E1969='Visual SPC'!$I$4),OR('Visual SPC'!$K$4="",'Data Entry'!$F1969='Visual SPC'!$K$4)),1,0))</f>
        <v/>
      </c>
      <c r="C1969">
        <f>C1968+B1969</f>
        <v/>
      </c>
      <c r="D1969">
        <f>IF(B1969=1,INDEX('Data Entry'!$H$5:$BE$10004,1969-4,'Visual SPC'!$B$3),"")</f>
        <v/>
      </c>
      <c r="E1969">
        <f>IF(B1969=1,D1969,E1968)</f>
        <v/>
      </c>
      <c r="F1969">
        <f>IF(AND(B1969=1,C1969&gt;1,E1968&lt;&gt;""),ABS(D1969-E1968),"")</f>
        <v/>
      </c>
    </row>
    <row r="1970">
      <c r="A1970" t="n">
        <v>1970</v>
      </c>
      <c r="B1970">
        <f>IF(INDEX('Data Entry'!$H$5:$BE$10004,1970-4,'Visual SPC'!$B$3)="",0,IF(AND(OR('Visual SPC'!$C$4="",'Data Entry'!$C1970&gt;='Visual SPC'!$C$4),OR('Visual SPC'!$E$4="",'Data Entry'!$C1970&lt;='Visual SPC'!$E$4),OR('Visual SPC'!$G$4="",'Data Entry'!$D1970='Visual SPC'!$G$4),OR('Visual SPC'!$I$4="",'Data Entry'!$E1970='Visual SPC'!$I$4),OR('Visual SPC'!$K$4="",'Data Entry'!$F1970='Visual SPC'!$K$4)),1,0))</f>
        <v/>
      </c>
      <c r="C1970">
        <f>C1969+B1970</f>
        <v/>
      </c>
      <c r="D1970">
        <f>IF(B1970=1,INDEX('Data Entry'!$H$5:$BE$10004,1970-4,'Visual SPC'!$B$3),"")</f>
        <v/>
      </c>
      <c r="E1970">
        <f>IF(B1970=1,D1970,E1969)</f>
        <v/>
      </c>
      <c r="F1970">
        <f>IF(AND(B1970=1,C1970&gt;1,E1969&lt;&gt;""),ABS(D1970-E1969),"")</f>
        <v/>
      </c>
    </row>
    <row r="1971">
      <c r="A1971" t="n">
        <v>1971</v>
      </c>
      <c r="B1971">
        <f>IF(INDEX('Data Entry'!$H$5:$BE$10004,1971-4,'Visual SPC'!$B$3)="",0,IF(AND(OR('Visual SPC'!$C$4="",'Data Entry'!$C1971&gt;='Visual SPC'!$C$4),OR('Visual SPC'!$E$4="",'Data Entry'!$C1971&lt;='Visual SPC'!$E$4),OR('Visual SPC'!$G$4="",'Data Entry'!$D1971='Visual SPC'!$G$4),OR('Visual SPC'!$I$4="",'Data Entry'!$E1971='Visual SPC'!$I$4),OR('Visual SPC'!$K$4="",'Data Entry'!$F1971='Visual SPC'!$K$4)),1,0))</f>
        <v/>
      </c>
      <c r="C1971">
        <f>C1970+B1971</f>
        <v/>
      </c>
      <c r="D1971">
        <f>IF(B1971=1,INDEX('Data Entry'!$H$5:$BE$10004,1971-4,'Visual SPC'!$B$3),"")</f>
        <v/>
      </c>
      <c r="E1971">
        <f>IF(B1971=1,D1971,E1970)</f>
        <v/>
      </c>
      <c r="F1971">
        <f>IF(AND(B1971=1,C1971&gt;1,E1970&lt;&gt;""),ABS(D1971-E1970),"")</f>
        <v/>
      </c>
    </row>
    <row r="1972">
      <c r="A1972" t="n">
        <v>1972</v>
      </c>
      <c r="B1972">
        <f>IF(INDEX('Data Entry'!$H$5:$BE$10004,1972-4,'Visual SPC'!$B$3)="",0,IF(AND(OR('Visual SPC'!$C$4="",'Data Entry'!$C1972&gt;='Visual SPC'!$C$4),OR('Visual SPC'!$E$4="",'Data Entry'!$C1972&lt;='Visual SPC'!$E$4),OR('Visual SPC'!$G$4="",'Data Entry'!$D1972='Visual SPC'!$G$4),OR('Visual SPC'!$I$4="",'Data Entry'!$E1972='Visual SPC'!$I$4),OR('Visual SPC'!$K$4="",'Data Entry'!$F1972='Visual SPC'!$K$4)),1,0))</f>
        <v/>
      </c>
      <c r="C1972">
        <f>C1971+B1972</f>
        <v/>
      </c>
      <c r="D1972">
        <f>IF(B1972=1,INDEX('Data Entry'!$H$5:$BE$10004,1972-4,'Visual SPC'!$B$3),"")</f>
        <v/>
      </c>
      <c r="E1972">
        <f>IF(B1972=1,D1972,E1971)</f>
        <v/>
      </c>
      <c r="F1972">
        <f>IF(AND(B1972=1,C1972&gt;1,E1971&lt;&gt;""),ABS(D1972-E1971),"")</f>
        <v/>
      </c>
    </row>
    <row r="1973">
      <c r="A1973" t="n">
        <v>1973</v>
      </c>
      <c r="B1973">
        <f>IF(INDEX('Data Entry'!$H$5:$BE$10004,1973-4,'Visual SPC'!$B$3)="",0,IF(AND(OR('Visual SPC'!$C$4="",'Data Entry'!$C1973&gt;='Visual SPC'!$C$4),OR('Visual SPC'!$E$4="",'Data Entry'!$C1973&lt;='Visual SPC'!$E$4),OR('Visual SPC'!$G$4="",'Data Entry'!$D1973='Visual SPC'!$G$4),OR('Visual SPC'!$I$4="",'Data Entry'!$E1973='Visual SPC'!$I$4),OR('Visual SPC'!$K$4="",'Data Entry'!$F1973='Visual SPC'!$K$4)),1,0))</f>
        <v/>
      </c>
      <c r="C1973">
        <f>C1972+B1973</f>
        <v/>
      </c>
      <c r="D1973">
        <f>IF(B1973=1,INDEX('Data Entry'!$H$5:$BE$10004,1973-4,'Visual SPC'!$B$3),"")</f>
        <v/>
      </c>
      <c r="E1973">
        <f>IF(B1973=1,D1973,E1972)</f>
        <v/>
      </c>
      <c r="F1973">
        <f>IF(AND(B1973=1,C1973&gt;1,E1972&lt;&gt;""),ABS(D1973-E1972),"")</f>
        <v/>
      </c>
    </row>
    <row r="1974">
      <c r="A1974" t="n">
        <v>1974</v>
      </c>
      <c r="B1974">
        <f>IF(INDEX('Data Entry'!$H$5:$BE$10004,1974-4,'Visual SPC'!$B$3)="",0,IF(AND(OR('Visual SPC'!$C$4="",'Data Entry'!$C1974&gt;='Visual SPC'!$C$4),OR('Visual SPC'!$E$4="",'Data Entry'!$C1974&lt;='Visual SPC'!$E$4),OR('Visual SPC'!$G$4="",'Data Entry'!$D1974='Visual SPC'!$G$4),OR('Visual SPC'!$I$4="",'Data Entry'!$E1974='Visual SPC'!$I$4),OR('Visual SPC'!$K$4="",'Data Entry'!$F1974='Visual SPC'!$K$4)),1,0))</f>
        <v/>
      </c>
      <c r="C1974">
        <f>C1973+B1974</f>
        <v/>
      </c>
      <c r="D1974">
        <f>IF(B1974=1,INDEX('Data Entry'!$H$5:$BE$10004,1974-4,'Visual SPC'!$B$3),"")</f>
        <v/>
      </c>
      <c r="E1974">
        <f>IF(B1974=1,D1974,E1973)</f>
        <v/>
      </c>
      <c r="F1974">
        <f>IF(AND(B1974=1,C1974&gt;1,E1973&lt;&gt;""),ABS(D1974-E1973),"")</f>
        <v/>
      </c>
    </row>
    <row r="1975">
      <c r="A1975" t="n">
        <v>1975</v>
      </c>
      <c r="B1975">
        <f>IF(INDEX('Data Entry'!$H$5:$BE$10004,1975-4,'Visual SPC'!$B$3)="",0,IF(AND(OR('Visual SPC'!$C$4="",'Data Entry'!$C1975&gt;='Visual SPC'!$C$4),OR('Visual SPC'!$E$4="",'Data Entry'!$C1975&lt;='Visual SPC'!$E$4),OR('Visual SPC'!$G$4="",'Data Entry'!$D1975='Visual SPC'!$G$4),OR('Visual SPC'!$I$4="",'Data Entry'!$E1975='Visual SPC'!$I$4),OR('Visual SPC'!$K$4="",'Data Entry'!$F1975='Visual SPC'!$K$4)),1,0))</f>
        <v/>
      </c>
      <c r="C1975">
        <f>C1974+B1975</f>
        <v/>
      </c>
      <c r="D1975">
        <f>IF(B1975=1,INDEX('Data Entry'!$H$5:$BE$10004,1975-4,'Visual SPC'!$B$3),"")</f>
        <v/>
      </c>
      <c r="E1975">
        <f>IF(B1975=1,D1975,E1974)</f>
        <v/>
      </c>
      <c r="F1975">
        <f>IF(AND(B1975=1,C1975&gt;1,E1974&lt;&gt;""),ABS(D1975-E1974),"")</f>
        <v/>
      </c>
    </row>
    <row r="1976">
      <c r="A1976" t="n">
        <v>1976</v>
      </c>
      <c r="B1976">
        <f>IF(INDEX('Data Entry'!$H$5:$BE$10004,1976-4,'Visual SPC'!$B$3)="",0,IF(AND(OR('Visual SPC'!$C$4="",'Data Entry'!$C1976&gt;='Visual SPC'!$C$4),OR('Visual SPC'!$E$4="",'Data Entry'!$C1976&lt;='Visual SPC'!$E$4),OR('Visual SPC'!$G$4="",'Data Entry'!$D1976='Visual SPC'!$G$4),OR('Visual SPC'!$I$4="",'Data Entry'!$E1976='Visual SPC'!$I$4),OR('Visual SPC'!$K$4="",'Data Entry'!$F1976='Visual SPC'!$K$4)),1,0))</f>
        <v/>
      </c>
      <c r="C1976">
        <f>C1975+B1976</f>
        <v/>
      </c>
      <c r="D1976">
        <f>IF(B1976=1,INDEX('Data Entry'!$H$5:$BE$10004,1976-4,'Visual SPC'!$B$3),"")</f>
        <v/>
      </c>
      <c r="E1976">
        <f>IF(B1976=1,D1976,E1975)</f>
        <v/>
      </c>
      <c r="F1976">
        <f>IF(AND(B1976=1,C1976&gt;1,E1975&lt;&gt;""),ABS(D1976-E1975),"")</f>
        <v/>
      </c>
    </row>
    <row r="1977">
      <c r="A1977" t="n">
        <v>1977</v>
      </c>
      <c r="B1977">
        <f>IF(INDEX('Data Entry'!$H$5:$BE$10004,1977-4,'Visual SPC'!$B$3)="",0,IF(AND(OR('Visual SPC'!$C$4="",'Data Entry'!$C1977&gt;='Visual SPC'!$C$4),OR('Visual SPC'!$E$4="",'Data Entry'!$C1977&lt;='Visual SPC'!$E$4),OR('Visual SPC'!$G$4="",'Data Entry'!$D1977='Visual SPC'!$G$4),OR('Visual SPC'!$I$4="",'Data Entry'!$E1977='Visual SPC'!$I$4),OR('Visual SPC'!$K$4="",'Data Entry'!$F1977='Visual SPC'!$K$4)),1,0))</f>
        <v/>
      </c>
      <c r="C1977">
        <f>C1976+B1977</f>
        <v/>
      </c>
      <c r="D1977">
        <f>IF(B1977=1,INDEX('Data Entry'!$H$5:$BE$10004,1977-4,'Visual SPC'!$B$3),"")</f>
        <v/>
      </c>
      <c r="E1977">
        <f>IF(B1977=1,D1977,E1976)</f>
        <v/>
      </c>
      <c r="F1977">
        <f>IF(AND(B1977=1,C1977&gt;1,E1976&lt;&gt;""),ABS(D1977-E1976),"")</f>
        <v/>
      </c>
    </row>
    <row r="1978">
      <c r="A1978" t="n">
        <v>1978</v>
      </c>
      <c r="B1978">
        <f>IF(INDEX('Data Entry'!$H$5:$BE$10004,1978-4,'Visual SPC'!$B$3)="",0,IF(AND(OR('Visual SPC'!$C$4="",'Data Entry'!$C1978&gt;='Visual SPC'!$C$4),OR('Visual SPC'!$E$4="",'Data Entry'!$C1978&lt;='Visual SPC'!$E$4),OR('Visual SPC'!$G$4="",'Data Entry'!$D1978='Visual SPC'!$G$4),OR('Visual SPC'!$I$4="",'Data Entry'!$E1978='Visual SPC'!$I$4),OR('Visual SPC'!$K$4="",'Data Entry'!$F1978='Visual SPC'!$K$4)),1,0))</f>
        <v/>
      </c>
      <c r="C1978">
        <f>C1977+B1978</f>
        <v/>
      </c>
      <c r="D1978">
        <f>IF(B1978=1,INDEX('Data Entry'!$H$5:$BE$10004,1978-4,'Visual SPC'!$B$3),"")</f>
        <v/>
      </c>
      <c r="E1978">
        <f>IF(B1978=1,D1978,E1977)</f>
        <v/>
      </c>
      <c r="F1978">
        <f>IF(AND(B1978=1,C1978&gt;1,E1977&lt;&gt;""),ABS(D1978-E1977),"")</f>
        <v/>
      </c>
    </row>
    <row r="1979">
      <c r="A1979" t="n">
        <v>1979</v>
      </c>
      <c r="B1979">
        <f>IF(INDEX('Data Entry'!$H$5:$BE$10004,1979-4,'Visual SPC'!$B$3)="",0,IF(AND(OR('Visual SPC'!$C$4="",'Data Entry'!$C1979&gt;='Visual SPC'!$C$4),OR('Visual SPC'!$E$4="",'Data Entry'!$C1979&lt;='Visual SPC'!$E$4),OR('Visual SPC'!$G$4="",'Data Entry'!$D1979='Visual SPC'!$G$4),OR('Visual SPC'!$I$4="",'Data Entry'!$E1979='Visual SPC'!$I$4),OR('Visual SPC'!$K$4="",'Data Entry'!$F1979='Visual SPC'!$K$4)),1,0))</f>
        <v/>
      </c>
      <c r="C1979">
        <f>C1978+B1979</f>
        <v/>
      </c>
      <c r="D1979">
        <f>IF(B1979=1,INDEX('Data Entry'!$H$5:$BE$10004,1979-4,'Visual SPC'!$B$3),"")</f>
        <v/>
      </c>
      <c r="E1979">
        <f>IF(B1979=1,D1979,E1978)</f>
        <v/>
      </c>
      <c r="F1979">
        <f>IF(AND(B1979=1,C1979&gt;1,E1978&lt;&gt;""),ABS(D1979-E1978),"")</f>
        <v/>
      </c>
    </row>
    <row r="1980">
      <c r="A1980" t="n">
        <v>1980</v>
      </c>
      <c r="B1980">
        <f>IF(INDEX('Data Entry'!$H$5:$BE$10004,1980-4,'Visual SPC'!$B$3)="",0,IF(AND(OR('Visual SPC'!$C$4="",'Data Entry'!$C1980&gt;='Visual SPC'!$C$4),OR('Visual SPC'!$E$4="",'Data Entry'!$C1980&lt;='Visual SPC'!$E$4),OR('Visual SPC'!$G$4="",'Data Entry'!$D1980='Visual SPC'!$G$4),OR('Visual SPC'!$I$4="",'Data Entry'!$E1980='Visual SPC'!$I$4),OR('Visual SPC'!$K$4="",'Data Entry'!$F1980='Visual SPC'!$K$4)),1,0))</f>
        <v/>
      </c>
      <c r="C1980">
        <f>C1979+B1980</f>
        <v/>
      </c>
      <c r="D1980">
        <f>IF(B1980=1,INDEX('Data Entry'!$H$5:$BE$10004,1980-4,'Visual SPC'!$B$3),"")</f>
        <v/>
      </c>
      <c r="E1980">
        <f>IF(B1980=1,D1980,E1979)</f>
        <v/>
      </c>
      <c r="F1980">
        <f>IF(AND(B1980=1,C1980&gt;1,E1979&lt;&gt;""),ABS(D1980-E1979),"")</f>
        <v/>
      </c>
    </row>
    <row r="1981">
      <c r="A1981" t="n">
        <v>1981</v>
      </c>
      <c r="B1981">
        <f>IF(INDEX('Data Entry'!$H$5:$BE$10004,1981-4,'Visual SPC'!$B$3)="",0,IF(AND(OR('Visual SPC'!$C$4="",'Data Entry'!$C1981&gt;='Visual SPC'!$C$4),OR('Visual SPC'!$E$4="",'Data Entry'!$C1981&lt;='Visual SPC'!$E$4),OR('Visual SPC'!$G$4="",'Data Entry'!$D1981='Visual SPC'!$G$4),OR('Visual SPC'!$I$4="",'Data Entry'!$E1981='Visual SPC'!$I$4),OR('Visual SPC'!$K$4="",'Data Entry'!$F1981='Visual SPC'!$K$4)),1,0))</f>
        <v/>
      </c>
      <c r="C1981">
        <f>C1980+B1981</f>
        <v/>
      </c>
      <c r="D1981">
        <f>IF(B1981=1,INDEX('Data Entry'!$H$5:$BE$10004,1981-4,'Visual SPC'!$B$3),"")</f>
        <v/>
      </c>
      <c r="E1981">
        <f>IF(B1981=1,D1981,E1980)</f>
        <v/>
      </c>
      <c r="F1981">
        <f>IF(AND(B1981=1,C1981&gt;1,E1980&lt;&gt;""),ABS(D1981-E1980),"")</f>
        <v/>
      </c>
    </row>
    <row r="1982">
      <c r="A1982" t="n">
        <v>1982</v>
      </c>
      <c r="B1982">
        <f>IF(INDEX('Data Entry'!$H$5:$BE$10004,1982-4,'Visual SPC'!$B$3)="",0,IF(AND(OR('Visual SPC'!$C$4="",'Data Entry'!$C1982&gt;='Visual SPC'!$C$4),OR('Visual SPC'!$E$4="",'Data Entry'!$C1982&lt;='Visual SPC'!$E$4),OR('Visual SPC'!$G$4="",'Data Entry'!$D1982='Visual SPC'!$G$4),OR('Visual SPC'!$I$4="",'Data Entry'!$E1982='Visual SPC'!$I$4),OR('Visual SPC'!$K$4="",'Data Entry'!$F1982='Visual SPC'!$K$4)),1,0))</f>
        <v/>
      </c>
      <c r="C1982">
        <f>C1981+B1982</f>
        <v/>
      </c>
      <c r="D1982">
        <f>IF(B1982=1,INDEX('Data Entry'!$H$5:$BE$10004,1982-4,'Visual SPC'!$B$3),"")</f>
        <v/>
      </c>
      <c r="E1982">
        <f>IF(B1982=1,D1982,E1981)</f>
        <v/>
      </c>
      <c r="F1982">
        <f>IF(AND(B1982=1,C1982&gt;1,E1981&lt;&gt;""),ABS(D1982-E1981),"")</f>
        <v/>
      </c>
    </row>
    <row r="1983">
      <c r="A1983" t="n">
        <v>1983</v>
      </c>
      <c r="B1983">
        <f>IF(INDEX('Data Entry'!$H$5:$BE$10004,1983-4,'Visual SPC'!$B$3)="",0,IF(AND(OR('Visual SPC'!$C$4="",'Data Entry'!$C1983&gt;='Visual SPC'!$C$4),OR('Visual SPC'!$E$4="",'Data Entry'!$C1983&lt;='Visual SPC'!$E$4),OR('Visual SPC'!$G$4="",'Data Entry'!$D1983='Visual SPC'!$G$4),OR('Visual SPC'!$I$4="",'Data Entry'!$E1983='Visual SPC'!$I$4),OR('Visual SPC'!$K$4="",'Data Entry'!$F1983='Visual SPC'!$K$4)),1,0))</f>
        <v/>
      </c>
      <c r="C1983">
        <f>C1982+B1983</f>
        <v/>
      </c>
      <c r="D1983">
        <f>IF(B1983=1,INDEX('Data Entry'!$H$5:$BE$10004,1983-4,'Visual SPC'!$B$3),"")</f>
        <v/>
      </c>
      <c r="E1983">
        <f>IF(B1983=1,D1983,E1982)</f>
        <v/>
      </c>
      <c r="F1983">
        <f>IF(AND(B1983=1,C1983&gt;1,E1982&lt;&gt;""),ABS(D1983-E1982),"")</f>
        <v/>
      </c>
    </row>
    <row r="1984">
      <c r="A1984" t="n">
        <v>1984</v>
      </c>
      <c r="B1984">
        <f>IF(INDEX('Data Entry'!$H$5:$BE$10004,1984-4,'Visual SPC'!$B$3)="",0,IF(AND(OR('Visual SPC'!$C$4="",'Data Entry'!$C1984&gt;='Visual SPC'!$C$4),OR('Visual SPC'!$E$4="",'Data Entry'!$C1984&lt;='Visual SPC'!$E$4),OR('Visual SPC'!$G$4="",'Data Entry'!$D1984='Visual SPC'!$G$4),OR('Visual SPC'!$I$4="",'Data Entry'!$E1984='Visual SPC'!$I$4),OR('Visual SPC'!$K$4="",'Data Entry'!$F1984='Visual SPC'!$K$4)),1,0))</f>
        <v/>
      </c>
      <c r="C1984">
        <f>C1983+B1984</f>
        <v/>
      </c>
      <c r="D1984">
        <f>IF(B1984=1,INDEX('Data Entry'!$H$5:$BE$10004,1984-4,'Visual SPC'!$B$3),"")</f>
        <v/>
      </c>
      <c r="E1984">
        <f>IF(B1984=1,D1984,E1983)</f>
        <v/>
      </c>
      <c r="F1984">
        <f>IF(AND(B1984=1,C1984&gt;1,E1983&lt;&gt;""),ABS(D1984-E1983),"")</f>
        <v/>
      </c>
    </row>
    <row r="1985">
      <c r="A1985" t="n">
        <v>1985</v>
      </c>
      <c r="B1985">
        <f>IF(INDEX('Data Entry'!$H$5:$BE$10004,1985-4,'Visual SPC'!$B$3)="",0,IF(AND(OR('Visual SPC'!$C$4="",'Data Entry'!$C1985&gt;='Visual SPC'!$C$4),OR('Visual SPC'!$E$4="",'Data Entry'!$C1985&lt;='Visual SPC'!$E$4),OR('Visual SPC'!$G$4="",'Data Entry'!$D1985='Visual SPC'!$G$4),OR('Visual SPC'!$I$4="",'Data Entry'!$E1985='Visual SPC'!$I$4),OR('Visual SPC'!$K$4="",'Data Entry'!$F1985='Visual SPC'!$K$4)),1,0))</f>
        <v/>
      </c>
      <c r="C1985">
        <f>C1984+B1985</f>
        <v/>
      </c>
      <c r="D1985">
        <f>IF(B1985=1,INDEX('Data Entry'!$H$5:$BE$10004,1985-4,'Visual SPC'!$B$3),"")</f>
        <v/>
      </c>
      <c r="E1985">
        <f>IF(B1985=1,D1985,E1984)</f>
        <v/>
      </c>
      <c r="F1985">
        <f>IF(AND(B1985=1,C1985&gt;1,E1984&lt;&gt;""),ABS(D1985-E1984),"")</f>
        <v/>
      </c>
    </row>
    <row r="1986">
      <c r="A1986" t="n">
        <v>1986</v>
      </c>
      <c r="B1986">
        <f>IF(INDEX('Data Entry'!$H$5:$BE$10004,1986-4,'Visual SPC'!$B$3)="",0,IF(AND(OR('Visual SPC'!$C$4="",'Data Entry'!$C1986&gt;='Visual SPC'!$C$4),OR('Visual SPC'!$E$4="",'Data Entry'!$C1986&lt;='Visual SPC'!$E$4),OR('Visual SPC'!$G$4="",'Data Entry'!$D1986='Visual SPC'!$G$4),OR('Visual SPC'!$I$4="",'Data Entry'!$E1986='Visual SPC'!$I$4),OR('Visual SPC'!$K$4="",'Data Entry'!$F1986='Visual SPC'!$K$4)),1,0))</f>
        <v/>
      </c>
      <c r="C1986">
        <f>C1985+B1986</f>
        <v/>
      </c>
      <c r="D1986">
        <f>IF(B1986=1,INDEX('Data Entry'!$H$5:$BE$10004,1986-4,'Visual SPC'!$B$3),"")</f>
        <v/>
      </c>
      <c r="E1986">
        <f>IF(B1986=1,D1986,E1985)</f>
        <v/>
      </c>
      <c r="F1986">
        <f>IF(AND(B1986=1,C1986&gt;1,E1985&lt;&gt;""),ABS(D1986-E1985),"")</f>
        <v/>
      </c>
    </row>
    <row r="1987">
      <c r="A1987" t="n">
        <v>1987</v>
      </c>
      <c r="B1987">
        <f>IF(INDEX('Data Entry'!$H$5:$BE$10004,1987-4,'Visual SPC'!$B$3)="",0,IF(AND(OR('Visual SPC'!$C$4="",'Data Entry'!$C1987&gt;='Visual SPC'!$C$4),OR('Visual SPC'!$E$4="",'Data Entry'!$C1987&lt;='Visual SPC'!$E$4),OR('Visual SPC'!$G$4="",'Data Entry'!$D1987='Visual SPC'!$G$4),OR('Visual SPC'!$I$4="",'Data Entry'!$E1987='Visual SPC'!$I$4),OR('Visual SPC'!$K$4="",'Data Entry'!$F1987='Visual SPC'!$K$4)),1,0))</f>
        <v/>
      </c>
      <c r="C1987">
        <f>C1986+B1987</f>
        <v/>
      </c>
      <c r="D1987">
        <f>IF(B1987=1,INDEX('Data Entry'!$H$5:$BE$10004,1987-4,'Visual SPC'!$B$3),"")</f>
        <v/>
      </c>
      <c r="E1987">
        <f>IF(B1987=1,D1987,E1986)</f>
        <v/>
      </c>
      <c r="F1987">
        <f>IF(AND(B1987=1,C1987&gt;1,E1986&lt;&gt;""),ABS(D1987-E1986),"")</f>
        <v/>
      </c>
    </row>
    <row r="1988">
      <c r="A1988" t="n">
        <v>1988</v>
      </c>
      <c r="B1988">
        <f>IF(INDEX('Data Entry'!$H$5:$BE$10004,1988-4,'Visual SPC'!$B$3)="",0,IF(AND(OR('Visual SPC'!$C$4="",'Data Entry'!$C1988&gt;='Visual SPC'!$C$4),OR('Visual SPC'!$E$4="",'Data Entry'!$C1988&lt;='Visual SPC'!$E$4),OR('Visual SPC'!$G$4="",'Data Entry'!$D1988='Visual SPC'!$G$4),OR('Visual SPC'!$I$4="",'Data Entry'!$E1988='Visual SPC'!$I$4),OR('Visual SPC'!$K$4="",'Data Entry'!$F1988='Visual SPC'!$K$4)),1,0))</f>
        <v/>
      </c>
      <c r="C1988">
        <f>C1987+B1988</f>
        <v/>
      </c>
      <c r="D1988">
        <f>IF(B1988=1,INDEX('Data Entry'!$H$5:$BE$10004,1988-4,'Visual SPC'!$B$3),"")</f>
        <v/>
      </c>
      <c r="E1988">
        <f>IF(B1988=1,D1988,E1987)</f>
        <v/>
      </c>
      <c r="F1988">
        <f>IF(AND(B1988=1,C1988&gt;1,E1987&lt;&gt;""),ABS(D1988-E1987),"")</f>
        <v/>
      </c>
    </row>
    <row r="1989">
      <c r="A1989" t="n">
        <v>1989</v>
      </c>
      <c r="B1989">
        <f>IF(INDEX('Data Entry'!$H$5:$BE$10004,1989-4,'Visual SPC'!$B$3)="",0,IF(AND(OR('Visual SPC'!$C$4="",'Data Entry'!$C1989&gt;='Visual SPC'!$C$4),OR('Visual SPC'!$E$4="",'Data Entry'!$C1989&lt;='Visual SPC'!$E$4),OR('Visual SPC'!$G$4="",'Data Entry'!$D1989='Visual SPC'!$G$4),OR('Visual SPC'!$I$4="",'Data Entry'!$E1989='Visual SPC'!$I$4),OR('Visual SPC'!$K$4="",'Data Entry'!$F1989='Visual SPC'!$K$4)),1,0))</f>
        <v/>
      </c>
      <c r="C1989">
        <f>C1988+B1989</f>
        <v/>
      </c>
      <c r="D1989">
        <f>IF(B1989=1,INDEX('Data Entry'!$H$5:$BE$10004,1989-4,'Visual SPC'!$B$3),"")</f>
        <v/>
      </c>
      <c r="E1989">
        <f>IF(B1989=1,D1989,E1988)</f>
        <v/>
      </c>
      <c r="F1989">
        <f>IF(AND(B1989=1,C1989&gt;1,E1988&lt;&gt;""),ABS(D1989-E1988),"")</f>
        <v/>
      </c>
    </row>
    <row r="1990">
      <c r="A1990" t="n">
        <v>1990</v>
      </c>
      <c r="B1990">
        <f>IF(INDEX('Data Entry'!$H$5:$BE$10004,1990-4,'Visual SPC'!$B$3)="",0,IF(AND(OR('Visual SPC'!$C$4="",'Data Entry'!$C1990&gt;='Visual SPC'!$C$4),OR('Visual SPC'!$E$4="",'Data Entry'!$C1990&lt;='Visual SPC'!$E$4),OR('Visual SPC'!$G$4="",'Data Entry'!$D1990='Visual SPC'!$G$4),OR('Visual SPC'!$I$4="",'Data Entry'!$E1990='Visual SPC'!$I$4),OR('Visual SPC'!$K$4="",'Data Entry'!$F1990='Visual SPC'!$K$4)),1,0))</f>
        <v/>
      </c>
      <c r="C1990">
        <f>C1989+B1990</f>
        <v/>
      </c>
      <c r="D1990">
        <f>IF(B1990=1,INDEX('Data Entry'!$H$5:$BE$10004,1990-4,'Visual SPC'!$B$3),"")</f>
        <v/>
      </c>
      <c r="E1990">
        <f>IF(B1990=1,D1990,E1989)</f>
        <v/>
      </c>
      <c r="F1990">
        <f>IF(AND(B1990=1,C1990&gt;1,E1989&lt;&gt;""),ABS(D1990-E1989),"")</f>
        <v/>
      </c>
    </row>
    <row r="1991">
      <c r="A1991" t="n">
        <v>1991</v>
      </c>
      <c r="B1991">
        <f>IF(INDEX('Data Entry'!$H$5:$BE$10004,1991-4,'Visual SPC'!$B$3)="",0,IF(AND(OR('Visual SPC'!$C$4="",'Data Entry'!$C1991&gt;='Visual SPC'!$C$4),OR('Visual SPC'!$E$4="",'Data Entry'!$C1991&lt;='Visual SPC'!$E$4),OR('Visual SPC'!$G$4="",'Data Entry'!$D1991='Visual SPC'!$G$4),OR('Visual SPC'!$I$4="",'Data Entry'!$E1991='Visual SPC'!$I$4),OR('Visual SPC'!$K$4="",'Data Entry'!$F1991='Visual SPC'!$K$4)),1,0))</f>
        <v/>
      </c>
      <c r="C1991">
        <f>C1990+B1991</f>
        <v/>
      </c>
      <c r="D1991">
        <f>IF(B1991=1,INDEX('Data Entry'!$H$5:$BE$10004,1991-4,'Visual SPC'!$B$3),"")</f>
        <v/>
      </c>
      <c r="E1991">
        <f>IF(B1991=1,D1991,E1990)</f>
        <v/>
      </c>
      <c r="F1991">
        <f>IF(AND(B1991=1,C1991&gt;1,E1990&lt;&gt;""),ABS(D1991-E1990),"")</f>
        <v/>
      </c>
    </row>
    <row r="1992">
      <c r="A1992" t="n">
        <v>1992</v>
      </c>
      <c r="B1992">
        <f>IF(INDEX('Data Entry'!$H$5:$BE$10004,1992-4,'Visual SPC'!$B$3)="",0,IF(AND(OR('Visual SPC'!$C$4="",'Data Entry'!$C1992&gt;='Visual SPC'!$C$4),OR('Visual SPC'!$E$4="",'Data Entry'!$C1992&lt;='Visual SPC'!$E$4),OR('Visual SPC'!$G$4="",'Data Entry'!$D1992='Visual SPC'!$G$4),OR('Visual SPC'!$I$4="",'Data Entry'!$E1992='Visual SPC'!$I$4),OR('Visual SPC'!$K$4="",'Data Entry'!$F1992='Visual SPC'!$K$4)),1,0))</f>
        <v/>
      </c>
      <c r="C1992">
        <f>C1991+B1992</f>
        <v/>
      </c>
      <c r="D1992">
        <f>IF(B1992=1,INDEX('Data Entry'!$H$5:$BE$10004,1992-4,'Visual SPC'!$B$3),"")</f>
        <v/>
      </c>
      <c r="E1992">
        <f>IF(B1992=1,D1992,E1991)</f>
        <v/>
      </c>
      <c r="F1992">
        <f>IF(AND(B1992=1,C1992&gt;1,E1991&lt;&gt;""),ABS(D1992-E1991),"")</f>
        <v/>
      </c>
    </row>
    <row r="1993">
      <c r="A1993" t="n">
        <v>1993</v>
      </c>
      <c r="B1993">
        <f>IF(INDEX('Data Entry'!$H$5:$BE$10004,1993-4,'Visual SPC'!$B$3)="",0,IF(AND(OR('Visual SPC'!$C$4="",'Data Entry'!$C1993&gt;='Visual SPC'!$C$4),OR('Visual SPC'!$E$4="",'Data Entry'!$C1993&lt;='Visual SPC'!$E$4),OR('Visual SPC'!$G$4="",'Data Entry'!$D1993='Visual SPC'!$G$4),OR('Visual SPC'!$I$4="",'Data Entry'!$E1993='Visual SPC'!$I$4),OR('Visual SPC'!$K$4="",'Data Entry'!$F1993='Visual SPC'!$K$4)),1,0))</f>
        <v/>
      </c>
      <c r="C1993">
        <f>C1992+B1993</f>
        <v/>
      </c>
      <c r="D1993">
        <f>IF(B1993=1,INDEX('Data Entry'!$H$5:$BE$10004,1993-4,'Visual SPC'!$B$3),"")</f>
        <v/>
      </c>
      <c r="E1993">
        <f>IF(B1993=1,D1993,E1992)</f>
        <v/>
      </c>
      <c r="F1993">
        <f>IF(AND(B1993=1,C1993&gt;1,E1992&lt;&gt;""),ABS(D1993-E1992),"")</f>
        <v/>
      </c>
    </row>
    <row r="1994">
      <c r="A1994" t="n">
        <v>1994</v>
      </c>
      <c r="B1994">
        <f>IF(INDEX('Data Entry'!$H$5:$BE$10004,1994-4,'Visual SPC'!$B$3)="",0,IF(AND(OR('Visual SPC'!$C$4="",'Data Entry'!$C1994&gt;='Visual SPC'!$C$4),OR('Visual SPC'!$E$4="",'Data Entry'!$C1994&lt;='Visual SPC'!$E$4),OR('Visual SPC'!$G$4="",'Data Entry'!$D1994='Visual SPC'!$G$4),OR('Visual SPC'!$I$4="",'Data Entry'!$E1994='Visual SPC'!$I$4),OR('Visual SPC'!$K$4="",'Data Entry'!$F1994='Visual SPC'!$K$4)),1,0))</f>
        <v/>
      </c>
      <c r="C1994">
        <f>C1993+B1994</f>
        <v/>
      </c>
      <c r="D1994">
        <f>IF(B1994=1,INDEX('Data Entry'!$H$5:$BE$10004,1994-4,'Visual SPC'!$B$3),"")</f>
        <v/>
      </c>
      <c r="E1994">
        <f>IF(B1994=1,D1994,E1993)</f>
        <v/>
      </c>
      <c r="F1994">
        <f>IF(AND(B1994=1,C1994&gt;1,E1993&lt;&gt;""),ABS(D1994-E1993),"")</f>
        <v/>
      </c>
    </row>
    <row r="1995">
      <c r="A1995" t="n">
        <v>1995</v>
      </c>
      <c r="B1995">
        <f>IF(INDEX('Data Entry'!$H$5:$BE$10004,1995-4,'Visual SPC'!$B$3)="",0,IF(AND(OR('Visual SPC'!$C$4="",'Data Entry'!$C1995&gt;='Visual SPC'!$C$4),OR('Visual SPC'!$E$4="",'Data Entry'!$C1995&lt;='Visual SPC'!$E$4),OR('Visual SPC'!$G$4="",'Data Entry'!$D1995='Visual SPC'!$G$4),OR('Visual SPC'!$I$4="",'Data Entry'!$E1995='Visual SPC'!$I$4),OR('Visual SPC'!$K$4="",'Data Entry'!$F1995='Visual SPC'!$K$4)),1,0))</f>
        <v/>
      </c>
      <c r="C1995">
        <f>C1994+B1995</f>
        <v/>
      </c>
      <c r="D1995">
        <f>IF(B1995=1,INDEX('Data Entry'!$H$5:$BE$10004,1995-4,'Visual SPC'!$B$3),"")</f>
        <v/>
      </c>
      <c r="E1995">
        <f>IF(B1995=1,D1995,E1994)</f>
        <v/>
      </c>
      <c r="F1995">
        <f>IF(AND(B1995=1,C1995&gt;1,E1994&lt;&gt;""),ABS(D1995-E1994),"")</f>
        <v/>
      </c>
    </row>
    <row r="1996">
      <c r="A1996" t="n">
        <v>1996</v>
      </c>
      <c r="B1996">
        <f>IF(INDEX('Data Entry'!$H$5:$BE$10004,1996-4,'Visual SPC'!$B$3)="",0,IF(AND(OR('Visual SPC'!$C$4="",'Data Entry'!$C1996&gt;='Visual SPC'!$C$4),OR('Visual SPC'!$E$4="",'Data Entry'!$C1996&lt;='Visual SPC'!$E$4),OR('Visual SPC'!$G$4="",'Data Entry'!$D1996='Visual SPC'!$G$4),OR('Visual SPC'!$I$4="",'Data Entry'!$E1996='Visual SPC'!$I$4),OR('Visual SPC'!$K$4="",'Data Entry'!$F1996='Visual SPC'!$K$4)),1,0))</f>
        <v/>
      </c>
      <c r="C1996">
        <f>C1995+B1996</f>
        <v/>
      </c>
      <c r="D1996">
        <f>IF(B1996=1,INDEX('Data Entry'!$H$5:$BE$10004,1996-4,'Visual SPC'!$B$3),"")</f>
        <v/>
      </c>
      <c r="E1996">
        <f>IF(B1996=1,D1996,E1995)</f>
        <v/>
      </c>
      <c r="F1996">
        <f>IF(AND(B1996=1,C1996&gt;1,E1995&lt;&gt;""),ABS(D1996-E1995),"")</f>
        <v/>
      </c>
    </row>
    <row r="1997">
      <c r="A1997" t="n">
        <v>1997</v>
      </c>
      <c r="B1997">
        <f>IF(INDEX('Data Entry'!$H$5:$BE$10004,1997-4,'Visual SPC'!$B$3)="",0,IF(AND(OR('Visual SPC'!$C$4="",'Data Entry'!$C1997&gt;='Visual SPC'!$C$4),OR('Visual SPC'!$E$4="",'Data Entry'!$C1997&lt;='Visual SPC'!$E$4),OR('Visual SPC'!$G$4="",'Data Entry'!$D1997='Visual SPC'!$G$4),OR('Visual SPC'!$I$4="",'Data Entry'!$E1997='Visual SPC'!$I$4),OR('Visual SPC'!$K$4="",'Data Entry'!$F1997='Visual SPC'!$K$4)),1,0))</f>
        <v/>
      </c>
      <c r="C1997">
        <f>C1996+B1997</f>
        <v/>
      </c>
      <c r="D1997">
        <f>IF(B1997=1,INDEX('Data Entry'!$H$5:$BE$10004,1997-4,'Visual SPC'!$B$3),"")</f>
        <v/>
      </c>
      <c r="E1997">
        <f>IF(B1997=1,D1997,E1996)</f>
        <v/>
      </c>
      <c r="F1997">
        <f>IF(AND(B1997=1,C1997&gt;1,E1996&lt;&gt;""),ABS(D1997-E1996),"")</f>
        <v/>
      </c>
    </row>
    <row r="1998">
      <c r="A1998" t="n">
        <v>1998</v>
      </c>
      <c r="B1998">
        <f>IF(INDEX('Data Entry'!$H$5:$BE$10004,1998-4,'Visual SPC'!$B$3)="",0,IF(AND(OR('Visual SPC'!$C$4="",'Data Entry'!$C1998&gt;='Visual SPC'!$C$4),OR('Visual SPC'!$E$4="",'Data Entry'!$C1998&lt;='Visual SPC'!$E$4),OR('Visual SPC'!$G$4="",'Data Entry'!$D1998='Visual SPC'!$G$4),OR('Visual SPC'!$I$4="",'Data Entry'!$E1998='Visual SPC'!$I$4),OR('Visual SPC'!$K$4="",'Data Entry'!$F1998='Visual SPC'!$K$4)),1,0))</f>
        <v/>
      </c>
      <c r="C1998">
        <f>C1997+B1998</f>
        <v/>
      </c>
      <c r="D1998">
        <f>IF(B1998=1,INDEX('Data Entry'!$H$5:$BE$10004,1998-4,'Visual SPC'!$B$3),"")</f>
        <v/>
      </c>
      <c r="E1998">
        <f>IF(B1998=1,D1998,E1997)</f>
        <v/>
      </c>
      <c r="F1998">
        <f>IF(AND(B1998=1,C1998&gt;1,E1997&lt;&gt;""),ABS(D1998-E1997),"")</f>
        <v/>
      </c>
    </row>
    <row r="1999">
      <c r="A1999" t="n">
        <v>1999</v>
      </c>
      <c r="B1999">
        <f>IF(INDEX('Data Entry'!$H$5:$BE$10004,1999-4,'Visual SPC'!$B$3)="",0,IF(AND(OR('Visual SPC'!$C$4="",'Data Entry'!$C1999&gt;='Visual SPC'!$C$4),OR('Visual SPC'!$E$4="",'Data Entry'!$C1999&lt;='Visual SPC'!$E$4),OR('Visual SPC'!$G$4="",'Data Entry'!$D1999='Visual SPC'!$G$4),OR('Visual SPC'!$I$4="",'Data Entry'!$E1999='Visual SPC'!$I$4),OR('Visual SPC'!$K$4="",'Data Entry'!$F1999='Visual SPC'!$K$4)),1,0))</f>
        <v/>
      </c>
      <c r="C1999">
        <f>C1998+B1999</f>
        <v/>
      </c>
      <c r="D1999">
        <f>IF(B1999=1,INDEX('Data Entry'!$H$5:$BE$10004,1999-4,'Visual SPC'!$B$3),"")</f>
        <v/>
      </c>
      <c r="E1999">
        <f>IF(B1999=1,D1999,E1998)</f>
        <v/>
      </c>
      <c r="F1999">
        <f>IF(AND(B1999=1,C1999&gt;1,E1998&lt;&gt;""),ABS(D1999-E1998),"")</f>
        <v/>
      </c>
    </row>
    <row r="2000">
      <c r="A2000" t="n">
        <v>2000</v>
      </c>
      <c r="B2000">
        <f>IF(INDEX('Data Entry'!$H$5:$BE$10004,2000-4,'Visual SPC'!$B$3)="",0,IF(AND(OR('Visual SPC'!$C$4="",'Data Entry'!$C2000&gt;='Visual SPC'!$C$4),OR('Visual SPC'!$E$4="",'Data Entry'!$C2000&lt;='Visual SPC'!$E$4),OR('Visual SPC'!$G$4="",'Data Entry'!$D2000='Visual SPC'!$G$4),OR('Visual SPC'!$I$4="",'Data Entry'!$E2000='Visual SPC'!$I$4),OR('Visual SPC'!$K$4="",'Data Entry'!$F2000='Visual SPC'!$K$4)),1,0))</f>
        <v/>
      </c>
      <c r="C2000">
        <f>C1999+B2000</f>
        <v/>
      </c>
      <c r="D2000">
        <f>IF(B2000=1,INDEX('Data Entry'!$H$5:$BE$10004,2000-4,'Visual SPC'!$B$3),"")</f>
        <v/>
      </c>
      <c r="E2000">
        <f>IF(B2000=1,D2000,E1999)</f>
        <v/>
      </c>
      <c r="F2000">
        <f>IF(AND(B2000=1,C2000&gt;1,E1999&lt;&gt;""),ABS(D2000-E1999),"")</f>
        <v/>
      </c>
    </row>
    <row r="2001">
      <c r="A2001" t="n">
        <v>2001</v>
      </c>
      <c r="B2001">
        <f>IF(INDEX('Data Entry'!$H$5:$BE$10004,2001-4,'Visual SPC'!$B$3)="",0,IF(AND(OR('Visual SPC'!$C$4="",'Data Entry'!$C2001&gt;='Visual SPC'!$C$4),OR('Visual SPC'!$E$4="",'Data Entry'!$C2001&lt;='Visual SPC'!$E$4),OR('Visual SPC'!$G$4="",'Data Entry'!$D2001='Visual SPC'!$G$4),OR('Visual SPC'!$I$4="",'Data Entry'!$E2001='Visual SPC'!$I$4),OR('Visual SPC'!$K$4="",'Data Entry'!$F2001='Visual SPC'!$K$4)),1,0))</f>
        <v/>
      </c>
      <c r="C2001">
        <f>C2000+B2001</f>
        <v/>
      </c>
      <c r="D2001">
        <f>IF(B2001=1,INDEX('Data Entry'!$H$5:$BE$10004,2001-4,'Visual SPC'!$B$3),"")</f>
        <v/>
      </c>
      <c r="E2001">
        <f>IF(B2001=1,D2001,E2000)</f>
        <v/>
      </c>
      <c r="F2001">
        <f>IF(AND(B2001=1,C2001&gt;1,E2000&lt;&gt;""),ABS(D2001-E2000),"")</f>
        <v/>
      </c>
    </row>
    <row r="2002">
      <c r="A2002" t="n">
        <v>2002</v>
      </c>
      <c r="B2002">
        <f>IF(INDEX('Data Entry'!$H$5:$BE$10004,2002-4,'Visual SPC'!$B$3)="",0,IF(AND(OR('Visual SPC'!$C$4="",'Data Entry'!$C2002&gt;='Visual SPC'!$C$4),OR('Visual SPC'!$E$4="",'Data Entry'!$C2002&lt;='Visual SPC'!$E$4),OR('Visual SPC'!$G$4="",'Data Entry'!$D2002='Visual SPC'!$G$4),OR('Visual SPC'!$I$4="",'Data Entry'!$E2002='Visual SPC'!$I$4),OR('Visual SPC'!$K$4="",'Data Entry'!$F2002='Visual SPC'!$K$4)),1,0))</f>
        <v/>
      </c>
      <c r="C2002">
        <f>C2001+B2002</f>
        <v/>
      </c>
      <c r="D2002">
        <f>IF(B2002=1,INDEX('Data Entry'!$H$5:$BE$10004,2002-4,'Visual SPC'!$B$3),"")</f>
        <v/>
      </c>
      <c r="E2002">
        <f>IF(B2002=1,D2002,E2001)</f>
        <v/>
      </c>
      <c r="F2002">
        <f>IF(AND(B2002=1,C2002&gt;1,E2001&lt;&gt;""),ABS(D2002-E2001),"")</f>
        <v/>
      </c>
    </row>
    <row r="2003">
      <c r="A2003" t="n">
        <v>2003</v>
      </c>
      <c r="B2003">
        <f>IF(INDEX('Data Entry'!$H$5:$BE$10004,2003-4,'Visual SPC'!$B$3)="",0,IF(AND(OR('Visual SPC'!$C$4="",'Data Entry'!$C2003&gt;='Visual SPC'!$C$4),OR('Visual SPC'!$E$4="",'Data Entry'!$C2003&lt;='Visual SPC'!$E$4),OR('Visual SPC'!$G$4="",'Data Entry'!$D2003='Visual SPC'!$G$4),OR('Visual SPC'!$I$4="",'Data Entry'!$E2003='Visual SPC'!$I$4),OR('Visual SPC'!$K$4="",'Data Entry'!$F2003='Visual SPC'!$K$4)),1,0))</f>
        <v/>
      </c>
      <c r="C2003">
        <f>C2002+B2003</f>
        <v/>
      </c>
      <c r="D2003">
        <f>IF(B2003=1,INDEX('Data Entry'!$H$5:$BE$10004,2003-4,'Visual SPC'!$B$3),"")</f>
        <v/>
      </c>
      <c r="E2003">
        <f>IF(B2003=1,D2003,E2002)</f>
        <v/>
      </c>
      <c r="F2003">
        <f>IF(AND(B2003=1,C2003&gt;1,E2002&lt;&gt;""),ABS(D2003-E2002),"")</f>
        <v/>
      </c>
    </row>
    <row r="2004">
      <c r="A2004" t="n">
        <v>2004</v>
      </c>
      <c r="B2004">
        <f>IF(INDEX('Data Entry'!$H$5:$BE$10004,2004-4,'Visual SPC'!$B$3)="",0,IF(AND(OR('Visual SPC'!$C$4="",'Data Entry'!$C2004&gt;='Visual SPC'!$C$4),OR('Visual SPC'!$E$4="",'Data Entry'!$C2004&lt;='Visual SPC'!$E$4),OR('Visual SPC'!$G$4="",'Data Entry'!$D2004='Visual SPC'!$G$4),OR('Visual SPC'!$I$4="",'Data Entry'!$E2004='Visual SPC'!$I$4),OR('Visual SPC'!$K$4="",'Data Entry'!$F2004='Visual SPC'!$K$4)),1,0))</f>
        <v/>
      </c>
      <c r="C2004">
        <f>C2003+B2004</f>
        <v/>
      </c>
      <c r="D2004">
        <f>IF(B2004=1,INDEX('Data Entry'!$H$5:$BE$10004,2004-4,'Visual SPC'!$B$3),"")</f>
        <v/>
      </c>
      <c r="E2004">
        <f>IF(B2004=1,D2004,E2003)</f>
        <v/>
      </c>
      <c r="F2004">
        <f>IF(AND(B2004=1,C2004&gt;1,E2003&lt;&gt;""),ABS(D2004-E2003),"")</f>
        <v/>
      </c>
    </row>
    <row r="2005">
      <c r="A2005" t="n">
        <v>2005</v>
      </c>
      <c r="B2005">
        <f>IF(INDEX('Data Entry'!$H$5:$BE$10004,2005-4,'Visual SPC'!$B$3)="",0,IF(AND(OR('Visual SPC'!$C$4="",'Data Entry'!$C2005&gt;='Visual SPC'!$C$4),OR('Visual SPC'!$E$4="",'Data Entry'!$C2005&lt;='Visual SPC'!$E$4),OR('Visual SPC'!$G$4="",'Data Entry'!$D2005='Visual SPC'!$G$4),OR('Visual SPC'!$I$4="",'Data Entry'!$E2005='Visual SPC'!$I$4),OR('Visual SPC'!$K$4="",'Data Entry'!$F2005='Visual SPC'!$K$4)),1,0))</f>
        <v/>
      </c>
      <c r="C2005">
        <f>C2004+B2005</f>
        <v/>
      </c>
      <c r="D2005">
        <f>IF(B2005=1,INDEX('Data Entry'!$H$5:$BE$10004,2005-4,'Visual SPC'!$B$3),"")</f>
        <v/>
      </c>
      <c r="E2005">
        <f>IF(B2005=1,D2005,E2004)</f>
        <v/>
      </c>
      <c r="F2005">
        <f>IF(AND(B2005=1,C2005&gt;1,E2004&lt;&gt;""),ABS(D2005-E2004),"")</f>
        <v/>
      </c>
    </row>
    <row r="2006">
      <c r="A2006" t="n">
        <v>2006</v>
      </c>
      <c r="B2006">
        <f>IF(INDEX('Data Entry'!$H$5:$BE$10004,2006-4,'Visual SPC'!$B$3)="",0,IF(AND(OR('Visual SPC'!$C$4="",'Data Entry'!$C2006&gt;='Visual SPC'!$C$4),OR('Visual SPC'!$E$4="",'Data Entry'!$C2006&lt;='Visual SPC'!$E$4),OR('Visual SPC'!$G$4="",'Data Entry'!$D2006='Visual SPC'!$G$4),OR('Visual SPC'!$I$4="",'Data Entry'!$E2006='Visual SPC'!$I$4),OR('Visual SPC'!$K$4="",'Data Entry'!$F2006='Visual SPC'!$K$4)),1,0))</f>
        <v/>
      </c>
      <c r="C2006">
        <f>C2005+B2006</f>
        <v/>
      </c>
      <c r="D2006">
        <f>IF(B2006=1,INDEX('Data Entry'!$H$5:$BE$10004,2006-4,'Visual SPC'!$B$3),"")</f>
        <v/>
      </c>
      <c r="E2006">
        <f>IF(B2006=1,D2006,E2005)</f>
        <v/>
      </c>
      <c r="F2006">
        <f>IF(AND(B2006=1,C2006&gt;1,E2005&lt;&gt;""),ABS(D2006-E2005),"")</f>
        <v/>
      </c>
    </row>
    <row r="2007">
      <c r="A2007" t="n">
        <v>2007</v>
      </c>
      <c r="B2007">
        <f>IF(INDEX('Data Entry'!$H$5:$BE$10004,2007-4,'Visual SPC'!$B$3)="",0,IF(AND(OR('Visual SPC'!$C$4="",'Data Entry'!$C2007&gt;='Visual SPC'!$C$4),OR('Visual SPC'!$E$4="",'Data Entry'!$C2007&lt;='Visual SPC'!$E$4),OR('Visual SPC'!$G$4="",'Data Entry'!$D2007='Visual SPC'!$G$4),OR('Visual SPC'!$I$4="",'Data Entry'!$E2007='Visual SPC'!$I$4),OR('Visual SPC'!$K$4="",'Data Entry'!$F2007='Visual SPC'!$K$4)),1,0))</f>
        <v/>
      </c>
      <c r="C2007">
        <f>C2006+B2007</f>
        <v/>
      </c>
      <c r="D2007">
        <f>IF(B2007=1,INDEX('Data Entry'!$H$5:$BE$10004,2007-4,'Visual SPC'!$B$3),"")</f>
        <v/>
      </c>
      <c r="E2007">
        <f>IF(B2007=1,D2007,E2006)</f>
        <v/>
      </c>
      <c r="F2007">
        <f>IF(AND(B2007=1,C2007&gt;1,E2006&lt;&gt;""),ABS(D2007-E2006),"")</f>
        <v/>
      </c>
    </row>
    <row r="2008">
      <c r="A2008" t="n">
        <v>2008</v>
      </c>
      <c r="B2008">
        <f>IF(INDEX('Data Entry'!$H$5:$BE$10004,2008-4,'Visual SPC'!$B$3)="",0,IF(AND(OR('Visual SPC'!$C$4="",'Data Entry'!$C2008&gt;='Visual SPC'!$C$4),OR('Visual SPC'!$E$4="",'Data Entry'!$C2008&lt;='Visual SPC'!$E$4),OR('Visual SPC'!$G$4="",'Data Entry'!$D2008='Visual SPC'!$G$4),OR('Visual SPC'!$I$4="",'Data Entry'!$E2008='Visual SPC'!$I$4),OR('Visual SPC'!$K$4="",'Data Entry'!$F2008='Visual SPC'!$K$4)),1,0))</f>
        <v/>
      </c>
      <c r="C2008">
        <f>C2007+B2008</f>
        <v/>
      </c>
      <c r="D2008">
        <f>IF(B2008=1,INDEX('Data Entry'!$H$5:$BE$10004,2008-4,'Visual SPC'!$B$3),"")</f>
        <v/>
      </c>
      <c r="E2008">
        <f>IF(B2008=1,D2008,E2007)</f>
        <v/>
      </c>
      <c r="F2008">
        <f>IF(AND(B2008=1,C2008&gt;1,E2007&lt;&gt;""),ABS(D2008-E2007),"")</f>
        <v/>
      </c>
    </row>
    <row r="2009">
      <c r="A2009" t="n">
        <v>2009</v>
      </c>
      <c r="B2009">
        <f>IF(INDEX('Data Entry'!$H$5:$BE$10004,2009-4,'Visual SPC'!$B$3)="",0,IF(AND(OR('Visual SPC'!$C$4="",'Data Entry'!$C2009&gt;='Visual SPC'!$C$4),OR('Visual SPC'!$E$4="",'Data Entry'!$C2009&lt;='Visual SPC'!$E$4),OR('Visual SPC'!$G$4="",'Data Entry'!$D2009='Visual SPC'!$G$4),OR('Visual SPC'!$I$4="",'Data Entry'!$E2009='Visual SPC'!$I$4),OR('Visual SPC'!$K$4="",'Data Entry'!$F2009='Visual SPC'!$K$4)),1,0))</f>
        <v/>
      </c>
      <c r="C2009">
        <f>C2008+B2009</f>
        <v/>
      </c>
      <c r="D2009">
        <f>IF(B2009=1,INDEX('Data Entry'!$H$5:$BE$10004,2009-4,'Visual SPC'!$B$3),"")</f>
        <v/>
      </c>
      <c r="E2009">
        <f>IF(B2009=1,D2009,E2008)</f>
        <v/>
      </c>
      <c r="F2009">
        <f>IF(AND(B2009=1,C2009&gt;1,E2008&lt;&gt;""),ABS(D2009-E2008),"")</f>
        <v/>
      </c>
    </row>
    <row r="2010">
      <c r="A2010" t="n">
        <v>2010</v>
      </c>
      <c r="B2010">
        <f>IF(INDEX('Data Entry'!$H$5:$BE$10004,2010-4,'Visual SPC'!$B$3)="",0,IF(AND(OR('Visual SPC'!$C$4="",'Data Entry'!$C2010&gt;='Visual SPC'!$C$4),OR('Visual SPC'!$E$4="",'Data Entry'!$C2010&lt;='Visual SPC'!$E$4),OR('Visual SPC'!$G$4="",'Data Entry'!$D2010='Visual SPC'!$G$4),OR('Visual SPC'!$I$4="",'Data Entry'!$E2010='Visual SPC'!$I$4),OR('Visual SPC'!$K$4="",'Data Entry'!$F2010='Visual SPC'!$K$4)),1,0))</f>
        <v/>
      </c>
      <c r="C2010">
        <f>C2009+B2010</f>
        <v/>
      </c>
      <c r="D2010">
        <f>IF(B2010=1,INDEX('Data Entry'!$H$5:$BE$10004,2010-4,'Visual SPC'!$B$3),"")</f>
        <v/>
      </c>
      <c r="E2010">
        <f>IF(B2010=1,D2010,E2009)</f>
        <v/>
      </c>
      <c r="F2010">
        <f>IF(AND(B2010=1,C2010&gt;1,E2009&lt;&gt;""),ABS(D2010-E2009),"")</f>
        <v/>
      </c>
    </row>
    <row r="2011">
      <c r="A2011" t="n">
        <v>2011</v>
      </c>
      <c r="B2011">
        <f>IF(INDEX('Data Entry'!$H$5:$BE$10004,2011-4,'Visual SPC'!$B$3)="",0,IF(AND(OR('Visual SPC'!$C$4="",'Data Entry'!$C2011&gt;='Visual SPC'!$C$4),OR('Visual SPC'!$E$4="",'Data Entry'!$C2011&lt;='Visual SPC'!$E$4),OR('Visual SPC'!$G$4="",'Data Entry'!$D2011='Visual SPC'!$G$4),OR('Visual SPC'!$I$4="",'Data Entry'!$E2011='Visual SPC'!$I$4),OR('Visual SPC'!$K$4="",'Data Entry'!$F2011='Visual SPC'!$K$4)),1,0))</f>
        <v/>
      </c>
      <c r="C2011">
        <f>C2010+B2011</f>
        <v/>
      </c>
      <c r="D2011">
        <f>IF(B2011=1,INDEX('Data Entry'!$H$5:$BE$10004,2011-4,'Visual SPC'!$B$3),"")</f>
        <v/>
      </c>
      <c r="E2011">
        <f>IF(B2011=1,D2011,E2010)</f>
        <v/>
      </c>
      <c r="F2011">
        <f>IF(AND(B2011=1,C2011&gt;1,E2010&lt;&gt;""),ABS(D2011-E2010),"")</f>
        <v/>
      </c>
    </row>
    <row r="2012">
      <c r="A2012" t="n">
        <v>2012</v>
      </c>
      <c r="B2012">
        <f>IF(INDEX('Data Entry'!$H$5:$BE$10004,2012-4,'Visual SPC'!$B$3)="",0,IF(AND(OR('Visual SPC'!$C$4="",'Data Entry'!$C2012&gt;='Visual SPC'!$C$4),OR('Visual SPC'!$E$4="",'Data Entry'!$C2012&lt;='Visual SPC'!$E$4),OR('Visual SPC'!$G$4="",'Data Entry'!$D2012='Visual SPC'!$G$4),OR('Visual SPC'!$I$4="",'Data Entry'!$E2012='Visual SPC'!$I$4),OR('Visual SPC'!$K$4="",'Data Entry'!$F2012='Visual SPC'!$K$4)),1,0))</f>
        <v/>
      </c>
      <c r="C2012">
        <f>C2011+B2012</f>
        <v/>
      </c>
      <c r="D2012">
        <f>IF(B2012=1,INDEX('Data Entry'!$H$5:$BE$10004,2012-4,'Visual SPC'!$B$3),"")</f>
        <v/>
      </c>
      <c r="E2012">
        <f>IF(B2012=1,D2012,E2011)</f>
        <v/>
      </c>
      <c r="F2012">
        <f>IF(AND(B2012=1,C2012&gt;1,E2011&lt;&gt;""),ABS(D2012-E2011),"")</f>
        <v/>
      </c>
    </row>
    <row r="2013">
      <c r="A2013" t="n">
        <v>2013</v>
      </c>
      <c r="B2013">
        <f>IF(INDEX('Data Entry'!$H$5:$BE$10004,2013-4,'Visual SPC'!$B$3)="",0,IF(AND(OR('Visual SPC'!$C$4="",'Data Entry'!$C2013&gt;='Visual SPC'!$C$4),OR('Visual SPC'!$E$4="",'Data Entry'!$C2013&lt;='Visual SPC'!$E$4),OR('Visual SPC'!$G$4="",'Data Entry'!$D2013='Visual SPC'!$G$4),OR('Visual SPC'!$I$4="",'Data Entry'!$E2013='Visual SPC'!$I$4),OR('Visual SPC'!$K$4="",'Data Entry'!$F2013='Visual SPC'!$K$4)),1,0))</f>
        <v/>
      </c>
      <c r="C2013">
        <f>C2012+B2013</f>
        <v/>
      </c>
      <c r="D2013">
        <f>IF(B2013=1,INDEX('Data Entry'!$H$5:$BE$10004,2013-4,'Visual SPC'!$B$3),"")</f>
        <v/>
      </c>
      <c r="E2013">
        <f>IF(B2013=1,D2013,E2012)</f>
        <v/>
      </c>
      <c r="F2013">
        <f>IF(AND(B2013=1,C2013&gt;1,E2012&lt;&gt;""),ABS(D2013-E2012),"")</f>
        <v/>
      </c>
    </row>
    <row r="2014">
      <c r="A2014" t="n">
        <v>2014</v>
      </c>
      <c r="B2014">
        <f>IF(INDEX('Data Entry'!$H$5:$BE$10004,2014-4,'Visual SPC'!$B$3)="",0,IF(AND(OR('Visual SPC'!$C$4="",'Data Entry'!$C2014&gt;='Visual SPC'!$C$4),OR('Visual SPC'!$E$4="",'Data Entry'!$C2014&lt;='Visual SPC'!$E$4),OR('Visual SPC'!$G$4="",'Data Entry'!$D2014='Visual SPC'!$G$4),OR('Visual SPC'!$I$4="",'Data Entry'!$E2014='Visual SPC'!$I$4),OR('Visual SPC'!$K$4="",'Data Entry'!$F2014='Visual SPC'!$K$4)),1,0))</f>
        <v/>
      </c>
      <c r="C2014">
        <f>C2013+B2014</f>
        <v/>
      </c>
      <c r="D2014">
        <f>IF(B2014=1,INDEX('Data Entry'!$H$5:$BE$10004,2014-4,'Visual SPC'!$B$3),"")</f>
        <v/>
      </c>
      <c r="E2014">
        <f>IF(B2014=1,D2014,E2013)</f>
        <v/>
      </c>
      <c r="F2014">
        <f>IF(AND(B2014=1,C2014&gt;1,E2013&lt;&gt;""),ABS(D2014-E2013),"")</f>
        <v/>
      </c>
    </row>
    <row r="2015">
      <c r="A2015" t="n">
        <v>2015</v>
      </c>
      <c r="B2015">
        <f>IF(INDEX('Data Entry'!$H$5:$BE$10004,2015-4,'Visual SPC'!$B$3)="",0,IF(AND(OR('Visual SPC'!$C$4="",'Data Entry'!$C2015&gt;='Visual SPC'!$C$4),OR('Visual SPC'!$E$4="",'Data Entry'!$C2015&lt;='Visual SPC'!$E$4),OR('Visual SPC'!$G$4="",'Data Entry'!$D2015='Visual SPC'!$G$4),OR('Visual SPC'!$I$4="",'Data Entry'!$E2015='Visual SPC'!$I$4),OR('Visual SPC'!$K$4="",'Data Entry'!$F2015='Visual SPC'!$K$4)),1,0))</f>
        <v/>
      </c>
      <c r="C2015">
        <f>C2014+B2015</f>
        <v/>
      </c>
      <c r="D2015">
        <f>IF(B2015=1,INDEX('Data Entry'!$H$5:$BE$10004,2015-4,'Visual SPC'!$B$3),"")</f>
        <v/>
      </c>
      <c r="E2015">
        <f>IF(B2015=1,D2015,E2014)</f>
        <v/>
      </c>
      <c r="F2015">
        <f>IF(AND(B2015=1,C2015&gt;1,E2014&lt;&gt;""),ABS(D2015-E2014),"")</f>
        <v/>
      </c>
    </row>
    <row r="2016">
      <c r="A2016" t="n">
        <v>2016</v>
      </c>
      <c r="B2016">
        <f>IF(INDEX('Data Entry'!$H$5:$BE$10004,2016-4,'Visual SPC'!$B$3)="",0,IF(AND(OR('Visual SPC'!$C$4="",'Data Entry'!$C2016&gt;='Visual SPC'!$C$4),OR('Visual SPC'!$E$4="",'Data Entry'!$C2016&lt;='Visual SPC'!$E$4),OR('Visual SPC'!$G$4="",'Data Entry'!$D2016='Visual SPC'!$G$4),OR('Visual SPC'!$I$4="",'Data Entry'!$E2016='Visual SPC'!$I$4),OR('Visual SPC'!$K$4="",'Data Entry'!$F2016='Visual SPC'!$K$4)),1,0))</f>
        <v/>
      </c>
      <c r="C2016">
        <f>C2015+B2016</f>
        <v/>
      </c>
      <c r="D2016">
        <f>IF(B2016=1,INDEX('Data Entry'!$H$5:$BE$10004,2016-4,'Visual SPC'!$B$3),"")</f>
        <v/>
      </c>
      <c r="E2016">
        <f>IF(B2016=1,D2016,E2015)</f>
        <v/>
      </c>
      <c r="F2016">
        <f>IF(AND(B2016=1,C2016&gt;1,E2015&lt;&gt;""),ABS(D2016-E2015),"")</f>
        <v/>
      </c>
    </row>
    <row r="2017">
      <c r="A2017" t="n">
        <v>2017</v>
      </c>
      <c r="B2017">
        <f>IF(INDEX('Data Entry'!$H$5:$BE$10004,2017-4,'Visual SPC'!$B$3)="",0,IF(AND(OR('Visual SPC'!$C$4="",'Data Entry'!$C2017&gt;='Visual SPC'!$C$4),OR('Visual SPC'!$E$4="",'Data Entry'!$C2017&lt;='Visual SPC'!$E$4),OR('Visual SPC'!$G$4="",'Data Entry'!$D2017='Visual SPC'!$G$4),OR('Visual SPC'!$I$4="",'Data Entry'!$E2017='Visual SPC'!$I$4),OR('Visual SPC'!$K$4="",'Data Entry'!$F2017='Visual SPC'!$K$4)),1,0))</f>
        <v/>
      </c>
      <c r="C2017">
        <f>C2016+B2017</f>
        <v/>
      </c>
      <c r="D2017">
        <f>IF(B2017=1,INDEX('Data Entry'!$H$5:$BE$10004,2017-4,'Visual SPC'!$B$3),"")</f>
        <v/>
      </c>
      <c r="E2017">
        <f>IF(B2017=1,D2017,E2016)</f>
        <v/>
      </c>
      <c r="F2017">
        <f>IF(AND(B2017=1,C2017&gt;1,E2016&lt;&gt;""),ABS(D2017-E2016),"")</f>
        <v/>
      </c>
    </row>
    <row r="2018">
      <c r="A2018" t="n">
        <v>2018</v>
      </c>
      <c r="B2018">
        <f>IF(INDEX('Data Entry'!$H$5:$BE$10004,2018-4,'Visual SPC'!$B$3)="",0,IF(AND(OR('Visual SPC'!$C$4="",'Data Entry'!$C2018&gt;='Visual SPC'!$C$4),OR('Visual SPC'!$E$4="",'Data Entry'!$C2018&lt;='Visual SPC'!$E$4),OR('Visual SPC'!$G$4="",'Data Entry'!$D2018='Visual SPC'!$G$4),OR('Visual SPC'!$I$4="",'Data Entry'!$E2018='Visual SPC'!$I$4),OR('Visual SPC'!$K$4="",'Data Entry'!$F2018='Visual SPC'!$K$4)),1,0))</f>
        <v/>
      </c>
      <c r="C2018">
        <f>C2017+B2018</f>
        <v/>
      </c>
      <c r="D2018">
        <f>IF(B2018=1,INDEX('Data Entry'!$H$5:$BE$10004,2018-4,'Visual SPC'!$B$3),"")</f>
        <v/>
      </c>
      <c r="E2018">
        <f>IF(B2018=1,D2018,E2017)</f>
        <v/>
      </c>
      <c r="F2018">
        <f>IF(AND(B2018=1,C2018&gt;1,E2017&lt;&gt;""),ABS(D2018-E2017),"")</f>
        <v/>
      </c>
    </row>
    <row r="2019">
      <c r="A2019" t="n">
        <v>2019</v>
      </c>
      <c r="B2019">
        <f>IF(INDEX('Data Entry'!$H$5:$BE$10004,2019-4,'Visual SPC'!$B$3)="",0,IF(AND(OR('Visual SPC'!$C$4="",'Data Entry'!$C2019&gt;='Visual SPC'!$C$4),OR('Visual SPC'!$E$4="",'Data Entry'!$C2019&lt;='Visual SPC'!$E$4),OR('Visual SPC'!$G$4="",'Data Entry'!$D2019='Visual SPC'!$G$4),OR('Visual SPC'!$I$4="",'Data Entry'!$E2019='Visual SPC'!$I$4),OR('Visual SPC'!$K$4="",'Data Entry'!$F2019='Visual SPC'!$K$4)),1,0))</f>
        <v/>
      </c>
      <c r="C2019">
        <f>C2018+B2019</f>
        <v/>
      </c>
      <c r="D2019">
        <f>IF(B2019=1,INDEX('Data Entry'!$H$5:$BE$10004,2019-4,'Visual SPC'!$B$3),"")</f>
        <v/>
      </c>
      <c r="E2019">
        <f>IF(B2019=1,D2019,E2018)</f>
        <v/>
      </c>
      <c r="F2019">
        <f>IF(AND(B2019=1,C2019&gt;1,E2018&lt;&gt;""),ABS(D2019-E2018),"")</f>
        <v/>
      </c>
    </row>
    <row r="2020">
      <c r="A2020" t="n">
        <v>2020</v>
      </c>
      <c r="B2020">
        <f>IF(INDEX('Data Entry'!$H$5:$BE$10004,2020-4,'Visual SPC'!$B$3)="",0,IF(AND(OR('Visual SPC'!$C$4="",'Data Entry'!$C2020&gt;='Visual SPC'!$C$4),OR('Visual SPC'!$E$4="",'Data Entry'!$C2020&lt;='Visual SPC'!$E$4),OR('Visual SPC'!$G$4="",'Data Entry'!$D2020='Visual SPC'!$G$4),OR('Visual SPC'!$I$4="",'Data Entry'!$E2020='Visual SPC'!$I$4),OR('Visual SPC'!$K$4="",'Data Entry'!$F2020='Visual SPC'!$K$4)),1,0))</f>
        <v/>
      </c>
      <c r="C2020">
        <f>C2019+B2020</f>
        <v/>
      </c>
      <c r="D2020">
        <f>IF(B2020=1,INDEX('Data Entry'!$H$5:$BE$10004,2020-4,'Visual SPC'!$B$3),"")</f>
        <v/>
      </c>
      <c r="E2020">
        <f>IF(B2020=1,D2020,E2019)</f>
        <v/>
      </c>
      <c r="F2020">
        <f>IF(AND(B2020=1,C2020&gt;1,E2019&lt;&gt;""),ABS(D2020-E2019),"")</f>
        <v/>
      </c>
    </row>
    <row r="2021">
      <c r="A2021" t="n">
        <v>2021</v>
      </c>
      <c r="B2021">
        <f>IF(INDEX('Data Entry'!$H$5:$BE$10004,2021-4,'Visual SPC'!$B$3)="",0,IF(AND(OR('Visual SPC'!$C$4="",'Data Entry'!$C2021&gt;='Visual SPC'!$C$4),OR('Visual SPC'!$E$4="",'Data Entry'!$C2021&lt;='Visual SPC'!$E$4),OR('Visual SPC'!$G$4="",'Data Entry'!$D2021='Visual SPC'!$G$4),OR('Visual SPC'!$I$4="",'Data Entry'!$E2021='Visual SPC'!$I$4),OR('Visual SPC'!$K$4="",'Data Entry'!$F2021='Visual SPC'!$K$4)),1,0))</f>
        <v/>
      </c>
      <c r="C2021">
        <f>C2020+B2021</f>
        <v/>
      </c>
      <c r="D2021">
        <f>IF(B2021=1,INDEX('Data Entry'!$H$5:$BE$10004,2021-4,'Visual SPC'!$B$3),"")</f>
        <v/>
      </c>
      <c r="E2021">
        <f>IF(B2021=1,D2021,E2020)</f>
        <v/>
      </c>
      <c r="F2021">
        <f>IF(AND(B2021=1,C2021&gt;1,E2020&lt;&gt;""),ABS(D2021-E2020),"")</f>
        <v/>
      </c>
    </row>
    <row r="2022">
      <c r="A2022" t="n">
        <v>2022</v>
      </c>
      <c r="B2022">
        <f>IF(INDEX('Data Entry'!$H$5:$BE$10004,2022-4,'Visual SPC'!$B$3)="",0,IF(AND(OR('Visual SPC'!$C$4="",'Data Entry'!$C2022&gt;='Visual SPC'!$C$4),OR('Visual SPC'!$E$4="",'Data Entry'!$C2022&lt;='Visual SPC'!$E$4),OR('Visual SPC'!$G$4="",'Data Entry'!$D2022='Visual SPC'!$G$4),OR('Visual SPC'!$I$4="",'Data Entry'!$E2022='Visual SPC'!$I$4),OR('Visual SPC'!$K$4="",'Data Entry'!$F2022='Visual SPC'!$K$4)),1,0))</f>
        <v/>
      </c>
      <c r="C2022">
        <f>C2021+B2022</f>
        <v/>
      </c>
      <c r="D2022">
        <f>IF(B2022=1,INDEX('Data Entry'!$H$5:$BE$10004,2022-4,'Visual SPC'!$B$3),"")</f>
        <v/>
      </c>
      <c r="E2022">
        <f>IF(B2022=1,D2022,E2021)</f>
        <v/>
      </c>
      <c r="F2022">
        <f>IF(AND(B2022=1,C2022&gt;1,E2021&lt;&gt;""),ABS(D2022-E2021),"")</f>
        <v/>
      </c>
    </row>
    <row r="2023">
      <c r="A2023" t="n">
        <v>2023</v>
      </c>
      <c r="B2023">
        <f>IF(INDEX('Data Entry'!$H$5:$BE$10004,2023-4,'Visual SPC'!$B$3)="",0,IF(AND(OR('Visual SPC'!$C$4="",'Data Entry'!$C2023&gt;='Visual SPC'!$C$4),OR('Visual SPC'!$E$4="",'Data Entry'!$C2023&lt;='Visual SPC'!$E$4),OR('Visual SPC'!$G$4="",'Data Entry'!$D2023='Visual SPC'!$G$4),OR('Visual SPC'!$I$4="",'Data Entry'!$E2023='Visual SPC'!$I$4),OR('Visual SPC'!$K$4="",'Data Entry'!$F2023='Visual SPC'!$K$4)),1,0))</f>
        <v/>
      </c>
      <c r="C2023">
        <f>C2022+B2023</f>
        <v/>
      </c>
      <c r="D2023">
        <f>IF(B2023=1,INDEX('Data Entry'!$H$5:$BE$10004,2023-4,'Visual SPC'!$B$3),"")</f>
        <v/>
      </c>
      <c r="E2023">
        <f>IF(B2023=1,D2023,E2022)</f>
        <v/>
      </c>
      <c r="F2023">
        <f>IF(AND(B2023=1,C2023&gt;1,E2022&lt;&gt;""),ABS(D2023-E2022),"")</f>
        <v/>
      </c>
    </row>
    <row r="2024">
      <c r="A2024" t="n">
        <v>2024</v>
      </c>
      <c r="B2024">
        <f>IF(INDEX('Data Entry'!$H$5:$BE$10004,2024-4,'Visual SPC'!$B$3)="",0,IF(AND(OR('Visual SPC'!$C$4="",'Data Entry'!$C2024&gt;='Visual SPC'!$C$4),OR('Visual SPC'!$E$4="",'Data Entry'!$C2024&lt;='Visual SPC'!$E$4),OR('Visual SPC'!$G$4="",'Data Entry'!$D2024='Visual SPC'!$G$4),OR('Visual SPC'!$I$4="",'Data Entry'!$E2024='Visual SPC'!$I$4),OR('Visual SPC'!$K$4="",'Data Entry'!$F2024='Visual SPC'!$K$4)),1,0))</f>
        <v/>
      </c>
      <c r="C2024">
        <f>C2023+B2024</f>
        <v/>
      </c>
      <c r="D2024">
        <f>IF(B2024=1,INDEX('Data Entry'!$H$5:$BE$10004,2024-4,'Visual SPC'!$B$3),"")</f>
        <v/>
      </c>
      <c r="E2024">
        <f>IF(B2024=1,D2024,E2023)</f>
        <v/>
      </c>
      <c r="F2024">
        <f>IF(AND(B2024=1,C2024&gt;1,E2023&lt;&gt;""),ABS(D2024-E2023),"")</f>
        <v/>
      </c>
    </row>
    <row r="2025">
      <c r="A2025" t="n">
        <v>2025</v>
      </c>
      <c r="B2025">
        <f>IF(INDEX('Data Entry'!$H$5:$BE$10004,2025-4,'Visual SPC'!$B$3)="",0,IF(AND(OR('Visual SPC'!$C$4="",'Data Entry'!$C2025&gt;='Visual SPC'!$C$4),OR('Visual SPC'!$E$4="",'Data Entry'!$C2025&lt;='Visual SPC'!$E$4),OR('Visual SPC'!$G$4="",'Data Entry'!$D2025='Visual SPC'!$G$4),OR('Visual SPC'!$I$4="",'Data Entry'!$E2025='Visual SPC'!$I$4),OR('Visual SPC'!$K$4="",'Data Entry'!$F2025='Visual SPC'!$K$4)),1,0))</f>
        <v/>
      </c>
      <c r="C2025">
        <f>C2024+B2025</f>
        <v/>
      </c>
      <c r="D2025">
        <f>IF(B2025=1,INDEX('Data Entry'!$H$5:$BE$10004,2025-4,'Visual SPC'!$B$3),"")</f>
        <v/>
      </c>
      <c r="E2025">
        <f>IF(B2025=1,D2025,E2024)</f>
        <v/>
      </c>
      <c r="F2025">
        <f>IF(AND(B2025=1,C2025&gt;1,E2024&lt;&gt;""),ABS(D2025-E2024),"")</f>
        <v/>
      </c>
    </row>
    <row r="2026">
      <c r="A2026" t="n">
        <v>2026</v>
      </c>
      <c r="B2026">
        <f>IF(INDEX('Data Entry'!$H$5:$BE$10004,2026-4,'Visual SPC'!$B$3)="",0,IF(AND(OR('Visual SPC'!$C$4="",'Data Entry'!$C2026&gt;='Visual SPC'!$C$4),OR('Visual SPC'!$E$4="",'Data Entry'!$C2026&lt;='Visual SPC'!$E$4),OR('Visual SPC'!$G$4="",'Data Entry'!$D2026='Visual SPC'!$G$4),OR('Visual SPC'!$I$4="",'Data Entry'!$E2026='Visual SPC'!$I$4),OR('Visual SPC'!$K$4="",'Data Entry'!$F2026='Visual SPC'!$K$4)),1,0))</f>
        <v/>
      </c>
      <c r="C2026">
        <f>C2025+B2026</f>
        <v/>
      </c>
      <c r="D2026">
        <f>IF(B2026=1,INDEX('Data Entry'!$H$5:$BE$10004,2026-4,'Visual SPC'!$B$3),"")</f>
        <v/>
      </c>
      <c r="E2026">
        <f>IF(B2026=1,D2026,E2025)</f>
        <v/>
      </c>
      <c r="F2026">
        <f>IF(AND(B2026=1,C2026&gt;1,E2025&lt;&gt;""),ABS(D2026-E2025),"")</f>
        <v/>
      </c>
    </row>
    <row r="2027">
      <c r="A2027" t="n">
        <v>2027</v>
      </c>
      <c r="B2027">
        <f>IF(INDEX('Data Entry'!$H$5:$BE$10004,2027-4,'Visual SPC'!$B$3)="",0,IF(AND(OR('Visual SPC'!$C$4="",'Data Entry'!$C2027&gt;='Visual SPC'!$C$4),OR('Visual SPC'!$E$4="",'Data Entry'!$C2027&lt;='Visual SPC'!$E$4),OR('Visual SPC'!$G$4="",'Data Entry'!$D2027='Visual SPC'!$G$4),OR('Visual SPC'!$I$4="",'Data Entry'!$E2027='Visual SPC'!$I$4),OR('Visual SPC'!$K$4="",'Data Entry'!$F2027='Visual SPC'!$K$4)),1,0))</f>
        <v/>
      </c>
      <c r="C2027">
        <f>C2026+B2027</f>
        <v/>
      </c>
      <c r="D2027">
        <f>IF(B2027=1,INDEX('Data Entry'!$H$5:$BE$10004,2027-4,'Visual SPC'!$B$3),"")</f>
        <v/>
      </c>
      <c r="E2027">
        <f>IF(B2027=1,D2027,E2026)</f>
        <v/>
      </c>
      <c r="F2027">
        <f>IF(AND(B2027=1,C2027&gt;1,E2026&lt;&gt;""),ABS(D2027-E2026),"")</f>
        <v/>
      </c>
    </row>
    <row r="2028">
      <c r="A2028" t="n">
        <v>2028</v>
      </c>
      <c r="B2028">
        <f>IF(INDEX('Data Entry'!$H$5:$BE$10004,2028-4,'Visual SPC'!$B$3)="",0,IF(AND(OR('Visual SPC'!$C$4="",'Data Entry'!$C2028&gt;='Visual SPC'!$C$4),OR('Visual SPC'!$E$4="",'Data Entry'!$C2028&lt;='Visual SPC'!$E$4),OR('Visual SPC'!$G$4="",'Data Entry'!$D2028='Visual SPC'!$G$4),OR('Visual SPC'!$I$4="",'Data Entry'!$E2028='Visual SPC'!$I$4),OR('Visual SPC'!$K$4="",'Data Entry'!$F2028='Visual SPC'!$K$4)),1,0))</f>
        <v/>
      </c>
      <c r="C2028">
        <f>C2027+B2028</f>
        <v/>
      </c>
      <c r="D2028">
        <f>IF(B2028=1,INDEX('Data Entry'!$H$5:$BE$10004,2028-4,'Visual SPC'!$B$3),"")</f>
        <v/>
      </c>
      <c r="E2028">
        <f>IF(B2028=1,D2028,E2027)</f>
        <v/>
      </c>
      <c r="F2028">
        <f>IF(AND(B2028=1,C2028&gt;1,E2027&lt;&gt;""),ABS(D2028-E2027),"")</f>
        <v/>
      </c>
    </row>
    <row r="2029">
      <c r="A2029" t="n">
        <v>2029</v>
      </c>
      <c r="B2029">
        <f>IF(INDEX('Data Entry'!$H$5:$BE$10004,2029-4,'Visual SPC'!$B$3)="",0,IF(AND(OR('Visual SPC'!$C$4="",'Data Entry'!$C2029&gt;='Visual SPC'!$C$4),OR('Visual SPC'!$E$4="",'Data Entry'!$C2029&lt;='Visual SPC'!$E$4),OR('Visual SPC'!$G$4="",'Data Entry'!$D2029='Visual SPC'!$G$4),OR('Visual SPC'!$I$4="",'Data Entry'!$E2029='Visual SPC'!$I$4),OR('Visual SPC'!$K$4="",'Data Entry'!$F2029='Visual SPC'!$K$4)),1,0))</f>
        <v/>
      </c>
      <c r="C2029">
        <f>C2028+B2029</f>
        <v/>
      </c>
      <c r="D2029">
        <f>IF(B2029=1,INDEX('Data Entry'!$H$5:$BE$10004,2029-4,'Visual SPC'!$B$3),"")</f>
        <v/>
      </c>
      <c r="E2029">
        <f>IF(B2029=1,D2029,E2028)</f>
        <v/>
      </c>
      <c r="F2029">
        <f>IF(AND(B2029=1,C2029&gt;1,E2028&lt;&gt;""),ABS(D2029-E2028),"")</f>
        <v/>
      </c>
    </row>
    <row r="2030">
      <c r="A2030" t="n">
        <v>2030</v>
      </c>
      <c r="B2030">
        <f>IF(INDEX('Data Entry'!$H$5:$BE$10004,2030-4,'Visual SPC'!$B$3)="",0,IF(AND(OR('Visual SPC'!$C$4="",'Data Entry'!$C2030&gt;='Visual SPC'!$C$4),OR('Visual SPC'!$E$4="",'Data Entry'!$C2030&lt;='Visual SPC'!$E$4),OR('Visual SPC'!$G$4="",'Data Entry'!$D2030='Visual SPC'!$G$4),OR('Visual SPC'!$I$4="",'Data Entry'!$E2030='Visual SPC'!$I$4),OR('Visual SPC'!$K$4="",'Data Entry'!$F2030='Visual SPC'!$K$4)),1,0))</f>
        <v/>
      </c>
      <c r="C2030">
        <f>C2029+B2030</f>
        <v/>
      </c>
      <c r="D2030">
        <f>IF(B2030=1,INDEX('Data Entry'!$H$5:$BE$10004,2030-4,'Visual SPC'!$B$3),"")</f>
        <v/>
      </c>
      <c r="E2030">
        <f>IF(B2030=1,D2030,E2029)</f>
        <v/>
      </c>
      <c r="F2030">
        <f>IF(AND(B2030=1,C2030&gt;1,E2029&lt;&gt;""),ABS(D2030-E2029),"")</f>
        <v/>
      </c>
    </row>
    <row r="2031">
      <c r="A2031" t="n">
        <v>2031</v>
      </c>
      <c r="B2031">
        <f>IF(INDEX('Data Entry'!$H$5:$BE$10004,2031-4,'Visual SPC'!$B$3)="",0,IF(AND(OR('Visual SPC'!$C$4="",'Data Entry'!$C2031&gt;='Visual SPC'!$C$4),OR('Visual SPC'!$E$4="",'Data Entry'!$C2031&lt;='Visual SPC'!$E$4),OR('Visual SPC'!$G$4="",'Data Entry'!$D2031='Visual SPC'!$G$4),OR('Visual SPC'!$I$4="",'Data Entry'!$E2031='Visual SPC'!$I$4),OR('Visual SPC'!$K$4="",'Data Entry'!$F2031='Visual SPC'!$K$4)),1,0))</f>
        <v/>
      </c>
      <c r="C2031">
        <f>C2030+B2031</f>
        <v/>
      </c>
      <c r="D2031">
        <f>IF(B2031=1,INDEX('Data Entry'!$H$5:$BE$10004,2031-4,'Visual SPC'!$B$3),"")</f>
        <v/>
      </c>
      <c r="E2031">
        <f>IF(B2031=1,D2031,E2030)</f>
        <v/>
      </c>
      <c r="F2031">
        <f>IF(AND(B2031=1,C2031&gt;1,E2030&lt;&gt;""),ABS(D2031-E2030),"")</f>
        <v/>
      </c>
    </row>
    <row r="2032">
      <c r="A2032" t="n">
        <v>2032</v>
      </c>
      <c r="B2032">
        <f>IF(INDEX('Data Entry'!$H$5:$BE$10004,2032-4,'Visual SPC'!$B$3)="",0,IF(AND(OR('Visual SPC'!$C$4="",'Data Entry'!$C2032&gt;='Visual SPC'!$C$4),OR('Visual SPC'!$E$4="",'Data Entry'!$C2032&lt;='Visual SPC'!$E$4),OR('Visual SPC'!$G$4="",'Data Entry'!$D2032='Visual SPC'!$G$4),OR('Visual SPC'!$I$4="",'Data Entry'!$E2032='Visual SPC'!$I$4),OR('Visual SPC'!$K$4="",'Data Entry'!$F2032='Visual SPC'!$K$4)),1,0))</f>
        <v/>
      </c>
      <c r="C2032">
        <f>C2031+B2032</f>
        <v/>
      </c>
      <c r="D2032">
        <f>IF(B2032=1,INDEX('Data Entry'!$H$5:$BE$10004,2032-4,'Visual SPC'!$B$3),"")</f>
        <v/>
      </c>
      <c r="E2032">
        <f>IF(B2032=1,D2032,E2031)</f>
        <v/>
      </c>
      <c r="F2032">
        <f>IF(AND(B2032=1,C2032&gt;1,E2031&lt;&gt;""),ABS(D2032-E2031),"")</f>
        <v/>
      </c>
    </row>
    <row r="2033">
      <c r="A2033" t="n">
        <v>2033</v>
      </c>
      <c r="B2033">
        <f>IF(INDEX('Data Entry'!$H$5:$BE$10004,2033-4,'Visual SPC'!$B$3)="",0,IF(AND(OR('Visual SPC'!$C$4="",'Data Entry'!$C2033&gt;='Visual SPC'!$C$4),OR('Visual SPC'!$E$4="",'Data Entry'!$C2033&lt;='Visual SPC'!$E$4),OR('Visual SPC'!$G$4="",'Data Entry'!$D2033='Visual SPC'!$G$4),OR('Visual SPC'!$I$4="",'Data Entry'!$E2033='Visual SPC'!$I$4),OR('Visual SPC'!$K$4="",'Data Entry'!$F2033='Visual SPC'!$K$4)),1,0))</f>
        <v/>
      </c>
      <c r="C2033">
        <f>C2032+B2033</f>
        <v/>
      </c>
      <c r="D2033">
        <f>IF(B2033=1,INDEX('Data Entry'!$H$5:$BE$10004,2033-4,'Visual SPC'!$B$3),"")</f>
        <v/>
      </c>
      <c r="E2033">
        <f>IF(B2033=1,D2033,E2032)</f>
        <v/>
      </c>
      <c r="F2033">
        <f>IF(AND(B2033=1,C2033&gt;1,E2032&lt;&gt;""),ABS(D2033-E2032),"")</f>
        <v/>
      </c>
    </row>
    <row r="2034">
      <c r="A2034" t="n">
        <v>2034</v>
      </c>
      <c r="B2034">
        <f>IF(INDEX('Data Entry'!$H$5:$BE$10004,2034-4,'Visual SPC'!$B$3)="",0,IF(AND(OR('Visual SPC'!$C$4="",'Data Entry'!$C2034&gt;='Visual SPC'!$C$4),OR('Visual SPC'!$E$4="",'Data Entry'!$C2034&lt;='Visual SPC'!$E$4),OR('Visual SPC'!$G$4="",'Data Entry'!$D2034='Visual SPC'!$G$4),OR('Visual SPC'!$I$4="",'Data Entry'!$E2034='Visual SPC'!$I$4),OR('Visual SPC'!$K$4="",'Data Entry'!$F2034='Visual SPC'!$K$4)),1,0))</f>
        <v/>
      </c>
      <c r="C2034">
        <f>C2033+B2034</f>
        <v/>
      </c>
      <c r="D2034">
        <f>IF(B2034=1,INDEX('Data Entry'!$H$5:$BE$10004,2034-4,'Visual SPC'!$B$3),"")</f>
        <v/>
      </c>
      <c r="E2034">
        <f>IF(B2034=1,D2034,E2033)</f>
        <v/>
      </c>
      <c r="F2034">
        <f>IF(AND(B2034=1,C2034&gt;1,E2033&lt;&gt;""),ABS(D2034-E2033),"")</f>
        <v/>
      </c>
    </row>
    <row r="2035">
      <c r="A2035" t="n">
        <v>2035</v>
      </c>
      <c r="B2035">
        <f>IF(INDEX('Data Entry'!$H$5:$BE$10004,2035-4,'Visual SPC'!$B$3)="",0,IF(AND(OR('Visual SPC'!$C$4="",'Data Entry'!$C2035&gt;='Visual SPC'!$C$4),OR('Visual SPC'!$E$4="",'Data Entry'!$C2035&lt;='Visual SPC'!$E$4),OR('Visual SPC'!$G$4="",'Data Entry'!$D2035='Visual SPC'!$G$4),OR('Visual SPC'!$I$4="",'Data Entry'!$E2035='Visual SPC'!$I$4),OR('Visual SPC'!$K$4="",'Data Entry'!$F2035='Visual SPC'!$K$4)),1,0))</f>
        <v/>
      </c>
      <c r="C2035">
        <f>C2034+B2035</f>
        <v/>
      </c>
      <c r="D2035">
        <f>IF(B2035=1,INDEX('Data Entry'!$H$5:$BE$10004,2035-4,'Visual SPC'!$B$3),"")</f>
        <v/>
      </c>
      <c r="E2035">
        <f>IF(B2035=1,D2035,E2034)</f>
        <v/>
      </c>
      <c r="F2035">
        <f>IF(AND(B2035=1,C2035&gt;1,E2034&lt;&gt;""),ABS(D2035-E2034),"")</f>
        <v/>
      </c>
    </row>
    <row r="2036">
      <c r="A2036" t="n">
        <v>2036</v>
      </c>
      <c r="B2036">
        <f>IF(INDEX('Data Entry'!$H$5:$BE$10004,2036-4,'Visual SPC'!$B$3)="",0,IF(AND(OR('Visual SPC'!$C$4="",'Data Entry'!$C2036&gt;='Visual SPC'!$C$4),OR('Visual SPC'!$E$4="",'Data Entry'!$C2036&lt;='Visual SPC'!$E$4),OR('Visual SPC'!$G$4="",'Data Entry'!$D2036='Visual SPC'!$G$4),OR('Visual SPC'!$I$4="",'Data Entry'!$E2036='Visual SPC'!$I$4),OR('Visual SPC'!$K$4="",'Data Entry'!$F2036='Visual SPC'!$K$4)),1,0))</f>
        <v/>
      </c>
      <c r="C2036">
        <f>C2035+B2036</f>
        <v/>
      </c>
      <c r="D2036">
        <f>IF(B2036=1,INDEX('Data Entry'!$H$5:$BE$10004,2036-4,'Visual SPC'!$B$3),"")</f>
        <v/>
      </c>
      <c r="E2036">
        <f>IF(B2036=1,D2036,E2035)</f>
        <v/>
      </c>
      <c r="F2036">
        <f>IF(AND(B2036=1,C2036&gt;1,E2035&lt;&gt;""),ABS(D2036-E2035),"")</f>
        <v/>
      </c>
    </row>
    <row r="2037">
      <c r="A2037" t="n">
        <v>2037</v>
      </c>
      <c r="B2037">
        <f>IF(INDEX('Data Entry'!$H$5:$BE$10004,2037-4,'Visual SPC'!$B$3)="",0,IF(AND(OR('Visual SPC'!$C$4="",'Data Entry'!$C2037&gt;='Visual SPC'!$C$4),OR('Visual SPC'!$E$4="",'Data Entry'!$C2037&lt;='Visual SPC'!$E$4),OR('Visual SPC'!$G$4="",'Data Entry'!$D2037='Visual SPC'!$G$4),OR('Visual SPC'!$I$4="",'Data Entry'!$E2037='Visual SPC'!$I$4),OR('Visual SPC'!$K$4="",'Data Entry'!$F2037='Visual SPC'!$K$4)),1,0))</f>
        <v/>
      </c>
      <c r="C2037">
        <f>C2036+B2037</f>
        <v/>
      </c>
      <c r="D2037">
        <f>IF(B2037=1,INDEX('Data Entry'!$H$5:$BE$10004,2037-4,'Visual SPC'!$B$3),"")</f>
        <v/>
      </c>
      <c r="E2037">
        <f>IF(B2037=1,D2037,E2036)</f>
        <v/>
      </c>
      <c r="F2037">
        <f>IF(AND(B2037=1,C2037&gt;1,E2036&lt;&gt;""),ABS(D2037-E2036),"")</f>
        <v/>
      </c>
    </row>
    <row r="2038">
      <c r="A2038" t="n">
        <v>2038</v>
      </c>
      <c r="B2038">
        <f>IF(INDEX('Data Entry'!$H$5:$BE$10004,2038-4,'Visual SPC'!$B$3)="",0,IF(AND(OR('Visual SPC'!$C$4="",'Data Entry'!$C2038&gt;='Visual SPC'!$C$4),OR('Visual SPC'!$E$4="",'Data Entry'!$C2038&lt;='Visual SPC'!$E$4),OR('Visual SPC'!$G$4="",'Data Entry'!$D2038='Visual SPC'!$G$4),OR('Visual SPC'!$I$4="",'Data Entry'!$E2038='Visual SPC'!$I$4),OR('Visual SPC'!$K$4="",'Data Entry'!$F2038='Visual SPC'!$K$4)),1,0))</f>
        <v/>
      </c>
      <c r="C2038">
        <f>C2037+B2038</f>
        <v/>
      </c>
      <c r="D2038">
        <f>IF(B2038=1,INDEX('Data Entry'!$H$5:$BE$10004,2038-4,'Visual SPC'!$B$3),"")</f>
        <v/>
      </c>
      <c r="E2038">
        <f>IF(B2038=1,D2038,E2037)</f>
        <v/>
      </c>
      <c r="F2038">
        <f>IF(AND(B2038=1,C2038&gt;1,E2037&lt;&gt;""),ABS(D2038-E2037),"")</f>
        <v/>
      </c>
    </row>
    <row r="2039">
      <c r="A2039" t="n">
        <v>2039</v>
      </c>
      <c r="B2039">
        <f>IF(INDEX('Data Entry'!$H$5:$BE$10004,2039-4,'Visual SPC'!$B$3)="",0,IF(AND(OR('Visual SPC'!$C$4="",'Data Entry'!$C2039&gt;='Visual SPC'!$C$4),OR('Visual SPC'!$E$4="",'Data Entry'!$C2039&lt;='Visual SPC'!$E$4),OR('Visual SPC'!$G$4="",'Data Entry'!$D2039='Visual SPC'!$G$4),OR('Visual SPC'!$I$4="",'Data Entry'!$E2039='Visual SPC'!$I$4),OR('Visual SPC'!$K$4="",'Data Entry'!$F2039='Visual SPC'!$K$4)),1,0))</f>
        <v/>
      </c>
      <c r="C2039">
        <f>C2038+B2039</f>
        <v/>
      </c>
      <c r="D2039">
        <f>IF(B2039=1,INDEX('Data Entry'!$H$5:$BE$10004,2039-4,'Visual SPC'!$B$3),"")</f>
        <v/>
      </c>
      <c r="E2039">
        <f>IF(B2039=1,D2039,E2038)</f>
        <v/>
      </c>
      <c r="F2039">
        <f>IF(AND(B2039=1,C2039&gt;1,E2038&lt;&gt;""),ABS(D2039-E2038),"")</f>
        <v/>
      </c>
    </row>
    <row r="2040">
      <c r="A2040" t="n">
        <v>2040</v>
      </c>
      <c r="B2040">
        <f>IF(INDEX('Data Entry'!$H$5:$BE$10004,2040-4,'Visual SPC'!$B$3)="",0,IF(AND(OR('Visual SPC'!$C$4="",'Data Entry'!$C2040&gt;='Visual SPC'!$C$4),OR('Visual SPC'!$E$4="",'Data Entry'!$C2040&lt;='Visual SPC'!$E$4),OR('Visual SPC'!$G$4="",'Data Entry'!$D2040='Visual SPC'!$G$4),OR('Visual SPC'!$I$4="",'Data Entry'!$E2040='Visual SPC'!$I$4),OR('Visual SPC'!$K$4="",'Data Entry'!$F2040='Visual SPC'!$K$4)),1,0))</f>
        <v/>
      </c>
      <c r="C2040">
        <f>C2039+B2040</f>
        <v/>
      </c>
      <c r="D2040">
        <f>IF(B2040=1,INDEX('Data Entry'!$H$5:$BE$10004,2040-4,'Visual SPC'!$B$3),"")</f>
        <v/>
      </c>
      <c r="E2040">
        <f>IF(B2040=1,D2040,E2039)</f>
        <v/>
      </c>
      <c r="F2040">
        <f>IF(AND(B2040=1,C2040&gt;1,E2039&lt;&gt;""),ABS(D2040-E2039),"")</f>
        <v/>
      </c>
    </row>
    <row r="2041">
      <c r="A2041" t="n">
        <v>2041</v>
      </c>
      <c r="B2041">
        <f>IF(INDEX('Data Entry'!$H$5:$BE$10004,2041-4,'Visual SPC'!$B$3)="",0,IF(AND(OR('Visual SPC'!$C$4="",'Data Entry'!$C2041&gt;='Visual SPC'!$C$4),OR('Visual SPC'!$E$4="",'Data Entry'!$C2041&lt;='Visual SPC'!$E$4),OR('Visual SPC'!$G$4="",'Data Entry'!$D2041='Visual SPC'!$G$4),OR('Visual SPC'!$I$4="",'Data Entry'!$E2041='Visual SPC'!$I$4),OR('Visual SPC'!$K$4="",'Data Entry'!$F2041='Visual SPC'!$K$4)),1,0))</f>
        <v/>
      </c>
      <c r="C2041">
        <f>C2040+B2041</f>
        <v/>
      </c>
      <c r="D2041">
        <f>IF(B2041=1,INDEX('Data Entry'!$H$5:$BE$10004,2041-4,'Visual SPC'!$B$3),"")</f>
        <v/>
      </c>
      <c r="E2041">
        <f>IF(B2041=1,D2041,E2040)</f>
        <v/>
      </c>
      <c r="F2041">
        <f>IF(AND(B2041=1,C2041&gt;1,E2040&lt;&gt;""),ABS(D2041-E2040),"")</f>
        <v/>
      </c>
    </row>
    <row r="2042">
      <c r="A2042" t="n">
        <v>2042</v>
      </c>
      <c r="B2042">
        <f>IF(INDEX('Data Entry'!$H$5:$BE$10004,2042-4,'Visual SPC'!$B$3)="",0,IF(AND(OR('Visual SPC'!$C$4="",'Data Entry'!$C2042&gt;='Visual SPC'!$C$4),OR('Visual SPC'!$E$4="",'Data Entry'!$C2042&lt;='Visual SPC'!$E$4),OR('Visual SPC'!$G$4="",'Data Entry'!$D2042='Visual SPC'!$G$4),OR('Visual SPC'!$I$4="",'Data Entry'!$E2042='Visual SPC'!$I$4),OR('Visual SPC'!$K$4="",'Data Entry'!$F2042='Visual SPC'!$K$4)),1,0))</f>
        <v/>
      </c>
      <c r="C2042">
        <f>C2041+B2042</f>
        <v/>
      </c>
      <c r="D2042">
        <f>IF(B2042=1,INDEX('Data Entry'!$H$5:$BE$10004,2042-4,'Visual SPC'!$B$3),"")</f>
        <v/>
      </c>
      <c r="E2042">
        <f>IF(B2042=1,D2042,E2041)</f>
        <v/>
      </c>
      <c r="F2042">
        <f>IF(AND(B2042=1,C2042&gt;1,E2041&lt;&gt;""),ABS(D2042-E2041),"")</f>
        <v/>
      </c>
    </row>
    <row r="2043">
      <c r="A2043" t="n">
        <v>2043</v>
      </c>
      <c r="B2043">
        <f>IF(INDEX('Data Entry'!$H$5:$BE$10004,2043-4,'Visual SPC'!$B$3)="",0,IF(AND(OR('Visual SPC'!$C$4="",'Data Entry'!$C2043&gt;='Visual SPC'!$C$4),OR('Visual SPC'!$E$4="",'Data Entry'!$C2043&lt;='Visual SPC'!$E$4),OR('Visual SPC'!$G$4="",'Data Entry'!$D2043='Visual SPC'!$G$4),OR('Visual SPC'!$I$4="",'Data Entry'!$E2043='Visual SPC'!$I$4),OR('Visual SPC'!$K$4="",'Data Entry'!$F2043='Visual SPC'!$K$4)),1,0))</f>
        <v/>
      </c>
      <c r="C2043">
        <f>C2042+B2043</f>
        <v/>
      </c>
      <c r="D2043">
        <f>IF(B2043=1,INDEX('Data Entry'!$H$5:$BE$10004,2043-4,'Visual SPC'!$B$3),"")</f>
        <v/>
      </c>
      <c r="E2043">
        <f>IF(B2043=1,D2043,E2042)</f>
        <v/>
      </c>
      <c r="F2043">
        <f>IF(AND(B2043=1,C2043&gt;1,E2042&lt;&gt;""),ABS(D2043-E2042),"")</f>
        <v/>
      </c>
    </row>
    <row r="2044">
      <c r="A2044" t="n">
        <v>2044</v>
      </c>
      <c r="B2044">
        <f>IF(INDEX('Data Entry'!$H$5:$BE$10004,2044-4,'Visual SPC'!$B$3)="",0,IF(AND(OR('Visual SPC'!$C$4="",'Data Entry'!$C2044&gt;='Visual SPC'!$C$4),OR('Visual SPC'!$E$4="",'Data Entry'!$C2044&lt;='Visual SPC'!$E$4),OR('Visual SPC'!$G$4="",'Data Entry'!$D2044='Visual SPC'!$G$4),OR('Visual SPC'!$I$4="",'Data Entry'!$E2044='Visual SPC'!$I$4),OR('Visual SPC'!$K$4="",'Data Entry'!$F2044='Visual SPC'!$K$4)),1,0))</f>
        <v/>
      </c>
      <c r="C2044">
        <f>C2043+B2044</f>
        <v/>
      </c>
      <c r="D2044">
        <f>IF(B2044=1,INDEX('Data Entry'!$H$5:$BE$10004,2044-4,'Visual SPC'!$B$3),"")</f>
        <v/>
      </c>
      <c r="E2044">
        <f>IF(B2044=1,D2044,E2043)</f>
        <v/>
      </c>
      <c r="F2044">
        <f>IF(AND(B2044=1,C2044&gt;1,E2043&lt;&gt;""),ABS(D2044-E2043),"")</f>
        <v/>
      </c>
    </row>
    <row r="2045">
      <c r="A2045" t="n">
        <v>2045</v>
      </c>
      <c r="B2045">
        <f>IF(INDEX('Data Entry'!$H$5:$BE$10004,2045-4,'Visual SPC'!$B$3)="",0,IF(AND(OR('Visual SPC'!$C$4="",'Data Entry'!$C2045&gt;='Visual SPC'!$C$4),OR('Visual SPC'!$E$4="",'Data Entry'!$C2045&lt;='Visual SPC'!$E$4),OR('Visual SPC'!$G$4="",'Data Entry'!$D2045='Visual SPC'!$G$4),OR('Visual SPC'!$I$4="",'Data Entry'!$E2045='Visual SPC'!$I$4),OR('Visual SPC'!$K$4="",'Data Entry'!$F2045='Visual SPC'!$K$4)),1,0))</f>
        <v/>
      </c>
      <c r="C2045">
        <f>C2044+B2045</f>
        <v/>
      </c>
      <c r="D2045">
        <f>IF(B2045=1,INDEX('Data Entry'!$H$5:$BE$10004,2045-4,'Visual SPC'!$B$3),"")</f>
        <v/>
      </c>
      <c r="E2045">
        <f>IF(B2045=1,D2045,E2044)</f>
        <v/>
      </c>
      <c r="F2045">
        <f>IF(AND(B2045=1,C2045&gt;1,E2044&lt;&gt;""),ABS(D2045-E2044),"")</f>
        <v/>
      </c>
    </row>
    <row r="2046">
      <c r="A2046" t="n">
        <v>2046</v>
      </c>
      <c r="B2046">
        <f>IF(INDEX('Data Entry'!$H$5:$BE$10004,2046-4,'Visual SPC'!$B$3)="",0,IF(AND(OR('Visual SPC'!$C$4="",'Data Entry'!$C2046&gt;='Visual SPC'!$C$4),OR('Visual SPC'!$E$4="",'Data Entry'!$C2046&lt;='Visual SPC'!$E$4),OR('Visual SPC'!$G$4="",'Data Entry'!$D2046='Visual SPC'!$G$4),OR('Visual SPC'!$I$4="",'Data Entry'!$E2046='Visual SPC'!$I$4),OR('Visual SPC'!$K$4="",'Data Entry'!$F2046='Visual SPC'!$K$4)),1,0))</f>
        <v/>
      </c>
      <c r="C2046">
        <f>C2045+B2046</f>
        <v/>
      </c>
      <c r="D2046">
        <f>IF(B2046=1,INDEX('Data Entry'!$H$5:$BE$10004,2046-4,'Visual SPC'!$B$3),"")</f>
        <v/>
      </c>
      <c r="E2046">
        <f>IF(B2046=1,D2046,E2045)</f>
        <v/>
      </c>
      <c r="F2046">
        <f>IF(AND(B2046=1,C2046&gt;1,E2045&lt;&gt;""),ABS(D2046-E2045),"")</f>
        <v/>
      </c>
    </row>
    <row r="2047">
      <c r="A2047" t="n">
        <v>2047</v>
      </c>
      <c r="B2047">
        <f>IF(INDEX('Data Entry'!$H$5:$BE$10004,2047-4,'Visual SPC'!$B$3)="",0,IF(AND(OR('Visual SPC'!$C$4="",'Data Entry'!$C2047&gt;='Visual SPC'!$C$4),OR('Visual SPC'!$E$4="",'Data Entry'!$C2047&lt;='Visual SPC'!$E$4),OR('Visual SPC'!$G$4="",'Data Entry'!$D2047='Visual SPC'!$G$4),OR('Visual SPC'!$I$4="",'Data Entry'!$E2047='Visual SPC'!$I$4),OR('Visual SPC'!$K$4="",'Data Entry'!$F2047='Visual SPC'!$K$4)),1,0))</f>
        <v/>
      </c>
      <c r="C2047">
        <f>C2046+B2047</f>
        <v/>
      </c>
      <c r="D2047">
        <f>IF(B2047=1,INDEX('Data Entry'!$H$5:$BE$10004,2047-4,'Visual SPC'!$B$3),"")</f>
        <v/>
      </c>
      <c r="E2047">
        <f>IF(B2047=1,D2047,E2046)</f>
        <v/>
      </c>
      <c r="F2047">
        <f>IF(AND(B2047=1,C2047&gt;1,E2046&lt;&gt;""),ABS(D2047-E2046),"")</f>
        <v/>
      </c>
    </row>
    <row r="2048">
      <c r="A2048" t="n">
        <v>2048</v>
      </c>
      <c r="B2048">
        <f>IF(INDEX('Data Entry'!$H$5:$BE$10004,2048-4,'Visual SPC'!$B$3)="",0,IF(AND(OR('Visual SPC'!$C$4="",'Data Entry'!$C2048&gt;='Visual SPC'!$C$4),OR('Visual SPC'!$E$4="",'Data Entry'!$C2048&lt;='Visual SPC'!$E$4),OR('Visual SPC'!$G$4="",'Data Entry'!$D2048='Visual SPC'!$G$4),OR('Visual SPC'!$I$4="",'Data Entry'!$E2048='Visual SPC'!$I$4),OR('Visual SPC'!$K$4="",'Data Entry'!$F2048='Visual SPC'!$K$4)),1,0))</f>
        <v/>
      </c>
      <c r="C2048">
        <f>C2047+B2048</f>
        <v/>
      </c>
      <c r="D2048">
        <f>IF(B2048=1,INDEX('Data Entry'!$H$5:$BE$10004,2048-4,'Visual SPC'!$B$3),"")</f>
        <v/>
      </c>
      <c r="E2048">
        <f>IF(B2048=1,D2048,E2047)</f>
        <v/>
      </c>
      <c r="F2048">
        <f>IF(AND(B2048=1,C2048&gt;1,E2047&lt;&gt;""),ABS(D2048-E2047),"")</f>
        <v/>
      </c>
    </row>
    <row r="2049">
      <c r="A2049" t="n">
        <v>2049</v>
      </c>
      <c r="B2049">
        <f>IF(INDEX('Data Entry'!$H$5:$BE$10004,2049-4,'Visual SPC'!$B$3)="",0,IF(AND(OR('Visual SPC'!$C$4="",'Data Entry'!$C2049&gt;='Visual SPC'!$C$4),OR('Visual SPC'!$E$4="",'Data Entry'!$C2049&lt;='Visual SPC'!$E$4),OR('Visual SPC'!$G$4="",'Data Entry'!$D2049='Visual SPC'!$G$4),OR('Visual SPC'!$I$4="",'Data Entry'!$E2049='Visual SPC'!$I$4),OR('Visual SPC'!$K$4="",'Data Entry'!$F2049='Visual SPC'!$K$4)),1,0))</f>
        <v/>
      </c>
      <c r="C2049">
        <f>C2048+B2049</f>
        <v/>
      </c>
      <c r="D2049">
        <f>IF(B2049=1,INDEX('Data Entry'!$H$5:$BE$10004,2049-4,'Visual SPC'!$B$3),"")</f>
        <v/>
      </c>
      <c r="E2049">
        <f>IF(B2049=1,D2049,E2048)</f>
        <v/>
      </c>
      <c r="F2049">
        <f>IF(AND(B2049=1,C2049&gt;1,E2048&lt;&gt;""),ABS(D2049-E2048),"")</f>
        <v/>
      </c>
    </row>
    <row r="2050">
      <c r="A2050" t="n">
        <v>2050</v>
      </c>
      <c r="B2050">
        <f>IF(INDEX('Data Entry'!$H$5:$BE$10004,2050-4,'Visual SPC'!$B$3)="",0,IF(AND(OR('Visual SPC'!$C$4="",'Data Entry'!$C2050&gt;='Visual SPC'!$C$4),OR('Visual SPC'!$E$4="",'Data Entry'!$C2050&lt;='Visual SPC'!$E$4),OR('Visual SPC'!$G$4="",'Data Entry'!$D2050='Visual SPC'!$G$4),OR('Visual SPC'!$I$4="",'Data Entry'!$E2050='Visual SPC'!$I$4),OR('Visual SPC'!$K$4="",'Data Entry'!$F2050='Visual SPC'!$K$4)),1,0))</f>
        <v/>
      </c>
      <c r="C2050">
        <f>C2049+B2050</f>
        <v/>
      </c>
      <c r="D2050">
        <f>IF(B2050=1,INDEX('Data Entry'!$H$5:$BE$10004,2050-4,'Visual SPC'!$B$3),"")</f>
        <v/>
      </c>
      <c r="E2050">
        <f>IF(B2050=1,D2050,E2049)</f>
        <v/>
      </c>
      <c r="F2050">
        <f>IF(AND(B2050=1,C2050&gt;1,E2049&lt;&gt;""),ABS(D2050-E2049),"")</f>
        <v/>
      </c>
    </row>
    <row r="2051">
      <c r="A2051" t="n">
        <v>2051</v>
      </c>
      <c r="B2051">
        <f>IF(INDEX('Data Entry'!$H$5:$BE$10004,2051-4,'Visual SPC'!$B$3)="",0,IF(AND(OR('Visual SPC'!$C$4="",'Data Entry'!$C2051&gt;='Visual SPC'!$C$4),OR('Visual SPC'!$E$4="",'Data Entry'!$C2051&lt;='Visual SPC'!$E$4),OR('Visual SPC'!$G$4="",'Data Entry'!$D2051='Visual SPC'!$G$4),OR('Visual SPC'!$I$4="",'Data Entry'!$E2051='Visual SPC'!$I$4),OR('Visual SPC'!$K$4="",'Data Entry'!$F2051='Visual SPC'!$K$4)),1,0))</f>
        <v/>
      </c>
      <c r="C2051">
        <f>C2050+B2051</f>
        <v/>
      </c>
      <c r="D2051">
        <f>IF(B2051=1,INDEX('Data Entry'!$H$5:$BE$10004,2051-4,'Visual SPC'!$B$3),"")</f>
        <v/>
      </c>
      <c r="E2051">
        <f>IF(B2051=1,D2051,E2050)</f>
        <v/>
      </c>
      <c r="F2051">
        <f>IF(AND(B2051=1,C2051&gt;1,E2050&lt;&gt;""),ABS(D2051-E2050),"")</f>
        <v/>
      </c>
    </row>
    <row r="2052">
      <c r="A2052" t="n">
        <v>2052</v>
      </c>
      <c r="B2052">
        <f>IF(INDEX('Data Entry'!$H$5:$BE$10004,2052-4,'Visual SPC'!$B$3)="",0,IF(AND(OR('Visual SPC'!$C$4="",'Data Entry'!$C2052&gt;='Visual SPC'!$C$4),OR('Visual SPC'!$E$4="",'Data Entry'!$C2052&lt;='Visual SPC'!$E$4),OR('Visual SPC'!$G$4="",'Data Entry'!$D2052='Visual SPC'!$G$4),OR('Visual SPC'!$I$4="",'Data Entry'!$E2052='Visual SPC'!$I$4),OR('Visual SPC'!$K$4="",'Data Entry'!$F2052='Visual SPC'!$K$4)),1,0))</f>
        <v/>
      </c>
      <c r="C2052">
        <f>C2051+B2052</f>
        <v/>
      </c>
      <c r="D2052">
        <f>IF(B2052=1,INDEX('Data Entry'!$H$5:$BE$10004,2052-4,'Visual SPC'!$B$3),"")</f>
        <v/>
      </c>
      <c r="E2052">
        <f>IF(B2052=1,D2052,E2051)</f>
        <v/>
      </c>
      <c r="F2052">
        <f>IF(AND(B2052=1,C2052&gt;1,E2051&lt;&gt;""),ABS(D2052-E2051),"")</f>
        <v/>
      </c>
    </row>
    <row r="2053">
      <c r="A2053" t="n">
        <v>2053</v>
      </c>
      <c r="B2053">
        <f>IF(INDEX('Data Entry'!$H$5:$BE$10004,2053-4,'Visual SPC'!$B$3)="",0,IF(AND(OR('Visual SPC'!$C$4="",'Data Entry'!$C2053&gt;='Visual SPC'!$C$4),OR('Visual SPC'!$E$4="",'Data Entry'!$C2053&lt;='Visual SPC'!$E$4),OR('Visual SPC'!$G$4="",'Data Entry'!$D2053='Visual SPC'!$G$4),OR('Visual SPC'!$I$4="",'Data Entry'!$E2053='Visual SPC'!$I$4),OR('Visual SPC'!$K$4="",'Data Entry'!$F2053='Visual SPC'!$K$4)),1,0))</f>
        <v/>
      </c>
      <c r="C2053">
        <f>C2052+B2053</f>
        <v/>
      </c>
      <c r="D2053">
        <f>IF(B2053=1,INDEX('Data Entry'!$H$5:$BE$10004,2053-4,'Visual SPC'!$B$3),"")</f>
        <v/>
      </c>
      <c r="E2053">
        <f>IF(B2053=1,D2053,E2052)</f>
        <v/>
      </c>
      <c r="F2053">
        <f>IF(AND(B2053=1,C2053&gt;1,E2052&lt;&gt;""),ABS(D2053-E2052),"")</f>
        <v/>
      </c>
    </row>
    <row r="2054">
      <c r="A2054" t="n">
        <v>2054</v>
      </c>
      <c r="B2054">
        <f>IF(INDEX('Data Entry'!$H$5:$BE$10004,2054-4,'Visual SPC'!$B$3)="",0,IF(AND(OR('Visual SPC'!$C$4="",'Data Entry'!$C2054&gt;='Visual SPC'!$C$4),OR('Visual SPC'!$E$4="",'Data Entry'!$C2054&lt;='Visual SPC'!$E$4),OR('Visual SPC'!$G$4="",'Data Entry'!$D2054='Visual SPC'!$G$4),OR('Visual SPC'!$I$4="",'Data Entry'!$E2054='Visual SPC'!$I$4),OR('Visual SPC'!$K$4="",'Data Entry'!$F2054='Visual SPC'!$K$4)),1,0))</f>
        <v/>
      </c>
      <c r="C2054">
        <f>C2053+B2054</f>
        <v/>
      </c>
      <c r="D2054">
        <f>IF(B2054=1,INDEX('Data Entry'!$H$5:$BE$10004,2054-4,'Visual SPC'!$B$3),"")</f>
        <v/>
      </c>
      <c r="E2054">
        <f>IF(B2054=1,D2054,E2053)</f>
        <v/>
      </c>
      <c r="F2054">
        <f>IF(AND(B2054=1,C2054&gt;1,E2053&lt;&gt;""),ABS(D2054-E2053),"")</f>
        <v/>
      </c>
    </row>
    <row r="2055">
      <c r="A2055" t="n">
        <v>2055</v>
      </c>
      <c r="B2055">
        <f>IF(INDEX('Data Entry'!$H$5:$BE$10004,2055-4,'Visual SPC'!$B$3)="",0,IF(AND(OR('Visual SPC'!$C$4="",'Data Entry'!$C2055&gt;='Visual SPC'!$C$4),OR('Visual SPC'!$E$4="",'Data Entry'!$C2055&lt;='Visual SPC'!$E$4),OR('Visual SPC'!$G$4="",'Data Entry'!$D2055='Visual SPC'!$G$4),OR('Visual SPC'!$I$4="",'Data Entry'!$E2055='Visual SPC'!$I$4),OR('Visual SPC'!$K$4="",'Data Entry'!$F2055='Visual SPC'!$K$4)),1,0))</f>
        <v/>
      </c>
      <c r="C2055">
        <f>C2054+B2055</f>
        <v/>
      </c>
      <c r="D2055">
        <f>IF(B2055=1,INDEX('Data Entry'!$H$5:$BE$10004,2055-4,'Visual SPC'!$B$3),"")</f>
        <v/>
      </c>
      <c r="E2055">
        <f>IF(B2055=1,D2055,E2054)</f>
        <v/>
      </c>
      <c r="F2055">
        <f>IF(AND(B2055=1,C2055&gt;1,E2054&lt;&gt;""),ABS(D2055-E2054),"")</f>
        <v/>
      </c>
    </row>
    <row r="2056">
      <c r="A2056" t="n">
        <v>2056</v>
      </c>
      <c r="B2056">
        <f>IF(INDEX('Data Entry'!$H$5:$BE$10004,2056-4,'Visual SPC'!$B$3)="",0,IF(AND(OR('Visual SPC'!$C$4="",'Data Entry'!$C2056&gt;='Visual SPC'!$C$4),OR('Visual SPC'!$E$4="",'Data Entry'!$C2056&lt;='Visual SPC'!$E$4),OR('Visual SPC'!$G$4="",'Data Entry'!$D2056='Visual SPC'!$G$4),OR('Visual SPC'!$I$4="",'Data Entry'!$E2056='Visual SPC'!$I$4),OR('Visual SPC'!$K$4="",'Data Entry'!$F2056='Visual SPC'!$K$4)),1,0))</f>
        <v/>
      </c>
      <c r="C2056">
        <f>C2055+B2056</f>
        <v/>
      </c>
      <c r="D2056">
        <f>IF(B2056=1,INDEX('Data Entry'!$H$5:$BE$10004,2056-4,'Visual SPC'!$B$3),"")</f>
        <v/>
      </c>
      <c r="E2056">
        <f>IF(B2056=1,D2056,E2055)</f>
        <v/>
      </c>
      <c r="F2056">
        <f>IF(AND(B2056=1,C2056&gt;1,E2055&lt;&gt;""),ABS(D2056-E2055),"")</f>
        <v/>
      </c>
    </row>
    <row r="2057">
      <c r="A2057" t="n">
        <v>2057</v>
      </c>
      <c r="B2057">
        <f>IF(INDEX('Data Entry'!$H$5:$BE$10004,2057-4,'Visual SPC'!$B$3)="",0,IF(AND(OR('Visual SPC'!$C$4="",'Data Entry'!$C2057&gt;='Visual SPC'!$C$4),OR('Visual SPC'!$E$4="",'Data Entry'!$C2057&lt;='Visual SPC'!$E$4),OR('Visual SPC'!$G$4="",'Data Entry'!$D2057='Visual SPC'!$G$4),OR('Visual SPC'!$I$4="",'Data Entry'!$E2057='Visual SPC'!$I$4),OR('Visual SPC'!$K$4="",'Data Entry'!$F2057='Visual SPC'!$K$4)),1,0))</f>
        <v/>
      </c>
      <c r="C2057">
        <f>C2056+B2057</f>
        <v/>
      </c>
      <c r="D2057">
        <f>IF(B2057=1,INDEX('Data Entry'!$H$5:$BE$10004,2057-4,'Visual SPC'!$B$3),"")</f>
        <v/>
      </c>
      <c r="E2057">
        <f>IF(B2057=1,D2057,E2056)</f>
        <v/>
      </c>
      <c r="F2057">
        <f>IF(AND(B2057=1,C2057&gt;1,E2056&lt;&gt;""),ABS(D2057-E2056),"")</f>
        <v/>
      </c>
    </row>
    <row r="2058">
      <c r="A2058" t="n">
        <v>2058</v>
      </c>
      <c r="B2058">
        <f>IF(INDEX('Data Entry'!$H$5:$BE$10004,2058-4,'Visual SPC'!$B$3)="",0,IF(AND(OR('Visual SPC'!$C$4="",'Data Entry'!$C2058&gt;='Visual SPC'!$C$4),OR('Visual SPC'!$E$4="",'Data Entry'!$C2058&lt;='Visual SPC'!$E$4),OR('Visual SPC'!$G$4="",'Data Entry'!$D2058='Visual SPC'!$G$4),OR('Visual SPC'!$I$4="",'Data Entry'!$E2058='Visual SPC'!$I$4),OR('Visual SPC'!$K$4="",'Data Entry'!$F2058='Visual SPC'!$K$4)),1,0))</f>
        <v/>
      </c>
      <c r="C2058">
        <f>C2057+B2058</f>
        <v/>
      </c>
      <c r="D2058">
        <f>IF(B2058=1,INDEX('Data Entry'!$H$5:$BE$10004,2058-4,'Visual SPC'!$B$3),"")</f>
        <v/>
      </c>
      <c r="E2058">
        <f>IF(B2058=1,D2058,E2057)</f>
        <v/>
      </c>
      <c r="F2058">
        <f>IF(AND(B2058=1,C2058&gt;1,E2057&lt;&gt;""),ABS(D2058-E2057),"")</f>
        <v/>
      </c>
    </row>
    <row r="2059">
      <c r="A2059" t="n">
        <v>2059</v>
      </c>
      <c r="B2059">
        <f>IF(INDEX('Data Entry'!$H$5:$BE$10004,2059-4,'Visual SPC'!$B$3)="",0,IF(AND(OR('Visual SPC'!$C$4="",'Data Entry'!$C2059&gt;='Visual SPC'!$C$4),OR('Visual SPC'!$E$4="",'Data Entry'!$C2059&lt;='Visual SPC'!$E$4),OR('Visual SPC'!$G$4="",'Data Entry'!$D2059='Visual SPC'!$G$4),OR('Visual SPC'!$I$4="",'Data Entry'!$E2059='Visual SPC'!$I$4),OR('Visual SPC'!$K$4="",'Data Entry'!$F2059='Visual SPC'!$K$4)),1,0))</f>
        <v/>
      </c>
      <c r="C2059">
        <f>C2058+B2059</f>
        <v/>
      </c>
      <c r="D2059">
        <f>IF(B2059=1,INDEX('Data Entry'!$H$5:$BE$10004,2059-4,'Visual SPC'!$B$3),"")</f>
        <v/>
      </c>
      <c r="E2059">
        <f>IF(B2059=1,D2059,E2058)</f>
        <v/>
      </c>
      <c r="F2059">
        <f>IF(AND(B2059=1,C2059&gt;1,E2058&lt;&gt;""),ABS(D2059-E2058),"")</f>
        <v/>
      </c>
    </row>
    <row r="2060">
      <c r="A2060" t="n">
        <v>2060</v>
      </c>
      <c r="B2060">
        <f>IF(INDEX('Data Entry'!$H$5:$BE$10004,2060-4,'Visual SPC'!$B$3)="",0,IF(AND(OR('Visual SPC'!$C$4="",'Data Entry'!$C2060&gt;='Visual SPC'!$C$4),OR('Visual SPC'!$E$4="",'Data Entry'!$C2060&lt;='Visual SPC'!$E$4),OR('Visual SPC'!$G$4="",'Data Entry'!$D2060='Visual SPC'!$G$4),OR('Visual SPC'!$I$4="",'Data Entry'!$E2060='Visual SPC'!$I$4),OR('Visual SPC'!$K$4="",'Data Entry'!$F2060='Visual SPC'!$K$4)),1,0))</f>
        <v/>
      </c>
      <c r="C2060">
        <f>C2059+B2060</f>
        <v/>
      </c>
      <c r="D2060">
        <f>IF(B2060=1,INDEX('Data Entry'!$H$5:$BE$10004,2060-4,'Visual SPC'!$B$3),"")</f>
        <v/>
      </c>
      <c r="E2060">
        <f>IF(B2060=1,D2060,E2059)</f>
        <v/>
      </c>
      <c r="F2060">
        <f>IF(AND(B2060=1,C2060&gt;1,E2059&lt;&gt;""),ABS(D2060-E2059),"")</f>
        <v/>
      </c>
    </row>
    <row r="2061">
      <c r="A2061" t="n">
        <v>2061</v>
      </c>
      <c r="B2061">
        <f>IF(INDEX('Data Entry'!$H$5:$BE$10004,2061-4,'Visual SPC'!$B$3)="",0,IF(AND(OR('Visual SPC'!$C$4="",'Data Entry'!$C2061&gt;='Visual SPC'!$C$4),OR('Visual SPC'!$E$4="",'Data Entry'!$C2061&lt;='Visual SPC'!$E$4),OR('Visual SPC'!$G$4="",'Data Entry'!$D2061='Visual SPC'!$G$4),OR('Visual SPC'!$I$4="",'Data Entry'!$E2061='Visual SPC'!$I$4),OR('Visual SPC'!$K$4="",'Data Entry'!$F2061='Visual SPC'!$K$4)),1,0))</f>
        <v/>
      </c>
      <c r="C2061">
        <f>C2060+B2061</f>
        <v/>
      </c>
      <c r="D2061">
        <f>IF(B2061=1,INDEX('Data Entry'!$H$5:$BE$10004,2061-4,'Visual SPC'!$B$3),"")</f>
        <v/>
      </c>
      <c r="E2061">
        <f>IF(B2061=1,D2061,E2060)</f>
        <v/>
      </c>
      <c r="F2061">
        <f>IF(AND(B2061=1,C2061&gt;1,E2060&lt;&gt;""),ABS(D2061-E2060),"")</f>
        <v/>
      </c>
    </row>
    <row r="2062">
      <c r="A2062" t="n">
        <v>2062</v>
      </c>
      <c r="B2062">
        <f>IF(INDEX('Data Entry'!$H$5:$BE$10004,2062-4,'Visual SPC'!$B$3)="",0,IF(AND(OR('Visual SPC'!$C$4="",'Data Entry'!$C2062&gt;='Visual SPC'!$C$4),OR('Visual SPC'!$E$4="",'Data Entry'!$C2062&lt;='Visual SPC'!$E$4),OR('Visual SPC'!$G$4="",'Data Entry'!$D2062='Visual SPC'!$G$4),OR('Visual SPC'!$I$4="",'Data Entry'!$E2062='Visual SPC'!$I$4),OR('Visual SPC'!$K$4="",'Data Entry'!$F2062='Visual SPC'!$K$4)),1,0))</f>
        <v/>
      </c>
      <c r="C2062">
        <f>C2061+B2062</f>
        <v/>
      </c>
      <c r="D2062">
        <f>IF(B2062=1,INDEX('Data Entry'!$H$5:$BE$10004,2062-4,'Visual SPC'!$B$3),"")</f>
        <v/>
      </c>
      <c r="E2062">
        <f>IF(B2062=1,D2062,E2061)</f>
        <v/>
      </c>
      <c r="F2062">
        <f>IF(AND(B2062=1,C2062&gt;1,E2061&lt;&gt;""),ABS(D2062-E2061),"")</f>
        <v/>
      </c>
    </row>
    <row r="2063">
      <c r="A2063" t="n">
        <v>2063</v>
      </c>
      <c r="B2063">
        <f>IF(INDEX('Data Entry'!$H$5:$BE$10004,2063-4,'Visual SPC'!$B$3)="",0,IF(AND(OR('Visual SPC'!$C$4="",'Data Entry'!$C2063&gt;='Visual SPC'!$C$4),OR('Visual SPC'!$E$4="",'Data Entry'!$C2063&lt;='Visual SPC'!$E$4),OR('Visual SPC'!$G$4="",'Data Entry'!$D2063='Visual SPC'!$G$4),OR('Visual SPC'!$I$4="",'Data Entry'!$E2063='Visual SPC'!$I$4),OR('Visual SPC'!$K$4="",'Data Entry'!$F2063='Visual SPC'!$K$4)),1,0))</f>
        <v/>
      </c>
      <c r="C2063">
        <f>C2062+B2063</f>
        <v/>
      </c>
      <c r="D2063">
        <f>IF(B2063=1,INDEX('Data Entry'!$H$5:$BE$10004,2063-4,'Visual SPC'!$B$3),"")</f>
        <v/>
      </c>
      <c r="E2063">
        <f>IF(B2063=1,D2063,E2062)</f>
        <v/>
      </c>
      <c r="F2063">
        <f>IF(AND(B2063=1,C2063&gt;1,E2062&lt;&gt;""),ABS(D2063-E2062),"")</f>
        <v/>
      </c>
    </row>
    <row r="2064">
      <c r="A2064" t="n">
        <v>2064</v>
      </c>
      <c r="B2064">
        <f>IF(INDEX('Data Entry'!$H$5:$BE$10004,2064-4,'Visual SPC'!$B$3)="",0,IF(AND(OR('Visual SPC'!$C$4="",'Data Entry'!$C2064&gt;='Visual SPC'!$C$4),OR('Visual SPC'!$E$4="",'Data Entry'!$C2064&lt;='Visual SPC'!$E$4),OR('Visual SPC'!$G$4="",'Data Entry'!$D2064='Visual SPC'!$G$4),OR('Visual SPC'!$I$4="",'Data Entry'!$E2064='Visual SPC'!$I$4),OR('Visual SPC'!$K$4="",'Data Entry'!$F2064='Visual SPC'!$K$4)),1,0))</f>
        <v/>
      </c>
      <c r="C2064">
        <f>C2063+B2064</f>
        <v/>
      </c>
      <c r="D2064">
        <f>IF(B2064=1,INDEX('Data Entry'!$H$5:$BE$10004,2064-4,'Visual SPC'!$B$3),"")</f>
        <v/>
      </c>
      <c r="E2064">
        <f>IF(B2064=1,D2064,E2063)</f>
        <v/>
      </c>
      <c r="F2064">
        <f>IF(AND(B2064=1,C2064&gt;1,E2063&lt;&gt;""),ABS(D2064-E2063),"")</f>
        <v/>
      </c>
    </row>
    <row r="2065">
      <c r="A2065" t="n">
        <v>2065</v>
      </c>
      <c r="B2065">
        <f>IF(INDEX('Data Entry'!$H$5:$BE$10004,2065-4,'Visual SPC'!$B$3)="",0,IF(AND(OR('Visual SPC'!$C$4="",'Data Entry'!$C2065&gt;='Visual SPC'!$C$4),OR('Visual SPC'!$E$4="",'Data Entry'!$C2065&lt;='Visual SPC'!$E$4),OR('Visual SPC'!$G$4="",'Data Entry'!$D2065='Visual SPC'!$G$4),OR('Visual SPC'!$I$4="",'Data Entry'!$E2065='Visual SPC'!$I$4),OR('Visual SPC'!$K$4="",'Data Entry'!$F2065='Visual SPC'!$K$4)),1,0))</f>
        <v/>
      </c>
      <c r="C2065">
        <f>C2064+B2065</f>
        <v/>
      </c>
      <c r="D2065">
        <f>IF(B2065=1,INDEX('Data Entry'!$H$5:$BE$10004,2065-4,'Visual SPC'!$B$3),"")</f>
        <v/>
      </c>
      <c r="E2065">
        <f>IF(B2065=1,D2065,E2064)</f>
        <v/>
      </c>
      <c r="F2065">
        <f>IF(AND(B2065=1,C2065&gt;1,E2064&lt;&gt;""),ABS(D2065-E2064),"")</f>
        <v/>
      </c>
    </row>
    <row r="2066">
      <c r="A2066" t="n">
        <v>2066</v>
      </c>
      <c r="B2066">
        <f>IF(INDEX('Data Entry'!$H$5:$BE$10004,2066-4,'Visual SPC'!$B$3)="",0,IF(AND(OR('Visual SPC'!$C$4="",'Data Entry'!$C2066&gt;='Visual SPC'!$C$4),OR('Visual SPC'!$E$4="",'Data Entry'!$C2066&lt;='Visual SPC'!$E$4),OR('Visual SPC'!$G$4="",'Data Entry'!$D2066='Visual SPC'!$G$4),OR('Visual SPC'!$I$4="",'Data Entry'!$E2066='Visual SPC'!$I$4),OR('Visual SPC'!$K$4="",'Data Entry'!$F2066='Visual SPC'!$K$4)),1,0))</f>
        <v/>
      </c>
      <c r="C2066">
        <f>C2065+B2066</f>
        <v/>
      </c>
      <c r="D2066">
        <f>IF(B2066=1,INDEX('Data Entry'!$H$5:$BE$10004,2066-4,'Visual SPC'!$B$3),"")</f>
        <v/>
      </c>
      <c r="E2066">
        <f>IF(B2066=1,D2066,E2065)</f>
        <v/>
      </c>
      <c r="F2066">
        <f>IF(AND(B2066=1,C2066&gt;1,E2065&lt;&gt;""),ABS(D2066-E2065),"")</f>
        <v/>
      </c>
    </row>
    <row r="2067">
      <c r="A2067" t="n">
        <v>2067</v>
      </c>
      <c r="B2067">
        <f>IF(INDEX('Data Entry'!$H$5:$BE$10004,2067-4,'Visual SPC'!$B$3)="",0,IF(AND(OR('Visual SPC'!$C$4="",'Data Entry'!$C2067&gt;='Visual SPC'!$C$4),OR('Visual SPC'!$E$4="",'Data Entry'!$C2067&lt;='Visual SPC'!$E$4),OR('Visual SPC'!$G$4="",'Data Entry'!$D2067='Visual SPC'!$G$4),OR('Visual SPC'!$I$4="",'Data Entry'!$E2067='Visual SPC'!$I$4),OR('Visual SPC'!$K$4="",'Data Entry'!$F2067='Visual SPC'!$K$4)),1,0))</f>
        <v/>
      </c>
      <c r="C2067">
        <f>C2066+B2067</f>
        <v/>
      </c>
      <c r="D2067">
        <f>IF(B2067=1,INDEX('Data Entry'!$H$5:$BE$10004,2067-4,'Visual SPC'!$B$3),"")</f>
        <v/>
      </c>
      <c r="E2067">
        <f>IF(B2067=1,D2067,E2066)</f>
        <v/>
      </c>
      <c r="F2067">
        <f>IF(AND(B2067=1,C2067&gt;1,E2066&lt;&gt;""),ABS(D2067-E2066),"")</f>
        <v/>
      </c>
    </row>
    <row r="2068">
      <c r="A2068" t="n">
        <v>2068</v>
      </c>
      <c r="B2068">
        <f>IF(INDEX('Data Entry'!$H$5:$BE$10004,2068-4,'Visual SPC'!$B$3)="",0,IF(AND(OR('Visual SPC'!$C$4="",'Data Entry'!$C2068&gt;='Visual SPC'!$C$4),OR('Visual SPC'!$E$4="",'Data Entry'!$C2068&lt;='Visual SPC'!$E$4),OR('Visual SPC'!$G$4="",'Data Entry'!$D2068='Visual SPC'!$G$4),OR('Visual SPC'!$I$4="",'Data Entry'!$E2068='Visual SPC'!$I$4),OR('Visual SPC'!$K$4="",'Data Entry'!$F2068='Visual SPC'!$K$4)),1,0))</f>
        <v/>
      </c>
      <c r="C2068">
        <f>C2067+B2068</f>
        <v/>
      </c>
      <c r="D2068">
        <f>IF(B2068=1,INDEX('Data Entry'!$H$5:$BE$10004,2068-4,'Visual SPC'!$B$3),"")</f>
        <v/>
      </c>
      <c r="E2068">
        <f>IF(B2068=1,D2068,E2067)</f>
        <v/>
      </c>
      <c r="F2068">
        <f>IF(AND(B2068=1,C2068&gt;1,E2067&lt;&gt;""),ABS(D2068-E2067),"")</f>
        <v/>
      </c>
    </row>
    <row r="2069">
      <c r="A2069" t="n">
        <v>2069</v>
      </c>
      <c r="B2069">
        <f>IF(INDEX('Data Entry'!$H$5:$BE$10004,2069-4,'Visual SPC'!$B$3)="",0,IF(AND(OR('Visual SPC'!$C$4="",'Data Entry'!$C2069&gt;='Visual SPC'!$C$4),OR('Visual SPC'!$E$4="",'Data Entry'!$C2069&lt;='Visual SPC'!$E$4),OR('Visual SPC'!$G$4="",'Data Entry'!$D2069='Visual SPC'!$G$4),OR('Visual SPC'!$I$4="",'Data Entry'!$E2069='Visual SPC'!$I$4),OR('Visual SPC'!$K$4="",'Data Entry'!$F2069='Visual SPC'!$K$4)),1,0))</f>
        <v/>
      </c>
      <c r="C2069">
        <f>C2068+B2069</f>
        <v/>
      </c>
      <c r="D2069">
        <f>IF(B2069=1,INDEX('Data Entry'!$H$5:$BE$10004,2069-4,'Visual SPC'!$B$3),"")</f>
        <v/>
      </c>
      <c r="E2069">
        <f>IF(B2069=1,D2069,E2068)</f>
        <v/>
      </c>
      <c r="F2069">
        <f>IF(AND(B2069=1,C2069&gt;1,E2068&lt;&gt;""),ABS(D2069-E2068),"")</f>
        <v/>
      </c>
    </row>
    <row r="2070">
      <c r="A2070" t="n">
        <v>2070</v>
      </c>
      <c r="B2070">
        <f>IF(INDEX('Data Entry'!$H$5:$BE$10004,2070-4,'Visual SPC'!$B$3)="",0,IF(AND(OR('Visual SPC'!$C$4="",'Data Entry'!$C2070&gt;='Visual SPC'!$C$4),OR('Visual SPC'!$E$4="",'Data Entry'!$C2070&lt;='Visual SPC'!$E$4),OR('Visual SPC'!$G$4="",'Data Entry'!$D2070='Visual SPC'!$G$4),OR('Visual SPC'!$I$4="",'Data Entry'!$E2070='Visual SPC'!$I$4),OR('Visual SPC'!$K$4="",'Data Entry'!$F2070='Visual SPC'!$K$4)),1,0))</f>
        <v/>
      </c>
      <c r="C2070">
        <f>C2069+B2070</f>
        <v/>
      </c>
      <c r="D2070">
        <f>IF(B2070=1,INDEX('Data Entry'!$H$5:$BE$10004,2070-4,'Visual SPC'!$B$3),"")</f>
        <v/>
      </c>
      <c r="E2070">
        <f>IF(B2070=1,D2070,E2069)</f>
        <v/>
      </c>
      <c r="F2070">
        <f>IF(AND(B2070=1,C2070&gt;1,E2069&lt;&gt;""),ABS(D2070-E2069),"")</f>
        <v/>
      </c>
    </row>
    <row r="2071">
      <c r="A2071" t="n">
        <v>2071</v>
      </c>
      <c r="B2071">
        <f>IF(INDEX('Data Entry'!$H$5:$BE$10004,2071-4,'Visual SPC'!$B$3)="",0,IF(AND(OR('Visual SPC'!$C$4="",'Data Entry'!$C2071&gt;='Visual SPC'!$C$4),OR('Visual SPC'!$E$4="",'Data Entry'!$C2071&lt;='Visual SPC'!$E$4),OR('Visual SPC'!$G$4="",'Data Entry'!$D2071='Visual SPC'!$G$4),OR('Visual SPC'!$I$4="",'Data Entry'!$E2071='Visual SPC'!$I$4),OR('Visual SPC'!$K$4="",'Data Entry'!$F2071='Visual SPC'!$K$4)),1,0))</f>
        <v/>
      </c>
      <c r="C2071">
        <f>C2070+B2071</f>
        <v/>
      </c>
      <c r="D2071">
        <f>IF(B2071=1,INDEX('Data Entry'!$H$5:$BE$10004,2071-4,'Visual SPC'!$B$3),"")</f>
        <v/>
      </c>
      <c r="E2071">
        <f>IF(B2071=1,D2071,E2070)</f>
        <v/>
      </c>
      <c r="F2071">
        <f>IF(AND(B2071=1,C2071&gt;1,E2070&lt;&gt;""),ABS(D2071-E2070),"")</f>
        <v/>
      </c>
    </row>
    <row r="2072">
      <c r="A2072" t="n">
        <v>2072</v>
      </c>
      <c r="B2072">
        <f>IF(INDEX('Data Entry'!$H$5:$BE$10004,2072-4,'Visual SPC'!$B$3)="",0,IF(AND(OR('Visual SPC'!$C$4="",'Data Entry'!$C2072&gt;='Visual SPC'!$C$4),OR('Visual SPC'!$E$4="",'Data Entry'!$C2072&lt;='Visual SPC'!$E$4),OR('Visual SPC'!$G$4="",'Data Entry'!$D2072='Visual SPC'!$G$4),OR('Visual SPC'!$I$4="",'Data Entry'!$E2072='Visual SPC'!$I$4),OR('Visual SPC'!$K$4="",'Data Entry'!$F2072='Visual SPC'!$K$4)),1,0))</f>
        <v/>
      </c>
      <c r="C2072">
        <f>C2071+B2072</f>
        <v/>
      </c>
      <c r="D2072">
        <f>IF(B2072=1,INDEX('Data Entry'!$H$5:$BE$10004,2072-4,'Visual SPC'!$B$3),"")</f>
        <v/>
      </c>
      <c r="E2072">
        <f>IF(B2072=1,D2072,E2071)</f>
        <v/>
      </c>
      <c r="F2072">
        <f>IF(AND(B2072=1,C2072&gt;1,E2071&lt;&gt;""),ABS(D2072-E2071),"")</f>
        <v/>
      </c>
    </row>
    <row r="2073">
      <c r="A2073" t="n">
        <v>2073</v>
      </c>
      <c r="B2073">
        <f>IF(INDEX('Data Entry'!$H$5:$BE$10004,2073-4,'Visual SPC'!$B$3)="",0,IF(AND(OR('Visual SPC'!$C$4="",'Data Entry'!$C2073&gt;='Visual SPC'!$C$4),OR('Visual SPC'!$E$4="",'Data Entry'!$C2073&lt;='Visual SPC'!$E$4),OR('Visual SPC'!$G$4="",'Data Entry'!$D2073='Visual SPC'!$G$4),OR('Visual SPC'!$I$4="",'Data Entry'!$E2073='Visual SPC'!$I$4),OR('Visual SPC'!$K$4="",'Data Entry'!$F2073='Visual SPC'!$K$4)),1,0))</f>
        <v/>
      </c>
      <c r="C2073">
        <f>C2072+B2073</f>
        <v/>
      </c>
      <c r="D2073">
        <f>IF(B2073=1,INDEX('Data Entry'!$H$5:$BE$10004,2073-4,'Visual SPC'!$B$3),"")</f>
        <v/>
      </c>
      <c r="E2073">
        <f>IF(B2073=1,D2073,E2072)</f>
        <v/>
      </c>
      <c r="F2073">
        <f>IF(AND(B2073=1,C2073&gt;1,E2072&lt;&gt;""),ABS(D2073-E2072),"")</f>
        <v/>
      </c>
    </row>
    <row r="2074">
      <c r="A2074" t="n">
        <v>2074</v>
      </c>
      <c r="B2074">
        <f>IF(INDEX('Data Entry'!$H$5:$BE$10004,2074-4,'Visual SPC'!$B$3)="",0,IF(AND(OR('Visual SPC'!$C$4="",'Data Entry'!$C2074&gt;='Visual SPC'!$C$4),OR('Visual SPC'!$E$4="",'Data Entry'!$C2074&lt;='Visual SPC'!$E$4),OR('Visual SPC'!$G$4="",'Data Entry'!$D2074='Visual SPC'!$G$4),OR('Visual SPC'!$I$4="",'Data Entry'!$E2074='Visual SPC'!$I$4),OR('Visual SPC'!$K$4="",'Data Entry'!$F2074='Visual SPC'!$K$4)),1,0))</f>
        <v/>
      </c>
      <c r="C2074">
        <f>C2073+B2074</f>
        <v/>
      </c>
      <c r="D2074">
        <f>IF(B2074=1,INDEX('Data Entry'!$H$5:$BE$10004,2074-4,'Visual SPC'!$B$3),"")</f>
        <v/>
      </c>
      <c r="E2074">
        <f>IF(B2074=1,D2074,E2073)</f>
        <v/>
      </c>
      <c r="F2074">
        <f>IF(AND(B2074=1,C2074&gt;1,E2073&lt;&gt;""),ABS(D2074-E2073),"")</f>
        <v/>
      </c>
    </row>
    <row r="2075">
      <c r="A2075" t="n">
        <v>2075</v>
      </c>
      <c r="B2075">
        <f>IF(INDEX('Data Entry'!$H$5:$BE$10004,2075-4,'Visual SPC'!$B$3)="",0,IF(AND(OR('Visual SPC'!$C$4="",'Data Entry'!$C2075&gt;='Visual SPC'!$C$4),OR('Visual SPC'!$E$4="",'Data Entry'!$C2075&lt;='Visual SPC'!$E$4),OR('Visual SPC'!$G$4="",'Data Entry'!$D2075='Visual SPC'!$G$4),OR('Visual SPC'!$I$4="",'Data Entry'!$E2075='Visual SPC'!$I$4),OR('Visual SPC'!$K$4="",'Data Entry'!$F2075='Visual SPC'!$K$4)),1,0))</f>
        <v/>
      </c>
      <c r="C2075">
        <f>C2074+B2075</f>
        <v/>
      </c>
      <c r="D2075">
        <f>IF(B2075=1,INDEX('Data Entry'!$H$5:$BE$10004,2075-4,'Visual SPC'!$B$3),"")</f>
        <v/>
      </c>
      <c r="E2075">
        <f>IF(B2075=1,D2075,E2074)</f>
        <v/>
      </c>
      <c r="F2075">
        <f>IF(AND(B2075=1,C2075&gt;1,E2074&lt;&gt;""),ABS(D2075-E2074),"")</f>
        <v/>
      </c>
    </row>
    <row r="2076">
      <c r="A2076" t="n">
        <v>2076</v>
      </c>
      <c r="B2076">
        <f>IF(INDEX('Data Entry'!$H$5:$BE$10004,2076-4,'Visual SPC'!$B$3)="",0,IF(AND(OR('Visual SPC'!$C$4="",'Data Entry'!$C2076&gt;='Visual SPC'!$C$4),OR('Visual SPC'!$E$4="",'Data Entry'!$C2076&lt;='Visual SPC'!$E$4),OR('Visual SPC'!$G$4="",'Data Entry'!$D2076='Visual SPC'!$G$4),OR('Visual SPC'!$I$4="",'Data Entry'!$E2076='Visual SPC'!$I$4),OR('Visual SPC'!$K$4="",'Data Entry'!$F2076='Visual SPC'!$K$4)),1,0))</f>
        <v/>
      </c>
      <c r="C2076">
        <f>C2075+B2076</f>
        <v/>
      </c>
      <c r="D2076">
        <f>IF(B2076=1,INDEX('Data Entry'!$H$5:$BE$10004,2076-4,'Visual SPC'!$B$3),"")</f>
        <v/>
      </c>
      <c r="E2076">
        <f>IF(B2076=1,D2076,E2075)</f>
        <v/>
      </c>
      <c r="F2076">
        <f>IF(AND(B2076=1,C2076&gt;1,E2075&lt;&gt;""),ABS(D2076-E2075),"")</f>
        <v/>
      </c>
    </row>
    <row r="2077">
      <c r="A2077" t="n">
        <v>2077</v>
      </c>
      <c r="B2077">
        <f>IF(INDEX('Data Entry'!$H$5:$BE$10004,2077-4,'Visual SPC'!$B$3)="",0,IF(AND(OR('Visual SPC'!$C$4="",'Data Entry'!$C2077&gt;='Visual SPC'!$C$4),OR('Visual SPC'!$E$4="",'Data Entry'!$C2077&lt;='Visual SPC'!$E$4),OR('Visual SPC'!$G$4="",'Data Entry'!$D2077='Visual SPC'!$G$4),OR('Visual SPC'!$I$4="",'Data Entry'!$E2077='Visual SPC'!$I$4),OR('Visual SPC'!$K$4="",'Data Entry'!$F2077='Visual SPC'!$K$4)),1,0))</f>
        <v/>
      </c>
      <c r="C2077">
        <f>C2076+B2077</f>
        <v/>
      </c>
      <c r="D2077">
        <f>IF(B2077=1,INDEX('Data Entry'!$H$5:$BE$10004,2077-4,'Visual SPC'!$B$3),"")</f>
        <v/>
      </c>
      <c r="E2077">
        <f>IF(B2077=1,D2077,E2076)</f>
        <v/>
      </c>
      <c r="F2077">
        <f>IF(AND(B2077=1,C2077&gt;1,E2076&lt;&gt;""),ABS(D2077-E2076),"")</f>
        <v/>
      </c>
    </row>
    <row r="2078">
      <c r="A2078" t="n">
        <v>2078</v>
      </c>
      <c r="B2078">
        <f>IF(INDEX('Data Entry'!$H$5:$BE$10004,2078-4,'Visual SPC'!$B$3)="",0,IF(AND(OR('Visual SPC'!$C$4="",'Data Entry'!$C2078&gt;='Visual SPC'!$C$4),OR('Visual SPC'!$E$4="",'Data Entry'!$C2078&lt;='Visual SPC'!$E$4),OR('Visual SPC'!$G$4="",'Data Entry'!$D2078='Visual SPC'!$G$4),OR('Visual SPC'!$I$4="",'Data Entry'!$E2078='Visual SPC'!$I$4),OR('Visual SPC'!$K$4="",'Data Entry'!$F2078='Visual SPC'!$K$4)),1,0))</f>
        <v/>
      </c>
      <c r="C2078">
        <f>C2077+B2078</f>
        <v/>
      </c>
      <c r="D2078">
        <f>IF(B2078=1,INDEX('Data Entry'!$H$5:$BE$10004,2078-4,'Visual SPC'!$B$3),"")</f>
        <v/>
      </c>
      <c r="E2078">
        <f>IF(B2078=1,D2078,E2077)</f>
        <v/>
      </c>
      <c r="F2078">
        <f>IF(AND(B2078=1,C2078&gt;1,E2077&lt;&gt;""),ABS(D2078-E2077),"")</f>
        <v/>
      </c>
    </row>
    <row r="2079">
      <c r="A2079" t="n">
        <v>2079</v>
      </c>
      <c r="B2079">
        <f>IF(INDEX('Data Entry'!$H$5:$BE$10004,2079-4,'Visual SPC'!$B$3)="",0,IF(AND(OR('Visual SPC'!$C$4="",'Data Entry'!$C2079&gt;='Visual SPC'!$C$4),OR('Visual SPC'!$E$4="",'Data Entry'!$C2079&lt;='Visual SPC'!$E$4),OR('Visual SPC'!$G$4="",'Data Entry'!$D2079='Visual SPC'!$G$4),OR('Visual SPC'!$I$4="",'Data Entry'!$E2079='Visual SPC'!$I$4),OR('Visual SPC'!$K$4="",'Data Entry'!$F2079='Visual SPC'!$K$4)),1,0))</f>
        <v/>
      </c>
      <c r="C2079">
        <f>C2078+B2079</f>
        <v/>
      </c>
      <c r="D2079">
        <f>IF(B2079=1,INDEX('Data Entry'!$H$5:$BE$10004,2079-4,'Visual SPC'!$B$3),"")</f>
        <v/>
      </c>
      <c r="E2079">
        <f>IF(B2079=1,D2079,E2078)</f>
        <v/>
      </c>
      <c r="F2079">
        <f>IF(AND(B2079=1,C2079&gt;1,E2078&lt;&gt;""),ABS(D2079-E2078),"")</f>
        <v/>
      </c>
    </row>
    <row r="2080">
      <c r="A2080" t="n">
        <v>2080</v>
      </c>
      <c r="B2080">
        <f>IF(INDEX('Data Entry'!$H$5:$BE$10004,2080-4,'Visual SPC'!$B$3)="",0,IF(AND(OR('Visual SPC'!$C$4="",'Data Entry'!$C2080&gt;='Visual SPC'!$C$4),OR('Visual SPC'!$E$4="",'Data Entry'!$C2080&lt;='Visual SPC'!$E$4),OR('Visual SPC'!$G$4="",'Data Entry'!$D2080='Visual SPC'!$G$4),OR('Visual SPC'!$I$4="",'Data Entry'!$E2080='Visual SPC'!$I$4),OR('Visual SPC'!$K$4="",'Data Entry'!$F2080='Visual SPC'!$K$4)),1,0))</f>
        <v/>
      </c>
      <c r="C2080">
        <f>C2079+B2080</f>
        <v/>
      </c>
      <c r="D2080">
        <f>IF(B2080=1,INDEX('Data Entry'!$H$5:$BE$10004,2080-4,'Visual SPC'!$B$3),"")</f>
        <v/>
      </c>
      <c r="E2080">
        <f>IF(B2080=1,D2080,E2079)</f>
        <v/>
      </c>
      <c r="F2080">
        <f>IF(AND(B2080=1,C2080&gt;1,E2079&lt;&gt;""),ABS(D2080-E2079),"")</f>
        <v/>
      </c>
    </row>
    <row r="2081">
      <c r="A2081" t="n">
        <v>2081</v>
      </c>
      <c r="B2081">
        <f>IF(INDEX('Data Entry'!$H$5:$BE$10004,2081-4,'Visual SPC'!$B$3)="",0,IF(AND(OR('Visual SPC'!$C$4="",'Data Entry'!$C2081&gt;='Visual SPC'!$C$4),OR('Visual SPC'!$E$4="",'Data Entry'!$C2081&lt;='Visual SPC'!$E$4),OR('Visual SPC'!$G$4="",'Data Entry'!$D2081='Visual SPC'!$G$4),OR('Visual SPC'!$I$4="",'Data Entry'!$E2081='Visual SPC'!$I$4),OR('Visual SPC'!$K$4="",'Data Entry'!$F2081='Visual SPC'!$K$4)),1,0))</f>
        <v/>
      </c>
      <c r="C2081">
        <f>C2080+B2081</f>
        <v/>
      </c>
      <c r="D2081">
        <f>IF(B2081=1,INDEX('Data Entry'!$H$5:$BE$10004,2081-4,'Visual SPC'!$B$3),"")</f>
        <v/>
      </c>
      <c r="E2081">
        <f>IF(B2081=1,D2081,E2080)</f>
        <v/>
      </c>
      <c r="F2081">
        <f>IF(AND(B2081=1,C2081&gt;1,E2080&lt;&gt;""),ABS(D2081-E2080),"")</f>
        <v/>
      </c>
    </row>
    <row r="2082">
      <c r="A2082" t="n">
        <v>2082</v>
      </c>
      <c r="B2082">
        <f>IF(INDEX('Data Entry'!$H$5:$BE$10004,2082-4,'Visual SPC'!$B$3)="",0,IF(AND(OR('Visual SPC'!$C$4="",'Data Entry'!$C2082&gt;='Visual SPC'!$C$4),OR('Visual SPC'!$E$4="",'Data Entry'!$C2082&lt;='Visual SPC'!$E$4),OR('Visual SPC'!$G$4="",'Data Entry'!$D2082='Visual SPC'!$G$4),OR('Visual SPC'!$I$4="",'Data Entry'!$E2082='Visual SPC'!$I$4),OR('Visual SPC'!$K$4="",'Data Entry'!$F2082='Visual SPC'!$K$4)),1,0))</f>
        <v/>
      </c>
      <c r="C2082">
        <f>C2081+B2082</f>
        <v/>
      </c>
      <c r="D2082">
        <f>IF(B2082=1,INDEX('Data Entry'!$H$5:$BE$10004,2082-4,'Visual SPC'!$B$3),"")</f>
        <v/>
      </c>
      <c r="E2082">
        <f>IF(B2082=1,D2082,E2081)</f>
        <v/>
      </c>
      <c r="F2082">
        <f>IF(AND(B2082=1,C2082&gt;1,E2081&lt;&gt;""),ABS(D2082-E2081),"")</f>
        <v/>
      </c>
    </row>
    <row r="2083">
      <c r="A2083" t="n">
        <v>2083</v>
      </c>
      <c r="B2083">
        <f>IF(INDEX('Data Entry'!$H$5:$BE$10004,2083-4,'Visual SPC'!$B$3)="",0,IF(AND(OR('Visual SPC'!$C$4="",'Data Entry'!$C2083&gt;='Visual SPC'!$C$4),OR('Visual SPC'!$E$4="",'Data Entry'!$C2083&lt;='Visual SPC'!$E$4),OR('Visual SPC'!$G$4="",'Data Entry'!$D2083='Visual SPC'!$G$4),OR('Visual SPC'!$I$4="",'Data Entry'!$E2083='Visual SPC'!$I$4),OR('Visual SPC'!$K$4="",'Data Entry'!$F2083='Visual SPC'!$K$4)),1,0))</f>
        <v/>
      </c>
      <c r="C2083">
        <f>C2082+B2083</f>
        <v/>
      </c>
      <c r="D2083">
        <f>IF(B2083=1,INDEX('Data Entry'!$H$5:$BE$10004,2083-4,'Visual SPC'!$B$3),"")</f>
        <v/>
      </c>
      <c r="E2083">
        <f>IF(B2083=1,D2083,E2082)</f>
        <v/>
      </c>
      <c r="F2083">
        <f>IF(AND(B2083=1,C2083&gt;1,E2082&lt;&gt;""),ABS(D2083-E2082),"")</f>
        <v/>
      </c>
    </row>
    <row r="2084">
      <c r="A2084" t="n">
        <v>2084</v>
      </c>
      <c r="B2084">
        <f>IF(INDEX('Data Entry'!$H$5:$BE$10004,2084-4,'Visual SPC'!$B$3)="",0,IF(AND(OR('Visual SPC'!$C$4="",'Data Entry'!$C2084&gt;='Visual SPC'!$C$4),OR('Visual SPC'!$E$4="",'Data Entry'!$C2084&lt;='Visual SPC'!$E$4),OR('Visual SPC'!$G$4="",'Data Entry'!$D2084='Visual SPC'!$G$4),OR('Visual SPC'!$I$4="",'Data Entry'!$E2084='Visual SPC'!$I$4),OR('Visual SPC'!$K$4="",'Data Entry'!$F2084='Visual SPC'!$K$4)),1,0))</f>
        <v/>
      </c>
      <c r="C2084">
        <f>C2083+B2084</f>
        <v/>
      </c>
      <c r="D2084">
        <f>IF(B2084=1,INDEX('Data Entry'!$H$5:$BE$10004,2084-4,'Visual SPC'!$B$3),"")</f>
        <v/>
      </c>
      <c r="E2084">
        <f>IF(B2084=1,D2084,E2083)</f>
        <v/>
      </c>
      <c r="F2084">
        <f>IF(AND(B2084=1,C2084&gt;1,E2083&lt;&gt;""),ABS(D2084-E2083),"")</f>
        <v/>
      </c>
    </row>
    <row r="2085">
      <c r="A2085" t="n">
        <v>2085</v>
      </c>
      <c r="B2085">
        <f>IF(INDEX('Data Entry'!$H$5:$BE$10004,2085-4,'Visual SPC'!$B$3)="",0,IF(AND(OR('Visual SPC'!$C$4="",'Data Entry'!$C2085&gt;='Visual SPC'!$C$4),OR('Visual SPC'!$E$4="",'Data Entry'!$C2085&lt;='Visual SPC'!$E$4),OR('Visual SPC'!$G$4="",'Data Entry'!$D2085='Visual SPC'!$G$4),OR('Visual SPC'!$I$4="",'Data Entry'!$E2085='Visual SPC'!$I$4),OR('Visual SPC'!$K$4="",'Data Entry'!$F2085='Visual SPC'!$K$4)),1,0))</f>
        <v/>
      </c>
      <c r="C2085">
        <f>C2084+B2085</f>
        <v/>
      </c>
      <c r="D2085">
        <f>IF(B2085=1,INDEX('Data Entry'!$H$5:$BE$10004,2085-4,'Visual SPC'!$B$3),"")</f>
        <v/>
      </c>
      <c r="E2085">
        <f>IF(B2085=1,D2085,E2084)</f>
        <v/>
      </c>
      <c r="F2085">
        <f>IF(AND(B2085=1,C2085&gt;1,E2084&lt;&gt;""),ABS(D2085-E2084),"")</f>
        <v/>
      </c>
    </row>
    <row r="2086">
      <c r="A2086" t="n">
        <v>2086</v>
      </c>
      <c r="B2086">
        <f>IF(INDEX('Data Entry'!$H$5:$BE$10004,2086-4,'Visual SPC'!$B$3)="",0,IF(AND(OR('Visual SPC'!$C$4="",'Data Entry'!$C2086&gt;='Visual SPC'!$C$4),OR('Visual SPC'!$E$4="",'Data Entry'!$C2086&lt;='Visual SPC'!$E$4),OR('Visual SPC'!$G$4="",'Data Entry'!$D2086='Visual SPC'!$G$4),OR('Visual SPC'!$I$4="",'Data Entry'!$E2086='Visual SPC'!$I$4),OR('Visual SPC'!$K$4="",'Data Entry'!$F2086='Visual SPC'!$K$4)),1,0))</f>
        <v/>
      </c>
      <c r="C2086">
        <f>C2085+B2086</f>
        <v/>
      </c>
      <c r="D2086">
        <f>IF(B2086=1,INDEX('Data Entry'!$H$5:$BE$10004,2086-4,'Visual SPC'!$B$3),"")</f>
        <v/>
      </c>
      <c r="E2086">
        <f>IF(B2086=1,D2086,E2085)</f>
        <v/>
      </c>
      <c r="F2086">
        <f>IF(AND(B2086=1,C2086&gt;1,E2085&lt;&gt;""),ABS(D2086-E2085),"")</f>
        <v/>
      </c>
    </row>
    <row r="2087">
      <c r="A2087" t="n">
        <v>2087</v>
      </c>
      <c r="B2087">
        <f>IF(INDEX('Data Entry'!$H$5:$BE$10004,2087-4,'Visual SPC'!$B$3)="",0,IF(AND(OR('Visual SPC'!$C$4="",'Data Entry'!$C2087&gt;='Visual SPC'!$C$4),OR('Visual SPC'!$E$4="",'Data Entry'!$C2087&lt;='Visual SPC'!$E$4),OR('Visual SPC'!$G$4="",'Data Entry'!$D2087='Visual SPC'!$G$4),OR('Visual SPC'!$I$4="",'Data Entry'!$E2087='Visual SPC'!$I$4),OR('Visual SPC'!$K$4="",'Data Entry'!$F2087='Visual SPC'!$K$4)),1,0))</f>
        <v/>
      </c>
      <c r="C2087">
        <f>C2086+B2087</f>
        <v/>
      </c>
      <c r="D2087">
        <f>IF(B2087=1,INDEX('Data Entry'!$H$5:$BE$10004,2087-4,'Visual SPC'!$B$3),"")</f>
        <v/>
      </c>
      <c r="E2087">
        <f>IF(B2087=1,D2087,E2086)</f>
        <v/>
      </c>
      <c r="F2087">
        <f>IF(AND(B2087=1,C2087&gt;1,E2086&lt;&gt;""),ABS(D2087-E2086),"")</f>
        <v/>
      </c>
    </row>
    <row r="2088">
      <c r="A2088" t="n">
        <v>2088</v>
      </c>
      <c r="B2088">
        <f>IF(INDEX('Data Entry'!$H$5:$BE$10004,2088-4,'Visual SPC'!$B$3)="",0,IF(AND(OR('Visual SPC'!$C$4="",'Data Entry'!$C2088&gt;='Visual SPC'!$C$4),OR('Visual SPC'!$E$4="",'Data Entry'!$C2088&lt;='Visual SPC'!$E$4),OR('Visual SPC'!$G$4="",'Data Entry'!$D2088='Visual SPC'!$G$4),OR('Visual SPC'!$I$4="",'Data Entry'!$E2088='Visual SPC'!$I$4),OR('Visual SPC'!$K$4="",'Data Entry'!$F2088='Visual SPC'!$K$4)),1,0))</f>
        <v/>
      </c>
      <c r="C2088">
        <f>C2087+B2088</f>
        <v/>
      </c>
      <c r="D2088">
        <f>IF(B2088=1,INDEX('Data Entry'!$H$5:$BE$10004,2088-4,'Visual SPC'!$B$3),"")</f>
        <v/>
      </c>
      <c r="E2088">
        <f>IF(B2088=1,D2088,E2087)</f>
        <v/>
      </c>
      <c r="F2088">
        <f>IF(AND(B2088=1,C2088&gt;1,E2087&lt;&gt;""),ABS(D2088-E2087),"")</f>
        <v/>
      </c>
    </row>
    <row r="2089">
      <c r="A2089" t="n">
        <v>2089</v>
      </c>
      <c r="B2089">
        <f>IF(INDEX('Data Entry'!$H$5:$BE$10004,2089-4,'Visual SPC'!$B$3)="",0,IF(AND(OR('Visual SPC'!$C$4="",'Data Entry'!$C2089&gt;='Visual SPC'!$C$4),OR('Visual SPC'!$E$4="",'Data Entry'!$C2089&lt;='Visual SPC'!$E$4),OR('Visual SPC'!$G$4="",'Data Entry'!$D2089='Visual SPC'!$G$4),OR('Visual SPC'!$I$4="",'Data Entry'!$E2089='Visual SPC'!$I$4),OR('Visual SPC'!$K$4="",'Data Entry'!$F2089='Visual SPC'!$K$4)),1,0))</f>
        <v/>
      </c>
      <c r="C2089">
        <f>C2088+B2089</f>
        <v/>
      </c>
      <c r="D2089">
        <f>IF(B2089=1,INDEX('Data Entry'!$H$5:$BE$10004,2089-4,'Visual SPC'!$B$3),"")</f>
        <v/>
      </c>
      <c r="E2089">
        <f>IF(B2089=1,D2089,E2088)</f>
        <v/>
      </c>
      <c r="F2089">
        <f>IF(AND(B2089=1,C2089&gt;1,E2088&lt;&gt;""),ABS(D2089-E2088),"")</f>
        <v/>
      </c>
    </row>
    <row r="2090">
      <c r="A2090" t="n">
        <v>2090</v>
      </c>
      <c r="B2090">
        <f>IF(INDEX('Data Entry'!$H$5:$BE$10004,2090-4,'Visual SPC'!$B$3)="",0,IF(AND(OR('Visual SPC'!$C$4="",'Data Entry'!$C2090&gt;='Visual SPC'!$C$4),OR('Visual SPC'!$E$4="",'Data Entry'!$C2090&lt;='Visual SPC'!$E$4),OR('Visual SPC'!$G$4="",'Data Entry'!$D2090='Visual SPC'!$G$4),OR('Visual SPC'!$I$4="",'Data Entry'!$E2090='Visual SPC'!$I$4),OR('Visual SPC'!$K$4="",'Data Entry'!$F2090='Visual SPC'!$K$4)),1,0))</f>
        <v/>
      </c>
      <c r="C2090">
        <f>C2089+B2090</f>
        <v/>
      </c>
      <c r="D2090">
        <f>IF(B2090=1,INDEX('Data Entry'!$H$5:$BE$10004,2090-4,'Visual SPC'!$B$3),"")</f>
        <v/>
      </c>
      <c r="E2090">
        <f>IF(B2090=1,D2090,E2089)</f>
        <v/>
      </c>
      <c r="F2090">
        <f>IF(AND(B2090=1,C2090&gt;1,E2089&lt;&gt;""),ABS(D2090-E2089),"")</f>
        <v/>
      </c>
    </row>
    <row r="2091">
      <c r="A2091" t="n">
        <v>2091</v>
      </c>
      <c r="B2091">
        <f>IF(INDEX('Data Entry'!$H$5:$BE$10004,2091-4,'Visual SPC'!$B$3)="",0,IF(AND(OR('Visual SPC'!$C$4="",'Data Entry'!$C2091&gt;='Visual SPC'!$C$4),OR('Visual SPC'!$E$4="",'Data Entry'!$C2091&lt;='Visual SPC'!$E$4),OR('Visual SPC'!$G$4="",'Data Entry'!$D2091='Visual SPC'!$G$4),OR('Visual SPC'!$I$4="",'Data Entry'!$E2091='Visual SPC'!$I$4),OR('Visual SPC'!$K$4="",'Data Entry'!$F2091='Visual SPC'!$K$4)),1,0))</f>
        <v/>
      </c>
      <c r="C2091">
        <f>C2090+B2091</f>
        <v/>
      </c>
      <c r="D2091">
        <f>IF(B2091=1,INDEX('Data Entry'!$H$5:$BE$10004,2091-4,'Visual SPC'!$B$3),"")</f>
        <v/>
      </c>
      <c r="E2091">
        <f>IF(B2091=1,D2091,E2090)</f>
        <v/>
      </c>
      <c r="F2091">
        <f>IF(AND(B2091=1,C2091&gt;1,E2090&lt;&gt;""),ABS(D2091-E2090),"")</f>
        <v/>
      </c>
    </row>
    <row r="2092">
      <c r="A2092" t="n">
        <v>2092</v>
      </c>
      <c r="B2092">
        <f>IF(INDEX('Data Entry'!$H$5:$BE$10004,2092-4,'Visual SPC'!$B$3)="",0,IF(AND(OR('Visual SPC'!$C$4="",'Data Entry'!$C2092&gt;='Visual SPC'!$C$4),OR('Visual SPC'!$E$4="",'Data Entry'!$C2092&lt;='Visual SPC'!$E$4),OR('Visual SPC'!$G$4="",'Data Entry'!$D2092='Visual SPC'!$G$4),OR('Visual SPC'!$I$4="",'Data Entry'!$E2092='Visual SPC'!$I$4),OR('Visual SPC'!$K$4="",'Data Entry'!$F2092='Visual SPC'!$K$4)),1,0))</f>
        <v/>
      </c>
      <c r="C2092">
        <f>C2091+B2092</f>
        <v/>
      </c>
      <c r="D2092">
        <f>IF(B2092=1,INDEX('Data Entry'!$H$5:$BE$10004,2092-4,'Visual SPC'!$B$3),"")</f>
        <v/>
      </c>
      <c r="E2092">
        <f>IF(B2092=1,D2092,E2091)</f>
        <v/>
      </c>
      <c r="F2092">
        <f>IF(AND(B2092=1,C2092&gt;1,E2091&lt;&gt;""),ABS(D2092-E2091),"")</f>
        <v/>
      </c>
    </row>
    <row r="2093">
      <c r="A2093" t="n">
        <v>2093</v>
      </c>
      <c r="B2093">
        <f>IF(INDEX('Data Entry'!$H$5:$BE$10004,2093-4,'Visual SPC'!$B$3)="",0,IF(AND(OR('Visual SPC'!$C$4="",'Data Entry'!$C2093&gt;='Visual SPC'!$C$4),OR('Visual SPC'!$E$4="",'Data Entry'!$C2093&lt;='Visual SPC'!$E$4),OR('Visual SPC'!$G$4="",'Data Entry'!$D2093='Visual SPC'!$G$4),OR('Visual SPC'!$I$4="",'Data Entry'!$E2093='Visual SPC'!$I$4),OR('Visual SPC'!$K$4="",'Data Entry'!$F2093='Visual SPC'!$K$4)),1,0))</f>
        <v/>
      </c>
      <c r="C2093">
        <f>C2092+B2093</f>
        <v/>
      </c>
      <c r="D2093">
        <f>IF(B2093=1,INDEX('Data Entry'!$H$5:$BE$10004,2093-4,'Visual SPC'!$B$3),"")</f>
        <v/>
      </c>
      <c r="E2093">
        <f>IF(B2093=1,D2093,E2092)</f>
        <v/>
      </c>
      <c r="F2093">
        <f>IF(AND(B2093=1,C2093&gt;1,E2092&lt;&gt;""),ABS(D2093-E2092),"")</f>
        <v/>
      </c>
    </row>
    <row r="2094">
      <c r="A2094" t="n">
        <v>2094</v>
      </c>
      <c r="B2094">
        <f>IF(INDEX('Data Entry'!$H$5:$BE$10004,2094-4,'Visual SPC'!$B$3)="",0,IF(AND(OR('Visual SPC'!$C$4="",'Data Entry'!$C2094&gt;='Visual SPC'!$C$4),OR('Visual SPC'!$E$4="",'Data Entry'!$C2094&lt;='Visual SPC'!$E$4),OR('Visual SPC'!$G$4="",'Data Entry'!$D2094='Visual SPC'!$G$4),OR('Visual SPC'!$I$4="",'Data Entry'!$E2094='Visual SPC'!$I$4),OR('Visual SPC'!$K$4="",'Data Entry'!$F2094='Visual SPC'!$K$4)),1,0))</f>
        <v/>
      </c>
      <c r="C2094">
        <f>C2093+B2094</f>
        <v/>
      </c>
      <c r="D2094">
        <f>IF(B2094=1,INDEX('Data Entry'!$H$5:$BE$10004,2094-4,'Visual SPC'!$B$3),"")</f>
        <v/>
      </c>
      <c r="E2094">
        <f>IF(B2094=1,D2094,E2093)</f>
        <v/>
      </c>
      <c r="F2094">
        <f>IF(AND(B2094=1,C2094&gt;1,E2093&lt;&gt;""),ABS(D2094-E2093),"")</f>
        <v/>
      </c>
    </row>
    <row r="2095">
      <c r="A2095" t="n">
        <v>2095</v>
      </c>
      <c r="B2095">
        <f>IF(INDEX('Data Entry'!$H$5:$BE$10004,2095-4,'Visual SPC'!$B$3)="",0,IF(AND(OR('Visual SPC'!$C$4="",'Data Entry'!$C2095&gt;='Visual SPC'!$C$4),OR('Visual SPC'!$E$4="",'Data Entry'!$C2095&lt;='Visual SPC'!$E$4),OR('Visual SPC'!$G$4="",'Data Entry'!$D2095='Visual SPC'!$G$4),OR('Visual SPC'!$I$4="",'Data Entry'!$E2095='Visual SPC'!$I$4),OR('Visual SPC'!$K$4="",'Data Entry'!$F2095='Visual SPC'!$K$4)),1,0))</f>
        <v/>
      </c>
      <c r="C2095">
        <f>C2094+B2095</f>
        <v/>
      </c>
      <c r="D2095">
        <f>IF(B2095=1,INDEX('Data Entry'!$H$5:$BE$10004,2095-4,'Visual SPC'!$B$3),"")</f>
        <v/>
      </c>
      <c r="E2095">
        <f>IF(B2095=1,D2095,E2094)</f>
        <v/>
      </c>
      <c r="F2095">
        <f>IF(AND(B2095=1,C2095&gt;1,E2094&lt;&gt;""),ABS(D2095-E2094),"")</f>
        <v/>
      </c>
    </row>
    <row r="2096">
      <c r="A2096" t="n">
        <v>2096</v>
      </c>
      <c r="B2096">
        <f>IF(INDEX('Data Entry'!$H$5:$BE$10004,2096-4,'Visual SPC'!$B$3)="",0,IF(AND(OR('Visual SPC'!$C$4="",'Data Entry'!$C2096&gt;='Visual SPC'!$C$4),OR('Visual SPC'!$E$4="",'Data Entry'!$C2096&lt;='Visual SPC'!$E$4),OR('Visual SPC'!$G$4="",'Data Entry'!$D2096='Visual SPC'!$G$4),OR('Visual SPC'!$I$4="",'Data Entry'!$E2096='Visual SPC'!$I$4),OR('Visual SPC'!$K$4="",'Data Entry'!$F2096='Visual SPC'!$K$4)),1,0))</f>
        <v/>
      </c>
      <c r="C2096">
        <f>C2095+B2096</f>
        <v/>
      </c>
      <c r="D2096">
        <f>IF(B2096=1,INDEX('Data Entry'!$H$5:$BE$10004,2096-4,'Visual SPC'!$B$3),"")</f>
        <v/>
      </c>
      <c r="E2096">
        <f>IF(B2096=1,D2096,E2095)</f>
        <v/>
      </c>
      <c r="F2096">
        <f>IF(AND(B2096=1,C2096&gt;1,E2095&lt;&gt;""),ABS(D2096-E2095),"")</f>
        <v/>
      </c>
    </row>
    <row r="2097">
      <c r="A2097" t="n">
        <v>2097</v>
      </c>
      <c r="B2097">
        <f>IF(INDEX('Data Entry'!$H$5:$BE$10004,2097-4,'Visual SPC'!$B$3)="",0,IF(AND(OR('Visual SPC'!$C$4="",'Data Entry'!$C2097&gt;='Visual SPC'!$C$4),OR('Visual SPC'!$E$4="",'Data Entry'!$C2097&lt;='Visual SPC'!$E$4),OR('Visual SPC'!$G$4="",'Data Entry'!$D2097='Visual SPC'!$G$4),OR('Visual SPC'!$I$4="",'Data Entry'!$E2097='Visual SPC'!$I$4),OR('Visual SPC'!$K$4="",'Data Entry'!$F2097='Visual SPC'!$K$4)),1,0))</f>
        <v/>
      </c>
      <c r="C2097">
        <f>C2096+B2097</f>
        <v/>
      </c>
      <c r="D2097">
        <f>IF(B2097=1,INDEX('Data Entry'!$H$5:$BE$10004,2097-4,'Visual SPC'!$B$3),"")</f>
        <v/>
      </c>
      <c r="E2097">
        <f>IF(B2097=1,D2097,E2096)</f>
        <v/>
      </c>
      <c r="F2097">
        <f>IF(AND(B2097=1,C2097&gt;1,E2096&lt;&gt;""),ABS(D2097-E2096),"")</f>
        <v/>
      </c>
    </row>
    <row r="2098">
      <c r="A2098" t="n">
        <v>2098</v>
      </c>
      <c r="B2098">
        <f>IF(INDEX('Data Entry'!$H$5:$BE$10004,2098-4,'Visual SPC'!$B$3)="",0,IF(AND(OR('Visual SPC'!$C$4="",'Data Entry'!$C2098&gt;='Visual SPC'!$C$4),OR('Visual SPC'!$E$4="",'Data Entry'!$C2098&lt;='Visual SPC'!$E$4),OR('Visual SPC'!$G$4="",'Data Entry'!$D2098='Visual SPC'!$G$4),OR('Visual SPC'!$I$4="",'Data Entry'!$E2098='Visual SPC'!$I$4),OR('Visual SPC'!$K$4="",'Data Entry'!$F2098='Visual SPC'!$K$4)),1,0))</f>
        <v/>
      </c>
      <c r="C2098">
        <f>C2097+B2098</f>
        <v/>
      </c>
      <c r="D2098">
        <f>IF(B2098=1,INDEX('Data Entry'!$H$5:$BE$10004,2098-4,'Visual SPC'!$B$3),"")</f>
        <v/>
      </c>
      <c r="E2098">
        <f>IF(B2098=1,D2098,E2097)</f>
        <v/>
      </c>
      <c r="F2098">
        <f>IF(AND(B2098=1,C2098&gt;1,E2097&lt;&gt;""),ABS(D2098-E2097),"")</f>
        <v/>
      </c>
    </row>
    <row r="2099">
      <c r="A2099" t="n">
        <v>2099</v>
      </c>
      <c r="B2099">
        <f>IF(INDEX('Data Entry'!$H$5:$BE$10004,2099-4,'Visual SPC'!$B$3)="",0,IF(AND(OR('Visual SPC'!$C$4="",'Data Entry'!$C2099&gt;='Visual SPC'!$C$4),OR('Visual SPC'!$E$4="",'Data Entry'!$C2099&lt;='Visual SPC'!$E$4),OR('Visual SPC'!$G$4="",'Data Entry'!$D2099='Visual SPC'!$G$4),OR('Visual SPC'!$I$4="",'Data Entry'!$E2099='Visual SPC'!$I$4),OR('Visual SPC'!$K$4="",'Data Entry'!$F2099='Visual SPC'!$K$4)),1,0))</f>
        <v/>
      </c>
      <c r="C2099">
        <f>C2098+B2099</f>
        <v/>
      </c>
      <c r="D2099">
        <f>IF(B2099=1,INDEX('Data Entry'!$H$5:$BE$10004,2099-4,'Visual SPC'!$B$3),"")</f>
        <v/>
      </c>
      <c r="E2099">
        <f>IF(B2099=1,D2099,E2098)</f>
        <v/>
      </c>
      <c r="F2099">
        <f>IF(AND(B2099=1,C2099&gt;1,E2098&lt;&gt;""),ABS(D2099-E2098),"")</f>
        <v/>
      </c>
    </row>
    <row r="2100">
      <c r="A2100" t="n">
        <v>2100</v>
      </c>
      <c r="B2100">
        <f>IF(INDEX('Data Entry'!$H$5:$BE$10004,2100-4,'Visual SPC'!$B$3)="",0,IF(AND(OR('Visual SPC'!$C$4="",'Data Entry'!$C2100&gt;='Visual SPC'!$C$4),OR('Visual SPC'!$E$4="",'Data Entry'!$C2100&lt;='Visual SPC'!$E$4),OR('Visual SPC'!$G$4="",'Data Entry'!$D2100='Visual SPC'!$G$4),OR('Visual SPC'!$I$4="",'Data Entry'!$E2100='Visual SPC'!$I$4),OR('Visual SPC'!$K$4="",'Data Entry'!$F2100='Visual SPC'!$K$4)),1,0))</f>
        <v/>
      </c>
      <c r="C2100">
        <f>C2099+B2100</f>
        <v/>
      </c>
      <c r="D2100">
        <f>IF(B2100=1,INDEX('Data Entry'!$H$5:$BE$10004,2100-4,'Visual SPC'!$B$3),"")</f>
        <v/>
      </c>
      <c r="E2100">
        <f>IF(B2100=1,D2100,E2099)</f>
        <v/>
      </c>
      <c r="F2100">
        <f>IF(AND(B2100=1,C2100&gt;1,E2099&lt;&gt;""),ABS(D2100-E2099),"")</f>
        <v/>
      </c>
    </row>
    <row r="2101">
      <c r="A2101" t="n">
        <v>2101</v>
      </c>
      <c r="B2101">
        <f>IF(INDEX('Data Entry'!$H$5:$BE$10004,2101-4,'Visual SPC'!$B$3)="",0,IF(AND(OR('Visual SPC'!$C$4="",'Data Entry'!$C2101&gt;='Visual SPC'!$C$4),OR('Visual SPC'!$E$4="",'Data Entry'!$C2101&lt;='Visual SPC'!$E$4),OR('Visual SPC'!$G$4="",'Data Entry'!$D2101='Visual SPC'!$G$4),OR('Visual SPC'!$I$4="",'Data Entry'!$E2101='Visual SPC'!$I$4),OR('Visual SPC'!$K$4="",'Data Entry'!$F2101='Visual SPC'!$K$4)),1,0))</f>
        <v/>
      </c>
      <c r="C2101">
        <f>C2100+B2101</f>
        <v/>
      </c>
      <c r="D2101">
        <f>IF(B2101=1,INDEX('Data Entry'!$H$5:$BE$10004,2101-4,'Visual SPC'!$B$3),"")</f>
        <v/>
      </c>
      <c r="E2101">
        <f>IF(B2101=1,D2101,E2100)</f>
        <v/>
      </c>
      <c r="F2101">
        <f>IF(AND(B2101=1,C2101&gt;1,E2100&lt;&gt;""),ABS(D2101-E2100),"")</f>
        <v/>
      </c>
    </row>
    <row r="2102">
      <c r="A2102" t="n">
        <v>2102</v>
      </c>
      <c r="B2102">
        <f>IF(INDEX('Data Entry'!$H$5:$BE$10004,2102-4,'Visual SPC'!$B$3)="",0,IF(AND(OR('Visual SPC'!$C$4="",'Data Entry'!$C2102&gt;='Visual SPC'!$C$4),OR('Visual SPC'!$E$4="",'Data Entry'!$C2102&lt;='Visual SPC'!$E$4),OR('Visual SPC'!$G$4="",'Data Entry'!$D2102='Visual SPC'!$G$4),OR('Visual SPC'!$I$4="",'Data Entry'!$E2102='Visual SPC'!$I$4),OR('Visual SPC'!$K$4="",'Data Entry'!$F2102='Visual SPC'!$K$4)),1,0))</f>
        <v/>
      </c>
      <c r="C2102">
        <f>C2101+B2102</f>
        <v/>
      </c>
      <c r="D2102">
        <f>IF(B2102=1,INDEX('Data Entry'!$H$5:$BE$10004,2102-4,'Visual SPC'!$B$3),"")</f>
        <v/>
      </c>
      <c r="E2102">
        <f>IF(B2102=1,D2102,E2101)</f>
        <v/>
      </c>
      <c r="F2102">
        <f>IF(AND(B2102=1,C2102&gt;1,E2101&lt;&gt;""),ABS(D2102-E2101),"")</f>
        <v/>
      </c>
    </row>
    <row r="2103">
      <c r="A2103" t="n">
        <v>2103</v>
      </c>
      <c r="B2103">
        <f>IF(INDEX('Data Entry'!$H$5:$BE$10004,2103-4,'Visual SPC'!$B$3)="",0,IF(AND(OR('Visual SPC'!$C$4="",'Data Entry'!$C2103&gt;='Visual SPC'!$C$4),OR('Visual SPC'!$E$4="",'Data Entry'!$C2103&lt;='Visual SPC'!$E$4),OR('Visual SPC'!$G$4="",'Data Entry'!$D2103='Visual SPC'!$G$4),OR('Visual SPC'!$I$4="",'Data Entry'!$E2103='Visual SPC'!$I$4),OR('Visual SPC'!$K$4="",'Data Entry'!$F2103='Visual SPC'!$K$4)),1,0))</f>
        <v/>
      </c>
      <c r="C2103">
        <f>C2102+B2103</f>
        <v/>
      </c>
      <c r="D2103">
        <f>IF(B2103=1,INDEX('Data Entry'!$H$5:$BE$10004,2103-4,'Visual SPC'!$B$3),"")</f>
        <v/>
      </c>
      <c r="E2103">
        <f>IF(B2103=1,D2103,E2102)</f>
        <v/>
      </c>
      <c r="F2103">
        <f>IF(AND(B2103=1,C2103&gt;1,E2102&lt;&gt;""),ABS(D2103-E2102),"")</f>
        <v/>
      </c>
    </row>
    <row r="2104">
      <c r="A2104" t="n">
        <v>2104</v>
      </c>
      <c r="B2104">
        <f>IF(INDEX('Data Entry'!$H$5:$BE$10004,2104-4,'Visual SPC'!$B$3)="",0,IF(AND(OR('Visual SPC'!$C$4="",'Data Entry'!$C2104&gt;='Visual SPC'!$C$4),OR('Visual SPC'!$E$4="",'Data Entry'!$C2104&lt;='Visual SPC'!$E$4),OR('Visual SPC'!$G$4="",'Data Entry'!$D2104='Visual SPC'!$G$4),OR('Visual SPC'!$I$4="",'Data Entry'!$E2104='Visual SPC'!$I$4),OR('Visual SPC'!$K$4="",'Data Entry'!$F2104='Visual SPC'!$K$4)),1,0))</f>
        <v/>
      </c>
      <c r="C2104">
        <f>C2103+B2104</f>
        <v/>
      </c>
      <c r="D2104">
        <f>IF(B2104=1,INDEX('Data Entry'!$H$5:$BE$10004,2104-4,'Visual SPC'!$B$3),"")</f>
        <v/>
      </c>
      <c r="E2104">
        <f>IF(B2104=1,D2104,E2103)</f>
        <v/>
      </c>
      <c r="F2104">
        <f>IF(AND(B2104=1,C2104&gt;1,E2103&lt;&gt;""),ABS(D2104-E2103),"")</f>
        <v/>
      </c>
    </row>
    <row r="2105">
      <c r="A2105" t="n">
        <v>2105</v>
      </c>
      <c r="B2105">
        <f>IF(INDEX('Data Entry'!$H$5:$BE$10004,2105-4,'Visual SPC'!$B$3)="",0,IF(AND(OR('Visual SPC'!$C$4="",'Data Entry'!$C2105&gt;='Visual SPC'!$C$4),OR('Visual SPC'!$E$4="",'Data Entry'!$C2105&lt;='Visual SPC'!$E$4),OR('Visual SPC'!$G$4="",'Data Entry'!$D2105='Visual SPC'!$G$4),OR('Visual SPC'!$I$4="",'Data Entry'!$E2105='Visual SPC'!$I$4),OR('Visual SPC'!$K$4="",'Data Entry'!$F2105='Visual SPC'!$K$4)),1,0))</f>
        <v/>
      </c>
      <c r="C2105">
        <f>C2104+B2105</f>
        <v/>
      </c>
      <c r="D2105">
        <f>IF(B2105=1,INDEX('Data Entry'!$H$5:$BE$10004,2105-4,'Visual SPC'!$B$3),"")</f>
        <v/>
      </c>
      <c r="E2105">
        <f>IF(B2105=1,D2105,E2104)</f>
        <v/>
      </c>
      <c r="F2105">
        <f>IF(AND(B2105=1,C2105&gt;1,E2104&lt;&gt;""),ABS(D2105-E2104),"")</f>
        <v/>
      </c>
    </row>
    <row r="2106">
      <c r="A2106" t="n">
        <v>2106</v>
      </c>
      <c r="B2106">
        <f>IF(INDEX('Data Entry'!$H$5:$BE$10004,2106-4,'Visual SPC'!$B$3)="",0,IF(AND(OR('Visual SPC'!$C$4="",'Data Entry'!$C2106&gt;='Visual SPC'!$C$4),OR('Visual SPC'!$E$4="",'Data Entry'!$C2106&lt;='Visual SPC'!$E$4),OR('Visual SPC'!$G$4="",'Data Entry'!$D2106='Visual SPC'!$G$4),OR('Visual SPC'!$I$4="",'Data Entry'!$E2106='Visual SPC'!$I$4),OR('Visual SPC'!$K$4="",'Data Entry'!$F2106='Visual SPC'!$K$4)),1,0))</f>
        <v/>
      </c>
      <c r="C2106">
        <f>C2105+B2106</f>
        <v/>
      </c>
      <c r="D2106">
        <f>IF(B2106=1,INDEX('Data Entry'!$H$5:$BE$10004,2106-4,'Visual SPC'!$B$3),"")</f>
        <v/>
      </c>
      <c r="E2106">
        <f>IF(B2106=1,D2106,E2105)</f>
        <v/>
      </c>
      <c r="F2106">
        <f>IF(AND(B2106=1,C2106&gt;1,E2105&lt;&gt;""),ABS(D2106-E2105),"")</f>
        <v/>
      </c>
    </row>
    <row r="2107">
      <c r="A2107" t="n">
        <v>2107</v>
      </c>
      <c r="B2107">
        <f>IF(INDEX('Data Entry'!$H$5:$BE$10004,2107-4,'Visual SPC'!$B$3)="",0,IF(AND(OR('Visual SPC'!$C$4="",'Data Entry'!$C2107&gt;='Visual SPC'!$C$4),OR('Visual SPC'!$E$4="",'Data Entry'!$C2107&lt;='Visual SPC'!$E$4),OR('Visual SPC'!$G$4="",'Data Entry'!$D2107='Visual SPC'!$G$4),OR('Visual SPC'!$I$4="",'Data Entry'!$E2107='Visual SPC'!$I$4),OR('Visual SPC'!$K$4="",'Data Entry'!$F2107='Visual SPC'!$K$4)),1,0))</f>
        <v/>
      </c>
      <c r="C2107">
        <f>C2106+B2107</f>
        <v/>
      </c>
      <c r="D2107">
        <f>IF(B2107=1,INDEX('Data Entry'!$H$5:$BE$10004,2107-4,'Visual SPC'!$B$3),"")</f>
        <v/>
      </c>
      <c r="E2107">
        <f>IF(B2107=1,D2107,E2106)</f>
        <v/>
      </c>
      <c r="F2107">
        <f>IF(AND(B2107=1,C2107&gt;1,E2106&lt;&gt;""),ABS(D2107-E2106),"")</f>
        <v/>
      </c>
    </row>
    <row r="2108">
      <c r="A2108" t="n">
        <v>2108</v>
      </c>
      <c r="B2108">
        <f>IF(INDEX('Data Entry'!$H$5:$BE$10004,2108-4,'Visual SPC'!$B$3)="",0,IF(AND(OR('Visual SPC'!$C$4="",'Data Entry'!$C2108&gt;='Visual SPC'!$C$4),OR('Visual SPC'!$E$4="",'Data Entry'!$C2108&lt;='Visual SPC'!$E$4),OR('Visual SPC'!$G$4="",'Data Entry'!$D2108='Visual SPC'!$G$4),OR('Visual SPC'!$I$4="",'Data Entry'!$E2108='Visual SPC'!$I$4),OR('Visual SPC'!$K$4="",'Data Entry'!$F2108='Visual SPC'!$K$4)),1,0))</f>
        <v/>
      </c>
      <c r="C2108">
        <f>C2107+B2108</f>
        <v/>
      </c>
      <c r="D2108">
        <f>IF(B2108=1,INDEX('Data Entry'!$H$5:$BE$10004,2108-4,'Visual SPC'!$B$3),"")</f>
        <v/>
      </c>
      <c r="E2108">
        <f>IF(B2108=1,D2108,E2107)</f>
        <v/>
      </c>
      <c r="F2108">
        <f>IF(AND(B2108=1,C2108&gt;1,E2107&lt;&gt;""),ABS(D2108-E2107),"")</f>
        <v/>
      </c>
    </row>
    <row r="2109">
      <c r="A2109" t="n">
        <v>2109</v>
      </c>
      <c r="B2109">
        <f>IF(INDEX('Data Entry'!$H$5:$BE$10004,2109-4,'Visual SPC'!$B$3)="",0,IF(AND(OR('Visual SPC'!$C$4="",'Data Entry'!$C2109&gt;='Visual SPC'!$C$4),OR('Visual SPC'!$E$4="",'Data Entry'!$C2109&lt;='Visual SPC'!$E$4),OR('Visual SPC'!$G$4="",'Data Entry'!$D2109='Visual SPC'!$G$4),OR('Visual SPC'!$I$4="",'Data Entry'!$E2109='Visual SPC'!$I$4),OR('Visual SPC'!$K$4="",'Data Entry'!$F2109='Visual SPC'!$K$4)),1,0))</f>
        <v/>
      </c>
      <c r="C2109">
        <f>C2108+B2109</f>
        <v/>
      </c>
      <c r="D2109">
        <f>IF(B2109=1,INDEX('Data Entry'!$H$5:$BE$10004,2109-4,'Visual SPC'!$B$3),"")</f>
        <v/>
      </c>
      <c r="E2109">
        <f>IF(B2109=1,D2109,E2108)</f>
        <v/>
      </c>
      <c r="F2109">
        <f>IF(AND(B2109=1,C2109&gt;1,E2108&lt;&gt;""),ABS(D2109-E2108),"")</f>
        <v/>
      </c>
    </row>
    <row r="2110">
      <c r="A2110" t="n">
        <v>2110</v>
      </c>
      <c r="B2110">
        <f>IF(INDEX('Data Entry'!$H$5:$BE$10004,2110-4,'Visual SPC'!$B$3)="",0,IF(AND(OR('Visual SPC'!$C$4="",'Data Entry'!$C2110&gt;='Visual SPC'!$C$4),OR('Visual SPC'!$E$4="",'Data Entry'!$C2110&lt;='Visual SPC'!$E$4),OR('Visual SPC'!$G$4="",'Data Entry'!$D2110='Visual SPC'!$G$4),OR('Visual SPC'!$I$4="",'Data Entry'!$E2110='Visual SPC'!$I$4),OR('Visual SPC'!$K$4="",'Data Entry'!$F2110='Visual SPC'!$K$4)),1,0))</f>
        <v/>
      </c>
      <c r="C2110">
        <f>C2109+B2110</f>
        <v/>
      </c>
      <c r="D2110">
        <f>IF(B2110=1,INDEX('Data Entry'!$H$5:$BE$10004,2110-4,'Visual SPC'!$B$3),"")</f>
        <v/>
      </c>
      <c r="E2110">
        <f>IF(B2110=1,D2110,E2109)</f>
        <v/>
      </c>
      <c r="F2110">
        <f>IF(AND(B2110=1,C2110&gt;1,E2109&lt;&gt;""),ABS(D2110-E2109),"")</f>
        <v/>
      </c>
    </row>
    <row r="2111">
      <c r="A2111" t="n">
        <v>2111</v>
      </c>
      <c r="B2111">
        <f>IF(INDEX('Data Entry'!$H$5:$BE$10004,2111-4,'Visual SPC'!$B$3)="",0,IF(AND(OR('Visual SPC'!$C$4="",'Data Entry'!$C2111&gt;='Visual SPC'!$C$4),OR('Visual SPC'!$E$4="",'Data Entry'!$C2111&lt;='Visual SPC'!$E$4),OR('Visual SPC'!$G$4="",'Data Entry'!$D2111='Visual SPC'!$G$4),OR('Visual SPC'!$I$4="",'Data Entry'!$E2111='Visual SPC'!$I$4),OR('Visual SPC'!$K$4="",'Data Entry'!$F2111='Visual SPC'!$K$4)),1,0))</f>
        <v/>
      </c>
      <c r="C2111">
        <f>C2110+B2111</f>
        <v/>
      </c>
      <c r="D2111">
        <f>IF(B2111=1,INDEX('Data Entry'!$H$5:$BE$10004,2111-4,'Visual SPC'!$B$3),"")</f>
        <v/>
      </c>
      <c r="E2111">
        <f>IF(B2111=1,D2111,E2110)</f>
        <v/>
      </c>
      <c r="F2111">
        <f>IF(AND(B2111=1,C2111&gt;1,E2110&lt;&gt;""),ABS(D2111-E2110),"")</f>
        <v/>
      </c>
    </row>
    <row r="2112">
      <c r="A2112" t="n">
        <v>2112</v>
      </c>
      <c r="B2112">
        <f>IF(INDEX('Data Entry'!$H$5:$BE$10004,2112-4,'Visual SPC'!$B$3)="",0,IF(AND(OR('Visual SPC'!$C$4="",'Data Entry'!$C2112&gt;='Visual SPC'!$C$4),OR('Visual SPC'!$E$4="",'Data Entry'!$C2112&lt;='Visual SPC'!$E$4),OR('Visual SPC'!$G$4="",'Data Entry'!$D2112='Visual SPC'!$G$4),OR('Visual SPC'!$I$4="",'Data Entry'!$E2112='Visual SPC'!$I$4),OR('Visual SPC'!$K$4="",'Data Entry'!$F2112='Visual SPC'!$K$4)),1,0))</f>
        <v/>
      </c>
      <c r="C2112">
        <f>C2111+B2112</f>
        <v/>
      </c>
      <c r="D2112">
        <f>IF(B2112=1,INDEX('Data Entry'!$H$5:$BE$10004,2112-4,'Visual SPC'!$B$3),"")</f>
        <v/>
      </c>
      <c r="E2112">
        <f>IF(B2112=1,D2112,E2111)</f>
        <v/>
      </c>
      <c r="F2112">
        <f>IF(AND(B2112=1,C2112&gt;1,E2111&lt;&gt;""),ABS(D2112-E2111),"")</f>
        <v/>
      </c>
    </row>
    <row r="2113">
      <c r="A2113" t="n">
        <v>2113</v>
      </c>
      <c r="B2113">
        <f>IF(INDEX('Data Entry'!$H$5:$BE$10004,2113-4,'Visual SPC'!$B$3)="",0,IF(AND(OR('Visual SPC'!$C$4="",'Data Entry'!$C2113&gt;='Visual SPC'!$C$4),OR('Visual SPC'!$E$4="",'Data Entry'!$C2113&lt;='Visual SPC'!$E$4),OR('Visual SPC'!$G$4="",'Data Entry'!$D2113='Visual SPC'!$G$4),OR('Visual SPC'!$I$4="",'Data Entry'!$E2113='Visual SPC'!$I$4),OR('Visual SPC'!$K$4="",'Data Entry'!$F2113='Visual SPC'!$K$4)),1,0))</f>
        <v/>
      </c>
      <c r="C2113">
        <f>C2112+B2113</f>
        <v/>
      </c>
      <c r="D2113">
        <f>IF(B2113=1,INDEX('Data Entry'!$H$5:$BE$10004,2113-4,'Visual SPC'!$B$3),"")</f>
        <v/>
      </c>
      <c r="E2113">
        <f>IF(B2113=1,D2113,E2112)</f>
        <v/>
      </c>
      <c r="F2113">
        <f>IF(AND(B2113=1,C2113&gt;1,E2112&lt;&gt;""),ABS(D2113-E2112),"")</f>
        <v/>
      </c>
    </row>
    <row r="2114">
      <c r="A2114" t="n">
        <v>2114</v>
      </c>
      <c r="B2114">
        <f>IF(INDEX('Data Entry'!$H$5:$BE$10004,2114-4,'Visual SPC'!$B$3)="",0,IF(AND(OR('Visual SPC'!$C$4="",'Data Entry'!$C2114&gt;='Visual SPC'!$C$4),OR('Visual SPC'!$E$4="",'Data Entry'!$C2114&lt;='Visual SPC'!$E$4),OR('Visual SPC'!$G$4="",'Data Entry'!$D2114='Visual SPC'!$G$4),OR('Visual SPC'!$I$4="",'Data Entry'!$E2114='Visual SPC'!$I$4),OR('Visual SPC'!$K$4="",'Data Entry'!$F2114='Visual SPC'!$K$4)),1,0))</f>
        <v/>
      </c>
      <c r="C2114">
        <f>C2113+B2114</f>
        <v/>
      </c>
      <c r="D2114">
        <f>IF(B2114=1,INDEX('Data Entry'!$H$5:$BE$10004,2114-4,'Visual SPC'!$B$3),"")</f>
        <v/>
      </c>
      <c r="E2114">
        <f>IF(B2114=1,D2114,E2113)</f>
        <v/>
      </c>
      <c r="F2114">
        <f>IF(AND(B2114=1,C2114&gt;1,E2113&lt;&gt;""),ABS(D2114-E2113),"")</f>
        <v/>
      </c>
    </row>
    <row r="2115">
      <c r="A2115" t="n">
        <v>2115</v>
      </c>
      <c r="B2115">
        <f>IF(INDEX('Data Entry'!$H$5:$BE$10004,2115-4,'Visual SPC'!$B$3)="",0,IF(AND(OR('Visual SPC'!$C$4="",'Data Entry'!$C2115&gt;='Visual SPC'!$C$4),OR('Visual SPC'!$E$4="",'Data Entry'!$C2115&lt;='Visual SPC'!$E$4),OR('Visual SPC'!$G$4="",'Data Entry'!$D2115='Visual SPC'!$G$4),OR('Visual SPC'!$I$4="",'Data Entry'!$E2115='Visual SPC'!$I$4),OR('Visual SPC'!$K$4="",'Data Entry'!$F2115='Visual SPC'!$K$4)),1,0))</f>
        <v/>
      </c>
      <c r="C2115">
        <f>C2114+B2115</f>
        <v/>
      </c>
      <c r="D2115">
        <f>IF(B2115=1,INDEX('Data Entry'!$H$5:$BE$10004,2115-4,'Visual SPC'!$B$3),"")</f>
        <v/>
      </c>
      <c r="E2115">
        <f>IF(B2115=1,D2115,E2114)</f>
        <v/>
      </c>
      <c r="F2115">
        <f>IF(AND(B2115=1,C2115&gt;1,E2114&lt;&gt;""),ABS(D2115-E2114),"")</f>
        <v/>
      </c>
    </row>
    <row r="2116">
      <c r="A2116" t="n">
        <v>2116</v>
      </c>
      <c r="B2116">
        <f>IF(INDEX('Data Entry'!$H$5:$BE$10004,2116-4,'Visual SPC'!$B$3)="",0,IF(AND(OR('Visual SPC'!$C$4="",'Data Entry'!$C2116&gt;='Visual SPC'!$C$4),OR('Visual SPC'!$E$4="",'Data Entry'!$C2116&lt;='Visual SPC'!$E$4),OR('Visual SPC'!$G$4="",'Data Entry'!$D2116='Visual SPC'!$G$4),OR('Visual SPC'!$I$4="",'Data Entry'!$E2116='Visual SPC'!$I$4),OR('Visual SPC'!$K$4="",'Data Entry'!$F2116='Visual SPC'!$K$4)),1,0))</f>
        <v/>
      </c>
      <c r="C2116">
        <f>C2115+B2116</f>
        <v/>
      </c>
      <c r="D2116">
        <f>IF(B2116=1,INDEX('Data Entry'!$H$5:$BE$10004,2116-4,'Visual SPC'!$B$3),"")</f>
        <v/>
      </c>
      <c r="E2116">
        <f>IF(B2116=1,D2116,E2115)</f>
        <v/>
      </c>
      <c r="F2116">
        <f>IF(AND(B2116=1,C2116&gt;1,E2115&lt;&gt;""),ABS(D2116-E2115),"")</f>
        <v/>
      </c>
    </row>
    <row r="2117">
      <c r="A2117" t="n">
        <v>2117</v>
      </c>
      <c r="B2117">
        <f>IF(INDEX('Data Entry'!$H$5:$BE$10004,2117-4,'Visual SPC'!$B$3)="",0,IF(AND(OR('Visual SPC'!$C$4="",'Data Entry'!$C2117&gt;='Visual SPC'!$C$4),OR('Visual SPC'!$E$4="",'Data Entry'!$C2117&lt;='Visual SPC'!$E$4),OR('Visual SPC'!$G$4="",'Data Entry'!$D2117='Visual SPC'!$G$4),OR('Visual SPC'!$I$4="",'Data Entry'!$E2117='Visual SPC'!$I$4),OR('Visual SPC'!$K$4="",'Data Entry'!$F2117='Visual SPC'!$K$4)),1,0))</f>
        <v/>
      </c>
      <c r="C2117">
        <f>C2116+B2117</f>
        <v/>
      </c>
      <c r="D2117">
        <f>IF(B2117=1,INDEX('Data Entry'!$H$5:$BE$10004,2117-4,'Visual SPC'!$B$3),"")</f>
        <v/>
      </c>
      <c r="E2117">
        <f>IF(B2117=1,D2117,E2116)</f>
        <v/>
      </c>
      <c r="F2117">
        <f>IF(AND(B2117=1,C2117&gt;1,E2116&lt;&gt;""),ABS(D2117-E2116),"")</f>
        <v/>
      </c>
    </row>
    <row r="2118">
      <c r="A2118" t="n">
        <v>2118</v>
      </c>
      <c r="B2118">
        <f>IF(INDEX('Data Entry'!$H$5:$BE$10004,2118-4,'Visual SPC'!$B$3)="",0,IF(AND(OR('Visual SPC'!$C$4="",'Data Entry'!$C2118&gt;='Visual SPC'!$C$4),OR('Visual SPC'!$E$4="",'Data Entry'!$C2118&lt;='Visual SPC'!$E$4),OR('Visual SPC'!$G$4="",'Data Entry'!$D2118='Visual SPC'!$G$4),OR('Visual SPC'!$I$4="",'Data Entry'!$E2118='Visual SPC'!$I$4),OR('Visual SPC'!$K$4="",'Data Entry'!$F2118='Visual SPC'!$K$4)),1,0))</f>
        <v/>
      </c>
      <c r="C2118">
        <f>C2117+B2118</f>
        <v/>
      </c>
      <c r="D2118">
        <f>IF(B2118=1,INDEX('Data Entry'!$H$5:$BE$10004,2118-4,'Visual SPC'!$B$3),"")</f>
        <v/>
      </c>
      <c r="E2118">
        <f>IF(B2118=1,D2118,E2117)</f>
        <v/>
      </c>
      <c r="F2118">
        <f>IF(AND(B2118=1,C2118&gt;1,E2117&lt;&gt;""),ABS(D2118-E2117),"")</f>
        <v/>
      </c>
    </row>
    <row r="2119">
      <c r="A2119" t="n">
        <v>2119</v>
      </c>
      <c r="B2119">
        <f>IF(INDEX('Data Entry'!$H$5:$BE$10004,2119-4,'Visual SPC'!$B$3)="",0,IF(AND(OR('Visual SPC'!$C$4="",'Data Entry'!$C2119&gt;='Visual SPC'!$C$4),OR('Visual SPC'!$E$4="",'Data Entry'!$C2119&lt;='Visual SPC'!$E$4),OR('Visual SPC'!$G$4="",'Data Entry'!$D2119='Visual SPC'!$G$4),OR('Visual SPC'!$I$4="",'Data Entry'!$E2119='Visual SPC'!$I$4),OR('Visual SPC'!$K$4="",'Data Entry'!$F2119='Visual SPC'!$K$4)),1,0))</f>
        <v/>
      </c>
      <c r="C2119">
        <f>C2118+B2119</f>
        <v/>
      </c>
      <c r="D2119">
        <f>IF(B2119=1,INDEX('Data Entry'!$H$5:$BE$10004,2119-4,'Visual SPC'!$B$3),"")</f>
        <v/>
      </c>
      <c r="E2119">
        <f>IF(B2119=1,D2119,E2118)</f>
        <v/>
      </c>
      <c r="F2119">
        <f>IF(AND(B2119=1,C2119&gt;1,E2118&lt;&gt;""),ABS(D2119-E2118),"")</f>
        <v/>
      </c>
    </row>
    <row r="2120">
      <c r="A2120" t="n">
        <v>2120</v>
      </c>
      <c r="B2120">
        <f>IF(INDEX('Data Entry'!$H$5:$BE$10004,2120-4,'Visual SPC'!$B$3)="",0,IF(AND(OR('Visual SPC'!$C$4="",'Data Entry'!$C2120&gt;='Visual SPC'!$C$4),OR('Visual SPC'!$E$4="",'Data Entry'!$C2120&lt;='Visual SPC'!$E$4),OR('Visual SPC'!$G$4="",'Data Entry'!$D2120='Visual SPC'!$G$4),OR('Visual SPC'!$I$4="",'Data Entry'!$E2120='Visual SPC'!$I$4),OR('Visual SPC'!$K$4="",'Data Entry'!$F2120='Visual SPC'!$K$4)),1,0))</f>
        <v/>
      </c>
      <c r="C2120">
        <f>C2119+B2120</f>
        <v/>
      </c>
      <c r="D2120">
        <f>IF(B2120=1,INDEX('Data Entry'!$H$5:$BE$10004,2120-4,'Visual SPC'!$B$3),"")</f>
        <v/>
      </c>
      <c r="E2120">
        <f>IF(B2120=1,D2120,E2119)</f>
        <v/>
      </c>
      <c r="F2120">
        <f>IF(AND(B2120=1,C2120&gt;1,E2119&lt;&gt;""),ABS(D2120-E2119),"")</f>
        <v/>
      </c>
    </row>
    <row r="2121">
      <c r="A2121" t="n">
        <v>2121</v>
      </c>
      <c r="B2121">
        <f>IF(INDEX('Data Entry'!$H$5:$BE$10004,2121-4,'Visual SPC'!$B$3)="",0,IF(AND(OR('Visual SPC'!$C$4="",'Data Entry'!$C2121&gt;='Visual SPC'!$C$4),OR('Visual SPC'!$E$4="",'Data Entry'!$C2121&lt;='Visual SPC'!$E$4),OR('Visual SPC'!$G$4="",'Data Entry'!$D2121='Visual SPC'!$G$4),OR('Visual SPC'!$I$4="",'Data Entry'!$E2121='Visual SPC'!$I$4),OR('Visual SPC'!$K$4="",'Data Entry'!$F2121='Visual SPC'!$K$4)),1,0))</f>
        <v/>
      </c>
      <c r="C2121">
        <f>C2120+B2121</f>
        <v/>
      </c>
      <c r="D2121">
        <f>IF(B2121=1,INDEX('Data Entry'!$H$5:$BE$10004,2121-4,'Visual SPC'!$B$3),"")</f>
        <v/>
      </c>
      <c r="E2121">
        <f>IF(B2121=1,D2121,E2120)</f>
        <v/>
      </c>
      <c r="F2121">
        <f>IF(AND(B2121=1,C2121&gt;1,E2120&lt;&gt;""),ABS(D2121-E2120),"")</f>
        <v/>
      </c>
    </row>
    <row r="2122">
      <c r="A2122" t="n">
        <v>2122</v>
      </c>
      <c r="B2122">
        <f>IF(INDEX('Data Entry'!$H$5:$BE$10004,2122-4,'Visual SPC'!$B$3)="",0,IF(AND(OR('Visual SPC'!$C$4="",'Data Entry'!$C2122&gt;='Visual SPC'!$C$4),OR('Visual SPC'!$E$4="",'Data Entry'!$C2122&lt;='Visual SPC'!$E$4),OR('Visual SPC'!$G$4="",'Data Entry'!$D2122='Visual SPC'!$G$4),OR('Visual SPC'!$I$4="",'Data Entry'!$E2122='Visual SPC'!$I$4),OR('Visual SPC'!$K$4="",'Data Entry'!$F2122='Visual SPC'!$K$4)),1,0))</f>
        <v/>
      </c>
      <c r="C2122">
        <f>C2121+B2122</f>
        <v/>
      </c>
      <c r="D2122">
        <f>IF(B2122=1,INDEX('Data Entry'!$H$5:$BE$10004,2122-4,'Visual SPC'!$B$3),"")</f>
        <v/>
      </c>
      <c r="E2122">
        <f>IF(B2122=1,D2122,E2121)</f>
        <v/>
      </c>
      <c r="F2122">
        <f>IF(AND(B2122=1,C2122&gt;1,E2121&lt;&gt;""),ABS(D2122-E2121),"")</f>
        <v/>
      </c>
    </row>
    <row r="2123">
      <c r="A2123" t="n">
        <v>2123</v>
      </c>
      <c r="B2123">
        <f>IF(INDEX('Data Entry'!$H$5:$BE$10004,2123-4,'Visual SPC'!$B$3)="",0,IF(AND(OR('Visual SPC'!$C$4="",'Data Entry'!$C2123&gt;='Visual SPC'!$C$4),OR('Visual SPC'!$E$4="",'Data Entry'!$C2123&lt;='Visual SPC'!$E$4),OR('Visual SPC'!$G$4="",'Data Entry'!$D2123='Visual SPC'!$G$4),OR('Visual SPC'!$I$4="",'Data Entry'!$E2123='Visual SPC'!$I$4),OR('Visual SPC'!$K$4="",'Data Entry'!$F2123='Visual SPC'!$K$4)),1,0))</f>
        <v/>
      </c>
      <c r="C2123">
        <f>C2122+B2123</f>
        <v/>
      </c>
      <c r="D2123">
        <f>IF(B2123=1,INDEX('Data Entry'!$H$5:$BE$10004,2123-4,'Visual SPC'!$B$3),"")</f>
        <v/>
      </c>
      <c r="E2123">
        <f>IF(B2123=1,D2123,E2122)</f>
        <v/>
      </c>
      <c r="F2123">
        <f>IF(AND(B2123=1,C2123&gt;1,E2122&lt;&gt;""),ABS(D2123-E2122),"")</f>
        <v/>
      </c>
    </row>
    <row r="2124">
      <c r="A2124" t="n">
        <v>2124</v>
      </c>
      <c r="B2124">
        <f>IF(INDEX('Data Entry'!$H$5:$BE$10004,2124-4,'Visual SPC'!$B$3)="",0,IF(AND(OR('Visual SPC'!$C$4="",'Data Entry'!$C2124&gt;='Visual SPC'!$C$4),OR('Visual SPC'!$E$4="",'Data Entry'!$C2124&lt;='Visual SPC'!$E$4),OR('Visual SPC'!$G$4="",'Data Entry'!$D2124='Visual SPC'!$G$4),OR('Visual SPC'!$I$4="",'Data Entry'!$E2124='Visual SPC'!$I$4),OR('Visual SPC'!$K$4="",'Data Entry'!$F2124='Visual SPC'!$K$4)),1,0))</f>
        <v/>
      </c>
      <c r="C2124">
        <f>C2123+B2124</f>
        <v/>
      </c>
      <c r="D2124">
        <f>IF(B2124=1,INDEX('Data Entry'!$H$5:$BE$10004,2124-4,'Visual SPC'!$B$3),"")</f>
        <v/>
      </c>
      <c r="E2124">
        <f>IF(B2124=1,D2124,E2123)</f>
        <v/>
      </c>
      <c r="F2124">
        <f>IF(AND(B2124=1,C2124&gt;1,E2123&lt;&gt;""),ABS(D2124-E2123),"")</f>
        <v/>
      </c>
    </row>
    <row r="2125">
      <c r="A2125" t="n">
        <v>2125</v>
      </c>
      <c r="B2125">
        <f>IF(INDEX('Data Entry'!$H$5:$BE$10004,2125-4,'Visual SPC'!$B$3)="",0,IF(AND(OR('Visual SPC'!$C$4="",'Data Entry'!$C2125&gt;='Visual SPC'!$C$4),OR('Visual SPC'!$E$4="",'Data Entry'!$C2125&lt;='Visual SPC'!$E$4),OR('Visual SPC'!$G$4="",'Data Entry'!$D2125='Visual SPC'!$G$4),OR('Visual SPC'!$I$4="",'Data Entry'!$E2125='Visual SPC'!$I$4),OR('Visual SPC'!$K$4="",'Data Entry'!$F2125='Visual SPC'!$K$4)),1,0))</f>
        <v/>
      </c>
      <c r="C2125">
        <f>C2124+B2125</f>
        <v/>
      </c>
      <c r="D2125">
        <f>IF(B2125=1,INDEX('Data Entry'!$H$5:$BE$10004,2125-4,'Visual SPC'!$B$3),"")</f>
        <v/>
      </c>
      <c r="E2125">
        <f>IF(B2125=1,D2125,E2124)</f>
        <v/>
      </c>
      <c r="F2125">
        <f>IF(AND(B2125=1,C2125&gt;1,E2124&lt;&gt;""),ABS(D2125-E2124),"")</f>
        <v/>
      </c>
    </row>
    <row r="2126">
      <c r="A2126" t="n">
        <v>2126</v>
      </c>
      <c r="B2126">
        <f>IF(INDEX('Data Entry'!$H$5:$BE$10004,2126-4,'Visual SPC'!$B$3)="",0,IF(AND(OR('Visual SPC'!$C$4="",'Data Entry'!$C2126&gt;='Visual SPC'!$C$4),OR('Visual SPC'!$E$4="",'Data Entry'!$C2126&lt;='Visual SPC'!$E$4),OR('Visual SPC'!$G$4="",'Data Entry'!$D2126='Visual SPC'!$G$4),OR('Visual SPC'!$I$4="",'Data Entry'!$E2126='Visual SPC'!$I$4),OR('Visual SPC'!$K$4="",'Data Entry'!$F2126='Visual SPC'!$K$4)),1,0))</f>
        <v/>
      </c>
      <c r="C2126">
        <f>C2125+B2126</f>
        <v/>
      </c>
      <c r="D2126">
        <f>IF(B2126=1,INDEX('Data Entry'!$H$5:$BE$10004,2126-4,'Visual SPC'!$B$3),"")</f>
        <v/>
      </c>
      <c r="E2126">
        <f>IF(B2126=1,D2126,E2125)</f>
        <v/>
      </c>
      <c r="F2126">
        <f>IF(AND(B2126=1,C2126&gt;1,E2125&lt;&gt;""),ABS(D2126-E2125),"")</f>
        <v/>
      </c>
    </row>
    <row r="2127">
      <c r="A2127" t="n">
        <v>2127</v>
      </c>
      <c r="B2127">
        <f>IF(INDEX('Data Entry'!$H$5:$BE$10004,2127-4,'Visual SPC'!$B$3)="",0,IF(AND(OR('Visual SPC'!$C$4="",'Data Entry'!$C2127&gt;='Visual SPC'!$C$4),OR('Visual SPC'!$E$4="",'Data Entry'!$C2127&lt;='Visual SPC'!$E$4),OR('Visual SPC'!$G$4="",'Data Entry'!$D2127='Visual SPC'!$G$4),OR('Visual SPC'!$I$4="",'Data Entry'!$E2127='Visual SPC'!$I$4),OR('Visual SPC'!$K$4="",'Data Entry'!$F2127='Visual SPC'!$K$4)),1,0))</f>
        <v/>
      </c>
      <c r="C2127">
        <f>C2126+B2127</f>
        <v/>
      </c>
      <c r="D2127">
        <f>IF(B2127=1,INDEX('Data Entry'!$H$5:$BE$10004,2127-4,'Visual SPC'!$B$3),"")</f>
        <v/>
      </c>
      <c r="E2127">
        <f>IF(B2127=1,D2127,E2126)</f>
        <v/>
      </c>
      <c r="F2127">
        <f>IF(AND(B2127=1,C2127&gt;1,E2126&lt;&gt;""),ABS(D2127-E2126),"")</f>
        <v/>
      </c>
    </row>
    <row r="2128">
      <c r="A2128" t="n">
        <v>2128</v>
      </c>
      <c r="B2128">
        <f>IF(INDEX('Data Entry'!$H$5:$BE$10004,2128-4,'Visual SPC'!$B$3)="",0,IF(AND(OR('Visual SPC'!$C$4="",'Data Entry'!$C2128&gt;='Visual SPC'!$C$4),OR('Visual SPC'!$E$4="",'Data Entry'!$C2128&lt;='Visual SPC'!$E$4),OR('Visual SPC'!$G$4="",'Data Entry'!$D2128='Visual SPC'!$G$4),OR('Visual SPC'!$I$4="",'Data Entry'!$E2128='Visual SPC'!$I$4),OR('Visual SPC'!$K$4="",'Data Entry'!$F2128='Visual SPC'!$K$4)),1,0))</f>
        <v/>
      </c>
      <c r="C2128">
        <f>C2127+B2128</f>
        <v/>
      </c>
      <c r="D2128">
        <f>IF(B2128=1,INDEX('Data Entry'!$H$5:$BE$10004,2128-4,'Visual SPC'!$B$3),"")</f>
        <v/>
      </c>
      <c r="E2128">
        <f>IF(B2128=1,D2128,E2127)</f>
        <v/>
      </c>
      <c r="F2128">
        <f>IF(AND(B2128=1,C2128&gt;1,E2127&lt;&gt;""),ABS(D2128-E2127),"")</f>
        <v/>
      </c>
    </row>
    <row r="2129">
      <c r="A2129" t="n">
        <v>2129</v>
      </c>
      <c r="B2129">
        <f>IF(INDEX('Data Entry'!$H$5:$BE$10004,2129-4,'Visual SPC'!$B$3)="",0,IF(AND(OR('Visual SPC'!$C$4="",'Data Entry'!$C2129&gt;='Visual SPC'!$C$4),OR('Visual SPC'!$E$4="",'Data Entry'!$C2129&lt;='Visual SPC'!$E$4),OR('Visual SPC'!$G$4="",'Data Entry'!$D2129='Visual SPC'!$G$4),OR('Visual SPC'!$I$4="",'Data Entry'!$E2129='Visual SPC'!$I$4),OR('Visual SPC'!$K$4="",'Data Entry'!$F2129='Visual SPC'!$K$4)),1,0))</f>
        <v/>
      </c>
      <c r="C2129">
        <f>C2128+B2129</f>
        <v/>
      </c>
      <c r="D2129">
        <f>IF(B2129=1,INDEX('Data Entry'!$H$5:$BE$10004,2129-4,'Visual SPC'!$B$3),"")</f>
        <v/>
      </c>
      <c r="E2129">
        <f>IF(B2129=1,D2129,E2128)</f>
        <v/>
      </c>
      <c r="F2129">
        <f>IF(AND(B2129=1,C2129&gt;1,E2128&lt;&gt;""),ABS(D2129-E2128),"")</f>
        <v/>
      </c>
    </row>
    <row r="2130">
      <c r="A2130" t="n">
        <v>2130</v>
      </c>
      <c r="B2130">
        <f>IF(INDEX('Data Entry'!$H$5:$BE$10004,2130-4,'Visual SPC'!$B$3)="",0,IF(AND(OR('Visual SPC'!$C$4="",'Data Entry'!$C2130&gt;='Visual SPC'!$C$4),OR('Visual SPC'!$E$4="",'Data Entry'!$C2130&lt;='Visual SPC'!$E$4),OR('Visual SPC'!$G$4="",'Data Entry'!$D2130='Visual SPC'!$G$4),OR('Visual SPC'!$I$4="",'Data Entry'!$E2130='Visual SPC'!$I$4),OR('Visual SPC'!$K$4="",'Data Entry'!$F2130='Visual SPC'!$K$4)),1,0))</f>
        <v/>
      </c>
      <c r="C2130">
        <f>C2129+B2130</f>
        <v/>
      </c>
      <c r="D2130">
        <f>IF(B2130=1,INDEX('Data Entry'!$H$5:$BE$10004,2130-4,'Visual SPC'!$B$3),"")</f>
        <v/>
      </c>
      <c r="E2130">
        <f>IF(B2130=1,D2130,E2129)</f>
        <v/>
      </c>
      <c r="F2130">
        <f>IF(AND(B2130=1,C2130&gt;1,E2129&lt;&gt;""),ABS(D2130-E2129),"")</f>
        <v/>
      </c>
    </row>
    <row r="2131">
      <c r="A2131" t="n">
        <v>2131</v>
      </c>
      <c r="B2131">
        <f>IF(INDEX('Data Entry'!$H$5:$BE$10004,2131-4,'Visual SPC'!$B$3)="",0,IF(AND(OR('Visual SPC'!$C$4="",'Data Entry'!$C2131&gt;='Visual SPC'!$C$4),OR('Visual SPC'!$E$4="",'Data Entry'!$C2131&lt;='Visual SPC'!$E$4),OR('Visual SPC'!$G$4="",'Data Entry'!$D2131='Visual SPC'!$G$4),OR('Visual SPC'!$I$4="",'Data Entry'!$E2131='Visual SPC'!$I$4),OR('Visual SPC'!$K$4="",'Data Entry'!$F2131='Visual SPC'!$K$4)),1,0))</f>
        <v/>
      </c>
      <c r="C2131">
        <f>C2130+B2131</f>
        <v/>
      </c>
      <c r="D2131">
        <f>IF(B2131=1,INDEX('Data Entry'!$H$5:$BE$10004,2131-4,'Visual SPC'!$B$3),"")</f>
        <v/>
      </c>
      <c r="E2131">
        <f>IF(B2131=1,D2131,E2130)</f>
        <v/>
      </c>
      <c r="F2131">
        <f>IF(AND(B2131=1,C2131&gt;1,E2130&lt;&gt;""),ABS(D2131-E2130),"")</f>
        <v/>
      </c>
    </row>
    <row r="2132">
      <c r="A2132" t="n">
        <v>2132</v>
      </c>
      <c r="B2132">
        <f>IF(INDEX('Data Entry'!$H$5:$BE$10004,2132-4,'Visual SPC'!$B$3)="",0,IF(AND(OR('Visual SPC'!$C$4="",'Data Entry'!$C2132&gt;='Visual SPC'!$C$4),OR('Visual SPC'!$E$4="",'Data Entry'!$C2132&lt;='Visual SPC'!$E$4),OR('Visual SPC'!$G$4="",'Data Entry'!$D2132='Visual SPC'!$G$4),OR('Visual SPC'!$I$4="",'Data Entry'!$E2132='Visual SPC'!$I$4),OR('Visual SPC'!$K$4="",'Data Entry'!$F2132='Visual SPC'!$K$4)),1,0))</f>
        <v/>
      </c>
      <c r="C2132">
        <f>C2131+B2132</f>
        <v/>
      </c>
      <c r="D2132">
        <f>IF(B2132=1,INDEX('Data Entry'!$H$5:$BE$10004,2132-4,'Visual SPC'!$B$3),"")</f>
        <v/>
      </c>
      <c r="E2132">
        <f>IF(B2132=1,D2132,E2131)</f>
        <v/>
      </c>
      <c r="F2132">
        <f>IF(AND(B2132=1,C2132&gt;1,E2131&lt;&gt;""),ABS(D2132-E2131),"")</f>
        <v/>
      </c>
    </row>
    <row r="2133">
      <c r="A2133" t="n">
        <v>2133</v>
      </c>
      <c r="B2133">
        <f>IF(INDEX('Data Entry'!$H$5:$BE$10004,2133-4,'Visual SPC'!$B$3)="",0,IF(AND(OR('Visual SPC'!$C$4="",'Data Entry'!$C2133&gt;='Visual SPC'!$C$4),OR('Visual SPC'!$E$4="",'Data Entry'!$C2133&lt;='Visual SPC'!$E$4),OR('Visual SPC'!$G$4="",'Data Entry'!$D2133='Visual SPC'!$G$4),OR('Visual SPC'!$I$4="",'Data Entry'!$E2133='Visual SPC'!$I$4),OR('Visual SPC'!$K$4="",'Data Entry'!$F2133='Visual SPC'!$K$4)),1,0))</f>
        <v/>
      </c>
      <c r="C2133">
        <f>C2132+B2133</f>
        <v/>
      </c>
      <c r="D2133">
        <f>IF(B2133=1,INDEX('Data Entry'!$H$5:$BE$10004,2133-4,'Visual SPC'!$B$3),"")</f>
        <v/>
      </c>
      <c r="E2133">
        <f>IF(B2133=1,D2133,E2132)</f>
        <v/>
      </c>
      <c r="F2133">
        <f>IF(AND(B2133=1,C2133&gt;1,E2132&lt;&gt;""),ABS(D2133-E2132),"")</f>
        <v/>
      </c>
    </row>
    <row r="2134">
      <c r="A2134" t="n">
        <v>2134</v>
      </c>
      <c r="B2134">
        <f>IF(INDEX('Data Entry'!$H$5:$BE$10004,2134-4,'Visual SPC'!$B$3)="",0,IF(AND(OR('Visual SPC'!$C$4="",'Data Entry'!$C2134&gt;='Visual SPC'!$C$4),OR('Visual SPC'!$E$4="",'Data Entry'!$C2134&lt;='Visual SPC'!$E$4),OR('Visual SPC'!$G$4="",'Data Entry'!$D2134='Visual SPC'!$G$4),OR('Visual SPC'!$I$4="",'Data Entry'!$E2134='Visual SPC'!$I$4),OR('Visual SPC'!$K$4="",'Data Entry'!$F2134='Visual SPC'!$K$4)),1,0))</f>
        <v/>
      </c>
      <c r="C2134">
        <f>C2133+B2134</f>
        <v/>
      </c>
      <c r="D2134">
        <f>IF(B2134=1,INDEX('Data Entry'!$H$5:$BE$10004,2134-4,'Visual SPC'!$B$3),"")</f>
        <v/>
      </c>
      <c r="E2134">
        <f>IF(B2134=1,D2134,E2133)</f>
        <v/>
      </c>
      <c r="F2134">
        <f>IF(AND(B2134=1,C2134&gt;1,E2133&lt;&gt;""),ABS(D2134-E2133),"")</f>
        <v/>
      </c>
    </row>
    <row r="2135">
      <c r="A2135" t="n">
        <v>2135</v>
      </c>
      <c r="B2135">
        <f>IF(INDEX('Data Entry'!$H$5:$BE$10004,2135-4,'Visual SPC'!$B$3)="",0,IF(AND(OR('Visual SPC'!$C$4="",'Data Entry'!$C2135&gt;='Visual SPC'!$C$4),OR('Visual SPC'!$E$4="",'Data Entry'!$C2135&lt;='Visual SPC'!$E$4),OR('Visual SPC'!$G$4="",'Data Entry'!$D2135='Visual SPC'!$G$4),OR('Visual SPC'!$I$4="",'Data Entry'!$E2135='Visual SPC'!$I$4),OR('Visual SPC'!$K$4="",'Data Entry'!$F2135='Visual SPC'!$K$4)),1,0))</f>
        <v/>
      </c>
      <c r="C2135">
        <f>C2134+B2135</f>
        <v/>
      </c>
      <c r="D2135">
        <f>IF(B2135=1,INDEX('Data Entry'!$H$5:$BE$10004,2135-4,'Visual SPC'!$B$3),"")</f>
        <v/>
      </c>
      <c r="E2135">
        <f>IF(B2135=1,D2135,E2134)</f>
        <v/>
      </c>
      <c r="F2135">
        <f>IF(AND(B2135=1,C2135&gt;1,E2134&lt;&gt;""),ABS(D2135-E2134),"")</f>
        <v/>
      </c>
    </row>
    <row r="2136">
      <c r="A2136" t="n">
        <v>2136</v>
      </c>
      <c r="B2136">
        <f>IF(INDEX('Data Entry'!$H$5:$BE$10004,2136-4,'Visual SPC'!$B$3)="",0,IF(AND(OR('Visual SPC'!$C$4="",'Data Entry'!$C2136&gt;='Visual SPC'!$C$4),OR('Visual SPC'!$E$4="",'Data Entry'!$C2136&lt;='Visual SPC'!$E$4),OR('Visual SPC'!$G$4="",'Data Entry'!$D2136='Visual SPC'!$G$4),OR('Visual SPC'!$I$4="",'Data Entry'!$E2136='Visual SPC'!$I$4),OR('Visual SPC'!$K$4="",'Data Entry'!$F2136='Visual SPC'!$K$4)),1,0))</f>
        <v/>
      </c>
      <c r="C2136">
        <f>C2135+B2136</f>
        <v/>
      </c>
      <c r="D2136">
        <f>IF(B2136=1,INDEX('Data Entry'!$H$5:$BE$10004,2136-4,'Visual SPC'!$B$3),"")</f>
        <v/>
      </c>
      <c r="E2136">
        <f>IF(B2136=1,D2136,E2135)</f>
        <v/>
      </c>
      <c r="F2136">
        <f>IF(AND(B2136=1,C2136&gt;1,E2135&lt;&gt;""),ABS(D2136-E2135),"")</f>
        <v/>
      </c>
    </row>
    <row r="2137">
      <c r="A2137" t="n">
        <v>2137</v>
      </c>
      <c r="B2137">
        <f>IF(INDEX('Data Entry'!$H$5:$BE$10004,2137-4,'Visual SPC'!$B$3)="",0,IF(AND(OR('Visual SPC'!$C$4="",'Data Entry'!$C2137&gt;='Visual SPC'!$C$4),OR('Visual SPC'!$E$4="",'Data Entry'!$C2137&lt;='Visual SPC'!$E$4),OR('Visual SPC'!$G$4="",'Data Entry'!$D2137='Visual SPC'!$G$4),OR('Visual SPC'!$I$4="",'Data Entry'!$E2137='Visual SPC'!$I$4),OR('Visual SPC'!$K$4="",'Data Entry'!$F2137='Visual SPC'!$K$4)),1,0))</f>
        <v/>
      </c>
      <c r="C2137">
        <f>C2136+B2137</f>
        <v/>
      </c>
      <c r="D2137">
        <f>IF(B2137=1,INDEX('Data Entry'!$H$5:$BE$10004,2137-4,'Visual SPC'!$B$3),"")</f>
        <v/>
      </c>
      <c r="E2137">
        <f>IF(B2137=1,D2137,E2136)</f>
        <v/>
      </c>
      <c r="F2137">
        <f>IF(AND(B2137=1,C2137&gt;1,E2136&lt;&gt;""),ABS(D2137-E2136),"")</f>
        <v/>
      </c>
    </row>
    <row r="2138">
      <c r="A2138" t="n">
        <v>2138</v>
      </c>
      <c r="B2138">
        <f>IF(INDEX('Data Entry'!$H$5:$BE$10004,2138-4,'Visual SPC'!$B$3)="",0,IF(AND(OR('Visual SPC'!$C$4="",'Data Entry'!$C2138&gt;='Visual SPC'!$C$4),OR('Visual SPC'!$E$4="",'Data Entry'!$C2138&lt;='Visual SPC'!$E$4),OR('Visual SPC'!$G$4="",'Data Entry'!$D2138='Visual SPC'!$G$4),OR('Visual SPC'!$I$4="",'Data Entry'!$E2138='Visual SPC'!$I$4),OR('Visual SPC'!$K$4="",'Data Entry'!$F2138='Visual SPC'!$K$4)),1,0))</f>
        <v/>
      </c>
      <c r="C2138">
        <f>C2137+B2138</f>
        <v/>
      </c>
      <c r="D2138">
        <f>IF(B2138=1,INDEX('Data Entry'!$H$5:$BE$10004,2138-4,'Visual SPC'!$B$3),"")</f>
        <v/>
      </c>
      <c r="E2138">
        <f>IF(B2138=1,D2138,E2137)</f>
        <v/>
      </c>
      <c r="F2138">
        <f>IF(AND(B2138=1,C2138&gt;1,E2137&lt;&gt;""),ABS(D2138-E2137),"")</f>
        <v/>
      </c>
    </row>
    <row r="2139">
      <c r="A2139" t="n">
        <v>2139</v>
      </c>
      <c r="B2139">
        <f>IF(INDEX('Data Entry'!$H$5:$BE$10004,2139-4,'Visual SPC'!$B$3)="",0,IF(AND(OR('Visual SPC'!$C$4="",'Data Entry'!$C2139&gt;='Visual SPC'!$C$4),OR('Visual SPC'!$E$4="",'Data Entry'!$C2139&lt;='Visual SPC'!$E$4),OR('Visual SPC'!$G$4="",'Data Entry'!$D2139='Visual SPC'!$G$4),OR('Visual SPC'!$I$4="",'Data Entry'!$E2139='Visual SPC'!$I$4),OR('Visual SPC'!$K$4="",'Data Entry'!$F2139='Visual SPC'!$K$4)),1,0))</f>
        <v/>
      </c>
      <c r="C2139">
        <f>C2138+B2139</f>
        <v/>
      </c>
      <c r="D2139">
        <f>IF(B2139=1,INDEX('Data Entry'!$H$5:$BE$10004,2139-4,'Visual SPC'!$B$3),"")</f>
        <v/>
      </c>
      <c r="E2139">
        <f>IF(B2139=1,D2139,E2138)</f>
        <v/>
      </c>
      <c r="F2139">
        <f>IF(AND(B2139=1,C2139&gt;1,E2138&lt;&gt;""),ABS(D2139-E2138),"")</f>
        <v/>
      </c>
    </row>
    <row r="2140">
      <c r="A2140" t="n">
        <v>2140</v>
      </c>
      <c r="B2140">
        <f>IF(INDEX('Data Entry'!$H$5:$BE$10004,2140-4,'Visual SPC'!$B$3)="",0,IF(AND(OR('Visual SPC'!$C$4="",'Data Entry'!$C2140&gt;='Visual SPC'!$C$4),OR('Visual SPC'!$E$4="",'Data Entry'!$C2140&lt;='Visual SPC'!$E$4),OR('Visual SPC'!$G$4="",'Data Entry'!$D2140='Visual SPC'!$G$4),OR('Visual SPC'!$I$4="",'Data Entry'!$E2140='Visual SPC'!$I$4),OR('Visual SPC'!$K$4="",'Data Entry'!$F2140='Visual SPC'!$K$4)),1,0))</f>
        <v/>
      </c>
      <c r="C2140">
        <f>C2139+B2140</f>
        <v/>
      </c>
      <c r="D2140">
        <f>IF(B2140=1,INDEX('Data Entry'!$H$5:$BE$10004,2140-4,'Visual SPC'!$B$3),"")</f>
        <v/>
      </c>
      <c r="E2140">
        <f>IF(B2140=1,D2140,E2139)</f>
        <v/>
      </c>
      <c r="F2140">
        <f>IF(AND(B2140=1,C2140&gt;1,E2139&lt;&gt;""),ABS(D2140-E2139),"")</f>
        <v/>
      </c>
    </row>
    <row r="2141">
      <c r="A2141" t="n">
        <v>2141</v>
      </c>
      <c r="B2141">
        <f>IF(INDEX('Data Entry'!$H$5:$BE$10004,2141-4,'Visual SPC'!$B$3)="",0,IF(AND(OR('Visual SPC'!$C$4="",'Data Entry'!$C2141&gt;='Visual SPC'!$C$4),OR('Visual SPC'!$E$4="",'Data Entry'!$C2141&lt;='Visual SPC'!$E$4),OR('Visual SPC'!$G$4="",'Data Entry'!$D2141='Visual SPC'!$G$4),OR('Visual SPC'!$I$4="",'Data Entry'!$E2141='Visual SPC'!$I$4),OR('Visual SPC'!$K$4="",'Data Entry'!$F2141='Visual SPC'!$K$4)),1,0))</f>
        <v/>
      </c>
      <c r="C2141">
        <f>C2140+B2141</f>
        <v/>
      </c>
      <c r="D2141">
        <f>IF(B2141=1,INDEX('Data Entry'!$H$5:$BE$10004,2141-4,'Visual SPC'!$B$3),"")</f>
        <v/>
      </c>
      <c r="E2141">
        <f>IF(B2141=1,D2141,E2140)</f>
        <v/>
      </c>
      <c r="F2141">
        <f>IF(AND(B2141=1,C2141&gt;1,E2140&lt;&gt;""),ABS(D2141-E2140),"")</f>
        <v/>
      </c>
    </row>
    <row r="2142">
      <c r="A2142" t="n">
        <v>2142</v>
      </c>
      <c r="B2142">
        <f>IF(INDEX('Data Entry'!$H$5:$BE$10004,2142-4,'Visual SPC'!$B$3)="",0,IF(AND(OR('Visual SPC'!$C$4="",'Data Entry'!$C2142&gt;='Visual SPC'!$C$4),OR('Visual SPC'!$E$4="",'Data Entry'!$C2142&lt;='Visual SPC'!$E$4),OR('Visual SPC'!$G$4="",'Data Entry'!$D2142='Visual SPC'!$G$4),OR('Visual SPC'!$I$4="",'Data Entry'!$E2142='Visual SPC'!$I$4),OR('Visual SPC'!$K$4="",'Data Entry'!$F2142='Visual SPC'!$K$4)),1,0))</f>
        <v/>
      </c>
      <c r="C2142">
        <f>C2141+B2142</f>
        <v/>
      </c>
      <c r="D2142">
        <f>IF(B2142=1,INDEX('Data Entry'!$H$5:$BE$10004,2142-4,'Visual SPC'!$B$3),"")</f>
        <v/>
      </c>
      <c r="E2142">
        <f>IF(B2142=1,D2142,E2141)</f>
        <v/>
      </c>
      <c r="F2142">
        <f>IF(AND(B2142=1,C2142&gt;1,E2141&lt;&gt;""),ABS(D2142-E2141),"")</f>
        <v/>
      </c>
    </row>
    <row r="2143">
      <c r="A2143" t="n">
        <v>2143</v>
      </c>
      <c r="B2143">
        <f>IF(INDEX('Data Entry'!$H$5:$BE$10004,2143-4,'Visual SPC'!$B$3)="",0,IF(AND(OR('Visual SPC'!$C$4="",'Data Entry'!$C2143&gt;='Visual SPC'!$C$4),OR('Visual SPC'!$E$4="",'Data Entry'!$C2143&lt;='Visual SPC'!$E$4),OR('Visual SPC'!$G$4="",'Data Entry'!$D2143='Visual SPC'!$G$4),OR('Visual SPC'!$I$4="",'Data Entry'!$E2143='Visual SPC'!$I$4),OR('Visual SPC'!$K$4="",'Data Entry'!$F2143='Visual SPC'!$K$4)),1,0))</f>
        <v/>
      </c>
      <c r="C2143">
        <f>C2142+B2143</f>
        <v/>
      </c>
      <c r="D2143">
        <f>IF(B2143=1,INDEX('Data Entry'!$H$5:$BE$10004,2143-4,'Visual SPC'!$B$3),"")</f>
        <v/>
      </c>
      <c r="E2143">
        <f>IF(B2143=1,D2143,E2142)</f>
        <v/>
      </c>
      <c r="F2143">
        <f>IF(AND(B2143=1,C2143&gt;1,E2142&lt;&gt;""),ABS(D2143-E2142),"")</f>
        <v/>
      </c>
    </row>
    <row r="2144">
      <c r="A2144" t="n">
        <v>2144</v>
      </c>
      <c r="B2144">
        <f>IF(INDEX('Data Entry'!$H$5:$BE$10004,2144-4,'Visual SPC'!$B$3)="",0,IF(AND(OR('Visual SPC'!$C$4="",'Data Entry'!$C2144&gt;='Visual SPC'!$C$4),OR('Visual SPC'!$E$4="",'Data Entry'!$C2144&lt;='Visual SPC'!$E$4),OR('Visual SPC'!$G$4="",'Data Entry'!$D2144='Visual SPC'!$G$4),OR('Visual SPC'!$I$4="",'Data Entry'!$E2144='Visual SPC'!$I$4),OR('Visual SPC'!$K$4="",'Data Entry'!$F2144='Visual SPC'!$K$4)),1,0))</f>
        <v/>
      </c>
      <c r="C2144">
        <f>C2143+B2144</f>
        <v/>
      </c>
      <c r="D2144">
        <f>IF(B2144=1,INDEX('Data Entry'!$H$5:$BE$10004,2144-4,'Visual SPC'!$B$3),"")</f>
        <v/>
      </c>
      <c r="E2144">
        <f>IF(B2144=1,D2144,E2143)</f>
        <v/>
      </c>
      <c r="F2144">
        <f>IF(AND(B2144=1,C2144&gt;1,E2143&lt;&gt;""),ABS(D2144-E2143),"")</f>
        <v/>
      </c>
    </row>
    <row r="2145">
      <c r="A2145" t="n">
        <v>2145</v>
      </c>
      <c r="B2145">
        <f>IF(INDEX('Data Entry'!$H$5:$BE$10004,2145-4,'Visual SPC'!$B$3)="",0,IF(AND(OR('Visual SPC'!$C$4="",'Data Entry'!$C2145&gt;='Visual SPC'!$C$4),OR('Visual SPC'!$E$4="",'Data Entry'!$C2145&lt;='Visual SPC'!$E$4),OR('Visual SPC'!$G$4="",'Data Entry'!$D2145='Visual SPC'!$G$4),OR('Visual SPC'!$I$4="",'Data Entry'!$E2145='Visual SPC'!$I$4),OR('Visual SPC'!$K$4="",'Data Entry'!$F2145='Visual SPC'!$K$4)),1,0))</f>
        <v/>
      </c>
      <c r="C2145">
        <f>C2144+B2145</f>
        <v/>
      </c>
      <c r="D2145">
        <f>IF(B2145=1,INDEX('Data Entry'!$H$5:$BE$10004,2145-4,'Visual SPC'!$B$3),"")</f>
        <v/>
      </c>
      <c r="E2145">
        <f>IF(B2145=1,D2145,E2144)</f>
        <v/>
      </c>
      <c r="F2145">
        <f>IF(AND(B2145=1,C2145&gt;1,E2144&lt;&gt;""),ABS(D2145-E2144),"")</f>
        <v/>
      </c>
    </row>
    <row r="2146">
      <c r="A2146" t="n">
        <v>2146</v>
      </c>
      <c r="B2146">
        <f>IF(INDEX('Data Entry'!$H$5:$BE$10004,2146-4,'Visual SPC'!$B$3)="",0,IF(AND(OR('Visual SPC'!$C$4="",'Data Entry'!$C2146&gt;='Visual SPC'!$C$4),OR('Visual SPC'!$E$4="",'Data Entry'!$C2146&lt;='Visual SPC'!$E$4),OR('Visual SPC'!$G$4="",'Data Entry'!$D2146='Visual SPC'!$G$4),OR('Visual SPC'!$I$4="",'Data Entry'!$E2146='Visual SPC'!$I$4),OR('Visual SPC'!$K$4="",'Data Entry'!$F2146='Visual SPC'!$K$4)),1,0))</f>
        <v/>
      </c>
      <c r="C2146">
        <f>C2145+B2146</f>
        <v/>
      </c>
      <c r="D2146">
        <f>IF(B2146=1,INDEX('Data Entry'!$H$5:$BE$10004,2146-4,'Visual SPC'!$B$3),"")</f>
        <v/>
      </c>
      <c r="E2146">
        <f>IF(B2146=1,D2146,E2145)</f>
        <v/>
      </c>
      <c r="F2146">
        <f>IF(AND(B2146=1,C2146&gt;1,E2145&lt;&gt;""),ABS(D2146-E2145),"")</f>
        <v/>
      </c>
    </row>
    <row r="2147">
      <c r="A2147" t="n">
        <v>2147</v>
      </c>
      <c r="B2147">
        <f>IF(INDEX('Data Entry'!$H$5:$BE$10004,2147-4,'Visual SPC'!$B$3)="",0,IF(AND(OR('Visual SPC'!$C$4="",'Data Entry'!$C2147&gt;='Visual SPC'!$C$4),OR('Visual SPC'!$E$4="",'Data Entry'!$C2147&lt;='Visual SPC'!$E$4),OR('Visual SPC'!$G$4="",'Data Entry'!$D2147='Visual SPC'!$G$4),OR('Visual SPC'!$I$4="",'Data Entry'!$E2147='Visual SPC'!$I$4),OR('Visual SPC'!$K$4="",'Data Entry'!$F2147='Visual SPC'!$K$4)),1,0))</f>
        <v/>
      </c>
      <c r="C2147">
        <f>C2146+B2147</f>
        <v/>
      </c>
      <c r="D2147">
        <f>IF(B2147=1,INDEX('Data Entry'!$H$5:$BE$10004,2147-4,'Visual SPC'!$B$3),"")</f>
        <v/>
      </c>
      <c r="E2147">
        <f>IF(B2147=1,D2147,E2146)</f>
        <v/>
      </c>
      <c r="F2147">
        <f>IF(AND(B2147=1,C2147&gt;1,E2146&lt;&gt;""),ABS(D2147-E2146),"")</f>
        <v/>
      </c>
    </row>
    <row r="2148">
      <c r="A2148" t="n">
        <v>2148</v>
      </c>
      <c r="B2148">
        <f>IF(INDEX('Data Entry'!$H$5:$BE$10004,2148-4,'Visual SPC'!$B$3)="",0,IF(AND(OR('Visual SPC'!$C$4="",'Data Entry'!$C2148&gt;='Visual SPC'!$C$4),OR('Visual SPC'!$E$4="",'Data Entry'!$C2148&lt;='Visual SPC'!$E$4),OR('Visual SPC'!$G$4="",'Data Entry'!$D2148='Visual SPC'!$G$4),OR('Visual SPC'!$I$4="",'Data Entry'!$E2148='Visual SPC'!$I$4),OR('Visual SPC'!$K$4="",'Data Entry'!$F2148='Visual SPC'!$K$4)),1,0))</f>
        <v/>
      </c>
      <c r="C2148">
        <f>C2147+B2148</f>
        <v/>
      </c>
      <c r="D2148">
        <f>IF(B2148=1,INDEX('Data Entry'!$H$5:$BE$10004,2148-4,'Visual SPC'!$B$3),"")</f>
        <v/>
      </c>
      <c r="E2148">
        <f>IF(B2148=1,D2148,E2147)</f>
        <v/>
      </c>
      <c r="F2148">
        <f>IF(AND(B2148=1,C2148&gt;1,E2147&lt;&gt;""),ABS(D2148-E2147),"")</f>
        <v/>
      </c>
    </row>
    <row r="2149">
      <c r="A2149" t="n">
        <v>2149</v>
      </c>
      <c r="B2149">
        <f>IF(INDEX('Data Entry'!$H$5:$BE$10004,2149-4,'Visual SPC'!$B$3)="",0,IF(AND(OR('Visual SPC'!$C$4="",'Data Entry'!$C2149&gt;='Visual SPC'!$C$4),OR('Visual SPC'!$E$4="",'Data Entry'!$C2149&lt;='Visual SPC'!$E$4),OR('Visual SPC'!$G$4="",'Data Entry'!$D2149='Visual SPC'!$G$4),OR('Visual SPC'!$I$4="",'Data Entry'!$E2149='Visual SPC'!$I$4),OR('Visual SPC'!$K$4="",'Data Entry'!$F2149='Visual SPC'!$K$4)),1,0))</f>
        <v/>
      </c>
      <c r="C2149">
        <f>C2148+B2149</f>
        <v/>
      </c>
      <c r="D2149">
        <f>IF(B2149=1,INDEX('Data Entry'!$H$5:$BE$10004,2149-4,'Visual SPC'!$B$3),"")</f>
        <v/>
      </c>
      <c r="E2149">
        <f>IF(B2149=1,D2149,E2148)</f>
        <v/>
      </c>
      <c r="F2149">
        <f>IF(AND(B2149=1,C2149&gt;1,E2148&lt;&gt;""),ABS(D2149-E2148),"")</f>
        <v/>
      </c>
    </row>
    <row r="2150">
      <c r="A2150" t="n">
        <v>2150</v>
      </c>
      <c r="B2150">
        <f>IF(INDEX('Data Entry'!$H$5:$BE$10004,2150-4,'Visual SPC'!$B$3)="",0,IF(AND(OR('Visual SPC'!$C$4="",'Data Entry'!$C2150&gt;='Visual SPC'!$C$4),OR('Visual SPC'!$E$4="",'Data Entry'!$C2150&lt;='Visual SPC'!$E$4),OR('Visual SPC'!$G$4="",'Data Entry'!$D2150='Visual SPC'!$G$4),OR('Visual SPC'!$I$4="",'Data Entry'!$E2150='Visual SPC'!$I$4),OR('Visual SPC'!$K$4="",'Data Entry'!$F2150='Visual SPC'!$K$4)),1,0))</f>
        <v/>
      </c>
      <c r="C2150">
        <f>C2149+B2150</f>
        <v/>
      </c>
      <c r="D2150">
        <f>IF(B2150=1,INDEX('Data Entry'!$H$5:$BE$10004,2150-4,'Visual SPC'!$B$3),"")</f>
        <v/>
      </c>
      <c r="E2150">
        <f>IF(B2150=1,D2150,E2149)</f>
        <v/>
      </c>
      <c r="F2150">
        <f>IF(AND(B2150=1,C2150&gt;1,E2149&lt;&gt;""),ABS(D2150-E2149),"")</f>
        <v/>
      </c>
    </row>
    <row r="2151">
      <c r="A2151" t="n">
        <v>2151</v>
      </c>
      <c r="B2151">
        <f>IF(INDEX('Data Entry'!$H$5:$BE$10004,2151-4,'Visual SPC'!$B$3)="",0,IF(AND(OR('Visual SPC'!$C$4="",'Data Entry'!$C2151&gt;='Visual SPC'!$C$4),OR('Visual SPC'!$E$4="",'Data Entry'!$C2151&lt;='Visual SPC'!$E$4),OR('Visual SPC'!$G$4="",'Data Entry'!$D2151='Visual SPC'!$G$4),OR('Visual SPC'!$I$4="",'Data Entry'!$E2151='Visual SPC'!$I$4),OR('Visual SPC'!$K$4="",'Data Entry'!$F2151='Visual SPC'!$K$4)),1,0))</f>
        <v/>
      </c>
      <c r="C2151">
        <f>C2150+B2151</f>
        <v/>
      </c>
      <c r="D2151">
        <f>IF(B2151=1,INDEX('Data Entry'!$H$5:$BE$10004,2151-4,'Visual SPC'!$B$3),"")</f>
        <v/>
      </c>
      <c r="E2151">
        <f>IF(B2151=1,D2151,E2150)</f>
        <v/>
      </c>
      <c r="F2151">
        <f>IF(AND(B2151=1,C2151&gt;1,E2150&lt;&gt;""),ABS(D2151-E2150),"")</f>
        <v/>
      </c>
    </row>
    <row r="2152">
      <c r="A2152" t="n">
        <v>2152</v>
      </c>
      <c r="B2152">
        <f>IF(INDEX('Data Entry'!$H$5:$BE$10004,2152-4,'Visual SPC'!$B$3)="",0,IF(AND(OR('Visual SPC'!$C$4="",'Data Entry'!$C2152&gt;='Visual SPC'!$C$4),OR('Visual SPC'!$E$4="",'Data Entry'!$C2152&lt;='Visual SPC'!$E$4),OR('Visual SPC'!$G$4="",'Data Entry'!$D2152='Visual SPC'!$G$4),OR('Visual SPC'!$I$4="",'Data Entry'!$E2152='Visual SPC'!$I$4),OR('Visual SPC'!$K$4="",'Data Entry'!$F2152='Visual SPC'!$K$4)),1,0))</f>
        <v/>
      </c>
      <c r="C2152">
        <f>C2151+B2152</f>
        <v/>
      </c>
      <c r="D2152">
        <f>IF(B2152=1,INDEX('Data Entry'!$H$5:$BE$10004,2152-4,'Visual SPC'!$B$3),"")</f>
        <v/>
      </c>
      <c r="E2152">
        <f>IF(B2152=1,D2152,E2151)</f>
        <v/>
      </c>
      <c r="F2152">
        <f>IF(AND(B2152=1,C2152&gt;1,E2151&lt;&gt;""),ABS(D2152-E2151),"")</f>
        <v/>
      </c>
    </row>
    <row r="2153">
      <c r="A2153" t="n">
        <v>2153</v>
      </c>
      <c r="B2153">
        <f>IF(INDEX('Data Entry'!$H$5:$BE$10004,2153-4,'Visual SPC'!$B$3)="",0,IF(AND(OR('Visual SPC'!$C$4="",'Data Entry'!$C2153&gt;='Visual SPC'!$C$4),OR('Visual SPC'!$E$4="",'Data Entry'!$C2153&lt;='Visual SPC'!$E$4),OR('Visual SPC'!$G$4="",'Data Entry'!$D2153='Visual SPC'!$G$4),OR('Visual SPC'!$I$4="",'Data Entry'!$E2153='Visual SPC'!$I$4),OR('Visual SPC'!$K$4="",'Data Entry'!$F2153='Visual SPC'!$K$4)),1,0))</f>
        <v/>
      </c>
      <c r="C2153">
        <f>C2152+B2153</f>
        <v/>
      </c>
      <c r="D2153">
        <f>IF(B2153=1,INDEX('Data Entry'!$H$5:$BE$10004,2153-4,'Visual SPC'!$B$3),"")</f>
        <v/>
      </c>
      <c r="E2153">
        <f>IF(B2153=1,D2153,E2152)</f>
        <v/>
      </c>
      <c r="F2153">
        <f>IF(AND(B2153=1,C2153&gt;1,E2152&lt;&gt;""),ABS(D2153-E2152),"")</f>
        <v/>
      </c>
    </row>
    <row r="2154">
      <c r="A2154" t="n">
        <v>2154</v>
      </c>
      <c r="B2154">
        <f>IF(INDEX('Data Entry'!$H$5:$BE$10004,2154-4,'Visual SPC'!$B$3)="",0,IF(AND(OR('Visual SPC'!$C$4="",'Data Entry'!$C2154&gt;='Visual SPC'!$C$4),OR('Visual SPC'!$E$4="",'Data Entry'!$C2154&lt;='Visual SPC'!$E$4),OR('Visual SPC'!$G$4="",'Data Entry'!$D2154='Visual SPC'!$G$4),OR('Visual SPC'!$I$4="",'Data Entry'!$E2154='Visual SPC'!$I$4),OR('Visual SPC'!$K$4="",'Data Entry'!$F2154='Visual SPC'!$K$4)),1,0))</f>
        <v/>
      </c>
      <c r="C2154">
        <f>C2153+B2154</f>
        <v/>
      </c>
      <c r="D2154">
        <f>IF(B2154=1,INDEX('Data Entry'!$H$5:$BE$10004,2154-4,'Visual SPC'!$B$3),"")</f>
        <v/>
      </c>
      <c r="E2154">
        <f>IF(B2154=1,D2154,E2153)</f>
        <v/>
      </c>
      <c r="F2154">
        <f>IF(AND(B2154=1,C2154&gt;1,E2153&lt;&gt;""),ABS(D2154-E2153),"")</f>
        <v/>
      </c>
    </row>
    <row r="2155">
      <c r="A2155" t="n">
        <v>2155</v>
      </c>
      <c r="B2155">
        <f>IF(INDEX('Data Entry'!$H$5:$BE$10004,2155-4,'Visual SPC'!$B$3)="",0,IF(AND(OR('Visual SPC'!$C$4="",'Data Entry'!$C2155&gt;='Visual SPC'!$C$4),OR('Visual SPC'!$E$4="",'Data Entry'!$C2155&lt;='Visual SPC'!$E$4),OR('Visual SPC'!$G$4="",'Data Entry'!$D2155='Visual SPC'!$G$4),OR('Visual SPC'!$I$4="",'Data Entry'!$E2155='Visual SPC'!$I$4),OR('Visual SPC'!$K$4="",'Data Entry'!$F2155='Visual SPC'!$K$4)),1,0))</f>
        <v/>
      </c>
      <c r="C2155">
        <f>C2154+B2155</f>
        <v/>
      </c>
      <c r="D2155">
        <f>IF(B2155=1,INDEX('Data Entry'!$H$5:$BE$10004,2155-4,'Visual SPC'!$B$3),"")</f>
        <v/>
      </c>
      <c r="E2155">
        <f>IF(B2155=1,D2155,E2154)</f>
        <v/>
      </c>
      <c r="F2155">
        <f>IF(AND(B2155=1,C2155&gt;1,E2154&lt;&gt;""),ABS(D2155-E2154),"")</f>
        <v/>
      </c>
    </row>
    <row r="2156">
      <c r="A2156" t="n">
        <v>2156</v>
      </c>
      <c r="B2156">
        <f>IF(INDEX('Data Entry'!$H$5:$BE$10004,2156-4,'Visual SPC'!$B$3)="",0,IF(AND(OR('Visual SPC'!$C$4="",'Data Entry'!$C2156&gt;='Visual SPC'!$C$4),OR('Visual SPC'!$E$4="",'Data Entry'!$C2156&lt;='Visual SPC'!$E$4),OR('Visual SPC'!$G$4="",'Data Entry'!$D2156='Visual SPC'!$G$4),OR('Visual SPC'!$I$4="",'Data Entry'!$E2156='Visual SPC'!$I$4),OR('Visual SPC'!$K$4="",'Data Entry'!$F2156='Visual SPC'!$K$4)),1,0))</f>
        <v/>
      </c>
      <c r="C2156">
        <f>C2155+B2156</f>
        <v/>
      </c>
      <c r="D2156">
        <f>IF(B2156=1,INDEX('Data Entry'!$H$5:$BE$10004,2156-4,'Visual SPC'!$B$3),"")</f>
        <v/>
      </c>
      <c r="E2156">
        <f>IF(B2156=1,D2156,E2155)</f>
        <v/>
      </c>
      <c r="F2156">
        <f>IF(AND(B2156=1,C2156&gt;1,E2155&lt;&gt;""),ABS(D2156-E2155),"")</f>
        <v/>
      </c>
    </row>
    <row r="2157">
      <c r="A2157" t="n">
        <v>2157</v>
      </c>
      <c r="B2157">
        <f>IF(INDEX('Data Entry'!$H$5:$BE$10004,2157-4,'Visual SPC'!$B$3)="",0,IF(AND(OR('Visual SPC'!$C$4="",'Data Entry'!$C2157&gt;='Visual SPC'!$C$4),OR('Visual SPC'!$E$4="",'Data Entry'!$C2157&lt;='Visual SPC'!$E$4),OR('Visual SPC'!$G$4="",'Data Entry'!$D2157='Visual SPC'!$G$4),OR('Visual SPC'!$I$4="",'Data Entry'!$E2157='Visual SPC'!$I$4),OR('Visual SPC'!$K$4="",'Data Entry'!$F2157='Visual SPC'!$K$4)),1,0))</f>
        <v/>
      </c>
      <c r="C2157">
        <f>C2156+B2157</f>
        <v/>
      </c>
      <c r="D2157">
        <f>IF(B2157=1,INDEX('Data Entry'!$H$5:$BE$10004,2157-4,'Visual SPC'!$B$3),"")</f>
        <v/>
      </c>
      <c r="E2157">
        <f>IF(B2157=1,D2157,E2156)</f>
        <v/>
      </c>
      <c r="F2157">
        <f>IF(AND(B2157=1,C2157&gt;1,E2156&lt;&gt;""),ABS(D2157-E2156),"")</f>
        <v/>
      </c>
    </row>
    <row r="2158">
      <c r="A2158" t="n">
        <v>2158</v>
      </c>
      <c r="B2158">
        <f>IF(INDEX('Data Entry'!$H$5:$BE$10004,2158-4,'Visual SPC'!$B$3)="",0,IF(AND(OR('Visual SPC'!$C$4="",'Data Entry'!$C2158&gt;='Visual SPC'!$C$4),OR('Visual SPC'!$E$4="",'Data Entry'!$C2158&lt;='Visual SPC'!$E$4),OR('Visual SPC'!$G$4="",'Data Entry'!$D2158='Visual SPC'!$G$4),OR('Visual SPC'!$I$4="",'Data Entry'!$E2158='Visual SPC'!$I$4),OR('Visual SPC'!$K$4="",'Data Entry'!$F2158='Visual SPC'!$K$4)),1,0))</f>
        <v/>
      </c>
      <c r="C2158">
        <f>C2157+B2158</f>
        <v/>
      </c>
      <c r="D2158">
        <f>IF(B2158=1,INDEX('Data Entry'!$H$5:$BE$10004,2158-4,'Visual SPC'!$B$3),"")</f>
        <v/>
      </c>
      <c r="E2158">
        <f>IF(B2158=1,D2158,E2157)</f>
        <v/>
      </c>
      <c r="F2158">
        <f>IF(AND(B2158=1,C2158&gt;1,E2157&lt;&gt;""),ABS(D2158-E2157),"")</f>
        <v/>
      </c>
    </row>
    <row r="2159">
      <c r="A2159" t="n">
        <v>2159</v>
      </c>
      <c r="B2159">
        <f>IF(INDEX('Data Entry'!$H$5:$BE$10004,2159-4,'Visual SPC'!$B$3)="",0,IF(AND(OR('Visual SPC'!$C$4="",'Data Entry'!$C2159&gt;='Visual SPC'!$C$4),OR('Visual SPC'!$E$4="",'Data Entry'!$C2159&lt;='Visual SPC'!$E$4),OR('Visual SPC'!$G$4="",'Data Entry'!$D2159='Visual SPC'!$G$4),OR('Visual SPC'!$I$4="",'Data Entry'!$E2159='Visual SPC'!$I$4),OR('Visual SPC'!$K$4="",'Data Entry'!$F2159='Visual SPC'!$K$4)),1,0))</f>
        <v/>
      </c>
      <c r="C2159">
        <f>C2158+B2159</f>
        <v/>
      </c>
      <c r="D2159">
        <f>IF(B2159=1,INDEX('Data Entry'!$H$5:$BE$10004,2159-4,'Visual SPC'!$B$3),"")</f>
        <v/>
      </c>
      <c r="E2159">
        <f>IF(B2159=1,D2159,E2158)</f>
        <v/>
      </c>
      <c r="F2159">
        <f>IF(AND(B2159=1,C2159&gt;1,E2158&lt;&gt;""),ABS(D2159-E2158),"")</f>
        <v/>
      </c>
    </row>
    <row r="2160">
      <c r="A2160" t="n">
        <v>2160</v>
      </c>
      <c r="B2160">
        <f>IF(INDEX('Data Entry'!$H$5:$BE$10004,2160-4,'Visual SPC'!$B$3)="",0,IF(AND(OR('Visual SPC'!$C$4="",'Data Entry'!$C2160&gt;='Visual SPC'!$C$4),OR('Visual SPC'!$E$4="",'Data Entry'!$C2160&lt;='Visual SPC'!$E$4),OR('Visual SPC'!$G$4="",'Data Entry'!$D2160='Visual SPC'!$G$4),OR('Visual SPC'!$I$4="",'Data Entry'!$E2160='Visual SPC'!$I$4),OR('Visual SPC'!$K$4="",'Data Entry'!$F2160='Visual SPC'!$K$4)),1,0))</f>
        <v/>
      </c>
      <c r="C2160">
        <f>C2159+B2160</f>
        <v/>
      </c>
      <c r="D2160">
        <f>IF(B2160=1,INDEX('Data Entry'!$H$5:$BE$10004,2160-4,'Visual SPC'!$B$3),"")</f>
        <v/>
      </c>
      <c r="E2160">
        <f>IF(B2160=1,D2160,E2159)</f>
        <v/>
      </c>
      <c r="F2160">
        <f>IF(AND(B2160=1,C2160&gt;1,E2159&lt;&gt;""),ABS(D2160-E2159),"")</f>
        <v/>
      </c>
    </row>
    <row r="2161">
      <c r="A2161" t="n">
        <v>2161</v>
      </c>
      <c r="B2161">
        <f>IF(INDEX('Data Entry'!$H$5:$BE$10004,2161-4,'Visual SPC'!$B$3)="",0,IF(AND(OR('Visual SPC'!$C$4="",'Data Entry'!$C2161&gt;='Visual SPC'!$C$4),OR('Visual SPC'!$E$4="",'Data Entry'!$C2161&lt;='Visual SPC'!$E$4),OR('Visual SPC'!$G$4="",'Data Entry'!$D2161='Visual SPC'!$G$4),OR('Visual SPC'!$I$4="",'Data Entry'!$E2161='Visual SPC'!$I$4),OR('Visual SPC'!$K$4="",'Data Entry'!$F2161='Visual SPC'!$K$4)),1,0))</f>
        <v/>
      </c>
      <c r="C2161">
        <f>C2160+B2161</f>
        <v/>
      </c>
      <c r="D2161">
        <f>IF(B2161=1,INDEX('Data Entry'!$H$5:$BE$10004,2161-4,'Visual SPC'!$B$3),"")</f>
        <v/>
      </c>
      <c r="E2161">
        <f>IF(B2161=1,D2161,E2160)</f>
        <v/>
      </c>
      <c r="F2161">
        <f>IF(AND(B2161=1,C2161&gt;1,E2160&lt;&gt;""),ABS(D2161-E2160),"")</f>
        <v/>
      </c>
    </row>
    <row r="2162">
      <c r="A2162" t="n">
        <v>2162</v>
      </c>
      <c r="B2162">
        <f>IF(INDEX('Data Entry'!$H$5:$BE$10004,2162-4,'Visual SPC'!$B$3)="",0,IF(AND(OR('Visual SPC'!$C$4="",'Data Entry'!$C2162&gt;='Visual SPC'!$C$4),OR('Visual SPC'!$E$4="",'Data Entry'!$C2162&lt;='Visual SPC'!$E$4),OR('Visual SPC'!$G$4="",'Data Entry'!$D2162='Visual SPC'!$G$4),OR('Visual SPC'!$I$4="",'Data Entry'!$E2162='Visual SPC'!$I$4),OR('Visual SPC'!$K$4="",'Data Entry'!$F2162='Visual SPC'!$K$4)),1,0))</f>
        <v/>
      </c>
      <c r="C2162">
        <f>C2161+B2162</f>
        <v/>
      </c>
      <c r="D2162">
        <f>IF(B2162=1,INDEX('Data Entry'!$H$5:$BE$10004,2162-4,'Visual SPC'!$B$3),"")</f>
        <v/>
      </c>
      <c r="E2162">
        <f>IF(B2162=1,D2162,E2161)</f>
        <v/>
      </c>
      <c r="F2162">
        <f>IF(AND(B2162=1,C2162&gt;1,E2161&lt;&gt;""),ABS(D2162-E2161),"")</f>
        <v/>
      </c>
    </row>
    <row r="2163">
      <c r="A2163" t="n">
        <v>2163</v>
      </c>
      <c r="B2163">
        <f>IF(INDEX('Data Entry'!$H$5:$BE$10004,2163-4,'Visual SPC'!$B$3)="",0,IF(AND(OR('Visual SPC'!$C$4="",'Data Entry'!$C2163&gt;='Visual SPC'!$C$4),OR('Visual SPC'!$E$4="",'Data Entry'!$C2163&lt;='Visual SPC'!$E$4),OR('Visual SPC'!$G$4="",'Data Entry'!$D2163='Visual SPC'!$G$4),OR('Visual SPC'!$I$4="",'Data Entry'!$E2163='Visual SPC'!$I$4),OR('Visual SPC'!$K$4="",'Data Entry'!$F2163='Visual SPC'!$K$4)),1,0))</f>
        <v/>
      </c>
      <c r="C2163">
        <f>C2162+B2163</f>
        <v/>
      </c>
      <c r="D2163">
        <f>IF(B2163=1,INDEX('Data Entry'!$H$5:$BE$10004,2163-4,'Visual SPC'!$B$3),"")</f>
        <v/>
      </c>
      <c r="E2163">
        <f>IF(B2163=1,D2163,E2162)</f>
        <v/>
      </c>
      <c r="F2163">
        <f>IF(AND(B2163=1,C2163&gt;1,E2162&lt;&gt;""),ABS(D2163-E2162),"")</f>
        <v/>
      </c>
    </row>
    <row r="2164">
      <c r="A2164" t="n">
        <v>2164</v>
      </c>
      <c r="B2164">
        <f>IF(INDEX('Data Entry'!$H$5:$BE$10004,2164-4,'Visual SPC'!$B$3)="",0,IF(AND(OR('Visual SPC'!$C$4="",'Data Entry'!$C2164&gt;='Visual SPC'!$C$4),OR('Visual SPC'!$E$4="",'Data Entry'!$C2164&lt;='Visual SPC'!$E$4),OR('Visual SPC'!$G$4="",'Data Entry'!$D2164='Visual SPC'!$G$4),OR('Visual SPC'!$I$4="",'Data Entry'!$E2164='Visual SPC'!$I$4),OR('Visual SPC'!$K$4="",'Data Entry'!$F2164='Visual SPC'!$K$4)),1,0))</f>
        <v/>
      </c>
      <c r="C2164">
        <f>C2163+B2164</f>
        <v/>
      </c>
      <c r="D2164">
        <f>IF(B2164=1,INDEX('Data Entry'!$H$5:$BE$10004,2164-4,'Visual SPC'!$B$3),"")</f>
        <v/>
      </c>
      <c r="E2164">
        <f>IF(B2164=1,D2164,E2163)</f>
        <v/>
      </c>
      <c r="F2164">
        <f>IF(AND(B2164=1,C2164&gt;1,E2163&lt;&gt;""),ABS(D2164-E2163),"")</f>
        <v/>
      </c>
    </row>
    <row r="2165">
      <c r="A2165" t="n">
        <v>2165</v>
      </c>
      <c r="B2165">
        <f>IF(INDEX('Data Entry'!$H$5:$BE$10004,2165-4,'Visual SPC'!$B$3)="",0,IF(AND(OR('Visual SPC'!$C$4="",'Data Entry'!$C2165&gt;='Visual SPC'!$C$4),OR('Visual SPC'!$E$4="",'Data Entry'!$C2165&lt;='Visual SPC'!$E$4),OR('Visual SPC'!$G$4="",'Data Entry'!$D2165='Visual SPC'!$G$4),OR('Visual SPC'!$I$4="",'Data Entry'!$E2165='Visual SPC'!$I$4),OR('Visual SPC'!$K$4="",'Data Entry'!$F2165='Visual SPC'!$K$4)),1,0))</f>
        <v/>
      </c>
      <c r="C2165">
        <f>C2164+B2165</f>
        <v/>
      </c>
      <c r="D2165">
        <f>IF(B2165=1,INDEX('Data Entry'!$H$5:$BE$10004,2165-4,'Visual SPC'!$B$3),"")</f>
        <v/>
      </c>
      <c r="E2165">
        <f>IF(B2165=1,D2165,E2164)</f>
        <v/>
      </c>
      <c r="F2165">
        <f>IF(AND(B2165=1,C2165&gt;1,E2164&lt;&gt;""),ABS(D2165-E2164),"")</f>
        <v/>
      </c>
    </row>
    <row r="2166">
      <c r="A2166" t="n">
        <v>2166</v>
      </c>
      <c r="B2166">
        <f>IF(INDEX('Data Entry'!$H$5:$BE$10004,2166-4,'Visual SPC'!$B$3)="",0,IF(AND(OR('Visual SPC'!$C$4="",'Data Entry'!$C2166&gt;='Visual SPC'!$C$4),OR('Visual SPC'!$E$4="",'Data Entry'!$C2166&lt;='Visual SPC'!$E$4),OR('Visual SPC'!$G$4="",'Data Entry'!$D2166='Visual SPC'!$G$4),OR('Visual SPC'!$I$4="",'Data Entry'!$E2166='Visual SPC'!$I$4),OR('Visual SPC'!$K$4="",'Data Entry'!$F2166='Visual SPC'!$K$4)),1,0))</f>
        <v/>
      </c>
      <c r="C2166">
        <f>C2165+B2166</f>
        <v/>
      </c>
      <c r="D2166">
        <f>IF(B2166=1,INDEX('Data Entry'!$H$5:$BE$10004,2166-4,'Visual SPC'!$B$3),"")</f>
        <v/>
      </c>
      <c r="E2166">
        <f>IF(B2166=1,D2166,E2165)</f>
        <v/>
      </c>
      <c r="F2166">
        <f>IF(AND(B2166=1,C2166&gt;1,E2165&lt;&gt;""),ABS(D2166-E2165),"")</f>
        <v/>
      </c>
    </row>
    <row r="2167">
      <c r="A2167" t="n">
        <v>2167</v>
      </c>
      <c r="B2167">
        <f>IF(INDEX('Data Entry'!$H$5:$BE$10004,2167-4,'Visual SPC'!$B$3)="",0,IF(AND(OR('Visual SPC'!$C$4="",'Data Entry'!$C2167&gt;='Visual SPC'!$C$4),OR('Visual SPC'!$E$4="",'Data Entry'!$C2167&lt;='Visual SPC'!$E$4),OR('Visual SPC'!$G$4="",'Data Entry'!$D2167='Visual SPC'!$G$4),OR('Visual SPC'!$I$4="",'Data Entry'!$E2167='Visual SPC'!$I$4),OR('Visual SPC'!$K$4="",'Data Entry'!$F2167='Visual SPC'!$K$4)),1,0))</f>
        <v/>
      </c>
      <c r="C2167">
        <f>C2166+B2167</f>
        <v/>
      </c>
      <c r="D2167">
        <f>IF(B2167=1,INDEX('Data Entry'!$H$5:$BE$10004,2167-4,'Visual SPC'!$B$3),"")</f>
        <v/>
      </c>
      <c r="E2167">
        <f>IF(B2167=1,D2167,E2166)</f>
        <v/>
      </c>
      <c r="F2167">
        <f>IF(AND(B2167=1,C2167&gt;1,E2166&lt;&gt;""),ABS(D2167-E2166),"")</f>
        <v/>
      </c>
    </row>
    <row r="2168">
      <c r="A2168" t="n">
        <v>2168</v>
      </c>
      <c r="B2168">
        <f>IF(INDEX('Data Entry'!$H$5:$BE$10004,2168-4,'Visual SPC'!$B$3)="",0,IF(AND(OR('Visual SPC'!$C$4="",'Data Entry'!$C2168&gt;='Visual SPC'!$C$4),OR('Visual SPC'!$E$4="",'Data Entry'!$C2168&lt;='Visual SPC'!$E$4),OR('Visual SPC'!$G$4="",'Data Entry'!$D2168='Visual SPC'!$G$4),OR('Visual SPC'!$I$4="",'Data Entry'!$E2168='Visual SPC'!$I$4),OR('Visual SPC'!$K$4="",'Data Entry'!$F2168='Visual SPC'!$K$4)),1,0))</f>
        <v/>
      </c>
      <c r="C2168">
        <f>C2167+B2168</f>
        <v/>
      </c>
      <c r="D2168">
        <f>IF(B2168=1,INDEX('Data Entry'!$H$5:$BE$10004,2168-4,'Visual SPC'!$B$3),"")</f>
        <v/>
      </c>
      <c r="E2168">
        <f>IF(B2168=1,D2168,E2167)</f>
        <v/>
      </c>
      <c r="F2168">
        <f>IF(AND(B2168=1,C2168&gt;1,E2167&lt;&gt;""),ABS(D2168-E2167),"")</f>
        <v/>
      </c>
    </row>
    <row r="2169">
      <c r="A2169" t="n">
        <v>2169</v>
      </c>
      <c r="B2169">
        <f>IF(INDEX('Data Entry'!$H$5:$BE$10004,2169-4,'Visual SPC'!$B$3)="",0,IF(AND(OR('Visual SPC'!$C$4="",'Data Entry'!$C2169&gt;='Visual SPC'!$C$4),OR('Visual SPC'!$E$4="",'Data Entry'!$C2169&lt;='Visual SPC'!$E$4),OR('Visual SPC'!$G$4="",'Data Entry'!$D2169='Visual SPC'!$G$4),OR('Visual SPC'!$I$4="",'Data Entry'!$E2169='Visual SPC'!$I$4),OR('Visual SPC'!$K$4="",'Data Entry'!$F2169='Visual SPC'!$K$4)),1,0))</f>
        <v/>
      </c>
      <c r="C2169">
        <f>C2168+B2169</f>
        <v/>
      </c>
      <c r="D2169">
        <f>IF(B2169=1,INDEX('Data Entry'!$H$5:$BE$10004,2169-4,'Visual SPC'!$B$3),"")</f>
        <v/>
      </c>
      <c r="E2169">
        <f>IF(B2169=1,D2169,E2168)</f>
        <v/>
      </c>
      <c r="F2169">
        <f>IF(AND(B2169=1,C2169&gt;1,E2168&lt;&gt;""),ABS(D2169-E2168),"")</f>
        <v/>
      </c>
    </row>
    <row r="2170">
      <c r="A2170" t="n">
        <v>2170</v>
      </c>
      <c r="B2170">
        <f>IF(INDEX('Data Entry'!$H$5:$BE$10004,2170-4,'Visual SPC'!$B$3)="",0,IF(AND(OR('Visual SPC'!$C$4="",'Data Entry'!$C2170&gt;='Visual SPC'!$C$4),OR('Visual SPC'!$E$4="",'Data Entry'!$C2170&lt;='Visual SPC'!$E$4),OR('Visual SPC'!$G$4="",'Data Entry'!$D2170='Visual SPC'!$G$4),OR('Visual SPC'!$I$4="",'Data Entry'!$E2170='Visual SPC'!$I$4),OR('Visual SPC'!$K$4="",'Data Entry'!$F2170='Visual SPC'!$K$4)),1,0))</f>
        <v/>
      </c>
      <c r="C2170">
        <f>C2169+B2170</f>
        <v/>
      </c>
      <c r="D2170">
        <f>IF(B2170=1,INDEX('Data Entry'!$H$5:$BE$10004,2170-4,'Visual SPC'!$B$3),"")</f>
        <v/>
      </c>
      <c r="E2170">
        <f>IF(B2170=1,D2170,E2169)</f>
        <v/>
      </c>
      <c r="F2170">
        <f>IF(AND(B2170=1,C2170&gt;1,E2169&lt;&gt;""),ABS(D2170-E2169),"")</f>
        <v/>
      </c>
    </row>
    <row r="2171">
      <c r="A2171" t="n">
        <v>2171</v>
      </c>
      <c r="B2171">
        <f>IF(INDEX('Data Entry'!$H$5:$BE$10004,2171-4,'Visual SPC'!$B$3)="",0,IF(AND(OR('Visual SPC'!$C$4="",'Data Entry'!$C2171&gt;='Visual SPC'!$C$4),OR('Visual SPC'!$E$4="",'Data Entry'!$C2171&lt;='Visual SPC'!$E$4),OR('Visual SPC'!$G$4="",'Data Entry'!$D2171='Visual SPC'!$G$4),OR('Visual SPC'!$I$4="",'Data Entry'!$E2171='Visual SPC'!$I$4),OR('Visual SPC'!$K$4="",'Data Entry'!$F2171='Visual SPC'!$K$4)),1,0))</f>
        <v/>
      </c>
      <c r="C2171">
        <f>C2170+B2171</f>
        <v/>
      </c>
      <c r="D2171">
        <f>IF(B2171=1,INDEX('Data Entry'!$H$5:$BE$10004,2171-4,'Visual SPC'!$B$3),"")</f>
        <v/>
      </c>
      <c r="E2171">
        <f>IF(B2171=1,D2171,E2170)</f>
        <v/>
      </c>
      <c r="F2171">
        <f>IF(AND(B2171=1,C2171&gt;1,E2170&lt;&gt;""),ABS(D2171-E2170),"")</f>
        <v/>
      </c>
    </row>
    <row r="2172">
      <c r="A2172" t="n">
        <v>2172</v>
      </c>
      <c r="B2172">
        <f>IF(INDEX('Data Entry'!$H$5:$BE$10004,2172-4,'Visual SPC'!$B$3)="",0,IF(AND(OR('Visual SPC'!$C$4="",'Data Entry'!$C2172&gt;='Visual SPC'!$C$4),OR('Visual SPC'!$E$4="",'Data Entry'!$C2172&lt;='Visual SPC'!$E$4),OR('Visual SPC'!$G$4="",'Data Entry'!$D2172='Visual SPC'!$G$4),OR('Visual SPC'!$I$4="",'Data Entry'!$E2172='Visual SPC'!$I$4),OR('Visual SPC'!$K$4="",'Data Entry'!$F2172='Visual SPC'!$K$4)),1,0))</f>
        <v/>
      </c>
      <c r="C2172">
        <f>C2171+B2172</f>
        <v/>
      </c>
      <c r="D2172">
        <f>IF(B2172=1,INDEX('Data Entry'!$H$5:$BE$10004,2172-4,'Visual SPC'!$B$3),"")</f>
        <v/>
      </c>
      <c r="E2172">
        <f>IF(B2172=1,D2172,E2171)</f>
        <v/>
      </c>
      <c r="F2172">
        <f>IF(AND(B2172=1,C2172&gt;1,E2171&lt;&gt;""),ABS(D2172-E2171),"")</f>
        <v/>
      </c>
    </row>
    <row r="2173">
      <c r="A2173" t="n">
        <v>2173</v>
      </c>
      <c r="B2173">
        <f>IF(INDEX('Data Entry'!$H$5:$BE$10004,2173-4,'Visual SPC'!$B$3)="",0,IF(AND(OR('Visual SPC'!$C$4="",'Data Entry'!$C2173&gt;='Visual SPC'!$C$4),OR('Visual SPC'!$E$4="",'Data Entry'!$C2173&lt;='Visual SPC'!$E$4),OR('Visual SPC'!$G$4="",'Data Entry'!$D2173='Visual SPC'!$G$4),OR('Visual SPC'!$I$4="",'Data Entry'!$E2173='Visual SPC'!$I$4),OR('Visual SPC'!$K$4="",'Data Entry'!$F2173='Visual SPC'!$K$4)),1,0))</f>
        <v/>
      </c>
      <c r="C2173">
        <f>C2172+B2173</f>
        <v/>
      </c>
      <c r="D2173">
        <f>IF(B2173=1,INDEX('Data Entry'!$H$5:$BE$10004,2173-4,'Visual SPC'!$B$3),"")</f>
        <v/>
      </c>
      <c r="E2173">
        <f>IF(B2173=1,D2173,E2172)</f>
        <v/>
      </c>
      <c r="F2173">
        <f>IF(AND(B2173=1,C2173&gt;1,E2172&lt;&gt;""),ABS(D2173-E2172),"")</f>
        <v/>
      </c>
    </row>
    <row r="2174">
      <c r="A2174" t="n">
        <v>2174</v>
      </c>
      <c r="B2174">
        <f>IF(INDEX('Data Entry'!$H$5:$BE$10004,2174-4,'Visual SPC'!$B$3)="",0,IF(AND(OR('Visual SPC'!$C$4="",'Data Entry'!$C2174&gt;='Visual SPC'!$C$4),OR('Visual SPC'!$E$4="",'Data Entry'!$C2174&lt;='Visual SPC'!$E$4),OR('Visual SPC'!$G$4="",'Data Entry'!$D2174='Visual SPC'!$G$4),OR('Visual SPC'!$I$4="",'Data Entry'!$E2174='Visual SPC'!$I$4),OR('Visual SPC'!$K$4="",'Data Entry'!$F2174='Visual SPC'!$K$4)),1,0))</f>
        <v/>
      </c>
      <c r="C2174">
        <f>C2173+B2174</f>
        <v/>
      </c>
      <c r="D2174">
        <f>IF(B2174=1,INDEX('Data Entry'!$H$5:$BE$10004,2174-4,'Visual SPC'!$B$3),"")</f>
        <v/>
      </c>
      <c r="E2174">
        <f>IF(B2174=1,D2174,E2173)</f>
        <v/>
      </c>
      <c r="F2174">
        <f>IF(AND(B2174=1,C2174&gt;1,E2173&lt;&gt;""),ABS(D2174-E2173),"")</f>
        <v/>
      </c>
    </row>
    <row r="2175">
      <c r="A2175" t="n">
        <v>2175</v>
      </c>
      <c r="B2175">
        <f>IF(INDEX('Data Entry'!$H$5:$BE$10004,2175-4,'Visual SPC'!$B$3)="",0,IF(AND(OR('Visual SPC'!$C$4="",'Data Entry'!$C2175&gt;='Visual SPC'!$C$4),OR('Visual SPC'!$E$4="",'Data Entry'!$C2175&lt;='Visual SPC'!$E$4),OR('Visual SPC'!$G$4="",'Data Entry'!$D2175='Visual SPC'!$G$4),OR('Visual SPC'!$I$4="",'Data Entry'!$E2175='Visual SPC'!$I$4),OR('Visual SPC'!$K$4="",'Data Entry'!$F2175='Visual SPC'!$K$4)),1,0))</f>
        <v/>
      </c>
      <c r="C2175">
        <f>C2174+B2175</f>
        <v/>
      </c>
      <c r="D2175">
        <f>IF(B2175=1,INDEX('Data Entry'!$H$5:$BE$10004,2175-4,'Visual SPC'!$B$3),"")</f>
        <v/>
      </c>
      <c r="E2175">
        <f>IF(B2175=1,D2175,E2174)</f>
        <v/>
      </c>
      <c r="F2175">
        <f>IF(AND(B2175=1,C2175&gt;1,E2174&lt;&gt;""),ABS(D2175-E2174),"")</f>
        <v/>
      </c>
    </row>
    <row r="2176">
      <c r="A2176" t="n">
        <v>2176</v>
      </c>
      <c r="B2176">
        <f>IF(INDEX('Data Entry'!$H$5:$BE$10004,2176-4,'Visual SPC'!$B$3)="",0,IF(AND(OR('Visual SPC'!$C$4="",'Data Entry'!$C2176&gt;='Visual SPC'!$C$4),OR('Visual SPC'!$E$4="",'Data Entry'!$C2176&lt;='Visual SPC'!$E$4),OR('Visual SPC'!$G$4="",'Data Entry'!$D2176='Visual SPC'!$G$4),OR('Visual SPC'!$I$4="",'Data Entry'!$E2176='Visual SPC'!$I$4),OR('Visual SPC'!$K$4="",'Data Entry'!$F2176='Visual SPC'!$K$4)),1,0))</f>
        <v/>
      </c>
      <c r="C2176">
        <f>C2175+B2176</f>
        <v/>
      </c>
      <c r="D2176">
        <f>IF(B2176=1,INDEX('Data Entry'!$H$5:$BE$10004,2176-4,'Visual SPC'!$B$3),"")</f>
        <v/>
      </c>
      <c r="E2176">
        <f>IF(B2176=1,D2176,E2175)</f>
        <v/>
      </c>
      <c r="F2176">
        <f>IF(AND(B2176=1,C2176&gt;1,E2175&lt;&gt;""),ABS(D2176-E2175),"")</f>
        <v/>
      </c>
    </row>
    <row r="2177">
      <c r="A2177" t="n">
        <v>2177</v>
      </c>
      <c r="B2177">
        <f>IF(INDEX('Data Entry'!$H$5:$BE$10004,2177-4,'Visual SPC'!$B$3)="",0,IF(AND(OR('Visual SPC'!$C$4="",'Data Entry'!$C2177&gt;='Visual SPC'!$C$4),OR('Visual SPC'!$E$4="",'Data Entry'!$C2177&lt;='Visual SPC'!$E$4),OR('Visual SPC'!$G$4="",'Data Entry'!$D2177='Visual SPC'!$G$4),OR('Visual SPC'!$I$4="",'Data Entry'!$E2177='Visual SPC'!$I$4),OR('Visual SPC'!$K$4="",'Data Entry'!$F2177='Visual SPC'!$K$4)),1,0))</f>
        <v/>
      </c>
      <c r="C2177">
        <f>C2176+B2177</f>
        <v/>
      </c>
      <c r="D2177">
        <f>IF(B2177=1,INDEX('Data Entry'!$H$5:$BE$10004,2177-4,'Visual SPC'!$B$3),"")</f>
        <v/>
      </c>
      <c r="E2177">
        <f>IF(B2177=1,D2177,E2176)</f>
        <v/>
      </c>
      <c r="F2177">
        <f>IF(AND(B2177=1,C2177&gt;1,E2176&lt;&gt;""),ABS(D2177-E2176),"")</f>
        <v/>
      </c>
    </row>
    <row r="2178">
      <c r="A2178" t="n">
        <v>2178</v>
      </c>
      <c r="B2178">
        <f>IF(INDEX('Data Entry'!$H$5:$BE$10004,2178-4,'Visual SPC'!$B$3)="",0,IF(AND(OR('Visual SPC'!$C$4="",'Data Entry'!$C2178&gt;='Visual SPC'!$C$4),OR('Visual SPC'!$E$4="",'Data Entry'!$C2178&lt;='Visual SPC'!$E$4),OR('Visual SPC'!$G$4="",'Data Entry'!$D2178='Visual SPC'!$G$4),OR('Visual SPC'!$I$4="",'Data Entry'!$E2178='Visual SPC'!$I$4),OR('Visual SPC'!$K$4="",'Data Entry'!$F2178='Visual SPC'!$K$4)),1,0))</f>
        <v/>
      </c>
      <c r="C2178">
        <f>C2177+B2178</f>
        <v/>
      </c>
      <c r="D2178">
        <f>IF(B2178=1,INDEX('Data Entry'!$H$5:$BE$10004,2178-4,'Visual SPC'!$B$3),"")</f>
        <v/>
      </c>
      <c r="E2178">
        <f>IF(B2178=1,D2178,E2177)</f>
        <v/>
      </c>
      <c r="F2178">
        <f>IF(AND(B2178=1,C2178&gt;1,E2177&lt;&gt;""),ABS(D2178-E2177),"")</f>
        <v/>
      </c>
    </row>
    <row r="2179">
      <c r="A2179" t="n">
        <v>2179</v>
      </c>
      <c r="B2179">
        <f>IF(INDEX('Data Entry'!$H$5:$BE$10004,2179-4,'Visual SPC'!$B$3)="",0,IF(AND(OR('Visual SPC'!$C$4="",'Data Entry'!$C2179&gt;='Visual SPC'!$C$4),OR('Visual SPC'!$E$4="",'Data Entry'!$C2179&lt;='Visual SPC'!$E$4),OR('Visual SPC'!$G$4="",'Data Entry'!$D2179='Visual SPC'!$G$4),OR('Visual SPC'!$I$4="",'Data Entry'!$E2179='Visual SPC'!$I$4),OR('Visual SPC'!$K$4="",'Data Entry'!$F2179='Visual SPC'!$K$4)),1,0))</f>
        <v/>
      </c>
      <c r="C2179">
        <f>C2178+B2179</f>
        <v/>
      </c>
      <c r="D2179">
        <f>IF(B2179=1,INDEX('Data Entry'!$H$5:$BE$10004,2179-4,'Visual SPC'!$B$3),"")</f>
        <v/>
      </c>
      <c r="E2179">
        <f>IF(B2179=1,D2179,E2178)</f>
        <v/>
      </c>
      <c r="F2179">
        <f>IF(AND(B2179=1,C2179&gt;1,E2178&lt;&gt;""),ABS(D2179-E2178),"")</f>
        <v/>
      </c>
    </row>
    <row r="2180">
      <c r="A2180" t="n">
        <v>2180</v>
      </c>
      <c r="B2180">
        <f>IF(INDEX('Data Entry'!$H$5:$BE$10004,2180-4,'Visual SPC'!$B$3)="",0,IF(AND(OR('Visual SPC'!$C$4="",'Data Entry'!$C2180&gt;='Visual SPC'!$C$4),OR('Visual SPC'!$E$4="",'Data Entry'!$C2180&lt;='Visual SPC'!$E$4),OR('Visual SPC'!$G$4="",'Data Entry'!$D2180='Visual SPC'!$G$4),OR('Visual SPC'!$I$4="",'Data Entry'!$E2180='Visual SPC'!$I$4),OR('Visual SPC'!$K$4="",'Data Entry'!$F2180='Visual SPC'!$K$4)),1,0))</f>
        <v/>
      </c>
      <c r="C2180">
        <f>C2179+B2180</f>
        <v/>
      </c>
      <c r="D2180">
        <f>IF(B2180=1,INDEX('Data Entry'!$H$5:$BE$10004,2180-4,'Visual SPC'!$B$3),"")</f>
        <v/>
      </c>
      <c r="E2180">
        <f>IF(B2180=1,D2180,E2179)</f>
        <v/>
      </c>
      <c r="F2180">
        <f>IF(AND(B2180=1,C2180&gt;1,E2179&lt;&gt;""),ABS(D2180-E2179),"")</f>
        <v/>
      </c>
    </row>
    <row r="2181">
      <c r="A2181" t="n">
        <v>2181</v>
      </c>
      <c r="B2181">
        <f>IF(INDEX('Data Entry'!$H$5:$BE$10004,2181-4,'Visual SPC'!$B$3)="",0,IF(AND(OR('Visual SPC'!$C$4="",'Data Entry'!$C2181&gt;='Visual SPC'!$C$4),OR('Visual SPC'!$E$4="",'Data Entry'!$C2181&lt;='Visual SPC'!$E$4),OR('Visual SPC'!$G$4="",'Data Entry'!$D2181='Visual SPC'!$G$4),OR('Visual SPC'!$I$4="",'Data Entry'!$E2181='Visual SPC'!$I$4),OR('Visual SPC'!$K$4="",'Data Entry'!$F2181='Visual SPC'!$K$4)),1,0))</f>
        <v/>
      </c>
      <c r="C2181">
        <f>C2180+B2181</f>
        <v/>
      </c>
      <c r="D2181">
        <f>IF(B2181=1,INDEX('Data Entry'!$H$5:$BE$10004,2181-4,'Visual SPC'!$B$3),"")</f>
        <v/>
      </c>
      <c r="E2181">
        <f>IF(B2181=1,D2181,E2180)</f>
        <v/>
      </c>
      <c r="F2181">
        <f>IF(AND(B2181=1,C2181&gt;1,E2180&lt;&gt;""),ABS(D2181-E2180),"")</f>
        <v/>
      </c>
    </row>
    <row r="2182">
      <c r="A2182" t="n">
        <v>2182</v>
      </c>
      <c r="B2182">
        <f>IF(INDEX('Data Entry'!$H$5:$BE$10004,2182-4,'Visual SPC'!$B$3)="",0,IF(AND(OR('Visual SPC'!$C$4="",'Data Entry'!$C2182&gt;='Visual SPC'!$C$4),OR('Visual SPC'!$E$4="",'Data Entry'!$C2182&lt;='Visual SPC'!$E$4),OR('Visual SPC'!$G$4="",'Data Entry'!$D2182='Visual SPC'!$G$4),OR('Visual SPC'!$I$4="",'Data Entry'!$E2182='Visual SPC'!$I$4),OR('Visual SPC'!$K$4="",'Data Entry'!$F2182='Visual SPC'!$K$4)),1,0))</f>
        <v/>
      </c>
      <c r="C2182">
        <f>C2181+B2182</f>
        <v/>
      </c>
      <c r="D2182">
        <f>IF(B2182=1,INDEX('Data Entry'!$H$5:$BE$10004,2182-4,'Visual SPC'!$B$3),"")</f>
        <v/>
      </c>
      <c r="E2182">
        <f>IF(B2182=1,D2182,E2181)</f>
        <v/>
      </c>
      <c r="F2182">
        <f>IF(AND(B2182=1,C2182&gt;1,E2181&lt;&gt;""),ABS(D2182-E2181),"")</f>
        <v/>
      </c>
    </row>
    <row r="2183">
      <c r="A2183" t="n">
        <v>2183</v>
      </c>
      <c r="B2183">
        <f>IF(INDEX('Data Entry'!$H$5:$BE$10004,2183-4,'Visual SPC'!$B$3)="",0,IF(AND(OR('Visual SPC'!$C$4="",'Data Entry'!$C2183&gt;='Visual SPC'!$C$4),OR('Visual SPC'!$E$4="",'Data Entry'!$C2183&lt;='Visual SPC'!$E$4),OR('Visual SPC'!$G$4="",'Data Entry'!$D2183='Visual SPC'!$G$4),OR('Visual SPC'!$I$4="",'Data Entry'!$E2183='Visual SPC'!$I$4),OR('Visual SPC'!$K$4="",'Data Entry'!$F2183='Visual SPC'!$K$4)),1,0))</f>
        <v/>
      </c>
      <c r="C2183">
        <f>C2182+B2183</f>
        <v/>
      </c>
      <c r="D2183">
        <f>IF(B2183=1,INDEX('Data Entry'!$H$5:$BE$10004,2183-4,'Visual SPC'!$B$3),"")</f>
        <v/>
      </c>
      <c r="E2183">
        <f>IF(B2183=1,D2183,E2182)</f>
        <v/>
      </c>
      <c r="F2183">
        <f>IF(AND(B2183=1,C2183&gt;1,E2182&lt;&gt;""),ABS(D2183-E2182),"")</f>
        <v/>
      </c>
    </row>
    <row r="2184">
      <c r="A2184" t="n">
        <v>2184</v>
      </c>
      <c r="B2184">
        <f>IF(INDEX('Data Entry'!$H$5:$BE$10004,2184-4,'Visual SPC'!$B$3)="",0,IF(AND(OR('Visual SPC'!$C$4="",'Data Entry'!$C2184&gt;='Visual SPC'!$C$4),OR('Visual SPC'!$E$4="",'Data Entry'!$C2184&lt;='Visual SPC'!$E$4),OR('Visual SPC'!$G$4="",'Data Entry'!$D2184='Visual SPC'!$G$4),OR('Visual SPC'!$I$4="",'Data Entry'!$E2184='Visual SPC'!$I$4),OR('Visual SPC'!$K$4="",'Data Entry'!$F2184='Visual SPC'!$K$4)),1,0))</f>
        <v/>
      </c>
      <c r="C2184">
        <f>C2183+B2184</f>
        <v/>
      </c>
      <c r="D2184">
        <f>IF(B2184=1,INDEX('Data Entry'!$H$5:$BE$10004,2184-4,'Visual SPC'!$B$3),"")</f>
        <v/>
      </c>
      <c r="E2184">
        <f>IF(B2184=1,D2184,E2183)</f>
        <v/>
      </c>
      <c r="F2184">
        <f>IF(AND(B2184=1,C2184&gt;1,E2183&lt;&gt;""),ABS(D2184-E2183),"")</f>
        <v/>
      </c>
    </row>
    <row r="2185">
      <c r="A2185" t="n">
        <v>2185</v>
      </c>
      <c r="B2185">
        <f>IF(INDEX('Data Entry'!$H$5:$BE$10004,2185-4,'Visual SPC'!$B$3)="",0,IF(AND(OR('Visual SPC'!$C$4="",'Data Entry'!$C2185&gt;='Visual SPC'!$C$4),OR('Visual SPC'!$E$4="",'Data Entry'!$C2185&lt;='Visual SPC'!$E$4),OR('Visual SPC'!$G$4="",'Data Entry'!$D2185='Visual SPC'!$G$4),OR('Visual SPC'!$I$4="",'Data Entry'!$E2185='Visual SPC'!$I$4),OR('Visual SPC'!$K$4="",'Data Entry'!$F2185='Visual SPC'!$K$4)),1,0))</f>
        <v/>
      </c>
      <c r="C2185">
        <f>C2184+B2185</f>
        <v/>
      </c>
      <c r="D2185">
        <f>IF(B2185=1,INDEX('Data Entry'!$H$5:$BE$10004,2185-4,'Visual SPC'!$B$3),"")</f>
        <v/>
      </c>
      <c r="E2185">
        <f>IF(B2185=1,D2185,E2184)</f>
        <v/>
      </c>
      <c r="F2185">
        <f>IF(AND(B2185=1,C2185&gt;1,E2184&lt;&gt;""),ABS(D2185-E2184),"")</f>
        <v/>
      </c>
    </row>
    <row r="2186">
      <c r="A2186" t="n">
        <v>2186</v>
      </c>
      <c r="B2186">
        <f>IF(INDEX('Data Entry'!$H$5:$BE$10004,2186-4,'Visual SPC'!$B$3)="",0,IF(AND(OR('Visual SPC'!$C$4="",'Data Entry'!$C2186&gt;='Visual SPC'!$C$4),OR('Visual SPC'!$E$4="",'Data Entry'!$C2186&lt;='Visual SPC'!$E$4),OR('Visual SPC'!$G$4="",'Data Entry'!$D2186='Visual SPC'!$G$4),OR('Visual SPC'!$I$4="",'Data Entry'!$E2186='Visual SPC'!$I$4),OR('Visual SPC'!$K$4="",'Data Entry'!$F2186='Visual SPC'!$K$4)),1,0))</f>
        <v/>
      </c>
      <c r="C2186">
        <f>C2185+B2186</f>
        <v/>
      </c>
      <c r="D2186">
        <f>IF(B2186=1,INDEX('Data Entry'!$H$5:$BE$10004,2186-4,'Visual SPC'!$B$3),"")</f>
        <v/>
      </c>
      <c r="E2186">
        <f>IF(B2186=1,D2186,E2185)</f>
        <v/>
      </c>
      <c r="F2186">
        <f>IF(AND(B2186=1,C2186&gt;1,E2185&lt;&gt;""),ABS(D2186-E2185),"")</f>
        <v/>
      </c>
    </row>
    <row r="2187">
      <c r="A2187" t="n">
        <v>2187</v>
      </c>
      <c r="B2187">
        <f>IF(INDEX('Data Entry'!$H$5:$BE$10004,2187-4,'Visual SPC'!$B$3)="",0,IF(AND(OR('Visual SPC'!$C$4="",'Data Entry'!$C2187&gt;='Visual SPC'!$C$4),OR('Visual SPC'!$E$4="",'Data Entry'!$C2187&lt;='Visual SPC'!$E$4),OR('Visual SPC'!$G$4="",'Data Entry'!$D2187='Visual SPC'!$G$4),OR('Visual SPC'!$I$4="",'Data Entry'!$E2187='Visual SPC'!$I$4),OR('Visual SPC'!$K$4="",'Data Entry'!$F2187='Visual SPC'!$K$4)),1,0))</f>
        <v/>
      </c>
      <c r="C2187">
        <f>C2186+B2187</f>
        <v/>
      </c>
      <c r="D2187">
        <f>IF(B2187=1,INDEX('Data Entry'!$H$5:$BE$10004,2187-4,'Visual SPC'!$B$3),"")</f>
        <v/>
      </c>
      <c r="E2187">
        <f>IF(B2187=1,D2187,E2186)</f>
        <v/>
      </c>
      <c r="F2187">
        <f>IF(AND(B2187=1,C2187&gt;1,E2186&lt;&gt;""),ABS(D2187-E2186),"")</f>
        <v/>
      </c>
    </row>
    <row r="2188">
      <c r="A2188" t="n">
        <v>2188</v>
      </c>
      <c r="B2188">
        <f>IF(INDEX('Data Entry'!$H$5:$BE$10004,2188-4,'Visual SPC'!$B$3)="",0,IF(AND(OR('Visual SPC'!$C$4="",'Data Entry'!$C2188&gt;='Visual SPC'!$C$4),OR('Visual SPC'!$E$4="",'Data Entry'!$C2188&lt;='Visual SPC'!$E$4),OR('Visual SPC'!$G$4="",'Data Entry'!$D2188='Visual SPC'!$G$4),OR('Visual SPC'!$I$4="",'Data Entry'!$E2188='Visual SPC'!$I$4),OR('Visual SPC'!$K$4="",'Data Entry'!$F2188='Visual SPC'!$K$4)),1,0))</f>
        <v/>
      </c>
      <c r="C2188">
        <f>C2187+B2188</f>
        <v/>
      </c>
      <c r="D2188">
        <f>IF(B2188=1,INDEX('Data Entry'!$H$5:$BE$10004,2188-4,'Visual SPC'!$B$3),"")</f>
        <v/>
      </c>
      <c r="E2188">
        <f>IF(B2188=1,D2188,E2187)</f>
        <v/>
      </c>
      <c r="F2188">
        <f>IF(AND(B2188=1,C2188&gt;1,E2187&lt;&gt;""),ABS(D2188-E2187),"")</f>
        <v/>
      </c>
    </row>
    <row r="2189">
      <c r="A2189" t="n">
        <v>2189</v>
      </c>
      <c r="B2189">
        <f>IF(INDEX('Data Entry'!$H$5:$BE$10004,2189-4,'Visual SPC'!$B$3)="",0,IF(AND(OR('Visual SPC'!$C$4="",'Data Entry'!$C2189&gt;='Visual SPC'!$C$4),OR('Visual SPC'!$E$4="",'Data Entry'!$C2189&lt;='Visual SPC'!$E$4),OR('Visual SPC'!$G$4="",'Data Entry'!$D2189='Visual SPC'!$G$4),OR('Visual SPC'!$I$4="",'Data Entry'!$E2189='Visual SPC'!$I$4),OR('Visual SPC'!$K$4="",'Data Entry'!$F2189='Visual SPC'!$K$4)),1,0))</f>
        <v/>
      </c>
      <c r="C2189">
        <f>C2188+B2189</f>
        <v/>
      </c>
      <c r="D2189">
        <f>IF(B2189=1,INDEX('Data Entry'!$H$5:$BE$10004,2189-4,'Visual SPC'!$B$3),"")</f>
        <v/>
      </c>
      <c r="E2189">
        <f>IF(B2189=1,D2189,E2188)</f>
        <v/>
      </c>
      <c r="F2189">
        <f>IF(AND(B2189=1,C2189&gt;1,E2188&lt;&gt;""),ABS(D2189-E2188),"")</f>
        <v/>
      </c>
    </row>
    <row r="2190">
      <c r="A2190" t="n">
        <v>2190</v>
      </c>
      <c r="B2190">
        <f>IF(INDEX('Data Entry'!$H$5:$BE$10004,2190-4,'Visual SPC'!$B$3)="",0,IF(AND(OR('Visual SPC'!$C$4="",'Data Entry'!$C2190&gt;='Visual SPC'!$C$4),OR('Visual SPC'!$E$4="",'Data Entry'!$C2190&lt;='Visual SPC'!$E$4),OR('Visual SPC'!$G$4="",'Data Entry'!$D2190='Visual SPC'!$G$4),OR('Visual SPC'!$I$4="",'Data Entry'!$E2190='Visual SPC'!$I$4),OR('Visual SPC'!$K$4="",'Data Entry'!$F2190='Visual SPC'!$K$4)),1,0))</f>
        <v/>
      </c>
      <c r="C2190">
        <f>C2189+B2190</f>
        <v/>
      </c>
      <c r="D2190">
        <f>IF(B2190=1,INDEX('Data Entry'!$H$5:$BE$10004,2190-4,'Visual SPC'!$B$3),"")</f>
        <v/>
      </c>
      <c r="E2190">
        <f>IF(B2190=1,D2190,E2189)</f>
        <v/>
      </c>
      <c r="F2190">
        <f>IF(AND(B2190=1,C2190&gt;1,E2189&lt;&gt;""),ABS(D2190-E2189),"")</f>
        <v/>
      </c>
    </row>
    <row r="2191">
      <c r="A2191" t="n">
        <v>2191</v>
      </c>
      <c r="B2191">
        <f>IF(INDEX('Data Entry'!$H$5:$BE$10004,2191-4,'Visual SPC'!$B$3)="",0,IF(AND(OR('Visual SPC'!$C$4="",'Data Entry'!$C2191&gt;='Visual SPC'!$C$4),OR('Visual SPC'!$E$4="",'Data Entry'!$C2191&lt;='Visual SPC'!$E$4),OR('Visual SPC'!$G$4="",'Data Entry'!$D2191='Visual SPC'!$G$4),OR('Visual SPC'!$I$4="",'Data Entry'!$E2191='Visual SPC'!$I$4),OR('Visual SPC'!$K$4="",'Data Entry'!$F2191='Visual SPC'!$K$4)),1,0))</f>
        <v/>
      </c>
      <c r="C2191">
        <f>C2190+B2191</f>
        <v/>
      </c>
      <c r="D2191">
        <f>IF(B2191=1,INDEX('Data Entry'!$H$5:$BE$10004,2191-4,'Visual SPC'!$B$3),"")</f>
        <v/>
      </c>
      <c r="E2191">
        <f>IF(B2191=1,D2191,E2190)</f>
        <v/>
      </c>
      <c r="F2191">
        <f>IF(AND(B2191=1,C2191&gt;1,E2190&lt;&gt;""),ABS(D2191-E2190),"")</f>
        <v/>
      </c>
    </row>
    <row r="2192">
      <c r="A2192" t="n">
        <v>2192</v>
      </c>
      <c r="B2192">
        <f>IF(INDEX('Data Entry'!$H$5:$BE$10004,2192-4,'Visual SPC'!$B$3)="",0,IF(AND(OR('Visual SPC'!$C$4="",'Data Entry'!$C2192&gt;='Visual SPC'!$C$4),OR('Visual SPC'!$E$4="",'Data Entry'!$C2192&lt;='Visual SPC'!$E$4),OR('Visual SPC'!$G$4="",'Data Entry'!$D2192='Visual SPC'!$G$4),OR('Visual SPC'!$I$4="",'Data Entry'!$E2192='Visual SPC'!$I$4),OR('Visual SPC'!$K$4="",'Data Entry'!$F2192='Visual SPC'!$K$4)),1,0))</f>
        <v/>
      </c>
      <c r="C2192">
        <f>C2191+B2192</f>
        <v/>
      </c>
      <c r="D2192">
        <f>IF(B2192=1,INDEX('Data Entry'!$H$5:$BE$10004,2192-4,'Visual SPC'!$B$3),"")</f>
        <v/>
      </c>
      <c r="E2192">
        <f>IF(B2192=1,D2192,E2191)</f>
        <v/>
      </c>
      <c r="F2192">
        <f>IF(AND(B2192=1,C2192&gt;1,E2191&lt;&gt;""),ABS(D2192-E2191),"")</f>
        <v/>
      </c>
    </row>
    <row r="2193">
      <c r="A2193" t="n">
        <v>2193</v>
      </c>
      <c r="B2193">
        <f>IF(INDEX('Data Entry'!$H$5:$BE$10004,2193-4,'Visual SPC'!$B$3)="",0,IF(AND(OR('Visual SPC'!$C$4="",'Data Entry'!$C2193&gt;='Visual SPC'!$C$4),OR('Visual SPC'!$E$4="",'Data Entry'!$C2193&lt;='Visual SPC'!$E$4),OR('Visual SPC'!$G$4="",'Data Entry'!$D2193='Visual SPC'!$G$4),OR('Visual SPC'!$I$4="",'Data Entry'!$E2193='Visual SPC'!$I$4),OR('Visual SPC'!$K$4="",'Data Entry'!$F2193='Visual SPC'!$K$4)),1,0))</f>
        <v/>
      </c>
      <c r="C2193">
        <f>C2192+B2193</f>
        <v/>
      </c>
      <c r="D2193">
        <f>IF(B2193=1,INDEX('Data Entry'!$H$5:$BE$10004,2193-4,'Visual SPC'!$B$3),"")</f>
        <v/>
      </c>
      <c r="E2193">
        <f>IF(B2193=1,D2193,E2192)</f>
        <v/>
      </c>
      <c r="F2193">
        <f>IF(AND(B2193=1,C2193&gt;1,E2192&lt;&gt;""),ABS(D2193-E2192),"")</f>
        <v/>
      </c>
    </row>
    <row r="2194">
      <c r="A2194" t="n">
        <v>2194</v>
      </c>
      <c r="B2194">
        <f>IF(INDEX('Data Entry'!$H$5:$BE$10004,2194-4,'Visual SPC'!$B$3)="",0,IF(AND(OR('Visual SPC'!$C$4="",'Data Entry'!$C2194&gt;='Visual SPC'!$C$4),OR('Visual SPC'!$E$4="",'Data Entry'!$C2194&lt;='Visual SPC'!$E$4),OR('Visual SPC'!$G$4="",'Data Entry'!$D2194='Visual SPC'!$G$4),OR('Visual SPC'!$I$4="",'Data Entry'!$E2194='Visual SPC'!$I$4),OR('Visual SPC'!$K$4="",'Data Entry'!$F2194='Visual SPC'!$K$4)),1,0))</f>
        <v/>
      </c>
      <c r="C2194">
        <f>C2193+B2194</f>
        <v/>
      </c>
      <c r="D2194">
        <f>IF(B2194=1,INDEX('Data Entry'!$H$5:$BE$10004,2194-4,'Visual SPC'!$B$3),"")</f>
        <v/>
      </c>
      <c r="E2194">
        <f>IF(B2194=1,D2194,E2193)</f>
        <v/>
      </c>
      <c r="F2194">
        <f>IF(AND(B2194=1,C2194&gt;1,E2193&lt;&gt;""),ABS(D2194-E2193),"")</f>
        <v/>
      </c>
    </row>
    <row r="2195">
      <c r="A2195" t="n">
        <v>2195</v>
      </c>
      <c r="B2195">
        <f>IF(INDEX('Data Entry'!$H$5:$BE$10004,2195-4,'Visual SPC'!$B$3)="",0,IF(AND(OR('Visual SPC'!$C$4="",'Data Entry'!$C2195&gt;='Visual SPC'!$C$4),OR('Visual SPC'!$E$4="",'Data Entry'!$C2195&lt;='Visual SPC'!$E$4),OR('Visual SPC'!$G$4="",'Data Entry'!$D2195='Visual SPC'!$G$4),OR('Visual SPC'!$I$4="",'Data Entry'!$E2195='Visual SPC'!$I$4),OR('Visual SPC'!$K$4="",'Data Entry'!$F2195='Visual SPC'!$K$4)),1,0))</f>
        <v/>
      </c>
      <c r="C2195">
        <f>C2194+B2195</f>
        <v/>
      </c>
      <c r="D2195">
        <f>IF(B2195=1,INDEX('Data Entry'!$H$5:$BE$10004,2195-4,'Visual SPC'!$B$3),"")</f>
        <v/>
      </c>
      <c r="E2195">
        <f>IF(B2195=1,D2195,E2194)</f>
        <v/>
      </c>
      <c r="F2195">
        <f>IF(AND(B2195=1,C2195&gt;1,E2194&lt;&gt;""),ABS(D2195-E2194),"")</f>
        <v/>
      </c>
    </row>
    <row r="2196">
      <c r="A2196" t="n">
        <v>2196</v>
      </c>
      <c r="B2196">
        <f>IF(INDEX('Data Entry'!$H$5:$BE$10004,2196-4,'Visual SPC'!$B$3)="",0,IF(AND(OR('Visual SPC'!$C$4="",'Data Entry'!$C2196&gt;='Visual SPC'!$C$4),OR('Visual SPC'!$E$4="",'Data Entry'!$C2196&lt;='Visual SPC'!$E$4),OR('Visual SPC'!$G$4="",'Data Entry'!$D2196='Visual SPC'!$G$4),OR('Visual SPC'!$I$4="",'Data Entry'!$E2196='Visual SPC'!$I$4),OR('Visual SPC'!$K$4="",'Data Entry'!$F2196='Visual SPC'!$K$4)),1,0))</f>
        <v/>
      </c>
      <c r="C2196">
        <f>C2195+B2196</f>
        <v/>
      </c>
      <c r="D2196">
        <f>IF(B2196=1,INDEX('Data Entry'!$H$5:$BE$10004,2196-4,'Visual SPC'!$B$3),"")</f>
        <v/>
      </c>
      <c r="E2196">
        <f>IF(B2196=1,D2196,E2195)</f>
        <v/>
      </c>
      <c r="F2196">
        <f>IF(AND(B2196=1,C2196&gt;1,E2195&lt;&gt;""),ABS(D2196-E2195),"")</f>
        <v/>
      </c>
    </row>
    <row r="2197">
      <c r="A2197" t="n">
        <v>2197</v>
      </c>
      <c r="B2197">
        <f>IF(INDEX('Data Entry'!$H$5:$BE$10004,2197-4,'Visual SPC'!$B$3)="",0,IF(AND(OR('Visual SPC'!$C$4="",'Data Entry'!$C2197&gt;='Visual SPC'!$C$4),OR('Visual SPC'!$E$4="",'Data Entry'!$C2197&lt;='Visual SPC'!$E$4),OR('Visual SPC'!$G$4="",'Data Entry'!$D2197='Visual SPC'!$G$4),OR('Visual SPC'!$I$4="",'Data Entry'!$E2197='Visual SPC'!$I$4),OR('Visual SPC'!$K$4="",'Data Entry'!$F2197='Visual SPC'!$K$4)),1,0))</f>
        <v/>
      </c>
      <c r="C2197">
        <f>C2196+B2197</f>
        <v/>
      </c>
      <c r="D2197">
        <f>IF(B2197=1,INDEX('Data Entry'!$H$5:$BE$10004,2197-4,'Visual SPC'!$B$3),"")</f>
        <v/>
      </c>
      <c r="E2197">
        <f>IF(B2197=1,D2197,E2196)</f>
        <v/>
      </c>
      <c r="F2197">
        <f>IF(AND(B2197=1,C2197&gt;1,E2196&lt;&gt;""),ABS(D2197-E2196),"")</f>
        <v/>
      </c>
    </row>
    <row r="2198">
      <c r="A2198" t="n">
        <v>2198</v>
      </c>
      <c r="B2198">
        <f>IF(INDEX('Data Entry'!$H$5:$BE$10004,2198-4,'Visual SPC'!$B$3)="",0,IF(AND(OR('Visual SPC'!$C$4="",'Data Entry'!$C2198&gt;='Visual SPC'!$C$4),OR('Visual SPC'!$E$4="",'Data Entry'!$C2198&lt;='Visual SPC'!$E$4),OR('Visual SPC'!$G$4="",'Data Entry'!$D2198='Visual SPC'!$G$4),OR('Visual SPC'!$I$4="",'Data Entry'!$E2198='Visual SPC'!$I$4),OR('Visual SPC'!$K$4="",'Data Entry'!$F2198='Visual SPC'!$K$4)),1,0))</f>
        <v/>
      </c>
      <c r="C2198">
        <f>C2197+B2198</f>
        <v/>
      </c>
      <c r="D2198">
        <f>IF(B2198=1,INDEX('Data Entry'!$H$5:$BE$10004,2198-4,'Visual SPC'!$B$3),"")</f>
        <v/>
      </c>
      <c r="E2198">
        <f>IF(B2198=1,D2198,E2197)</f>
        <v/>
      </c>
      <c r="F2198">
        <f>IF(AND(B2198=1,C2198&gt;1,E2197&lt;&gt;""),ABS(D2198-E2197),"")</f>
        <v/>
      </c>
    </row>
    <row r="2199">
      <c r="A2199" t="n">
        <v>2199</v>
      </c>
      <c r="B2199">
        <f>IF(INDEX('Data Entry'!$H$5:$BE$10004,2199-4,'Visual SPC'!$B$3)="",0,IF(AND(OR('Visual SPC'!$C$4="",'Data Entry'!$C2199&gt;='Visual SPC'!$C$4),OR('Visual SPC'!$E$4="",'Data Entry'!$C2199&lt;='Visual SPC'!$E$4),OR('Visual SPC'!$G$4="",'Data Entry'!$D2199='Visual SPC'!$G$4),OR('Visual SPC'!$I$4="",'Data Entry'!$E2199='Visual SPC'!$I$4),OR('Visual SPC'!$K$4="",'Data Entry'!$F2199='Visual SPC'!$K$4)),1,0))</f>
        <v/>
      </c>
      <c r="C2199">
        <f>C2198+B2199</f>
        <v/>
      </c>
      <c r="D2199">
        <f>IF(B2199=1,INDEX('Data Entry'!$H$5:$BE$10004,2199-4,'Visual SPC'!$B$3),"")</f>
        <v/>
      </c>
      <c r="E2199">
        <f>IF(B2199=1,D2199,E2198)</f>
        <v/>
      </c>
      <c r="F2199">
        <f>IF(AND(B2199=1,C2199&gt;1,E2198&lt;&gt;""),ABS(D2199-E2198),"")</f>
        <v/>
      </c>
    </row>
    <row r="2200">
      <c r="A2200" t="n">
        <v>2200</v>
      </c>
      <c r="B2200">
        <f>IF(INDEX('Data Entry'!$H$5:$BE$10004,2200-4,'Visual SPC'!$B$3)="",0,IF(AND(OR('Visual SPC'!$C$4="",'Data Entry'!$C2200&gt;='Visual SPC'!$C$4),OR('Visual SPC'!$E$4="",'Data Entry'!$C2200&lt;='Visual SPC'!$E$4),OR('Visual SPC'!$G$4="",'Data Entry'!$D2200='Visual SPC'!$G$4),OR('Visual SPC'!$I$4="",'Data Entry'!$E2200='Visual SPC'!$I$4),OR('Visual SPC'!$K$4="",'Data Entry'!$F2200='Visual SPC'!$K$4)),1,0))</f>
        <v/>
      </c>
      <c r="C2200">
        <f>C2199+B2200</f>
        <v/>
      </c>
      <c r="D2200">
        <f>IF(B2200=1,INDEX('Data Entry'!$H$5:$BE$10004,2200-4,'Visual SPC'!$B$3),"")</f>
        <v/>
      </c>
      <c r="E2200">
        <f>IF(B2200=1,D2200,E2199)</f>
        <v/>
      </c>
      <c r="F2200">
        <f>IF(AND(B2200=1,C2200&gt;1,E2199&lt;&gt;""),ABS(D2200-E2199),"")</f>
        <v/>
      </c>
    </row>
    <row r="2201">
      <c r="A2201" t="n">
        <v>2201</v>
      </c>
      <c r="B2201">
        <f>IF(INDEX('Data Entry'!$H$5:$BE$10004,2201-4,'Visual SPC'!$B$3)="",0,IF(AND(OR('Visual SPC'!$C$4="",'Data Entry'!$C2201&gt;='Visual SPC'!$C$4),OR('Visual SPC'!$E$4="",'Data Entry'!$C2201&lt;='Visual SPC'!$E$4),OR('Visual SPC'!$G$4="",'Data Entry'!$D2201='Visual SPC'!$G$4),OR('Visual SPC'!$I$4="",'Data Entry'!$E2201='Visual SPC'!$I$4),OR('Visual SPC'!$K$4="",'Data Entry'!$F2201='Visual SPC'!$K$4)),1,0))</f>
        <v/>
      </c>
      <c r="C2201">
        <f>C2200+B2201</f>
        <v/>
      </c>
      <c r="D2201">
        <f>IF(B2201=1,INDEX('Data Entry'!$H$5:$BE$10004,2201-4,'Visual SPC'!$B$3),"")</f>
        <v/>
      </c>
      <c r="E2201">
        <f>IF(B2201=1,D2201,E2200)</f>
        <v/>
      </c>
      <c r="F2201">
        <f>IF(AND(B2201=1,C2201&gt;1,E2200&lt;&gt;""),ABS(D2201-E2200),"")</f>
        <v/>
      </c>
    </row>
    <row r="2202">
      <c r="A2202" t="n">
        <v>2202</v>
      </c>
      <c r="B2202">
        <f>IF(INDEX('Data Entry'!$H$5:$BE$10004,2202-4,'Visual SPC'!$B$3)="",0,IF(AND(OR('Visual SPC'!$C$4="",'Data Entry'!$C2202&gt;='Visual SPC'!$C$4),OR('Visual SPC'!$E$4="",'Data Entry'!$C2202&lt;='Visual SPC'!$E$4),OR('Visual SPC'!$G$4="",'Data Entry'!$D2202='Visual SPC'!$G$4),OR('Visual SPC'!$I$4="",'Data Entry'!$E2202='Visual SPC'!$I$4),OR('Visual SPC'!$K$4="",'Data Entry'!$F2202='Visual SPC'!$K$4)),1,0))</f>
        <v/>
      </c>
      <c r="C2202">
        <f>C2201+B2202</f>
        <v/>
      </c>
      <c r="D2202">
        <f>IF(B2202=1,INDEX('Data Entry'!$H$5:$BE$10004,2202-4,'Visual SPC'!$B$3),"")</f>
        <v/>
      </c>
      <c r="E2202">
        <f>IF(B2202=1,D2202,E2201)</f>
        <v/>
      </c>
      <c r="F2202">
        <f>IF(AND(B2202=1,C2202&gt;1,E2201&lt;&gt;""),ABS(D2202-E2201),"")</f>
        <v/>
      </c>
    </row>
    <row r="2203">
      <c r="A2203" t="n">
        <v>2203</v>
      </c>
      <c r="B2203">
        <f>IF(INDEX('Data Entry'!$H$5:$BE$10004,2203-4,'Visual SPC'!$B$3)="",0,IF(AND(OR('Visual SPC'!$C$4="",'Data Entry'!$C2203&gt;='Visual SPC'!$C$4),OR('Visual SPC'!$E$4="",'Data Entry'!$C2203&lt;='Visual SPC'!$E$4),OR('Visual SPC'!$G$4="",'Data Entry'!$D2203='Visual SPC'!$G$4),OR('Visual SPC'!$I$4="",'Data Entry'!$E2203='Visual SPC'!$I$4),OR('Visual SPC'!$K$4="",'Data Entry'!$F2203='Visual SPC'!$K$4)),1,0))</f>
        <v/>
      </c>
      <c r="C2203">
        <f>C2202+B2203</f>
        <v/>
      </c>
      <c r="D2203">
        <f>IF(B2203=1,INDEX('Data Entry'!$H$5:$BE$10004,2203-4,'Visual SPC'!$B$3),"")</f>
        <v/>
      </c>
      <c r="E2203">
        <f>IF(B2203=1,D2203,E2202)</f>
        <v/>
      </c>
      <c r="F2203">
        <f>IF(AND(B2203=1,C2203&gt;1,E2202&lt;&gt;""),ABS(D2203-E2202),"")</f>
        <v/>
      </c>
    </row>
    <row r="2204">
      <c r="A2204" t="n">
        <v>2204</v>
      </c>
      <c r="B2204">
        <f>IF(INDEX('Data Entry'!$H$5:$BE$10004,2204-4,'Visual SPC'!$B$3)="",0,IF(AND(OR('Visual SPC'!$C$4="",'Data Entry'!$C2204&gt;='Visual SPC'!$C$4),OR('Visual SPC'!$E$4="",'Data Entry'!$C2204&lt;='Visual SPC'!$E$4),OR('Visual SPC'!$G$4="",'Data Entry'!$D2204='Visual SPC'!$G$4),OR('Visual SPC'!$I$4="",'Data Entry'!$E2204='Visual SPC'!$I$4),OR('Visual SPC'!$K$4="",'Data Entry'!$F2204='Visual SPC'!$K$4)),1,0))</f>
        <v/>
      </c>
      <c r="C2204">
        <f>C2203+B2204</f>
        <v/>
      </c>
      <c r="D2204">
        <f>IF(B2204=1,INDEX('Data Entry'!$H$5:$BE$10004,2204-4,'Visual SPC'!$B$3),"")</f>
        <v/>
      </c>
      <c r="E2204">
        <f>IF(B2204=1,D2204,E2203)</f>
        <v/>
      </c>
      <c r="F2204">
        <f>IF(AND(B2204=1,C2204&gt;1,E2203&lt;&gt;""),ABS(D2204-E2203),"")</f>
        <v/>
      </c>
    </row>
    <row r="2205">
      <c r="A2205" t="n">
        <v>2205</v>
      </c>
      <c r="B2205">
        <f>IF(INDEX('Data Entry'!$H$5:$BE$10004,2205-4,'Visual SPC'!$B$3)="",0,IF(AND(OR('Visual SPC'!$C$4="",'Data Entry'!$C2205&gt;='Visual SPC'!$C$4),OR('Visual SPC'!$E$4="",'Data Entry'!$C2205&lt;='Visual SPC'!$E$4),OR('Visual SPC'!$G$4="",'Data Entry'!$D2205='Visual SPC'!$G$4),OR('Visual SPC'!$I$4="",'Data Entry'!$E2205='Visual SPC'!$I$4),OR('Visual SPC'!$K$4="",'Data Entry'!$F2205='Visual SPC'!$K$4)),1,0))</f>
        <v/>
      </c>
      <c r="C2205">
        <f>C2204+B2205</f>
        <v/>
      </c>
      <c r="D2205">
        <f>IF(B2205=1,INDEX('Data Entry'!$H$5:$BE$10004,2205-4,'Visual SPC'!$B$3),"")</f>
        <v/>
      </c>
      <c r="E2205">
        <f>IF(B2205=1,D2205,E2204)</f>
        <v/>
      </c>
      <c r="F2205">
        <f>IF(AND(B2205=1,C2205&gt;1,E2204&lt;&gt;""),ABS(D2205-E2204),"")</f>
        <v/>
      </c>
    </row>
    <row r="2206">
      <c r="A2206" t="n">
        <v>2206</v>
      </c>
      <c r="B2206">
        <f>IF(INDEX('Data Entry'!$H$5:$BE$10004,2206-4,'Visual SPC'!$B$3)="",0,IF(AND(OR('Visual SPC'!$C$4="",'Data Entry'!$C2206&gt;='Visual SPC'!$C$4),OR('Visual SPC'!$E$4="",'Data Entry'!$C2206&lt;='Visual SPC'!$E$4),OR('Visual SPC'!$G$4="",'Data Entry'!$D2206='Visual SPC'!$G$4),OR('Visual SPC'!$I$4="",'Data Entry'!$E2206='Visual SPC'!$I$4),OR('Visual SPC'!$K$4="",'Data Entry'!$F2206='Visual SPC'!$K$4)),1,0))</f>
        <v/>
      </c>
      <c r="C2206">
        <f>C2205+B2206</f>
        <v/>
      </c>
      <c r="D2206">
        <f>IF(B2206=1,INDEX('Data Entry'!$H$5:$BE$10004,2206-4,'Visual SPC'!$B$3),"")</f>
        <v/>
      </c>
      <c r="E2206">
        <f>IF(B2206=1,D2206,E2205)</f>
        <v/>
      </c>
      <c r="F2206">
        <f>IF(AND(B2206=1,C2206&gt;1,E2205&lt;&gt;""),ABS(D2206-E2205),"")</f>
        <v/>
      </c>
    </row>
    <row r="2207">
      <c r="A2207" t="n">
        <v>2207</v>
      </c>
      <c r="B2207">
        <f>IF(INDEX('Data Entry'!$H$5:$BE$10004,2207-4,'Visual SPC'!$B$3)="",0,IF(AND(OR('Visual SPC'!$C$4="",'Data Entry'!$C2207&gt;='Visual SPC'!$C$4),OR('Visual SPC'!$E$4="",'Data Entry'!$C2207&lt;='Visual SPC'!$E$4),OR('Visual SPC'!$G$4="",'Data Entry'!$D2207='Visual SPC'!$G$4),OR('Visual SPC'!$I$4="",'Data Entry'!$E2207='Visual SPC'!$I$4),OR('Visual SPC'!$K$4="",'Data Entry'!$F2207='Visual SPC'!$K$4)),1,0))</f>
        <v/>
      </c>
      <c r="C2207">
        <f>C2206+B2207</f>
        <v/>
      </c>
      <c r="D2207">
        <f>IF(B2207=1,INDEX('Data Entry'!$H$5:$BE$10004,2207-4,'Visual SPC'!$B$3),"")</f>
        <v/>
      </c>
      <c r="E2207">
        <f>IF(B2207=1,D2207,E2206)</f>
        <v/>
      </c>
      <c r="F2207">
        <f>IF(AND(B2207=1,C2207&gt;1,E2206&lt;&gt;""),ABS(D2207-E2206),"")</f>
        <v/>
      </c>
    </row>
    <row r="2208">
      <c r="A2208" t="n">
        <v>2208</v>
      </c>
      <c r="B2208">
        <f>IF(INDEX('Data Entry'!$H$5:$BE$10004,2208-4,'Visual SPC'!$B$3)="",0,IF(AND(OR('Visual SPC'!$C$4="",'Data Entry'!$C2208&gt;='Visual SPC'!$C$4),OR('Visual SPC'!$E$4="",'Data Entry'!$C2208&lt;='Visual SPC'!$E$4),OR('Visual SPC'!$G$4="",'Data Entry'!$D2208='Visual SPC'!$G$4),OR('Visual SPC'!$I$4="",'Data Entry'!$E2208='Visual SPC'!$I$4),OR('Visual SPC'!$K$4="",'Data Entry'!$F2208='Visual SPC'!$K$4)),1,0))</f>
        <v/>
      </c>
      <c r="C2208">
        <f>C2207+B2208</f>
        <v/>
      </c>
      <c r="D2208">
        <f>IF(B2208=1,INDEX('Data Entry'!$H$5:$BE$10004,2208-4,'Visual SPC'!$B$3),"")</f>
        <v/>
      </c>
      <c r="E2208">
        <f>IF(B2208=1,D2208,E2207)</f>
        <v/>
      </c>
      <c r="F2208">
        <f>IF(AND(B2208=1,C2208&gt;1,E2207&lt;&gt;""),ABS(D2208-E2207),"")</f>
        <v/>
      </c>
    </row>
    <row r="2209">
      <c r="A2209" t="n">
        <v>2209</v>
      </c>
      <c r="B2209">
        <f>IF(INDEX('Data Entry'!$H$5:$BE$10004,2209-4,'Visual SPC'!$B$3)="",0,IF(AND(OR('Visual SPC'!$C$4="",'Data Entry'!$C2209&gt;='Visual SPC'!$C$4),OR('Visual SPC'!$E$4="",'Data Entry'!$C2209&lt;='Visual SPC'!$E$4),OR('Visual SPC'!$G$4="",'Data Entry'!$D2209='Visual SPC'!$G$4),OR('Visual SPC'!$I$4="",'Data Entry'!$E2209='Visual SPC'!$I$4),OR('Visual SPC'!$K$4="",'Data Entry'!$F2209='Visual SPC'!$K$4)),1,0))</f>
        <v/>
      </c>
      <c r="C2209">
        <f>C2208+B2209</f>
        <v/>
      </c>
      <c r="D2209">
        <f>IF(B2209=1,INDEX('Data Entry'!$H$5:$BE$10004,2209-4,'Visual SPC'!$B$3),"")</f>
        <v/>
      </c>
      <c r="E2209">
        <f>IF(B2209=1,D2209,E2208)</f>
        <v/>
      </c>
      <c r="F2209">
        <f>IF(AND(B2209=1,C2209&gt;1,E2208&lt;&gt;""),ABS(D2209-E2208),"")</f>
        <v/>
      </c>
    </row>
    <row r="2210">
      <c r="A2210" t="n">
        <v>2210</v>
      </c>
      <c r="B2210">
        <f>IF(INDEX('Data Entry'!$H$5:$BE$10004,2210-4,'Visual SPC'!$B$3)="",0,IF(AND(OR('Visual SPC'!$C$4="",'Data Entry'!$C2210&gt;='Visual SPC'!$C$4),OR('Visual SPC'!$E$4="",'Data Entry'!$C2210&lt;='Visual SPC'!$E$4),OR('Visual SPC'!$G$4="",'Data Entry'!$D2210='Visual SPC'!$G$4),OR('Visual SPC'!$I$4="",'Data Entry'!$E2210='Visual SPC'!$I$4),OR('Visual SPC'!$K$4="",'Data Entry'!$F2210='Visual SPC'!$K$4)),1,0))</f>
        <v/>
      </c>
      <c r="C2210">
        <f>C2209+B2210</f>
        <v/>
      </c>
      <c r="D2210">
        <f>IF(B2210=1,INDEX('Data Entry'!$H$5:$BE$10004,2210-4,'Visual SPC'!$B$3),"")</f>
        <v/>
      </c>
      <c r="E2210">
        <f>IF(B2210=1,D2210,E2209)</f>
        <v/>
      </c>
      <c r="F2210">
        <f>IF(AND(B2210=1,C2210&gt;1,E2209&lt;&gt;""),ABS(D2210-E2209),"")</f>
        <v/>
      </c>
    </row>
    <row r="2211">
      <c r="A2211" t="n">
        <v>2211</v>
      </c>
      <c r="B2211">
        <f>IF(INDEX('Data Entry'!$H$5:$BE$10004,2211-4,'Visual SPC'!$B$3)="",0,IF(AND(OR('Visual SPC'!$C$4="",'Data Entry'!$C2211&gt;='Visual SPC'!$C$4),OR('Visual SPC'!$E$4="",'Data Entry'!$C2211&lt;='Visual SPC'!$E$4),OR('Visual SPC'!$G$4="",'Data Entry'!$D2211='Visual SPC'!$G$4),OR('Visual SPC'!$I$4="",'Data Entry'!$E2211='Visual SPC'!$I$4),OR('Visual SPC'!$K$4="",'Data Entry'!$F2211='Visual SPC'!$K$4)),1,0))</f>
        <v/>
      </c>
      <c r="C2211">
        <f>C2210+B2211</f>
        <v/>
      </c>
      <c r="D2211">
        <f>IF(B2211=1,INDEX('Data Entry'!$H$5:$BE$10004,2211-4,'Visual SPC'!$B$3),"")</f>
        <v/>
      </c>
      <c r="E2211">
        <f>IF(B2211=1,D2211,E2210)</f>
        <v/>
      </c>
      <c r="F2211">
        <f>IF(AND(B2211=1,C2211&gt;1,E2210&lt;&gt;""),ABS(D2211-E2210),"")</f>
        <v/>
      </c>
    </row>
    <row r="2212">
      <c r="A2212" t="n">
        <v>2212</v>
      </c>
      <c r="B2212">
        <f>IF(INDEX('Data Entry'!$H$5:$BE$10004,2212-4,'Visual SPC'!$B$3)="",0,IF(AND(OR('Visual SPC'!$C$4="",'Data Entry'!$C2212&gt;='Visual SPC'!$C$4),OR('Visual SPC'!$E$4="",'Data Entry'!$C2212&lt;='Visual SPC'!$E$4),OR('Visual SPC'!$G$4="",'Data Entry'!$D2212='Visual SPC'!$G$4),OR('Visual SPC'!$I$4="",'Data Entry'!$E2212='Visual SPC'!$I$4),OR('Visual SPC'!$K$4="",'Data Entry'!$F2212='Visual SPC'!$K$4)),1,0))</f>
        <v/>
      </c>
      <c r="C2212">
        <f>C2211+B2212</f>
        <v/>
      </c>
      <c r="D2212">
        <f>IF(B2212=1,INDEX('Data Entry'!$H$5:$BE$10004,2212-4,'Visual SPC'!$B$3),"")</f>
        <v/>
      </c>
      <c r="E2212">
        <f>IF(B2212=1,D2212,E2211)</f>
        <v/>
      </c>
      <c r="F2212">
        <f>IF(AND(B2212=1,C2212&gt;1,E2211&lt;&gt;""),ABS(D2212-E2211),"")</f>
        <v/>
      </c>
    </row>
    <row r="2213">
      <c r="A2213" t="n">
        <v>2213</v>
      </c>
      <c r="B2213">
        <f>IF(INDEX('Data Entry'!$H$5:$BE$10004,2213-4,'Visual SPC'!$B$3)="",0,IF(AND(OR('Visual SPC'!$C$4="",'Data Entry'!$C2213&gt;='Visual SPC'!$C$4),OR('Visual SPC'!$E$4="",'Data Entry'!$C2213&lt;='Visual SPC'!$E$4),OR('Visual SPC'!$G$4="",'Data Entry'!$D2213='Visual SPC'!$G$4),OR('Visual SPC'!$I$4="",'Data Entry'!$E2213='Visual SPC'!$I$4),OR('Visual SPC'!$K$4="",'Data Entry'!$F2213='Visual SPC'!$K$4)),1,0))</f>
        <v/>
      </c>
      <c r="C2213">
        <f>C2212+B2213</f>
        <v/>
      </c>
      <c r="D2213">
        <f>IF(B2213=1,INDEX('Data Entry'!$H$5:$BE$10004,2213-4,'Visual SPC'!$B$3),"")</f>
        <v/>
      </c>
      <c r="E2213">
        <f>IF(B2213=1,D2213,E2212)</f>
        <v/>
      </c>
      <c r="F2213">
        <f>IF(AND(B2213=1,C2213&gt;1,E2212&lt;&gt;""),ABS(D2213-E2212),"")</f>
        <v/>
      </c>
    </row>
    <row r="2214">
      <c r="A2214" t="n">
        <v>2214</v>
      </c>
      <c r="B2214">
        <f>IF(INDEX('Data Entry'!$H$5:$BE$10004,2214-4,'Visual SPC'!$B$3)="",0,IF(AND(OR('Visual SPC'!$C$4="",'Data Entry'!$C2214&gt;='Visual SPC'!$C$4),OR('Visual SPC'!$E$4="",'Data Entry'!$C2214&lt;='Visual SPC'!$E$4),OR('Visual SPC'!$G$4="",'Data Entry'!$D2214='Visual SPC'!$G$4),OR('Visual SPC'!$I$4="",'Data Entry'!$E2214='Visual SPC'!$I$4),OR('Visual SPC'!$K$4="",'Data Entry'!$F2214='Visual SPC'!$K$4)),1,0))</f>
        <v/>
      </c>
      <c r="C2214">
        <f>C2213+B2214</f>
        <v/>
      </c>
      <c r="D2214">
        <f>IF(B2214=1,INDEX('Data Entry'!$H$5:$BE$10004,2214-4,'Visual SPC'!$B$3),"")</f>
        <v/>
      </c>
      <c r="E2214">
        <f>IF(B2214=1,D2214,E2213)</f>
        <v/>
      </c>
      <c r="F2214">
        <f>IF(AND(B2214=1,C2214&gt;1,E2213&lt;&gt;""),ABS(D2214-E2213),"")</f>
        <v/>
      </c>
    </row>
    <row r="2215">
      <c r="A2215" t="n">
        <v>2215</v>
      </c>
      <c r="B2215">
        <f>IF(INDEX('Data Entry'!$H$5:$BE$10004,2215-4,'Visual SPC'!$B$3)="",0,IF(AND(OR('Visual SPC'!$C$4="",'Data Entry'!$C2215&gt;='Visual SPC'!$C$4),OR('Visual SPC'!$E$4="",'Data Entry'!$C2215&lt;='Visual SPC'!$E$4),OR('Visual SPC'!$G$4="",'Data Entry'!$D2215='Visual SPC'!$G$4),OR('Visual SPC'!$I$4="",'Data Entry'!$E2215='Visual SPC'!$I$4),OR('Visual SPC'!$K$4="",'Data Entry'!$F2215='Visual SPC'!$K$4)),1,0))</f>
        <v/>
      </c>
      <c r="C2215">
        <f>C2214+B2215</f>
        <v/>
      </c>
      <c r="D2215">
        <f>IF(B2215=1,INDEX('Data Entry'!$H$5:$BE$10004,2215-4,'Visual SPC'!$B$3),"")</f>
        <v/>
      </c>
      <c r="E2215">
        <f>IF(B2215=1,D2215,E2214)</f>
        <v/>
      </c>
      <c r="F2215">
        <f>IF(AND(B2215=1,C2215&gt;1,E2214&lt;&gt;""),ABS(D2215-E2214),"")</f>
        <v/>
      </c>
    </row>
    <row r="2216">
      <c r="A2216" t="n">
        <v>2216</v>
      </c>
      <c r="B2216">
        <f>IF(INDEX('Data Entry'!$H$5:$BE$10004,2216-4,'Visual SPC'!$B$3)="",0,IF(AND(OR('Visual SPC'!$C$4="",'Data Entry'!$C2216&gt;='Visual SPC'!$C$4),OR('Visual SPC'!$E$4="",'Data Entry'!$C2216&lt;='Visual SPC'!$E$4),OR('Visual SPC'!$G$4="",'Data Entry'!$D2216='Visual SPC'!$G$4),OR('Visual SPC'!$I$4="",'Data Entry'!$E2216='Visual SPC'!$I$4),OR('Visual SPC'!$K$4="",'Data Entry'!$F2216='Visual SPC'!$K$4)),1,0))</f>
        <v/>
      </c>
      <c r="C2216">
        <f>C2215+B2216</f>
        <v/>
      </c>
      <c r="D2216">
        <f>IF(B2216=1,INDEX('Data Entry'!$H$5:$BE$10004,2216-4,'Visual SPC'!$B$3),"")</f>
        <v/>
      </c>
      <c r="E2216">
        <f>IF(B2216=1,D2216,E2215)</f>
        <v/>
      </c>
      <c r="F2216">
        <f>IF(AND(B2216=1,C2216&gt;1,E2215&lt;&gt;""),ABS(D2216-E2215),"")</f>
        <v/>
      </c>
    </row>
    <row r="2217">
      <c r="A2217" t="n">
        <v>2217</v>
      </c>
      <c r="B2217">
        <f>IF(INDEX('Data Entry'!$H$5:$BE$10004,2217-4,'Visual SPC'!$B$3)="",0,IF(AND(OR('Visual SPC'!$C$4="",'Data Entry'!$C2217&gt;='Visual SPC'!$C$4),OR('Visual SPC'!$E$4="",'Data Entry'!$C2217&lt;='Visual SPC'!$E$4),OR('Visual SPC'!$G$4="",'Data Entry'!$D2217='Visual SPC'!$G$4),OR('Visual SPC'!$I$4="",'Data Entry'!$E2217='Visual SPC'!$I$4),OR('Visual SPC'!$K$4="",'Data Entry'!$F2217='Visual SPC'!$K$4)),1,0))</f>
        <v/>
      </c>
      <c r="C2217">
        <f>C2216+B2217</f>
        <v/>
      </c>
      <c r="D2217">
        <f>IF(B2217=1,INDEX('Data Entry'!$H$5:$BE$10004,2217-4,'Visual SPC'!$B$3),"")</f>
        <v/>
      </c>
      <c r="E2217">
        <f>IF(B2217=1,D2217,E2216)</f>
        <v/>
      </c>
      <c r="F2217">
        <f>IF(AND(B2217=1,C2217&gt;1,E2216&lt;&gt;""),ABS(D2217-E2216),"")</f>
        <v/>
      </c>
    </row>
    <row r="2218">
      <c r="A2218" t="n">
        <v>2218</v>
      </c>
      <c r="B2218">
        <f>IF(INDEX('Data Entry'!$H$5:$BE$10004,2218-4,'Visual SPC'!$B$3)="",0,IF(AND(OR('Visual SPC'!$C$4="",'Data Entry'!$C2218&gt;='Visual SPC'!$C$4),OR('Visual SPC'!$E$4="",'Data Entry'!$C2218&lt;='Visual SPC'!$E$4),OR('Visual SPC'!$G$4="",'Data Entry'!$D2218='Visual SPC'!$G$4),OR('Visual SPC'!$I$4="",'Data Entry'!$E2218='Visual SPC'!$I$4),OR('Visual SPC'!$K$4="",'Data Entry'!$F2218='Visual SPC'!$K$4)),1,0))</f>
        <v/>
      </c>
      <c r="C2218">
        <f>C2217+B2218</f>
        <v/>
      </c>
      <c r="D2218">
        <f>IF(B2218=1,INDEX('Data Entry'!$H$5:$BE$10004,2218-4,'Visual SPC'!$B$3),"")</f>
        <v/>
      </c>
      <c r="E2218">
        <f>IF(B2218=1,D2218,E2217)</f>
        <v/>
      </c>
      <c r="F2218">
        <f>IF(AND(B2218=1,C2218&gt;1,E2217&lt;&gt;""),ABS(D2218-E2217),"")</f>
        <v/>
      </c>
    </row>
    <row r="2219">
      <c r="A2219" t="n">
        <v>2219</v>
      </c>
      <c r="B2219">
        <f>IF(INDEX('Data Entry'!$H$5:$BE$10004,2219-4,'Visual SPC'!$B$3)="",0,IF(AND(OR('Visual SPC'!$C$4="",'Data Entry'!$C2219&gt;='Visual SPC'!$C$4),OR('Visual SPC'!$E$4="",'Data Entry'!$C2219&lt;='Visual SPC'!$E$4),OR('Visual SPC'!$G$4="",'Data Entry'!$D2219='Visual SPC'!$G$4),OR('Visual SPC'!$I$4="",'Data Entry'!$E2219='Visual SPC'!$I$4),OR('Visual SPC'!$K$4="",'Data Entry'!$F2219='Visual SPC'!$K$4)),1,0))</f>
        <v/>
      </c>
      <c r="C2219">
        <f>C2218+B2219</f>
        <v/>
      </c>
      <c r="D2219">
        <f>IF(B2219=1,INDEX('Data Entry'!$H$5:$BE$10004,2219-4,'Visual SPC'!$B$3),"")</f>
        <v/>
      </c>
      <c r="E2219">
        <f>IF(B2219=1,D2219,E2218)</f>
        <v/>
      </c>
      <c r="F2219">
        <f>IF(AND(B2219=1,C2219&gt;1,E2218&lt;&gt;""),ABS(D2219-E2218),"")</f>
        <v/>
      </c>
    </row>
    <row r="2220">
      <c r="A2220" t="n">
        <v>2220</v>
      </c>
      <c r="B2220">
        <f>IF(INDEX('Data Entry'!$H$5:$BE$10004,2220-4,'Visual SPC'!$B$3)="",0,IF(AND(OR('Visual SPC'!$C$4="",'Data Entry'!$C2220&gt;='Visual SPC'!$C$4),OR('Visual SPC'!$E$4="",'Data Entry'!$C2220&lt;='Visual SPC'!$E$4),OR('Visual SPC'!$G$4="",'Data Entry'!$D2220='Visual SPC'!$G$4),OR('Visual SPC'!$I$4="",'Data Entry'!$E2220='Visual SPC'!$I$4),OR('Visual SPC'!$K$4="",'Data Entry'!$F2220='Visual SPC'!$K$4)),1,0))</f>
        <v/>
      </c>
      <c r="C2220">
        <f>C2219+B2220</f>
        <v/>
      </c>
      <c r="D2220">
        <f>IF(B2220=1,INDEX('Data Entry'!$H$5:$BE$10004,2220-4,'Visual SPC'!$B$3),"")</f>
        <v/>
      </c>
      <c r="E2220">
        <f>IF(B2220=1,D2220,E2219)</f>
        <v/>
      </c>
      <c r="F2220">
        <f>IF(AND(B2220=1,C2220&gt;1,E2219&lt;&gt;""),ABS(D2220-E2219),"")</f>
        <v/>
      </c>
    </row>
    <row r="2221">
      <c r="A2221" t="n">
        <v>2221</v>
      </c>
      <c r="B2221">
        <f>IF(INDEX('Data Entry'!$H$5:$BE$10004,2221-4,'Visual SPC'!$B$3)="",0,IF(AND(OR('Visual SPC'!$C$4="",'Data Entry'!$C2221&gt;='Visual SPC'!$C$4),OR('Visual SPC'!$E$4="",'Data Entry'!$C2221&lt;='Visual SPC'!$E$4),OR('Visual SPC'!$G$4="",'Data Entry'!$D2221='Visual SPC'!$G$4),OR('Visual SPC'!$I$4="",'Data Entry'!$E2221='Visual SPC'!$I$4),OR('Visual SPC'!$K$4="",'Data Entry'!$F2221='Visual SPC'!$K$4)),1,0))</f>
        <v/>
      </c>
      <c r="C2221">
        <f>C2220+B2221</f>
        <v/>
      </c>
      <c r="D2221">
        <f>IF(B2221=1,INDEX('Data Entry'!$H$5:$BE$10004,2221-4,'Visual SPC'!$B$3),"")</f>
        <v/>
      </c>
      <c r="E2221">
        <f>IF(B2221=1,D2221,E2220)</f>
        <v/>
      </c>
      <c r="F2221">
        <f>IF(AND(B2221=1,C2221&gt;1,E2220&lt;&gt;""),ABS(D2221-E2220),"")</f>
        <v/>
      </c>
    </row>
    <row r="2222">
      <c r="A2222" t="n">
        <v>2222</v>
      </c>
      <c r="B2222">
        <f>IF(INDEX('Data Entry'!$H$5:$BE$10004,2222-4,'Visual SPC'!$B$3)="",0,IF(AND(OR('Visual SPC'!$C$4="",'Data Entry'!$C2222&gt;='Visual SPC'!$C$4),OR('Visual SPC'!$E$4="",'Data Entry'!$C2222&lt;='Visual SPC'!$E$4),OR('Visual SPC'!$G$4="",'Data Entry'!$D2222='Visual SPC'!$G$4),OR('Visual SPC'!$I$4="",'Data Entry'!$E2222='Visual SPC'!$I$4),OR('Visual SPC'!$K$4="",'Data Entry'!$F2222='Visual SPC'!$K$4)),1,0))</f>
        <v/>
      </c>
      <c r="C2222">
        <f>C2221+B2222</f>
        <v/>
      </c>
      <c r="D2222">
        <f>IF(B2222=1,INDEX('Data Entry'!$H$5:$BE$10004,2222-4,'Visual SPC'!$B$3),"")</f>
        <v/>
      </c>
      <c r="E2222">
        <f>IF(B2222=1,D2222,E2221)</f>
        <v/>
      </c>
      <c r="F2222">
        <f>IF(AND(B2222=1,C2222&gt;1,E2221&lt;&gt;""),ABS(D2222-E2221),"")</f>
        <v/>
      </c>
    </row>
    <row r="2223">
      <c r="A2223" t="n">
        <v>2223</v>
      </c>
      <c r="B2223">
        <f>IF(INDEX('Data Entry'!$H$5:$BE$10004,2223-4,'Visual SPC'!$B$3)="",0,IF(AND(OR('Visual SPC'!$C$4="",'Data Entry'!$C2223&gt;='Visual SPC'!$C$4),OR('Visual SPC'!$E$4="",'Data Entry'!$C2223&lt;='Visual SPC'!$E$4),OR('Visual SPC'!$G$4="",'Data Entry'!$D2223='Visual SPC'!$G$4),OR('Visual SPC'!$I$4="",'Data Entry'!$E2223='Visual SPC'!$I$4),OR('Visual SPC'!$K$4="",'Data Entry'!$F2223='Visual SPC'!$K$4)),1,0))</f>
        <v/>
      </c>
      <c r="C2223">
        <f>C2222+B2223</f>
        <v/>
      </c>
      <c r="D2223">
        <f>IF(B2223=1,INDEX('Data Entry'!$H$5:$BE$10004,2223-4,'Visual SPC'!$B$3),"")</f>
        <v/>
      </c>
      <c r="E2223">
        <f>IF(B2223=1,D2223,E2222)</f>
        <v/>
      </c>
      <c r="F2223">
        <f>IF(AND(B2223=1,C2223&gt;1,E2222&lt;&gt;""),ABS(D2223-E2222),"")</f>
        <v/>
      </c>
    </row>
    <row r="2224">
      <c r="A2224" t="n">
        <v>2224</v>
      </c>
      <c r="B2224">
        <f>IF(INDEX('Data Entry'!$H$5:$BE$10004,2224-4,'Visual SPC'!$B$3)="",0,IF(AND(OR('Visual SPC'!$C$4="",'Data Entry'!$C2224&gt;='Visual SPC'!$C$4),OR('Visual SPC'!$E$4="",'Data Entry'!$C2224&lt;='Visual SPC'!$E$4),OR('Visual SPC'!$G$4="",'Data Entry'!$D2224='Visual SPC'!$G$4),OR('Visual SPC'!$I$4="",'Data Entry'!$E2224='Visual SPC'!$I$4),OR('Visual SPC'!$K$4="",'Data Entry'!$F2224='Visual SPC'!$K$4)),1,0))</f>
        <v/>
      </c>
      <c r="C2224">
        <f>C2223+B2224</f>
        <v/>
      </c>
      <c r="D2224">
        <f>IF(B2224=1,INDEX('Data Entry'!$H$5:$BE$10004,2224-4,'Visual SPC'!$B$3),"")</f>
        <v/>
      </c>
      <c r="E2224">
        <f>IF(B2224=1,D2224,E2223)</f>
        <v/>
      </c>
      <c r="F2224">
        <f>IF(AND(B2224=1,C2224&gt;1,E2223&lt;&gt;""),ABS(D2224-E2223),"")</f>
        <v/>
      </c>
    </row>
    <row r="2225">
      <c r="A2225" t="n">
        <v>2225</v>
      </c>
      <c r="B2225">
        <f>IF(INDEX('Data Entry'!$H$5:$BE$10004,2225-4,'Visual SPC'!$B$3)="",0,IF(AND(OR('Visual SPC'!$C$4="",'Data Entry'!$C2225&gt;='Visual SPC'!$C$4),OR('Visual SPC'!$E$4="",'Data Entry'!$C2225&lt;='Visual SPC'!$E$4),OR('Visual SPC'!$G$4="",'Data Entry'!$D2225='Visual SPC'!$G$4),OR('Visual SPC'!$I$4="",'Data Entry'!$E2225='Visual SPC'!$I$4),OR('Visual SPC'!$K$4="",'Data Entry'!$F2225='Visual SPC'!$K$4)),1,0))</f>
        <v/>
      </c>
      <c r="C2225">
        <f>C2224+B2225</f>
        <v/>
      </c>
      <c r="D2225">
        <f>IF(B2225=1,INDEX('Data Entry'!$H$5:$BE$10004,2225-4,'Visual SPC'!$B$3),"")</f>
        <v/>
      </c>
      <c r="E2225">
        <f>IF(B2225=1,D2225,E2224)</f>
        <v/>
      </c>
      <c r="F2225">
        <f>IF(AND(B2225=1,C2225&gt;1,E2224&lt;&gt;""),ABS(D2225-E2224),"")</f>
        <v/>
      </c>
    </row>
    <row r="2226">
      <c r="A2226" t="n">
        <v>2226</v>
      </c>
      <c r="B2226">
        <f>IF(INDEX('Data Entry'!$H$5:$BE$10004,2226-4,'Visual SPC'!$B$3)="",0,IF(AND(OR('Visual SPC'!$C$4="",'Data Entry'!$C2226&gt;='Visual SPC'!$C$4),OR('Visual SPC'!$E$4="",'Data Entry'!$C2226&lt;='Visual SPC'!$E$4),OR('Visual SPC'!$G$4="",'Data Entry'!$D2226='Visual SPC'!$G$4),OR('Visual SPC'!$I$4="",'Data Entry'!$E2226='Visual SPC'!$I$4),OR('Visual SPC'!$K$4="",'Data Entry'!$F2226='Visual SPC'!$K$4)),1,0))</f>
        <v/>
      </c>
      <c r="C2226">
        <f>C2225+B2226</f>
        <v/>
      </c>
      <c r="D2226">
        <f>IF(B2226=1,INDEX('Data Entry'!$H$5:$BE$10004,2226-4,'Visual SPC'!$B$3),"")</f>
        <v/>
      </c>
      <c r="E2226">
        <f>IF(B2226=1,D2226,E2225)</f>
        <v/>
      </c>
      <c r="F2226">
        <f>IF(AND(B2226=1,C2226&gt;1,E2225&lt;&gt;""),ABS(D2226-E2225),"")</f>
        <v/>
      </c>
    </row>
    <row r="2227">
      <c r="A2227" t="n">
        <v>2227</v>
      </c>
      <c r="B2227">
        <f>IF(INDEX('Data Entry'!$H$5:$BE$10004,2227-4,'Visual SPC'!$B$3)="",0,IF(AND(OR('Visual SPC'!$C$4="",'Data Entry'!$C2227&gt;='Visual SPC'!$C$4),OR('Visual SPC'!$E$4="",'Data Entry'!$C2227&lt;='Visual SPC'!$E$4),OR('Visual SPC'!$G$4="",'Data Entry'!$D2227='Visual SPC'!$G$4),OR('Visual SPC'!$I$4="",'Data Entry'!$E2227='Visual SPC'!$I$4),OR('Visual SPC'!$K$4="",'Data Entry'!$F2227='Visual SPC'!$K$4)),1,0))</f>
        <v/>
      </c>
      <c r="C2227">
        <f>C2226+B2227</f>
        <v/>
      </c>
      <c r="D2227">
        <f>IF(B2227=1,INDEX('Data Entry'!$H$5:$BE$10004,2227-4,'Visual SPC'!$B$3),"")</f>
        <v/>
      </c>
      <c r="E2227">
        <f>IF(B2227=1,D2227,E2226)</f>
        <v/>
      </c>
      <c r="F2227">
        <f>IF(AND(B2227=1,C2227&gt;1,E2226&lt;&gt;""),ABS(D2227-E2226),"")</f>
        <v/>
      </c>
    </row>
    <row r="2228">
      <c r="A2228" t="n">
        <v>2228</v>
      </c>
      <c r="B2228">
        <f>IF(INDEX('Data Entry'!$H$5:$BE$10004,2228-4,'Visual SPC'!$B$3)="",0,IF(AND(OR('Visual SPC'!$C$4="",'Data Entry'!$C2228&gt;='Visual SPC'!$C$4),OR('Visual SPC'!$E$4="",'Data Entry'!$C2228&lt;='Visual SPC'!$E$4),OR('Visual SPC'!$G$4="",'Data Entry'!$D2228='Visual SPC'!$G$4),OR('Visual SPC'!$I$4="",'Data Entry'!$E2228='Visual SPC'!$I$4),OR('Visual SPC'!$K$4="",'Data Entry'!$F2228='Visual SPC'!$K$4)),1,0))</f>
        <v/>
      </c>
      <c r="C2228">
        <f>C2227+B2228</f>
        <v/>
      </c>
      <c r="D2228">
        <f>IF(B2228=1,INDEX('Data Entry'!$H$5:$BE$10004,2228-4,'Visual SPC'!$B$3),"")</f>
        <v/>
      </c>
      <c r="E2228">
        <f>IF(B2228=1,D2228,E2227)</f>
        <v/>
      </c>
      <c r="F2228">
        <f>IF(AND(B2228=1,C2228&gt;1,E2227&lt;&gt;""),ABS(D2228-E2227),"")</f>
        <v/>
      </c>
    </row>
    <row r="2229">
      <c r="A2229" t="n">
        <v>2229</v>
      </c>
      <c r="B2229">
        <f>IF(INDEX('Data Entry'!$H$5:$BE$10004,2229-4,'Visual SPC'!$B$3)="",0,IF(AND(OR('Visual SPC'!$C$4="",'Data Entry'!$C2229&gt;='Visual SPC'!$C$4),OR('Visual SPC'!$E$4="",'Data Entry'!$C2229&lt;='Visual SPC'!$E$4),OR('Visual SPC'!$G$4="",'Data Entry'!$D2229='Visual SPC'!$G$4),OR('Visual SPC'!$I$4="",'Data Entry'!$E2229='Visual SPC'!$I$4),OR('Visual SPC'!$K$4="",'Data Entry'!$F2229='Visual SPC'!$K$4)),1,0))</f>
        <v/>
      </c>
      <c r="C2229">
        <f>C2228+B2229</f>
        <v/>
      </c>
      <c r="D2229">
        <f>IF(B2229=1,INDEX('Data Entry'!$H$5:$BE$10004,2229-4,'Visual SPC'!$B$3),"")</f>
        <v/>
      </c>
      <c r="E2229">
        <f>IF(B2229=1,D2229,E2228)</f>
        <v/>
      </c>
      <c r="F2229">
        <f>IF(AND(B2229=1,C2229&gt;1,E2228&lt;&gt;""),ABS(D2229-E2228),"")</f>
        <v/>
      </c>
    </row>
    <row r="2230">
      <c r="A2230" t="n">
        <v>2230</v>
      </c>
      <c r="B2230">
        <f>IF(INDEX('Data Entry'!$H$5:$BE$10004,2230-4,'Visual SPC'!$B$3)="",0,IF(AND(OR('Visual SPC'!$C$4="",'Data Entry'!$C2230&gt;='Visual SPC'!$C$4),OR('Visual SPC'!$E$4="",'Data Entry'!$C2230&lt;='Visual SPC'!$E$4),OR('Visual SPC'!$G$4="",'Data Entry'!$D2230='Visual SPC'!$G$4),OR('Visual SPC'!$I$4="",'Data Entry'!$E2230='Visual SPC'!$I$4),OR('Visual SPC'!$K$4="",'Data Entry'!$F2230='Visual SPC'!$K$4)),1,0))</f>
        <v/>
      </c>
      <c r="C2230">
        <f>C2229+B2230</f>
        <v/>
      </c>
      <c r="D2230">
        <f>IF(B2230=1,INDEX('Data Entry'!$H$5:$BE$10004,2230-4,'Visual SPC'!$B$3),"")</f>
        <v/>
      </c>
      <c r="E2230">
        <f>IF(B2230=1,D2230,E2229)</f>
        <v/>
      </c>
      <c r="F2230">
        <f>IF(AND(B2230=1,C2230&gt;1,E2229&lt;&gt;""),ABS(D2230-E2229),"")</f>
        <v/>
      </c>
    </row>
    <row r="2231">
      <c r="A2231" t="n">
        <v>2231</v>
      </c>
      <c r="B2231">
        <f>IF(INDEX('Data Entry'!$H$5:$BE$10004,2231-4,'Visual SPC'!$B$3)="",0,IF(AND(OR('Visual SPC'!$C$4="",'Data Entry'!$C2231&gt;='Visual SPC'!$C$4),OR('Visual SPC'!$E$4="",'Data Entry'!$C2231&lt;='Visual SPC'!$E$4),OR('Visual SPC'!$G$4="",'Data Entry'!$D2231='Visual SPC'!$G$4),OR('Visual SPC'!$I$4="",'Data Entry'!$E2231='Visual SPC'!$I$4),OR('Visual SPC'!$K$4="",'Data Entry'!$F2231='Visual SPC'!$K$4)),1,0))</f>
        <v/>
      </c>
      <c r="C2231">
        <f>C2230+B2231</f>
        <v/>
      </c>
      <c r="D2231">
        <f>IF(B2231=1,INDEX('Data Entry'!$H$5:$BE$10004,2231-4,'Visual SPC'!$B$3),"")</f>
        <v/>
      </c>
      <c r="E2231">
        <f>IF(B2231=1,D2231,E2230)</f>
        <v/>
      </c>
      <c r="F2231">
        <f>IF(AND(B2231=1,C2231&gt;1,E2230&lt;&gt;""),ABS(D2231-E2230),"")</f>
        <v/>
      </c>
    </row>
    <row r="2232">
      <c r="A2232" t="n">
        <v>2232</v>
      </c>
      <c r="B2232">
        <f>IF(INDEX('Data Entry'!$H$5:$BE$10004,2232-4,'Visual SPC'!$B$3)="",0,IF(AND(OR('Visual SPC'!$C$4="",'Data Entry'!$C2232&gt;='Visual SPC'!$C$4),OR('Visual SPC'!$E$4="",'Data Entry'!$C2232&lt;='Visual SPC'!$E$4),OR('Visual SPC'!$G$4="",'Data Entry'!$D2232='Visual SPC'!$G$4),OR('Visual SPC'!$I$4="",'Data Entry'!$E2232='Visual SPC'!$I$4),OR('Visual SPC'!$K$4="",'Data Entry'!$F2232='Visual SPC'!$K$4)),1,0))</f>
        <v/>
      </c>
      <c r="C2232">
        <f>C2231+B2232</f>
        <v/>
      </c>
      <c r="D2232">
        <f>IF(B2232=1,INDEX('Data Entry'!$H$5:$BE$10004,2232-4,'Visual SPC'!$B$3),"")</f>
        <v/>
      </c>
      <c r="E2232">
        <f>IF(B2232=1,D2232,E2231)</f>
        <v/>
      </c>
      <c r="F2232">
        <f>IF(AND(B2232=1,C2232&gt;1,E2231&lt;&gt;""),ABS(D2232-E2231),"")</f>
        <v/>
      </c>
    </row>
    <row r="2233">
      <c r="A2233" t="n">
        <v>2233</v>
      </c>
      <c r="B2233">
        <f>IF(INDEX('Data Entry'!$H$5:$BE$10004,2233-4,'Visual SPC'!$B$3)="",0,IF(AND(OR('Visual SPC'!$C$4="",'Data Entry'!$C2233&gt;='Visual SPC'!$C$4),OR('Visual SPC'!$E$4="",'Data Entry'!$C2233&lt;='Visual SPC'!$E$4),OR('Visual SPC'!$G$4="",'Data Entry'!$D2233='Visual SPC'!$G$4),OR('Visual SPC'!$I$4="",'Data Entry'!$E2233='Visual SPC'!$I$4),OR('Visual SPC'!$K$4="",'Data Entry'!$F2233='Visual SPC'!$K$4)),1,0))</f>
        <v/>
      </c>
      <c r="C2233">
        <f>C2232+B2233</f>
        <v/>
      </c>
      <c r="D2233">
        <f>IF(B2233=1,INDEX('Data Entry'!$H$5:$BE$10004,2233-4,'Visual SPC'!$B$3),"")</f>
        <v/>
      </c>
      <c r="E2233">
        <f>IF(B2233=1,D2233,E2232)</f>
        <v/>
      </c>
      <c r="F2233">
        <f>IF(AND(B2233=1,C2233&gt;1,E2232&lt;&gt;""),ABS(D2233-E2232),"")</f>
        <v/>
      </c>
    </row>
    <row r="2234">
      <c r="A2234" t="n">
        <v>2234</v>
      </c>
      <c r="B2234">
        <f>IF(INDEX('Data Entry'!$H$5:$BE$10004,2234-4,'Visual SPC'!$B$3)="",0,IF(AND(OR('Visual SPC'!$C$4="",'Data Entry'!$C2234&gt;='Visual SPC'!$C$4),OR('Visual SPC'!$E$4="",'Data Entry'!$C2234&lt;='Visual SPC'!$E$4),OR('Visual SPC'!$G$4="",'Data Entry'!$D2234='Visual SPC'!$G$4),OR('Visual SPC'!$I$4="",'Data Entry'!$E2234='Visual SPC'!$I$4),OR('Visual SPC'!$K$4="",'Data Entry'!$F2234='Visual SPC'!$K$4)),1,0))</f>
        <v/>
      </c>
      <c r="C2234">
        <f>C2233+B2234</f>
        <v/>
      </c>
      <c r="D2234">
        <f>IF(B2234=1,INDEX('Data Entry'!$H$5:$BE$10004,2234-4,'Visual SPC'!$B$3),"")</f>
        <v/>
      </c>
      <c r="E2234">
        <f>IF(B2234=1,D2234,E2233)</f>
        <v/>
      </c>
      <c r="F2234">
        <f>IF(AND(B2234=1,C2234&gt;1,E2233&lt;&gt;""),ABS(D2234-E2233),"")</f>
        <v/>
      </c>
    </row>
    <row r="2235">
      <c r="A2235" t="n">
        <v>2235</v>
      </c>
      <c r="B2235">
        <f>IF(INDEX('Data Entry'!$H$5:$BE$10004,2235-4,'Visual SPC'!$B$3)="",0,IF(AND(OR('Visual SPC'!$C$4="",'Data Entry'!$C2235&gt;='Visual SPC'!$C$4),OR('Visual SPC'!$E$4="",'Data Entry'!$C2235&lt;='Visual SPC'!$E$4),OR('Visual SPC'!$G$4="",'Data Entry'!$D2235='Visual SPC'!$G$4),OR('Visual SPC'!$I$4="",'Data Entry'!$E2235='Visual SPC'!$I$4),OR('Visual SPC'!$K$4="",'Data Entry'!$F2235='Visual SPC'!$K$4)),1,0))</f>
        <v/>
      </c>
      <c r="C2235">
        <f>C2234+B2235</f>
        <v/>
      </c>
      <c r="D2235">
        <f>IF(B2235=1,INDEX('Data Entry'!$H$5:$BE$10004,2235-4,'Visual SPC'!$B$3),"")</f>
        <v/>
      </c>
      <c r="E2235">
        <f>IF(B2235=1,D2235,E2234)</f>
        <v/>
      </c>
      <c r="F2235">
        <f>IF(AND(B2235=1,C2235&gt;1,E2234&lt;&gt;""),ABS(D2235-E2234),"")</f>
        <v/>
      </c>
    </row>
    <row r="2236">
      <c r="A2236" t="n">
        <v>2236</v>
      </c>
      <c r="B2236">
        <f>IF(INDEX('Data Entry'!$H$5:$BE$10004,2236-4,'Visual SPC'!$B$3)="",0,IF(AND(OR('Visual SPC'!$C$4="",'Data Entry'!$C2236&gt;='Visual SPC'!$C$4),OR('Visual SPC'!$E$4="",'Data Entry'!$C2236&lt;='Visual SPC'!$E$4),OR('Visual SPC'!$G$4="",'Data Entry'!$D2236='Visual SPC'!$G$4),OR('Visual SPC'!$I$4="",'Data Entry'!$E2236='Visual SPC'!$I$4),OR('Visual SPC'!$K$4="",'Data Entry'!$F2236='Visual SPC'!$K$4)),1,0))</f>
        <v/>
      </c>
      <c r="C2236">
        <f>C2235+B2236</f>
        <v/>
      </c>
      <c r="D2236">
        <f>IF(B2236=1,INDEX('Data Entry'!$H$5:$BE$10004,2236-4,'Visual SPC'!$B$3),"")</f>
        <v/>
      </c>
      <c r="E2236">
        <f>IF(B2236=1,D2236,E2235)</f>
        <v/>
      </c>
      <c r="F2236">
        <f>IF(AND(B2236=1,C2236&gt;1,E2235&lt;&gt;""),ABS(D2236-E2235),"")</f>
        <v/>
      </c>
    </row>
    <row r="2237">
      <c r="A2237" t="n">
        <v>2237</v>
      </c>
      <c r="B2237">
        <f>IF(INDEX('Data Entry'!$H$5:$BE$10004,2237-4,'Visual SPC'!$B$3)="",0,IF(AND(OR('Visual SPC'!$C$4="",'Data Entry'!$C2237&gt;='Visual SPC'!$C$4),OR('Visual SPC'!$E$4="",'Data Entry'!$C2237&lt;='Visual SPC'!$E$4),OR('Visual SPC'!$G$4="",'Data Entry'!$D2237='Visual SPC'!$G$4),OR('Visual SPC'!$I$4="",'Data Entry'!$E2237='Visual SPC'!$I$4),OR('Visual SPC'!$K$4="",'Data Entry'!$F2237='Visual SPC'!$K$4)),1,0))</f>
        <v/>
      </c>
      <c r="C2237">
        <f>C2236+B2237</f>
        <v/>
      </c>
      <c r="D2237">
        <f>IF(B2237=1,INDEX('Data Entry'!$H$5:$BE$10004,2237-4,'Visual SPC'!$B$3),"")</f>
        <v/>
      </c>
      <c r="E2237">
        <f>IF(B2237=1,D2237,E2236)</f>
        <v/>
      </c>
      <c r="F2237">
        <f>IF(AND(B2237=1,C2237&gt;1,E2236&lt;&gt;""),ABS(D2237-E2236),"")</f>
        <v/>
      </c>
    </row>
    <row r="2238">
      <c r="A2238" t="n">
        <v>2238</v>
      </c>
      <c r="B2238">
        <f>IF(INDEX('Data Entry'!$H$5:$BE$10004,2238-4,'Visual SPC'!$B$3)="",0,IF(AND(OR('Visual SPC'!$C$4="",'Data Entry'!$C2238&gt;='Visual SPC'!$C$4),OR('Visual SPC'!$E$4="",'Data Entry'!$C2238&lt;='Visual SPC'!$E$4),OR('Visual SPC'!$G$4="",'Data Entry'!$D2238='Visual SPC'!$G$4),OR('Visual SPC'!$I$4="",'Data Entry'!$E2238='Visual SPC'!$I$4),OR('Visual SPC'!$K$4="",'Data Entry'!$F2238='Visual SPC'!$K$4)),1,0))</f>
        <v/>
      </c>
      <c r="C2238">
        <f>C2237+B2238</f>
        <v/>
      </c>
      <c r="D2238">
        <f>IF(B2238=1,INDEX('Data Entry'!$H$5:$BE$10004,2238-4,'Visual SPC'!$B$3),"")</f>
        <v/>
      </c>
      <c r="E2238">
        <f>IF(B2238=1,D2238,E2237)</f>
        <v/>
      </c>
      <c r="F2238">
        <f>IF(AND(B2238=1,C2238&gt;1,E2237&lt;&gt;""),ABS(D2238-E2237),"")</f>
        <v/>
      </c>
    </row>
    <row r="2239">
      <c r="A2239" t="n">
        <v>2239</v>
      </c>
      <c r="B2239">
        <f>IF(INDEX('Data Entry'!$H$5:$BE$10004,2239-4,'Visual SPC'!$B$3)="",0,IF(AND(OR('Visual SPC'!$C$4="",'Data Entry'!$C2239&gt;='Visual SPC'!$C$4),OR('Visual SPC'!$E$4="",'Data Entry'!$C2239&lt;='Visual SPC'!$E$4),OR('Visual SPC'!$G$4="",'Data Entry'!$D2239='Visual SPC'!$G$4),OR('Visual SPC'!$I$4="",'Data Entry'!$E2239='Visual SPC'!$I$4),OR('Visual SPC'!$K$4="",'Data Entry'!$F2239='Visual SPC'!$K$4)),1,0))</f>
        <v/>
      </c>
      <c r="C2239">
        <f>C2238+B2239</f>
        <v/>
      </c>
      <c r="D2239">
        <f>IF(B2239=1,INDEX('Data Entry'!$H$5:$BE$10004,2239-4,'Visual SPC'!$B$3),"")</f>
        <v/>
      </c>
      <c r="E2239">
        <f>IF(B2239=1,D2239,E2238)</f>
        <v/>
      </c>
      <c r="F2239">
        <f>IF(AND(B2239=1,C2239&gt;1,E2238&lt;&gt;""),ABS(D2239-E2238),"")</f>
        <v/>
      </c>
    </row>
    <row r="2240">
      <c r="A2240" t="n">
        <v>2240</v>
      </c>
      <c r="B2240">
        <f>IF(INDEX('Data Entry'!$H$5:$BE$10004,2240-4,'Visual SPC'!$B$3)="",0,IF(AND(OR('Visual SPC'!$C$4="",'Data Entry'!$C2240&gt;='Visual SPC'!$C$4),OR('Visual SPC'!$E$4="",'Data Entry'!$C2240&lt;='Visual SPC'!$E$4),OR('Visual SPC'!$G$4="",'Data Entry'!$D2240='Visual SPC'!$G$4),OR('Visual SPC'!$I$4="",'Data Entry'!$E2240='Visual SPC'!$I$4),OR('Visual SPC'!$K$4="",'Data Entry'!$F2240='Visual SPC'!$K$4)),1,0))</f>
        <v/>
      </c>
      <c r="C2240">
        <f>C2239+B2240</f>
        <v/>
      </c>
      <c r="D2240">
        <f>IF(B2240=1,INDEX('Data Entry'!$H$5:$BE$10004,2240-4,'Visual SPC'!$B$3),"")</f>
        <v/>
      </c>
      <c r="E2240">
        <f>IF(B2240=1,D2240,E2239)</f>
        <v/>
      </c>
      <c r="F2240">
        <f>IF(AND(B2240=1,C2240&gt;1,E2239&lt;&gt;""),ABS(D2240-E2239),"")</f>
        <v/>
      </c>
    </row>
    <row r="2241">
      <c r="A2241" t="n">
        <v>2241</v>
      </c>
      <c r="B2241">
        <f>IF(INDEX('Data Entry'!$H$5:$BE$10004,2241-4,'Visual SPC'!$B$3)="",0,IF(AND(OR('Visual SPC'!$C$4="",'Data Entry'!$C2241&gt;='Visual SPC'!$C$4),OR('Visual SPC'!$E$4="",'Data Entry'!$C2241&lt;='Visual SPC'!$E$4),OR('Visual SPC'!$G$4="",'Data Entry'!$D2241='Visual SPC'!$G$4),OR('Visual SPC'!$I$4="",'Data Entry'!$E2241='Visual SPC'!$I$4),OR('Visual SPC'!$K$4="",'Data Entry'!$F2241='Visual SPC'!$K$4)),1,0))</f>
        <v/>
      </c>
      <c r="C2241">
        <f>C2240+B2241</f>
        <v/>
      </c>
      <c r="D2241">
        <f>IF(B2241=1,INDEX('Data Entry'!$H$5:$BE$10004,2241-4,'Visual SPC'!$B$3),"")</f>
        <v/>
      </c>
      <c r="E2241">
        <f>IF(B2241=1,D2241,E2240)</f>
        <v/>
      </c>
      <c r="F2241">
        <f>IF(AND(B2241=1,C2241&gt;1,E2240&lt;&gt;""),ABS(D2241-E2240),"")</f>
        <v/>
      </c>
    </row>
    <row r="2242">
      <c r="A2242" t="n">
        <v>2242</v>
      </c>
      <c r="B2242">
        <f>IF(INDEX('Data Entry'!$H$5:$BE$10004,2242-4,'Visual SPC'!$B$3)="",0,IF(AND(OR('Visual SPC'!$C$4="",'Data Entry'!$C2242&gt;='Visual SPC'!$C$4),OR('Visual SPC'!$E$4="",'Data Entry'!$C2242&lt;='Visual SPC'!$E$4),OR('Visual SPC'!$G$4="",'Data Entry'!$D2242='Visual SPC'!$G$4),OR('Visual SPC'!$I$4="",'Data Entry'!$E2242='Visual SPC'!$I$4),OR('Visual SPC'!$K$4="",'Data Entry'!$F2242='Visual SPC'!$K$4)),1,0))</f>
        <v/>
      </c>
      <c r="C2242">
        <f>C2241+B2242</f>
        <v/>
      </c>
      <c r="D2242">
        <f>IF(B2242=1,INDEX('Data Entry'!$H$5:$BE$10004,2242-4,'Visual SPC'!$B$3),"")</f>
        <v/>
      </c>
      <c r="E2242">
        <f>IF(B2242=1,D2242,E2241)</f>
        <v/>
      </c>
      <c r="F2242">
        <f>IF(AND(B2242=1,C2242&gt;1,E2241&lt;&gt;""),ABS(D2242-E2241),"")</f>
        <v/>
      </c>
    </row>
    <row r="2243">
      <c r="A2243" t="n">
        <v>2243</v>
      </c>
      <c r="B2243">
        <f>IF(INDEX('Data Entry'!$H$5:$BE$10004,2243-4,'Visual SPC'!$B$3)="",0,IF(AND(OR('Visual SPC'!$C$4="",'Data Entry'!$C2243&gt;='Visual SPC'!$C$4),OR('Visual SPC'!$E$4="",'Data Entry'!$C2243&lt;='Visual SPC'!$E$4),OR('Visual SPC'!$G$4="",'Data Entry'!$D2243='Visual SPC'!$G$4),OR('Visual SPC'!$I$4="",'Data Entry'!$E2243='Visual SPC'!$I$4),OR('Visual SPC'!$K$4="",'Data Entry'!$F2243='Visual SPC'!$K$4)),1,0))</f>
        <v/>
      </c>
      <c r="C2243">
        <f>C2242+B2243</f>
        <v/>
      </c>
      <c r="D2243">
        <f>IF(B2243=1,INDEX('Data Entry'!$H$5:$BE$10004,2243-4,'Visual SPC'!$B$3),"")</f>
        <v/>
      </c>
      <c r="E2243">
        <f>IF(B2243=1,D2243,E2242)</f>
        <v/>
      </c>
      <c r="F2243">
        <f>IF(AND(B2243=1,C2243&gt;1,E2242&lt;&gt;""),ABS(D2243-E2242),"")</f>
        <v/>
      </c>
    </row>
    <row r="2244">
      <c r="A2244" t="n">
        <v>2244</v>
      </c>
      <c r="B2244">
        <f>IF(INDEX('Data Entry'!$H$5:$BE$10004,2244-4,'Visual SPC'!$B$3)="",0,IF(AND(OR('Visual SPC'!$C$4="",'Data Entry'!$C2244&gt;='Visual SPC'!$C$4),OR('Visual SPC'!$E$4="",'Data Entry'!$C2244&lt;='Visual SPC'!$E$4),OR('Visual SPC'!$G$4="",'Data Entry'!$D2244='Visual SPC'!$G$4),OR('Visual SPC'!$I$4="",'Data Entry'!$E2244='Visual SPC'!$I$4),OR('Visual SPC'!$K$4="",'Data Entry'!$F2244='Visual SPC'!$K$4)),1,0))</f>
        <v/>
      </c>
      <c r="C2244">
        <f>C2243+B2244</f>
        <v/>
      </c>
      <c r="D2244">
        <f>IF(B2244=1,INDEX('Data Entry'!$H$5:$BE$10004,2244-4,'Visual SPC'!$B$3),"")</f>
        <v/>
      </c>
      <c r="E2244">
        <f>IF(B2244=1,D2244,E2243)</f>
        <v/>
      </c>
      <c r="F2244">
        <f>IF(AND(B2244=1,C2244&gt;1,E2243&lt;&gt;""),ABS(D2244-E2243),"")</f>
        <v/>
      </c>
    </row>
    <row r="2245">
      <c r="A2245" t="n">
        <v>2245</v>
      </c>
      <c r="B2245">
        <f>IF(INDEX('Data Entry'!$H$5:$BE$10004,2245-4,'Visual SPC'!$B$3)="",0,IF(AND(OR('Visual SPC'!$C$4="",'Data Entry'!$C2245&gt;='Visual SPC'!$C$4),OR('Visual SPC'!$E$4="",'Data Entry'!$C2245&lt;='Visual SPC'!$E$4),OR('Visual SPC'!$G$4="",'Data Entry'!$D2245='Visual SPC'!$G$4),OR('Visual SPC'!$I$4="",'Data Entry'!$E2245='Visual SPC'!$I$4),OR('Visual SPC'!$K$4="",'Data Entry'!$F2245='Visual SPC'!$K$4)),1,0))</f>
        <v/>
      </c>
      <c r="C2245">
        <f>C2244+B2245</f>
        <v/>
      </c>
      <c r="D2245">
        <f>IF(B2245=1,INDEX('Data Entry'!$H$5:$BE$10004,2245-4,'Visual SPC'!$B$3),"")</f>
        <v/>
      </c>
      <c r="E2245">
        <f>IF(B2245=1,D2245,E2244)</f>
        <v/>
      </c>
      <c r="F2245">
        <f>IF(AND(B2245=1,C2245&gt;1,E2244&lt;&gt;""),ABS(D2245-E2244),"")</f>
        <v/>
      </c>
    </row>
    <row r="2246">
      <c r="A2246" t="n">
        <v>2246</v>
      </c>
      <c r="B2246">
        <f>IF(INDEX('Data Entry'!$H$5:$BE$10004,2246-4,'Visual SPC'!$B$3)="",0,IF(AND(OR('Visual SPC'!$C$4="",'Data Entry'!$C2246&gt;='Visual SPC'!$C$4),OR('Visual SPC'!$E$4="",'Data Entry'!$C2246&lt;='Visual SPC'!$E$4),OR('Visual SPC'!$G$4="",'Data Entry'!$D2246='Visual SPC'!$G$4),OR('Visual SPC'!$I$4="",'Data Entry'!$E2246='Visual SPC'!$I$4),OR('Visual SPC'!$K$4="",'Data Entry'!$F2246='Visual SPC'!$K$4)),1,0))</f>
        <v/>
      </c>
      <c r="C2246">
        <f>C2245+B2246</f>
        <v/>
      </c>
      <c r="D2246">
        <f>IF(B2246=1,INDEX('Data Entry'!$H$5:$BE$10004,2246-4,'Visual SPC'!$B$3),"")</f>
        <v/>
      </c>
      <c r="E2246">
        <f>IF(B2246=1,D2246,E2245)</f>
        <v/>
      </c>
      <c r="F2246">
        <f>IF(AND(B2246=1,C2246&gt;1,E2245&lt;&gt;""),ABS(D2246-E2245),"")</f>
        <v/>
      </c>
    </row>
    <row r="2247">
      <c r="A2247" t="n">
        <v>2247</v>
      </c>
      <c r="B2247">
        <f>IF(INDEX('Data Entry'!$H$5:$BE$10004,2247-4,'Visual SPC'!$B$3)="",0,IF(AND(OR('Visual SPC'!$C$4="",'Data Entry'!$C2247&gt;='Visual SPC'!$C$4),OR('Visual SPC'!$E$4="",'Data Entry'!$C2247&lt;='Visual SPC'!$E$4),OR('Visual SPC'!$G$4="",'Data Entry'!$D2247='Visual SPC'!$G$4),OR('Visual SPC'!$I$4="",'Data Entry'!$E2247='Visual SPC'!$I$4),OR('Visual SPC'!$K$4="",'Data Entry'!$F2247='Visual SPC'!$K$4)),1,0))</f>
        <v/>
      </c>
      <c r="C2247">
        <f>C2246+B2247</f>
        <v/>
      </c>
      <c r="D2247">
        <f>IF(B2247=1,INDEX('Data Entry'!$H$5:$BE$10004,2247-4,'Visual SPC'!$B$3),"")</f>
        <v/>
      </c>
      <c r="E2247">
        <f>IF(B2247=1,D2247,E2246)</f>
        <v/>
      </c>
      <c r="F2247">
        <f>IF(AND(B2247=1,C2247&gt;1,E2246&lt;&gt;""),ABS(D2247-E2246),"")</f>
        <v/>
      </c>
    </row>
    <row r="2248">
      <c r="A2248" t="n">
        <v>2248</v>
      </c>
      <c r="B2248">
        <f>IF(INDEX('Data Entry'!$H$5:$BE$10004,2248-4,'Visual SPC'!$B$3)="",0,IF(AND(OR('Visual SPC'!$C$4="",'Data Entry'!$C2248&gt;='Visual SPC'!$C$4),OR('Visual SPC'!$E$4="",'Data Entry'!$C2248&lt;='Visual SPC'!$E$4),OR('Visual SPC'!$G$4="",'Data Entry'!$D2248='Visual SPC'!$G$4),OR('Visual SPC'!$I$4="",'Data Entry'!$E2248='Visual SPC'!$I$4),OR('Visual SPC'!$K$4="",'Data Entry'!$F2248='Visual SPC'!$K$4)),1,0))</f>
        <v/>
      </c>
      <c r="C2248">
        <f>C2247+B2248</f>
        <v/>
      </c>
      <c r="D2248">
        <f>IF(B2248=1,INDEX('Data Entry'!$H$5:$BE$10004,2248-4,'Visual SPC'!$B$3),"")</f>
        <v/>
      </c>
      <c r="E2248">
        <f>IF(B2248=1,D2248,E2247)</f>
        <v/>
      </c>
      <c r="F2248">
        <f>IF(AND(B2248=1,C2248&gt;1,E2247&lt;&gt;""),ABS(D2248-E2247),"")</f>
        <v/>
      </c>
    </row>
    <row r="2249">
      <c r="A2249" t="n">
        <v>2249</v>
      </c>
      <c r="B2249">
        <f>IF(INDEX('Data Entry'!$H$5:$BE$10004,2249-4,'Visual SPC'!$B$3)="",0,IF(AND(OR('Visual SPC'!$C$4="",'Data Entry'!$C2249&gt;='Visual SPC'!$C$4),OR('Visual SPC'!$E$4="",'Data Entry'!$C2249&lt;='Visual SPC'!$E$4),OR('Visual SPC'!$G$4="",'Data Entry'!$D2249='Visual SPC'!$G$4),OR('Visual SPC'!$I$4="",'Data Entry'!$E2249='Visual SPC'!$I$4),OR('Visual SPC'!$K$4="",'Data Entry'!$F2249='Visual SPC'!$K$4)),1,0))</f>
        <v/>
      </c>
      <c r="C2249">
        <f>C2248+B2249</f>
        <v/>
      </c>
      <c r="D2249">
        <f>IF(B2249=1,INDEX('Data Entry'!$H$5:$BE$10004,2249-4,'Visual SPC'!$B$3),"")</f>
        <v/>
      </c>
      <c r="E2249">
        <f>IF(B2249=1,D2249,E2248)</f>
        <v/>
      </c>
      <c r="F2249">
        <f>IF(AND(B2249=1,C2249&gt;1,E2248&lt;&gt;""),ABS(D2249-E2248),"")</f>
        <v/>
      </c>
    </row>
    <row r="2250">
      <c r="A2250" t="n">
        <v>2250</v>
      </c>
      <c r="B2250">
        <f>IF(INDEX('Data Entry'!$H$5:$BE$10004,2250-4,'Visual SPC'!$B$3)="",0,IF(AND(OR('Visual SPC'!$C$4="",'Data Entry'!$C2250&gt;='Visual SPC'!$C$4),OR('Visual SPC'!$E$4="",'Data Entry'!$C2250&lt;='Visual SPC'!$E$4),OR('Visual SPC'!$G$4="",'Data Entry'!$D2250='Visual SPC'!$G$4),OR('Visual SPC'!$I$4="",'Data Entry'!$E2250='Visual SPC'!$I$4),OR('Visual SPC'!$K$4="",'Data Entry'!$F2250='Visual SPC'!$K$4)),1,0))</f>
        <v/>
      </c>
      <c r="C2250">
        <f>C2249+B2250</f>
        <v/>
      </c>
      <c r="D2250">
        <f>IF(B2250=1,INDEX('Data Entry'!$H$5:$BE$10004,2250-4,'Visual SPC'!$B$3),"")</f>
        <v/>
      </c>
      <c r="E2250">
        <f>IF(B2250=1,D2250,E2249)</f>
        <v/>
      </c>
      <c r="F2250">
        <f>IF(AND(B2250=1,C2250&gt;1,E2249&lt;&gt;""),ABS(D2250-E2249),"")</f>
        <v/>
      </c>
    </row>
    <row r="2251">
      <c r="A2251" t="n">
        <v>2251</v>
      </c>
      <c r="B2251">
        <f>IF(INDEX('Data Entry'!$H$5:$BE$10004,2251-4,'Visual SPC'!$B$3)="",0,IF(AND(OR('Visual SPC'!$C$4="",'Data Entry'!$C2251&gt;='Visual SPC'!$C$4),OR('Visual SPC'!$E$4="",'Data Entry'!$C2251&lt;='Visual SPC'!$E$4),OR('Visual SPC'!$G$4="",'Data Entry'!$D2251='Visual SPC'!$G$4),OR('Visual SPC'!$I$4="",'Data Entry'!$E2251='Visual SPC'!$I$4),OR('Visual SPC'!$K$4="",'Data Entry'!$F2251='Visual SPC'!$K$4)),1,0))</f>
        <v/>
      </c>
      <c r="C2251">
        <f>C2250+B2251</f>
        <v/>
      </c>
      <c r="D2251">
        <f>IF(B2251=1,INDEX('Data Entry'!$H$5:$BE$10004,2251-4,'Visual SPC'!$B$3),"")</f>
        <v/>
      </c>
      <c r="E2251">
        <f>IF(B2251=1,D2251,E2250)</f>
        <v/>
      </c>
      <c r="F2251">
        <f>IF(AND(B2251=1,C2251&gt;1,E2250&lt;&gt;""),ABS(D2251-E2250),"")</f>
        <v/>
      </c>
    </row>
    <row r="2252">
      <c r="A2252" t="n">
        <v>2252</v>
      </c>
      <c r="B2252">
        <f>IF(INDEX('Data Entry'!$H$5:$BE$10004,2252-4,'Visual SPC'!$B$3)="",0,IF(AND(OR('Visual SPC'!$C$4="",'Data Entry'!$C2252&gt;='Visual SPC'!$C$4),OR('Visual SPC'!$E$4="",'Data Entry'!$C2252&lt;='Visual SPC'!$E$4),OR('Visual SPC'!$G$4="",'Data Entry'!$D2252='Visual SPC'!$G$4),OR('Visual SPC'!$I$4="",'Data Entry'!$E2252='Visual SPC'!$I$4),OR('Visual SPC'!$K$4="",'Data Entry'!$F2252='Visual SPC'!$K$4)),1,0))</f>
        <v/>
      </c>
      <c r="C2252">
        <f>C2251+B2252</f>
        <v/>
      </c>
      <c r="D2252">
        <f>IF(B2252=1,INDEX('Data Entry'!$H$5:$BE$10004,2252-4,'Visual SPC'!$B$3),"")</f>
        <v/>
      </c>
      <c r="E2252">
        <f>IF(B2252=1,D2252,E2251)</f>
        <v/>
      </c>
      <c r="F2252">
        <f>IF(AND(B2252=1,C2252&gt;1,E2251&lt;&gt;""),ABS(D2252-E2251),"")</f>
        <v/>
      </c>
    </row>
    <row r="2253">
      <c r="A2253" t="n">
        <v>2253</v>
      </c>
      <c r="B2253">
        <f>IF(INDEX('Data Entry'!$H$5:$BE$10004,2253-4,'Visual SPC'!$B$3)="",0,IF(AND(OR('Visual SPC'!$C$4="",'Data Entry'!$C2253&gt;='Visual SPC'!$C$4),OR('Visual SPC'!$E$4="",'Data Entry'!$C2253&lt;='Visual SPC'!$E$4),OR('Visual SPC'!$G$4="",'Data Entry'!$D2253='Visual SPC'!$G$4),OR('Visual SPC'!$I$4="",'Data Entry'!$E2253='Visual SPC'!$I$4),OR('Visual SPC'!$K$4="",'Data Entry'!$F2253='Visual SPC'!$K$4)),1,0))</f>
        <v/>
      </c>
      <c r="C2253">
        <f>C2252+B2253</f>
        <v/>
      </c>
      <c r="D2253">
        <f>IF(B2253=1,INDEX('Data Entry'!$H$5:$BE$10004,2253-4,'Visual SPC'!$B$3),"")</f>
        <v/>
      </c>
      <c r="E2253">
        <f>IF(B2253=1,D2253,E2252)</f>
        <v/>
      </c>
      <c r="F2253">
        <f>IF(AND(B2253=1,C2253&gt;1,E2252&lt;&gt;""),ABS(D2253-E2252),"")</f>
        <v/>
      </c>
    </row>
    <row r="2254">
      <c r="A2254" t="n">
        <v>2254</v>
      </c>
      <c r="B2254">
        <f>IF(INDEX('Data Entry'!$H$5:$BE$10004,2254-4,'Visual SPC'!$B$3)="",0,IF(AND(OR('Visual SPC'!$C$4="",'Data Entry'!$C2254&gt;='Visual SPC'!$C$4),OR('Visual SPC'!$E$4="",'Data Entry'!$C2254&lt;='Visual SPC'!$E$4),OR('Visual SPC'!$G$4="",'Data Entry'!$D2254='Visual SPC'!$G$4),OR('Visual SPC'!$I$4="",'Data Entry'!$E2254='Visual SPC'!$I$4),OR('Visual SPC'!$K$4="",'Data Entry'!$F2254='Visual SPC'!$K$4)),1,0))</f>
        <v/>
      </c>
      <c r="C2254">
        <f>C2253+B2254</f>
        <v/>
      </c>
      <c r="D2254">
        <f>IF(B2254=1,INDEX('Data Entry'!$H$5:$BE$10004,2254-4,'Visual SPC'!$B$3),"")</f>
        <v/>
      </c>
      <c r="E2254">
        <f>IF(B2254=1,D2254,E2253)</f>
        <v/>
      </c>
      <c r="F2254">
        <f>IF(AND(B2254=1,C2254&gt;1,E2253&lt;&gt;""),ABS(D2254-E2253),"")</f>
        <v/>
      </c>
    </row>
    <row r="2255">
      <c r="A2255" t="n">
        <v>2255</v>
      </c>
      <c r="B2255">
        <f>IF(INDEX('Data Entry'!$H$5:$BE$10004,2255-4,'Visual SPC'!$B$3)="",0,IF(AND(OR('Visual SPC'!$C$4="",'Data Entry'!$C2255&gt;='Visual SPC'!$C$4),OR('Visual SPC'!$E$4="",'Data Entry'!$C2255&lt;='Visual SPC'!$E$4),OR('Visual SPC'!$G$4="",'Data Entry'!$D2255='Visual SPC'!$G$4),OR('Visual SPC'!$I$4="",'Data Entry'!$E2255='Visual SPC'!$I$4),OR('Visual SPC'!$K$4="",'Data Entry'!$F2255='Visual SPC'!$K$4)),1,0))</f>
        <v/>
      </c>
      <c r="C2255">
        <f>C2254+B2255</f>
        <v/>
      </c>
      <c r="D2255">
        <f>IF(B2255=1,INDEX('Data Entry'!$H$5:$BE$10004,2255-4,'Visual SPC'!$B$3),"")</f>
        <v/>
      </c>
      <c r="E2255">
        <f>IF(B2255=1,D2255,E2254)</f>
        <v/>
      </c>
      <c r="F2255">
        <f>IF(AND(B2255=1,C2255&gt;1,E2254&lt;&gt;""),ABS(D2255-E2254),"")</f>
        <v/>
      </c>
    </row>
    <row r="2256">
      <c r="A2256" t="n">
        <v>2256</v>
      </c>
      <c r="B2256">
        <f>IF(INDEX('Data Entry'!$H$5:$BE$10004,2256-4,'Visual SPC'!$B$3)="",0,IF(AND(OR('Visual SPC'!$C$4="",'Data Entry'!$C2256&gt;='Visual SPC'!$C$4),OR('Visual SPC'!$E$4="",'Data Entry'!$C2256&lt;='Visual SPC'!$E$4),OR('Visual SPC'!$G$4="",'Data Entry'!$D2256='Visual SPC'!$G$4),OR('Visual SPC'!$I$4="",'Data Entry'!$E2256='Visual SPC'!$I$4),OR('Visual SPC'!$K$4="",'Data Entry'!$F2256='Visual SPC'!$K$4)),1,0))</f>
        <v/>
      </c>
      <c r="C2256">
        <f>C2255+B2256</f>
        <v/>
      </c>
      <c r="D2256">
        <f>IF(B2256=1,INDEX('Data Entry'!$H$5:$BE$10004,2256-4,'Visual SPC'!$B$3),"")</f>
        <v/>
      </c>
      <c r="E2256">
        <f>IF(B2256=1,D2256,E2255)</f>
        <v/>
      </c>
      <c r="F2256">
        <f>IF(AND(B2256=1,C2256&gt;1,E2255&lt;&gt;""),ABS(D2256-E2255),"")</f>
        <v/>
      </c>
    </row>
    <row r="2257">
      <c r="A2257" t="n">
        <v>2257</v>
      </c>
      <c r="B2257">
        <f>IF(INDEX('Data Entry'!$H$5:$BE$10004,2257-4,'Visual SPC'!$B$3)="",0,IF(AND(OR('Visual SPC'!$C$4="",'Data Entry'!$C2257&gt;='Visual SPC'!$C$4),OR('Visual SPC'!$E$4="",'Data Entry'!$C2257&lt;='Visual SPC'!$E$4),OR('Visual SPC'!$G$4="",'Data Entry'!$D2257='Visual SPC'!$G$4),OR('Visual SPC'!$I$4="",'Data Entry'!$E2257='Visual SPC'!$I$4),OR('Visual SPC'!$K$4="",'Data Entry'!$F2257='Visual SPC'!$K$4)),1,0))</f>
        <v/>
      </c>
      <c r="C2257">
        <f>C2256+B2257</f>
        <v/>
      </c>
      <c r="D2257">
        <f>IF(B2257=1,INDEX('Data Entry'!$H$5:$BE$10004,2257-4,'Visual SPC'!$B$3),"")</f>
        <v/>
      </c>
      <c r="E2257">
        <f>IF(B2257=1,D2257,E2256)</f>
        <v/>
      </c>
      <c r="F2257">
        <f>IF(AND(B2257=1,C2257&gt;1,E2256&lt;&gt;""),ABS(D2257-E2256),"")</f>
        <v/>
      </c>
    </row>
    <row r="2258">
      <c r="A2258" t="n">
        <v>2258</v>
      </c>
      <c r="B2258">
        <f>IF(INDEX('Data Entry'!$H$5:$BE$10004,2258-4,'Visual SPC'!$B$3)="",0,IF(AND(OR('Visual SPC'!$C$4="",'Data Entry'!$C2258&gt;='Visual SPC'!$C$4),OR('Visual SPC'!$E$4="",'Data Entry'!$C2258&lt;='Visual SPC'!$E$4),OR('Visual SPC'!$G$4="",'Data Entry'!$D2258='Visual SPC'!$G$4),OR('Visual SPC'!$I$4="",'Data Entry'!$E2258='Visual SPC'!$I$4),OR('Visual SPC'!$K$4="",'Data Entry'!$F2258='Visual SPC'!$K$4)),1,0))</f>
        <v/>
      </c>
      <c r="C2258">
        <f>C2257+B2258</f>
        <v/>
      </c>
      <c r="D2258">
        <f>IF(B2258=1,INDEX('Data Entry'!$H$5:$BE$10004,2258-4,'Visual SPC'!$B$3),"")</f>
        <v/>
      </c>
      <c r="E2258">
        <f>IF(B2258=1,D2258,E2257)</f>
        <v/>
      </c>
      <c r="F2258">
        <f>IF(AND(B2258=1,C2258&gt;1,E2257&lt;&gt;""),ABS(D2258-E2257),"")</f>
        <v/>
      </c>
    </row>
    <row r="2259">
      <c r="A2259" t="n">
        <v>2259</v>
      </c>
      <c r="B2259">
        <f>IF(INDEX('Data Entry'!$H$5:$BE$10004,2259-4,'Visual SPC'!$B$3)="",0,IF(AND(OR('Visual SPC'!$C$4="",'Data Entry'!$C2259&gt;='Visual SPC'!$C$4),OR('Visual SPC'!$E$4="",'Data Entry'!$C2259&lt;='Visual SPC'!$E$4),OR('Visual SPC'!$G$4="",'Data Entry'!$D2259='Visual SPC'!$G$4),OR('Visual SPC'!$I$4="",'Data Entry'!$E2259='Visual SPC'!$I$4),OR('Visual SPC'!$K$4="",'Data Entry'!$F2259='Visual SPC'!$K$4)),1,0))</f>
        <v/>
      </c>
      <c r="C2259">
        <f>C2258+B2259</f>
        <v/>
      </c>
      <c r="D2259">
        <f>IF(B2259=1,INDEX('Data Entry'!$H$5:$BE$10004,2259-4,'Visual SPC'!$B$3),"")</f>
        <v/>
      </c>
      <c r="E2259">
        <f>IF(B2259=1,D2259,E2258)</f>
        <v/>
      </c>
      <c r="F2259">
        <f>IF(AND(B2259=1,C2259&gt;1,E2258&lt;&gt;""),ABS(D2259-E2258),"")</f>
        <v/>
      </c>
    </row>
    <row r="2260">
      <c r="A2260" t="n">
        <v>2260</v>
      </c>
      <c r="B2260">
        <f>IF(INDEX('Data Entry'!$H$5:$BE$10004,2260-4,'Visual SPC'!$B$3)="",0,IF(AND(OR('Visual SPC'!$C$4="",'Data Entry'!$C2260&gt;='Visual SPC'!$C$4),OR('Visual SPC'!$E$4="",'Data Entry'!$C2260&lt;='Visual SPC'!$E$4),OR('Visual SPC'!$G$4="",'Data Entry'!$D2260='Visual SPC'!$G$4),OR('Visual SPC'!$I$4="",'Data Entry'!$E2260='Visual SPC'!$I$4),OR('Visual SPC'!$K$4="",'Data Entry'!$F2260='Visual SPC'!$K$4)),1,0))</f>
        <v/>
      </c>
      <c r="C2260">
        <f>C2259+B2260</f>
        <v/>
      </c>
      <c r="D2260">
        <f>IF(B2260=1,INDEX('Data Entry'!$H$5:$BE$10004,2260-4,'Visual SPC'!$B$3),"")</f>
        <v/>
      </c>
      <c r="E2260">
        <f>IF(B2260=1,D2260,E2259)</f>
        <v/>
      </c>
      <c r="F2260">
        <f>IF(AND(B2260=1,C2260&gt;1,E2259&lt;&gt;""),ABS(D2260-E2259),"")</f>
        <v/>
      </c>
    </row>
    <row r="2261">
      <c r="A2261" t="n">
        <v>2261</v>
      </c>
      <c r="B2261">
        <f>IF(INDEX('Data Entry'!$H$5:$BE$10004,2261-4,'Visual SPC'!$B$3)="",0,IF(AND(OR('Visual SPC'!$C$4="",'Data Entry'!$C2261&gt;='Visual SPC'!$C$4),OR('Visual SPC'!$E$4="",'Data Entry'!$C2261&lt;='Visual SPC'!$E$4),OR('Visual SPC'!$G$4="",'Data Entry'!$D2261='Visual SPC'!$G$4),OR('Visual SPC'!$I$4="",'Data Entry'!$E2261='Visual SPC'!$I$4),OR('Visual SPC'!$K$4="",'Data Entry'!$F2261='Visual SPC'!$K$4)),1,0))</f>
        <v/>
      </c>
      <c r="C2261">
        <f>C2260+B2261</f>
        <v/>
      </c>
      <c r="D2261">
        <f>IF(B2261=1,INDEX('Data Entry'!$H$5:$BE$10004,2261-4,'Visual SPC'!$B$3),"")</f>
        <v/>
      </c>
      <c r="E2261">
        <f>IF(B2261=1,D2261,E2260)</f>
        <v/>
      </c>
      <c r="F2261">
        <f>IF(AND(B2261=1,C2261&gt;1,E2260&lt;&gt;""),ABS(D2261-E2260),"")</f>
        <v/>
      </c>
    </row>
    <row r="2262">
      <c r="A2262" t="n">
        <v>2262</v>
      </c>
      <c r="B2262">
        <f>IF(INDEX('Data Entry'!$H$5:$BE$10004,2262-4,'Visual SPC'!$B$3)="",0,IF(AND(OR('Visual SPC'!$C$4="",'Data Entry'!$C2262&gt;='Visual SPC'!$C$4),OR('Visual SPC'!$E$4="",'Data Entry'!$C2262&lt;='Visual SPC'!$E$4),OR('Visual SPC'!$G$4="",'Data Entry'!$D2262='Visual SPC'!$G$4),OR('Visual SPC'!$I$4="",'Data Entry'!$E2262='Visual SPC'!$I$4),OR('Visual SPC'!$K$4="",'Data Entry'!$F2262='Visual SPC'!$K$4)),1,0))</f>
        <v/>
      </c>
      <c r="C2262">
        <f>C2261+B2262</f>
        <v/>
      </c>
      <c r="D2262">
        <f>IF(B2262=1,INDEX('Data Entry'!$H$5:$BE$10004,2262-4,'Visual SPC'!$B$3),"")</f>
        <v/>
      </c>
      <c r="E2262">
        <f>IF(B2262=1,D2262,E2261)</f>
        <v/>
      </c>
      <c r="F2262">
        <f>IF(AND(B2262=1,C2262&gt;1,E2261&lt;&gt;""),ABS(D2262-E2261),"")</f>
        <v/>
      </c>
    </row>
    <row r="2263">
      <c r="A2263" t="n">
        <v>2263</v>
      </c>
      <c r="B2263">
        <f>IF(INDEX('Data Entry'!$H$5:$BE$10004,2263-4,'Visual SPC'!$B$3)="",0,IF(AND(OR('Visual SPC'!$C$4="",'Data Entry'!$C2263&gt;='Visual SPC'!$C$4),OR('Visual SPC'!$E$4="",'Data Entry'!$C2263&lt;='Visual SPC'!$E$4),OR('Visual SPC'!$G$4="",'Data Entry'!$D2263='Visual SPC'!$G$4),OR('Visual SPC'!$I$4="",'Data Entry'!$E2263='Visual SPC'!$I$4),OR('Visual SPC'!$K$4="",'Data Entry'!$F2263='Visual SPC'!$K$4)),1,0))</f>
        <v/>
      </c>
      <c r="C2263">
        <f>C2262+B2263</f>
        <v/>
      </c>
      <c r="D2263">
        <f>IF(B2263=1,INDEX('Data Entry'!$H$5:$BE$10004,2263-4,'Visual SPC'!$B$3),"")</f>
        <v/>
      </c>
      <c r="E2263">
        <f>IF(B2263=1,D2263,E2262)</f>
        <v/>
      </c>
      <c r="F2263">
        <f>IF(AND(B2263=1,C2263&gt;1,E2262&lt;&gt;""),ABS(D2263-E2262),"")</f>
        <v/>
      </c>
    </row>
    <row r="2264">
      <c r="A2264" t="n">
        <v>2264</v>
      </c>
      <c r="B2264">
        <f>IF(INDEX('Data Entry'!$H$5:$BE$10004,2264-4,'Visual SPC'!$B$3)="",0,IF(AND(OR('Visual SPC'!$C$4="",'Data Entry'!$C2264&gt;='Visual SPC'!$C$4),OR('Visual SPC'!$E$4="",'Data Entry'!$C2264&lt;='Visual SPC'!$E$4),OR('Visual SPC'!$G$4="",'Data Entry'!$D2264='Visual SPC'!$G$4),OR('Visual SPC'!$I$4="",'Data Entry'!$E2264='Visual SPC'!$I$4),OR('Visual SPC'!$K$4="",'Data Entry'!$F2264='Visual SPC'!$K$4)),1,0))</f>
        <v/>
      </c>
      <c r="C2264">
        <f>C2263+B2264</f>
        <v/>
      </c>
      <c r="D2264">
        <f>IF(B2264=1,INDEX('Data Entry'!$H$5:$BE$10004,2264-4,'Visual SPC'!$B$3),"")</f>
        <v/>
      </c>
      <c r="E2264">
        <f>IF(B2264=1,D2264,E2263)</f>
        <v/>
      </c>
      <c r="F2264">
        <f>IF(AND(B2264=1,C2264&gt;1,E2263&lt;&gt;""),ABS(D2264-E2263),"")</f>
        <v/>
      </c>
    </row>
    <row r="2265">
      <c r="A2265" t="n">
        <v>2265</v>
      </c>
      <c r="B2265">
        <f>IF(INDEX('Data Entry'!$H$5:$BE$10004,2265-4,'Visual SPC'!$B$3)="",0,IF(AND(OR('Visual SPC'!$C$4="",'Data Entry'!$C2265&gt;='Visual SPC'!$C$4),OR('Visual SPC'!$E$4="",'Data Entry'!$C2265&lt;='Visual SPC'!$E$4),OR('Visual SPC'!$G$4="",'Data Entry'!$D2265='Visual SPC'!$G$4),OR('Visual SPC'!$I$4="",'Data Entry'!$E2265='Visual SPC'!$I$4),OR('Visual SPC'!$K$4="",'Data Entry'!$F2265='Visual SPC'!$K$4)),1,0))</f>
        <v/>
      </c>
      <c r="C2265">
        <f>C2264+B2265</f>
        <v/>
      </c>
      <c r="D2265">
        <f>IF(B2265=1,INDEX('Data Entry'!$H$5:$BE$10004,2265-4,'Visual SPC'!$B$3),"")</f>
        <v/>
      </c>
      <c r="E2265">
        <f>IF(B2265=1,D2265,E2264)</f>
        <v/>
      </c>
      <c r="F2265">
        <f>IF(AND(B2265=1,C2265&gt;1,E2264&lt;&gt;""),ABS(D2265-E2264),"")</f>
        <v/>
      </c>
    </row>
    <row r="2266">
      <c r="A2266" t="n">
        <v>2266</v>
      </c>
      <c r="B2266">
        <f>IF(INDEX('Data Entry'!$H$5:$BE$10004,2266-4,'Visual SPC'!$B$3)="",0,IF(AND(OR('Visual SPC'!$C$4="",'Data Entry'!$C2266&gt;='Visual SPC'!$C$4),OR('Visual SPC'!$E$4="",'Data Entry'!$C2266&lt;='Visual SPC'!$E$4),OR('Visual SPC'!$G$4="",'Data Entry'!$D2266='Visual SPC'!$G$4),OR('Visual SPC'!$I$4="",'Data Entry'!$E2266='Visual SPC'!$I$4),OR('Visual SPC'!$K$4="",'Data Entry'!$F2266='Visual SPC'!$K$4)),1,0))</f>
        <v/>
      </c>
      <c r="C2266">
        <f>C2265+B2266</f>
        <v/>
      </c>
      <c r="D2266">
        <f>IF(B2266=1,INDEX('Data Entry'!$H$5:$BE$10004,2266-4,'Visual SPC'!$B$3),"")</f>
        <v/>
      </c>
      <c r="E2266">
        <f>IF(B2266=1,D2266,E2265)</f>
        <v/>
      </c>
      <c r="F2266">
        <f>IF(AND(B2266=1,C2266&gt;1,E2265&lt;&gt;""),ABS(D2266-E2265),"")</f>
        <v/>
      </c>
    </row>
    <row r="2267">
      <c r="A2267" t="n">
        <v>2267</v>
      </c>
      <c r="B2267">
        <f>IF(INDEX('Data Entry'!$H$5:$BE$10004,2267-4,'Visual SPC'!$B$3)="",0,IF(AND(OR('Visual SPC'!$C$4="",'Data Entry'!$C2267&gt;='Visual SPC'!$C$4),OR('Visual SPC'!$E$4="",'Data Entry'!$C2267&lt;='Visual SPC'!$E$4),OR('Visual SPC'!$G$4="",'Data Entry'!$D2267='Visual SPC'!$G$4),OR('Visual SPC'!$I$4="",'Data Entry'!$E2267='Visual SPC'!$I$4),OR('Visual SPC'!$K$4="",'Data Entry'!$F2267='Visual SPC'!$K$4)),1,0))</f>
        <v/>
      </c>
      <c r="C2267">
        <f>C2266+B2267</f>
        <v/>
      </c>
      <c r="D2267">
        <f>IF(B2267=1,INDEX('Data Entry'!$H$5:$BE$10004,2267-4,'Visual SPC'!$B$3),"")</f>
        <v/>
      </c>
      <c r="E2267">
        <f>IF(B2267=1,D2267,E2266)</f>
        <v/>
      </c>
      <c r="F2267">
        <f>IF(AND(B2267=1,C2267&gt;1,E2266&lt;&gt;""),ABS(D2267-E2266),"")</f>
        <v/>
      </c>
    </row>
    <row r="2268">
      <c r="A2268" t="n">
        <v>2268</v>
      </c>
      <c r="B2268">
        <f>IF(INDEX('Data Entry'!$H$5:$BE$10004,2268-4,'Visual SPC'!$B$3)="",0,IF(AND(OR('Visual SPC'!$C$4="",'Data Entry'!$C2268&gt;='Visual SPC'!$C$4),OR('Visual SPC'!$E$4="",'Data Entry'!$C2268&lt;='Visual SPC'!$E$4),OR('Visual SPC'!$G$4="",'Data Entry'!$D2268='Visual SPC'!$G$4),OR('Visual SPC'!$I$4="",'Data Entry'!$E2268='Visual SPC'!$I$4),OR('Visual SPC'!$K$4="",'Data Entry'!$F2268='Visual SPC'!$K$4)),1,0))</f>
        <v/>
      </c>
      <c r="C2268">
        <f>C2267+B2268</f>
        <v/>
      </c>
      <c r="D2268">
        <f>IF(B2268=1,INDEX('Data Entry'!$H$5:$BE$10004,2268-4,'Visual SPC'!$B$3),"")</f>
        <v/>
      </c>
      <c r="E2268">
        <f>IF(B2268=1,D2268,E2267)</f>
        <v/>
      </c>
      <c r="F2268">
        <f>IF(AND(B2268=1,C2268&gt;1,E2267&lt;&gt;""),ABS(D2268-E2267),"")</f>
        <v/>
      </c>
    </row>
    <row r="2269">
      <c r="A2269" t="n">
        <v>2269</v>
      </c>
      <c r="B2269">
        <f>IF(INDEX('Data Entry'!$H$5:$BE$10004,2269-4,'Visual SPC'!$B$3)="",0,IF(AND(OR('Visual SPC'!$C$4="",'Data Entry'!$C2269&gt;='Visual SPC'!$C$4),OR('Visual SPC'!$E$4="",'Data Entry'!$C2269&lt;='Visual SPC'!$E$4),OR('Visual SPC'!$G$4="",'Data Entry'!$D2269='Visual SPC'!$G$4),OR('Visual SPC'!$I$4="",'Data Entry'!$E2269='Visual SPC'!$I$4),OR('Visual SPC'!$K$4="",'Data Entry'!$F2269='Visual SPC'!$K$4)),1,0))</f>
        <v/>
      </c>
      <c r="C2269">
        <f>C2268+B2269</f>
        <v/>
      </c>
      <c r="D2269">
        <f>IF(B2269=1,INDEX('Data Entry'!$H$5:$BE$10004,2269-4,'Visual SPC'!$B$3),"")</f>
        <v/>
      </c>
      <c r="E2269">
        <f>IF(B2269=1,D2269,E2268)</f>
        <v/>
      </c>
      <c r="F2269">
        <f>IF(AND(B2269=1,C2269&gt;1,E2268&lt;&gt;""),ABS(D2269-E2268),"")</f>
        <v/>
      </c>
    </row>
    <row r="2270">
      <c r="A2270" t="n">
        <v>2270</v>
      </c>
      <c r="B2270">
        <f>IF(INDEX('Data Entry'!$H$5:$BE$10004,2270-4,'Visual SPC'!$B$3)="",0,IF(AND(OR('Visual SPC'!$C$4="",'Data Entry'!$C2270&gt;='Visual SPC'!$C$4),OR('Visual SPC'!$E$4="",'Data Entry'!$C2270&lt;='Visual SPC'!$E$4),OR('Visual SPC'!$G$4="",'Data Entry'!$D2270='Visual SPC'!$G$4),OR('Visual SPC'!$I$4="",'Data Entry'!$E2270='Visual SPC'!$I$4),OR('Visual SPC'!$K$4="",'Data Entry'!$F2270='Visual SPC'!$K$4)),1,0))</f>
        <v/>
      </c>
      <c r="C2270">
        <f>C2269+B2270</f>
        <v/>
      </c>
      <c r="D2270">
        <f>IF(B2270=1,INDEX('Data Entry'!$H$5:$BE$10004,2270-4,'Visual SPC'!$B$3),"")</f>
        <v/>
      </c>
      <c r="E2270">
        <f>IF(B2270=1,D2270,E2269)</f>
        <v/>
      </c>
      <c r="F2270">
        <f>IF(AND(B2270=1,C2270&gt;1,E2269&lt;&gt;""),ABS(D2270-E2269),"")</f>
        <v/>
      </c>
    </row>
    <row r="2271">
      <c r="A2271" t="n">
        <v>2271</v>
      </c>
      <c r="B2271">
        <f>IF(INDEX('Data Entry'!$H$5:$BE$10004,2271-4,'Visual SPC'!$B$3)="",0,IF(AND(OR('Visual SPC'!$C$4="",'Data Entry'!$C2271&gt;='Visual SPC'!$C$4),OR('Visual SPC'!$E$4="",'Data Entry'!$C2271&lt;='Visual SPC'!$E$4),OR('Visual SPC'!$G$4="",'Data Entry'!$D2271='Visual SPC'!$G$4),OR('Visual SPC'!$I$4="",'Data Entry'!$E2271='Visual SPC'!$I$4),OR('Visual SPC'!$K$4="",'Data Entry'!$F2271='Visual SPC'!$K$4)),1,0))</f>
        <v/>
      </c>
      <c r="C2271">
        <f>C2270+B2271</f>
        <v/>
      </c>
      <c r="D2271">
        <f>IF(B2271=1,INDEX('Data Entry'!$H$5:$BE$10004,2271-4,'Visual SPC'!$B$3),"")</f>
        <v/>
      </c>
      <c r="E2271">
        <f>IF(B2271=1,D2271,E2270)</f>
        <v/>
      </c>
      <c r="F2271">
        <f>IF(AND(B2271=1,C2271&gt;1,E2270&lt;&gt;""),ABS(D2271-E2270),"")</f>
        <v/>
      </c>
    </row>
    <row r="2272">
      <c r="A2272" t="n">
        <v>2272</v>
      </c>
      <c r="B2272">
        <f>IF(INDEX('Data Entry'!$H$5:$BE$10004,2272-4,'Visual SPC'!$B$3)="",0,IF(AND(OR('Visual SPC'!$C$4="",'Data Entry'!$C2272&gt;='Visual SPC'!$C$4),OR('Visual SPC'!$E$4="",'Data Entry'!$C2272&lt;='Visual SPC'!$E$4),OR('Visual SPC'!$G$4="",'Data Entry'!$D2272='Visual SPC'!$G$4),OR('Visual SPC'!$I$4="",'Data Entry'!$E2272='Visual SPC'!$I$4),OR('Visual SPC'!$K$4="",'Data Entry'!$F2272='Visual SPC'!$K$4)),1,0))</f>
        <v/>
      </c>
      <c r="C2272">
        <f>C2271+B2272</f>
        <v/>
      </c>
      <c r="D2272">
        <f>IF(B2272=1,INDEX('Data Entry'!$H$5:$BE$10004,2272-4,'Visual SPC'!$B$3),"")</f>
        <v/>
      </c>
      <c r="E2272">
        <f>IF(B2272=1,D2272,E2271)</f>
        <v/>
      </c>
      <c r="F2272">
        <f>IF(AND(B2272=1,C2272&gt;1,E2271&lt;&gt;""),ABS(D2272-E2271),"")</f>
        <v/>
      </c>
    </row>
    <row r="2273">
      <c r="A2273" t="n">
        <v>2273</v>
      </c>
      <c r="B2273">
        <f>IF(INDEX('Data Entry'!$H$5:$BE$10004,2273-4,'Visual SPC'!$B$3)="",0,IF(AND(OR('Visual SPC'!$C$4="",'Data Entry'!$C2273&gt;='Visual SPC'!$C$4),OR('Visual SPC'!$E$4="",'Data Entry'!$C2273&lt;='Visual SPC'!$E$4),OR('Visual SPC'!$G$4="",'Data Entry'!$D2273='Visual SPC'!$G$4),OR('Visual SPC'!$I$4="",'Data Entry'!$E2273='Visual SPC'!$I$4),OR('Visual SPC'!$K$4="",'Data Entry'!$F2273='Visual SPC'!$K$4)),1,0))</f>
        <v/>
      </c>
      <c r="C2273">
        <f>C2272+B2273</f>
        <v/>
      </c>
      <c r="D2273">
        <f>IF(B2273=1,INDEX('Data Entry'!$H$5:$BE$10004,2273-4,'Visual SPC'!$B$3),"")</f>
        <v/>
      </c>
      <c r="E2273">
        <f>IF(B2273=1,D2273,E2272)</f>
        <v/>
      </c>
      <c r="F2273">
        <f>IF(AND(B2273=1,C2273&gt;1,E2272&lt;&gt;""),ABS(D2273-E2272),"")</f>
        <v/>
      </c>
    </row>
    <row r="2274">
      <c r="A2274" t="n">
        <v>2274</v>
      </c>
      <c r="B2274">
        <f>IF(INDEX('Data Entry'!$H$5:$BE$10004,2274-4,'Visual SPC'!$B$3)="",0,IF(AND(OR('Visual SPC'!$C$4="",'Data Entry'!$C2274&gt;='Visual SPC'!$C$4),OR('Visual SPC'!$E$4="",'Data Entry'!$C2274&lt;='Visual SPC'!$E$4),OR('Visual SPC'!$G$4="",'Data Entry'!$D2274='Visual SPC'!$G$4),OR('Visual SPC'!$I$4="",'Data Entry'!$E2274='Visual SPC'!$I$4),OR('Visual SPC'!$K$4="",'Data Entry'!$F2274='Visual SPC'!$K$4)),1,0))</f>
        <v/>
      </c>
      <c r="C2274">
        <f>C2273+B2274</f>
        <v/>
      </c>
      <c r="D2274">
        <f>IF(B2274=1,INDEX('Data Entry'!$H$5:$BE$10004,2274-4,'Visual SPC'!$B$3),"")</f>
        <v/>
      </c>
      <c r="E2274">
        <f>IF(B2274=1,D2274,E2273)</f>
        <v/>
      </c>
      <c r="F2274">
        <f>IF(AND(B2274=1,C2274&gt;1,E2273&lt;&gt;""),ABS(D2274-E2273),"")</f>
        <v/>
      </c>
    </row>
    <row r="2275">
      <c r="A2275" t="n">
        <v>2275</v>
      </c>
      <c r="B2275">
        <f>IF(INDEX('Data Entry'!$H$5:$BE$10004,2275-4,'Visual SPC'!$B$3)="",0,IF(AND(OR('Visual SPC'!$C$4="",'Data Entry'!$C2275&gt;='Visual SPC'!$C$4),OR('Visual SPC'!$E$4="",'Data Entry'!$C2275&lt;='Visual SPC'!$E$4),OR('Visual SPC'!$G$4="",'Data Entry'!$D2275='Visual SPC'!$G$4),OR('Visual SPC'!$I$4="",'Data Entry'!$E2275='Visual SPC'!$I$4),OR('Visual SPC'!$K$4="",'Data Entry'!$F2275='Visual SPC'!$K$4)),1,0))</f>
        <v/>
      </c>
      <c r="C2275">
        <f>C2274+B2275</f>
        <v/>
      </c>
      <c r="D2275">
        <f>IF(B2275=1,INDEX('Data Entry'!$H$5:$BE$10004,2275-4,'Visual SPC'!$B$3),"")</f>
        <v/>
      </c>
      <c r="E2275">
        <f>IF(B2275=1,D2275,E2274)</f>
        <v/>
      </c>
      <c r="F2275">
        <f>IF(AND(B2275=1,C2275&gt;1,E2274&lt;&gt;""),ABS(D2275-E2274),"")</f>
        <v/>
      </c>
    </row>
    <row r="2276">
      <c r="A2276" t="n">
        <v>2276</v>
      </c>
      <c r="B2276">
        <f>IF(INDEX('Data Entry'!$H$5:$BE$10004,2276-4,'Visual SPC'!$B$3)="",0,IF(AND(OR('Visual SPC'!$C$4="",'Data Entry'!$C2276&gt;='Visual SPC'!$C$4),OR('Visual SPC'!$E$4="",'Data Entry'!$C2276&lt;='Visual SPC'!$E$4),OR('Visual SPC'!$G$4="",'Data Entry'!$D2276='Visual SPC'!$G$4),OR('Visual SPC'!$I$4="",'Data Entry'!$E2276='Visual SPC'!$I$4),OR('Visual SPC'!$K$4="",'Data Entry'!$F2276='Visual SPC'!$K$4)),1,0))</f>
        <v/>
      </c>
      <c r="C2276">
        <f>C2275+B2276</f>
        <v/>
      </c>
      <c r="D2276">
        <f>IF(B2276=1,INDEX('Data Entry'!$H$5:$BE$10004,2276-4,'Visual SPC'!$B$3),"")</f>
        <v/>
      </c>
      <c r="E2276">
        <f>IF(B2276=1,D2276,E2275)</f>
        <v/>
      </c>
      <c r="F2276">
        <f>IF(AND(B2276=1,C2276&gt;1,E2275&lt;&gt;""),ABS(D2276-E2275),"")</f>
        <v/>
      </c>
    </row>
    <row r="2277">
      <c r="A2277" t="n">
        <v>2277</v>
      </c>
      <c r="B2277">
        <f>IF(INDEX('Data Entry'!$H$5:$BE$10004,2277-4,'Visual SPC'!$B$3)="",0,IF(AND(OR('Visual SPC'!$C$4="",'Data Entry'!$C2277&gt;='Visual SPC'!$C$4),OR('Visual SPC'!$E$4="",'Data Entry'!$C2277&lt;='Visual SPC'!$E$4),OR('Visual SPC'!$G$4="",'Data Entry'!$D2277='Visual SPC'!$G$4),OR('Visual SPC'!$I$4="",'Data Entry'!$E2277='Visual SPC'!$I$4),OR('Visual SPC'!$K$4="",'Data Entry'!$F2277='Visual SPC'!$K$4)),1,0))</f>
        <v/>
      </c>
      <c r="C2277">
        <f>C2276+B2277</f>
        <v/>
      </c>
      <c r="D2277">
        <f>IF(B2277=1,INDEX('Data Entry'!$H$5:$BE$10004,2277-4,'Visual SPC'!$B$3),"")</f>
        <v/>
      </c>
      <c r="E2277">
        <f>IF(B2277=1,D2277,E2276)</f>
        <v/>
      </c>
      <c r="F2277">
        <f>IF(AND(B2277=1,C2277&gt;1,E2276&lt;&gt;""),ABS(D2277-E2276),"")</f>
        <v/>
      </c>
    </row>
    <row r="2278">
      <c r="A2278" t="n">
        <v>2278</v>
      </c>
      <c r="B2278">
        <f>IF(INDEX('Data Entry'!$H$5:$BE$10004,2278-4,'Visual SPC'!$B$3)="",0,IF(AND(OR('Visual SPC'!$C$4="",'Data Entry'!$C2278&gt;='Visual SPC'!$C$4),OR('Visual SPC'!$E$4="",'Data Entry'!$C2278&lt;='Visual SPC'!$E$4),OR('Visual SPC'!$G$4="",'Data Entry'!$D2278='Visual SPC'!$G$4),OR('Visual SPC'!$I$4="",'Data Entry'!$E2278='Visual SPC'!$I$4),OR('Visual SPC'!$K$4="",'Data Entry'!$F2278='Visual SPC'!$K$4)),1,0))</f>
        <v/>
      </c>
      <c r="C2278">
        <f>C2277+B2278</f>
        <v/>
      </c>
      <c r="D2278">
        <f>IF(B2278=1,INDEX('Data Entry'!$H$5:$BE$10004,2278-4,'Visual SPC'!$B$3),"")</f>
        <v/>
      </c>
      <c r="E2278">
        <f>IF(B2278=1,D2278,E2277)</f>
        <v/>
      </c>
      <c r="F2278">
        <f>IF(AND(B2278=1,C2278&gt;1,E2277&lt;&gt;""),ABS(D2278-E2277),"")</f>
        <v/>
      </c>
    </row>
    <row r="2279">
      <c r="A2279" t="n">
        <v>2279</v>
      </c>
      <c r="B2279">
        <f>IF(INDEX('Data Entry'!$H$5:$BE$10004,2279-4,'Visual SPC'!$B$3)="",0,IF(AND(OR('Visual SPC'!$C$4="",'Data Entry'!$C2279&gt;='Visual SPC'!$C$4),OR('Visual SPC'!$E$4="",'Data Entry'!$C2279&lt;='Visual SPC'!$E$4),OR('Visual SPC'!$G$4="",'Data Entry'!$D2279='Visual SPC'!$G$4),OR('Visual SPC'!$I$4="",'Data Entry'!$E2279='Visual SPC'!$I$4),OR('Visual SPC'!$K$4="",'Data Entry'!$F2279='Visual SPC'!$K$4)),1,0))</f>
        <v/>
      </c>
      <c r="C2279">
        <f>C2278+B2279</f>
        <v/>
      </c>
      <c r="D2279">
        <f>IF(B2279=1,INDEX('Data Entry'!$H$5:$BE$10004,2279-4,'Visual SPC'!$B$3),"")</f>
        <v/>
      </c>
      <c r="E2279">
        <f>IF(B2279=1,D2279,E2278)</f>
        <v/>
      </c>
      <c r="F2279">
        <f>IF(AND(B2279=1,C2279&gt;1,E2278&lt;&gt;""),ABS(D2279-E2278),"")</f>
        <v/>
      </c>
    </row>
    <row r="2280">
      <c r="A2280" t="n">
        <v>2280</v>
      </c>
      <c r="B2280">
        <f>IF(INDEX('Data Entry'!$H$5:$BE$10004,2280-4,'Visual SPC'!$B$3)="",0,IF(AND(OR('Visual SPC'!$C$4="",'Data Entry'!$C2280&gt;='Visual SPC'!$C$4),OR('Visual SPC'!$E$4="",'Data Entry'!$C2280&lt;='Visual SPC'!$E$4),OR('Visual SPC'!$G$4="",'Data Entry'!$D2280='Visual SPC'!$G$4),OR('Visual SPC'!$I$4="",'Data Entry'!$E2280='Visual SPC'!$I$4),OR('Visual SPC'!$K$4="",'Data Entry'!$F2280='Visual SPC'!$K$4)),1,0))</f>
        <v/>
      </c>
      <c r="C2280">
        <f>C2279+B2280</f>
        <v/>
      </c>
      <c r="D2280">
        <f>IF(B2280=1,INDEX('Data Entry'!$H$5:$BE$10004,2280-4,'Visual SPC'!$B$3),"")</f>
        <v/>
      </c>
      <c r="E2280">
        <f>IF(B2280=1,D2280,E2279)</f>
        <v/>
      </c>
      <c r="F2280">
        <f>IF(AND(B2280=1,C2280&gt;1,E2279&lt;&gt;""),ABS(D2280-E2279),"")</f>
        <v/>
      </c>
    </row>
    <row r="2281">
      <c r="A2281" t="n">
        <v>2281</v>
      </c>
      <c r="B2281">
        <f>IF(INDEX('Data Entry'!$H$5:$BE$10004,2281-4,'Visual SPC'!$B$3)="",0,IF(AND(OR('Visual SPC'!$C$4="",'Data Entry'!$C2281&gt;='Visual SPC'!$C$4),OR('Visual SPC'!$E$4="",'Data Entry'!$C2281&lt;='Visual SPC'!$E$4),OR('Visual SPC'!$G$4="",'Data Entry'!$D2281='Visual SPC'!$G$4),OR('Visual SPC'!$I$4="",'Data Entry'!$E2281='Visual SPC'!$I$4),OR('Visual SPC'!$K$4="",'Data Entry'!$F2281='Visual SPC'!$K$4)),1,0))</f>
        <v/>
      </c>
      <c r="C2281">
        <f>C2280+B2281</f>
        <v/>
      </c>
      <c r="D2281">
        <f>IF(B2281=1,INDEX('Data Entry'!$H$5:$BE$10004,2281-4,'Visual SPC'!$B$3),"")</f>
        <v/>
      </c>
      <c r="E2281">
        <f>IF(B2281=1,D2281,E2280)</f>
        <v/>
      </c>
      <c r="F2281">
        <f>IF(AND(B2281=1,C2281&gt;1,E2280&lt;&gt;""),ABS(D2281-E2280),"")</f>
        <v/>
      </c>
    </row>
    <row r="2282">
      <c r="A2282" t="n">
        <v>2282</v>
      </c>
      <c r="B2282">
        <f>IF(INDEX('Data Entry'!$H$5:$BE$10004,2282-4,'Visual SPC'!$B$3)="",0,IF(AND(OR('Visual SPC'!$C$4="",'Data Entry'!$C2282&gt;='Visual SPC'!$C$4),OR('Visual SPC'!$E$4="",'Data Entry'!$C2282&lt;='Visual SPC'!$E$4),OR('Visual SPC'!$G$4="",'Data Entry'!$D2282='Visual SPC'!$G$4),OR('Visual SPC'!$I$4="",'Data Entry'!$E2282='Visual SPC'!$I$4),OR('Visual SPC'!$K$4="",'Data Entry'!$F2282='Visual SPC'!$K$4)),1,0))</f>
        <v/>
      </c>
      <c r="C2282">
        <f>C2281+B2282</f>
        <v/>
      </c>
      <c r="D2282">
        <f>IF(B2282=1,INDEX('Data Entry'!$H$5:$BE$10004,2282-4,'Visual SPC'!$B$3),"")</f>
        <v/>
      </c>
      <c r="E2282">
        <f>IF(B2282=1,D2282,E2281)</f>
        <v/>
      </c>
      <c r="F2282">
        <f>IF(AND(B2282=1,C2282&gt;1,E2281&lt;&gt;""),ABS(D2282-E2281),"")</f>
        <v/>
      </c>
    </row>
    <row r="2283">
      <c r="A2283" t="n">
        <v>2283</v>
      </c>
      <c r="B2283">
        <f>IF(INDEX('Data Entry'!$H$5:$BE$10004,2283-4,'Visual SPC'!$B$3)="",0,IF(AND(OR('Visual SPC'!$C$4="",'Data Entry'!$C2283&gt;='Visual SPC'!$C$4),OR('Visual SPC'!$E$4="",'Data Entry'!$C2283&lt;='Visual SPC'!$E$4),OR('Visual SPC'!$G$4="",'Data Entry'!$D2283='Visual SPC'!$G$4),OR('Visual SPC'!$I$4="",'Data Entry'!$E2283='Visual SPC'!$I$4),OR('Visual SPC'!$K$4="",'Data Entry'!$F2283='Visual SPC'!$K$4)),1,0))</f>
        <v/>
      </c>
      <c r="C2283">
        <f>C2282+B2283</f>
        <v/>
      </c>
      <c r="D2283">
        <f>IF(B2283=1,INDEX('Data Entry'!$H$5:$BE$10004,2283-4,'Visual SPC'!$B$3),"")</f>
        <v/>
      </c>
      <c r="E2283">
        <f>IF(B2283=1,D2283,E2282)</f>
        <v/>
      </c>
      <c r="F2283">
        <f>IF(AND(B2283=1,C2283&gt;1,E2282&lt;&gt;""),ABS(D2283-E2282),"")</f>
        <v/>
      </c>
    </row>
    <row r="2284">
      <c r="A2284" t="n">
        <v>2284</v>
      </c>
      <c r="B2284">
        <f>IF(INDEX('Data Entry'!$H$5:$BE$10004,2284-4,'Visual SPC'!$B$3)="",0,IF(AND(OR('Visual SPC'!$C$4="",'Data Entry'!$C2284&gt;='Visual SPC'!$C$4),OR('Visual SPC'!$E$4="",'Data Entry'!$C2284&lt;='Visual SPC'!$E$4),OR('Visual SPC'!$G$4="",'Data Entry'!$D2284='Visual SPC'!$G$4),OR('Visual SPC'!$I$4="",'Data Entry'!$E2284='Visual SPC'!$I$4),OR('Visual SPC'!$K$4="",'Data Entry'!$F2284='Visual SPC'!$K$4)),1,0))</f>
        <v/>
      </c>
      <c r="C2284">
        <f>C2283+B2284</f>
        <v/>
      </c>
      <c r="D2284">
        <f>IF(B2284=1,INDEX('Data Entry'!$H$5:$BE$10004,2284-4,'Visual SPC'!$B$3),"")</f>
        <v/>
      </c>
      <c r="E2284">
        <f>IF(B2284=1,D2284,E2283)</f>
        <v/>
      </c>
      <c r="F2284">
        <f>IF(AND(B2284=1,C2284&gt;1,E2283&lt;&gt;""),ABS(D2284-E2283),"")</f>
        <v/>
      </c>
    </row>
    <row r="2285">
      <c r="A2285" t="n">
        <v>2285</v>
      </c>
      <c r="B2285">
        <f>IF(INDEX('Data Entry'!$H$5:$BE$10004,2285-4,'Visual SPC'!$B$3)="",0,IF(AND(OR('Visual SPC'!$C$4="",'Data Entry'!$C2285&gt;='Visual SPC'!$C$4),OR('Visual SPC'!$E$4="",'Data Entry'!$C2285&lt;='Visual SPC'!$E$4),OR('Visual SPC'!$G$4="",'Data Entry'!$D2285='Visual SPC'!$G$4),OR('Visual SPC'!$I$4="",'Data Entry'!$E2285='Visual SPC'!$I$4),OR('Visual SPC'!$K$4="",'Data Entry'!$F2285='Visual SPC'!$K$4)),1,0))</f>
        <v/>
      </c>
      <c r="C2285">
        <f>C2284+B2285</f>
        <v/>
      </c>
      <c r="D2285">
        <f>IF(B2285=1,INDEX('Data Entry'!$H$5:$BE$10004,2285-4,'Visual SPC'!$B$3),"")</f>
        <v/>
      </c>
      <c r="E2285">
        <f>IF(B2285=1,D2285,E2284)</f>
        <v/>
      </c>
      <c r="F2285">
        <f>IF(AND(B2285=1,C2285&gt;1,E2284&lt;&gt;""),ABS(D2285-E2284),"")</f>
        <v/>
      </c>
    </row>
    <row r="2286">
      <c r="A2286" t="n">
        <v>2286</v>
      </c>
      <c r="B2286">
        <f>IF(INDEX('Data Entry'!$H$5:$BE$10004,2286-4,'Visual SPC'!$B$3)="",0,IF(AND(OR('Visual SPC'!$C$4="",'Data Entry'!$C2286&gt;='Visual SPC'!$C$4),OR('Visual SPC'!$E$4="",'Data Entry'!$C2286&lt;='Visual SPC'!$E$4),OR('Visual SPC'!$G$4="",'Data Entry'!$D2286='Visual SPC'!$G$4),OR('Visual SPC'!$I$4="",'Data Entry'!$E2286='Visual SPC'!$I$4),OR('Visual SPC'!$K$4="",'Data Entry'!$F2286='Visual SPC'!$K$4)),1,0))</f>
        <v/>
      </c>
      <c r="C2286">
        <f>C2285+B2286</f>
        <v/>
      </c>
      <c r="D2286">
        <f>IF(B2286=1,INDEX('Data Entry'!$H$5:$BE$10004,2286-4,'Visual SPC'!$B$3),"")</f>
        <v/>
      </c>
      <c r="E2286">
        <f>IF(B2286=1,D2286,E2285)</f>
        <v/>
      </c>
      <c r="F2286">
        <f>IF(AND(B2286=1,C2286&gt;1,E2285&lt;&gt;""),ABS(D2286-E2285),"")</f>
        <v/>
      </c>
    </row>
    <row r="2287">
      <c r="A2287" t="n">
        <v>2287</v>
      </c>
      <c r="B2287">
        <f>IF(INDEX('Data Entry'!$H$5:$BE$10004,2287-4,'Visual SPC'!$B$3)="",0,IF(AND(OR('Visual SPC'!$C$4="",'Data Entry'!$C2287&gt;='Visual SPC'!$C$4),OR('Visual SPC'!$E$4="",'Data Entry'!$C2287&lt;='Visual SPC'!$E$4),OR('Visual SPC'!$G$4="",'Data Entry'!$D2287='Visual SPC'!$G$4),OR('Visual SPC'!$I$4="",'Data Entry'!$E2287='Visual SPC'!$I$4),OR('Visual SPC'!$K$4="",'Data Entry'!$F2287='Visual SPC'!$K$4)),1,0))</f>
        <v/>
      </c>
      <c r="C2287">
        <f>C2286+B2287</f>
        <v/>
      </c>
      <c r="D2287">
        <f>IF(B2287=1,INDEX('Data Entry'!$H$5:$BE$10004,2287-4,'Visual SPC'!$B$3),"")</f>
        <v/>
      </c>
      <c r="E2287">
        <f>IF(B2287=1,D2287,E2286)</f>
        <v/>
      </c>
      <c r="F2287">
        <f>IF(AND(B2287=1,C2287&gt;1,E2286&lt;&gt;""),ABS(D2287-E2286),"")</f>
        <v/>
      </c>
    </row>
    <row r="2288">
      <c r="A2288" t="n">
        <v>2288</v>
      </c>
      <c r="B2288">
        <f>IF(INDEX('Data Entry'!$H$5:$BE$10004,2288-4,'Visual SPC'!$B$3)="",0,IF(AND(OR('Visual SPC'!$C$4="",'Data Entry'!$C2288&gt;='Visual SPC'!$C$4),OR('Visual SPC'!$E$4="",'Data Entry'!$C2288&lt;='Visual SPC'!$E$4),OR('Visual SPC'!$G$4="",'Data Entry'!$D2288='Visual SPC'!$G$4),OR('Visual SPC'!$I$4="",'Data Entry'!$E2288='Visual SPC'!$I$4),OR('Visual SPC'!$K$4="",'Data Entry'!$F2288='Visual SPC'!$K$4)),1,0))</f>
        <v/>
      </c>
      <c r="C2288">
        <f>C2287+B2288</f>
        <v/>
      </c>
      <c r="D2288">
        <f>IF(B2288=1,INDEX('Data Entry'!$H$5:$BE$10004,2288-4,'Visual SPC'!$B$3),"")</f>
        <v/>
      </c>
      <c r="E2288">
        <f>IF(B2288=1,D2288,E2287)</f>
        <v/>
      </c>
      <c r="F2288">
        <f>IF(AND(B2288=1,C2288&gt;1,E2287&lt;&gt;""),ABS(D2288-E2287),"")</f>
        <v/>
      </c>
    </row>
    <row r="2289">
      <c r="A2289" t="n">
        <v>2289</v>
      </c>
      <c r="B2289">
        <f>IF(INDEX('Data Entry'!$H$5:$BE$10004,2289-4,'Visual SPC'!$B$3)="",0,IF(AND(OR('Visual SPC'!$C$4="",'Data Entry'!$C2289&gt;='Visual SPC'!$C$4),OR('Visual SPC'!$E$4="",'Data Entry'!$C2289&lt;='Visual SPC'!$E$4),OR('Visual SPC'!$G$4="",'Data Entry'!$D2289='Visual SPC'!$G$4),OR('Visual SPC'!$I$4="",'Data Entry'!$E2289='Visual SPC'!$I$4),OR('Visual SPC'!$K$4="",'Data Entry'!$F2289='Visual SPC'!$K$4)),1,0))</f>
        <v/>
      </c>
      <c r="C2289">
        <f>C2288+B2289</f>
        <v/>
      </c>
      <c r="D2289">
        <f>IF(B2289=1,INDEX('Data Entry'!$H$5:$BE$10004,2289-4,'Visual SPC'!$B$3),"")</f>
        <v/>
      </c>
      <c r="E2289">
        <f>IF(B2289=1,D2289,E2288)</f>
        <v/>
      </c>
      <c r="F2289">
        <f>IF(AND(B2289=1,C2289&gt;1,E2288&lt;&gt;""),ABS(D2289-E2288),"")</f>
        <v/>
      </c>
    </row>
    <row r="2290">
      <c r="A2290" t="n">
        <v>2290</v>
      </c>
      <c r="B2290">
        <f>IF(INDEX('Data Entry'!$H$5:$BE$10004,2290-4,'Visual SPC'!$B$3)="",0,IF(AND(OR('Visual SPC'!$C$4="",'Data Entry'!$C2290&gt;='Visual SPC'!$C$4),OR('Visual SPC'!$E$4="",'Data Entry'!$C2290&lt;='Visual SPC'!$E$4),OR('Visual SPC'!$G$4="",'Data Entry'!$D2290='Visual SPC'!$G$4),OR('Visual SPC'!$I$4="",'Data Entry'!$E2290='Visual SPC'!$I$4),OR('Visual SPC'!$K$4="",'Data Entry'!$F2290='Visual SPC'!$K$4)),1,0))</f>
        <v/>
      </c>
      <c r="C2290">
        <f>C2289+B2290</f>
        <v/>
      </c>
      <c r="D2290">
        <f>IF(B2290=1,INDEX('Data Entry'!$H$5:$BE$10004,2290-4,'Visual SPC'!$B$3),"")</f>
        <v/>
      </c>
      <c r="E2290">
        <f>IF(B2290=1,D2290,E2289)</f>
        <v/>
      </c>
      <c r="F2290">
        <f>IF(AND(B2290=1,C2290&gt;1,E2289&lt;&gt;""),ABS(D2290-E2289),"")</f>
        <v/>
      </c>
    </row>
    <row r="2291">
      <c r="A2291" t="n">
        <v>2291</v>
      </c>
      <c r="B2291">
        <f>IF(INDEX('Data Entry'!$H$5:$BE$10004,2291-4,'Visual SPC'!$B$3)="",0,IF(AND(OR('Visual SPC'!$C$4="",'Data Entry'!$C2291&gt;='Visual SPC'!$C$4),OR('Visual SPC'!$E$4="",'Data Entry'!$C2291&lt;='Visual SPC'!$E$4),OR('Visual SPC'!$G$4="",'Data Entry'!$D2291='Visual SPC'!$G$4),OR('Visual SPC'!$I$4="",'Data Entry'!$E2291='Visual SPC'!$I$4),OR('Visual SPC'!$K$4="",'Data Entry'!$F2291='Visual SPC'!$K$4)),1,0))</f>
        <v/>
      </c>
      <c r="C2291">
        <f>C2290+B2291</f>
        <v/>
      </c>
      <c r="D2291">
        <f>IF(B2291=1,INDEX('Data Entry'!$H$5:$BE$10004,2291-4,'Visual SPC'!$B$3),"")</f>
        <v/>
      </c>
      <c r="E2291">
        <f>IF(B2291=1,D2291,E2290)</f>
        <v/>
      </c>
      <c r="F2291">
        <f>IF(AND(B2291=1,C2291&gt;1,E2290&lt;&gt;""),ABS(D2291-E2290),"")</f>
        <v/>
      </c>
    </row>
    <row r="2292">
      <c r="A2292" t="n">
        <v>2292</v>
      </c>
      <c r="B2292">
        <f>IF(INDEX('Data Entry'!$H$5:$BE$10004,2292-4,'Visual SPC'!$B$3)="",0,IF(AND(OR('Visual SPC'!$C$4="",'Data Entry'!$C2292&gt;='Visual SPC'!$C$4),OR('Visual SPC'!$E$4="",'Data Entry'!$C2292&lt;='Visual SPC'!$E$4),OR('Visual SPC'!$G$4="",'Data Entry'!$D2292='Visual SPC'!$G$4),OR('Visual SPC'!$I$4="",'Data Entry'!$E2292='Visual SPC'!$I$4),OR('Visual SPC'!$K$4="",'Data Entry'!$F2292='Visual SPC'!$K$4)),1,0))</f>
        <v/>
      </c>
      <c r="C2292">
        <f>C2291+B2292</f>
        <v/>
      </c>
      <c r="D2292">
        <f>IF(B2292=1,INDEX('Data Entry'!$H$5:$BE$10004,2292-4,'Visual SPC'!$B$3),"")</f>
        <v/>
      </c>
      <c r="E2292">
        <f>IF(B2292=1,D2292,E2291)</f>
        <v/>
      </c>
      <c r="F2292">
        <f>IF(AND(B2292=1,C2292&gt;1,E2291&lt;&gt;""),ABS(D2292-E2291),"")</f>
        <v/>
      </c>
    </row>
    <row r="2293">
      <c r="A2293" t="n">
        <v>2293</v>
      </c>
      <c r="B2293">
        <f>IF(INDEX('Data Entry'!$H$5:$BE$10004,2293-4,'Visual SPC'!$B$3)="",0,IF(AND(OR('Visual SPC'!$C$4="",'Data Entry'!$C2293&gt;='Visual SPC'!$C$4),OR('Visual SPC'!$E$4="",'Data Entry'!$C2293&lt;='Visual SPC'!$E$4),OR('Visual SPC'!$G$4="",'Data Entry'!$D2293='Visual SPC'!$G$4),OR('Visual SPC'!$I$4="",'Data Entry'!$E2293='Visual SPC'!$I$4),OR('Visual SPC'!$K$4="",'Data Entry'!$F2293='Visual SPC'!$K$4)),1,0))</f>
        <v/>
      </c>
      <c r="C2293">
        <f>C2292+B2293</f>
        <v/>
      </c>
      <c r="D2293">
        <f>IF(B2293=1,INDEX('Data Entry'!$H$5:$BE$10004,2293-4,'Visual SPC'!$B$3),"")</f>
        <v/>
      </c>
      <c r="E2293">
        <f>IF(B2293=1,D2293,E2292)</f>
        <v/>
      </c>
      <c r="F2293">
        <f>IF(AND(B2293=1,C2293&gt;1,E2292&lt;&gt;""),ABS(D2293-E2292),"")</f>
        <v/>
      </c>
    </row>
    <row r="2294">
      <c r="A2294" t="n">
        <v>2294</v>
      </c>
      <c r="B2294">
        <f>IF(INDEX('Data Entry'!$H$5:$BE$10004,2294-4,'Visual SPC'!$B$3)="",0,IF(AND(OR('Visual SPC'!$C$4="",'Data Entry'!$C2294&gt;='Visual SPC'!$C$4),OR('Visual SPC'!$E$4="",'Data Entry'!$C2294&lt;='Visual SPC'!$E$4),OR('Visual SPC'!$G$4="",'Data Entry'!$D2294='Visual SPC'!$G$4),OR('Visual SPC'!$I$4="",'Data Entry'!$E2294='Visual SPC'!$I$4),OR('Visual SPC'!$K$4="",'Data Entry'!$F2294='Visual SPC'!$K$4)),1,0))</f>
        <v/>
      </c>
      <c r="C2294">
        <f>C2293+B2294</f>
        <v/>
      </c>
      <c r="D2294">
        <f>IF(B2294=1,INDEX('Data Entry'!$H$5:$BE$10004,2294-4,'Visual SPC'!$B$3),"")</f>
        <v/>
      </c>
      <c r="E2294">
        <f>IF(B2294=1,D2294,E2293)</f>
        <v/>
      </c>
      <c r="F2294">
        <f>IF(AND(B2294=1,C2294&gt;1,E2293&lt;&gt;""),ABS(D2294-E2293),"")</f>
        <v/>
      </c>
    </row>
    <row r="2295">
      <c r="A2295" t="n">
        <v>2295</v>
      </c>
      <c r="B2295">
        <f>IF(INDEX('Data Entry'!$H$5:$BE$10004,2295-4,'Visual SPC'!$B$3)="",0,IF(AND(OR('Visual SPC'!$C$4="",'Data Entry'!$C2295&gt;='Visual SPC'!$C$4),OR('Visual SPC'!$E$4="",'Data Entry'!$C2295&lt;='Visual SPC'!$E$4),OR('Visual SPC'!$G$4="",'Data Entry'!$D2295='Visual SPC'!$G$4),OR('Visual SPC'!$I$4="",'Data Entry'!$E2295='Visual SPC'!$I$4),OR('Visual SPC'!$K$4="",'Data Entry'!$F2295='Visual SPC'!$K$4)),1,0))</f>
        <v/>
      </c>
      <c r="C2295">
        <f>C2294+B2295</f>
        <v/>
      </c>
      <c r="D2295">
        <f>IF(B2295=1,INDEX('Data Entry'!$H$5:$BE$10004,2295-4,'Visual SPC'!$B$3),"")</f>
        <v/>
      </c>
      <c r="E2295">
        <f>IF(B2295=1,D2295,E2294)</f>
        <v/>
      </c>
      <c r="F2295">
        <f>IF(AND(B2295=1,C2295&gt;1,E2294&lt;&gt;""),ABS(D2295-E2294),"")</f>
        <v/>
      </c>
    </row>
    <row r="2296">
      <c r="A2296" t="n">
        <v>2296</v>
      </c>
      <c r="B2296">
        <f>IF(INDEX('Data Entry'!$H$5:$BE$10004,2296-4,'Visual SPC'!$B$3)="",0,IF(AND(OR('Visual SPC'!$C$4="",'Data Entry'!$C2296&gt;='Visual SPC'!$C$4),OR('Visual SPC'!$E$4="",'Data Entry'!$C2296&lt;='Visual SPC'!$E$4),OR('Visual SPC'!$G$4="",'Data Entry'!$D2296='Visual SPC'!$G$4),OR('Visual SPC'!$I$4="",'Data Entry'!$E2296='Visual SPC'!$I$4),OR('Visual SPC'!$K$4="",'Data Entry'!$F2296='Visual SPC'!$K$4)),1,0))</f>
        <v/>
      </c>
      <c r="C2296">
        <f>C2295+B2296</f>
        <v/>
      </c>
      <c r="D2296">
        <f>IF(B2296=1,INDEX('Data Entry'!$H$5:$BE$10004,2296-4,'Visual SPC'!$B$3),"")</f>
        <v/>
      </c>
      <c r="E2296">
        <f>IF(B2296=1,D2296,E2295)</f>
        <v/>
      </c>
      <c r="F2296">
        <f>IF(AND(B2296=1,C2296&gt;1,E2295&lt;&gt;""),ABS(D2296-E2295),"")</f>
        <v/>
      </c>
    </row>
    <row r="2297">
      <c r="A2297" t="n">
        <v>2297</v>
      </c>
      <c r="B2297">
        <f>IF(INDEX('Data Entry'!$H$5:$BE$10004,2297-4,'Visual SPC'!$B$3)="",0,IF(AND(OR('Visual SPC'!$C$4="",'Data Entry'!$C2297&gt;='Visual SPC'!$C$4),OR('Visual SPC'!$E$4="",'Data Entry'!$C2297&lt;='Visual SPC'!$E$4),OR('Visual SPC'!$G$4="",'Data Entry'!$D2297='Visual SPC'!$G$4),OR('Visual SPC'!$I$4="",'Data Entry'!$E2297='Visual SPC'!$I$4),OR('Visual SPC'!$K$4="",'Data Entry'!$F2297='Visual SPC'!$K$4)),1,0))</f>
        <v/>
      </c>
      <c r="C2297">
        <f>C2296+B2297</f>
        <v/>
      </c>
      <c r="D2297">
        <f>IF(B2297=1,INDEX('Data Entry'!$H$5:$BE$10004,2297-4,'Visual SPC'!$B$3),"")</f>
        <v/>
      </c>
      <c r="E2297">
        <f>IF(B2297=1,D2297,E2296)</f>
        <v/>
      </c>
      <c r="F2297">
        <f>IF(AND(B2297=1,C2297&gt;1,E2296&lt;&gt;""),ABS(D2297-E2296),"")</f>
        <v/>
      </c>
    </row>
    <row r="2298">
      <c r="A2298" t="n">
        <v>2298</v>
      </c>
      <c r="B2298">
        <f>IF(INDEX('Data Entry'!$H$5:$BE$10004,2298-4,'Visual SPC'!$B$3)="",0,IF(AND(OR('Visual SPC'!$C$4="",'Data Entry'!$C2298&gt;='Visual SPC'!$C$4),OR('Visual SPC'!$E$4="",'Data Entry'!$C2298&lt;='Visual SPC'!$E$4),OR('Visual SPC'!$G$4="",'Data Entry'!$D2298='Visual SPC'!$G$4),OR('Visual SPC'!$I$4="",'Data Entry'!$E2298='Visual SPC'!$I$4),OR('Visual SPC'!$K$4="",'Data Entry'!$F2298='Visual SPC'!$K$4)),1,0))</f>
        <v/>
      </c>
      <c r="C2298">
        <f>C2297+B2298</f>
        <v/>
      </c>
      <c r="D2298">
        <f>IF(B2298=1,INDEX('Data Entry'!$H$5:$BE$10004,2298-4,'Visual SPC'!$B$3),"")</f>
        <v/>
      </c>
      <c r="E2298">
        <f>IF(B2298=1,D2298,E2297)</f>
        <v/>
      </c>
      <c r="F2298">
        <f>IF(AND(B2298=1,C2298&gt;1,E2297&lt;&gt;""),ABS(D2298-E2297),"")</f>
        <v/>
      </c>
    </row>
    <row r="2299">
      <c r="A2299" t="n">
        <v>2299</v>
      </c>
      <c r="B2299">
        <f>IF(INDEX('Data Entry'!$H$5:$BE$10004,2299-4,'Visual SPC'!$B$3)="",0,IF(AND(OR('Visual SPC'!$C$4="",'Data Entry'!$C2299&gt;='Visual SPC'!$C$4),OR('Visual SPC'!$E$4="",'Data Entry'!$C2299&lt;='Visual SPC'!$E$4),OR('Visual SPC'!$G$4="",'Data Entry'!$D2299='Visual SPC'!$G$4),OR('Visual SPC'!$I$4="",'Data Entry'!$E2299='Visual SPC'!$I$4),OR('Visual SPC'!$K$4="",'Data Entry'!$F2299='Visual SPC'!$K$4)),1,0))</f>
        <v/>
      </c>
      <c r="C2299">
        <f>C2298+B2299</f>
        <v/>
      </c>
      <c r="D2299">
        <f>IF(B2299=1,INDEX('Data Entry'!$H$5:$BE$10004,2299-4,'Visual SPC'!$B$3),"")</f>
        <v/>
      </c>
      <c r="E2299">
        <f>IF(B2299=1,D2299,E2298)</f>
        <v/>
      </c>
      <c r="F2299">
        <f>IF(AND(B2299=1,C2299&gt;1,E2298&lt;&gt;""),ABS(D2299-E2298),"")</f>
        <v/>
      </c>
    </row>
    <row r="2300">
      <c r="A2300" t="n">
        <v>2300</v>
      </c>
      <c r="B2300">
        <f>IF(INDEX('Data Entry'!$H$5:$BE$10004,2300-4,'Visual SPC'!$B$3)="",0,IF(AND(OR('Visual SPC'!$C$4="",'Data Entry'!$C2300&gt;='Visual SPC'!$C$4),OR('Visual SPC'!$E$4="",'Data Entry'!$C2300&lt;='Visual SPC'!$E$4),OR('Visual SPC'!$G$4="",'Data Entry'!$D2300='Visual SPC'!$G$4),OR('Visual SPC'!$I$4="",'Data Entry'!$E2300='Visual SPC'!$I$4),OR('Visual SPC'!$K$4="",'Data Entry'!$F2300='Visual SPC'!$K$4)),1,0))</f>
        <v/>
      </c>
      <c r="C2300">
        <f>C2299+B2300</f>
        <v/>
      </c>
      <c r="D2300">
        <f>IF(B2300=1,INDEX('Data Entry'!$H$5:$BE$10004,2300-4,'Visual SPC'!$B$3),"")</f>
        <v/>
      </c>
      <c r="E2300">
        <f>IF(B2300=1,D2300,E2299)</f>
        <v/>
      </c>
      <c r="F2300">
        <f>IF(AND(B2300=1,C2300&gt;1,E2299&lt;&gt;""),ABS(D2300-E2299),"")</f>
        <v/>
      </c>
    </row>
    <row r="2301">
      <c r="A2301" t="n">
        <v>2301</v>
      </c>
      <c r="B2301">
        <f>IF(INDEX('Data Entry'!$H$5:$BE$10004,2301-4,'Visual SPC'!$B$3)="",0,IF(AND(OR('Visual SPC'!$C$4="",'Data Entry'!$C2301&gt;='Visual SPC'!$C$4),OR('Visual SPC'!$E$4="",'Data Entry'!$C2301&lt;='Visual SPC'!$E$4),OR('Visual SPC'!$G$4="",'Data Entry'!$D2301='Visual SPC'!$G$4),OR('Visual SPC'!$I$4="",'Data Entry'!$E2301='Visual SPC'!$I$4),OR('Visual SPC'!$K$4="",'Data Entry'!$F2301='Visual SPC'!$K$4)),1,0))</f>
        <v/>
      </c>
      <c r="C2301">
        <f>C2300+B2301</f>
        <v/>
      </c>
      <c r="D2301">
        <f>IF(B2301=1,INDEX('Data Entry'!$H$5:$BE$10004,2301-4,'Visual SPC'!$B$3),"")</f>
        <v/>
      </c>
      <c r="E2301">
        <f>IF(B2301=1,D2301,E2300)</f>
        <v/>
      </c>
      <c r="F2301">
        <f>IF(AND(B2301=1,C2301&gt;1,E2300&lt;&gt;""),ABS(D2301-E2300),"")</f>
        <v/>
      </c>
    </row>
    <row r="2302">
      <c r="A2302" t="n">
        <v>2302</v>
      </c>
      <c r="B2302">
        <f>IF(INDEX('Data Entry'!$H$5:$BE$10004,2302-4,'Visual SPC'!$B$3)="",0,IF(AND(OR('Visual SPC'!$C$4="",'Data Entry'!$C2302&gt;='Visual SPC'!$C$4),OR('Visual SPC'!$E$4="",'Data Entry'!$C2302&lt;='Visual SPC'!$E$4),OR('Visual SPC'!$G$4="",'Data Entry'!$D2302='Visual SPC'!$G$4),OR('Visual SPC'!$I$4="",'Data Entry'!$E2302='Visual SPC'!$I$4),OR('Visual SPC'!$K$4="",'Data Entry'!$F2302='Visual SPC'!$K$4)),1,0))</f>
        <v/>
      </c>
      <c r="C2302">
        <f>C2301+B2302</f>
        <v/>
      </c>
      <c r="D2302">
        <f>IF(B2302=1,INDEX('Data Entry'!$H$5:$BE$10004,2302-4,'Visual SPC'!$B$3),"")</f>
        <v/>
      </c>
      <c r="E2302">
        <f>IF(B2302=1,D2302,E2301)</f>
        <v/>
      </c>
      <c r="F2302">
        <f>IF(AND(B2302=1,C2302&gt;1,E2301&lt;&gt;""),ABS(D2302-E2301),"")</f>
        <v/>
      </c>
    </row>
    <row r="2303">
      <c r="A2303" t="n">
        <v>2303</v>
      </c>
      <c r="B2303">
        <f>IF(INDEX('Data Entry'!$H$5:$BE$10004,2303-4,'Visual SPC'!$B$3)="",0,IF(AND(OR('Visual SPC'!$C$4="",'Data Entry'!$C2303&gt;='Visual SPC'!$C$4),OR('Visual SPC'!$E$4="",'Data Entry'!$C2303&lt;='Visual SPC'!$E$4),OR('Visual SPC'!$G$4="",'Data Entry'!$D2303='Visual SPC'!$G$4),OR('Visual SPC'!$I$4="",'Data Entry'!$E2303='Visual SPC'!$I$4),OR('Visual SPC'!$K$4="",'Data Entry'!$F2303='Visual SPC'!$K$4)),1,0))</f>
        <v/>
      </c>
      <c r="C2303">
        <f>C2302+B2303</f>
        <v/>
      </c>
      <c r="D2303">
        <f>IF(B2303=1,INDEX('Data Entry'!$H$5:$BE$10004,2303-4,'Visual SPC'!$B$3),"")</f>
        <v/>
      </c>
      <c r="E2303">
        <f>IF(B2303=1,D2303,E2302)</f>
        <v/>
      </c>
      <c r="F2303">
        <f>IF(AND(B2303=1,C2303&gt;1,E2302&lt;&gt;""),ABS(D2303-E2302),"")</f>
        <v/>
      </c>
    </row>
    <row r="2304">
      <c r="A2304" t="n">
        <v>2304</v>
      </c>
      <c r="B2304">
        <f>IF(INDEX('Data Entry'!$H$5:$BE$10004,2304-4,'Visual SPC'!$B$3)="",0,IF(AND(OR('Visual SPC'!$C$4="",'Data Entry'!$C2304&gt;='Visual SPC'!$C$4),OR('Visual SPC'!$E$4="",'Data Entry'!$C2304&lt;='Visual SPC'!$E$4),OR('Visual SPC'!$G$4="",'Data Entry'!$D2304='Visual SPC'!$G$4),OR('Visual SPC'!$I$4="",'Data Entry'!$E2304='Visual SPC'!$I$4),OR('Visual SPC'!$K$4="",'Data Entry'!$F2304='Visual SPC'!$K$4)),1,0))</f>
        <v/>
      </c>
      <c r="C2304">
        <f>C2303+B2304</f>
        <v/>
      </c>
      <c r="D2304">
        <f>IF(B2304=1,INDEX('Data Entry'!$H$5:$BE$10004,2304-4,'Visual SPC'!$B$3),"")</f>
        <v/>
      </c>
      <c r="E2304">
        <f>IF(B2304=1,D2304,E2303)</f>
        <v/>
      </c>
      <c r="F2304">
        <f>IF(AND(B2304=1,C2304&gt;1,E2303&lt;&gt;""),ABS(D2304-E2303),"")</f>
        <v/>
      </c>
    </row>
    <row r="2305">
      <c r="A2305" t="n">
        <v>2305</v>
      </c>
      <c r="B2305">
        <f>IF(INDEX('Data Entry'!$H$5:$BE$10004,2305-4,'Visual SPC'!$B$3)="",0,IF(AND(OR('Visual SPC'!$C$4="",'Data Entry'!$C2305&gt;='Visual SPC'!$C$4),OR('Visual SPC'!$E$4="",'Data Entry'!$C2305&lt;='Visual SPC'!$E$4),OR('Visual SPC'!$G$4="",'Data Entry'!$D2305='Visual SPC'!$G$4),OR('Visual SPC'!$I$4="",'Data Entry'!$E2305='Visual SPC'!$I$4),OR('Visual SPC'!$K$4="",'Data Entry'!$F2305='Visual SPC'!$K$4)),1,0))</f>
        <v/>
      </c>
      <c r="C2305">
        <f>C2304+B2305</f>
        <v/>
      </c>
      <c r="D2305">
        <f>IF(B2305=1,INDEX('Data Entry'!$H$5:$BE$10004,2305-4,'Visual SPC'!$B$3),"")</f>
        <v/>
      </c>
      <c r="E2305">
        <f>IF(B2305=1,D2305,E2304)</f>
        <v/>
      </c>
      <c r="F2305">
        <f>IF(AND(B2305=1,C2305&gt;1,E2304&lt;&gt;""),ABS(D2305-E2304),"")</f>
        <v/>
      </c>
    </row>
    <row r="2306">
      <c r="A2306" t="n">
        <v>2306</v>
      </c>
      <c r="B2306">
        <f>IF(INDEX('Data Entry'!$H$5:$BE$10004,2306-4,'Visual SPC'!$B$3)="",0,IF(AND(OR('Visual SPC'!$C$4="",'Data Entry'!$C2306&gt;='Visual SPC'!$C$4),OR('Visual SPC'!$E$4="",'Data Entry'!$C2306&lt;='Visual SPC'!$E$4),OR('Visual SPC'!$G$4="",'Data Entry'!$D2306='Visual SPC'!$G$4),OR('Visual SPC'!$I$4="",'Data Entry'!$E2306='Visual SPC'!$I$4),OR('Visual SPC'!$K$4="",'Data Entry'!$F2306='Visual SPC'!$K$4)),1,0))</f>
        <v/>
      </c>
      <c r="C2306">
        <f>C2305+B2306</f>
        <v/>
      </c>
      <c r="D2306">
        <f>IF(B2306=1,INDEX('Data Entry'!$H$5:$BE$10004,2306-4,'Visual SPC'!$B$3),"")</f>
        <v/>
      </c>
      <c r="E2306">
        <f>IF(B2306=1,D2306,E2305)</f>
        <v/>
      </c>
      <c r="F2306">
        <f>IF(AND(B2306=1,C2306&gt;1,E2305&lt;&gt;""),ABS(D2306-E2305),"")</f>
        <v/>
      </c>
    </row>
    <row r="2307">
      <c r="A2307" t="n">
        <v>2307</v>
      </c>
      <c r="B2307">
        <f>IF(INDEX('Data Entry'!$H$5:$BE$10004,2307-4,'Visual SPC'!$B$3)="",0,IF(AND(OR('Visual SPC'!$C$4="",'Data Entry'!$C2307&gt;='Visual SPC'!$C$4),OR('Visual SPC'!$E$4="",'Data Entry'!$C2307&lt;='Visual SPC'!$E$4),OR('Visual SPC'!$G$4="",'Data Entry'!$D2307='Visual SPC'!$G$4),OR('Visual SPC'!$I$4="",'Data Entry'!$E2307='Visual SPC'!$I$4),OR('Visual SPC'!$K$4="",'Data Entry'!$F2307='Visual SPC'!$K$4)),1,0))</f>
        <v/>
      </c>
      <c r="C2307">
        <f>C2306+B2307</f>
        <v/>
      </c>
      <c r="D2307">
        <f>IF(B2307=1,INDEX('Data Entry'!$H$5:$BE$10004,2307-4,'Visual SPC'!$B$3),"")</f>
        <v/>
      </c>
      <c r="E2307">
        <f>IF(B2307=1,D2307,E2306)</f>
        <v/>
      </c>
      <c r="F2307">
        <f>IF(AND(B2307=1,C2307&gt;1,E2306&lt;&gt;""),ABS(D2307-E2306),"")</f>
        <v/>
      </c>
    </row>
    <row r="2308">
      <c r="A2308" t="n">
        <v>2308</v>
      </c>
      <c r="B2308">
        <f>IF(INDEX('Data Entry'!$H$5:$BE$10004,2308-4,'Visual SPC'!$B$3)="",0,IF(AND(OR('Visual SPC'!$C$4="",'Data Entry'!$C2308&gt;='Visual SPC'!$C$4),OR('Visual SPC'!$E$4="",'Data Entry'!$C2308&lt;='Visual SPC'!$E$4),OR('Visual SPC'!$G$4="",'Data Entry'!$D2308='Visual SPC'!$G$4),OR('Visual SPC'!$I$4="",'Data Entry'!$E2308='Visual SPC'!$I$4),OR('Visual SPC'!$K$4="",'Data Entry'!$F2308='Visual SPC'!$K$4)),1,0))</f>
        <v/>
      </c>
      <c r="C2308">
        <f>C2307+B2308</f>
        <v/>
      </c>
      <c r="D2308">
        <f>IF(B2308=1,INDEX('Data Entry'!$H$5:$BE$10004,2308-4,'Visual SPC'!$B$3),"")</f>
        <v/>
      </c>
      <c r="E2308">
        <f>IF(B2308=1,D2308,E2307)</f>
        <v/>
      </c>
      <c r="F2308">
        <f>IF(AND(B2308=1,C2308&gt;1,E2307&lt;&gt;""),ABS(D2308-E2307),"")</f>
        <v/>
      </c>
    </row>
    <row r="2309">
      <c r="A2309" t="n">
        <v>2309</v>
      </c>
      <c r="B2309">
        <f>IF(INDEX('Data Entry'!$H$5:$BE$10004,2309-4,'Visual SPC'!$B$3)="",0,IF(AND(OR('Visual SPC'!$C$4="",'Data Entry'!$C2309&gt;='Visual SPC'!$C$4),OR('Visual SPC'!$E$4="",'Data Entry'!$C2309&lt;='Visual SPC'!$E$4),OR('Visual SPC'!$G$4="",'Data Entry'!$D2309='Visual SPC'!$G$4),OR('Visual SPC'!$I$4="",'Data Entry'!$E2309='Visual SPC'!$I$4),OR('Visual SPC'!$K$4="",'Data Entry'!$F2309='Visual SPC'!$K$4)),1,0))</f>
        <v/>
      </c>
      <c r="C2309">
        <f>C2308+B2309</f>
        <v/>
      </c>
      <c r="D2309">
        <f>IF(B2309=1,INDEX('Data Entry'!$H$5:$BE$10004,2309-4,'Visual SPC'!$B$3),"")</f>
        <v/>
      </c>
      <c r="E2309">
        <f>IF(B2309=1,D2309,E2308)</f>
        <v/>
      </c>
      <c r="F2309">
        <f>IF(AND(B2309=1,C2309&gt;1,E2308&lt;&gt;""),ABS(D2309-E2308),"")</f>
        <v/>
      </c>
    </row>
    <row r="2310">
      <c r="A2310" t="n">
        <v>2310</v>
      </c>
      <c r="B2310">
        <f>IF(INDEX('Data Entry'!$H$5:$BE$10004,2310-4,'Visual SPC'!$B$3)="",0,IF(AND(OR('Visual SPC'!$C$4="",'Data Entry'!$C2310&gt;='Visual SPC'!$C$4),OR('Visual SPC'!$E$4="",'Data Entry'!$C2310&lt;='Visual SPC'!$E$4),OR('Visual SPC'!$G$4="",'Data Entry'!$D2310='Visual SPC'!$G$4),OR('Visual SPC'!$I$4="",'Data Entry'!$E2310='Visual SPC'!$I$4),OR('Visual SPC'!$K$4="",'Data Entry'!$F2310='Visual SPC'!$K$4)),1,0))</f>
        <v/>
      </c>
      <c r="C2310">
        <f>C2309+B2310</f>
        <v/>
      </c>
      <c r="D2310">
        <f>IF(B2310=1,INDEX('Data Entry'!$H$5:$BE$10004,2310-4,'Visual SPC'!$B$3),"")</f>
        <v/>
      </c>
      <c r="E2310">
        <f>IF(B2310=1,D2310,E2309)</f>
        <v/>
      </c>
      <c r="F2310">
        <f>IF(AND(B2310=1,C2310&gt;1,E2309&lt;&gt;""),ABS(D2310-E2309),"")</f>
        <v/>
      </c>
    </row>
    <row r="2311">
      <c r="A2311" t="n">
        <v>2311</v>
      </c>
      <c r="B2311">
        <f>IF(INDEX('Data Entry'!$H$5:$BE$10004,2311-4,'Visual SPC'!$B$3)="",0,IF(AND(OR('Visual SPC'!$C$4="",'Data Entry'!$C2311&gt;='Visual SPC'!$C$4),OR('Visual SPC'!$E$4="",'Data Entry'!$C2311&lt;='Visual SPC'!$E$4),OR('Visual SPC'!$G$4="",'Data Entry'!$D2311='Visual SPC'!$G$4),OR('Visual SPC'!$I$4="",'Data Entry'!$E2311='Visual SPC'!$I$4),OR('Visual SPC'!$K$4="",'Data Entry'!$F2311='Visual SPC'!$K$4)),1,0))</f>
        <v/>
      </c>
      <c r="C2311">
        <f>C2310+B2311</f>
        <v/>
      </c>
      <c r="D2311">
        <f>IF(B2311=1,INDEX('Data Entry'!$H$5:$BE$10004,2311-4,'Visual SPC'!$B$3),"")</f>
        <v/>
      </c>
      <c r="E2311">
        <f>IF(B2311=1,D2311,E2310)</f>
        <v/>
      </c>
      <c r="F2311">
        <f>IF(AND(B2311=1,C2311&gt;1,E2310&lt;&gt;""),ABS(D2311-E2310),"")</f>
        <v/>
      </c>
    </row>
    <row r="2312">
      <c r="A2312" t="n">
        <v>2312</v>
      </c>
      <c r="B2312">
        <f>IF(INDEX('Data Entry'!$H$5:$BE$10004,2312-4,'Visual SPC'!$B$3)="",0,IF(AND(OR('Visual SPC'!$C$4="",'Data Entry'!$C2312&gt;='Visual SPC'!$C$4),OR('Visual SPC'!$E$4="",'Data Entry'!$C2312&lt;='Visual SPC'!$E$4),OR('Visual SPC'!$G$4="",'Data Entry'!$D2312='Visual SPC'!$G$4),OR('Visual SPC'!$I$4="",'Data Entry'!$E2312='Visual SPC'!$I$4),OR('Visual SPC'!$K$4="",'Data Entry'!$F2312='Visual SPC'!$K$4)),1,0))</f>
        <v/>
      </c>
      <c r="C2312">
        <f>C2311+B2312</f>
        <v/>
      </c>
      <c r="D2312">
        <f>IF(B2312=1,INDEX('Data Entry'!$H$5:$BE$10004,2312-4,'Visual SPC'!$B$3),"")</f>
        <v/>
      </c>
      <c r="E2312">
        <f>IF(B2312=1,D2312,E2311)</f>
        <v/>
      </c>
      <c r="F2312">
        <f>IF(AND(B2312=1,C2312&gt;1,E2311&lt;&gt;""),ABS(D2312-E2311),"")</f>
        <v/>
      </c>
    </row>
    <row r="2313">
      <c r="A2313" t="n">
        <v>2313</v>
      </c>
      <c r="B2313">
        <f>IF(INDEX('Data Entry'!$H$5:$BE$10004,2313-4,'Visual SPC'!$B$3)="",0,IF(AND(OR('Visual SPC'!$C$4="",'Data Entry'!$C2313&gt;='Visual SPC'!$C$4),OR('Visual SPC'!$E$4="",'Data Entry'!$C2313&lt;='Visual SPC'!$E$4),OR('Visual SPC'!$G$4="",'Data Entry'!$D2313='Visual SPC'!$G$4),OR('Visual SPC'!$I$4="",'Data Entry'!$E2313='Visual SPC'!$I$4),OR('Visual SPC'!$K$4="",'Data Entry'!$F2313='Visual SPC'!$K$4)),1,0))</f>
        <v/>
      </c>
      <c r="C2313">
        <f>C2312+B2313</f>
        <v/>
      </c>
      <c r="D2313">
        <f>IF(B2313=1,INDEX('Data Entry'!$H$5:$BE$10004,2313-4,'Visual SPC'!$B$3),"")</f>
        <v/>
      </c>
      <c r="E2313">
        <f>IF(B2313=1,D2313,E2312)</f>
        <v/>
      </c>
      <c r="F2313">
        <f>IF(AND(B2313=1,C2313&gt;1,E2312&lt;&gt;""),ABS(D2313-E2312),"")</f>
        <v/>
      </c>
    </row>
    <row r="2314">
      <c r="A2314" t="n">
        <v>2314</v>
      </c>
      <c r="B2314">
        <f>IF(INDEX('Data Entry'!$H$5:$BE$10004,2314-4,'Visual SPC'!$B$3)="",0,IF(AND(OR('Visual SPC'!$C$4="",'Data Entry'!$C2314&gt;='Visual SPC'!$C$4),OR('Visual SPC'!$E$4="",'Data Entry'!$C2314&lt;='Visual SPC'!$E$4),OR('Visual SPC'!$G$4="",'Data Entry'!$D2314='Visual SPC'!$G$4),OR('Visual SPC'!$I$4="",'Data Entry'!$E2314='Visual SPC'!$I$4),OR('Visual SPC'!$K$4="",'Data Entry'!$F2314='Visual SPC'!$K$4)),1,0))</f>
        <v/>
      </c>
      <c r="C2314">
        <f>C2313+B2314</f>
        <v/>
      </c>
      <c r="D2314">
        <f>IF(B2314=1,INDEX('Data Entry'!$H$5:$BE$10004,2314-4,'Visual SPC'!$B$3),"")</f>
        <v/>
      </c>
      <c r="E2314">
        <f>IF(B2314=1,D2314,E2313)</f>
        <v/>
      </c>
      <c r="F2314">
        <f>IF(AND(B2314=1,C2314&gt;1,E2313&lt;&gt;""),ABS(D2314-E2313),"")</f>
        <v/>
      </c>
    </row>
    <row r="2315">
      <c r="A2315" t="n">
        <v>2315</v>
      </c>
      <c r="B2315">
        <f>IF(INDEX('Data Entry'!$H$5:$BE$10004,2315-4,'Visual SPC'!$B$3)="",0,IF(AND(OR('Visual SPC'!$C$4="",'Data Entry'!$C2315&gt;='Visual SPC'!$C$4),OR('Visual SPC'!$E$4="",'Data Entry'!$C2315&lt;='Visual SPC'!$E$4),OR('Visual SPC'!$G$4="",'Data Entry'!$D2315='Visual SPC'!$G$4),OR('Visual SPC'!$I$4="",'Data Entry'!$E2315='Visual SPC'!$I$4),OR('Visual SPC'!$K$4="",'Data Entry'!$F2315='Visual SPC'!$K$4)),1,0))</f>
        <v/>
      </c>
      <c r="C2315">
        <f>C2314+B2315</f>
        <v/>
      </c>
      <c r="D2315">
        <f>IF(B2315=1,INDEX('Data Entry'!$H$5:$BE$10004,2315-4,'Visual SPC'!$B$3),"")</f>
        <v/>
      </c>
      <c r="E2315">
        <f>IF(B2315=1,D2315,E2314)</f>
        <v/>
      </c>
      <c r="F2315">
        <f>IF(AND(B2315=1,C2315&gt;1,E2314&lt;&gt;""),ABS(D2315-E2314),"")</f>
        <v/>
      </c>
    </row>
    <row r="2316">
      <c r="A2316" t="n">
        <v>2316</v>
      </c>
      <c r="B2316">
        <f>IF(INDEX('Data Entry'!$H$5:$BE$10004,2316-4,'Visual SPC'!$B$3)="",0,IF(AND(OR('Visual SPC'!$C$4="",'Data Entry'!$C2316&gt;='Visual SPC'!$C$4),OR('Visual SPC'!$E$4="",'Data Entry'!$C2316&lt;='Visual SPC'!$E$4),OR('Visual SPC'!$G$4="",'Data Entry'!$D2316='Visual SPC'!$G$4),OR('Visual SPC'!$I$4="",'Data Entry'!$E2316='Visual SPC'!$I$4),OR('Visual SPC'!$K$4="",'Data Entry'!$F2316='Visual SPC'!$K$4)),1,0))</f>
        <v/>
      </c>
      <c r="C2316">
        <f>C2315+B2316</f>
        <v/>
      </c>
      <c r="D2316">
        <f>IF(B2316=1,INDEX('Data Entry'!$H$5:$BE$10004,2316-4,'Visual SPC'!$B$3),"")</f>
        <v/>
      </c>
      <c r="E2316">
        <f>IF(B2316=1,D2316,E2315)</f>
        <v/>
      </c>
      <c r="F2316">
        <f>IF(AND(B2316=1,C2316&gt;1,E2315&lt;&gt;""),ABS(D2316-E2315),"")</f>
        <v/>
      </c>
    </row>
    <row r="2317">
      <c r="A2317" t="n">
        <v>2317</v>
      </c>
      <c r="B2317">
        <f>IF(INDEX('Data Entry'!$H$5:$BE$10004,2317-4,'Visual SPC'!$B$3)="",0,IF(AND(OR('Visual SPC'!$C$4="",'Data Entry'!$C2317&gt;='Visual SPC'!$C$4),OR('Visual SPC'!$E$4="",'Data Entry'!$C2317&lt;='Visual SPC'!$E$4),OR('Visual SPC'!$G$4="",'Data Entry'!$D2317='Visual SPC'!$G$4),OR('Visual SPC'!$I$4="",'Data Entry'!$E2317='Visual SPC'!$I$4),OR('Visual SPC'!$K$4="",'Data Entry'!$F2317='Visual SPC'!$K$4)),1,0))</f>
        <v/>
      </c>
      <c r="C2317">
        <f>C2316+B2317</f>
        <v/>
      </c>
      <c r="D2317">
        <f>IF(B2317=1,INDEX('Data Entry'!$H$5:$BE$10004,2317-4,'Visual SPC'!$B$3),"")</f>
        <v/>
      </c>
      <c r="E2317">
        <f>IF(B2317=1,D2317,E2316)</f>
        <v/>
      </c>
      <c r="F2317">
        <f>IF(AND(B2317=1,C2317&gt;1,E2316&lt;&gt;""),ABS(D2317-E2316),"")</f>
        <v/>
      </c>
    </row>
    <row r="2318">
      <c r="A2318" t="n">
        <v>2318</v>
      </c>
      <c r="B2318">
        <f>IF(INDEX('Data Entry'!$H$5:$BE$10004,2318-4,'Visual SPC'!$B$3)="",0,IF(AND(OR('Visual SPC'!$C$4="",'Data Entry'!$C2318&gt;='Visual SPC'!$C$4),OR('Visual SPC'!$E$4="",'Data Entry'!$C2318&lt;='Visual SPC'!$E$4),OR('Visual SPC'!$G$4="",'Data Entry'!$D2318='Visual SPC'!$G$4),OR('Visual SPC'!$I$4="",'Data Entry'!$E2318='Visual SPC'!$I$4),OR('Visual SPC'!$K$4="",'Data Entry'!$F2318='Visual SPC'!$K$4)),1,0))</f>
        <v/>
      </c>
      <c r="C2318">
        <f>C2317+B2318</f>
        <v/>
      </c>
      <c r="D2318">
        <f>IF(B2318=1,INDEX('Data Entry'!$H$5:$BE$10004,2318-4,'Visual SPC'!$B$3),"")</f>
        <v/>
      </c>
      <c r="E2318">
        <f>IF(B2318=1,D2318,E2317)</f>
        <v/>
      </c>
      <c r="F2318">
        <f>IF(AND(B2318=1,C2318&gt;1,E2317&lt;&gt;""),ABS(D2318-E2317),"")</f>
        <v/>
      </c>
    </row>
    <row r="2319">
      <c r="A2319" t="n">
        <v>2319</v>
      </c>
      <c r="B2319">
        <f>IF(INDEX('Data Entry'!$H$5:$BE$10004,2319-4,'Visual SPC'!$B$3)="",0,IF(AND(OR('Visual SPC'!$C$4="",'Data Entry'!$C2319&gt;='Visual SPC'!$C$4),OR('Visual SPC'!$E$4="",'Data Entry'!$C2319&lt;='Visual SPC'!$E$4),OR('Visual SPC'!$G$4="",'Data Entry'!$D2319='Visual SPC'!$G$4),OR('Visual SPC'!$I$4="",'Data Entry'!$E2319='Visual SPC'!$I$4),OR('Visual SPC'!$K$4="",'Data Entry'!$F2319='Visual SPC'!$K$4)),1,0))</f>
        <v/>
      </c>
      <c r="C2319">
        <f>C2318+B2319</f>
        <v/>
      </c>
      <c r="D2319">
        <f>IF(B2319=1,INDEX('Data Entry'!$H$5:$BE$10004,2319-4,'Visual SPC'!$B$3),"")</f>
        <v/>
      </c>
      <c r="E2319">
        <f>IF(B2319=1,D2319,E2318)</f>
        <v/>
      </c>
      <c r="F2319">
        <f>IF(AND(B2319=1,C2319&gt;1,E2318&lt;&gt;""),ABS(D2319-E2318),"")</f>
        <v/>
      </c>
    </row>
    <row r="2320">
      <c r="A2320" t="n">
        <v>2320</v>
      </c>
      <c r="B2320">
        <f>IF(INDEX('Data Entry'!$H$5:$BE$10004,2320-4,'Visual SPC'!$B$3)="",0,IF(AND(OR('Visual SPC'!$C$4="",'Data Entry'!$C2320&gt;='Visual SPC'!$C$4),OR('Visual SPC'!$E$4="",'Data Entry'!$C2320&lt;='Visual SPC'!$E$4),OR('Visual SPC'!$G$4="",'Data Entry'!$D2320='Visual SPC'!$G$4),OR('Visual SPC'!$I$4="",'Data Entry'!$E2320='Visual SPC'!$I$4),OR('Visual SPC'!$K$4="",'Data Entry'!$F2320='Visual SPC'!$K$4)),1,0))</f>
        <v/>
      </c>
      <c r="C2320">
        <f>C2319+B2320</f>
        <v/>
      </c>
      <c r="D2320">
        <f>IF(B2320=1,INDEX('Data Entry'!$H$5:$BE$10004,2320-4,'Visual SPC'!$B$3),"")</f>
        <v/>
      </c>
      <c r="E2320">
        <f>IF(B2320=1,D2320,E2319)</f>
        <v/>
      </c>
      <c r="F2320">
        <f>IF(AND(B2320=1,C2320&gt;1,E2319&lt;&gt;""),ABS(D2320-E2319),"")</f>
        <v/>
      </c>
    </row>
    <row r="2321">
      <c r="A2321" t="n">
        <v>2321</v>
      </c>
      <c r="B2321">
        <f>IF(INDEX('Data Entry'!$H$5:$BE$10004,2321-4,'Visual SPC'!$B$3)="",0,IF(AND(OR('Visual SPC'!$C$4="",'Data Entry'!$C2321&gt;='Visual SPC'!$C$4),OR('Visual SPC'!$E$4="",'Data Entry'!$C2321&lt;='Visual SPC'!$E$4),OR('Visual SPC'!$G$4="",'Data Entry'!$D2321='Visual SPC'!$G$4),OR('Visual SPC'!$I$4="",'Data Entry'!$E2321='Visual SPC'!$I$4),OR('Visual SPC'!$K$4="",'Data Entry'!$F2321='Visual SPC'!$K$4)),1,0))</f>
        <v/>
      </c>
      <c r="C2321">
        <f>C2320+B2321</f>
        <v/>
      </c>
      <c r="D2321">
        <f>IF(B2321=1,INDEX('Data Entry'!$H$5:$BE$10004,2321-4,'Visual SPC'!$B$3),"")</f>
        <v/>
      </c>
      <c r="E2321">
        <f>IF(B2321=1,D2321,E2320)</f>
        <v/>
      </c>
      <c r="F2321">
        <f>IF(AND(B2321=1,C2321&gt;1,E2320&lt;&gt;""),ABS(D2321-E2320),"")</f>
        <v/>
      </c>
    </row>
    <row r="2322">
      <c r="A2322" t="n">
        <v>2322</v>
      </c>
      <c r="B2322">
        <f>IF(INDEX('Data Entry'!$H$5:$BE$10004,2322-4,'Visual SPC'!$B$3)="",0,IF(AND(OR('Visual SPC'!$C$4="",'Data Entry'!$C2322&gt;='Visual SPC'!$C$4),OR('Visual SPC'!$E$4="",'Data Entry'!$C2322&lt;='Visual SPC'!$E$4),OR('Visual SPC'!$G$4="",'Data Entry'!$D2322='Visual SPC'!$G$4),OR('Visual SPC'!$I$4="",'Data Entry'!$E2322='Visual SPC'!$I$4),OR('Visual SPC'!$K$4="",'Data Entry'!$F2322='Visual SPC'!$K$4)),1,0))</f>
        <v/>
      </c>
      <c r="C2322">
        <f>C2321+B2322</f>
        <v/>
      </c>
      <c r="D2322">
        <f>IF(B2322=1,INDEX('Data Entry'!$H$5:$BE$10004,2322-4,'Visual SPC'!$B$3),"")</f>
        <v/>
      </c>
      <c r="E2322">
        <f>IF(B2322=1,D2322,E2321)</f>
        <v/>
      </c>
      <c r="F2322">
        <f>IF(AND(B2322=1,C2322&gt;1,E2321&lt;&gt;""),ABS(D2322-E2321),"")</f>
        <v/>
      </c>
    </row>
    <row r="2323">
      <c r="A2323" t="n">
        <v>2323</v>
      </c>
      <c r="B2323">
        <f>IF(INDEX('Data Entry'!$H$5:$BE$10004,2323-4,'Visual SPC'!$B$3)="",0,IF(AND(OR('Visual SPC'!$C$4="",'Data Entry'!$C2323&gt;='Visual SPC'!$C$4),OR('Visual SPC'!$E$4="",'Data Entry'!$C2323&lt;='Visual SPC'!$E$4),OR('Visual SPC'!$G$4="",'Data Entry'!$D2323='Visual SPC'!$G$4),OR('Visual SPC'!$I$4="",'Data Entry'!$E2323='Visual SPC'!$I$4),OR('Visual SPC'!$K$4="",'Data Entry'!$F2323='Visual SPC'!$K$4)),1,0))</f>
        <v/>
      </c>
      <c r="C2323">
        <f>C2322+B2323</f>
        <v/>
      </c>
      <c r="D2323">
        <f>IF(B2323=1,INDEX('Data Entry'!$H$5:$BE$10004,2323-4,'Visual SPC'!$B$3),"")</f>
        <v/>
      </c>
      <c r="E2323">
        <f>IF(B2323=1,D2323,E2322)</f>
        <v/>
      </c>
      <c r="F2323">
        <f>IF(AND(B2323=1,C2323&gt;1,E2322&lt;&gt;""),ABS(D2323-E2322),"")</f>
        <v/>
      </c>
    </row>
    <row r="2324">
      <c r="A2324" t="n">
        <v>2324</v>
      </c>
      <c r="B2324">
        <f>IF(INDEX('Data Entry'!$H$5:$BE$10004,2324-4,'Visual SPC'!$B$3)="",0,IF(AND(OR('Visual SPC'!$C$4="",'Data Entry'!$C2324&gt;='Visual SPC'!$C$4),OR('Visual SPC'!$E$4="",'Data Entry'!$C2324&lt;='Visual SPC'!$E$4),OR('Visual SPC'!$G$4="",'Data Entry'!$D2324='Visual SPC'!$G$4),OR('Visual SPC'!$I$4="",'Data Entry'!$E2324='Visual SPC'!$I$4),OR('Visual SPC'!$K$4="",'Data Entry'!$F2324='Visual SPC'!$K$4)),1,0))</f>
        <v/>
      </c>
      <c r="C2324">
        <f>C2323+B2324</f>
        <v/>
      </c>
      <c r="D2324">
        <f>IF(B2324=1,INDEX('Data Entry'!$H$5:$BE$10004,2324-4,'Visual SPC'!$B$3),"")</f>
        <v/>
      </c>
      <c r="E2324">
        <f>IF(B2324=1,D2324,E2323)</f>
        <v/>
      </c>
      <c r="F2324">
        <f>IF(AND(B2324=1,C2324&gt;1,E2323&lt;&gt;""),ABS(D2324-E2323),"")</f>
        <v/>
      </c>
    </row>
    <row r="2325">
      <c r="A2325" t="n">
        <v>2325</v>
      </c>
      <c r="B2325">
        <f>IF(INDEX('Data Entry'!$H$5:$BE$10004,2325-4,'Visual SPC'!$B$3)="",0,IF(AND(OR('Visual SPC'!$C$4="",'Data Entry'!$C2325&gt;='Visual SPC'!$C$4),OR('Visual SPC'!$E$4="",'Data Entry'!$C2325&lt;='Visual SPC'!$E$4),OR('Visual SPC'!$G$4="",'Data Entry'!$D2325='Visual SPC'!$G$4),OR('Visual SPC'!$I$4="",'Data Entry'!$E2325='Visual SPC'!$I$4),OR('Visual SPC'!$K$4="",'Data Entry'!$F2325='Visual SPC'!$K$4)),1,0))</f>
        <v/>
      </c>
      <c r="C2325">
        <f>C2324+B2325</f>
        <v/>
      </c>
      <c r="D2325">
        <f>IF(B2325=1,INDEX('Data Entry'!$H$5:$BE$10004,2325-4,'Visual SPC'!$B$3),"")</f>
        <v/>
      </c>
      <c r="E2325">
        <f>IF(B2325=1,D2325,E2324)</f>
        <v/>
      </c>
      <c r="F2325">
        <f>IF(AND(B2325=1,C2325&gt;1,E2324&lt;&gt;""),ABS(D2325-E2324),"")</f>
        <v/>
      </c>
    </row>
    <row r="2326">
      <c r="A2326" t="n">
        <v>2326</v>
      </c>
      <c r="B2326">
        <f>IF(INDEX('Data Entry'!$H$5:$BE$10004,2326-4,'Visual SPC'!$B$3)="",0,IF(AND(OR('Visual SPC'!$C$4="",'Data Entry'!$C2326&gt;='Visual SPC'!$C$4),OR('Visual SPC'!$E$4="",'Data Entry'!$C2326&lt;='Visual SPC'!$E$4),OR('Visual SPC'!$G$4="",'Data Entry'!$D2326='Visual SPC'!$G$4),OR('Visual SPC'!$I$4="",'Data Entry'!$E2326='Visual SPC'!$I$4),OR('Visual SPC'!$K$4="",'Data Entry'!$F2326='Visual SPC'!$K$4)),1,0))</f>
        <v/>
      </c>
      <c r="C2326">
        <f>C2325+B2326</f>
        <v/>
      </c>
      <c r="D2326">
        <f>IF(B2326=1,INDEX('Data Entry'!$H$5:$BE$10004,2326-4,'Visual SPC'!$B$3),"")</f>
        <v/>
      </c>
      <c r="E2326">
        <f>IF(B2326=1,D2326,E2325)</f>
        <v/>
      </c>
      <c r="F2326">
        <f>IF(AND(B2326=1,C2326&gt;1,E2325&lt;&gt;""),ABS(D2326-E2325),"")</f>
        <v/>
      </c>
    </row>
    <row r="2327">
      <c r="A2327" t="n">
        <v>2327</v>
      </c>
      <c r="B2327">
        <f>IF(INDEX('Data Entry'!$H$5:$BE$10004,2327-4,'Visual SPC'!$B$3)="",0,IF(AND(OR('Visual SPC'!$C$4="",'Data Entry'!$C2327&gt;='Visual SPC'!$C$4),OR('Visual SPC'!$E$4="",'Data Entry'!$C2327&lt;='Visual SPC'!$E$4),OR('Visual SPC'!$G$4="",'Data Entry'!$D2327='Visual SPC'!$G$4),OR('Visual SPC'!$I$4="",'Data Entry'!$E2327='Visual SPC'!$I$4),OR('Visual SPC'!$K$4="",'Data Entry'!$F2327='Visual SPC'!$K$4)),1,0))</f>
        <v/>
      </c>
      <c r="C2327">
        <f>C2326+B2327</f>
        <v/>
      </c>
      <c r="D2327">
        <f>IF(B2327=1,INDEX('Data Entry'!$H$5:$BE$10004,2327-4,'Visual SPC'!$B$3),"")</f>
        <v/>
      </c>
      <c r="E2327">
        <f>IF(B2327=1,D2327,E2326)</f>
        <v/>
      </c>
      <c r="F2327">
        <f>IF(AND(B2327=1,C2327&gt;1,E2326&lt;&gt;""),ABS(D2327-E2326),"")</f>
        <v/>
      </c>
    </row>
    <row r="2328">
      <c r="A2328" t="n">
        <v>2328</v>
      </c>
      <c r="B2328">
        <f>IF(INDEX('Data Entry'!$H$5:$BE$10004,2328-4,'Visual SPC'!$B$3)="",0,IF(AND(OR('Visual SPC'!$C$4="",'Data Entry'!$C2328&gt;='Visual SPC'!$C$4),OR('Visual SPC'!$E$4="",'Data Entry'!$C2328&lt;='Visual SPC'!$E$4),OR('Visual SPC'!$G$4="",'Data Entry'!$D2328='Visual SPC'!$G$4),OR('Visual SPC'!$I$4="",'Data Entry'!$E2328='Visual SPC'!$I$4),OR('Visual SPC'!$K$4="",'Data Entry'!$F2328='Visual SPC'!$K$4)),1,0))</f>
        <v/>
      </c>
      <c r="C2328">
        <f>C2327+B2328</f>
        <v/>
      </c>
      <c r="D2328">
        <f>IF(B2328=1,INDEX('Data Entry'!$H$5:$BE$10004,2328-4,'Visual SPC'!$B$3),"")</f>
        <v/>
      </c>
      <c r="E2328">
        <f>IF(B2328=1,D2328,E2327)</f>
        <v/>
      </c>
      <c r="F2328">
        <f>IF(AND(B2328=1,C2328&gt;1,E2327&lt;&gt;""),ABS(D2328-E2327),"")</f>
        <v/>
      </c>
    </row>
    <row r="2329">
      <c r="A2329" t="n">
        <v>2329</v>
      </c>
      <c r="B2329">
        <f>IF(INDEX('Data Entry'!$H$5:$BE$10004,2329-4,'Visual SPC'!$B$3)="",0,IF(AND(OR('Visual SPC'!$C$4="",'Data Entry'!$C2329&gt;='Visual SPC'!$C$4),OR('Visual SPC'!$E$4="",'Data Entry'!$C2329&lt;='Visual SPC'!$E$4),OR('Visual SPC'!$G$4="",'Data Entry'!$D2329='Visual SPC'!$G$4),OR('Visual SPC'!$I$4="",'Data Entry'!$E2329='Visual SPC'!$I$4),OR('Visual SPC'!$K$4="",'Data Entry'!$F2329='Visual SPC'!$K$4)),1,0))</f>
        <v/>
      </c>
      <c r="C2329">
        <f>C2328+B2329</f>
        <v/>
      </c>
      <c r="D2329">
        <f>IF(B2329=1,INDEX('Data Entry'!$H$5:$BE$10004,2329-4,'Visual SPC'!$B$3),"")</f>
        <v/>
      </c>
      <c r="E2329">
        <f>IF(B2329=1,D2329,E2328)</f>
        <v/>
      </c>
      <c r="F2329">
        <f>IF(AND(B2329=1,C2329&gt;1,E2328&lt;&gt;""),ABS(D2329-E2328),"")</f>
        <v/>
      </c>
    </row>
    <row r="2330">
      <c r="A2330" t="n">
        <v>2330</v>
      </c>
      <c r="B2330">
        <f>IF(INDEX('Data Entry'!$H$5:$BE$10004,2330-4,'Visual SPC'!$B$3)="",0,IF(AND(OR('Visual SPC'!$C$4="",'Data Entry'!$C2330&gt;='Visual SPC'!$C$4),OR('Visual SPC'!$E$4="",'Data Entry'!$C2330&lt;='Visual SPC'!$E$4),OR('Visual SPC'!$G$4="",'Data Entry'!$D2330='Visual SPC'!$G$4),OR('Visual SPC'!$I$4="",'Data Entry'!$E2330='Visual SPC'!$I$4),OR('Visual SPC'!$K$4="",'Data Entry'!$F2330='Visual SPC'!$K$4)),1,0))</f>
        <v/>
      </c>
      <c r="C2330">
        <f>C2329+B2330</f>
        <v/>
      </c>
      <c r="D2330">
        <f>IF(B2330=1,INDEX('Data Entry'!$H$5:$BE$10004,2330-4,'Visual SPC'!$B$3),"")</f>
        <v/>
      </c>
      <c r="E2330">
        <f>IF(B2330=1,D2330,E2329)</f>
        <v/>
      </c>
      <c r="F2330">
        <f>IF(AND(B2330=1,C2330&gt;1,E2329&lt;&gt;""),ABS(D2330-E2329),"")</f>
        <v/>
      </c>
    </row>
    <row r="2331">
      <c r="A2331" t="n">
        <v>2331</v>
      </c>
      <c r="B2331">
        <f>IF(INDEX('Data Entry'!$H$5:$BE$10004,2331-4,'Visual SPC'!$B$3)="",0,IF(AND(OR('Visual SPC'!$C$4="",'Data Entry'!$C2331&gt;='Visual SPC'!$C$4),OR('Visual SPC'!$E$4="",'Data Entry'!$C2331&lt;='Visual SPC'!$E$4),OR('Visual SPC'!$G$4="",'Data Entry'!$D2331='Visual SPC'!$G$4),OR('Visual SPC'!$I$4="",'Data Entry'!$E2331='Visual SPC'!$I$4),OR('Visual SPC'!$K$4="",'Data Entry'!$F2331='Visual SPC'!$K$4)),1,0))</f>
        <v/>
      </c>
      <c r="C2331">
        <f>C2330+B2331</f>
        <v/>
      </c>
      <c r="D2331">
        <f>IF(B2331=1,INDEX('Data Entry'!$H$5:$BE$10004,2331-4,'Visual SPC'!$B$3),"")</f>
        <v/>
      </c>
      <c r="E2331">
        <f>IF(B2331=1,D2331,E2330)</f>
        <v/>
      </c>
      <c r="F2331">
        <f>IF(AND(B2331=1,C2331&gt;1,E2330&lt;&gt;""),ABS(D2331-E2330),"")</f>
        <v/>
      </c>
    </row>
    <row r="2332">
      <c r="A2332" t="n">
        <v>2332</v>
      </c>
      <c r="B2332">
        <f>IF(INDEX('Data Entry'!$H$5:$BE$10004,2332-4,'Visual SPC'!$B$3)="",0,IF(AND(OR('Visual SPC'!$C$4="",'Data Entry'!$C2332&gt;='Visual SPC'!$C$4),OR('Visual SPC'!$E$4="",'Data Entry'!$C2332&lt;='Visual SPC'!$E$4),OR('Visual SPC'!$G$4="",'Data Entry'!$D2332='Visual SPC'!$G$4),OR('Visual SPC'!$I$4="",'Data Entry'!$E2332='Visual SPC'!$I$4),OR('Visual SPC'!$K$4="",'Data Entry'!$F2332='Visual SPC'!$K$4)),1,0))</f>
        <v/>
      </c>
      <c r="C2332">
        <f>C2331+B2332</f>
        <v/>
      </c>
      <c r="D2332">
        <f>IF(B2332=1,INDEX('Data Entry'!$H$5:$BE$10004,2332-4,'Visual SPC'!$B$3),"")</f>
        <v/>
      </c>
      <c r="E2332">
        <f>IF(B2332=1,D2332,E2331)</f>
        <v/>
      </c>
      <c r="F2332">
        <f>IF(AND(B2332=1,C2332&gt;1,E2331&lt;&gt;""),ABS(D2332-E2331),"")</f>
        <v/>
      </c>
    </row>
    <row r="2333">
      <c r="A2333" t="n">
        <v>2333</v>
      </c>
      <c r="B2333">
        <f>IF(INDEX('Data Entry'!$H$5:$BE$10004,2333-4,'Visual SPC'!$B$3)="",0,IF(AND(OR('Visual SPC'!$C$4="",'Data Entry'!$C2333&gt;='Visual SPC'!$C$4),OR('Visual SPC'!$E$4="",'Data Entry'!$C2333&lt;='Visual SPC'!$E$4),OR('Visual SPC'!$G$4="",'Data Entry'!$D2333='Visual SPC'!$G$4),OR('Visual SPC'!$I$4="",'Data Entry'!$E2333='Visual SPC'!$I$4),OR('Visual SPC'!$K$4="",'Data Entry'!$F2333='Visual SPC'!$K$4)),1,0))</f>
        <v/>
      </c>
      <c r="C2333">
        <f>C2332+B2333</f>
        <v/>
      </c>
      <c r="D2333">
        <f>IF(B2333=1,INDEX('Data Entry'!$H$5:$BE$10004,2333-4,'Visual SPC'!$B$3),"")</f>
        <v/>
      </c>
      <c r="E2333">
        <f>IF(B2333=1,D2333,E2332)</f>
        <v/>
      </c>
      <c r="F2333">
        <f>IF(AND(B2333=1,C2333&gt;1,E2332&lt;&gt;""),ABS(D2333-E2332),"")</f>
        <v/>
      </c>
    </row>
    <row r="2334">
      <c r="A2334" t="n">
        <v>2334</v>
      </c>
      <c r="B2334">
        <f>IF(INDEX('Data Entry'!$H$5:$BE$10004,2334-4,'Visual SPC'!$B$3)="",0,IF(AND(OR('Visual SPC'!$C$4="",'Data Entry'!$C2334&gt;='Visual SPC'!$C$4),OR('Visual SPC'!$E$4="",'Data Entry'!$C2334&lt;='Visual SPC'!$E$4),OR('Visual SPC'!$G$4="",'Data Entry'!$D2334='Visual SPC'!$G$4),OR('Visual SPC'!$I$4="",'Data Entry'!$E2334='Visual SPC'!$I$4),OR('Visual SPC'!$K$4="",'Data Entry'!$F2334='Visual SPC'!$K$4)),1,0))</f>
        <v/>
      </c>
      <c r="C2334">
        <f>C2333+B2334</f>
        <v/>
      </c>
      <c r="D2334">
        <f>IF(B2334=1,INDEX('Data Entry'!$H$5:$BE$10004,2334-4,'Visual SPC'!$B$3),"")</f>
        <v/>
      </c>
      <c r="E2334">
        <f>IF(B2334=1,D2334,E2333)</f>
        <v/>
      </c>
      <c r="F2334">
        <f>IF(AND(B2334=1,C2334&gt;1,E2333&lt;&gt;""),ABS(D2334-E2333),"")</f>
        <v/>
      </c>
    </row>
    <row r="2335">
      <c r="A2335" t="n">
        <v>2335</v>
      </c>
      <c r="B2335">
        <f>IF(INDEX('Data Entry'!$H$5:$BE$10004,2335-4,'Visual SPC'!$B$3)="",0,IF(AND(OR('Visual SPC'!$C$4="",'Data Entry'!$C2335&gt;='Visual SPC'!$C$4),OR('Visual SPC'!$E$4="",'Data Entry'!$C2335&lt;='Visual SPC'!$E$4),OR('Visual SPC'!$G$4="",'Data Entry'!$D2335='Visual SPC'!$G$4),OR('Visual SPC'!$I$4="",'Data Entry'!$E2335='Visual SPC'!$I$4),OR('Visual SPC'!$K$4="",'Data Entry'!$F2335='Visual SPC'!$K$4)),1,0))</f>
        <v/>
      </c>
      <c r="C2335">
        <f>C2334+B2335</f>
        <v/>
      </c>
      <c r="D2335">
        <f>IF(B2335=1,INDEX('Data Entry'!$H$5:$BE$10004,2335-4,'Visual SPC'!$B$3),"")</f>
        <v/>
      </c>
      <c r="E2335">
        <f>IF(B2335=1,D2335,E2334)</f>
        <v/>
      </c>
      <c r="F2335">
        <f>IF(AND(B2335=1,C2335&gt;1,E2334&lt;&gt;""),ABS(D2335-E2334),"")</f>
        <v/>
      </c>
    </row>
    <row r="2336">
      <c r="A2336" t="n">
        <v>2336</v>
      </c>
      <c r="B2336">
        <f>IF(INDEX('Data Entry'!$H$5:$BE$10004,2336-4,'Visual SPC'!$B$3)="",0,IF(AND(OR('Visual SPC'!$C$4="",'Data Entry'!$C2336&gt;='Visual SPC'!$C$4),OR('Visual SPC'!$E$4="",'Data Entry'!$C2336&lt;='Visual SPC'!$E$4),OR('Visual SPC'!$G$4="",'Data Entry'!$D2336='Visual SPC'!$G$4),OR('Visual SPC'!$I$4="",'Data Entry'!$E2336='Visual SPC'!$I$4),OR('Visual SPC'!$K$4="",'Data Entry'!$F2336='Visual SPC'!$K$4)),1,0))</f>
        <v/>
      </c>
      <c r="C2336">
        <f>C2335+B2336</f>
        <v/>
      </c>
      <c r="D2336">
        <f>IF(B2336=1,INDEX('Data Entry'!$H$5:$BE$10004,2336-4,'Visual SPC'!$B$3),"")</f>
        <v/>
      </c>
      <c r="E2336">
        <f>IF(B2336=1,D2336,E2335)</f>
        <v/>
      </c>
      <c r="F2336">
        <f>IF(AND(B2336=1,C2336&gt;1,E2335&lt;&gt;""),ABS(D2336-E2335),"")</f>
        <v/>
      </c>
    </row>
    <row r="2337">
      <c r="A2337" t="n">
        <v>2337</v>
      </c>
      <c r="B2337">
        <f>IF(INDEX('Data Entry'!$H$5:$BE$10004,2337-4,'Visual SPC'!$B$3)="",0,IF(AND(OR('Visual SPC'!$C$4="",'Data Entry'!$C2337&gt;='Visual SPC'!$C$4),OR('Visual SPC'!$E$4="",'Data Entry'!$C2337&lt;='Visual SPC'!$E$4),OR('Visual SPC'!$G$4="",'Data Entry'!$D2337='Visual SPC'!$G$4),OR('Visual SPC'!$I$4="",'Data Entry'!$E2337='Visual SPC'!$I$4),OR('Visual SPC'!$K$4="",'Data Entry'!$F2337='Visual SPC'!$K$4)),1,0))</f>
        <v/>
      </c>
      <c r="C2337">
        <f>C2336+B2337</f>
        <v/>
      </c>
      <c r="D2337">
        <f>IF(B2337=1,INDEX('Data Entry'!$H$5:$BE$10004,2337-4,'Visual SPC'!$B$3),"")</f>
        <v/>
      </c>
      <c r="E2337">
        <f>IF(B2337=1,D2337,E2336)</f>
        <v/>
      </c>
      <c r="F2337">
        <f>IF(AND(B2337=1,C2337&gt;1,E2336&lt;&gt;""),ABS(D2337-E2336),"")</f>
        <v/>
      </c>
    </row>
    <row r="2338">
      <c r="A2338" t="n">
        <v>2338</v>
      </c>
      <c r="B2338">
        <f>IF(INDEX('Data Entry'!$H$5:$BE$10004,2338-4,'Visual SPC'!$B$3)="",0,IF(AND(OR('Visual SPC'!$C$4="",'Data Entry'!$C2338&gt;='Visual SPC'!$C$4),OR('Visual SPC'!$E$4="",'Data Entry'!$C2338&lt;='Visual SPC'!$E$4),OR('Visual SPC'!$G$4="",'Data Entry'!$D2338='Visual SPC'!$G$4),OR('Visual SPC'!$I$4="",'Data Entry'!$E2338='Visual SPC'!$I$4),OR('Visual SPC'!$K$4="",'Data Entry'!$F2338='Visual SPC'!$K$4)),1,0))</f>
        <v/>
      </c>
      <c r="C2338">
        <f>C2337+B2338</f>
        <v/>
      </c>
      <c r="D2338">
        <f>IF(B2338=1,INDEX('Data Entry'!$H$5:$BE$10004,2338-4,'Visual SPC'!$B$3),"")</f>
        <v/>
      </c>
      <c r="E2338">
        <f>IF(B2338=1,D2338,E2337)</f>
        <v/>
      </c>
      <c r="F2338">
        <f>IF(AND(B2338=1,C2338&gt;1,E2337&lt;&gt;""),ABS(D2338-E2337),"")</f>
        <v/>
      </c>
    </row>
    <row r="2339">
      <c r="A2339" t="n">
        <v>2339</v>
      </c>
      <c r="B2339">
        <f>IF(INDEX('Data Entry'!$H$5:$BE$10004,2339-4,'Visual SPC'!$B$3)="",0,IF(AND(OR('Visual SPC'!$C$4="",'Data Entry'!$C2339&gt;='Visual SPC'!$C$4),OR('Visual SPC'!$E$4="",'Data Entry'!$C2339&lt;='Visual SPC'!$E$4),OR('Visual SPC'!$G$4="",'Data Entry'!$D2339='Visual SPC'!$G$4),OR('Visual SPC'!$I$4="",'Data Entry'!$E2339='Visual SPC'!$I$4),OR('Visual SPC'!$K$4="",'Data Entry'!$F2339='Visual SPC'!$K$4)),1,0))</f>
        <v/>
      </c>
      <c r="C2339">
        <f>C2338+B2339</f>
        <v/>
      </c>
      <c r="D2339">
        <f>IF(B2339=1,INDEX('Data Entry'!$H$5:$BE$10004,2339-4,'Visual SPC'!$B$3),"")</f>
        <v/>
      </c>
      <c r="E2339">
        <f>IF(B2339=1,D2339,E2338)</f>
        <v/>
      </c>
      <c r="F2339">
        <f>IF(AND(B2339=1,C2339&gt;1,E2338&lt;&gt;""),ABS(D2339-E2338),"")</f>
        <v/>
      </c>
    </row>
    <row r="2340">
      <c r="A2340" t="n">
        <v>2340</v>
      </c>
      <c r="B2340">
        <f>IF(INDEX('Data Entry'!$H$5:$BE$10004,2340-4,'Visual SPC'!$B$3)="",0,IF(AND(OR('Visual SPC'!$C$4="",'Data Entry'!$C2340&gt;='Visual SPC'!$C$4),OR('Visual SPC'!$E$4="",'Data Entry'!$C2340&lt;='Visual SPC'!$E$4),OR('Visual SPC'!$G$4="",'Data Entry'!$D2340='Visual SPC'!$G$4),OR('Visual SPC'!$I$4="",'Data Entry'!$E2340='Visual SPC'!$I$4),OR('Visual SPC'!$K$4="",'Data Entry'!$F2340='Visual SPC'!$K$4)),1,0))</f>
        <v/>
      </c>
      <c r="C2340">
        <f>C2339+B2340</f>
        <v/>
      </c>
      <c r="D2340">
        <f>IF(B2340=1,INDEX('Data Entry'!$H$5:$BE$10004,2340-4,'Visual SPC'!$B$3),"")</f>
        <v/>
      </c>
      <c r="E2340">
        <f>IF(B2340=1,D2340,E2339)</f>
        <v/>
      </c>
      <c r="F2340">
        <f>IF(AND(B2340=1,C2340&gt;1,E2339&lt;&gt;""),ABS(D2340-E2339),"")</f>
        <v/>
      </c>
    </row>
    <row r="2341">
      <c r="A2341" t="n">
        <v>2341</v>
      </c>
      <c r="B2341">
        <f>IF(INDEX('Data Entry'!$H$5:$BE$10004,2341-4,'Visual SPC'!$B$3)="",0,IF(AND(OR('Visual SPC'!$C$4="",'Data Entry'!$C2341&gt;='Visual SPC'!$C$4),OR('Visual SPC'!$E$4="",'Data Entry'!$C2341&lt;='Visual SPC'!$E$4),OR('Visual SPC'!$G$4="",'Data Entry'!$D2341='Visual SPC'!$G$4),OR('Visual SPC'!$I$4="",'Data Entry'!$E2341='Visual SPC'!$I$4),OR('Visual SPC'!$K$4="",'Data Entry'!$F2341='Visual SPC'!$K$4)),1,0))</f>
        <v/>
      </c>
      <c r="C2341">
        <f>C2340+B2341</f>
        <v/>
      </c>
      <c r="D2341">
        <f>IF(B2341=1,INDEX('Data Entry'!$H$5:$BE$10004,2341-4,'Visual SPC'!$B$3),"")</f>
        <v/>
      </c>
      <c r="E2341">
        <f>IF(B2341=1,D2341,E2340)</f>
        <v/>
      </c>
      <c r="F2341">
        <f>IF(AND(B2341=1,C2341&gt;1,E2340&lt;&gt;""),ABS(D2341-E2340),"")</f>
        <v/>
      </c>
    </row>
    <row r="2342">
      <c r="A2342" t="n">
        <v>2342</v>
      </c>
      <c r="B2342">
        <f>IF(INDEX('Data Entry'!$H$5:$BE$10004,2342-4,'Visual SPC'!$B$3)="",0,IF(AND(OR('Visual SPC'!$C$4="",'Data Entry'!$C2342&gt;='Visual SPC'!$C$4),OR('Visual SPC'!$E$4="",'Data Entry'!$C2342&lt;='Visual SPC'!$E$4),OR('Visual SPC'!$G$4="",'Data Entry'!$D2342='Visual SPC'!$G$4),OR('Visual SPC'!$I$4="",'Data Entry'!$E2342='Visual SPC'!$I$4),OR('Visual SPC'!$K$4="",'Data Entry'!$F2342='Visual SPC'!$K$4)),1,0))</f>
        <v/>
      </c>
      <c r="C2342">
        <f>C2341+B2342</f>
        <v/>
      </c>
      <c r="D2342">
        <f>IF(B2342=1,INDEX('Data Entry'!$H$5:$BE$10004,2342-4,'Visual SPC'!$B$3),"")</f>
        <v/>
      </c>
      <c r="E2342">
        <f>IF(B2342=1,D2342,E2341)</f>
        <v/>
      </c>
      <c r="F2342">
        <f>IF(AND(B2342=1,C2342&gt;1,E2341&lt;&gt;""),ABS(D2342-E2341),"")</f>
        <v/>
      </c>
    </row>
    <row r="2343">
      <c r="A2343" t="n">
        <v>2343</v>
      </c>
      <c r="B2343">
        <f>IF(INDEX('Data Entry'!$H$5:$BE$10004,2343-4,'Visual SPC'!$B$3)="",0,IF(AND(OR('Visual SPC'!$C$4="",'Data Entry'!$C2343&gt;='Visual SPC'!$C$4),OR('Visual SPC'!$E$4="",'Data Entry'!$C2343&lt;='Visual SPC'!$E$4),OR('Visual SPC'!$G$4="",'Data Entry'!$D2343='Visual SPC'!$G$4),OR('Visual SPC'!$I$4="",'Data Entry'!$E2343='Visual SPC'!$I$4),OR('Visual SPC'!$K$4="",'Data Entry'!$F2343='Visual SPC'!$K$4)),1,0))</f>
        <v/>
      </c>
      <c r="C2343">
        <f>C2342+B2343</f>
        <v/>
      </c>
      <c r="D2343">
        <f>IF(B2343=1,INDEX('Data Entry'!$H$5:$BE$10004,2343-4,'Visual SPC'!$B$3),"")</f>
        <v/>
      </c>
      <c r="E2343">
        <f>IF(B2343=1,D2343,E2342)</f>
        <v/>
      </c>
      <c r="F2343">
        <f>IF(AND(B2343=1,C2343&gt;1,E2342&lt;&gt;""),ABS(D2343-E2342),"")</f>
        <v/>
      </c>
    </row>
    <row r="2344">
      <c r="A2344" t="n">
        <v>2344</v>
      </c>
      <c r="B2344">
        <f>IF(INDEX('Data Entry'!$H$5:$BE$10004,2344-4,'Visual SPC'!$B$3)="",0,IF(AND(OR('Visual SPC'!$C$4="",'Data Entry'!$C2344&gt;='Visual SPC'!$C$4),OR('Visual SPC'!$E$4="",'Data Entry'!$C2344&lt;='Visual SPC'!$E$4),OR('Visual SPC'!$G$4="",'Data Entry'!$D2344='Visual SPC'!$G$4),OR('Visual SPC'!$I$4="",'Data Entry'!$E2344='Visual SPC'!$I$4),OR('Visual SPC'!$K$4="",'Data Entry'!$F2344='Visual SPC'!$K$4)),1,0))</f>
        <v/>
      </c>
      <c r="C2344">
        <f>C2343+B2344</f>
        <v/>
      </c>
      <c r="D2344">
        <f>IF(B2344=1,INDEX('Data Entry'!$H$5:$BE$10004,2344-4,'Visual SPC'!$B$3),"")</f>
        <v/>
      </c>
      <c r="E2344">
        <f>IF(B2344=1,D2344,E2343)</f>
        <v/>
      </c>
      <c r="F2344">
        <f>IF(AND(B2344=1,C2344&gt;1,E2343&lt;&gt;""),ABS(D2344-E2343),"")</f>
        <v/>
      </c>
    </row>
    <row r="2345">
      <c r="A2345" t="n">
        <v>2345</v>
      </c>
      <c r="B2345">
        <f>IF(INDEX('Data Entry'!$H$5:$BE$10004,2345-4,'Visual SPC'!$B$3)="",0,IF(AND(OR('Visual SPC'!$C$4="",'Data Entry'!$C2345&gt;='Visual SPC'!$C$4),OR('Visual SPC'!$E$4="",'Data Entry'!$C2345&lt;='Visual SPC'!$E$4),OR('Visual SPC'!$G$4="",'Data Entry'!$D2345='Visual SPC'!$G$4),OR('Visual SPC'!$I$4="",'Data Entry'!$E2345='Visual SPC'!$I$4),OR('Visual SPC'!$K$4="",'Data Entry'!$F2345='Visual SPC'!$K$4)),1,0))</f>
        <v/>
      </c>
      <c r="C2345">
        <f>C2344+B2345</f>
        <v/>
      </c>
      <c r="D2345">
        <f>IF(B2345=1,INDEX('Data Entry'!$H$5:$BE$10004,2345-4,'Visual SPC'!$B$3),"")</f>
        <v/>
      </c>
      <c r="E2345">
        <f>IF(B2345=1,D2345,E2344)</f>
        <v/>
      </c>
      <c r="F2345">
        <f>IF(AND(B2345=1,C2345&gt;1,E2344&lt;&gt;""),ABS(D2345-E2344),"")</f>
        <v/>
      </c>
    </row>
    <row r="2346">
      <c r="A2346" t="n">
        <v>2346</v>
      </c>
      <c r="B2346">
        <f>IF(INDEX('Data Entry'!$H$5:$BE$10004,2346-4,'Visual SPC'!$B$3)="",0,IF(AND(OR('Visual SPC'!$C$4="",'Data Entry'!$C2346&gt;='Visual SPC'!$C$4),OR('Visual SPC'!$E$4="",'Data Entry'!$C2346&lt;='Visual SPC'!$E$4),OR('Visual SPC'!$G$4="",'Data Entry'!$D2346='Visual SPC'!$G$4),OR('Visual SPC'!$I$4="",'Data Entry'!$E2346='Visual SPC'!$I$4),OR('Visual SPC'!$K$4="",'Data Entry'!$F2346='Visual SPC'!$K$4)),1,0))</f>
        <v/>
      </c>
      <c r="C2346">
        <f>C2345+B2346</f>
        <v/>
      </c>
      <c r="D2346">
        <f>IF(B2346=1,INDEX('Data Entry'!$H$5:$BE$10004,2346-4,'Visual SPC'!$B$3),"")</f>
        <v/>
      </c>
      <c r="E2346">
        <f>IF(B2346=1,D2346,E2345)</f>
        <v/>
      </c>
      <c r="F2346">
        <f>IF(AND(B2346=1,C2346&gt;1,E2345&lt;&gt;""),ABS(D2346-E2345),"")</f>
        <v/>
      </c>
    </row>
    <row r="2347">
      <c r="A2347" t="n">
        <v>2347</v>
      </c>
      <c r="B2347">
        <f>IF(INDEX('Data Entry'!$H$5:$BE$10004,2347-4,'Visual SPC'!$B$3)="",0,IF(AND(OR('Visual SPC'!$C$4="",'Data Entry'!$C2347&gt;='Visual SPC'!$C$4),OR('Visual SPC'!$E$4="",'Data Entry'!$C2347&lt;='Visual SPC'!$E$4),OR('Visual SPC'!$G$4="",'Data Entry'!$D2347='Visual SPC'!$G$4),OR('Visual SPC'!$I$4="",'Data Entry'!$E2347='Visual SPC'!$I$4),OR('Visual SPC'!$K$4="",'Data Entry'!$F2347='Visual SPC'!$K$4)),1,0))</f>
        <v/>
      </c>
      <c r="C2347">
        <f>C2346+B2347</f>
        <v/>
      </c>
      <c r="D2347">
        <f>IF(B2347=1,INDEX('Data Entry'!$H$5:$BE$10004,2347-4,'Visual SPC'!$B$3),"")</f>
        <v/>
      </c>
      <c r="E2347">
        <f>IF(B2347=1,D2347,E2346)</f>
        <v/>
      </c>
      <c r="F2347">
        <f>IF(AND(B2347=1,C2347&gt;1,E2346&lt;&gt;""),ABS(D2347-E2346),"")</f>
        <v/>
      </c>
    </row>
    <row r="2348">
      <c r="A2348" t="n">
        <v>2348</v>
      </c>
      <c r="B2348">
        <f>IF(INDEX('Data Entry'!$H$5:$BE$10004,2348-4,'Visual SPC'!$B$3)="",0,IF(AND(OR('Visual SPC'!$C$4="",'Data Entry'!$C2348&gt;='Visual SPC'!$C$4),OR('Visual SPC'!$E$4="",'Data Entry'!$C2348&lt;='Visual SPC'!$E$4),OR('Visual SPC'!$G$4="",'Data Entry'!$D2348='Visual SPC'!$G$4),OR('Visual SPC'!$I$4="",'Data Entry'!$E2348='Visual SPC'!$I$4),OR('Visual SPC'!$K$4="",'Data Entry'!$F2348='Visual SPC'!$K$4)),1,0))</f>
        <v/>
      </c>
      <c r="C2348">
        <f>C2347+B2348</f>
        <v/>
      </c>
      <c r="D2348">
        <f>IF(B2348=1,INDEX('Data Entry'!$H$5:$BE$10004,2348-4,'Visual SPC'!$B$3),"")</f>
        <v/>
      </c>
      <c r="E2348">
        <f>IF(B2348=1,D2348,E2347)</f>
        <v/>
      </c>
      <c r="F2348">
        <f>IF(AND(B2348=1,C2348&gt;1,E2347&lt;&gt;""),ABS(D2348-E2347),"")</f>
        <v/>
      </c>
    </row>
    <row r="2349">
      <c r="A2349" t="n">
        <v>2349</v>
      </c>
      <c r="B2349">
        <f>IF(INDEX('Data Entry'!$H$5:$BE$10004,2349-4,'Visual SPC'!$B$3)="",0,IF(AND(OR('Visual SPC'!$C$4="",'Data Entry'!$C2349&gt;='Visual SPC'!$C$4),OR('Visual SPC'!$E$4="",'Data Entry'!$C2349&lt;='Visual SPC'!$E$4),OR('Visual SPC'!$G$4="",'Data Entry'!$D2349='Visual SPC'!$G$4),OR('Visual SPC'!$I$4="",'Data Entry'!$E2349='Visual SPC'!$I$4),OR('Visual SPC'!$K$4="",'Data Entry'!$F2349='Visual SPC'!$K$4)),1,0))</f>
        <v/>
      </c>
      <c r="C2349">
        <f>C2348+B2349</f>
        <v/>
      </c>
      <c r="D2349">
        <f>IF(B2349=1,INDEX('Data Entry'!$H$5:$BE$10004,2349-4,'Visual SPC'!$B$3),"")</f>
        <v/>
      </c>
      <c r="E2349">
        <f>IF(B2349=1,D2349,E2348)</f>
        <v/>
      </c>
      <c r="F2349">
        <f>IF(AND(B2349=1,C2349&gt;1,E2348&lt;&gt;""),ABS(D2349-E2348),"")</f>
        <v/>
      </c>
    </row>
    <row r="2350">
      <c r="A2350" t="n">
        <v>2350</v>
      </c>
      <c r="B2350">
        <f>IF(INDEX('Data Entry'!$H$5:$BE$10004,2350-4,'Visual SPC'!$B$3)="",0,IF(AND(OR('Visual SPC'!$C$4="",'Data Entry'!$C2350&gt;='Visual SPC'!$C$4),OR('Visual SPC'!$E$4="",'Data Entry'!$C2350&lt;='Visual SPC'!$E$4),OR('Visual SPC'!$G$4="",'Data Entry'!$D2350='Visual SPC'!$G$4),OR('Visual SPC'!$I$4="",'Data Entry'!$E2350='Visual SPC'!$I$4),OR('Visual SPC'!$K$4="",'Data Entry'!$F2350='Visual SPC'!$K$4)),1,0))</f>
        <v/>
      </c>
      <c r="C2350">
        <f>C2349+B2350</f>
        <v/>
      </c>
      <c r="D2350">
        <f>IF(B2350=1,INDEX('Data Entry'!$H$5:$BE$10004,2350-4,'Visual SPC'!$B$3),"")</f>
        <v/>
      </c>
      <c r="E2350">
        <f>IF(B2350=1,D2350,E2349)</f>
        <v/>
      </c>
      <c r="F2350">
        <f>IF(AND(B2350=1,C2350&gt;1,E2349&lt;&gt;""),ABS(D2350-E2349),"")</f>
        <v/>
      </c>
    </row>
    <row r="2351">
      <c r="A2351" t="n">
        <v>2351</v>
      </c>
      <c r="B2351">
        <f>IF(INDEX('Data Entry'!$H$5:$BE$10004,2351-4,'Visual SPC'!$B$3)="",0,IF(AND(OR('Visual SPC'!$C$4="",'Data Entry'!$C2351&gt;='Visual SPC'!$C$4),OR('Visual SPC'!$E$4="",'Data Entry'!$C2351&lt;='Visual SPC'!$E$4),OR('Visual SPC'!$G$4="",'Data Entry'!$D2351='Visual SPC'!$G$4),OR('Visual SPC'!$I$4="",'Data Entry'!$E2351='Visual SPC'!$I$4),OR('Visual SPC'!$K$4="",'Data Entry'!$F2351='Visual SPC'!$K$4)),1,0))</f>
        <v/>
      </c>
      <c r="C2351">
        <f>C2350+B2351</f>
        <v/>
      </c>
      <c r="D2351">
        <f>IF(B2351=1,INDEX('Data Entry'!$H$5:$BE$10004,2351-4,'Visual SPC'!$B$3),"")</f>
        <v/>
      </c>
      <c r="E2351">
        <f>IF(B2351=1,D2351,E2350)</f>
        <v/>
      </c>
      <c r="F2351">
        <f>IF(AND(B2351=1,C2351&gt;1,E2350&lt;&gt;""),ABS(D2351-E2350),"")</f>
        <v/>
      </c>
    </row>
    <row r="2352">
      <c r="A2352" t="n">
        <v>2352</v>
      </c>
      <c r="B2352">
        <f>IF(INDEX('Data Entry'!$H$5:$BE$10004,2352-4,'Visual SPC'!$B$3)="",0,IF(AND(OR('Visual SPC'!$C$4="",'Data Entry'!$C2352&gt;='Visual SPC'!$C$4),OR('Visual SPC'!$E$4="",'Data Entry'!$C2352&lt;='Visual SPC'!$E$4),OR('Visual SPC'!$G$4="",'Data Entry'!$D2352='Visual SPC'!$G$4),OR('Visual SPC'!$I$4="",'Data Entry'!$E2352='Visual SPC'!$I$4),OR('Visual SPC'!$K$4="",'Data Entry'!$F2352='Visual SPC'!$K$4)),1,0))</f>
        <v/>
      </c>
      <c r="C2352">
        <f>C2351+B2352</f>
        <v/>
      </c>
      <c r="D2352">
        <f>IF(B2352=1,INDEX('Data Entry'!$H$5:$BE$10004,2352-4,'Visual SPC'!$B$3),"")</f>
        <v/>
      </c>
      <c r="E2352">
        <f>IF(B2352=1,D2352,E2351)</f>
        <v/>
      </c>
      <c r="F2352">
        <f>IF(AND(B2352=1,C2352&gt;1,E2351&lt;&gt;""),ABS(D2352-E2351),"")</f>
        <v/>
      </c>
    </row>
    <row r="2353">
      <c r="A2353" t="n">
        <v>2353</v>
      </c>
      <c r="B2353">
        <f>IF(INDEX('Data Entry'!$H$5:$BE$10004,2353-4,'Visual SPC'!$B$3)="",0,IF(AND(OR('Visual SPC'!$C$4="",'Data Entry'!$C2353&gt;='Visual SPC'!$C$4),OR('Visual SPC'!$E$4="",'Data Entry'!$C2353&lt;='Visual SPC'!$E$4),OR('Visual SPC'!$G$4="",'Data Entry'!$D2353='Visual SPC'!$G$4),OR('Visual SPC'!$I$4="",'Data Entry'!$E2353='Visual SPC'!$I$4),OR('Visual SPC'!$K$4="",'Data Entry'!$F2353='Visual SPC'!$K$4)),1,0))</f>
        <v/>
      </c>
      <c r="C2353">
        <f>C2352+B2353</f>
        <v/>
      </c>
      <c r="D2353">
        <f>IF(B2353=1,INDEX('Data Entry'!$H$5:$BE$10004,2353-4,'Visual SPC'!$B$3),"")</f>
        <v/>
      </c>
      <c r="E2353">
        <f>IF(B2353=1,D2353,E2352)</f>
        <v/>
      </c>
      <c r="F2353">
        <f>IF(AND(B2353=1,C2353&gt;1,E2352&lt;&gt;""),ABS(D2353-E2352),"")</f>
        <v/>
      </c>
    </row>
    <row r="2354">
      <c r="A2354" t="n">
        <v>2354</v>
      </c>
      <c r="B2354">
        <f>IF(INDEX('Data Entry'!$H$5:$BE$10004,2354-4,'Visual SPC'!$B$3)="",0,IF(AND(OR('Visual SPC'!$C$4="",'Data Entry'!$C2354&gt;='Visual SPC'!$C$4),OR('Visual SPC'!$E$4="",'Data Entry'!$C2354&lt;='Visual SPC'!$E$4),OR('Visual SPC'!$G$4="",'Data Entry'!$D2354='Visual SPC'!$G$4),OR('Visual SPC'!$I$4="",'Data Entry'!$E2354='Visual SPC'!$I$4),OR('Visual SPC'!$K$4="",'Data Entry'!$F2354='Visual SPC'!$K$4)),1,0))</f>
        <v/>
      </c>
      <c r="C2354">
        <f>C2353+B2354</f>
        <v/>
      </c>
      <c r="D2354">
        <f>IF(B2354=1,INDEX('Data Entry'!$H$5:$BE$10004,2354-4,'Visual SPC'!$B$3),"")</f>
        <v/>
      </c>
      <c r="E2354">
        <f>IF(B2354=1,D2354,E2353)</f>
        <v/>
      </c>
      <c r="F2354">
        <f>IF(AND(B2354=1,C2354&gt;1,E2353&lt;&gt;""),ABS(D2354-E2353),"")</f>
        <v/>
      </c>
    </row>
    <row r="2355">
      <c r="A2355" t="n">
        <v>2355</v>
      </c>
      <c r="B2355">
        <f>IF(INDEX('Data Entry'!$H$5:$BE$10004,2355-4,'Visual SPC'!$B$3)="",0,IF(AND(OR('Visual SPC'!$C$4="",'Data Entry'!$C2355&gt;='Visual SPC'!$C$4),OR('Visual SPC'!$E$4="",'Data Entry'!$C2355&lt;='Visual SPC'!$E$4),OR('Visual SPC'!$G$4="",'Data Entry'!$D2355='Visual SPC'!$G$4),OR('Visual SPC'!$I$4="",'Data Entry'!$E2355='Visual SPC'!$I$4),OR('Visual SPC'!$K$4="",'Data Entry'!$F2355='Visual SPC'!$K$4)),1,0))</f>
        <v/>
      </c>
      <c r="C2355">
        <f>C2354+B2355</f>
        <v/>
      </c>
      <c r="D2355">
        <f>IF(B2355=1,INDEX('Data Entry'!$H$5:$BE$10004,2355-4,'Visual SPC'!$B$3),"")</f>
        <v/>
      </c>
      <c r="E2355">
        <f>IF(B2355=1,D2355,E2354)</f>
        <v/>
      </c>
      <c r="F2355">
        <f>IF(AND(B2355=1,C2355&gt;1,E2354&lt;&gt;""),ABS(D2355-E2354),"")</f>
        <v/>
      </c>
    </row>
    <row r="2356">
      <c r="A2356" t="n">
        <v>2356</v>
      </c>
      <c r="B2356">
        <f>IF(INDEX('Data Entry'!$H$5:$BE$10004,2356-4,'Visual SPC'!$B$3)="",0,IF(AND(OR('Visual SPC'!$C$4="",'Data Entry'!$C2356&gt;='Visual SPC'!$C$4),OR('Visual SPC'!$E$4="",'Data Entry'!$C2356&lt;='Visual SPC'!$E$4),OR('Visual SPC'!$G$4="",'Data Entry'!$D2356='Visual SPC'!$G$4),OR('Visual SPC'!$I$4="",'Data Entry'!$E2356='Visual SPC'!$I$4),OR('Visual SPC'!$K$4="",'Data Entry'!$F2356='Visual SPC'!$K$4)),1,0))</f>
        <v/>
      </c>
      <c r="C2356">
        <f>C2355+B2356</f>
        <v/>
      </c>
      <c r="D2356">
        <f>IF(B2356=1,INDEX('Data Entry'!$H$5:$BE$10004,2356-4,'Visual SPC'!$B$3),"")</f>
        <v/>
      </c>
      <c r="E2356">
        <f>IF(B2356=1,D2356,E2355)</f>
        <v/>
      </c>
      <c r="F2356">
        <f>IF(AND(B2356=1,C2356&gt;1,E2355&lt;&gt;""),ABS(D2356-E2355),"")</f>
        <v/>
      </c>
    </row>
    <row r="2357">
      <c r="A2357" t="n">
        <v>2357</v>
      </c>
      <c r="B2357">
        <f>IF(INDEX('Data Entry'!$H$5:$BE$10004,2357-4,'Visual SPC'!$B$3)="",0,IF(AND(OR('Visual SPC'!$C$4="",'Data Entry'!$C2357&gt;='Visual SPC'!$C$4),OR('Visual SPC'!$E$4="",'Data Entry'!$C2357&lt;='Visual SPC'!$E$4),OR('Visual SPC'!$G$4="",'Data Entry'!$D2357='Visual SPC'!$G$4),OR('Visual SPC'!$I$4="",'Data Entry'!$E2357='Visual SPC'!$I$4),OR('Visual SPC'!$K$4="",'Data Entry'!$F2357='Visual SPC'!$K$4)),1,0))</f>
        <v/>
      </c>
      <c r="C2357">
        <f>C2356+B2357</f>
        <v/>
      </c>
      <c r="D2357">
        <f>IF(B2357=1,INDEX('Data Entry'!$H$5:$BE$10004,2357-4,'Visual SPC'!$B$3),"")</f>
        <v/>
      </c>
      <c r="E2357">
        <f>IF(B2357=1,D2357,E2356)</f>
        <v/>
      </c>
      <c r="F2357">
        <f>IF(AND(B2357=1,C2357&gt;1,E2356&lt;&gt;""),ABS(D2357-E2356),"")</f>
        <v/>
      </c>
    </row>
    <row r="2358">
      <c r="A2358" t="n">
        <v>2358</v>
      </c>
      <c r="B2358">
        <f>IF(INDEX('Data Entry'!$H$5:$BE$10004,2358-4,'Visual SPC'!$B$3)="",0,IF(AND(OR('Visual SPC'!$C$4="",'Data Entry'!$C2358&gt;='Visual SPC'!$C$4),OR('Visual SPC'!$E$4="",'Data Entry'!$C2358&lt;='Visual SPC'!$E$4),OR('Visual SPC'!$G$4="",'Data Entry'!$D2358='Visual SPC'!$G$4),OR('Visual SPC'!$I$4="",'Data Entry'!$E2358='Visual SPC'!$I$4),OR('Visual SPC'!$K$4="",'Data Entry'!$F2358='Visual SPC'!$K$4)),1,0))</f>
        <v/>
      </c>
      <c r="C2358">
        <f>C2357+B2358</f>
        <v/>
      </c>
      <c r="D2358">
        <f>IF(B2358=1,INDEX('Data Entry'!$H$5:$BE$10004,2358-4,'Visual SPC'!$B$3),"")</f>
        <v/>
      </c>
      <c r="E2358">
        <f>IF(B2358=1,D2358,E2357)</f>
        <v/>
      </c>
      <c r="F2358">
        <f>IF(AND(B2358=1,C2358&gt;1,E2357&lt;&gt;""),ABS(D2358-E2357),"")</f>
        <v/>
      </c>
    </row>
    <row r="2359">
      <c r="A2359" t="n">
        <v>2359</v>
      </c>
      <c r="B2359">
        <f>IF(INDEX('Data Entry'!$H$5:$BE$10004,2359-4,'Visual SPC'!$B$3)="",0,IF(AND(OR('Visual SPC'!$C$4="",'Data Entry'!$C2359&gt;='Visual SPC'!$C$4),OR('Visual SPC'!$E$4="",'Data Entry'!$C2359&lt;='Visual SPC'!$E$4),OR('Visual SPC'!$G$4="",'Data Entry'!$D2359='Visual SPC'!$G$4),OR('Visual SPC'!$I$4="",'Data Entry'!$E2359='Visual SPC'!$I$4),OR('Visual SPC'!$K$4="",'Data Entry'!$F2359='Visual SPC'!$K$4)),1,0))</f>
        <v/>
      </c>
      <c r="C2359">
        <f>C2358+B2359</f>
        <v/>
      </c>
      <c r="D2359">
        <f>IF(B2359=1,INDEX('Data Entry'!$H$5:$BE$10004,2359-4,'Visual SPC'!$B$3),"")</f>
        <v/>
      </c>
      <c r="E2359">
        <f>IF(B2359=1,D2359,E2358)</f>
        <v/>
      </c>
      <c r="F2359">
        <f>IF(AND(B2359=1,C2359&gt;1,E2358&lt;&gt;""),ABS(D2359-E2358),"")</f>
        <v/>
      </c>
    </row>
    <row r="2360">
      <c r="A2360" t="n">
        <v>2360</v>
      </c>
      <c r="B2360">
        <f>IF(INDEX('Data Entry'!$H$5:$BE$10004,2360-4,'Visual SPC'!$B$3)="",0,IF(AND(OR('Visual SPC'!$C$4="",'Data Entry'!$C2360&gt;='Visual SPC'!$C$4),OR('Visual SPC'!$E$4="",'Data Entry'!$C2360&lt;='Visual SPC'!$E$4),OR('Visual SPC'!$G$4="",'Data Entry'!$D2360='Visual SPC'!$G$4),OR('Visual SPC'!$I$4="",'Data Entry'!$E2360='Visual SPC'!$I$4),OR('Visual SPC'!$K$4="",'Data Entry'!$F2360='Visual SPC'!$K$4)),1,0))</f>
        <v/>
      </c>
      <c r="C2360">
        <f>C2359+B2360</f>
        <v/>
      </c>
      <c r="D2360">
        <f>IF(B2360=1,INDEX('Data Entry'!$H$5:$BE$10004,2360-4,'Visual SPC'!$B$3),"")</f>
        <v/>
      </c>
      <c r="E2360">
        <f>IF(B2360=1,D2360,E2359)</f>
        <v/>
      </c>
      <c r="F2360">
        <f>IF(AND(B2360=1,C2360&gt;1,E2359&lt;&gt;""),ABS(D2360-E2359),"")</f>
        <v/>
      </c>
    </row>
    <row r="2361">
      <c r="A2361" t="n">
        <v>2361</v>
      </c>
      <c r="B2361">
        <f>IF(INDEX('Data Entry'!$H$5:$BE$10004,2361-4,'Visual SPC'!$B$3)="",0,IF(AND(OR('Visual SPC'!$C$4="",'Data Entry'!$C2361&gt;='Visual SPC'!$C$4),OR('Visual SPC'!$E$4="",'Data Entry'!$C2361&lt;='Visual SPC'!$E$4),OR('Visual SPC'!$G$4="",'Data Entry'!$D2361='Visual SPC'!$G$4),OR('Visual SPC'!$I$4="",'Data Entry'!$E2361='Visual SPC'!$I$4),OR('Visual SPC'!$K$4="",'Data Entry'!$F2361='Visual SPC'!$K$4)),1,0))</f>
        <v/>
      </c>
      <c r="C2361">
        <f>C2360+B2361</f>
        <v/>
      </c>
      <c r="D2361">
        <f>IF(B2361=1,INDEX('Data Entry'!$H$5:$BE$10004,2361-4,'Visual SPC'!$B$3),"")</f>
        <v/>
      </c>
      <c r="E2361">
        <f>IF(B2361=1,D2361,E2360)</f>
        <v/>
      </c>
      <c r="F2361">
        <f>IF(AND(B2361=1,C2361&gt;1,E2360&lt;&gt;""),ABS(D2361-E2360),"")</f>
        <v/>
      </c>
    </row>
    <row r="2362">
      <c r="A2362" t="n">
        <v>2362</v>
      </c>
      <c r="B2362">
        <f>IF(INDEX('Data Entry'!$H$5:$BE$10004,2362-4,'Visual SPC'!$B$3)="",0,IF(AND(OR('Visual SPC'!$C$4="",'Data Entry'!$C2362&gt;='Visual SPC'!$C$4),OR('Visual SPC'!$E$4="",'Data Entry'!$C2362&lt;='Visual SPC'!$E$4),OR('Visual SPC'!$G$4="",'Data Entry'!$D2362='Visual SPC'!$G$4),OR('Visual SPC'!$I$4="",'Data Entry'!$E2362='Visual SPC'!$I$4),OR('Visual SPC'!$K$4="",'Data Entry'!$F2362='Visual SPC'!$K$4)),1,0))</f>
        <v/>
      </c>
      <c r="C2362">
        <f>C2361+B2362</f>
        <v/>
      </c>
      <c r="D2362">
        <f>IF(B2362=1,INDEX('Data Entry'!$H$5:$BE$10004,2362-4,'Visual SPC'!$B$3),"")</f>
        <v/>
      </c>
      <c r="E2362">
        <f>IF(B2362=1,D2362,E2361)</f>
        <v/>
      </c>
      <c r="F2362">
        <f>IF(AND(B2362=1,C2362&gt;1,E2361&lt;&gt;""),ABS(D2362-E2361),"")</f>
        <v/>
      </c>
    </row>
    <row r="2363">
      <c r="A2363" t="n">
        <v>2363</v>
      </c>
      <c r="B2363">
        <f>IF(INDEX('Data Entry'!$H$5:$BE$10004,2363-4,'Visual SPC'!$B$3)="",0,IF(AND(OR('Visual SPC'!$C$4="",'Data Entry'!$C2363&gt;='Visual SPC'!$C$4),OR('Visual SPC'!$E$4="",'Data Entry'!$C2363&lt;='Visual SPC'!$E$4),OR('Visual SPC'!$G$4="",'Data Entry'!$D2363='Visual SPC'!$G$4),OR('Visual SPC'!$I$4="",'Data Entry'!$E2363='Visual SPC'!$I$4),OR('Visual SPC'!$K$4="",'Data Entry'!$F2363='Visual SPC'!$K$4)),1,0))</f>
        <v/>
      </c>
      <c r="C2363">
        <f>C2362+B2363</f>
        <v/>
      </c>
      <c r="D2363">
        <f>IF(B2363=1,INDEX('Data Entry'!$H$5:$BE$10004,2363-4,'Visual SPC'!$B$3),"")</f>
        <v/>
      </c>
      <c r="E2363">
        <f>IF(B2363=1,D2363,E2362)</f>
        <v/>
      </c>
      <c r="F2363">
        <f>IF(AND(B2363=1,C2363&gt;1,E2362&lt;&gt;""),ABS(D2363-E2362),"")</f>
        <v/>
      </c>
    </row>
    <row r="2364">
      <c r="A2364" t="n">
        <v>2364</v>
      </c>
      <c r="B2364">
        <f>IF(INDEX('Data Entry'!$H$5:$BE$10004,2364-4,'Visual SPC'!$B$3)="",0,IF(AND(OR('Visual SPC'!$C$4="",'Data Entry'!$C2364&gt;='Visual SPC'!$C$4),OR('Visual SPC'!$E$4="",'Data Entry'!$C2364&lt;='Visual SPC'!$E$4),OR('Visual SPC'!$G$4="",'Data Entry'!$D2364='Visual SPC'!$G$4),OR('Visual SPC'!$I$4="",'Data Entry'!$E2364='Visual SPC'!$I$4),OR('Visual SPC'!$K$4="",'Data Entry'!$F2364='Visual SPC'!$K$4)),1,0))</f>
        <v/>
      </c>
      <c r="C2364">
        <f>C2363+B2364</f>
        <v/>
      </c>
      <c r="D2364">
        <f>IF(B2364=1,INDEX('Data Entry'!$H$5:$BE$10004,2364-4,'Visual SPC'!$B$3),"")</f>
        <v/>
      </c>
      <c r="E2364">
        <f>IF(B2364=1,D2364,E2363)</f>
        <v/>
      </c>
      <c r="F2364">
        <f>IF(AND(B2364=1,C2364&gt;1,E2363&lt;&gt;""),ABS(D2364-E2363),"")</f>
        <v/>
      </c>
    </row>
    <row r="2365">
      <c r="A2365" t="n">
        <v>2365</v>
      </c>
      <c r="B2365">
        <f>IF(INDEX('Data Entry'!$H$5:$BE$10004,2365-4,'Visual SPC'!$B$3)="",0,IF(AND(OR('Visual SPC'!$C$4="",'Data Entry'!$C2365&gt;='Visual SPC'!$C$4),OR('Visual SPC'!$E$4="",'Data Entry'!$C2365&lt;='Visual SPC'!$E$4),OR('Visual SPC'!$G$4="",'Data Entry'!$D2365='Visual SPC'!$G$4),OR('Visual SPC'!$I$4="",'Data Entry'!$E2365='Visual SPC'!$I$4),OR('Visual SPC'!$K$4="",'Data Entry'!$F2365='Visual SPC'!$K$4)),1,0))</f>
        <v/>
      </c>
      <c r="C2365">
        <f>C2364+B2365</f>
        <v/>
      </c>
      <c r="D2365">
        <f>IF(B2365=1,INDEX('Data Entry'!$H$5:$BE$10004,2365-4,'Visual SPC'!$B$3),"")</f>
        <v/>
      </c>
      <c r="E2365">
        <f>IF(B2365=1,D2365,E2364)</f>
        <v/>
      </c>
      <c r="F2365">
        <f>IF(AND(B2365=1,C2365&gt;1,E2364&lt;&gt;""),ABS(D2365-E2364),"")</f>
        <v/>
      </c>
    </row>
    <row r="2366">
      <c r="A2366" t="n">
        <v>2366</v>
      </c>
      <c r="B2366">
        <f>IF(INDEX('Data Entry'!$H$5:$BE$10004,2366-4,'Visual SPC'!$B$3)="",0,IF(AND(OR('Visual SPC'!$C$4="",'Data Entry'!$C2366&gt;='Visual SPC'!$C$4),OR('Visual SPC'!$E$4="",'Data Entry'!$C2366&lt;='Visual SPC'!$E$4),OR('Visual SPC'!$G$4="",'Data Entry'!$D2366='Visual SPC'!$G$4),OR('Visual SPC'!$I$4="",'Data Entry'!$E2366='Visual SPC'!$I$4),OR('Visual SPC'!$K$4="",'Data Entry'!$F2366='Visual SPC'!$K$4)),1,0))</f>
        <v/>
      </c>
      <c r="C2366">
        <f>C2365+B2366</f>
        <v/>
      </c>
      <c r="D2366">
        <f>IF(B2366=1,INDEX('Data Entry'!$H$5:$BE$10004,2366-4,'Visual SPC'!$B$3),"")</f>
        <v/>
      </c>
      <c r="E2366">
        <f>IF(B2366=1,D2366,E2365)</f>
        <v/>
      </c>
      <c r="F2366">
        <f>IF(AND(B2366=1,C2366&gt;1,E2365&lt;&gt;""),ABS(D2366-E2365),"")</f>
        <v/>
      </c>
    </row>
    <row r="2367">
      <c r="A2367" t="n">
        <v>2367</v>
      </c>
      <c r="B2367">
        <f>IF(INDEX('Data Entry'!$H$5:$BE$10004,2367-4,'Visual SPC'!$B$3)="",0,IF(AND(OR('Visual SPC'!$C$4="",'Data Entry'!$C2367&gt;='Visual SPC'!$C$4),OR('Visual SPC'!$E$4="",'Data Entry'!$C2367&lt;='Visual SPC'!$E$4),OR('Visual SPC'!$G$4="",'Data Entry'!$D2367='Visual SPC'!$G$4),OR('Visual SPC'!$I$4="",'Data Entry'!$E2367='Visual SPC'!$I$4),OR('Visual SPC'!$K$4="",'Data Entry'!$F2367='Visual SPC'!$K$4)),1,0))</f>
        <v/>
      </c>
      <c r="C2367">
        <f>C2366+B2367</f>
        <v/>
      </c>
      <c r="D2367">
        <f>IF(B2367=1,INDEX('Data Entry'!$H$5:$BE$10004,2367-4,'Visual SPC'!$B$3),"")</f>
        <v/>
      </c>
      <c r="E2367">
        <f>IF(B2367=1,D2367,E2366)</f>
        <v/>
      </c>
      <c r="F2367">
        <f>IF(AND(B2367=1,C2367&gt;1,E2366&lt;&gt;""),ABS(D2367-E2366),"")</f>
        <v/>
      </c>
    </row>
    <row r="2368">
      <c r="A2368" t="n">
        <v>2368</v>
      </c>
      <c r="B2368">
        <f>IF(INDEX('Data Entry'!$H$5:$BE$10004,2368-4,'Visual SPC'!$B$3)="",0,IF(AND(OR('Visual SPC'!$C$4="",'Data Entry'!$C2368&gt;='Visual SPC'!$C$4),OR('Visual SPC'!$E$4="",'Data Entry'!$C2368&lt;='Visual SPC'!$E$4),OR('Visual SPC'!$G$4="",'Data Entry'!$D2368='Visual SPC'!$G$4),OR('Visual SPC'!$I$4="",'Data Entry'!$E2368='Visual SPC'!$I$4),OR('Visual SPC'!$K$4="",'Data Entry'!$F2368='Visual SPC'!$K$4)),1,0))</f>
        <v/>
      </c>
      <c r="C2368">
        <f>C2367+B2368</f>
        <v/>
      </c>
      <c r="D2368">
        <f>IF(B2368=1,INDEX('Data Entry'!$H$5:$BE$10004,2368-4,'Visual SPC'!$B$3),"")</f>
        <v/>
      </c>
      <c r="E2368">
        <f>IF(B2368=1,D2368,E2367)</f>
        <v/>
      </c>
      <c r="F2368">
        <f>IF(AND(B2368=1,C2368&gt;1,E2367&lt;&gt;""),ABS(D2368-E2367),"")</f>
        <v/>
      </c>
    </row>
    <row r="2369">
      <c r="A2369" t="n">
        <v>2369</v>
      </c>
      <c r="B2369">
        <f>IF(INDEX('Data Entry'!$H$5:$BE$10004,2369-4,'Visual SPC'!$B$3)="",0,IF(AND(OR('Visual SPC'!$C$4="",'Data Entry'!$C2369&gt;='Visual SPC'!$C$4),OR('Visual SPC'!$E$4="",'Data Entry'!$C2369&lt;='Visual SPC'!$E$4),OR('Visual SPC'!$G$4="",'Data Entry'!$D2369='Visual SPC'!$G$4),OR('Visual SPC'!$I$4="",'Data Entry'!$E2369='Visual SPC'!$I$4),OR('Visual SPC'!$K$4="",'Data Entry'!$F2369='Visual SPC'!$K$4)),1,0))</f>
        <v/>
      </c>
      <c r="C2369">
        <f>C2368+B2369</f>
        <v/>
      </c>
      <c r="D2369">
        <f>IF(B2369=1,INDEX('Data Entry'!$H$5:$BE$10004,2369-4,'Visual SPC'!$B$3),"")</f>
        <v/>
      </c>
      <c r="E2369">
        <f>IF(B2369=1,D2369,E2368)</f>
        <v/>
      </c>
      <c r="F2369">
        <f>IF(AND(B2369=1,C2369&gt;1,E2368&lt;&gt;""),ABS(D2369-E2368),"")</f>
        <v/>
      </c>
    </row>
    <row r="2370">
      <c r="A2370" t="n">
        <v>2370</v>
      </c>
      <c r="B2370">
        <f>IF(INDEX('Data Entry'!$H$5:$BE$10004,2370-4,'Visual SPC'!$B$3)="",0,IF(AND(OR('Visual SPC'!$C$4="",'Data Entry'!$C2370&gt;='Visual SPC'!$C$4),OR('Visual SPC'!$E$4="",'Data Entry'!$C2370&lt;='Visual SPC'!$E$4),OR('Visual SPC'!$G$4="",'Data Entry'!$D2370='Visual SPC'!$G$4),OR('Visual SPC'!$I$4="",'Data Entry'!$E2370='Visual SPC'!$I$4),OR('Visual SPC'!$K$4="",'Data Entry'!$F2370='Visual SPC'!$K$4)),1,0))</f>
        <v/>
      </c>
      <c r="C2370">
        <f>C2369+B2370</f>
        <v/>
      </c>
      <c r="D2370">
        <f>IF(B2370=1,INDEX('Data Entry'!$H$5:$BE$10004,2370-4,'Visual SPC'!$B$3),"")</f>
        <v/>
      </c>
      <c r="E2370">
        <f>IF(B2370=1,D2370,E2369)</f>
        <v/>
      </c>
      <c r="F2370">
        <f>IF(AND(B2370=1,C2370&gt;1,E2369&lt;&gt;""),ABS(D2370-E2369),"")</f>
        <v/>
      </c>
    </row>
    <row r="2371">
      <c r="A2371" t="n">
        <v>2371</v>
      </c>
      <c r="B2371">
        <f>IF(INDEX('Data Entry'!$H$5:$BE$10004,2371-4,'Visual SPC'!$B$3)="",0,IF(AND(OR('Visual SPC'!$C$4="",'Data Entry'!$C2371&gt;='Visual SPC'!$C$4),OR('Visual SPC'!$E$4="",'Data Entry'!$C2371&lt;='Visual SPC'!$E$4),OR('Visual SPC'!$G$4="",'Data Entry'!$D2371='Visual SPC'!$G$4),OR('Visual SPC'!$I$4="",'Data Entry'!$E2371='Visual SPC'!$I$4),OR('Visual SPC'!$K$4="",'Data Entry'!$F2371='Visual SPC'!$K$4)),1,0))</f>
        <v/>
      </c>
      <c r="C2371">
        <f>C2370+B2371</f>
        <v/>
      </c>
      <c r="D2371">
        <f>IF(B2371=1,INDEX('Data Entry'!$H$5:$BE$10004,2371-4,'Visual SPC'!$B$3),"")</f>
        <v/>
      </c>
      <c r="E2371">
        <f>IF(B2371=1,D2371,E2370)</f>
        <v/>
      </c>
      <c r="F2371">
        <f>IF(AND(B2371=1,C2371&gt;1,E2370&lt;&gt;""),ABS(D2371-E2370),"")</f>
        <v/>
      </c>
    </row>
    <row r="2372">
      <c r="A2372" t="n">
        <v>2372</v>
      </c>
      <c r="B2372">
        <f>IF(INDEX('Data Entry'!$H$5:$BE$10004,2372-4,'Visual SPC'!$B$3)="",0,IF(AND(OR('Visual SPC'!$C$4="",'Data Entry'!$C2372&gt;='Visual SPC'!$C$4),OR('Visual SPC'!$E$4="",'Data Entry'!$C2372&lt;='Visual SPC'!$E$4),OR('Visual SPC'!$G$4="",'Data Entry'!$D2372='Visual SPC'!$G$4),OR('Visual SPC'!$I$4="",'Data Entry'!$E2372='Visual SPC'!$I$4),OR('Visual SPC'!$K$4="",'Data Entry'!$F2372='Visual SPC'!$K$4)),1,0))</f>
        <v/>
      </c>
      <c r="C2372">
        <f>C2371+B2372</f>
        <v/>
      </c>
      <c r="D2372">
        <f>IF(B2372=1,INDEX('Data Entry'!$H$5:$BE$10004,2372-4,'Visual SPC'!$B$3),"")</f>
        <v/>
      </c>
      <c r="E2372">
        <f>IF(B2372=1,D2372,E2371)</f>
        <v/>
      </c>
      <c r="F2372">
        <f>IF(AND(B2372=1,C2372&gt;1,E2371&lt;&gt;""),ABS(D2372-E2371),"")</f>
        <v/>
      </c>
    </row>
    <row r="2373">
      <c r="A2373" t="n">
        <v>2373</v>
      </c>
      <c r="B2373">
        <f>IF(INDEX('Data Entry'!$H$5:$BE$10004,2373-4,'Visual SPC'!$B$3)="",0,IF(AND(OR('Visual SPC'!$C$4="",'Data Entry'!$C2373&gt;='Visual SPC'!$C$4),OR('Visual SPC'!$E$4="",'Data Entry'!$C2373&lt;='Visual SPC'!$E$4),OR('Visual SPC'!$G$4="",'Data Entry'!$D2373='Visual SPC'!$G$4),OR('Visual SPC'!$I$4="",'Data Entry'!$E2373='Visual SPC'!$I$4),OR('Visual SPC'!$K$4="",'Data Entry'!$F2373='Visual SPC'!$K$4)),1,0))</f>
        <v/>
      </c>
      <c r="C2373">
        <f>C2372+B2373</f>
        <v/>
      </c>
      <c r="D2373">
        <f>IF(B2373=1,INDEX('Data Entry'!$H$5:$BE$10004,2373-4,'Visual SPC'!$B$3),"")</f>
        <v/>
      </c>
      <c r="E2373">
        <f>IF(B2373=1,D2373,E2372)</f>
        <v/>
      </c>
      <c r="F2373">
        <f>IF(AND(B2373=1,C2373&gt;1,E2372&lt;&gt;""),ABS(D2373-E2372),"")</f>
        <v/>
      </c>
    </row>
    <row r="2374">
      <c r="A2374" t="n">
        <v>2374</v>
      </c>
      <c r="B2374">
        <f>IF(INDEX('Data Entry'!$H$5:$BE$10004,2374-4,'Visual SPC'!$B$3)="",0,IF(AND(OR('Visual SPC'!$C$4="",'Data Entry'!$C2374&gt;='Visual SPC'!$C$4),OR('Visual SPC'!$E$4="",'Data Entry'!$C2374&lt;='Visual SPC'!$E$4),OR('Visual SPC'!$G$4="",'Data Entry'!$D2374='Visual SPC'!$G$4),OR('Visual SPC'!$I$4="",'Data Entry'!$E2374='Visual SPC'!$I$4),OR('Visual SPC'!$K$4="",'Data Entry'!$F2374='Visual SPC'!$K$4)),1,0))</f>
        <v/>
      </c>
      <c r="C2374">
        <f>C2373+B2374</f>
        <v/>
      </c>
      <c r="D2374">
        <f>IF(B2374=1,INDEX('Data Entry'!$H$5:$BE$10004,2374-4,'Visual SPC'!$B$3),"")</f>
        <v/>
      </c>
      <c r="E2374">
        <f>IF(B2374=1,D2374,E2373)</f>
        <v/>
      </c>
      <c r="F2374">
        <f>IF(AND(B2374=1,C2374&gt;1,E2373&lt;&gt;""),ABS(D2374-E2373),"")</f>
        <v/>
      </c>
    </row>
    <row r="2375">
      <c r="A2375" t="n">
        <v>2375</v>
      </c>
      <c r="B2375">
        <f>IF(INDEX('Data Entry'!$H$5:$BE$10004,2375-4,'Visual SPC'!$B$3)="",0,IF(AND(OR('Visual SPC'!$C$4="",'Data Entry'!$C2375&gt;='Visual SPC'!$C$4),OR('Visual SPC'!$E$4="",'Data Entry'!$C2375&lt;='Visual SPC'!$E$4),OR('Visual SPC'!$G$4="",'Data Entry'!$D2375='Visual SPC'!$G$4),OR('Visual SPC'!$I$4="",'Data Entry'!$E2375='Visual SPC'!$I$4),OR('Visual SPC'!$K$4="",'Data Entry'!$F2375='Visual SPC'!$K$4)),1,0))</f>
        <v/>
      </c>
      <c r="C2375">
        <f>C2374+B2375</f>
        <v/>
      </c>
      <c r="D2375">
        <f>IF(B2375=1,INDEX('Data Entry'!$H$5:$BE$10004,2375-4,'Visual SPC'!$B$3),"")</f>
        <v/>
      </c>
      <c r="E2375">
        <f>IF(B2375=1,D2375,E2374)</f>
        <v/>
      </c>
      <c r="F2375">
        <f>IF(AND(B2375=1,C2375&gt;1,E2374&lt;&gt;""),ABS(D2375-E2374),"")</f>
        <v/>
      </c>
    </row>
    <row r="2376">
      <c r="A2376" t="n">
        <v>2376</v>
      </c>
      <c r="B2376">
        <f>IF(INDEX('Data Entry'!$H$5:$BE$10004,2376-4,'Visual SPC'!$B$3)="",0,IF(AND(OR('Visual SPC'!$C$4="",'Data Entry'!$C2376&gt;='Visual SPC'!$C$4),OR('Visual SPC'!$E$4="",'Data Entry'!$C2376&lt;='Visual SPC'!$E$4),OR('Visual SPC'!$G$4="",'Data Entry'!$D2376='Visual SPC'!$G$4),OR('Visual SPC'!$I$4="",'Data Entry'!$E2376='Visual SPC'!$I$4),OR('Visual SPC'!$K$4="",'Data Entry'!$F2376='Visual SPC'!$K$4)),1,0))</f>
        <v/>
      </c>
      <c r="C2376">
        <f>C2375+B2376</f>
        <v/>
      </c>
      <c r="D2376">
        <f>IF(B2376=1,INDEX('Data Entry'!$H$5:$BE$10004,2376-4,'Visual SPC'!$B$3),"")</f>
        <v/>
      </c>
      <c r="E2376">
        <f>IF(B2376=1,D2376,E2375)</f>
        <v/>
      </c>
      <c r="F2376">
        <f>IF(AND(B2376=1,C2376&gt;1,E2375&lt;&gt;""),ABS(D2376-E2375),"")</f>
        <v/>
      </c>
    </row>
    <row r="2377">
      <c r="A2377" t="n">
        <v>2377</v>
      </c>
      <c r="B2377">
        <f>IF(INDEX('Data Entry'!$H$5:$BE$10004,2377-4,'Visual SPC'!$B$3)="",0,IF(AND(OR('Visual SPC'!$C$4="",'Data Entry'!$C2377&gt;='Visual SPC'!$C$4),OR('Visual SPC'!$E$4="",'Data Entry'!$C2377&lt;='Visual SPC'!$E$4),OR('Visual SPC'!$G$4="",'Data Entry'!$D2377='Visual SPC'!$G$4),OR('Visual SPC'!$I$4="",'Data Entry'!$E2377='Visual SPC'!$I$4),OR('Visual SPC'!$K$4="",'Data Entry'!$F2377='Visual SPC'!$K$4)),1,0))</f>
        <v/>
      </c>
      <c r="C2377">
        <f>C2376+B2377</f>
        <v/>
      </c>
      <c r="D2377">
        <f>IF(B2377=1,INDEX('Data Entry'!$H$5:$BE$10004,2377-4,'Visual SPC'!$B$3),"")</f>
        <v/>
      </c>
      <c r="E2377">
        <f>IF(B2377=1,D2377,E2376)</f>
        <v/>
      </c>
      <c r="F2377">
        <f>IF(AND(B2377=1,C2377&gt;1,E2376&lt;&gt;""),ABS(D2377-E2376),"")</f>
        <v/>
      </c>
    </row>
    <row r="2378">
      <c r="A2378" t="n">
        <v>2378</v>
      </c>
      <c r="B2378">
        <f>IF(INDEX('Data Entry'!$H$5:$BE$10004,2378-4,'Visual SPC'!$B$3)="",0,IF(AND(OR('Visual SPC'!$C$4="",'Data Entry'!$C2378&gt;='Visual SPC'!$C$4),OR('Visual SPC'!$E$4="",'Data Entry'!$C2378&lt;='Visual SPC'!$E$4),OR('Visual SPC'!$G$4="",'Data Entry'!$D2378='Visual SPC'!$G$4),OR('Visual SPC'!$I$4="",'Data Entry'!$E2378='Visual SPC'!$I$4),OR('Visual SPC'!$K$4="",'Data Entry'!$F2378='Visual SPC'!$K$4)),1,0))</f>
        <v/>
      </c>
      <c r="C2378">
        <f>C2377+B2378</f>
        <v/>
      </c>
      <c r="D2378">
        <f>IF(B2378=1,INDEX('Data Entry'!$H$5:$BE$10004,2378-4,'Visual SPC'!$B$3),"")</f>
        <v/>
      </c>
      <c r="E2378">
        <f>IF(B2378=1,D2378,E2377)</f>
        <v/>
      </c>
      <c r="F2378">
        <f>IF(AND(B2378=1,C2378&gt;1,E2377&lt;&gt;""),ABS(D2378-E2377),"")</f>
        <v/>
      </c>
    </row>
    <row r="2379">
      <c r="A2379" t="n">
        <v>2379</v>
      </c>
      <c r="B2379">
        <f>IF(INDEX('Data Entry'!$H$5:$BE$10004,2379-4,'Visual SPC'!$B$3)="",0,IF(AND(OR('Visual SPC'!$C$4="",'Data Entry'!$C2379&gt;='Visual SPC'!$C$4),OR('Visual SPC'!$E$4="",'Data Entry'!$C2379&lt;='Visual SPC'!$E$4),OR('Visual SPC'!$G$4="",'Data Entry'!$D2379='Visual SPC'!$G$4),OR('Visual SPC'!$I$4="",'Data Entry'!$E2379='Visual SPC'!$I$4),OR('Visual SPC'!$K$4="",'Data Entry'!$F2379='Visual SPC'!$K$4)),1,0))</f>
        <v/>
      </c>
      <c r="C2379">
        <f>C2378+B2379</f>
        <v/>
      </c>
      <c r="D2379">
        <f>IF(B2379=1,INDEX('Data Entry'!$H$5:$BE$10004,2379-4,'Visual SPC'!$B$3),"")</f>
        <v/>
      </c>
      <c r="E2379">
        <f>IF(B2379=1,D2379,E2378)</f>
        <v/>
      </c>
      <c r="F2379">
        <f>IF(AND(B2379=1,C2379&gt;1,E2378&lt;&gt;""),ABS(D2379-E2378),"")</f>
        <v/>
      </c>
    </row>
    <row r="2380">
      <c r="A2380" t="n">
        <v>2380</v>
      </c>
      <c r="B2380">
        <f>IF(INDEX('Data Entry'!$H$5:$BE$10004,2380-4,'Visual SPC'!$B$3)="",0,IF(AND(OR('Visual SPC'!$C$4="",'Data Entry'!$C2380&gt;='Visual SPC'!$C$4),OR('Visual SPC'!$E$4="",'Data Entry'!$C2380&lt;='Visual SPC'!$E$4),OR('Visual SPC'!$G$4="",'Data Entry'!$D2380='Visual SPC'!$G$4),OR('Visual SPC'!$I$4="",'Data Entry'!$E2380='Visual SPC'!$I$4),OR('Visual SPC'!$K$4="",'Data Entry'!$F2380='Visual SPC'!$K$4)),1,0))</f>
        <v/>
      </c>
      <c r="C2380">
        <f>C2379+B2380</f>
        <v/>
      </c>
      <c r="D2380">
        <f>IF(B2380=1,INDEX('Data Entry'!$H$5:$BE$10004,2380-4,'Visual SPC'!$B$3),"")</f>
        <v/>
      </c>
      <c r="E2380">
        <f>IF(B2380=1,D2380,E2379)</f>
        <v/>
      </c>
      <c r="F2380">
        <f>IF(AND(B2380=1,C2380&gt;1,E2379&lt;&gt;""),ABS(D2380-E2379),"")</f>
        <v/>
      </c>
    </row>
    <row r="2381">
      <c r="A2381" t="n">
        <v>2381</v>
      </c>
      <c r="B2381">
        <f>IF(INDEX('Data Entry'!$H$5:$BE$10004,2381-4,'Visual SPC'!$B$3)="",0,IF(AND(OR('Visual SPC'!$C$4="",'Data Entry'!$C2381&gt;='Visual SPC'!$C$4),OR('Visual SPC'!$E$4="",'Data Entry'!$C2381&lt;='Visual SPC'!$E$4),OR('Visual SPC'!$G$4="",'Data Entry'!$D2381='Visual SPC'!$G$4),OR('Visual SPC'!$I$4="",'Data Entry'!$E2381='Visual SPC'!$I$4),OR('Visual SPC'!$K$4="",'Data Entry'!$F2381='Visual SPC'!$K$4)),1,0))</f>
        <v/>
      </c>
      <c r="C2381">
        <f>C2380+B2381</f>
        <v/>
      </c>
      <c r="D2381">
        <f>IF(B2381=1,INDEX('Data Entry'!$H$5:$BE$10004,2381-4,'Visual SPC'!$B$3),"")</f>
        <v/>
      </c>
      <c r="E2381">
        <f>IF(B2381=1,D2381,E2380)</f>
        <v/>
      </c>
      <c r="F2381">
        <f>IF(AND(B2381=1,C2381&gt;1,E2380&lt;&gt;""),ABS(D2381-E2380),"")</f>
        <v/>
      </c>
    </row>
    <row r="2382">
      <c r="A2382" t="n">
        <v>2382</v>
      </c>
      <c r="B2382">
        <f>IF(INDEX('Data Entry'!$H$5:$BE$10004,2382-4,'Visual SPC'!$B$3)="",0,IF(AND(OR('Visual SPC'!$C$4="",'Data Entry'!$C2382&gt;='Visual SPC'!$C$4),OR('Visual SPC'!$E$4="",'Data Entry'!$C2382&lt;='Visual SPC'!$E$4),OR('Visual SPC'!$G$4="",'Data Entry'!$D2382='Visual SPC'!$G$4),OR('Visual SPC'!$I$4="",'Data Entry'!$E2382='Visual SPC'!$I$4),OR('Visual SPC'!$K$4="",'Data Entry'!$F2382='Visual SPC'!$K$4)),1,0))</f>
        <v/>
      </c>
      <c r="C2382">
        <f>C2381+B2382</f>
        <v/>
      </c>
      <c r="D2382">
        <f>IF(B2382=1,INDEX('Data Entry'!$H$5:$BE$10004,2382-4,'Visual SPC'!$B$3),"")</f>
        <v/>
      </c>
      <c r="E2382">
        <f>IF(B2382=1,D2382,E2381)</f>
        <v/>
      </c>
      <c r="F2382">
        <f>IF(AND(B2382=1,C2382&gt;1,E2381&lt;&gt;""),ABS(D2382-E2381),"")</f>
        <v/>
      </c>
    </row>
    <row r="2383">
      <c r="A2383" t="n">
        <v>2383</v>
      </c>
      <c r="B2383">
        <f>IF(INDEX('Data Entry'!$H$5:$BE$10004,2383-4,'Visual SPC'!$B$3)="",0,IF(AND(OR('Visual SPC'!$C$4="",'Data Entry'!$C2383&gt;='Visual SPC'!$C$4),OR('Visual SPC'!$E$4="",'Data Entry'!$C2383&lt;='Visual SPC'!$E$4),OR('Visual SPC'!$G$4="",'Data Entry'!$D2383='Visual SPC'!$G$4),OR('Visual SPC'!$I$4="",'Data Entry'!$E2383='Visual SPC'!$I$4),OR('Visual SPC'!$K$4="",'Data Entry'!$F2383='Visual SPC'!$K$4)),1,0))</f>
        <v/>
      </c>
      <c r="C2383">
        <f>C2382+B2383</f>
        <v/>
      </c>
      <c r="D2383">
        <f>IF(B2383=1,INDEX('Data Entry'!$H$5:$BE$10004,2383-4,'Visual SPC'!$B$3),"")</f>
        <v/>
      </c>
      <c r="E2383">
        <f>IF(B2383=1,D2383,E2382)</f>
        <v/>
      </c>
      <c r="F2383">
        <f>IF(AND(B2383=1,C2383&gt;1,E2382&lt;&gt;""),ABS(D2383-E2382),"")</f>
        <v/>
      </c>
    </row>
    <row r="2384">
      <c r="A2384" t="n">
        <v>2384</v>
      </c>
      <c r="B2384">
        <f>IF(INDEX('Data Entry'!$H$5:$BE$10004,2384-4,'Visual SPC'!$B$3)="",0,IF(AND(OR('Visual SPC'!$C$4="",'Data Entry'!$C2384&gt;='Visual SPC'!$C$4),OR('Visual SPC'!$E$4="",'Data Entry'!$C2384&lt;='Visual SPC'!$E$4),OR('Visual SPC'!$G$4="",'Data Entry'!$D2384='Visual SPC'!$G$4),OR('Visual SPC'!$I$4="",'Data Entry'!$E2384='Visual SPC'!$I$4),OR('Visual SPC'!$K$4="",'Data Entry'!$F2384='Visual SPC'!$K$4)),1,0))</f>
        <v/>
      </c>
      <c r="C2384">
        <f>C2383+B2384</f>
        <v/>
      </c>
      <c r="D2384">
        <f>IF(B2384=1,INDEX('Data Entry'!$H$5:$BE$10004,2384-4,'Visual SPC'!$B$3),"")</f>
        <v/>
      </c>
      <c r="E2384">
        <f>IF(B2384=1,D2384,E2383)</f>
        <v/>
      </c>
      <c r="F2384">
        <f>IF(AND(B2384=1,C2384&gt;1,E2383&lt;&gt;""),ABS(D2384-E2383),"")</f>
        <v/>
      </c>
    </row>
    <row r="2385">
      <c r="A2385" t="n">
        <v>2385</v>
      </c>
      <c r="B2385">
        <f>IF(INDEX('Data Entry'!$H$5:$BE$10004,2385-4,'Visual SPC'!$B$3)="",0,IF(AND(OR('Visual SPC'!$C$4="",'Data Entry'!$C2385&gt;='Visual SPC'!$C$4),OR('Visual SPC'!$E$4="",'Data Entry'!$C2385&lt;='Visual SPC'!$E$4),OR('Visual SPC'!$G$4="",'Data Entry'!$D2385='Visual SPC'!$G$4),OR('Visual SPC'!$I$4="",'Data Entry'!$E2385='Visual SPC'!$I$4),OR('Visual SPC'!$K$4="",'Data Entry'!$F2385='Visual SPC'!$K$4)),1,0))</f>
        <v/>
      </c>
      <c r="C2385">
        <f>C2384+B2385</f>
        <v/>
      </c>
      <c r="D2385">
        <f>IF(B2385=1,INDEX('Data Entry'!$H$5:$BE$10004,2385-4,'Visual SPC'!$B$3),"")</f>
        <v/>
      </c>
      <c r="E2385">
        <f>IF(B2385=1,D2385,E2384)</f>
        <v/>
      </c>
      <c r="F2385">
        <f>IF(AND(B2385=1,C2385&gt;1,E2384&lt;&gt;""),ABS(D2385-E2384),"")</f>
        <v/>
      </c>
    </row>
    <row r="2386">
      <c r="A2386" t="n">
        <v>2386</v>
      </c>
      <c r="B2386">
        <f>IF(INDEX('Data Entry'!$H$5:$BE$10004,2386-4,'Visual SPC'!$B$3)="",0,IF(AND(OR('Visual SPC'!$C$4="",'Data Entry'!$C2386&gt;='Visual SPC'!$C$4),OR('Visual SPC'!$E$4="",'Data Entry'!$C2386&lt;='Visual SPC'!$E$4),OR('Visual SPC'!$G$4="",'Data Entry'!$D2386='Visual SPC'!$G$4),OR('Visual SPC'!$I$4="",'Data Entry'!$E2386='Visual SPC'!$I$4),OR('Visual SPC'!$K$4="",'Data Entry'!$F2386='Visual SPC'!$K$4)),1,0))</f>
        <v/>
      </c>
      <c r="C2386">
        <f>C2385+B2386</f>
        <v/>
      </c>
      <c r="D2386">
        <f>IF(B2386=1,INDEX('Data Entry'!$H$5:$BE$10004,2386-4,'Visual SPC'!$B$3),"")</f>
        <v/>
      </c>
      <c r="E2386">
        <f>IF(B2386=1,D2386,E2385)</f>
        <v/>
      </c>
      <c r="F2386">
        <f>IF(AND(B2386=1,C2386&gt;1,E2385&lt;&gt;""),ABS(D2386-E2385),"")</f>
        <v/>
      </c>
    </row>
    <row r="2387">
      <c r="A2387" t="n">
        <v>2387</v>
      </c>
      <c r="B2387">
        <f>IF(INDEX('Data Entry'!$H$5:$BE$10004,2387-4,'Visual SPC'!$B$3)="",0,IF(AND(OR('Visual SPC'!$C$4="",'Data Entry'!$C2387&gt;='Visual SPC'!$C$4),OR('Visual SPC'!$E$4="",'Data Entry'!$C2387&lt;='Visual SPC'!$E$4),OR('Visual SPC'!$G$4="",'Data Entry'!$D2387='Visual SPC'!$G$4),OR('Visual SPC'!$I$4="",'Data Entry'!$E2387='Visual SPC'!$I$4),OR('Visual SPC'!$K$4="",'Data Entry'!$F2387='Visual SPC'!$K$4)),1,0))</f>
        <v/>
      </c>
      <c r="C2387">
        <f>C2386+B2387</f>
        <v/>
      </c>
      <c r="D2387">
        <f>IF(B2387=1,INDEX('Data Entry'!$H$5:$BE$10004,2387-4,'Visual SPC'!$B$3),"")</f>
        <v/>
      </c>
      <c r="E2387">
        <f>IF(B2387=1,D2387,E2386)</f>
        <v/>
      </c>
      <c r="F2387">
        <f>IF(AND(B2387=1,C2387&gt;1,E2386&lt;&gt;""),ABS(D2387-E2386),"")</f>
        <v/>
      </c>
    </row>
    <row r="2388">
      <c r="A2388" t="n">
        <v>2388</v>
      </c>
      <c r="B2388">
        <f>IF(INDEX('Data Entry'!$H$5:$BE$10004,2388-4,'Visual SPC'!$B$3)="",0,IF(AND(OR('Visual SPC'!$C$4="",'Data Entry'!$C2388&gt;='Visual SPC'!$C$4),OR('Visual SPC'!$E$4="",'Data Entry'!$C2388&lt;='Visual SPC'!$E$4),OR('Visual SPC'!$G$4="",'Data Entry'!$D2388='Visual SPC'!$G$4),OR('Visual SPC'!$I$4="",'Data Entry'!$E2388='Visual SPC'!$I$4),OR('Visual SPC'!$K$4="",'Data Entry'!$F2388='Visual SPC'!$K$4)),1,0))</f>
        <v/>
      </c>
      <c r="C2388">
        <f>C2387+B2388</f>
        <v/>
      </c>
      <c r="D2388">
        <f>IF(B2388=1,INDEX('Data Entry'!$H$5:$BE$10004,2388-4,'Visual SPC'!$B$3),"")</f>
        <v/>
      </c>
      <c r="E2388">
        <f>IF(B2388=1,D2388,E2387)</f>
        <v/>
      </c>
      <c r="F2388">
        <f>IF(AND(B2388=1,C2388&gt;1,E2387&lt;&gt;""),ABS(D2388-E2387),"")</f>
        <v/>
      </c>
    </row>
    <row r="2389">
      <c r="A2389" t="n">
        <v>2389</v>
      </c>
      <c r="B2389">
        <f>IF(INDEX('Data Entry'!$H$5:$BE$10004,2389-4,'Visual SPC'!$B$3)="",0,IF(AND(OR('Visual SPC'!$C$4="",'Data Entry'!$C2389&gt;='Visual SPC'!$C$4),OR('Visual SPC'!$E$4="",'Data Entry'!$C2389&lt;='Visual SPC'!$E$4),OR('Visual SPC'!$G$4="",'Data Entry'!$D2389='Visual SPC'!$G$4),OR('Visual SPC'!$I$4="",'Data Entry'!$E2389='Visual SPC'!$I$4),OR('Visual SPC'!$K$4="",'Data Entry'!$F2389='Visual SPC'!$K$4)),1,0))</f>
        <v/>
      </c>
      <c r="C2389">
        <f>C2388+B2389</f>
        <v/>
      </c>
      <c r="D2389">
        <f>IF(B2389=1,INDEX('Data Entry'!$H$5:$BE$10004,2389-4,'Visual SPC'!$B$3),"")</f>
        <v/>
      </c>
      <c r="E2389">
        <f>IF(B2389=1,D2389,E2388)</f>
        <v/>
      </c>
      <c r="F2389">
        <f>IF(AND(B2389=1,C2389&gt;1,E2388&lt;&gt;""),ABS(D2389-E2388),"")</f>
        <v/>
      </c>
    </row>
    <row r="2390">
      <c r="A2390" t="n">
        <v>2390</v>
      </c>
      <c r="B2390">
        <f>IF(INDEX('Data Entry'!$H$5:$BE$10004,2390-4,'Visual SPC'!$B$3)="",0,IF(AND(OR('Visual SPC'!$C$4="",'Data Entry'!$C2390&gt;='Visual SPC'!$C$4),OR('Visual SPC'!$E$4="",'Data Entry'!$C2390&lt;='Visual SPC'!$E$4),OR('Visual SPC'!$G$4="",'Data Entry'!$D2390='Visual SPC'!$G$4),OR('Visual SPC'!$I$4="",'Data Entry'!$E2390='Visual SPC'!$I$4),OR('Visual SPC'!$K$4="",'Data Entry'!$F2390='Visual SPC'!$K$4)),1,0))</f>
        <v/>
      </c>
      <c r="C2390">
        <f>C2389+B2390</f>
        <v/>
      </c>
      <c r="D2390">
        <f>IF(B2390=1,INDEX('Data Entry'!$H$5:$BE$10004,2390-4,'Visual SPC'!$B$3),"")</f>
        <v/>
      </c>
      <c r="E2390">
        <f>IF(B2390=1,D2390,E2389)</f>
        <v/>
      </c>
      <c r="F2390">
        <f>IF(AND(B2390=1,C2390&gt;1,E2389&lt;&gt;""),ABS(D2390-E2389),"")</f>
        <v/>
      </c>
    </row>
    <row r="2391">
      <c r="A2391" t="n">
        <v>2391</v>
      </c>
      <c r="B2391">
        <f>IF(INDEX('Data Entry'!$H$5:$BE$10004,2391-4,'Visual SPC'!$B$3)="",0,IF(AND(OR('Visual SPC'!$C$4="",'Data Entry'!$C2391&gt;='Visual SPC'!$C$4),OR('Visual SPC'!$E$4="",'Data Entry'!$C2391&lt;='Visual SPC'!$E$4),OR('Visual SPC'!$G$4="",'Data Entry'!$D2391='Visual SPC'!$G$4),OR('Visual SPC'!$I$4="",'Data Entry'!$E2391='Visual SPC'!$I$4),OR('Visual SPC'!$K$4="",'Data Entry'!$F2391='Visual SPC'!$K$4)),1,0))</f>
        <v/>
      </c>
      <c r="C2391">
        <f>C2390+B2391</f>
        <v/>
      </c>
      <c r="D2391">
        <f>IF(B2391=1,INDEX('Data Entry'!$H$5:$BE$10004,2391-4,'Visual SPC'!$B$3),"")</f>
        <v/>
      </c>
      <c r="E2391">
        <f>IF(B2391=1,D2391,E2390)</f>
        <v/>
      </c>
      <c r="F2391">
        <f>IF(AND(B2391=1,C2391&gt;1,E2390&lt;&gt;""),ABS(D2391-E2390),"")</f>
        <v/>
      </c>
    </row>
    <row r="2392">
      <c r="A2392" t="n">
        <v>2392</v>
      </c>
      <c r="B2392">
        <f>IF(INDEX('Data Entry'!$H$5:$BE$10004,2392-4,'Visual SPC'!$B$3)="",0,IF(AND(OR('Visual SPC'!$C$4="",'Data Entry'!$C2392&gt;='Visual SPC'!$C$4),OR('Visual SPC'!$E$4="",'Data Entry'!$C2392&lt;='Visual SPC'!$E$4),OR('Visual SPC'!$G$4="",'Data Entry'!$D2392='Visual SPC'!$G$4),OR('Visual SPC'!$I$4="",'Data Entry'!$E2392='Visual SPC'!$I$4),OR('Visual SPC'!$K$4="",'Data Entry'!$F2392='Visual SPC'!$K$4)),1,0))</f>
        <v/>
      </c>
      <c r="C2392">
        <f>C2391+B2392</f>
        <v/>
      </c>
      <c r="D2392">
        <f>IF(B2392=1,INDEX('Data Entry'!$H$5:$BE$10004,2392-4,'Visual SPC'!$B$3),"")</f>
        <v/>
      </c>
      <c r="E2392">
        <f>IF(B2392=1,D2392,E2391)</f>
        <v/>
      </c>
      <c r="F2392">
        <f>IF(AND(B2392=1,C2392&gt;1,E2391&lt;&gt;""),ABS(D2392-E2391),"")</f>
        <v/>
      </c>
    </row>
    <row r="2393">
      <c r="A2393" t="n">
        <v>2393</v>
      </c>
      <c r="B2393">
        <f>IF(INDEX('Data Entry'!$H$5:$BE$10004,2393-4,'Visual SPC'!$B$3)="",0,IF(AND(OR('Visual SPC'!$C$4="",'Data Entry'!$C2393&gt;='Visual SPC'!$C$4),OR('Visual SPC'!$E$4="",'Data Entry'!$C2393&lt;='Visual SPC'!$E$4),OR('Visual SPC'!$G$4="",'Data Entry'!$D2393='Visual SPC'!$G$4),OR('Visual SPC'!$I$4="",'Data Entry'!$E2393='Visual SPC'!$I$4),OR('Visual SPC'!$K$4="",'Data Entry'!$F2393='Visual SPC'!$K$4)),1,0))</f>
        <v/>
      </c>
      <c r="C2393">
        <f>C2392+B2393</f>
        <v/>
      </c>
      <c r="D2393">
        <f>IF(B2393=1,INDEX('Data Entry'!$H$5:$BE$10004,2393-4,'Visual SPC'!$B$3),"")</f>
        <v/>
      </c>
      <c r="E2393">
        <f>IF(B2393=1,D2393,E2392)</f>
        <v/>
      </c>
      <c r="F2393">
        <f>IF(AND(B2393=1,C2393&gt;1,E2392&lt;&gt;""),ABS(D2393-E2392),"")</f>
        <v/>
      </c>
    </row>
    <row r="2394">
      <c r="A2394" t="n">
        <v>2394</v>
      </c>
      <c r="B2394">
        <f>IF(INDEX('Data Entry'!$H$5:$BE$10004,2394-4,'Visual SPC'!$B$3)="",0,IF(AND(OR('Visual SPC'!$C$4="",'Data Entry'!$C2394&gt;='Visual SPC'!$C$4),OR('Visual SPC'!$E$4="",'Data Entry'!$C2394&lt;='Visual SPC'!$E$4),OR('Visual SPC'!$G$4="",'Data Entry'!$D2394='Visual SPC'!$G$4),OR('Visual SPC'!$I$4="",'Data Entry'!$E2394='Visual SPC'!$I$4),OR('Visual SPC'!$K$4="",'Data Entry'!$F2394='Visual SPC'!$K$4)),1,0))</f>
        <v/>
      </c>
      <c r="C2394">
        <f>C2393+B2394</f>
        <v/>
      </c>
      <c r="D2394">
        <f>IF(B2394=1,INDEX('Data Entry'!$H$5:$BE$10004,2394-4,'Visual SPC'!$B$3),"")</f>
        <v/>
      </c>
      <c r="E2394">
        <f>IF(B2394=1,D2394,E2393)</f>
        <v/>
      </c>
      <c r="F2394">
        <f>IF(AND(B2394=1,C2394&gt;1,E2393&lt;&gt;""),ABS(D2394-E2393),"")</f>
        <v/>
      </c>
    </row>
    <row r="2395">
      <c r="A2395" t="n">
        <v>2395</v>
      </c>
      <c r="B2395">
        <f>IF(INDEX('Data Entry'!$H$5:$BE$10004,2395-4,'Visual SPC'!$B$3)="",0,IF(AND(OR('Visual SPC'!$C$4="",'Data Entry'!$C2395&gt;='Visual SPC'!$C$4),OR('Visual SPC'!$E$4="",'Data Entry'!$C2395&lt;='Visual SPC'!$E$4),OR('Visual SPC'!$G$4="",'Data Entry'!$D2395='Visual SPC'!$G$4),OR('Visual SPC'!$I$4="",'Data Entry'!$E2395='Visual SPC'!$I$4),OR('Visual SPC'!$K$4="",'Data Entry'!$F2395='Visual SPC'!$K$4)),1,0))</f>
        <v/>
      </c>
      <c r="C2395">
        <f>C2394+B2395</f>
        <v/>
      </c>
      <c r="D2395">
        <f>IF(B2395=1,INDEX('Data Entry'!$H$5:$BE$10004,2395-4,'Visual SPC'!$B$3),"")</f>
        <v/>
      </c>
      <c r="E2395">
        <f>IF(B2395=1,D2395,E2394)</f>
        <v/>
      </c>
      <c r="F2395">
        <f>IF(AND(B2395=1,C2395&gt;1,E2394&lt;&gt;""),ABS(D2395-E2394),"")</f>
        <v/>
      </c>
    </row>
    <row r="2396">
      <c r="A2396" t="n">
        <v>2396</v>
      </c>
      <c r="B2396">
        <f>IF(INDEX('Data Entry'!$H$5:$BE$10004,2396-4,'Visual SPC'!$B$3)="",0,IF(AND(OR('Visual SPC'!$C$4="",'Data Entry'!$C2396&gt;='Visual SPC'!$C$4),OR('Visual SPC'!$E$4="",'Data Entry'!$C2396&lt;='Visual SPC'!$E$4),OR('Visual SPC'!$G$4="",'Data Entry'!$D2396='Visual SPC'!$G$4),OR('Visual SPC'!$I$4="",'Data Entry'!$E2396='Visual SPC'!$I$4),OR('Visual SPC'!$K$4="",'Data Entry'!$F2396='Visual SPC'!$K$4)),1,0))</f>
        <v/>
      </c>
      <c r="C2396">
        <f>C2395+B2396</f>
        <v/>
      </c>
      <c r="D2396">
        <f>IF(B2396=1,INDEX('Data Entry'!$H$5:$BE$10004,2396-4,'Visual SPC'!$B$3),"")</f>
        <v/>
      </c>
      <c r="E2396">
        <f>IF(B2396=1,D2396,E2395)</f>
        <v/>
      </c>
      <c r="F2396">
        <f>IF(AND(B2396=1,C2396&gt;1,E2395&lt;&gt;""),ABS(D2396-E2395),"")</f>
        <v/>
      </c>
    </row>
    <row r="2397">
      <c r="A2397" t="n">
        <v>2397</v>
      </c>
      <c r="B2397">
        <f>IF(INDEX('Data Entry'!$H$5:$BE$10004,2397-4,'Visual SPC'!$B$3)="",0,IF(AND(OR('Visual SPC'!$C$4="",'Data Entry'!$C2397&gt;='Visual SPC'!$C$4),OR('Visual SPC'!$E$4="",'Data Entry'!$C2397&lt;='Visual SPC'!$E$4),OR('Visual SPC'!$G$4="",'Data Entry'!$D2397='Visual SPC'!$G$4),OR('Visual SPC'!$I$4="",'Data Entry'!$E2397='Visual SPC'!$I$4),OR('Visual SPC'!$K$4="",'Data Entry'!$F2397='Visual SPC'!$K$4)),1,0))</f>
        <v/>
      </c>
      <c r="C2397">
        <f>C2396+B2397</f>
        <v/>
      </c>
      <c r="D2397">
        <f>IF(B2397=1,INDEX('Data Entry'!$H$5:$BE$10004,2397-4,'Visual SPC'!$B$3),"")</f>
        <v/>
      </c>
      <c r="E2397">
        <f>IF(B2397=1,D2397,E2396)</f>
        <v/>
      </c>
      <c r="F2397">
        <f>IF(AND(B2397=1,C2397&gt;1,E2396&lt;&gt;""),ABS(D2397-E2396),"")</f>
        <v/>
      </c>
    </row>
    <row r="2398">
      <c r="A2398" t="n">
        <v>2398</v>
      </c>
      <c r="B2398">
        <f>IF(INDEX('Data Entry'!$H$5:$BE$10004,2398-4,'Visual SPC'!$B$3)="",0,IF(AND(OR('Visual SPC'!$C$4="",'Data Entry'!$C2398&gt;='Visual SPC'!$C$4),OR('Visual SPC'!$E$4="",'Data Entry'!$C2398&lt;='Visual SPC'!$E$4),OR('Visual SPC'!$G$4="",'Data Entry'!$D2398='Visual SPC'!$G$4),OR('Visual SPC'!$I$4="",'Data Entry'!$E2398='Visual SPC'!$I$4),OR('Visual SPC'!$K$4="",'Data Entry'!$F2398='Visual SPC'!$K$4)),1,0))</f>
        <v/>
      </c>
      <c r="C2398">
        <f>C2397+B2398</f>
        <v/>
      </c>
      <c r="D2398">
        <f>IF(B2398=1,INDEX('Data Entry'!$H$5:$BE$10004,2398-4,'Visual SPC'!$B$3),"")</f>
        <v/>
      </c>
      <c r="E2398">
        <f>IF(B2398=1,D2398,E2397)</f>
        <v/>
      </c>
      <c r="F2398">
        <f>IF(AND(B2398=1,C2398&gt;1,E2397&lt;&gt;""),ABS(D2398-E2397),"")</f>
        <v/>
      </c>
    </row>
    <row r="2399">
      <c r="A2399" t="n">
        <v>2399</v>
      </c>
      <c r="B2399">
        <f>IF(INDEX('Data Entry'!$H$5:$BE$10004,2399-4,'Visual SPC'!$B$3)="",0,IF(AND(OR('Visual SPC'!$C$4="",'Data Entry'!$C2399&gt;='Visual SPC'!$C$4),OR('Visual SPC'!$E$4="",'Data Entry'!$C2399&lt;='Visual SPC'!$E$4),OR('Visual SPC'!$G$4="",'Data Entry'!$D2399='Visual SPC'!$G$4),OR('Visual SPC'!$I$4="",'Data Entry'!$E2399='Visual SPC'!$I$4),OR('Visual SPC'!$K$4="",'Data Entry'!$F2399='Visual SPC'!$K$4)),1,0))</f>
        <v/>
      </c>
      <c r="C2399">
        <f>C2398+B2399</f>
        <v/>
      </c>
      <c r="D2399">
        <f>IF(B2399=1,INDEX('Data Entry'!$H$5:$BE$10004,2399-4,'Visual SPC'!$B$3),"")</f>
        <v/>
      </c>
      <c r="E2399">
        <f>IF(B2399=1,D2399,E2398)</f>
        <v/>
      </c>
      <c r="F2399">
        <f>IF(AND(B2399=1,C2399&gt;1,E2398&lt;&gt;""),ABS(D2399-E2398),"")</f>
        <v/>
      </c>
    </row>
    <row r="2400">
      <c r="A2400" t="n">
        <v>2400</v>
      </c>
      <c r="B2400">
        <f>IF(INDEX('Data Entry'!$H$5:$BE$10004,2400-4,'Visual SPC'!$B$3)="",0,IF(AND(OR('Visual SPC'!$C$4="",'Data Entry'!$C2400&gt;='Visual SPC'!$C$4),OR('Visual SPC'!$E$4="",'Data Entry'!$C2400&lt;='Visual SPC'!$E$4),OR('Visual SPC'!$G$4="",'Data Entry'!$D2400='Visual SPC'!$G$4),OR('Visual SPC'!$I$4="",'Data Entry'!$E2400='Visual SPC'!$I$4),OR('Visual SPC'!$K$4="",'Data Entry'!$F2400='Visual SPC'!$K$4)),1,0))</f>
        <v/>
      </c>
      <c r="C2400">
        <f>C2399+B2400</f>
        <v/>
      </c>
      <c r="D2400">
        <f>IF(B2400=1,INDEX('Data Entry'!$H$5:$BE$10004,2400-4,'Visual SPC'!$B$3),"")</f>
        <v/>
      </c>
      <c r="E2400">
        <f>IF(B2400=1,D2400,E2399)</f>
        <v/>
      </c>
      <c r="F2400">
        <f>IF(AND(B2400=1,C2400&gt;1,E2399&lt;&gt;""),ABS(D2400-E2399),"")</f>
        <v/>
      </c>
    </row>
    <row r="2401">
      <c r="A2401" t="n">
        <v>2401</v>
      </c>
      <c r="B2401">
        <f>IF(INDEX('Data Entry'!$H$5:$BE$10004,2401-4,'Visual SPC'!$B$3)="",0,IF(AND(OR('Visual SPC'!$C$4="",'Data Entry'!$C2401&gt;='Visual SPC'!$C$4),OR('Visual SPC'!$E$4="",'Data Entry'!$C2401&lt;='Visual SPC'!$E$4),OR('Visual SPC'!$G$4="",'Data Entry'!$D2401='Visual SPC'!$G$4),OR('Visual SPC'!$I$4="",'Data Entry'!$E2401='Visual SPC'!$I$4),OR('Visual SPC'!$K$4="",'Data Entry'!$F2401='Visual SPC'!$K$4)),1,0))</f>
        <v/>
      </c>
      <c r="C2401">
        <f>C2400+B2401</f>
        <v/>
      </c>
      <c r="D2401">
        <f>IF(B2401=1,INDEX('Data Entry'!$H$5:$BE$10004,2401-4,'Visual SPC'!$B$3),"")</f>
        <v/>
      </c>
      <c r="E2401">
        <f>IF(B2401=1,D2401,E2400)</f>
        <v/>
      </c>
      <c r="F2401">
        <f>IF(AND(B2401=1,C2401&gt;1,E2400&lt;&gt;""),ABS(D2401-E2400),"")</f>
        <v/>
      </c>
    </row>
    <row r="2402">
      <c r="A2402" t="n">
        <v>2402</v>
      </c>
      <c r="B2402">
        <f>IF(INDEX('Data Entry'!$H$5:$BE$10004,2402-4,'Visual SPC'!$B$3)="",0,IF(AND(OR('Visual SPC'!$C$4="",'Data Entry'!$C2402&gt;='Visual SPC'!$C$4),OR('Visual SPC'!$E$4="",'Data Entry'!$C2402&lt;='Visual SPC'!$E$4),OR('Visual SPC'!$G$4="",'Data Entry'!$D2402='Visual SPC'!$G$4),OR('Visual SPC'!$I$4="",'Data Entry'!$E2402='Visual SPC'!$I$4),OR('Visual SPC'!$K$4="",'Data Entry'!$F2402='Visual SPC'!$K$4)),1,0))</f>
        <v/>
      </c>
      <c r="C2402">
        <f>C2401+B2402</f>
        <v/>
      </c>
      <c r="D2402">
        <f>IF(B2402=1,INDEX('Data Entry'!$H$5:$BE$10004,2402-4,'Visual SPC'!$B$3),"")</f>
        <v/>
      </c>
      <c r="E2402">
        <f>IF(B2402=1,D2402,E2401)</f>
        <v/>
      </c>
      <c r="F2402">
        <f>IF(AND(B2402=1,C2402&gt;1,E2401&lt;&gt;""),ABS(D2402-E2401),"")</f>
        <v/>
      </c>
    </row>
    <row r="2403">
      <c r="A2403" t="n">
        <v>2403</v>
      </c>
      <c r="B2403">
        <f>IF(INDEX('Data Entry'!$H$5:$BE$10004,2403-4,'Visual SPC'!$B$3)="",0,IF(AND(OR('Visual SPC'!$C$4="",'Data Entry'!$C2403&gt;='Visual SPC'!$C$4),OR('Visual SPC'!$E$4="",'Data Entry'!$C2403&lt;='Visual SPC'!$E$4),OR('Visual SPC'!$G$4="",'Data Entry'!$D2403='Visual SPC'!$G$4),OR('Visual SPC'!$I$4="",'Data Entry'!$E2403='Visual SPC'!$I$4),OR('Visual SPC'!$K$4="",'Data Entry'!$F2403='Visual SPC'!$K$4)),1,0))</f>
        <v/>
      </c>
      <c r="C2403">
        <f>C2402+B2403</f>
        <v/>
      </c>
      <c r="D2403">
        <f>IF(B2403=1,INDEX('Data Entry'!$H$5:$BE$10004,2403-4,'Visual SPC'!$B$3),"")</f>
        <v/>
      </c>
      <c r="E2403">
        <f>IF(B2403=1,D2403,E2402)</f>
        <v/>
      </c>
      <c r="F2403">
        <f>IF(AND(B2403=1,C2403&gt;1,E2402&lt;&gt;""),ABS(D2403-E2402),"")</f>
        <v/>
      </c>
    </row>
    <row r="2404">
      <c r="A2404" t="n">
        <v>2404</v>
      </c>
      <c r="B2404">
        <f>IF(INDEX('Data Entry'!$H$5:$BE$10004,2404-4,'Visual SPC'!$B$3)="",0,IF(AND(OR('Visual SPC'!$C$4="",'Data Entry'!$C2404&gt;='Visual SPC'!$C$4),OR('Visual SPC'!$E$4="",'Data Entry'!$C2404&lt;='Visual SPC'!$E$4),OR('Visual SPC'!$G$4="",'Data Entry'!$D2404='Visual SPC'!$G$4),OR('Visual SPC'!$I$4="",'Data Entry'!$E2404='Visual SPC'!$I$4),OR('Visual SPC'!$K$4="",'Data Entry'!$F2404='Visual SPC'!$K$4)),1,0))</f>
        <v/>
      </c>
      <c r="C2404">
        <f>C2403+B2404</f>
        <v/>
      </c>
      <c r="D2404">
        <f>IF(B2404=1,INDEX('Data Entry'!$H$5:$BE$10004,2404-4,'Visual SPC'!$B$3),"")</f>
        <v/>
      </c>
      <c r="E2404">
        <f>IF(B2404=1,D2404,E2403)</f>
        <v/>
      </c>
      <c r="F2404">
        <f>IF(AND(B2404=1,C2404&gt;1,E2403&lt;&gt;""),ABS(D2404-E2403),"")</f>
        <v/>
      </c>
    </row>
    <row r="2405">
      <c r="A2405" t="n">
        <v>2405</v>
      </c>
      <c r="B2405">
        <f>IF(INDEX('Data Entry'!$H$5:$BE$10004,2405-4,'Visual SPC'!$B$3)="",0,IF(AND(OR('Visual SPC'!$C$4="",'Data Entry'!$C2405&gt;='Visual SPC'!$C$4),OR('Visual SPC'!$E$4="",'Data Entry'!$C2405&lt;='Visual SPC'!$E$4),OR('Visual SPC'!$G$4="",'Data Entry'!$D2405='Visual SPC'!$G$4),OR('Visual SPC'!$I$4="",'Data Entry'!$E2405='Visual SPC'!$I$4),OR('Visual SPC'!$K$4="",'Data Entry'!$F2405='Visual SPC'!$K$4)),1,0))</f>
        <v/>
      </c>
      <c r="C2405">
        <f>C2404+B2405</f>
        <v/>
      </c>
      <c r="D2405">
        <f>IF(B2405=1,INDEX('Data Entry'!$H$5:$BE$10004,2405-4,'Visual SPC'!$B$3),"")</f>
        <v/>
      </c>
      <c r="E2405">
        <f>IF(B2405=1,D2405,E2404)</f>
        <v/>
      </c>
      <c r="F2405">
        <f>IF(AND(B2405=1,C2405&gt;1,E2404&lt;&gt;""),ABS(D2405-E2404),"")</f>
        <v/>
      </c>
    </row>
    <row r="2406">
      <c r="A2406" t="n">
        <v>2406</v>
      </c>
      <c r="B2406">
        <f>IF(INDEX('Data Entry'!$H$5:$BE$10004,2406-4,'Visual SPC'!$B$3)="",0,IF(AND(OR('Visual SPC'!$C$4="",'Data Entry'!$C2406&gt;='Visual SPC'!$C$4),OR('Visual SPC'!$E$4="",'Data Entry'!$C2406&lt;='Visual SPC'!$E$4),OR('Visual SPC'!$G$4="",'Data Entry'!$D2406='Visual SPC'!$G$4),OR('Visual SPC'!$I$4="",'Data Entry'!$E2406='Visual SPC'!$I$4),OR('Visual SPC'!$K$4="",'Data Entry'!$F2406='Visual SPC'!$K$4)),1,0))</f>
        <v/>
      </c>
      <c r="C2406">
        <f>C2405+B2406</f>
        <v/>
      </c>
      <c r="D2406">
        <f>IF(B2406=1,INDEX('Data Entry'!$H$5:$BE$10004,2406-4,'Visual SPC'!$B$3),"")</f>
        <v/>
      </c>
      <c r="E2406">
        <f>IF(B2406=1,D2406,E2405)</f>
        <v/>
      </c>
      <c r="F2406">
        <f>IF(AND(B2406=1,C2406&gt;1,E2405&lt;&gt;""),ABS(D2406-E2405),"")</f>
        <v/>
      </c>
    </row>
    <row r="2407">
      <c r="A2407" t="n">
        <v>2407</v>
      </c>
      <c r="B2407">
        <f>IF(INDEX('Data Entry'!$H$5:$BE$10004,2407-4,'Visual SPC'!$B$3)="",0,IF(AND(OR('Visual SPC'!$C$4="",'Data Entry'!$C2407&gt;='Visual SPC'!$C$4),OR('Visual SPC'!$E$4="",'Data Entry'!$C2407&lt;='Visual SPC'!$E$4),OR('Visual SPC'!$G$4="",'Data Entry'!$D2407='Visual SPC'!$G$4),OR('Visual SPC'!$I$4="",'Data Entry'!$E2407='Visual SPC'!$I$4),OR('Visual SPC'!$K$4="",'Data Entry'!$F2407='Visual SPC'!$K$4)),1,0))</f>
        <v/>
      </c>
      <c r="C2407">
        <f>C2406+B2407</f>
        <v/>
      </c>
      <c r="D2407">
        <f>IF(B2407=1,INDEX('Data Entry'!$H$5:$BE$10004,2407-4,'Visual SPC'!$B$3),"")</f>
        <v/>
      </c>
      <c r="E2407">
        <f>IF(B2407=1,D2407,E2406)</f>
        <v/>
      </c>
      <c r="F2407">
        <f>IF(AND(B2407=1,C2407&gt;1,E2406&lt;&gt;""),ABS(D2407-E2406),"")</f>
        <v/>
      </c>
    </row>
    <row r="2408">
      <c r="A2408" t="n">
        <v>2408</v>
      </c>
      <c r="B2408">
        <f>IF(INDEX('Data Entry'!$H$5:$BE$10004,2408-4,'Visual SPC'!$B$3)="",0,IF(AND(OR('Visual SPC'!$C$4="",'Data Entry'!$C2408&gt;='Visual SPC'!$C$4),OR('Visual SPC'!$E$4="",'Data Entry'!$C2408&lt;='Visual SPC'!$E$4),OR('Visual SPC'!$G$4="",'Data Entry'!$D2408='Visual SPC'!$G$4),OR('Visual SPC'!$I$4="",'Data Entry'!$E2408='Visual SPC'!$I$4),OR('Visual SPC'!$K$4="",'Data Entry'!$F2408='Visual SPC'!$K$4)),1,0))</f>
        <v/>
      </c>
      <c r="C2408">
        <f>C2407+B2408</f>
        <v/>
      </c>
      <c r="D2408">
        <f>IF(B2408=1,INDEX('Data Entry'!$H$5:$BE$10004,2408-4,'Visual SPC'!$B$3),"")</f>
        <v/>
      </c>
      <c r="E2408">
        <f>IF(B2408=1,D2408,E2407)</f>
        <v/>
      </c>
      <c r="F2408">
        <f>IF(AND(B2408=1,C2408&gt;1,E2407&lt;&gt;""),ABS(D2408-E2407),"")</f>
        <v/>
      </c>
    </row>
    <row r="2409">
      <c r="A2409" t="n">
        <v>2409</v>
      </c>
      <c r="B2409">
        <f>IF(INDEX('Data Entry'!$H$5:$BE$10004,2409-4,'Visual SPC'!$B$3)="",0,IF(AND(OR('Visual SPC'!$C$4="",'Data Entry'!$C2409&gt;='Visual SPC'!$C$4),OR('Visual SPC'!$E$4="",'Data Entry'!$C2409&lt;='Visual SPC'!$E$4),OR('Visual SPC'!$G$4="",'Data Entry'!$D2409='Visual SPC'!$G$4),OR('Visual SPC'!$I$4="",'Data Entry'!$E2409='Visual SPC'!$I$4),OR('Visual SPC'!$K$4="",'Data Entry'!$F2409='Visual SPC'!$K$4)),1,0))</f>
        <v/>
      </c>
      <c r="C2409">
        <f>C2408+B2409</f>
        <v/>
      </c>
      <c r="D2409">
        <f>IF(B2409=1,INDEX('Data Entry'!$H$5:$BE$10004,2409-4,'Visual SPC'!$B$3),"")</f>
        <v/>
      </c>
      <c r="E2409">
        <f>IF(B2409=1,D2409,E2408)</f>
        <v/>
      </c>
      <c r="F2409">
        <f>IF(AND(B2409=1,C2409&gt;1,E2408&lt;&gt;""),ABS(D2409-E2408),"")</f>
        <v/>
      </c>
    </row>
    <row r="2410">
      <c r="A2410" t="n">
        <v>2410</v>
      </c>
      <c r="B2410">
        <f>IF(INDEX('Data Entry'!$H$5:$BE$10004,2410-4,'Visual SPC'!$B$3)="",0,IF(AND(OR('Visual SPC'!$C$4="",'Data Entry'!$C2410&gt;='Visual SPC'!$C$4),OR('Visual SPC'!$E$4="",'Data Entry'!$C2410&lt;='Visual SPC'!$E$4),OR('Visual SPC'!$G$4="",'Data Entry'!$D2410='Visual SPC'!$G$4),OR('Visual SPC'!$I$4="",'Data Entry'!$E2410='Visual SPC'!$I$4),OR('Visual SPC'!$K$4="",'Data Entry'!$F2410='Visual SPC'!$K$4)),1,0))</f>
        <v/>
      </c>
      <c r="C2410">
        <f>C2409+B2410</f>
        <v/>
      </c>
      <c r="D2410">
        <f>IF(B2410=1,INDEX('Data Entry'!$H$5:$BE$10004,2410-4,'Visual SPC'!$B$3),"")</f>
        <v/>
      </c>
      <c r="E2410">
        <f>IF(B2410=1,D2410,E2409)</f>
        <v/>
      </c>
      <c r="F2410">
        <f>IF(AND(B2410=1,C2410&gt;1,E2409&lt;&gt;""),ABS(D2410-E2409),"")</f>
        <v/>
      </c>
    </row>
    <row r="2411">
      <c r="A2411" t="n">
        <v>2411</v>
      </c>
      <c r="B2411">
        <f>IF(INDEX('Data Entry'!$H$5:$BE$10004,2411-4,'Visual SPC'!$B$3)="",0,IF(AND(OR('Visual SPC'!$C$4="",'Data Entry'!$C2411&gt;='Visual SPC'!$C$4),OR('Visual SPC'!$E$4="",'Data Entry'!$C2411&lt;='Visual SPC'!$E$4),OR('Visual SPC'!$G$4="",'Data Entry'!$D2411='Visual SPC'!$G$4),OR('Visual SPC'!$I$4="",'Data Entry'!$E2411='Visual SPC'!$I$4),OR('Visual SPC'!$K$4="",'Data Entry'!$F2411='Visual SPC'!$K$4)),1,0))</f>
        <v/>
      </c>
      <c r="C2411">
        <f>C2410+B2411</f>
        <v/>
      </c>
      <c r="D2411">
        <f>IF(B2411=1,INDEX('Data Entry'!$H$5:$BE$10004,2411-4,'Visual SPC'!$B$3),"")</f>
        <v/>
      </c>
      <c r="E2411">
        <f>IF(B2411=1,D2411,E2410)</f>
        <v/>
      </c>
      <c r="F2411">
        <f>IF(AND(B2411=1,C2411&gt;1,E2410&lt;&gt;""),ABS(D2411-E2410),"")</f>
        <v/>
      </c>
    </row>
    <row r="2412">
      <c r="A2412" t="n">
        <v>2412</v>
      </c>
      <c r="B2412">
        <f>IF(INDEX('Data Entry'!$H$5:$BE$10004,2412-4,'Visual SPC'!$B$3)="",0,IF(AND(OR('Visual SPC'!$C$4="",'Data Entry'!$C2412&gt;='Visual SPC'!$C$4),OR('Visual SPC'!$E$4="",'Data Entry'!$C2412&lt;='Visual SPC'!$E$4),OR('Visual SPC'!$G$4="",'Data Entry'!$D2412='Visual SPC'!$G$4),OR('Visual SPC'!$I$4="",'Data Entry'!$E2412='Visual SPC'!$I$4),OR('Visual SPC'!$K$4="",'Data Entry'!$F2412='Visual SPC'!$K$4)),1,0))</f>
        <v/>
      </c>
      <c r="C2412">
        <f>C2411+B2412</f>
        <v/>
      </c>
      <c r="D2412">
        <f>IF(B2412=1,INDEX('Data Entry'!$H$5:$BE$10004,2412-4,'Visual SPC'!$B$3),"")</f>
        <v/>
      </c>
      <c r="E2412">
        <f>IF(B2412=1,D2412,E2411)</f>
        <v/>
      </c>
      <c r="F2412">
        <f>IF(AND(B2412=1,C2412&gt;1,E2411&lt;&gt;""),ABS(D2412-E2411),"")</f>
        <v/>
      </c>
    </row>
    <row r="2413">
      <c r="A2413" t="n">
        <v>2413</v>
      </c>
      <c r="B2413">
        <f>IF(INDEX('Data Entry'!$H$5:$BE$10004,2413-4,'Visual SPC'!$B$3)="",0,IF(AND(OR('Visual SPC'!$C$4="",'Data Entry'!$C2413&gt;='Visual SPC'!$C$4),OR('Visual SPC'!$E$4="",'Data Entry'!$C2413&lt;='Visual SPC'!$E$4),OR('Visual SPC'!$G$4="",'Data Entry'!$D2413='Visual SPC'!$G$4),OR('Visual SPC'!$I$4="",'Data Entry'!$E2413='Visual SPC'!$I$4),OR('Visual SPC'!$K$4="",'Data Entry'!$F2413='Visual SPC'!$K$4)),1,0))</f>
        <v/>
      </c>
      <c r="C2413">
        <f>C2412+B2413</f>
        <v/>
      </c>
      <c r="D2413">
        <f>IF(B2413=1,INDEX('Data Entry'!$H$5:$BE$10004,2413-4,'Visual SPC'!$B$3),"")</f>
        <v/>
      </c>
      <c r="E2413">
        <f>IF(B2413=1,D2413,E2412)</f>
        <v/>
      </c>
      <c r="F2413">
        <f>IF(AND(B2413=1,C2413&gt;1,E2412&lt;&gt;""),ABS(D2413-E2412),"")</f>
        <v/>
      </c>
    </row>
    <row r="2414">
      <c r="A2414" t="n">
        <v>2414</v>
      </c>
      <c r="B2414">
        <f>IF(INDEX('Data Entry'!$H$5:$BE$10004,2414-4,'Visual SPC'!$B$3)="",0,IF(AND(OR('Visual SPC'!$C$4="",'Data Entry'!$C2414&gt;='Visual SPC'!$C$4),OR('Visual SPC'!$E$4="",'Data Entry'!$C2414&lt;='Visual SPC'!$E$4),OR('Visual SPC'!$G$4="",'Data Entry'!$D2414='Visual SPC'!$G$4),OR('Visual SPC'!$I$4="",'Data Entry'!$E2414='Visual SPC'!$I$4),OR('Visual SPC'!$K$4="",'Data Entry'!$F2414='Visual SPC'!$K$4)),1,0))</f>
        <v/>
      </c>
      <c r="C2414">
        <f>C2413+B2414</f>
        <v/>
      </c>
      <c r="D2414">
        <f>IF(B2414=1,INDEX('Data Entry'!$H$5:$BE$10004,2414-4,'Visual SPC'!$B$3),"")</f>
        <v/>
      </c>
      <c r="E2414">
        <f>IF(B2414=1,D2414,E2413)</f>
        <v/>
      </c>
      <c r="F2414">
        <f>IF(AND(B2414=1,C2414&gt;1,E2413&lt;&gt;""),ABS(D2414-E2413),"")</f>
        <v/>
      </c>
    </row>
    <row r="2415">
      <c r="A2415" t="n">
        <v>2415</v>
      </c>
      <c r="B2415">
        <f>IF(INDEX('Data Entry'!$H$5:$BE$10004,2415-4,'Visual SPC'!$B$3)="",0,IF(AND(OR('Visual SPC'!$C$4="",'Data Entry'!$C2415&gt;='Visual SPC'!$C$4),OR('Visual SPC'!$E$4="",'Data Entry'!$C2415&lt;='Visual SPC'!$E$4),OR('Visual SPC'!$G$4="",'Data Entry'!$D2415='Visual SPC'!$G$4),OR('Visual SPC'!$I$4="",'Data Entry'!$E2415='Visual SPC'!$I$4),OR('Visual SPC'!$K$4="",'Data Entry'!$F2415='Visual SPC'!$K$4)),1,0))</f>
        <v/>
      </c>
      <c r="C2415">
        <f>C2414+B2415</f>
        <v/>
      </c>
      <c r="D2415">
        <f>IF(B2415=1,INDEX('Data Entry'!$H$5:$BE$10004,2415-4,'Visual SPC'!$B$3),"")</f>
        <v/>
      </c>
      <c r="E2415">
        <f>IF(B2415=1,D2415,E2414)</f>
        <v/>
      </c>
      <c r="F2415">
        <f>IF(AND(B2415=1,C2415&gt;1,E2414&lt;&gt;""),ABS(D2415-E2414),"")</f>
        <v/>
      </c>
    </row>
    <row r="2416">
      <c r="A2416" t="n">
        <v>2416</v>
      </c>
      <c r="B2416">
        <f>IF(INDEX('Data Entry'!$H$5:$BE$10004,2416-4,'Visual SPC'!$B$3)="",0,IF(AND(OR('Visual SPC'!$C$4="",'Data Entry'!$C2416&gt;='Visual SPC'!$C$4),OR('Visual SPC'!$E$4="",'Data Entry'!$C2416&lt;='Visual SPC'!$E$4),OR('Visual SPC'!$G$4="",'Data Entry'!$D2416='Visual SPC'!$G$4),OR('Visual SPC'!$I$4="",'Data Entry'!$E2416='Visual SPC'!$I$4),OR('Visual SPC'!$K$4="",'Data Entry'!$F2416='Visual SPC'!$K$4)),1,0))</f>
        <v/>
      </c>
      <c r="C2416">
        <f>C2415+B2416</f>
        <v/>
      </c>
      <c r="D2416">
        <f>IF(B2416=1,INDEX('Data Entry'!$H$5:$BE$10004,2416-4,'Visual SPC'!$B$3),"")</f>
        <v/>
      </c>
      <c r="E2416">
        <f>IF(B2416=1,D2416,E2415)</f>
        <v/>
      </c>
      <c r="F2416">
        <f>IF(AND(B2416=1,C2416&gt;1,E2415&lt;&gt;""),ABS(D2416-E2415),"")</f>
        <v/>
      </c>
    </row>
    <row r="2417">
      <c r="A2417" t="n">
        <v>2417</v>
      </c>
      <c r="B2417">
        <f>IF(INDEX('Data Entry'!$H$5:$BE$10004,2417-4,'Visual SPC'!$B$3)="",0,IF(AND(OR('Visual SPC'!$C$4="",'Data Entry'!$C2417&gt;='Visual SPC'!$C$4),OR('Visual SPC'!$E$4="",'Data Entry'!$C2417&lt;='Visual SPC'!$E$4),OR('Visual SPC'!$G$4="",'Data Entry'!$D2417='Visual SPC'!$G$4),OR('Visual SPC'!$I$4="",'Data Entry'!$E2417='Visual SPC'!$I$4),OR('Visual SPC'!$K$4="",'Data Entry'!$F2417='Visual SPC'!$K$4)),1,0))</f>
        <v/>
      </c>
      <c r="C2417">
        <f>C2416+B2417</f>
        <v/>
      </c>
      <c r="D2417">
        <f>IF(B2417=1,INDEX('Data Entry'!$H$5:$BE$10004,2417-4,'Visual SPC'!$B$3),"")</f>
        <v/>
      </c>
      <c r="E2417">
        <f>IF(B2417=1,D2417,E2416)</f>
        <v/>
      </c>
      <c r="F2417">
        <f>IF(AND(B2417=1,C2417&gt;1,E2416&lt;&gt;""),ABS(D2417-E2416),"")</f>
        <v/>
      </c>
    </row>
    <row r="2418">
      <c r="A2418" t="n">
        <v>2418</v>
      </c>
      <c r="B2418">
        <f>IF(INDEX('Data Entry'!$H$5:$BE$10004,2418-4,'Visual SPC'!$B$3)="",0,IF(AND(OR('Visual SPC'!$C$4="",'Data Entry'!$C2418&gt;='Visual SPC'!$C$4),OR('Visual SPC'!$E$4="",'Data Entry'!$C2418&lt;='Visual SPC'!$E$4),OR('Visual SPC'!$G$4="",'Data Entry'!$D2418='Visual SPC'!$G$4),OR('Visual SPC'!$I$4="",'Data Entry'!$E2418='Visual SPC'!$I$4),OR('Visual SPC'!$K$4="",'Data Entry'!$F2418='Visual SPC'!$K$4)),1,0))</f>
        <v/>
      </c>
      <c r="C2418">
        <f>C2417+B2418</f>
        <v/>
      </c>
      <c r="D2418">
        <f>IF(B2418=1,INDEX('Data Entry'!$H$5:$BE$10004,2418-4,'Visual SPC'!$B$3),"")</f>
        <v/>
      </c>
      <c r="E2418">
        <f>IF(B2418=1,D2418,E2417)</f>
        <v/>
      </c>
      <c r="F2418">
        <f>IF(AND(B2418=1,C2418&gt;1,E2417&lt;&gt;""),ABS(D2418-E2417),"")</f>
        <v/>
      </c>
    </row>
    <row r="2419">
      <c r="A2419" t="n">
        <v>2419</v>
      </c>
      <c r="B2419">
        <f>IF(INDEX('Data Entry'!$H$5:$BE$10004,2419-4,'Visual SPC'!$B$3)="",0,IF(AND(OR('Visual SPC'!$C$4="",'Data Entry'!$C2419&gt;='Visual SPC'!$C$4),OR('Visual SPC'!$E$4="",'Data Entry'!$C2419&lt;='Visual SPC'!$E$4),OR('Visual SPC'!$G$4="",'Data Entry'!$D2419='Visual SPC'!$G$4),OR('Visual SPC'!$I$4="",'Data Entry'!$E2419='Visual SPC'!$I$4),OR('Visual SPC'!$K$4="",'Data Entry'!$F2419='Visual SPC'!$K$4)),1,0))</f>
        <v/>
      </c>
      <c r="C2419">
        <f>C2418+B2419</f>
        <v/>
      </c>
      <c r="D2419">
        <f>IF(B2419=1,INDEX('Data Entry'!$H$5:$BE$10004,2419-4,'Visual SPC'!$B$3),"")</f>
        <v/>
      </c>
      <c r="E2419">
        <f>IF(B2419=1,D2419,E2418)</f>
        <v/>
      </c>
      <c r="F2419">
        <f>IF(AND(B2419=1,C2419&gt;1,E2418&lt;&gt;""),ABS(D2419-E2418),"")</f>
        <v/>
      </c>
    </row>
    <row r="2420">
      <c r="A2420" t="n">
        <v>2420</v>
      </c>
      <c r="B2420">
        <f>IF(INDEX('Data Entry'!$H$5:$BE$10004,2420-4,'Visual SPC'!$B$3)="",0,IF(AND(OR('Visual SPC'!$C$4="",'Data Entry'!$C2420&gt;='Visual SPC'!$C$4),OR('Visual SPC'!$E$4="",'Data Entry'!$C2420&lt;='Visual SPC'!$E$4),OR('Visual SPC'!$G$4="",'Data Entry'!$D2420='Visual SPC'!$G$4),OR('Visual SPC'!$I$4="",'Data Entry'!$E2420='Visual SPC'!$I$4),OR('Visual SPC'!$K$4="",'Data Entry'!$F2420='Visual SPC'!$K$4)),1,0))</f>
        <v/>
      </c>
      <c r="C2420">
        <f>C2419+B2420</f>
        <v/>
      </c>
      <c r="D2420">
        <f>IF(B2420=1,INDEX('Data Entry'!$H$5:$BE$10004,2420-4,'Visual SPC'!$B$3),"")</f>
        <v/>
      </c>
      <c r="E2420">
        <f>IF(B2420=1,D2420,E2419)</f>
        <v/>
      </c>
      <c r="F2420">
        <f>IF(AND(B2420=1,C2420&gt;1,E2419&lt;&gt;""),ABS(D2420-E2419),"")</f>
        <v/>
      </c>
    </row>
    <row r="2421">
      <c r="A2421" t="n">
        <v>2421</v>
      </c>
      <c r="B2421">
        <f>IF(INDEX('Data Entry'!$H$5:$BE$10004,2421-4,'Visual SPC'!$B$3)="",0,IF(AND(OR('Visual SPC'!$C$4="",'Data Entry'!$C2421&gt;='Visual SPC'!$C$4),OR('Visual SPC'!$E$4="",'Data Entry'!$C2421&lt;='Visual SPC'!$E$4),OR('Visual SPC'!$G$4="",'Data Entry'!$D2421='Visual SPC'!$G$4),OR('Visual SPC'!$I$4="",'Data Entry'!$E2421='Visual SPC'!$I$4),OR('Visual SPC'!$K$4="",'Data Entry'!$F2421='Visual SPC'!$K$4)),1,0))</f>
        <v/>
      </c>
      <c r="C2421">
        <f>C2420+B2421</f>
        <v/>
      </c>
      <c r="D2421">
        <f>IF(B2421=1,INDEX('Data Entry'!$H$5:$BE$10004,2421-4,'Visual SPC'!$B$3),"")</f>
        <v/>
      </c>
      <c r="E2421">
        <f>IF(B2421=1,D2421,E2420)</f>
        <v/>
      </c>
      <c r="F2421">
        <f>IF(AND(B2421=1,C2421&gt;1,E2420&lt;&gt;""),ABS(D2421-E2420),"")</f>
        <v/>
      </c>
    </row>
    <row r="2422">
      <c r="A2422" t="n">
        <v>2422</v>
      </c>
      <c r="B2422">
        <f>IF(INDEX('Data Entry'!$H$5:$BE$10004,2422-4,'Visual SPC'!$B$3)="",0,IF(AND(OR('Visual SPC'!$C$4="",'Data Entry'!$C2422&gt;='Visual SPC'!$C$4),OR('Visual SPC'!$E$4="",'Data Entry'!$C2422&lt;='Visual SPC'!$E$4),OR('Visual SPC'!$G$4="",'Data Entry'!$D2422='Visual SPC'!$G$4),OR('Visual SPC'!$I$4="",'Data Entry'!$E2422='Visual SPC'!$I$4),OR('Visual SPC'!$K$4="",'Data Entry'!$F2422='Visual SPC'!$K$4)),1,0))</f>
        <v/>
      </c>
      <c r="C2422">
        <f>C2421+B2422</f>
        <v/>
      </c>
      <c r="D2422">
        <f>IF(B2422=1,INDEX('Data Entry'!$H$5:$BE$10004,2422-4,'Visual SPC'!$B$3),"")</f>
        <v/>
      </c>
      <c r="E2422">
        <f>IF(B2422=1,D2422,E2421)</f>
        <v/>
      </c>
      <c r="F2422">
        <f>IF(AND(B2422=1,C2422&gt;1,E2421&lt;&gt;""),ABS(D2422-E2421),"")</f>
        <v/>
      </c>
    </row>
    <row r="2423">
      <c r="A2423" t="n">
        <v>2423</v>
      </c>
      <c r="B2423">
        <f>IF(INDEX('Data Entry'!$H$5:$BE$10004,2423-4,'Visual SPC'!$B$3)="",0,IF(AND(OR('Visual SPC'!$C$4="",'Data Entry'!$C2423&gt;='Visual SPC'!$C$4),OR('Visual SPC'!$E$4="",'Data Entry'!$C2423&lt;='Visual SPC'!$E$4),OR('Visual SPC'!$G$4="",'Data Entry'!$D2423='Visual SPC'!$G$4),OR('Visual SPC'!$I$4="",'Data Entry'!$E2423='Visual SPC'!$I$4),OR('Visual SPC'!$K$4="",'Data Entry'!$F2423='Visual SPC'!$K$4)),1,0))</f>
        <v/>
      </c>
      <c r="C2423">
        <f>C2422+B2423</f>
        <v/>
      </c>
      <c r="D2423">
        <f>IF(B2423=1,INDEX('Data Entry'!$H$5:$BE$10004,2423-4,'Visual SPC'!$B$3),"")</f>
        <v/>
      </c>
      <c r="E2423">
        <f>IF(B2423=1,D2423,E2422)</f>
        <v/>
      </c>
      <c r="F2423">
        <f>IF(AND(B2423=1,C2423&gt;1,E2422&lt;&gt;""),ABS(D2423-E2422),"")</f>
        <v/>
      </c>
    </row>
    <row r="2424">
      <c r="A2424" t="n">
        <v>2424</v>
      </c>
      <c r="B2424">
        <f>IF(INDEX('Data Entry'!$H$5:$BE$10004,2424-4,'Visual SPC'!$B$3)="",0,IF(AND(OR('Visual SPC'!$C$4="",'Data Entry'!$C2424&gt;='Visual SPC'!$C$4),OR('Visual SPC'!$E$4="",'Data Entry'!$C2424&lt;='Visual SPC'!$E$4),OR('Visual SPC'!$G$4="",'Data Entry'!$D2424='Visual SPC'!$G$4),OR('Visual SPC'!$I$4="",'Data Entry'!$E2424='Visual SPC'!$I$4),OR('Visual SPC'!$K$4="",'Data Entry'!$F2424='Visual SPC'!$K$4)),1,0))</f>
        <v/>
      </c>
      <c r="C2424">
        <f>C2423+B2424</f>
        <v/>
      </c>
      <c r="D2424">
        <f>IF(B2424=1,INDEX('Data Entry'!$H$5:$BE$10004,2424-4,'Visual SPC'!$B$3),"")</f>
        <v/>
      </c>
      <c r="E2424">
        <f>IF(B2424=1,D2424,E2423)</f>
        <v/>
      </c>
      <c r="F2424">
        <f>IF(AND(B2424=1,C2424&gt;1,E2423&lt;&gt;""),ABS(D2424-E2423),"")</f>
        <v/>
      </c>
    </row>
    <row r="2425">
      <c r="A2425" t="n">
        <v>2425</v>
      </c>
      <c r="B2425">
        <f>IF(INDEX('Data Entry'!$H$5:$BE$10004,2425-4,'Visual SPC'!$B$3)="",0,IF(AND(OR('Visual SPC'!$C$4="",'Data Entry'!$C2425&gt;='Visual SPC'!$C$4),OR('Visual SPC'!$E$4="",'Data Entry'!$C2425&lt;='Visual SPC'!$E$4),OR('Visual SPC'!$G$4="",'Data Entry'!$D2425='Visual SPC'!$G$4),OR('Visual SPC'!$I$4="",'Data Entry'!$E2425='Visual SPC'!$I$4),OR('Visual SPC'!$K$4="",'Data Entry'!$F2425='Visual SPC'!$K$4)),1,0))</f>
        <v/>
      </c>
      <c r="C2425">
        <f>C2424+B2425</f>
        <v/>
      </c>
      <c r="D2425">
        <f>IF(B2425=1,INDEX('Data Entry'!$H$5:$BE$10004,2425-4,'Visual SPC'!$B$3),"")</f>
        <v/>
      </c>
      <c r="E2425">
        <f>IF(B2425=1,D2425,E2424)</f>
        <v/>
      </c>
      <c r="F2425">
        <f>IF(AND(B2425=1,C2425&gt;1,E2424&lt;&gt;""),ABS(D2425-E2424),"")</f>
        <v/>
      </c>
    </row>
    <row r="2426">
      <c r="A2426" t="n">
        <v>2426</v>
      </c>
      <c r="B2426">
        <f>IF(INDEX('Data Entry'!$H$5:$BE$10004,2426-4,'Visual SPC'!$B$3)="",0,IF(AND(OR('Visual SPC'!$C$4="",'Data Entry'!$C2426&gt;='Visual SPC'!$C$4),OR('Visual SPC'!$E$4="",'Data Entry'!$C2426&lt;='Visual SPC'!$E$4),OR('Visual SPC'!$G$4="",'Data Entry'!$D2426='Visual SPC'!$G$4),OR('Visual SPC'!$I$4="",'Data Entry'!$E2426='Visual SPC'!$I$4),OR('Visual SPC'!$K$4="",'Data Entry'!$F2426='Visual SPC'!$K$4)),1,0))</f>
        <v/>
      </c>
      <c r="C2426">
        <f>C2425+B2426</f>
        <v/>
      </c>
      <c r="D2426">
        <f>IF(B2426=1,INDEX('Data Entry'!$H$5:$BE$10004,2426-4,'Visual SPC'!$B$3),"")</f>
        <v/>
      </c>
      <c r="E2426">
        <f>IF(B2426=1,D2426,E2425)</f>
        <v/>
      </c>
      <c r="F2426">
        <f>IF(AND(B2426=1,C2426&gt;1,E2425&lt;&gt;""),ABS(D2426-E2425),"")</f>
        <v/>
      </c>
    </row>
    <row r="2427">
      <c r="A2427" t="n">
        <v>2427</v>
      </c>
      <c r="B2427">
        <f>IF(INDEX('Data Entry'!$H$5:$BE$10004,2427-4,'Visual SPC'!$B$3)="",0,IF(AND(OR('Visual SPC'!$C$4="",'Data Entry'!$C2427&gt;='Visual SPC'!$C$4),OR('Visual SPC'!$E$4="",'Data Entry'!$C2427&lt;='Visual SPC'!$E$4),OR('Visual SPC'!$G$4="",'Data Entry'!$D2427='Visual SPC'!$G$4),OR('Visual SPC'!$I$4="",'Data Entry'!$E2427='Visual SPC'!$I$4),OR('Visual SPC'!$K$4="",'Data Entry'!$F2427='Visual SPC'!$K$4)),1,0))</f>
        <v/>
      </c>
      <c r="C2427">
        <f>C2426+B2427</f>
        <v/>
      </c>
      <c r="D2427">
        <f>IF(B2427=1,INDEX('Data Entry'!$H$5:$BE$10004,2427-4,'Visual SPC'!$B$3),"")</f>
        <v/>
      </c>
      <c r="E2427">
        <f>IF(B2427=1,D2427,E2426)</f>
        <v/>
      </c>
      <c r="F2427">
        <f>IF(AND(B2427=1,C2427&gt;1,E2426&lt;&gt;""),ABS(D2427-E2426),"")</f>
        <v/>
      </c>
    </row>
    <row r="2428">
      <c r="A2428" t="n">
        <v>2428</v>
      </c>
      <c r="B2428">
        <f>IF(INDEX('Data Entry'!$H$5:$BE$10004,2428-4,'Visual SPC'!$B$3)="",0,IF(AND(OR('Visual SPC'!$C$4="",'Data Entry'!$C2428&gt;='Visual SPC'!$C$4),OR('Visual SPC'!$E$4="",'Data Entry'!$C2428&lt;='Visual SPC'!$E$4),OR('Visual SPC'!$G$4="",'Data Entry'!$D2428='Visual SPC'!$G$4),OR('Visual SPC'!$I$4="",'Data Entry'!$E2428='Visual SPC'!$I$4),OR('Visual SPC'!$K$4="",'Data Entry'!$F2428='Visual SPC'!$K$4)),1,0))</f>
        <v/>
      </c>
      <c r="C2428">
        <f>C2427+B2428</f>
        <v/>
      </c>
      <c r="D2428">
        <f>IF(B2428=1,INDEX('Data Entry'!$H$5:$BE$10004,2428-4,'Visual SPC'!$B$3),"")</f>
        <v/>
      </c>
      <c r="E2428">
        <f>IF(B2428=1,D2428,E2427)</f>
        <v/>
      </c>
      <c r="F2428">
        <f>IF(AND(B2428=1,C2428&gt;1,E2427&lt;&gt;""),ABS(D2428-E2427),"")</f>
        <v/>
      </c>
    </row>
    <row r="2429">
      <c r="A2429" t="n">
        <v>2429</v>
      </c>
      <c r="B2429">
        <f>IF(INDEX('Data Entry'!$H$5:$BE$10004,2429-4,'Visual SPC'!$B$3)="",0,IF(AND(OR('Visual SPC'!$C$4="",'Data Entry'!$C2429&gt;='Visual SPC'!$C$4),OR('Visual SPC'!$E$4="",'Data Entry'!$C2429&lt;='Visual SPC'!$E$4),OR('Visual SPC'!$G$4="",'Data Entry'!$D2429='Visual SPC'!$G$4),OR('Visual SPC'!$I$4="",'Data Entry'!$E2429='Visual SPC'!$I$4),OR('Visual SPC'!$K$4="",'Data Entry'!$F2429='Visual SPC'!$K$4)),1,0))</f>
        <v/>
      </c>
      <c r="C2429">
        <f>C2428+B2429</f>
        <v/>
      </c>
      <c r="D2429">
        <f>IF(B2429=1,INDEX('Data Entry'!$H$5:$BE$10004,2429-4,'Visual SPC'!$B$3),"")</f>
        <v/>
      </c>
      <c r="E2429">
        <f>IF(B2429=1,D2429,E2428)</f>
        <v/>
      </c>
      <c r="F2429">
        <f>IF(AND(B2429=1,C2429&gt;1,E2428&lt;&gt;""),ABS(D2429-E2428),"")</f>
        <v/>
      </c>
    </row>
    <row r="2430">
      <c r="A2430" t="n">
        <v>2430</v>
      </c>
      <c r="B2430">
        <f>IF(INDEX('Data Entry'!$H$5:$BE$10004,2430-4,'Visual SPC'!$B$3)="",0,IF(AND(OR('Visual SPC'!$C$4="",'Data Entry'!$C2430&gt;='Visual SPC'!$C$4),OR('Visual SPC'!$E$4="",'Data Entry'!$C2430&lt;='Visual SPC'!$E$4),OR('Visual SPC'!$G$4="",'Data Entry'!$D2430='Visual SPC'!$G$4),OR('Visual SPC'!$I$4="",'Data Entry'!$E2430='Visual SPC'!$I$4),OR('Visual SPC'!$K$4="",'Data Entry'!$F2430='Visual SPC'!$K$4)),1,0))</f>
        <v/>
      </c>
      <c r="C2430">
        <f>C2429+B2430</f>
        <v/>
      </c>
      <c r="D2430">
        <f>IF(B2430=1,INDEX('Data Entry'!$H$5:$BE$10004,2430-4,'Visual SPC'!$B$3),"")</f>
        <v/>
      </c>
      <c r="E2430">
        <f>IF(B2430=1,D2430,E2429)</f>
        <v/>
      </c>
      <c r="F2430">
        <f>IF(AND(B2430=1,C2430&gt;1,E2429&lt;&gt;""),ABS(D2430-E2429),"")</f>
        <v/>
      </c>
    </row>
    <row r="2431">
      <c r="A2431" t="n">
        <v>2431</v>
      </c>
      <c r="B2431">
        <f>IF(INDEX('Data Entry'!$H$5:$BE$10004,2431-4,'Visual SPC'!$B$3)="",0,IF(AND(OR('Visual SPC'!$C$4="",'Data Entry'!$C2431&gt;='Visual SPC'!$C$4),OR('Visual SPC'!$E$4="",'Data Entry'!$C2431&lt;='Visual SPC'!$E$4),OR('Visual SPC'!$G$4="",'Data Entry'!$D2431='Visual SPC'!$G$4),OR('Visual SPC'!$I$4="",'Data Entry'!$E2431='Visual SPC'!$I$4),OR('Visual SPC'!$K$4="",'Data Entry'!$F2431='Visual SPC'!$K$4)),1,0))</f>
        <v/>
      </c>
      <c r="C2431">
        <f>C2430+B2431</f>
        <v/>
      </c>
      <c r="D2431">
        <f>IF(B2431=1,INDEX('Data Entry'!$H$5:$BE$10004,2431-4,'Visual SPC'!$B$3),"")</f>
        <v/>
      </c>
      <c r="E2431">
        <f>IF(B2431=1,D2431,E2430)</f>
        <v/>
      </c>
      <c r="F2431">
        <f>IF(AND(B2431=1,C2431&gt;1,E2430&lt;&gt;""),ABS(D2431-E2430),"")</f>
        <v/>
      </c>
    </row>
    <row r="2432">
      <c r="A2432" t="n">
        <v>2432</v>
      </c>
      <c r="B2432">
        <f>IF(INDEX('Data Entry'!$H$5:$BE$10004,2432-4,'Visual SPC'!$B$3)="",0,IF(AND(OR('Visual SPC'!$C$4="",'Data Entry'!$C2432&gt;='Visual SPC'!$C$4),OR('Visual SPC'!$E$4="",'Data Entry'!$C2432&lt;='Visual SPC'!$E$4),OR('Visual SPC'!$G$4="",'Data Entry'!$D2432='Visual SPC'!$G$4),OR('Visual SPC'!$I$4="",'Data Entry'!$E2432='Visual SPC'!$I$4),OR('Visual SPC'!$K$4="",'Data Entry'!$F2432='Visual SPC'!$K$4)),1,0))</f>
        <v/>
      </c>
      <c r="C2432">
        <f>C2431+B2432</f>
        <v/>
      </c>
      <c r="D2432">
        <f>IF(B2432=1,INDEX('Data Entry'!$H$5:$BE$10004,2432-4,'Visual SPC'!$B$3),"")</f>
        <v/>
      </c>
      <c r="E2432">
        <f>IF(B2432=1,D2432,E2431)</f>
        <v/>
      </c>
      <c r="F2432">
        <f>IF(AND(B2432=1,C2432&gt;1,E2431&lt;&gt;""),ABS(D2432-E2431),"")</f>
        <v/>
      </c>
    </row>
    <row r="2433">
      <c r="A2433" t="n">
        <v>2433</v>
      </c>
      <c r="B2433">
        <f>IF(INDEX('Data Entry'!$H$5:$BE$10004,2433-4,'Visual SPC'!$B$3)="",0,IF(AND(OR('Visual SPC'!$C$4="",'Data Entry'!$C2433&gt;='Visual SPC'!$C$4),OR('Visual SPC'!$E$4="",'Data Entry'!$C2433&lt;='Visual SPC'!$E$4),OR('Visual SPC'!$G$4="",'Data Entry'!$D2433='Visual SPC'!$G$4),OR('Visual SPC'!$I$4="",'Data Entry'!$E2433='Visual SPC'!$I$4),OR('Visual SPC'!$K$4="",'Data Entry'!$F2433='Visual SPC'!$K$4)),1,0))</f>
        <v/>
      </c>
      <c r="C2433">
        <f>C2432+B2433</f>
        <v/>
      </c>
      <c r="D2433">
        <f>IF(B2433=1,INDEX('Data Entry'!$H$5:$BE$10004,2433-4,'Visual SPC'!$B$3),"")</f>
        <v/>
      </c>
      <c r="E2433">
        <f>IF(B2433=1,D2433,E2432)</f>
        <v/>
      </c>
      <c r="F2433">
        <f>IF(AND(B2433=1,C2433&gt;1,E2432&lt;&gt;""),ABS(D2433-E2432),"")</f>
        <v/>
      </c>
    </row>
    <row r="2434">
      <c r="A2434" t="n">
        <v>2434</v>
      </c>
      <c r="B2434">
        <f>IF(INDEX('Data Entry'!$H$5:$BE$10004,2434-4,'Visual SPC'!$B$3)="",0,IF(AND(OR('Visual SPC'!$C$4="",'Data Entry'!$C2434&gt;='Visual SPC'!$C$4),OR('Visual SPC'!$E$4="",'Data Entry'!$C2434&lt;='Visual SPC'!$E$4),OR('Visual SPC'!$G$4="",'Data Entry'!$D2434='Visual SPC'!$G$4),OR('Visual SPC'!$I$4="",'Data Entry'!$E2434='Visual SPC'!$I$4),OR('Visual SPC'!$K$4="",'Data Entry'!$F2434='Visual SPC'!$K$4)),1,0))</f>
        <v/>
      </c>
      <c r="C2434">
        <f>C2433+B2434</f>
        <v/>
      </c>
      <c r="D2434">
        <f>IF(B2434=1,INDEX('Data Entry'!$H$5:$BE$10004,2434-4,'Visual SPC'!$B$3),"")</f>
        <v/>
      </c>
      <c r="E2434">
        <f>IF(B2434=1,D2434,E2433)</f>
        <v/>
      </c>
      <c r="F2434">
        <f>IF(AND(B2434=1,C2434&gt;1,E2433&lt;&gt;""),ABS(D2434-E2433),"")</f>
        <v/>
      </c>
    </row>
    <row r="2435">
      <c r="A2435" t="n">
        <v>2435</v>
      </c>
      <c r="B2435">
        <f>IF(INDEX('Data Entry'!$H$5:$BE$10004,2435-4,'Visual SPC'!$B$3)="",0,IF(AND(OR('Visual SPC'!$C$4="",'Data Entry'!$C2435&gt;='Visual SPC'!$C$4),OR('Visual SPC'!$E$4="",'Data Entry'!$C2435&lt;='Visual SPC'!$E$4),OR('Visual SPC'!$G$4="",'Data Entry'!$D2435='Visual SPC'!$G$4),OR('Visual SPC'!$I$4="",'Data Entry'!$E2435='Visual SPC'!$I$4),OR('Visual SPC'!$K$4="",'Data Entry'!$F2435='Visual SPC'!$K$4)),1,0))</f>
        <v/>
      </c>
      <c r="C2435">
        <f>C2434+B2435</f>
        <v/>
      </c>
      <c r="D2435">
        <f>IF(B2435=1,INDEX('Data Entry'!$H$5:$BE$10004,2435-4,'Visual SPC'!$B$3),"")</f>
        <v/>
      </c>
      <c r="E2435">
        <f>IF(B2435=1,D2435,E2434)</f>
        <v/>
      </c>
      <c r="F2435">
        <f>IF(AND(B2435=1,C2435&gt;1,E2434&lt;&gt;""),ABS(D2435-E2434),"")</f>
        <v/>
      </c>
    </row>
    <row r="2436">
      <c r="A2436" t="n">
        <v>2436</v>
      </c>
      <c r="B2436">
        <f>IF(INDEX('Data Entry'!$H$5:$BE$10004,2436-4,'Visual SPC'!$B$3)="",0,IF(AND(OR('Visual SPC'!$C$4="",'Data Entry'!$C2436&gt;='Visual SPC'!$C$4),OR('Visual SPC'!$E$4="",'Data Entry'!$C2436&lt;='Visual SPC'!$E$4),OR('Visual SPC'!$G$4="",'Data Entry'!$D2436='Visual SPC'!$G$4),OR('Visual SPC'!$I$4="",'Data Entry'!$E2436='Visual SPC'!$I$4),OR('Visual SPC'!$K$4="",'Data Entry'!$F2436='Visual SPC'!$K$4)),1,0))</f>
        <v/>
      </c>
      <c r="C2436">
        <f>C2435+B2436</f>
        <v/>
      </c>
      <c r="D2436">
        <f>IF(B2436=1,INDEX('Data Entry'!$H$5:$BE$10004,2436-4,'Visual SPC'!$B$3),"")</f>
        <v/>
      </c>
      <c r="E2436">
        <f>IF(B2436=1,D2436,E2435)</f>
        <v/>
      </c>
      <c r="F2436">
        <f>IF(AND(B2436=1,C2436&gt;1,E2435&lt;&gt;""),ABS(D2436-E2435),"")</f>
        <v/>
      </c>
    </row>
    <row r="2437">
      <c r="A2437" t="n">
        <v>2437</v>
      </c>
      <c r="B2437">
        <f>IF(INDEX('Data Entry'!$H$5:$BE$10004,2437-4,'Visual SPC'!$B$3)="",0,IF(AND(OR('Visual SPC'!$C$4="",'Data Entry'!$C2437&gt;='Visual SPC'!$C$4),OR('Visual SPC'!$E$4="",'Data Entry'!$C2437&lt;='Visual SPC'!$E$4),OR('Visual SPC'!$G$4="",'Data Entry'!$D2437='Visual SPC'!$G$4),OR('Visual SPC'!$I$4="",'Data Entry'!$E2437='Visual SPC'!$I$4),OR('Visual SPC'!$K$4="",'Data Entry'!$F2437='Visual SPC'!$K$4)),1,0))</f>
        <v/>
      </c>
      <c r="C2437">
        <f>C2436+B2437</f>
        <v/>
      </c>
      <c r="D2437">
        <f>IF(B2437=1,INDEX('Data Entry'!$H$5:$BE$10004,2437-4,'Visual SPC'!$B$3),"")</f>
        <v/>
      </c>
      <c r="E2437">
        <f>IF(B2437=1,D2437,E2436)</f>
        <v/>
      </c>
      <c r="F2437">
        <f>IF(AND(B2437=1,C2437&gt;1,E2436&lt;&gt;""),ABS(D2437-E2436),"")</f>
        <v/>
      </c>
    </row>
    <row r="2438">
      <c r="A2438" t="n">
        <v>2438</v>
      </c>
      <c r="B2438">
        <f>IF(INDEX('Data Entry'!$H$5:$BE$10004,2438-4,'Visual SPC'!$B$3)="",0,IF(AND(OR('Visual SPC'!$C$4="",'Data Entry'!$C2438&gt;='Visual SPC'!$C$4),OR('Visual SPC'!$E$4="",'Data Entry'!$C2438&lt;='Visual SPC'!$E$4),OR('Visual SPC'!$G$4="",'Data Entry'!$D2438='Visual SPC'!$G$4),OR('Visual SPC'!$I$4="",'Data Entry'!$E2438='Visual SPC'!$I$4),OR('Visual SPC'!$K$4="",'Data Entry'!$F2438='Visual SPC'!$K$4)),1,0))</f>
        <v/>
      </c>
      <c r="C2438">
        <f>C2437+B2438</f>
        <v/>
      </c>
      <c r="D2438">
        <f>IF(B2438=1,INDEX('Data Entry'!$H$5:$BE$10004,2438-4,'Visual SPC'!$B$3),"")</f>
        <v/>
      </c>
      <c r="E2438">
        <f>IF(B2438=1,D2438,E2437)</f>
        <v/>
      </c>
      <c r="F2438">
        <f>IF(AND(B2438=1,C2438&gt;1,E2437&lt;&gt;""),ABS(D2438-E2437),"")</f>
        <v/>
      </c>
    </row>
    <row r="2439">
      <c r="A2439" t="n">
        <v>2439</v>
      </c>
      <c r="B2439">
        <f>IF(INDEX('Data Entry'!$H$5:$BE$10004,2439-4,'Visual SPC'!$B$3)="",0,IF(AND(OR('Visual SPC'!$C$4="",'Data Entry'!$C2439&gt;='Visual SPC'!$C$4),OR('Visual SPC'!$E$4="",'Data Entry'!$C2439&lt;='Visual SPC'!$E$4),OR('Visual SPC'!$G$4="",'Data Entry'!$D2439='Visual SPC'!$G$4),OR('Visual SPC'!$I$4="",'Data Entry'!$E2439='Visual SPC'!$I$4),OR('Visual SPC'!$K$4="",'Data Entry'!$F2439='Visual SPC'!$K$4)),1,0))</f>
        <v/>
      </c>
      <c r="C2439">
        <f>C2438+B2439</f>
        <v/>
      </c>
      <c r="D2439">
        <f>IF(B2439=1,INDEX('Data Entry'!$H$5:$BE$10004,2439-4,'Visual SPC'!$B$3),"")</f>
        <v/>
      </c>
      <c r="E2439">
        <f>IF(B2439=1,D2439,E2438)</f>
        <v/>
      </c>
      <c r="F2439">
        <f>IF(AND(B2439=1,C2439&gt;1,E2438&lt;&gt;""),ABS(D2439-E2438),"")</f>
        <v/>
      </c>
    </row>
    <row r="2440">
      <c r="A2440" t="n">
        <v>2440</v>
      </c>
      <c r="B2440">
        <f>IF(INDEX('Data Entry'!$H$5:$BE$10004,2440-4,'Visual SPC'!$B$3)="",0,IF(AND(OR('Visual SPC'!$C$4="",'Data Entry'!$C2440&gt;='Visual SPC'!$C$4),OR('Visual SPC'!$E$4="",'Data Entry'!$C2440&lt;='Visual SPC'!$E$4),OR('Visual SPC'!$G$4="",'Data Entry'!$D2440='Visual SPC'!$G$4),OR('Visual SPC'!$I$4="",'Data Entry'!$E2440='Visual SPC'!$I$4),OR('Visual SPC'!$K$4="",'Data Entry'!$F2440='Visual SPC'!$K$4)),1,0))</f>
        <v/>
      </c>
      <c r="C2440">
        <f>C2439+B2440</f>
        <v/>
      </c>
      <c r="D2440">
        <f>IF(B2440=1,INDEX('Data Entry'!$H$5:$BE$10004,2440-4,'Visual SPC'!$B$3),"")</f>
        <v/>
      </c>
      <c r="E2440">
        <f>IF(B2440=1,D2440,E2439)</f>
        <v/>
      </c>
      <c r="F2440">
        <f>IF(AND(B2440=1,C2440&gt;1,E2439&lt;&gt;""),ABS(D2440-E2439),"")</f>
        <v/>
      </c>
    </row>
    <row r="2441">
      <c r="A2441" t="n">
        <v>2441</v>
      </c>
      <c r="B2441">
        <f>IF(INDEX('Data Entry'!$H$5:$BE$10004,2441-4,'Visual SPC'!$B$3)="",0,IF(AND(OR('Visual SPC'!$C$4="",'Data Entry'!$C2441&gt;='Visual SPC'!$C$4),OR('Visual SPC'!$E$4="",'Data Entry'!$C2441&lt;='Visual SPC'!$E$4),OR('Visual SPC'!$G$4="",'Data Entry'!$D2441='Visual SPC'!$G$4),OR('Visual SPC'!$I$4="",'Data Entry'!$E2441='Visual SPC'!$I$4),OR('Visual SPC'!$K$4="",'Data Entry'!$F2441='Visual SPC'!$K$4)),1,0))</f>
        <v/>
      </c>
      <c r="C2441">
        <f>C2440+B2441</f>
        <v/>
      </c>
      <c r="D2441">
        <f>IF(B2441=1,INDEX('Data Entry'!$H$5:$BE$10004,2441-4,'Visual SPC'!$B$3),"")</f>
        <v/>
      </c>
      <c r="E2441">
        <f>IF(B2441=1,D2441,E2440)</f>
        <v/>
      </c>
      <c r="F2441">
        <f>IF(AND(B2441=1,C2441&gt;1,E2440&lt;&gt;""),ABS(D2441-E2440),"")</f>
        <v/>
      </c>
    </row>
    <row r="2442">
      <c r="A2442" t="n">
        <v>2442</v>
      </c>
      <c r="B2442">
        <f>IF(INDEX('Data Entry'!$H$5:$BE$10004,2442-4,'Visual SPC'!$B$3)="",0,IF(AND(OR('Visual SPC'!$C$4="",'Data Entry'!$C2442&gt;='Visual SPC'!$C$4),OR('Visual SPC'!$E$4="",'Data Entry'!$C2442&lt;='Visual SPC'!$E$4),OR('Visual SPC'!$G$4="",'Data Entry'!$D2442='Visual SPC'!$G$4),OR('Visual SPC'!$I$4="",'Data Entry'!$E2442='Visual SPC'!$I$4),OR('Visual SPC'!$K$4="",'Data Entry'!$F2442='Visual SPC'!$K$4)),1,0))</f>
        <v/>
      </c>
      <c r="C2442">
        <f>C2441+B2442</f>
        <v/>
      </c>
      <c r="D2442">
        <f>IF(B2442=1,INDEX('Data Entry'!$H$5:$BE$10004,2442-4,'Visual SPC'!$B$3),"")</f>
        <v/>
      </c>
      <c r="E2442">
        <f>IF(B2442=1,D2442,E2441)</f>
        <v/>
      </c>
      <c r="F2442">
        <f>IF(AND(B2442=1,C2442&gt;1,E2441&lt;&gt;""),ABS(D2442-E2441),"")</f>
        <v/>
      </c>
    </row>
    <row r="2443">
      <c r="A2443" t="n">
        <v>2443</v>
      </c>
      <c r="B2443">
        <f>IF(INDEX('Data Entry'!$H$5:$BE$10004,2443-4,'Visual SPC'!$B$3)="",0,IF(AND(OR('Visual SPC'!$C$4="",'Data Entry'!$C2443&gt;='Visual SPC'!$C$4),OR('Visual SPC'!$E$4="",'Data Entry'!$C2443&lt;='Visual SPC'!$E$4),OR('Visual SPC'!$G$4="",'Data Entry'!$D2443='Visual SPC'!$G$4),OR('Visual SPC'!$I$4="",'Data Entry'!$E2443='Visual SPC'!$I$4),OR('Visual SPC'!$K$4="",'Data Entry'!$F2443='Visual SPC'!$K$4)),1,0))</f>
        <v/>
      </c>
      <c r="C2443">
        <f>C2442+B2443</f>
        <v/>
      </c>
      <c r="D2443">
        <f>IF(B2443=1,INDEX('Data Entry'!$H$5:$BE$10004,2443-4,'Visual SPC'!$B$3),"")</f>
        <v/>
      </c>
      <c r="E2443">
        <f>IF(B2443=1,D2443,E2442)</f>
        <v/>
      </c>
      <c r="F2443">
        <f>IF(AND(B2443=1,C2443&gt;1,E2442&lt;&gt;""),ABS(D2443-E2442),"")</f>
        <v/>
      </c>
    </row>
    <row r="2444">
      <c r="A2444" t="n">
        <v>2444</v>
      </c>
      <c r="B2444">
        <f>IF(INDEX('Data Entry'!$H$5:$BE$10004,2444-4,'Visual SPC'!$B$3)="",0,IF(AND(OR('Visual SPC'!$C$4="",'Data Entry'!$C2444&gt;='Visual SPC'!$C$4),OR('Visual SPC'!$E$4="",'Data Entry'!$C2444&lt;='Visual SPC'!$E$4),OR('Visual SPC'!$G$4="",'Data Entry'!$D2444='Visual SPC'!$G$4),OR('Visual SPC'!$I$4="",'Data Entry'!$E2444='Visual SPC'!$I$4),OR('Visual SPC'!$K$4="",'Data Entry'!$F2444='Visual SPC'!$K$4)),1,0))</f>
        <v/>
      </c>
      <c r="C2444">
        <f>C2443+B2444</f>
        <v/>
      </c>
      <c r="D2444">
        <f>IF(B2444=1,INDEX('Data Entry'!$H$5:$BE$10004,2444-4,'Visual SPC'!$B$3),"")</f>
        <v/>
      </c>
      <c r="E2444">
        <f>IF(B2444=1,D2444,E2443)</f>
        <v/>
      </c>
      <c r="F2444">
        <f>IF(AND(B2444=1,C2444&gt;1,E2443&lt;&gt;""),ABS(D2444-E2443),"")</f>
        <v/>
      </c>
    </row>
    <row r="2445">
      <c r="A2445" t="n">
        <v>2445</v>
      </c>
      <c r="B2445">
        <f>IF(INDEX('Data Entry'!$H$5:$BE$10004,2445-4,'Visual SPC'!$B$3)="",0,IF(AND(OR('Visual SPC'!$C$4="",'Data Entry'!$C2445&gt;='Visual SPC'!$C$4),OR('Visual SPC'!$E$4="",'Data Entry'!$C2445&lt;='Visual SPC'!$E$4),OR('Visual SPC'!$G$4="",'Data Entry'!$D2445='Visual SPC'!$G$4),OR('Visual SPC'!$I$4="",'Data Entry'!$E2445='Visual SPC'!$I$4),OR('Visual SPC'!$K$4="",'Data Entry'!$F2445='Visual SPC'!$K$4)),1,0))</f>
        <v/>
      </c>
      <c r="C2445">
        <f>C2444+B2445</f>
        <v/>
      </c>
      <c r="D2445">
        <f>IF(B2445=1,INDEX('Data Entry'!$H$5:$BE$10004,2445-4,'Visual SPC'!$B$3),"")</f>
        <v/>
      </c>
      <c r="E2445">
        <f>IF(B2445=1,D2445,E2444)</f>
        <v/>
      </c>
      <c r="F2445">
        <f>IF(AND(B2445=1,C2445&gt;1,E2444&lt;&gt;""),ABS(D2445-E2444),"")</f>
        <v/>
      </c>
    </row>
    <row r="2446">
      <c r="A2446" t="n">
        <v>2446</v>
      </c>
      <c r="B2446">
        <f>IF(INDEX('Data Entry'!$H$5:$BE$10004,2446-4,'Visual SPC'!$B$3)="",0,IF(AND(OR('Visual SPC'!$C$4="",'Data Entry'!$C2446&gt;='Visual SPC'!$C$4),OR('Visual SPC'!$E$4="",'Data Entry'!$C2446&lt;='Visual SPC'!$E$4),OR('Visual SPC'!$G$4="",'Data Entry'!$D2446='Visual SPC'!$G$4),OR('Visual SPC'!$I$4="",'Data Entry'!$E2446='Visual SPC'!$I$4),OR('Visual SPC'!$K$4="",'Data Entry'!$F2446='Visual SPC'!$K$4)),1,0))</f>
        <v/>
      </c>
      <c r="C2446">
        <f>C2445+B2446</f>
        <v/>
      </c>
      <c r="D2446">
        <f>IF(B2446=1,INDEX('Data Entry'!$H$5:$BE$10004,2446-4,'Visual SPC'!$B$3),"")</f>
        <v/>
      </c>
      <c r="E2446">
        <f>IF(B2446=1,D2446,E2445)</f>
        <v/>
      </c>
      <c r="F2446">
        <f>IF(AND(B2446=1,C2446&gt;1,E2445&lt;&gt;""),ABS(D2446-E2445),"")</f>
        <v/>
      </c>
    </row>
    <row r="2447">
      <c r="A2447" t="n">
        <v>2447</v>
      </c>
      <c r="B2447">
        <f>IF(INDEX('Data Entry'!$H$5:$BE$10004,2447-4,'Visual SPC'!$B$3)="",0,IF(AND(OR('Visual SPC'!$C$4="",'Data Entry'!$C2447&gt;='Visual SPC'!$C$4),OR('Visual SPC'!$E$4="",'Data Entry'!$C2447&lt;='Visual SPC'!$E$4),OR('Visual SPC'!$G$4="",'Data Entry'!$D2447='Visual SPC'!$G$4),OR('Visual SPC'!$I$4="",'Data Entry'!$E2447='Visual SPC'!$I$4),OR('Visual SPC'!$K$4="",'Data Entry'!$F2447='Visual SPC'!$K$4)),1,0))</f>
        <v/>
      </c>
      <c r="C2447">
        <f>C2446+B2447</f>
        <v/>
      </c>
      <c r="D2447">
        <f>IF(B2447=1,INDEX('Data Entry'!$H$5:$BE$10004,2447-4,'Visual SPC'!$B$3),"")</f>
        <v/>
      </c>
      <c r="E2447">
        <f>IF(B2447=1,D2447,E2446)</f>
        <v/>
      </c>
      <c r="F2447">
        <f>IF(AND(B2447=1,C2447&gt;1,E2446&lt;&gt;""),ABS(D2447-E2446),"")</f>
        <v/>
      </c>
    </row>
    <row r="2448">
      <c r="A2448" t="n">
        <v>2448</v>
      </c>
      <c r="B2448">
        <f>IF(INDEX('Data Entry'!$H$5:$BE$10004,2448-4,'Visual SPC'!$B$3)="",0,IF(AND(OR('Visual SPC'!$C$4="",'Data Entry'!$C2448&gt;='Visual SPC'!$C$4),OR('Visual SPC'!$E$4="",'Data Entry'!$C2448&lt;='Visual SPC'!$E$4),OR('Visual SPC'!$G$4="",'Data Entry'!$D2448='Visual SPC'!$G$4),OR('Visual SPC'!$I$4="",'Data Entry'!$E2448='Visual SPC'!$I$4),OR('Visual SPC'!$K$4="",'Data Entry'!$F2448='Visual SPC'!$K$4)),1,0))</f>
        <v/>
      </c>
      <c r="C2448">
        <f>C2447+B2448</f>
        <v/>
      </c>
      <c r="D2448">
        <f>IF(B2448=1,INDEX('Data Entry'!$H$5:$BE$10004,2448-4,'Visual SPC'!$B$3),"")</f>
        <v/>
      </c>
      <c r="E2448">
        <f>IF(B2448=1,D2448,E2447)</f>
        <v/>
      </c>
      <c r="F2448">
        <f>IF(AND(B2448=1,C2448&gt;1,E2447&lt;&gt;""),ABS(D2448-E2447),"")</f>
        <v/>
      </c>
    </row>
    <row r="2449">
      <c r="A2449" t="n">
        <v>2449</v>
      </c>
      <c r="B2449">
        <f>IF(INDEX('Data Entry'!$H$5:$BE$10004,2449-4,'Visual SPC'!$B$3)="",0,IF(AND(OR('Visual SPC'!$C$4="",'Data Entry'!$C2449&gt;='Visual SPC'!$C$4),OR('Visual SPC'!$E$4="",'Data Entry'!$C2449&lt;='Visual SPC'!$E$4),OR('Visual SPC'!$G$4="",'Data Entry'!$D2449='Visual SPC'!$G$4),OR('Visual SPC'!$I$4="",'Data Entry'!$E2449='Visual SPC'!$I$4),OR('Visual SPC'!$K$4="",'Data Entry'!$F2449='Visual SPC'!$K$4)),1,0))</f>
        <v/>
      </c>
      <c r="C2449">
        <f>C2448+B2449</f>
        <v/>
      </c>
      <c r="D2449">
        <f>IF(B2449=1,INDEX('Data Entry'!$H$5:$BE$10004,2449-4,'Visual SPC'!$B$3),"")</f>
        <v/>
      </c>
      <c r="E2449">
        <f>IF(B2449=1,D2449,E2448)</f>
        <v/>
      </c>
      <c r="F2449">
        <f>IF(AND(B2449=1,C2449&gt;1,E2448&lt;&gt;""),ABS(D2449-E2448),"")</f>
        <v/>
      </c>
    </row>
    <row r="2450">
      <c r="A2450" t="n">
        <v>2450</v>
      </c>
      <c r="B2450">
        <f>IF(INDEX('Data Entry'!$H$5:$BE$10004,2450-4,'Visual SPC'!$B$3)="",0,IF(AND(OR('Visual SPC'!$C$4="",'Data Entry'!$C2450&gt;='Visual SPC'!$C$4),OR('Visual SPC'!$E$4="",'Data Entry'!$C2450&lt;='Visual SPC'!$E$4),OR('Visual SPC'!$G$4="",'Data Entry'!$D2450='Visual SPC'!$G$4),OR('Visual SPC'!$I$4="",'Data Entry'!$E2450='Visual SPC'!$I$4),OR('Visual SPC'!$K$4="",'Data Entry'!$F2450='Visual SPC'!$K$4)),1,0))</f>
        <v/>
      </c>
      <c r="C2450">
        <f>C2449+B2450</f>
        <v/>
      </c>
      <c r="D2450">
        <f>IF(B2450=1,INDEX('Data Entry'!$H$5:$BE$10004,2450-4,'Visual SPC'!$B$3),"")</f>
        <v/>
      </c>
      <c r="E2450">
        <f>IF(B2450=1,D2450,E2449)</f>
        <v/>
      </c>
      <c r="F2450">
        <f>IF(AND(B2450=1,C2450&gt;1,E2449&lt;&gt;""),ABS(D2450-E2449),"")</f>
        <v/>
      </c>
    </row>
    <row r="2451">
      <c r="A2451" t="n">
        <v>2451</v>
      </c>
      <c r="B2451">
        <f>IF(INDEX('Data Entry'!$H$5:$BE$10004,2451-4,'Visual SPC'!$B$3)="",0,IF(AND(OR('Visual SPC'!$C$4="",'Data Entry'!$C2451&gt;='Visual SPC'!$C$4),OR('Visual SPC'!$E$4="",'Data Entry'!$C2451&lt;='Visual SPC'!$E$4),OR('Visual SPC'!$G$4="",'Data Entry'!$D2451='Visual SPC'!$G$4),OR('Visual SPC'!$I$4="",'Data Entry'!$E2451='Visual SPC'!$I$4),OR('Visual SPC'!$K$4="",'Data Entry'!$F2451='Visual SPC'!$K$4)),1,0))</f>
        <v/>
      </c>
      <c r="C2451">
        <f>C2450+B2451</f>
        <v/>
      </c>
      <c r="D2451">
        <f>IF(B2451=1,INDEX('Data Entry'!$H$5:$BE$10004,2451-4,'Visual SPC'!$B$3),"")</f>
        <v/>
      </c>
      <c r="E2451">
        <f>IF(B2451=1,D2451,E2450)</f>
        <v/>
      </c>
      <c r="F2451">
        <f>IF(AND(B2451=1,C2451&gt;1,E2450&lt;&gt;""),ABS(D2451-E2450),"")</f>
        <v/>
      </c>
    </row>
    <row r="2452">
      <c r="A2452" t="n">
        <v>2452</v>
      </c>
      <c r="B2452">
        <f>IF(INDEX('Data Entry'!$H$5:$BE$10004,2452-4,'Visual SPC'!$B$3)="",0,IF(AND(OR('Visual SPC'!$C$4="",'Data Entry'!$C2452&gt;='Visual SPC'!$C$4),OR('Visual SPC'!$E$4="",'Data Entry'!$C2452&lt;='Visual SPC'!$E$4),OR('Visual SPC'!$G$4="",'Data Entry'!$D2452='Visual SPC'!$G$4),OR('Visual SPC'!$I$4="",'Data Entry'!$E2452='Visual SPC'!$I$4),OR('Visual SPC'!$K$4="",'Data Entry'!$F2452='Visual SPC'!$K$4)),1,0))</f>
        <v/>
      </c>
      <c r="C2452">
        <f>C2451+B2452</f>
        <v/>
      </c>
      <c r="D2452">
        <f>IF(B2452=1,INDEX('Data Entry'!$H$5:$BE$10004,2452-4,'Visual SPC'!$B$3),"")</f>
        <v/>
      </c>
      <c r="E2452">
        <f>IF(B2452=1,D2452,E2451)</f>
        <v/>
      </c>
      <c r="F2452">
        <f>IF(AND(B2452=1,C2452&gt;1,E2451&lt;&gt;""),ABS(D2452-E2451),"")</f>
        <v/>
      </c>
    </row>
    <row r="2453">
      <c r="A2453" t="n">
        <v>2453</v>
      </c>
      <c r="B2453">
        <f>IF(INDEX('Data Entry'!$H$5:$BE$10004,2453-4,'Visual SPC'!$B$3)="",0,IF(AND(OR('Visual SPC'!$C$4="",'Data Entry'!$C2453&gt;='Visual SPC'!$C$4),OR('Visual SPC'!$E$4="",'Data Entry'!$C2453&lt;='Visual SPC'!$E$4),OR('Visual SPC'!$G$4="",'Data Entry'!$D2453='Visual SPC'!$G$4),OR('Visual SPC'!$I$4="",'Data Entry'!$E2453='Visual SPC'!$I$4),OR('Visual SPC'!$K$4="",'Data Entry'!$F2453='Visual SPC'!$K$4)),1,0))</f>
        <v/>
      </c>
      <c r="C2453">
        <f>C2452+B2453</f>
        <v/>
      </c>
      <c r="D2453">
        <f>IF(B2453=1,INDEX('Data Entry'!$H$5:$BE$10004,2453-4,'Visual SPC'!$B$3),"")</f>
        <v/>
      </c>
      <c r="E2453">
        <f>IF(B2453=1,D2453,E2452)</f>
        <v/>
      </c>
      <c r="F2453">
        <f>IF(AND(B2453=1,C2453&gt;1,E2452&lt;&gt;""),ABS(D2453-E2452),"")</f>
        <v/>
      </c>
    </row>
    <row r="2454">
      <c r="A2454" t="n">
        <v>2454</v>
      </c>
      <c r="B2454">
        <f>IF(INDEX('Data Entry'!$H$5:$BE$10004,2454-4,'Visual SPC'!$B$3)="",0,IF(AND(OR('Visual SPC'!$C$4="",'Data Entry'!$C2454&gt;='Visual SPC'!$C$4),OR('Visual SPC'!$E$4="",'Data Entry'!$C2454&lt;='Visual SPC'!$E$4),OR('Visual SPC'!$G$4="",'Data Entry'!$D2454='Visual SPC'!$G$4),OR('Visual SPC'!$I$4="",'Data Entry'!$E2454='Visual SPC'!$I$4),OR('Visual SPC'!$K$4="",'Data Entry'!$F2454='Visual SPC'!$K$4)),1,0))</f>
        <v/>
      </c>
      <c r="C2454">
        <f>C2453+B2454</f>
        <v/>
      </c>
      <c r="D2454">
        <f>IF(B2454=1,INDEX('Data Entry'!$H$5:$BE$10004,2454-4,'Visual SPC'!$B$3),"")</f>
        <v/>
      </c>
      <c r="E2454">
        <f>IF(B2454=1,D2454,E2453)</f>
        <v/>
      </c>
      <c r="F2454">
        <f>IF(AND(B2454=1,C2454&gt;1,E2453&lt;&gt;""),ABS(D2454-E2453),"")</f>
        <v/>
      </c>
    </row>
    <row r="2455">
      <c r="A2455" t="n">
        <v>2455</v>
      </c>
      <c r="B2455">
        <f>IF(INDEX('Data Entry'!$H$5:$BE$10004,2455-4,'Visual SPC'!$B$3)="",0,IF(AND(OR('Visual SPC'!$C$4="",'Data Entry'!$C2455&gt;='Visual SPC'!$C$4),OR('Visual SPC'!$E$4="",'Data Entry'!$C2455&lt;='Visual SPC'!$E$4),OR('Visual SPC'!$G$4="",'Data Entry'!$D2455='Visual SPC'!$G$4),OR('Visual SPC'!$I$4="",'Data Entry'!$E2455='Visual SPC'!$I$4),OR('Visual SPC'!$K$4="",'Data Entry'!$F2455='Visual SPC'!$K$4)),1,0))</f>
        <v/>
      </c>
      <c r="C2455">
        <f>C2454+B2455</f>
        <v/>
      </c>
      <c r="D2455">
        <f>IF(B2455=1,INDEX('Data Entry'!$H$5:$BE$10004,2455-4,'Visual SPC'!$B$3),"")</f>
        <v/>
      </c>
      <c r="E2455">
        <f>IF(B2455=1,D2455,E2454)</f>
        <v/>
      </c>
      <c r="F2455">
        <f>IF(AND(B2455=1,C2455&gt;1,E2454&lt;&gt;""),ABS(D2455-E2454),"")</f>
        <v/>
      </c>
    </row>
    <row r="2456">
      <c r="A2456" t="n">
        <v>2456</v>
      </c>
      <c r="B2456">
        <f>IF(INDEX('Data Entry'!$H$5:$BE$10004,2456-4,'Visual SPC'!$B$3)="",0,IF(AND(OR('Visual SPC'!$C$4="",'Data Entry'!$C2456&gt;='Visual SPC'!$C$4),OR('Visual SPC'!$E$4="",'Data Entry'!$C2456&lt;='Visual SPC'!$E$4),OR('Visual SPC'!$G$4="",'Data Entry'!$D2456='Visual SPC'!$G$4),OR('Visual SPC'!$I$4="",'Data Entry'!$E2456='Visual SPC'!$I$4),OR('Visual SPC'!$K$4="",'Data Entry'!$F2456='Visual SPC'!$K$4)),1,0))</f>
        <v/>
      </c>
      <c r="C2456">
        <f>C2455+B2456</f>
        <v/>
      </c>
      <c r="D2456">
        <f>IF(B2456=1,INDEX('Data Entry'!$H$5:$BE$10004,2456-4,'Visual SPC'!$B$3),"")</f>
        <v/>
      </c>
      <c r="E2456">
        <f>IF(B2456=1,D2456,E2455)</f>
        <v/>
      </c>
      <c r="F2456">
        <f>IF(AND(B2456=1,C2456&gt;1,E2455&lt;&gt;""),ABS(D2456-E2455),"")</f>
        <v/>
      </c>
    </row>
    <row r="2457">
      <c r="A2457" t="n">
        <v>2457</v>
      </c>
      <c r="B2457">
        <f>IF(INDEX('Data Entry'!$H$5:$BE$10004,2457-4,'Visual SPC'!$B$3)="",0,IF(AND(OR('Visual SPC'!$C$4="",'Data Entry'!$C2457&gt;='Visual SPC'!$C$4),OR('Visual SPC'!$E$4="",'Data Entry'!$C2457&lt;='Visual SPC'!$E$4),OR('Visual SPC'!$G$4="",'Data Entry'!$D2457='Visual SPC'!$G$4),OR('Visual SPC'!$I$4="",'Data Entry'!$E2457='Visual SPC'!$I$4),OR('Visual SPC'!$K$4="",'Data Entry'!$F2457='Visual SPC'!$K$4)),1,0))</f>
        <v/>
      </c>
      <c r="C2457">
        <f>C2456+B2457</f>
        <v/>
      </c>
      <c r="D2457">
        <f>IF(B2457=1,INDEX('Data Entry'!$H$5:$BE$10004,2457-4,'Visual SPC'!$B$3),"")</f>
        <v/>
      </c>
      <c r="E2457">
        <f>IF(B2457=1,D2457,E2456)</f>
        <v/>
      </c>
      <c r="F2457">
        <f>IF(AND(B2457=1,C2457&gt;1,E2456&lt;&gt;""),ABS(D2457-E2456),"")</f>
        <v/>
      </c>
    </row>
    <row r="2458">
      <c r="A2458" t="n">
        <v>2458</v>
      </c>
      <c r="B2458">
        <f>IF(INDEX('Data Entry'!$H$5:$BE$10004,2458-4,'Visual SPC'!$B$3)="",0,IF(AND(OR('Visual SPC'!$C$4="",'Data Entry'!$C2458&gt;='Visual SPC'!$C$4),OR('Visual SPC'!$E$4="",'Data Entry'!$C2458&lt;='Visual SPC'!$E$4),OR('Visual SPC'!$G$4="",'Data Entry'!$D2458='Visual SPC'!$G$4),OR('Visual SPC'!$I$4="",'Data Entry'!$E2458='Visual SPC'!$I$4),OR('Visual SPC'!$K$4="",'Data Entry'!$F2458='Visual SPC'!$K$4)),1,0))</f>
        <v/>
      </c>
      <c r="C2458">
        <f>C2457+B2458</f>
        <v/>
      </c>
      <c r="D2458">
        <f>IF(B2458=1,INDEX('Data Entry'!$H$5:$BE$10004,2458-4,'Visual SPC'!$B$3),"")</f>
        <v/>
      </c>
      <c r="E2458">
        <f>IF(B2458=1,D2458,E2457)</f>
        <v/>
      </c>
      <c r="F2458">
        <f>IF(AND(B2458=1,C2458&gt;1,E2457&lt;&gt;""),ABS(D2458-E2457),"")</f>
        <v/>
      </c>
    </row>
    <row r="2459">
      <c r="A2459" t="n">
        <v>2459</v>
      </c>
      <c r="B2459">
        <f>IF(INDEX('Data Entry'!$H$5:$BE$10004,2459-4,'Visual SPC'!$B$3)="",0,IF(AND(OR('Visual SPC'!$C$4="",'Data Entry'!$C2459&gt;='Visual SPC'!$C$4),OR('Visual SPC'!$E$4="",'Data Entry'!$C2459&lt;='Visual SPC'!$E$4),OR('Visual SPC'!$G$4="",'Data Entry'!$D2459='Visual SPC'!$G$4),OR('Visual SPC'!$I$4="",'Data Entry'!$E2459='Visual SPC'!$I$4),OR('Visual SPC'!$K$4="",'Data Entry'!$F2459='Visual SPC'!$K$4)),1,0))</f>
        <v/>
      </c>
      <c r="C2459">
        <f>C2458+B2459</f>
        <v/>
      </c>
      <c r="D2459">
        <f>IF(B2459=1,INDEX('Data Entry'!$H$5:$BE$10004,2459-4,'Visual SPC'!$B$3),"")</f>
        <v/>
      </c>
      <c r="E2459">
        <f>IF(B2459=1,D2459,E2458)</f>
        <v/>
      </c>
      <c r="F2459">
        <f>IF(AND(B2459=1,C2459&gt;1,E2458&lt;&gt;""),ABS(D2459-E2458),"")</f>
        <v/>
      </c>
    </row>
    <row r="2460">
      <c r="A2460" t="n">
        <v>2460</v>
      </c>
      <c r="B2460">
        <f>IF(INDEX('Data Entry'!$H$5:$BE$10004,2460-4,'Visual SPC'!$B$3)="",0,IF(AND(OR('Visual SPC'!$C$4="",'Data Entry'!$C2460&gt;='Visual SPC'!$C$4),OR('Visual SPC'!$E$4="",'Data Entry'!$C2460&lt;='Visual SPC'!$E$4),OR('Visual SPC'!$G$4="",'Data Entry'!$D2460='Visual SPC'!$G$4),OR('Visual SPC'!$I$4="",'Data Entry'!$E2460='Visual SPC'!$I$4),OR('Visual SPC'!$K$4="",'Data Entry'!$F2460='Visual SPC'!$K$4)),1,0))</f>
        <v/>
      </c>
      <c r="C2460">
        <f>C2459+B2460</f>
        <v/>
      </c>
      <c r="D2460">
        <f>IF(B2460=1,INDEX('Data Entry'!$H$5:$BE$10004,2460-4,'Visual SPC'!$B$3),"")</f>
        <v/>
      </c>
      <c r="E2460">
        <f>IF(B2460=1,D2460,E2459)</f>
        <v/>
      </c>
      <c r="F2460">
        <f>IF(AND(B2460=1,C2460&gt;1,E2459&lt;&gt;""),ABS(D2460-E2459),"")</f>
        <v/>
      </c>
    </row>
    <row r="2461">
      <c r="A2461" t="n">
        <v>2461</v>
      </c>
      <c r="B2461">
        <f>IF(INDEX('Data Entry'!$H$5:$BE$10004,2461-4,'Visual SPC'!$B$3)="",0,IF(AND(OR('Visual SPC'!$C$4="",'Data Entry'!$C2461&gt;='Visual SPC'!$C$4),OR('Visual SPC'!$E$4="",'Data Entry'!$C2461&lt;='Visual SPC'!$E$4),OR('Visual SPC'!$G$4="",'Data Entry'!$D2461='Visual SPC'!$G$4),OR('Visual SPC'!$I$4="",'Data Entry'!$E2461='Visual SPC'!$I$4),OR('Visual SPC'!$K$4="",'Data Entry'!$F2461='Visual SPC'!$K$4)),1,0))</f>
        <v/>
      </c>
      <c r="C2461">
        <f>C2460+B2461</f>
        <v/>
      </c>
      <c r="D2461">
        <f>IF(B2461=1,INDEX('Data Entry'!$H$5:$BE$10004,2461-4,'Visual SPC'!$B$3),"")</f>
        <v/>
      </c>
      <c r="E2461">
        <f>IF(B2461=1,D2461,E2460)</f>
        <v/>
      </c>
      <c r="F2461">
        <f>IF(AND(B2461=1,C2461&gt;1,E2460&lt;&gt;""),ABS(D2461-E2460),"")</f>
        <v/>
      </c>
    </row>
    <row r="2462">
      <c r="A2462" t="n">
        <v>2462</v>
      </c>
      <c r="B2462">
        <f>IF(INDEX('Data Entry'!$H$5:$BE$10004,2462-4,'Visual SPC'!$B$3)="",0,IF(AND(OR('Visual SPC'!$C$4="",'Data Entry'!$C2462&gt;='Visual SPC'!$C$4),OR('Visual SPC'!$E$4="",'Data Entry'!$C2462&lt;='Visual SPC'!$E$4),OR('Visual SPC'!$G$4="",'Data Entry'!$D2462='Visual SPC'!$G$4),OR('Visual SPC'!$I$4="",'Data Entry'!$E2462='Visual SPC'!$I$4),OR('Visual SPC'!$K$4="",'Data Entry'!$F2462='Visual SPC'!$K$4)),1,0))</f>
        <v/>
      </c>
      <c r="C2462">
        <f>C2461+B2462</f>
        <v/>
      </c>
      <c r="D2462">
        <f>IF(B2462=1,INDEX('Data Entry'!$H$5:$BE$10004,2462-4,'Visual SPC'!$B$3),"")</f>
        <v/>
      </c>
      <c r="E2462">
        <f>IF(B2462=1,D2462,E2461)</f>
        <v/>
      </c>
      <c r="F2462">
        <f>IF(AND(B2462=1,C2462&gt;1,E2461&lt;&gt;""),ABS(D2462-E2461),"")</f>
        <v/>
      </c>
    </row>
    <row r="2463">
      <c r="A2463" t="n">
        <v>2463</v>
      </c>
      <c r="B2463">
        <f>IF(INDEX('Data Entry'!$H$5:$BE$10004,2463-4,'Visual SPC'!$B$3)="",0,IF(AND(OR('Visual SPC'!$C$4="",'Data Entry'!$C2463&gt;='Visual SPC'!$C$4),OR('Visual SPC'!$E$4="",'Data Entry'!$C2463&lt;='Visual SPC'!$E$4),OR('Visual SPC'!$G$4="",'Data Entry'!$D2463='Visual SPC'!$G$4),OR('Visual SPC'!$I$4="",'Data Entry'!$E2463='Visual SPC'!$I$4),OR('Visual SPC'!$K$4="",'Data Entry'!$F2463='Visual SPC'!$K$4)),1,0))</f>
        <v/>
      </c>
      <c r="C2463">
        <f>C2462+B2463</f>
        <v/>
      </c>
      <c r="D2463">
        <f>IF(B2463=1,INDEX('Data Entry'!$H$5:$BE$10004,2463-4,'Visual SPC'!$B$3),"")</f>
        <v/>
      </c>
      <c r="E2463">
        <f>IF(B2463=1,D2463,E2462)</f>
        <v/>
      </c>
      <c r="F2463">
        <f>IF(AND(B2463=1,C2463&gt;1,E2462&lt;&gt;""),ABS(D2463-E2462),"")</f>
        <v/>
      </c>
    </row>
    <row r="2464">
      <c r="A2464" t="n">
        <v>2464</v>
      </c>
      <c r="B2464">
        <f>IF(INDEX('Data Entry'!$H$5:$BE$10004,2464-4,'Visual SPC'!$B$3)="",0,IF(AND(OR('Visual SPC'!$C$4="",'Data Entry'!$C2464&gt;='Visual SPC'!$C$4),OR('Visual SPC'!$E$4="",'Data Entry'!$C2464&lt;='Visual SPC'!$E$4),OR('Visual SPC'!$G$4="",'Data Entry'!$D2464='Visual SPC'!$G$4),OR('Visual SPC'!$I$4="",'Data Entry'!$E2464='Visual SPC'!$I$4),OR('Visual SPC'!$K$4="",'Data Entry'!$F2464='Visual SPC'!$K$4)),1,0))</f>
        <v/>
      </c>
      <c r="C2464">
        <f>C2463+B2464</f>
        <v/>
      </c>
      <c r="D2464">
        <f>IF(B2464=1,INDEX('Data Entry'!$H$5:$BE$10004,2464-4,'Visual SPC'!$B$3),"")</f>
        <v/>
      </c>
      <c r="E2464">
        <f>IF(B2464=1,D2464,E2463)</f>
        <v/>
      </c>
      <c r="F2464">
        <f>IF(AND(B2464=1,C2464&gt;1,E2463&lt;&gt;""),ABS(D2464-E2463),"")</f>
        <v/>
      </c>
    </row>
    <row r="2465">
      <c r="A2465" t="n">
        <v>2465</v>
      </c>
      <c r="B2465">
        <f>IF(INDEX('Data Entry'!$H$5:$BE$10004,2465-4,'Visual SPC'!$B$3)="",0,IF(AND(OR('Visual SPC'!$C$4="",'Data Entry'!$C2465&gt;='Visual SPC'!$C$4),OR('Visual SPC'!$E$4="",'Data Entry'!$C2465&lt;='Visual SPC'!$E$4),OR('Visual SPC'!$G$4="",'Data Entry'!$D2465='Visual SPC'!$G$4),OR('Visual SPC'!$I$4="",'Data Entry'!$E2465='Visual SPC'!$I$4),OR('Visual SPC'!$K$4="",'Data Entry'!$F2465='Visual SPC'!$K$4)),1,0))</f>
        <v/>
      </c>
      <c r="C2465">
        <f>C2464+B2465</f>
        <v/>
      </c>
      <c r="D2465">
        <f>IF(B2465=1,INDEX('Data Entry'!$H$5:$BE$10004,2465-4,'Visual SPC'!$B$3),"")</f>
        <v/>
      </c>
      <c r="E2465">
        <f>IF(B2465=1,D2465,E2464)</f>
        <v/>
      </c>
      <c r="F2465">
        <f>IF(AND(B2465=1,C2465&gt;1,E2464&lt;&gt;""),ABS(D2465-E2464),"")</f>
        <v/>
      </c>
    </row>
    <row r="2466">
      <c r="A2466" t="n">
        <v>2466</v>
      </c>
      <c r="B2466">
        <f>IF(INDEX('Data Entry'!$H$5:$BE$10004,2466-4,'Visual SPC'!$B$3)="",0,IF(AND(OR('Visual SPC'!$C$4="",'Data Entry'!$C2466&gt;='Visual SPC'!$C$4),OR('Visual SPC'!$E$4="",'Data Entry'!$C2466&lt;='Visual SPC'!$E$4),OR('Visual SPC'!$G$4="",'Data Entry'!$D2466='Visual SPC'!$G$4),OR('Visual SPC'!$I$4="",'Data Entry'!$E2466='Visual SPC'!$I$4),OR('Visual SPC'!$K$4="",'Data Entry'!$F2466='Visual SPC'!$K$4)),1,0))</f>
        <v/>
      </c>
      <c r="C2466">
        <f>C2465+B2466</f>
        <v/>
      </c>
      <c r="D2466">
        <f>IF(B2466=1,INDEX('Data Entry'!$H$5:$BE$10004,2466-4,'Visual SPC'!$B$3),"")</f>
        <v/>
      </c>
      <c r="E2466">
        <f>IF(B2466=1,D2466,E2465)</f>
        <v/>
      </c>
      <c r="F2466">
        <f>IF(AND(B2466=1,C2466&gt;1,E2465&lt;&gt;""),ABS(D2466-E2465),"")</f>
        <v/>
      </c>
    </row>
    <row r="2467">
      <c r="A2467" t="n">
        <v>2467</v>
      </c>
      <c r="B2467">
        <f>IF(INDEX('Data Entry'!$H$5:$BE$10004,2467-4,'Visual SPC'!$B$3)="",0,IF(AND(OR('Visual SPC'!$C$4="",'Data Entry'!$C2467&gt;='Visual SPC'!$C$4),OR('Visual SPC'!$E$4="",'Data Entry'!$C2467&lt;='Visual SPC'!$E$4),OR('Visual SPC'!$G$4="",'Data Entry'!$D2467='Visual SPC'!$G$4),OR('Visual SPC'!$I$4="",'Data Entry'!$E2467='Visual SPC'!$I$4),OR('Visual SPC'!$K$4="",'Data Entry'!$F2467='Visual SPC'!$K$4)),1,0))</f>
        <v/>
      </c>
      <c r="C2467">
        <f>C2466+B2467</f>
        <v/>
      </c>
      <c r="D2467">
        <f>IF(B2467=1,INDEX('Data Entry'!$H$5:$BE$10004,2467-4,'Visual SPC'!$B$3),"")</f>
        <v/>
      </c>
      <c r="E2467">
        <f>IF(B2467=1,D2467,E2466)</f>
        <v/>
      </c>
      <c r="F2467">
        <f>IF(AND(B2467=1,C2467&gt;1,E2466&lt;&gt;""),ABS(D2467-E2466),"")</f>
        <v/>
      </c>
    </row>
    <row r="2468">
      <c r="A2468" t="n">
        <v>2468</v>
      </c>
      <c r="B2468">
        <f>IF(INDEX('Data Entry'!$H$5:$BE$10004,2468-4,'Visual SPC'!$B$3)="",0,IF(AND(OR('Visual SPC'!$C$4="",'Data Entry'!$C2468&gt;='Visual SPC'!$C$4),OR('Visual SPC'!$E$4="",'Data Entry'!$C2468&lt;='Visual SPC'!$E$4),OR('Visual SPC'!$G$4="",'Data Entry'!$D2468='Visual SPC'!$G$4),OR('Visual SPC'!$I$4="",'Data Entry'!$E2468='Visual SPC'!$I$4),OR('Visual SPC'!$K$4="",'Data Entry'!$F2468='Visual SPC'!$K$4)),1,0))</f>
        <v/>
      </c>
      <c r="C2468">
        <f>C2467+B2468</f>
        <v/>
      </c>
      <c r="D2468">
        <f>IF(B2468=1,INDEX('Data Entry'!$H$5:$BE$10004,2468-4,'Visual SPC'!$B$3),"")</f>
        <v/>
      </c>
      <c r="E2468">
        <f>IF(B2468=1,D2468,E2467)</f>
        <v/>
      </c>
      <c r="F2468">
        <f>IF(AND(B2468=1,C2468&gt;1,E2467&lt;&gt;""),ABS(D2468-E2467),"")</f>
        <v/>
      </c>
    </row>
    <row r="2469">
      <c r="A2469" t="n">
        <v>2469</v>
      </c>
      <c r="B2469">
        <f>IF(INDEX('Data Entry'!$H$5:$BE$10004,2469-4,'Visual SPC'!$B$3)="",0,IF(AND(OR('Visual SPC'!$C$4="",'Data Entry'!$C2469&gt;='Visual SPC'!$C$4),OR('Visual SPC'!$E$4="",'Data Entry'!$C2469&lt;='Visual SPC'!$E$4),OR('Visual SPC'!$G$4="",'Data Entry'!$D2469='Visual SPC'!$G$4),OR('Visual SPC'!$I$4="",'Data Entry'!$E2469='Visual SPC'!$I$4),OR('Visual SPC'!$K$4="",'Data Entry'!$F2469='Visual SPC'!$K$4)),1,0))</f>
        <v/>
      </c>
      <c r="C2469">
        <f>C2468+B2469</f>
        <v/>
      </c>
      <c r="D2469">
        <f>IF(B2469=1,INDEX('Data Entry'!$H$5:$BE$10004,2469-4,'Visual SPC'!$B$3),"")</f>
        <v/>
      </c>
      <c r="E2469">
        <f>IF(B2469=1,D2469,E2468)</f>
        <v/>
      </c>
      <c r="F2469">
        <f>IF(AND(B2469=1,C2469&gt;1,E2468&lt;&gt;""),ABS(D2469-E2468),"")</f>
        <v/>
      </c>
    </row>
    <row r="2470">
      <c r="A2470" t="n">
        <v>2470</v>
      </c>
      <c r="B2470">
        <f>IF(INDEX('Data Entry'!$H$5:$BE$10004,2470-4,'Visual SPC'!$B$3)="",0,IF(AND(OR('Visual SPC'!$C$4="",'Data Entry'!$C2470&gt;='Visual SPC'!$C$4),OR('Visual SPC'!$E$4="",'Data Entry'!$C2470&lt;='Visual SPC'!$E$4),OR('Visual SPC'!$G$4="",'Data Entry'!$D2470='Visual SPC'!$G$4),OR('Visual SPC'!$I$4="",'Data Entry'!$E2470='Visual SPC'!$I$4),OR('Visual SPC'!$K$4="",'Data Entry'!$F2470='Visual SPC'!$K$4)),1,0))</f>
        <v/>
      </c>
      <c r="C2470">
        <f>C2469+B2470</f>
        <v/>
      </c>
      <c r="D2470">
        <f>IF(B2470=1,INDEX('Data Entry'!$H$5:$BE$10004,2470-4,'Visual SPC'!$B$3),"")</f>
        <v/>
      </c>
      <c r="E2470">
        <f>IF(B2470=1,D2470,E2469)</f>
        <v/>
      </c>
      <c r="F2470">
        <f>IF(AND(B2470=1,C2470&gt;1,E2469&lt;&gt;""),ABS(D2470-E2469),"")</f>
        <v/>
      </c>
    </row>
    <row r="2471">
      <c r="A2471" t="n">
        <v>2471</v>
      </c>
      <c r="B2471">
        <f>IF(INDEX('Data Entry'!$H$5:$BE$10004,2471-4,'Visual SPC'!$B$3)="",0,IF(AND(OR('Visual SPC'!$C$4="",'Data Entry'!$C2471&gt;='Visual SPC'!$C$4),OR('Visual SPC'!$E$4="",'Data Entry'!$C2471&lt;='Visual SPC'!$E$4),OR('Visual SPC'!$G$4="",'Data Entry'!$D2471='Visual SPC'!$G$4),OR('Visual SPC'!$I$4="",'Data Entry'!$E2471='Visual SPC'!$I$4),OR('Visual SPC'!$K$4="",'Data Entry'!$F2471='Visual SPC'!$K$4)),1,0))</f>
        <v/>
      </c>
      <c r="C2471">
        <f>C2470+B2471</f>
        <v/>
      </c>
      <c r="D2471">
        <f>IF(B2471=1,INDEX('Data Entry'!$H$5:$BE$10004,2471-4,'Visual SPC'!$B$3),"")</f>
        <v/>
      </c>
      <c r="E2471">
        <f>IF(B2471=1,D2471,E2470)</f>
        <v/>
      </c>
      <c r="F2471">
        <f>IF(AND(B2471=1,C2471&gt;1,E2470&lt;&gt;""),ABS(D2471-E2470),"")</f>
        <v/>
      </c>
    </row>
    <row r="2472">
      <c r="A2472" t="n">
        <v>2472</v>
      </c>
      <c r="B2472">
        <f>IF(INDEX('Data Entry'!$H$5:$BE$10004,2472-4,'Visual SPC'!$B$3)="",0,IF(AND(OR('Visual SPC'!$C$4="",'Data Entry'!$C2472&gt;='Visual SPC'!$C$4),OR('Visual SPC'!$E$4="",'Data Entry'!$C2472&lt;='Visual SPC'!$E$4),OR('Visual SPC'!$G$4="",'Data Entry'!$D2472='Visual SPC'!$G$4),OR('Visual SPC'!$I$4="",'Data Entry'!$E2472='Visual SPC'!$I$4),OR('Visual SPC'!$K$4="",'Data Entry'!$F2472='Visual SPC'!$K$4)),1,0))</f>
        <v/>
      </c>
      <c r="C2472">
        <f>C2471+B2472</f>
        <v/>
      </c>
      <c r="D2472">
        <f>IF(B2472=1,INDEX('Data Entry'!$H$5:$BE$10004,2472-4,'Visual SPC'!$B$3),"")</f>
        <v/>
      </c>
      <c r="E2472">
        <f>IF(B2472=1,D2472,E2471)</f>
        <v/>
      </c>
      <c r="F2472">
        <f>IF(AND(B2472=1,C2472&gt;1,E2471&lt;&gt;""),ABS(D2472-E2471),"")</f>
        <v/>
      </c>
    </row>
    <row r="2473">
      <c r="A2473" t="n">
        <v>2473</v>
      </c>
      <c r="B2473">
        <f>IF(INDEX('Data Entry'!$H$5:$BE$10004,2473-4,'Visual SPC'!$B$3)="",0,IF(AND(OR('Visual SPC'!$C$4="",'Data Entry'!$C2473&gt;='Visual SPC'!$C$4),OR('Visual SPC'!$E$4="",'Data Entry'!$C2473&lt;='Visual SPC'!$E$4),OR('Visual SPC'!$G$4="",'Data Entry'!$D2473='Visual SPC'!$G$4),OR('Visual SPC'!$I$4="",'Data Entry'!$E2473='Visual SPC'!$I$4),OR('Visual SPC'!$K$4="",'Data Entry'!$F2473='Visual SPC'!$K$4)),1,0))</f>
        <v/>
      </c>
      <c r="C2473">
        <f>C2472+B2473</f>
        <v/>
      </c>
      <c r="D2473">
        <f>IF(B2473=1,INDEX('Data Entry'!$H$5:$BE$10004,2473-4,'Visual SPC'!$B$3),"")</f>
        <v/>
      </c>
      <c r="E2473">
        <f>IF(B2473=1,D2473,E2472)</f>
        <v/>
      </c>
      <c r="F2473">
        <f>IF(AND(B2473=1,C2473&gt;1,E2472&lt;&gt;""),ABS(D2473-E2472),"")</f>
        <v/>
      </c>
    </row>
    <row r="2474">
      <c r="A2474" t="n">
        <v>2474</v>
      </c>
      <c r="B2474">
        <f>IF(INDEX('Data Entry'!$H$5:$BE$10004,2474-4,'Visual SPC'!$B$3)="",0,IF(AND(OR('Visual SPC'!$C$4="",'Data Entry'!$C2474&gt;='Visual SPC'!$C$4),OR('Visual SPC'!$E$4="",'Data Entry'!$C2474&lt;='Visual SPC'!$E$4),OR('Visual SPC'!$G$4="",'Data Entry'!$D2474='Visual SPC'!$G$4),OR('Visual SPC'!$I$4="",'Data Entry'!$E2474='Visual SPC'!$I$4),OR('Visual SPC'!$K$4="",'Data Entry'!$F2474='Visual SPC'!$K$4)),1,0))</f>
        <v/>
      </c>
      <c r="C2474">
        <f>C2473+B2474</f>
        <v/>
      </c>
      <c r="D2474">
        <f>IF(B2474=1,INDEX('Data Entry'!$H$5:$BE$10004,2474-4,'Visual SPC'!$B$3),"")</f>
        <v/>
      </c>
      <c r="E2474">
        <f>IF(B2474=1,D2474,E2473)</f>
        <v/>
      </c>
      <c r="F2474">
        <f>IF(AND(B2474=1,C2474&gt;1,E2473&lt;&gt;""),ABS(D2474-E2473),"")</f>
        <v/>
      </c>
    </row>
    <row r="2475">
      <c r="A2475" t="n">
        <v>2475</v>
      </c>
      <c r="B2475">
        <f>IF(INDEX('Data Entry'!$H$5:$BE$10004,2475-4,'Visual SPC'!$B$3)="",0,IF(AND(OR('Visual SPC'!$C$4="",'Data Entry'!$C2475&gt;='Visual SPC'!$C$4),OR('Visual SPC'!$E$4="",'Data Entry'!$C2475&lt;='Visual SPC'!$E$4),OR('Visual SPC'!$G$4="",'Data Entry'!$D2475='Visual SPC'!$G$4),OR('Visual SPC'!$I$4="",'Data Entry'!$E2475='Visual SPC'!$I$4),OR('Visual SPC'!$K$4="",'Data Entry'!$F2475='Visual SPC'!$K$4)),1,0))</f>
        <v/>
      </c>
      <c r="C2475">
        <f>C2474+B2475</f>
        <v/>
      </c>
      <c r="D2475">
        <f>IF(B2475=1,INDEX('Data Entry'!$H$5:$BE$10004,2475-4,'Visual SPC'!$B$3),"")</f>
        <v/>
      </c>
      <c r="E2475">
        <f>IF(B2475=1,D2475,E2474)</f>
        <v/>
      </c>
      <c r="F2475">
        <f>IF(AND(B2475=1,C2475&gt;1,E2474&lt;&gt;""),ABS(D2475-E2474),"")</f>
        <v/>
      </c>
    </row>
    <row r="2476">
      <c r="A2476" t="n">
        <v>2476</v>
      </c>
      <c r="B2476">
        <f>IF(INDEX('Data Entry'!$H$5:$BE$10004,2476-4,'Visual SPC'!$B$3)="",0,IF(AND(OR('Visual SPC'!$C$4="",'Data Entry'!$C2476&gt;='Visual SPC'!$C$4),OR('Visual SPC'!$E$4="",'Data Entry'!$C2476&lt;='Visual SPC'!$E$4),OR('Visual SPC'!$G$4="",'Data Entry'!$D2476='Visual SPC'!$G$4),OR('Visual SPC'!$I$4="",'Data Entry'!$E2476='Visual SPC'!$I$4),OR('Visual SPC'!$K$4="",'Data Entry'!$F2476='Visual SPC'!$K$4)),1,0))</f>
        <v/>
      </c>
      <c r="C2476">
        <f>C2475+B2476</f>
        <v/>
      </c>
      <c r="D2476">
        <f>IF(B2476=1,INDEX('Data Entry'!$H$5:$BE$10004,2476-4,'Visual SPC'!$B$3),"")</f>
        <v/>
      </c>
      <c r="E2476">
        <f>IF(B2476=1,D2476,E2475)</f>
        <v/>
      </c>
      <c r="F2476">
        <f>IF(AND(B2476=1,C2476&gt;1,E2475&lt;&gt;""),ABS(D2476-E2475),"")</f>
        <v/>
      </c>
    </row>
    <row r="2477">
      <c r="A2477" t="n">
        <v>2477</v>
      </c>
      <c r="B2477">
        <f>IF(INDEX('Data Entry'!$H$5:$BE$10004,2477-4,'Visual SPC'!$B$3)="",0,IF(AND(OR('Visual SPC'!$C$4="",'Data Entry'!$C2477&gt;='Visual SPC'!$C$4),OR('Visual SPC'!$E$4="",'Data Entry'!$C2477&lt;='Visual SPC'!$E$4),OR('Visual SPC'!$G$4="",'Data Entry'!$D2477='Visual SPC'!$G$4),OR('Visual SPC'!$I$4="",'Data Entry'!$E2477='Visual SPC'!$I$4),OR('Visual SPC'!$K$4="",'Data Entry'!$F2477='Visual SPC'!$K$4)),1,0))</f>
        <v/>
      </c>
      <c r="C2477">
        <f>C2476+B2477</f>
        <v/>
      </c>
      <c r="D2477">
        <f>IF(B2477=1,INDEX('Data Entry'!$H$5:$BE$10004,2477-4,'Visual SPC'!$B$3),"")</f>
        <v/>
      </c>
      <c r="E2477">
        <f>IF(B2477=1,D2477,E2476)</f>
        <v/>
      </c>
      <c r="F2477">
        <f>IF(AND(B2477=1,C2477&gt;1,E2476&lt;&gt;""),ABS(D2477-E2476),"")</f>
        <v/>
      </c>
    </row>
    <row r="2478">
      <c r="A2478" t="n">
        <v>2478</v>
      </c>
      <c r="B2478">
        <f>IF(INDEX('Data Entry'!$H$5:$BE$10004,2478-4,'Visual SPC'!$B$3)="",0,IF(AND(OR('Visual SPC'!$C$4="",'Data Entry'!$C2478&gt;='Visual SPC'!$C$4),OR('Visual SPC'!$E$4="",'Data Entry'!$C2478&lt;='Visual SPC'!$E$4),OR('Visual SPC'!$G$4="",'Data Entry'!$D2478='Visual SPC'!$G$4),OR('Visual SPC'!$I$4="",'Data Entry'!$E2478='Visual SPC'!$I$4),OR('Visual SPC'!$K$4="",'Data Entry'!$F2478='Visual SPC'!$K$4)),1,0))</f>
        <v/>
      </c>
      <c r="C2478">
        <f>C2477+B2478</f>
        <v/>
      </c>
      <c r="D2478">
        <f>IF(B2478=1,INDEX('Data Entry'!$H$5:$BE$10004,2478-4,'Visual SPC'!$B$3),"")</f>
        <v/>
      </c>
      <c r="E2478">
        <f>IF(B2478=1,D2478,E2477)</f>
        <v/>
      </c>
      <c r="F2478">
        <f>IF(AND(B2478=1,C2478&gt;1,E2477&lt;&gt;""),ABS(D2478-E2477),"")</f>
        <v/>
      </c>
    </row>
    <row r="2479">
      <c r="A2479" t="n">
        <v>2479</v>
      </c>
      <c r="B2479">
        <f>IF(INDEX('Data Entry'!$H$5:$BE$10004,2479-4,'Visual SPC'!$B$3)="",0,IF(AND(OR('Visual SPC'!$C$4="",'Data Entry'!$C2479&gt;='Visual SPC'!$C$4),OR('Visual SPC'!$E$4="",'Data Entry'!$C2479&lt;='Visual SPC'!$E$4),OR('Visual SPC'!$G$4="",'Data Entry'!$D2479='Visual SPC'!$G$4),OR('Visual SPC'!$I$4="",'Data Entry'!$E2479='Visual SPC'!$I$4),OR('Visual SPC'!$K$4="",'Data Entry'!$F2479='Visual SPC'!$K$4)),1,0))</f>
        <v/>
      </c>
      <c r="C2479">
        <f>C2478+B2479</f>
        <v/>
      </c>
      <c r="D2479">
        <f>IF(B2479=1,INDEX('Data Entry'!$H$5:$BE$10004,2479-4,'Visual SPC'!$B$3),"")</f>
        <v/>
      </c>
      <c r="E2479">
        <f>IF(B2479=1,D2479,E2478)</f>
        <v/>
      </c>
      <c r="F2479">
        <f>IF(AND(B2479=1,C2479&gt;1,E2478&lt;&gt;""),ABS(D2479-E2478),"")</f>
        <v/>
      </c>
    </row>
    <row r="2480">
      <c r="A2480" t="n">
        <v>2480</v>
      </c>
      <c r="B2480">
        <f>IF(INDEX('Data Entry'!$H$5:$BE$10004,2480-4,'Visual SPC'!$B$3)="",0,IF(AND(OR('Visual SPC'!$C$4="",'Data Entry'!$C2480&gt;='Visual SPC'!$C$4),OR('Visual SPC'!$E$4="",'Data Entry'!$C2480&lt;='Visual SPC'!$E$4),OR('Visual SPC'!$G$4="",'Data Entry'!$D2480='Visual SPC'!$G$4),OR('Visual SPC'!$I$4="",'Data Entry'!$E2480='Visual SPC'!$I$4),OR('Visual SPC'!$K$4="",'Data Entry'!$F2480='Visual SPC'!$K$4)),1,0))</f>
        <v/>
      </c>
      <c r="C2480">
        <f>C2479+B2480</f>
        <v/>
      </c>
      <c r="D2480">
        <f>IF(B2480=1,INDEX('Data Entry'!$H$5:$BE$10004,2480-4,'Visual SPC'!$B$3),"")</f>
        <v/>
      </c>
      <c r="E2480">
        <f>IF(B2480=1,D2480,E2479)</f>
        <v/>
      </c>
      <c r="F2480">
        <f>IF(AND(B2480=1,C2480&gt;1,E2479&lt;&gt;""),ABS(D2480-E2479),"")</f>
        <v/>
      </c>
    </row>
    <row r="2481">
      <c r="A2481" t="n">
        <v>2481</v>
      </c>
      <c r="B2481">
        <f>IF(INDEX('Data Entry'!$H$5:$BE$10004,2481-4,'Visual SPC'!$B$3)="",0,IF(AND(OR('Visual SPC'!$C$4="",'Data Entry'!$C2481&gt;='Visual SPC'!$C$4),OR('Visual SPC'!$E$4="",'Data Entry'!$C2481&lt;='Visual SPC'!$E$4),OR('Visual SPC'!$G$4="",'Data Entry'!$D2481='Visual SPC'!$G$4),OR('Visual SPC'!$I$4="",'Data Entry'!$E2481='Visual SPC'!$I$4),OR('Visual SPC'!$K$4="",'Data Entry'!$F2481='Visual SPC'!$K$4)),1,0))</f>
        <v/>
      </c>
      <c r="C2481">
        <f>C2480+B2481</f>
        <v/>
      </c>
      <c r="D2481">
        <f>IF(B2481=1,INDEX('Data Entry'!$H$5:$BE$10004,2481-4,'Visual SPC'!$B$3),"")</f>
        <v/>
      </c>
      <c r="E2481">
        <f>IF(B2481=1,D2481,E2480)</f>
        <v/>
      </c>
      <c r="F2481">
        <f>IF(AND(B2481=1,C2481&gt;1,E2480&lt;&gt;""),ABS(D2481-E2480),"")</f>
        <v/>
      </c>
    </row>
    <row r="2482">
      <c r="A2482" t="n">
        <v>2482</v>
      </c>
      <c r="B2482">
        <f>IF(INDEX('Data Entry'!$H$5:$BE$10004,2482-4,'Visual SPC'!$B$3)="",0,IF(AND(OR('Visual SPC'!$C$4="",'Data Entry'!$C2482&gt;='Visual SPC'!$C$4),OR('Visual SPC'!$E$4="",'Data Entry'!$C2482&lt;='Visual SPC'!$E$4),OR('Visual SPC'!$G$4="",'Data Entry'!$D2482='Visual SPC'!$G$4),OR('Visual SPC'!$I$4="",'Data Entry'!$E2482='Visual SPC'!$I$4),OR('Visual SPC'!$K$4="",'Data Entry'!$F2482='Visual SPC'!$K$4)),1,0))</f>
        <v/>
      </c>
      <c r="C2482">
        <f>C2481+B2482</f>
        <v/>
      </c>
      <c r="D2482">
        <f>IF(B2482=1,INDEX('Data Entry'!$H$5:$BE$10004,2482-4,'Visual SPC'!$B$3),"")</f>
        <v/>
      </c>
      <c r="E2482">
        <f>IF(B2482=1,D2482,E2481)</f>
        <v/>
      </c>
      <c r="F2482">
        <f>IF(AND(B2482=1,C2482&gt;1,E2481&lt;&gt;""),ABS(D2482-E2481),"")</f>
        <v/>
      </c>
    </row>
    <row r="2483">
      <c r="A2483" t="n">
        <v>2483</v>
      </c>
      <c r="B2483">
        <f>IF(INDEX('Data Entry'!$H$5:$BE$10004,2483-4,'Visual SPC'!$B$3)="",0,IF(AND(OR('Visual SPC'!$C$4="",'Data Entry'!$C2483&gt;='Visual SPC'!$C$4),OR('Visual SPC'!$E$4="",'Data Entry'!$C2483&lt;='Visual SPC'!$E$4),OR('Visual SPC'!$G$4="",'Data Entry'!$D2483='Visual SPC'!$G$4),OR('Visual SPC'!$I$4="",'Data Entry'!$E2483='Visual SPC'!$I$4),OR('Visual SPC'!$K$4="",'Data Entry'!$F2483='Visual SPC'!$K$4)),1,0))</f>
        <v/>
      </c>
      <c r="C2483">
        <f>C2482+B2483</f>
        <v/>
      </c>
      <c r="D2483">
        <f>IF(B2483=1,INDEX('Data Entry'!$H$5:$BE$10004,2483-4,'Visual SPC'!$B$3),"")</f>
        <v/>
      </c>
      <c r="E2483">
        <f>IF(B2483=1,D2483,E2482)</f>
        <v/>
      </c>
      <c r="F2483">
        <f>IF(AND(B2483=1,C2483&gt;1,E2482&lt;&gt;""),ABS(D2483-E2482),"")</f>
        <v/>
      </c>
    </row>
    <row r="2484">
      <c r="A2484" t="n">
        <v>2484</v>
      </c>
      <c r="B2484">
        <f>IF(INDEX('Data Entry'!$H$5:$BE$10004,2484-4,'Visual SPC'!$B$3)="",0,IF(AND(OR('Visual SPC'!$C$4="",'Data Entry'!$C2484&gt;='Visual SPC'!$C$4),OR('Visual SPC'!$E$4="",'Data Entry'!$C2484&lt;='Visual SPC'!$E$4),OR('Visual SPC'!$G$4="",'Data Entry'!$D2484='Visual SPC'!$G$4),OR('Visual SPC'!$I$4="",'Data Entry'!$E2484='Visual SPC'!$I$4),OR('Visual SPC'!$K$4="",'Data Entry'!$F2484='Visual SPC'!$K$4)),1,0))</f>
        <v/>
      </c>
      <c r="C2484">
        <f>C2483+B2484</f>
        <v/>
      </c>
      <c r="D2484">
        <f>IF(B2484=1,INDEX('Data Entry'!$H$5:$BE$10004,2484-4,'Visual SPC'!$B$3),"")</f>
        <v/>
      </c>
      <c r="E2484">
        <f>IF(B2484=1,D2484,E2483)</f>
        <v/>
      </c>
      <c r="F2484">
        <f>IF(AND(B2484=1,C2484&gt;1,E2483&lt;&gt;""),ABS(D2484-E2483),"")</f>
        <v/>
      </c>
    </row>
    <row r="2485">
      <c r="A2485" t="n">
        <v>2485</v>
      </c>
      <c r="B2485">
        <f>IF(INDEX('Data Entry'!$H$5:$BE$10004,2485-4,'Visual SPC'!$B$3)="",0,IF(AND(OR('Visual SPC'!$C$4="",'Data Entry'!$C2485&gt;='Visual SPC'!$C$4),OR('Visual SPC'!$E$4="",'Data Entry'!$C2485&lt;='Visual SPC'!$E$4),OR('Visual SPC'!$G$4="",'Data Entry'!$D2485='Visual SPC'!$G$4),OR('Visual SPC'!$I$4="",'Data Entry'!$E2485='Visual SPC'!$I$4),OR('Visual SPC'!$K$4="",'Data Entry'!$F2485='Visual SPC'!$K$4)),1,0))</f>
        <v/>
      </c>
      <c r="C2485">
        <f>C2484+B2485</f>
        <v/>
      </c>
      <c r="D2485">
        <f>IF(B2485=1,INDEX('Data Entry'!$H$5:$BE$10004,2485-4,'Visual SPC'!$B$3),"")</f>
        <v/>
      </c>
      <c r="E2485">
        <f>IF(B2485=1,D2485,E2484)</f>
        <v/>
      </c>
      <c r="F2485">
        <f>IF(AND(B2485=1,C2485&gt;1,E2484&lt;&gt;""),ABS(D2485-E2484),"")</f>
        <v/>
      </c>
    </row>
    <row r="2486">
      <c r="A2486" t="n">
        <v>2486</v>
      </c>
      <c r="B2486">
        <f>IF(INDEX('Data Entry'!$H$5:$BE$10004,2486-4,'Visual SPC'!$B$3)="",0,IF(AND(OR('Visual SPC'!$C$4="",'Data Entry'!$C2486&gt;='Visual SPC'!$C$4),OR('Visual SPC'!$E$4="",'Data Entry'!$C2486&lt;='Visual SPC'!$E$4),OR('Visual SPC'!$G$4="",'Data Entry'!$D2486='Visual SPC'!$G$4),OR('Visual SPC'!$I$4="",'Data Entry'!$E2486='Visual SPC'!$I$4),OR('Visual SPC'!$K$4="",'Data Entry'!$F2486='Visual SPC'!$K$4)),1,0))</f>
        <v/>
      </c>
      <c r="C2486">
        <f>C2485+B2486</f>
        <v/>
      </c>
      <c r="D2486">
        <f>IF(B2486=1,INDEX('Data Entry'!$H$5:$BE$10004,2486-4,'Visual SPC'!$B$3),"")</f>
        <v/>
      </c>
      <c r="E2486">
        <f>IF(B2486=1,D2486,E2485)</f>
        <v/>
      </c>
      <c r="F2486">
        <f>IF(AND(B2486=1,C2486&gt;1,E2485&lt;&gt;""),ABS(D2486-E2485),"")</f>
        <v/>
      </c>
    </row>
    <row r="2487">
      <c r="A2487" t="n">
        <v>2487</v>
      </c>
      <c r="B2487">
        <f>IF(INDEX('Data Entry'!$H$5:$BE$10004,2487-4,'Visual SPC'!$B$3)="",0,IF(AND(OR('Visual SPC'!$C$4="",'Data Entry'!$C2487&gt;='Visual SPC'!$C$4),OR('Visual SPC'!$E$4="",'Data Entry'!$C2487&lt;='Visual SPC'!$E$4),OR('Visual SPC'!$G$4="",'Data Entry'!$D2487='Visual SPC'!$G$4),OR('Visual SPC'!$I$4="",'Data Entry'!$E2487='Visual SPC'!$I$4),OR('Visual SPC'!$K$4="",'Data Entry'!$F2487='Visual SPC'!$K$4)),1,0))</f>
        <v/>
      </c>
      <c r="C2487">
        <f>C2486+B2487</f>
        <v/>
      </c>
      <c r="D2487">
        <f>IF(B2487=1,INDEX('Data Entry'!$H$5:$BE$10004,2487-4,'Visual SPC'!$B$3),"")</f>
        <v/>
      </c>
      <c r="E2487">
        <f>IF(B2487=1,D2487,E2486)</f>
        <v/>
      </c>
      <c r="F2487">
        <f>IF(AND(B2487=1,C2487&gt;1,E2486&lt;&gt;""),ABS(D2487-E2486),"")</f>
        <v/>
      </c>
    </row>
    <row r="2488">
      <c r="A2488" t="n">
        <v>2488</v>
      </c>
      <c r="B2488">
        <f>IF(INDEX('Data Entry'!$H$5:$BE$10004,2488-4,'Visual SPC'!$B$3)="",0,IF(AND(OR('Visual SPC'!$C$4="",'Data Entry'!$C2488&gt;='Visual SPC'!$C$4),OR('Visual SPC'!$E$4="",'Data Entry'!$C2488&lt;='Visual SPC'!$E$4),OR('Visual SPC'!$G$4="",'Data Entry'!$D2488='Visual SPC'!$G$4),OR('Visual SPC'!$I$4="",'Data Entry'!$E2488='Visual SPC'!$I$4),OR('Visual SPC'!$K$4="",'Data Entry'!$F2488='Visual SPC'!$K$4)),1,0))</f>
        <v/>
      </c>
      <c r="C2488">
        <f>C2487+B2488</f>
        <v/>
      </c>
      <c r="D2488">
        <f>IF(B2488=1,INDEX('Data Entry'!$H$5:$BE$10004,2488-4,'Visual SPC'!$B$3),"")</f>
        <v/>
      </c>
      <c r="E2488">
        <f>IF(B2488=1,D2488,E2487)</f>
        <v/>
      </c>
      <c r="F2488">
        <f>IF(AND(B2488=1,C2488&gt;1,E2487&lt;&gt;""),ABS(D2488-E2487),"")</f>
        <v/>
      </c>
    </row>
    <row r="2489">
      <c r="A2489" t="n">
        <v>2489</v>
      </c>
      <c r="B2489">
        <f>IF(INDEX('Data Entry'!$H$5:$BE$10004,2489-4,'Visual SPC'!$B$3)="",0,IF(AND(OR('Visual SPC'!$C$4="",'Data Entry'!$C2489&gt;='Visual SPC'!$C$4),OR('Visual SPC'!$E$4="",'Data Entry'!$C2489&lt;='Visual SPC'!$E$4),OR('Visual SPC'!$G$4="",'Data Entry'!$D2489='Visual SPC'!$G$4),OR('Visual SPC'!$I$4="",'Data Entry'!$E2489='Visual SPC'!$I$4),OR('Visual SPC'!$K$4="",'Data Entry'!$F2489='Visual SPC'!$K$4)),1,0))</f>
        <v/>
      </c>
      <c r="C2489">
        <f>C2488+B2489</f>
        <v/>
      </c>
      <c r="D2489">
        <f>IF(B2489=1,INDEX('Data Entry'!$H$5:$BE$10004,2489-4,'Visual SPC'!$B$3),"")</f>
        <v/>
      </c>
      <c r="E2489">
        <f>IF(B2489=1,D2489,E2488)</f>
        <v/>
      </c>
      <c r="F2489">
        <f>IF(AND(B2489=1,C2489&gt;1,E2488&lt;&gt;""),ABS(D2489-E2488),"")</f>
        <v/>
      </c>
    </row>
    <row r="2490">
      <c r="A2490" t="n">
        <v>2490</v>
      </c>
      <c r="B2490">
        <f>IF(INDEX('Data Entry'!$H$5:$BE$10004,2490-4,'Visual SPC'!$B$3)="",0,IF(AND(OR('Visual SPC'!$C$4="",'Data Entry'!$C2490&gt;='Visual SPC'!$C$4),OR('Visual SPC'!$E$4="",'Data Entry'!$C2490&lt;='Visual SPC'!$E$4),OR('Visual SPC'!$G$4="",'Data Entry'!$D2490='Visual SPC'!$G$4),OR('Visual SPC'!$I$4="",'Data Entry'!$E2490='Visual SPC'!$I$4),OR('Visual SPC'!$K$4="",'Data Entry'!$F2490='Visual SPC'!$K$4)),1,0))</f>
        <v/>
      </c>
      <c r="C2490">
        <f>C2489+B2490</f>
        <v/>
      </c>
      <c r="D2490">
        <f>IF(B2490=1,INDEX('Data Entry'!$H$5:$BE$10004,2490-4,'Visual SPC'!$B$3),"")</f>
        <v/>
      </c>
      <c r="E2490">
        <f>IF(B2490=1,D2490,E2489)</f>
        <v/>
      </c>
      <c r="F2490">
        <f>IF(AND(B2490=1,C2490&gt;1,E2489&lt;&gt;""),ABS(D2490-E2489),"")</f>
        <v/>
      </c>
    </row>
    <row r="2491">
      <c r="A2491" t="n">
        <v>2491</v>
      </c>
      <c r="B2491">
        <f>IF(INDEX('Data Entry'!$H$5:$BE$10004,2491-4,'Visual SPC'!$B$3)="",0,IF(AND(OR('Visual SPC'!$C$4="",'Data Entry'!$C2491&gt;='Visual SPC'!$C$4),OR('Visual SPC'!$E$4="",'Data Entry'!$C2491&lt;='Visual SPC'!$E$4),OR('Visual SPC'!$G$4="",'Data Entry'!$D2491='Visual SPC'!$G$4),OR('Visual SPC'!$I$4="",'Data Entry'!$E2491='Visual SPC'!$I$4),OR('Visual SPC'!$K$4="",'Data Entry'!$F2491='Visual SPC'!$K$4)),1,0))</f>
        <v/>
      </c>
      <c r="C2491">
        <f>C2490+B2491</f>
        <v/>
      </c>
      <c r="D2491">
        <f>IF(B2491=1,INDEX('Data Entry'!$H$5:$BE$10004,2491-4,'Visual SPC'!$B$3),"")</f>
        <v/>
      </c>
      <c r="E2491">
        <f>IF(B2491=1,D2491,E2490)</f>
        <v/>
      </c>
      <c r="F2491">
        <f>IF(AND(B2491=1,C2491&gt;1,E2490&lt;&gt;""),ABS(D2491-E2490),"")</f>
        <v/>
      </c>
    </row>
    <row r="2492">
      <c r="A2492" t="n">
        <v>2492</v>
      </c>
      <c r="B2492">
        <f>IF(INDEX('Data Entry'!$H$5:$BE$10004,2492-4,'Visual SPC'!$B$3)="",0,IF(AND(OR('Visual SPC'!$C$4="",'Data Entry'!$C2492&gt;='Visual SPC'!$C$4),OR('Visual SPC'!$E$4="",'Data Entry'!$C2492&lt;='Visual SPC'!$E$4),OR('Visual SPC'!$G$4="",'Data Entry'!$D2492='Visual SPC'!$G$4),OR('Visual SPC'!$I$4="",'Data Entry'!$E2492='Visual SPC'!$I$4),OR('Visual SPC'!$K$4="",'Data Entry'!$F2492='Visual SPC'!$K$4)),1,0))</f>
        <v/>
      </c>
      <c r="C2492">
        <f>C2491+B2492</f>
        <v/>
      </c>
      <c r="D2492">
        <f>IF(B2492=1,INDEX('Data Entry'!$H$5:$BE$10004,2492-4,'Visual SPC'!$B$3),"")</f>
        <v/>
      </c>
      <c r="E2492">
        <f>IF(B2492=1,D2492,E2491)</f>
        <v/>
      </c>
      <c r="F2492">
        <f>IF(AND(B2492=1,C2492&gt;1,E2491&lt;&gt;""),ABS(D2492-E2491),"")</f>
        <v/>
      </c>
    </row>
    <row r="2493">
      <c r="A2493" t="n">
        <v>2493</v>
      </c>
      <c r="B2493">
        <f>IF(INDEX('Data Entry'!$H$5:$BE$10004,2493-4,'Visual SPC'!$B$3)="",0,IF(AND(OR('Visual SPC'!$C$4="",'Data Entry'!$C2493&gt;='Visual SPC'!$C$4),OR('Visual SPC'!$E$4="",'Data Entry'!$C2493&lt;='Visual SPC'!$E$4),OR('Visual SPC'!$G$4="",'Data Entry'!$D2493='Visual SPC'!$G$4),OR('Visual SPC'!$I$4="",'Data Entry'!$E2493='Visual SPC'!$I$4),OR('Visual SPC'!$K$4="",'Data Entry'!$F2493='Visual SPC'!$K$4)),1,0))</f>
        <v/>
      </c>
      <c r="C2493">
        <f>C2492+B2493</f>
        <v/>
      </c>
      <c r="D2493">
        <f>IF(B2493=1,INDEX('Data Entry'!$H$5:$BE$10004,2493-4,'Visual SPC'!$B$3),"")</f>
        <v/>
      </c>
      <c r="E2493">
        <f>IF(B2493=1,D2493,E2492)</f>
        <v/>
      </c>
      <c r="F2493">
        <f>IF(AND(B2493=1,C2493&gt;1,E2492&lt;&gt;""),ABS(D2493-E2492),"")</f>
        <v/>
      </c>
    </row>
    <row r="2494">
      <c r="A2494" t="n">
        <v>2494</v>
      </c>
      <c r="B2494">
        <f>IF(INDEX('Data Entry'!$H$5:$BE$10004,2494-4,'Visual SPC'!$B$3)="",0,IF(AND(OR('Visual SPC'!$C$4="",'Data Entry'!$C2494&gt;='Visual SPC'!$C$4),OR('Visual SPC'!$E$4="",'Data Entry'!$C2494&lt;='Visual SPC'!$E$4),OR('Visual SPC'!$G$4="",'Data Entry'!$D2494='Visual SPC'!$G$4),OR('Visual SPC'!$I$4="",'Data Entry'!$E2494='Visual SPC'!$I$4),OR('Visual SPC'!$K$4="",'Data Entry'!$F2494='Visual SPC'!$K$4)),1,0))</f>
        <v/>
      </c>
      <c r="C2494">
        <f>C2493+B2494</f>
        <v/>
      </c>
      <c r="D2494">
        <f>IF(B2494=1,INDEX('Data Entry'!$H$5:$BE$10004,2494-4,'Visual SPC'!$B$3),"")</f>
        <v/>
      </c>
      <c r="E2494">
        <f>IF(B2494=1,D2494,E2493)</f>
        <v/>
      </c>
      <c r="F2494">
        <f>IF(AND(B2494=1,C2494&gt;1,E2493&lt;&gt;""),ABS(D2494-E2493),"")</f>
        <v/>
      </c>
    </row>
    <row r="2495">
      <c r="A2495" t="n">
        <v>2495</v>
      </c>
      <c r="B2495">
        <f>IF(INDEX('Data Entry'!$H$5:$BE$10004,2495-4,'Visual SPC'!$B$3)="",0,IF(AND(OR('Visual SPC'!$C$4="",'Data Entry'!$C2495&gt;='Visual SPC'!$C$4),OR('Visual SPC'!$E$4="",'Data Entry'!$C2495&lt;='Visual SPC'!$E$4),OR('Visual SPC'!$G$4="",'Data Entry'!$D2495='Visual SPC'!$G$4),OR('Visual SPC'!$I$4="",'Data Entry'!$E2495='Visual SPC'!$I$4),OR('Visual SPC'!$K$4="",'Data Entry'!$F2495='Visual SPC'!$K$4)),1,0))</f>
        <v/>
      </c>
      <c r="C2495">
        <f>C2494+B2495</f>
        <v/>
      </c>
      <c r="D2495">
        <f>IF(B2495=1,INDEX('Data Entry'!$H$5:$BE$10004,2495-4,'Visual SPC'!$B$3),"")</f>
        <v/>
      </c>
      <c r="E2495">
        <f>IF(B2495=1,D2495,E2494)</f>
        <v/>
      </c>
      <c r="F2495">
        <f>IF(AND(B2495=1,C2495&gt;1,E2494&lt;&gt;""),ABS(D2495-E2494),"")</f>
        <v/>
      </c>
    </row>
    <row r="2496">
      <c r="A2496" t="n">
        <v>2496</v>
      </c>
      <c r="B2496">
        <f>IF(INDEX('Data Entry'!$H$5:$BE$10004,2496-4,'Visual SPC'!$B$3)="",0,IF(AND(OR('Visual SPC'!$C$4="",'Data Entry'!$C2496&gt;='Visual SPC'!$C$4),OR('Visual SPC'!$E$4="",'Data Entry'!$C2496&lt;='Visual SPC'!$E$4),OR('Visual SPC'!$G$4="",'Data Entry'!$D2496='Visual SPC'!$G$4),OR('Visual SPC'!$I$4="",'Data Entry'!$E2496='Visual SPC'!$I$4),OR('Visual SPC'!$K$4="",'Data Entry'!$F2496='Visual SPC'!$K$4)),1,0))</f>
        <v/>
      </c>
      <c r="C2496">
        <f>C2495+B2496</f>
        <v/>
      </c>
      <c r="D2496">
        <f>IF(B2496=1,INDEX('Data Entry'!$H$5:$BE$10004,2496-4,'Visual SPC'!$B$3),"")</f>
        <v/>
      </c>
      <c r="E2496">
        <f>IF(B2496=1,D2496,E2495)</f>
        <v/>
      </c>
      <c r="F2496">
        <f>IF(AND(B2496=1,C2496&gt;1,E2495&lt;&gt;""),ABS(D2496-E2495),"")</f>
        <v/>
      </c>
    </row>
    <row r="2497">
      <c r="A2497" t="n">
        <v>2497</v>
      </c>
      <c r="B2497">
        <f>IF(INDEX('Data Entry'!$H$5:$BE$10004,2497-4,'Visual SPC'!$B$3)="",0,IF(AND(OR('Visual SPC'!$C$4="",'Data Entry'!$C2497&gt;='Visual SPC'!$C$4),OR('Visual SPC'!$E$4="",'Data Entry'!$C2497&lt;='Visual SPC'!$E$4),OR('Visual SPC'!$G$4="",'Data Entry'!$D2497='Visual SPC'!$G$4),OR('Visual SPC'!$I$4="",'Data Entry'!$E2497='Visual SPC'!$I$4),OR('Visual SPC'!$K$4="",'Data Entry'!$F2497='Visual SPC'!$K$4)),1,0))</f>
        <v/>
      </c>
      <c r="C2497">
        <f>C2496+B2497</f>
        <v/>
      </c>
      <c r="D2497">
        <f>IF(B2497=1,INDEX('Data Entry'!$H$5:$BE$10004,2497-4,'Visual SPC'!$B$3),"")</f>
        <v/>
      </c>
      <c r="E2497">
        <f>IF(B2497=1,D2497,E2496)</f>
        <v/>
      </c>
      <c r="F2497">
        <f>IF(AND(B2497=1,C2497&gt;1,E2496&lt;&gt;""),ABS(D2497-E2496),"")</f>
        <v/>
      </c>
    </row>
    <row r="2498">
      <c r="A2498" t="n">
        <v>2498</v>
      </c>
      <c r="B2498">
        <f>IF(INDEX('Data Entry'!$H$5:$BE$10004,2498-4,'Visual SPC'!$B$3)="",0,IF(AND(OR('Visual SPC'!$C$4="",'Data Entry'!$C2498&gt;='Visual SPC'!$C$4),OR('Visual SPC'!$E$4="",'Data Entry'!$C2498&lt;='Visual SPC'!$E$4),OR('Visual SPC'!$G$4="",'Data Entry'!$D2498='Visual SPC'!$G$4),OR('Visual SPC'!$I$4="",'Data Entry'!$E2498='Visual SPC'!$I$4),OR('Visual SPC'!$K$4="",'Data Entry'!$F2498='Visual SPC'!$K$4)),1,0))</f>
        <v/>
      </c>
      <c r="C2498">
        <f>C2497+B2498</f>
        <v/>
      </c>
      <c r="D2498">
        <f>IF(B2498=1,INDEX('Data Entry'!$H$5:$BE$10004,2498-4,'Visual SPC'!$B$3),"")</f>
        <v/>
      </c>
      <c r="E2498">
        <f>IF(B2498=1,D2498,E2497)</f>
        <v/>
      </c>
      <c r="F2498">
        <f>IF(AND(B2498=1,C2498&gt;1,E2497&lt;&gt;""),ABS(D2498-E2497),"")</f>
        <v/>
      </c>
    </row>
    <row r="2499">
      <c r="A2499" t="n">
        <v>2499</v>
      </c>
      <c r="B2499">
        <f>IF(INDEX('Data Entry'!$H$5:$BE$10004,2499-4,'Visual SPC'!$B$3)="",0,IF(AND(OR('Visual SPC'!$C$4="",'Data Entry'!$C2499&gt;='Visual SPC'!$C$4),OR('Visual SPC'!$E$4="",'Data Entry'!$C2499&lt;='Visual SPC'!$E$4),OR('Visual SPC'!$G$4="",'Data Entry'!$D2499='Visual SPC'!$G$4),OR('Visual SPC'!$I$4="",'Data Entry'!$E2499='Visual SPC'!$I$4),OR('Visual SPC'!$K$4="",'Data Entry'!$F2499='Visual SPC'!$K$4)),1,0))</f>
        <v/>
      </c>
      <c r="C2499">
        <f>C2498+B2499</f>
        <v/>
      </c>
      <c r="D2499">
        <f>IF(B2499=1,INDEX('Data Entry'!$H$5:$BE$10004,2499-4,'Visual SPC'!$B$3),"")</f>
        <v/>
      </c>
      <c r="E2499">
        <f>IF(B2499=1,D2499,E2498)</f>
        <v/>
      </c>
      <c r="F2499">
        <f>IF(AND(B2499=1,C2499&gt;1,E2498&lt;&gt;""),ABS(D2499-E2498),"")</f>
        <v/>
      </c>
    </row>
    <row r="2500">
      <c r="A2500" t="n">
        <v>2500</v>
      </c>
      <c r="B2500">
        <f>IF(INDEX('Data Entry'!$H$5:$BE$10004,2500-4,'Visual SPC'!$B$3)="",0,IF(AND(OR('Visual SPC'!$C$4="",'Data Entry'!$C2500&gt;='Visual SPC'!$C$4),OR('Visual SPC'!$E$4="",'Data Entry'!$C2500&lt;='Visual SPC'!$E$4),OR('Visual SPC'!$G$4="",'Data Entry'!$D2500='Visual SPC'!$G$4),OR('Visual SPC'!$I$4="",'Data Entry'!$E2500='Visual SPC'!$I$4),OR('Visual SPC'!$K$4="",'Data Entry'!$F2500='Visual SPC'!$K$4)),1,0))</f>
        <v/>
      </c>
      <c r="C2500">
        <f>C2499+B2500</f>
        <v/>
      </c>
      <c r="D2500">
        <f>IF(B2500=1,INDEX('Data Entry'!$H$5:$BE$10004,2500-4,'Visual SPC'!$B$3),"")</f>
        <v/>
      </c>
      <c r="E2500">
        <f>IF(B2500=1,D2500,E2499)</f>
        <v/>
      </c>
      <c r="F2500">
        <f>IF(AND(B2500=1,C2500&gt;1,E2499&lt;&gt;""),ABS(D2500-E2499),"")</f>
        <v/>
      </c>
    </row>
    <row r="2501">
      <c r="A2501" t="n">
        <v>2501</v>
      </c>
      <c r="B2501">
        <f>IF(INDEX('Data Entry'!$H$5:$BE$10004,2501-4,'Visual SPC'!$B$3)="",0,IF(AND(OR('Visual SPC'!$C$4="",'Data Entry'!$C2501&gt;='Visual SPC'!$C$4),OR('Visual SPC'!$E$4="",'Data Entry'!$C2501&lt;='Visual SPC'!$E$4),OR('Visual SPC'!$G$4="",'Data Entry'!$D2501='Visual SPC'!$G$4),OR('Visual SPC'!$I$4="",'Data Entry'!$E2501='Visual SPC'!$I$4),OR('Visual SPC'!$K$4="",'Data Entry'!$F2501='Visual SPC'!$K$4)),1,0))</f>
        <v/>
      </c>
      <c r="C2501">
        <f>C2500+B2501</f>
        <v/>
      </c>
      <c r="D2501">
        <f>IF(B2501=1,INDEX('Data Entry'!$H$5:$BE$10004,2501-4,'Visual SPC'!$B$3),"")</f>
        <v/>
      </c>
      <c r="E2501">
        <f>IF(B2501=1,D2501,E2500)</f>
        <v/>
      </c>
      <c r="F2501">
        <f>IF(AND(B2501=1,C2501&gt;1,E2500&lt;&gt;""),ABS(D2501-E2500),"")</f>
        <v/>
      </c>
    </row>
    <row r="2502">
      <c r="A2502" t="n">
        <v>2502</v>
      </c>
      <c r="B2502">
        <f>IF(INDEX('Data Entry'!$H$5:$BE$10004,2502-4,'Visual SPC'!$B$3)="",0,IF(AND(OR('Visual SPC'!$C$4="",'Data Entry'!$C2502&gt;='Visual SPC'!$C$4),OR('Visual SPC'!$E$4="",'Data Entry'!$C2502&lt;='Visual SPC'!$E$4),OR('Visual SPC'!$G$4="",'Data Entry'!$D2502='Visual SPC'!$G$4),OR('Visual SPC'!$I$4="",'Data Entry'!$E2502='Visual SPC'!$I$4),OR('Visual SPC'!$K$4="",'Data Entry'!$F2502='Visual SPC'!$K$4)),1,0))</f>
        <v/>
      </c>
      <c r="C2502">
        <f>C2501+B2502</f>
        <v/>
      </c>
      <c r="D2502">
        <f>IF(B2502=1,INDEX('Data Entry'!$H$5:$BE$10004,2502-4,'Visual SPC'!$B$3),"")</f>
        <v/>
      </c>
      <c r="E2502">
        <f>IF(B2502=1,D2502,E2501)</f>
        <v/>
      </c>
      <c r="F2502">
        <f>IF(AND(B2502=1,C2502&gt;1,E2501&lt;&gt;""),ABS(D2502-E2501),"")</f>
        <v/>
      </c>
    </row>
    <row r="2503">
      <c r="A2503" t="n">
        <v>2503</v>
      </c>
      <c r="B2503">
        <f>IF(INDEX('Data Entry'!$H$5:$BE$10004,2503-4,'Visual SPC'!$B$3)="",0,IF(AND(OR('Visual SPC'!$C$4="",'Data Entry'!$C2503&gt;='Visual SPC'!$C$4),OR('Visual SPC'!$E$4="",'Data Entry'!$C2503&lt;='Visual SPC'!$E$4),OR('Visual SPC'!$G$4="",'Data Entry'!$D2503='Visual SPC'!$G$4),OR('Visual SPC'!$I$4="",'Data Entry'!$E2503='Visual SPC'!$I$4),OR('Visual SPC'!$K$4="",'Data Entry'!$F2503='Visual SPC'!$K$4)),1,0))</f>
        <v/>
      </c>
      <c r="C2503">
        <f>C2502+B2503</f>
        <v/>
      </c>
      <c r="D2503">
        <f>IF(B2503=1,INDEX('Data Entry'!$H$5:$BE$10004,2503-4,'Visual SPC'!$B$3),"")</f>
        <v/>
      </c>
      <c r="E2503">
        <f>IF(B2503=1,D2503,E2502)</f>
        <v/>
      </c>
      <c r="F2503">
        <f>IF(AND(B2503=1,C2503&gt;1,E2502&lt;&gt;""),ABS(D2503-E2502),"")</f>
        <v/>
      </c>
    </row>
    <row r="2504">
      <c r="A2504" t="n">
        <v>2504</v>
      </c>
      <c r="B2504">
        <f>IF(INDEX('Data Entry'!$H$5:$BE$10004,2504-4,'Visual SPC'!$B$3)="",0,IF(AND(OR('Visual SPC'!$C$4="",'Data Entry'!$C2504&gt;='Visual SPC'!$C$4),OR('Visual SPC'!$E$4="",'Data Entry'!$C2504&lt;='Visual SPC'!$E$4),OR('Visual SPC'!$G$4="",'Data Entry'!$D2504='Visual SPC'!$G$4),OR('Visual SPC'!$I$4="",'Data Entry'!$E2504='Visual SPC'!$I$4),OR('Visual SPC'!$K$4="",'Data Entry'!$F2504='Visual SPC'!$K$4)),1,0))</f>
        <v/>
      </c>
      <c r="C2504">
        <f>C2503+B2504</f>
        <v/>
      </c>
      <c r="D2504">
        <f>IF(B2504=1,INDEX('Data Entry'!$H$5:$BE$10004,2504-4,'Visual SPC'!$B$3),"")</f>
        <v/>
      </c>
      <c r="E2504">
        <f>IF(B2504=1,D2504,E2503)</f>
        <v/>
      </c>
      <c r="F2504">
        <f>IF(AND(B2504=1,C2504&gt;1,E2503&lt;&gt;""),ABS(D2504-E2503),"")</f>
        <v/>
      </c>
    </row>
    <row r="2505">
      <c r="A2505" t="n">
        <v>2505</v>
      </c>
      <c r="B2505">
        <f>IF(INDEX('Data Entry'!$H$5:$BE$10004,2505-4,'Visual SPC'!$B$3)="",0,IF(AND(OR('Visual SPC'!$C$4="",'Data Entry'!$C2505&gt;='Visual SPC'!$C$4),OR('Visual SPC'!$E$4="",'Data Entry'!$C2505&lt;='Visual SPC'!$E$4),OR('Visual SPC'!$G$4="",'Data Entry'!$D2505='Visual SPC'!$G$4),OR('Visual SPC'!$I$4="",'Data Entry'!$E2505='Visual SPC'!$I$4),OR('Visual SPC'!$K$4="",'Data Entry'!$F2505='Visual SPC'!$K$4)),1,0))</f>
        <v/>
      </c>
      <c r="C2505">
        <f>C2504+B2505</f>
        <v/>
      </c>
      <c r="D2505">
        <f>IF(B2505=1,INDEX('Data Entry'!$H$5:$BE$10004,2505-4,'Visual SPC'!$B$3),"")</f>
        <v/>
      </c>
      <c r="E2505">
        <f>IF(B2505=1,D2505,E2504)</f>
        <v/>
      </c>
      <c r="F2505">
        <f>IF(AND(B2505=1,C2505&gt;1,E2504&lt;&gt;""),ABS(D2505-E2504),"")</f>
        <v/>
      </c>
    </row>
    <row r="2506">
      <c r="A2506" t="n">
        <v>2506</v>
      </c>
      <c r="B2506">
        <f>IF(INDEX('Data Entry'!$H$5:$BE$10004,2506-4,'Visual SPC'!$B$3)="",0,IF(AND(OR('Visual SPC'!$C$4="",'Data Entry'!$C2506&gt;='Visual SPC'!$C$4),OR('Visual SPC'!$E$4="",'Data Entry'!$C2506&lt;='Visual SPC'!$E$4),OR('Visual SPC'!$G$4="",'Data Entry'!$D2506='Visual SPC'!$G$4),OR('Visual SPC'!$I$4="",'Data Entry'!$E2506='Visual SPC'!$I$4),OR('Visual SPC'!$K$4="",'Data Entry'!$F2506='Visual SPC'!$K$4)),1,0))</f>
        <v/>
      </c>
      <c r="C2506">
        <f>C2505+B2506</f>
        <v/>
      </c>
      <c r="D2506">
        <f>IF(B2506=1,INDEX('Data Entry'!$H$5:$BE$10004,2506-4,'Visual SPC'!$B$3),"")</f>
        <v/>
      </c>
      <c r="E2506">
        <f>IF(B2506=1,D2506,E2505)</f>
        <v/>
      </c>
      <c r="F2506">
        <f>IF(AND(B2506=1,C2506&gt;1,E2505&lt;&gt;""),ABS(D2506-E2505),"")</f>
        <v/>
      </c>
    </row>
    <row r="2507">
      <c r="A2507" t="n">
        <v>2507</v>
      </c>
      <c r="B2507">
        <f>IF(INDEX('Data Entry'!$H$5:$BE$10004,2507-4,'Visual SPC'!$B$3)="",0,IF(AND(OR('Visual SPC'!$C$4="",'Data Entry'!$C2507&gt;='Visual SPC'!$C$4),OR('Visual SPC'!$E$4="",'Data Entry'!$C2507&lt;='Visual SPC'!$E$4),OR('Visual SPC'!$G$4="",'Data Entry'!$D2507='Visual SPC'!$G$4),OR('Visual SPC'!$I$4="",'Data Entry'!$E2507='Visual SPC'!$I$4),OR('Visual SPC'!$K$4="",'Data Entry'!$F2507='Visual SPC'!$K$4)),1,0))</f>
        <v/>
      </c>
      <c r="C2507">
        <f>C2506+B2507</f>
        <v/>
      </c>
      <c r="D2507">
        <f>IF(B2507=1,INDEX('Data Entry'!$H$5:$BE$10004,2507-4,'Visual SPC'!$B$3),"")</f>
        <v/>
      </c>
      <c r="E2507">
        <f>IF(B2507=1,D2507,E2506)</f>
        <v/>
      </c>
      <c r="F2507">
        <f>IF(AND(B2507=1,C2507&gt;1,E2506&lt;&gt;""),ABS(D2507-E2506),"")</f>
        <v/>
      </c>
    </row>
    <row r="2508">
      <c r="A2508" t="n">
        <v>2508</v>
      </c>
      <c r="B2508">
        <f>IF(INDEX('Data Entry'!$H$5:$BE$10004,2508-4,'Visual SPC'!$B$3)="",0,IF(AND(OR('Visual SPC'!$C$4="",'Data Entry'!$C2508&gt;='Visual SPC'!$C$4),OR('Visual SPC'!$E$4="",'Data Entry'!$C2508&lt;='Visual SPC'!$E$4),OR('Visual SPC'!$G$4="",'Data Entry'!$D2508='Visual SPC'!$G$4),OR('Visual SPC'!$I$4="",'Data Entry'!$E2508='Visual SPC'!$I$4),OR('Visual SPC'!$K$4="",'Data Entry'!$F2508='Visual SPC'!$K$4)),1,0))</f>
        <v/>
      </c>
      <c r="C2508">
        <f>C2507+B2508</f>
        <v/>
      </c>
      <c r="D2508">
        <f>IF(B2508=1,INDEX('Data Entry'!$H$5:$BE$10004,2508-4,'Visual SPC'!$B$3),"")</f>
        <v/>
      </c>
      <c r="E2508">
        <f>IF(B2508=1,D2508,E2507)</f>
        <v/>
      </c>
      <c r="F2508">
        <f>IF(AND(B2508=1,C2508&gt;1,E2507&lt;&gt;""),ABS(D2508-E2507),"")</f>
        <v/>
      </c>
    </row>
    <row r="2509">
      <c r="A2509" t="n">
        <v>2509</v>
      </c>
      <c r="B2509">
        <f>IF(INDEX('Data Entry'!$H$5:$BE$10004,2509-4,'Visual SPC'!$B$3)="",0,IF(AND(OR('Visual SPC'!$C$4="",'Data Entry'!$C2509&gt;='Visual SPC'!$C$4),OR('Visual SPC'!$E$4="",'Data Entry'!$C2509&lt;='Visual SPC'!$E$4),OR('Visual SPC'!$G$4="",'Data Entry'!$D2509='Visual SPC'!$G$4),OR('Visual SPC'!$I$4="",'Data Entry'!$E2509='Visual SPC'!$I$4),OR('Visual SPC'!$K$4="",'Data Entry'!$F2509='Visual SPC'!$K$4)),1,0))</f>
        <v/>
      </c>
      <c r="C2509">
        <f>C2508+B2509</f>
        <v/>
      </c>
      <c r="D2509">
        <f>IF(B2509=1,INDEX('Data Entry'!$H$5:$BE$10004,2509-4,'Visual SPC'!$B$3),"")</f>
        <v/>
      </c>
      <c r="E2509">
        <f>IF(B2509=1,D2509,E2508)</f>
        <v/>
      </c>
      <c r="F2509">
        <f>IF(AND(B2509=1,C2509&gt;1,E2508&lt;&gt;""),ABS(D2509-E2508),"")</f>
        <v/>
      </c>
    </row>
    <row r="2510">
      <c r="A2510" t="n">
        <v>2510</v>
      </c>
      <c r="B2510">
        <f>IF(INDEX('Data Entry'!$H$5:$BE$10004,2510-4,'Visual SPC'!$B$3)="",0,IF(AND(OR('Visual SPC'!$C$4="",'Data Entry'!$C2510&gt;='Visual SPC'!$C$4),OR('Visual SPC'!$E$4="",'Data Entry'!$C2510&lt;='Visual SPC'!$E$4),OR('Visual SPC'!$G$4="",'Data Entry'!$D2510='Visual SPC'!$G$4),OR('Visual SPC'!$I$4="",'Data Entry'!$E2510='Visual SPC'!$I$4),OR('Visual SPC'!$K$4="",'Data Entry'!$F2510='Visual SPC'!$K$4)),1,0))</f>
        <v/>
      </c>
      <c r="C2510">
        <f>C2509+B2510</f>
        <v/>
      </c>
      <c r="D2510">
        <f>IF(B2510=1,INDEX('Data Entry'!$H$5:$BE$10004,2510-4,'Visual SPC'!$B$3),"")</f>
        <v/>
      </c>
      <c r="E2510">
        <f>IF(B2510=1,D2510,E2509)</f>
        <v/>
      </c>
      <c r="F2510">
        <f>IF(AND(B2510=1,C2510&gt;1,E2509&lt;&gt;""),ABS(D2510-E2509),"")</f>
        <v/>
      </c>
    </row>
    <row r="2511">
      <c r="A2511" t="n">
        <v>2511</v>
      </c>
      <c r="B2511">
        <f>IF(INDEX('Data Entry'!$H$5:$BE$10004,2511-4,'Visual SPC'!$B$3)="",0,IF(AND(OR('Visual SPC'!$C$4="",'Data Entry'!$C2511&gt;='Visual SPC'!$C$4),OR('Visual SPC'!$E$4="",'Data Entry'!$C2511&lt;='Visual SPC'!$E$4),OR('Visual SPC'!$G$4="",'Data Entry'!$D2511='Visual SPC'!$G$4),OR('Visual SPC'!$I$4="",'Data Entry'!$E2511='Visual SPC'!$I$4),OR('Visual SPC'!$K$4="",'Data Entry'!$F2511='Visual SPC'!$K$4)),1,0))</f>
        <v/>
      </c>
      <c r="C2511">
        <f>C2510+B2511</f>
        <v/>
      </c>
      <c r="D2511">
        <f>IF(B2511=1,INDEX('Data Entry'!$H$5:$BE$10004,2511-4,'Visual SPC'!$B$3),"")</f>
        <v/>
      </c>
      <c r="E2511">
        <f>IF(B2511=1,D2511,E2510)</f>
        <v/>
      </c>
      <c r="F2511">
        <f>IF(AND(B2511=1,C2511&gt;1,E2510&lt;&gt;""),ABS(D2511-E2510),"")</f>
        <v/>
      </c>
    </row>
    <row r="2512">
      <c r="A2512" t="n">
        <v>2512</v>
      </c>
      <c r="B2512">
        <f>IF(INDEX('Data Entry'!$H$5:$BE$10004,2512-4,'Visual SPC'!$B$3)="",0,IF(AND(OR('Visual SPC'!$C$4="",'Data Entry'!$C2512&gt;='Visual SPC'!$C$4),OR('Visual SPC'!$E$4="",'Data Entry'!$C2512&lt;='Visual SPC'!$E$4),OR('Visual SPC'!$G$4="",'Data Entry'!$D2512='Visual SPC'!$G$4),OR('Visual SPC'!$I$4="",'Data Entry'!$E2512='Visual SPC'!$I$4),OR('Visual SPC'!$K$4="",'Data Entry'!$F2512='Visual SPC'!$K$4)),1,0))</f>
        <v/>
      </c>
      <c r="C2512">
        <f>C2511+B2512</f>
        <v/>
      </c>
      <c r="D2512">
        <f>IF(B2512=1,INDEX('Data Entry'!$H$5:$BE$10004,2512-4,'Visual SPC'!$B$3),"")</f>
        <v/>
      </c>
      <c r="E2512">
        <f>IF(B2512=1,D2512,E2511)</f>
        <v/>
      </c>
      <c r="F2512">
        <f>IF(AND(B2512=1,C2512&gt;1,E2511&lt;&gt;""),ABS(D2512-E2511),"")</f>
        <v/>
      </c>
    </row>
    <row r="2513">
      <c r="A2513" t="n">
        <v>2513</v>
      </c>
      <c r="B2513">
        <f>IF(INDEX('Data Entry'!$H$5:$BE$10004,2513-4,'Visual SPC'!$B$3)="",0,IF(AND(OR('Visual SPC'!$C$4="",'Data Entry'!$C2513&gt;='Visual SPC'!$C$4),OR('Visual SPC'!$E$4="",'Data Entry'!$C2513&lt;='Visual SPC'!$E$4),OR('Visual SPC'!$G$4="",'Data Entry'!$D2513='Visual SPC'!$G$4),OR('Visual SPC'!$I$4="",'Data Entry'!$E2513='Visual SPC'!$I$4),OR('Visual SPC'!$K$4="",'Data Entry'!$F2513='Visual SPC'!$K$4)),1,0))</f>
        <v/>
      </c>
      <c r="C2513">
        <f>C2512+B2513</f>
        <v/>
      </c>
      <c r="D2513">
        <f>IF(B2513=1,INDEX('Data Entry'!$H$5:$BE$10004,2513-4,'Visual SPC'!$B$3),"")</f>
        <v/>
      </c>
      <c r="E2513">
        <f>IF(B2513=1,D2513,E2512)</f>
        <v/>
      </c>
      <c r="F2513">
        <f>IF(AND(B2513=1,C2513&gt;1,E2512&lt;&gt;""),ABS(D2513-E2512),"")</f>
        <v/>
      </c>
    </row>
    <row r="2514">
      <c r="A2514" t="n">
        <v>2514</v>
      </c>
      <c r="B2514">
        <f>IF(INDEX('Data Entry'!$H$5:$BE$10004,2514-4,'Visual SPC'!$B$3)="",0,IF(AND(OR('Visual SPC'!$C$4="",'Data Entry'!$C2514&gt;='Visual SPC'!$C$4),OR('Visual SPC'!$E$4="",'Data Entry'!$C2514&lt;='Visual SPC'!$E$4),OR('Visual SPC'!$G$4="",'Data Entry'!$D2514='Visual SPC'!$G$4),OR('Visual SPC'!$I$4="",'Data Entry'!$E2514='Visual SPC'!$I$4),OR('Visual SPC'!$K$4="",'Data Entry'!$F2514='Visual SPC'!$K$4)),1,0))</f>
        <v/>
      </c>
      <c r="C2514">
        <f>C2513+B2514</f>
        <v/>
      </c>
      <c r="D2514">
        <f>IF(B2514=1,INDEX('Data Entry'!$H$5:$BE$10004,2514-4,'Visual SPC'!$B$3),"")</f>
        <v/>
      </c>
      <c r="E2514">
        <f>IF(B2514=1,D2514,E2513)</f>
        <v/>
      </c>
      <c r="F2514">
        <f>IF(AND(B2514=1,C2514&gt;1,E2513&lt;&gt;""),ABS(D2514-E2513),"")</f>
        <v/>
      </c>
    </row>
    <row r="2515">
      <c r="A2515" t="n">
        <v>2515</v>
      </c>
      <c r="B2515">
        <f>IF(INDEX('Data Entry'!$H$5:$BE$10004,2515-4,'Visual SPC'!$B$3)="",0,IF(AND(OR('Visual SPC'!$C$4="",'Data Entry'!$C2515&gt;='Visual SPC'!$C$4),OR('Visual SPC'!$E$4="",'Data Entry'!$C2515&lt;='Visual SPC'!$E$4),OR('Visual SPC'!$G$4="",'Data Entry'!$D2515='Visual SPC'!$G$4),OR('Visual SPC'!$I$4="",'Data Entry'!$E2515='Visual SPC'!$I$4),OR('Visual SPC'!$K$4="",'Data Entry'!$F2515='Visual SPC'!$K$4)),1,0))</f>
        <v/>
      </c>
      <c r="C2515">
        <f>C2514+B2515</f>
        <v/>
      </c>
      <c r="D2515">
        <f>IF(B2515=1,INDEX('Data Entry'!$H$5:$BE$10004,2515-4,'Visual SPC'!$B$3),"")</f>
        <v/>
      </c>
      <c r="E2515">
        <f>IF(B2515=1,D2515,E2514)</f>
        <v/>
      </c>
      <c r="F2515">
        <f>IF(AND(B2515=1,C2515&gt;1,E2514&lt;&gt;""),ABS(D2515-E2514),"")</f>
        <v/>
      </c>
    </row>
    <row r="2516">
      <c r="A2516" t="n">
        <v>2516</v>
      </c>
      <c r="B2516">
        <f>IF(INDEX('Data Entry'!$H$5:$BE$10004,2516-4,'Visual SPC'!$B$3)="",0,IF(AND(OR('Visual SPC'!$C$4="",'Data Entry'!$C2516&gt;='Visual SPC'!$C$4),OR('Visual SPC'!$E$4="",'Data Entry'!$C2516&lt;='Visual SPC'!$E$4),OR('Visual SPC'!$G$4="",'Data Entry'!$D2516='Visual SPC'!$G$4),OR('Visual SPC'!$I$4="",'Data Entry'!$E2516='Visual SPC'!$I$4),OR('Visual SPC'!$K$4="",'Data Entry'!$F2516='Visual SPC'!$K$4)),1,0))</f>
        <v/>
      </c>
      <c r="C2516">
        <f>C2515+B2516</f>
        <v/>
      </c>
      <c r="D2516">
        <f>IF(B2516=1,INDEX('Data Entry'!$H$5:$BE$10004,2516-4,'Visual SPC'!$B$3),"")</f>
        <v/>
      </c>
      <c r="E2516">
        <f>IF(B2516=1,D2516,E2515)</f>
        <v/>
      </c>
      <c r="F2516">
        <f>IF(AND(B2516=1,C2516&gt;1,E2515&lt;&gt;""),ABS(D2516-E2515),"")</f>
        <v/>
      </c>
    </row>
    <row r="2517">
      <c r="A2517" t="n">
        <v>2517</v>
      </c>
      <c r="B2517">
        <f>IF(INDEX('Data Entry'!$H$5:$BE$10004,2517-4,'Visual SPC'!$B$3)="",0,IF(AND(OR('Visual SPC'!$C$4="",'Data Entry'!$C2517&gt;='Visual SPC'!$C$4),OR('Visual SPC'!$E$4="",'Data Entry'!$C2517&lt;='Visual SPC'!$E$4),OR('Visual SPC'!$G$4="",'Data Entry'!$D2517='Visual SPC'!$G$4),OR('Visual SPC'!$I$4="",'Data Entry'!$E2517='Visual SPC'!$I$4),OR('Visual SPC'!$K$4="",'Data Entry'!$F2517='Visual SPC'!$K$4)),1,0))</f>
        <v/>
      </c>
      <c r="C2517">
        <f>C2516+B2517</f>
        <v/>
      </c>
      <c r="D2517">
        <f>IF(B2517=1,INDEX('Data Entry'!$H$5:$BE$10004,2517-4,'Visual SPC'!$B$3),"")</f>
        <v/>
      </c>
      <c r="E2517">
        <f>IF(B2517=1,D2517,E2516)</f>
        <v/>
      </c>
      <c r="F2517">
        <f>IF(AND(B2517=1,C2517&gt;1,E2516&lt;&gt;""),ABS(D2517-E2516),"")</f>
        <v/>
      </c>
    </row>
    <row r="2518">
      <c r="A2518" t="n">
        <v>2518</v>
      </c>
      <c r="B2518">
        <f>IF(INDEX('Data Entry'!$H$5:$BE$10004,2518-4,'Visual SPC'!$B$3)="",0,IF(AND(OR('Visual SPC'!$C$4="",'Data Entry'!$C2518&gt;='Visual SPC'!$C$4),OR('Visual SPC'!$E$4="",'Data Entry'!$C2518&lt;='Visual SPC'!$E$4),OR('Visual SPC'!$G$4="",'Data Entry'!$D2518='Visual SPC'!$G$4),OR('Visual SPC'!$I$4="",'Data Entry'!$E2518='Visual SPC'!$I$4),OR('Visual SPC'!$K$4="",'Data Entry'!$F2518='Visual SPC'!$K$4)),1,0))</f>
        <v/>
      </c>
      <c r="C2518">
        <f>C2517+B2518</f>
        <v/>
      </c>
      <c r="D2518">
        <f>IF(B2518=1,INDEX('Data Entry'!$H$5:$BE$10004,2518-4,'Visual SPC'!$B$3),"")</f>
        <v/>
      </c>
      <c r="E2518">
        <f>IF(B2518=1,D2518,E2517)</f>
        <v/>
      </c>
      <c r="F2518">
        <f>IF(AND(B2518=1,C2518&gt;1,E2517&lt;&gt;""),ABS(D2518-E2517),"")</f>
        <v/>
      </c>
    </row>
    <row r="2519">
      <c r="A2519" t="n">
        <v>2519</v>
      </c>
      <c r="B2519">
        <f>IF(INDEX('Data Entry'!$H$5:$BE$10004,2519-4,'Visual SPC'!$B$3)="",0,IF(AND(OR('Visual SPC'!$C$4="",'Data Entry'!$C2519&gt;='Visual SPC'!$C$4),OR('Visual SPC'!$E$4="",'Data Entry'!$C2519&lt;='Visual SPC'!$E$4),OR('Visual SPC'!$G$4="",'Data Entry'!$D2519='Visual SPC'!$G$4),OR('Visual SPC'!$I$4="",'Data Entry'!$E2519='Visual SPC'!$I$4),OR('Visual SPC'!$K$4="",'Data Entry'!$F2519='Visual SPC'!$K$4)),1,0))</f>
        <v/>
      </c>
      <c r="C2519">
        <f>C2518+B2519</f>
        <v/>
      </c>
      <c r="D2519">
        <f>IF(B2519=1,INDEX('Data Entry'!$H$5:$BE$10004,2519-4,'Visual SPC'!$B$3),"")</f>
        <v/>
      </c>
      <c r="E2519">
        <f>IF(B2519=1,D2519,E2518)</f>
        <v/>
      </c>
      <c r="F2519">
        <f>IF(AND(B2519=1,C2519&gt;1,E2518&lt;&gt;""),ABS(D2519-E2518),"")</f>
        <v/>
      </c>
    </row>
    <row r="2520">
      <c r="A2520" t="n">
        <v>2520</v>
      </c>
      <c r="B2520">
        <f>IF(INDEX('Data Entry'!$H$5:$BE$10004,2520-4,'Visual SPC'!$B$3)="",0,IF(AND(OR('Visual SPC'!$C$4="",'Data Entry'!$C2520&gt;='Visual SPC'!$C$4),OR('Visual SPC'!$E$4="",'Data Entry'!$C2520&lt;='Visual SPC'!$E$4),OR('Visual SPC'!$G$4="",'Data Entry'!$D2520='Visual SPC'!$G$4),OR('Visual SPC'!$I$4="",'Data Entry'!$E2520='Visual SPC'!$I$4),OR('Visual SPC'!$K$4="",'Data Entry'!$F2520='Visual SPC'!$K$4)),1,0))</f>
        <v/>
      </c>
      <c r="C2520">
        <f>C2519+B2520</f>
        <v/>
      </c>
      <c r="D2520">
        <f>IF(B2520=1,INDEX('Data Entry'!$H$5:$BE$10004,2520-4,'Visual SPC'!$B$3),"")</f>
        <v/>
      </c>
      <c r="E2520">
        <f>IF(B2520=1,D2520,E2519)</f>
        <v/>
      </c>
      <c r="F2520">
        <f>IF(AND(B2520=1,C2520&gt;1,E2519&lt;&gt;""),ABS(D2520-E2519),"")</f>
        <v/>
      </c>
    </row>
    <row r="2521">
      <c r="A2521" t="n">
        <v>2521</v>
      </c>
      <c r="B2521">
        <f>IF(INDEX('Data Entry'!$H$5:$BE$10004,2521-4,'Visual SPC'!$B$3)="",0,IF(AND(OR('Visual SPC'!$C$4="",'Data Entry'!$C2521&gt;='Visual SPC'!$C$4),OR('Visual SPC'!$E$4="",'Data Entry'!$C2521&lt;='Visual SPC'!$E$4),OR('Visual SPC'!$G$4="",'Data Entry'!$D2521='Visual SPC'!$G$4),OR('Visual SPC'!$I$4="",'Data Entry'!$E2521='Visual SPC'!$I$4),OR('Visual SPC'!$K$4="",'Data Entry'!$F2521='Visual SPC'!$K$4)),1,0))</f>
        <v/>
      </c>
      <c r="C2521">
        <f>C2520+B2521</f>
        <v/>
      </c>
      <c r="D2521">
        <f>IF(B2521=1,INDEX('Data Entry'!$H$5:$BE$10004,2521-4,'Visual SPC'!$B$3),"")</f>
        <v/>
      </c>
      <c r="E2521">
        <f>IF(B2521=1,D2521,E2520)</f>
        <v/>
      </c>
      <c r="F2521">
        <f>IF(AND(B2521=1,C2521&gt;1,E2520&lt;&gt;""),ABS(D2521-E2520),"")</f>
        <v/>
      </c>
    </row>
    <row r="2522">
      <c r="A2522" t="n">
        <v>2522</v>
      </c>
      <c r="B2522">
        <f>IF(INDEX('Data Entry'!$H$5:$BE$10004,2522-4,'Visual SPC'!$B$3)="",0,IF(AND(OR('Visual SPC'!$C$4="",'Data Entry'!$C2522&gt;='Visual SPC'!$C$4),OR('Visual SPC'!$E$4="",'Data Entry'!$C2522&lt;='Visual SPC'!$E$4),OR('Visual SPC'!$G$4="",'Data Entry'!$D2522='Visual SPC'!$G$4),OR('Visual SPC'!$I$4="",'Data Entry'!$E2522='Visual SPC'!$I$4),OR('Visual SPC'!$K$4="",'Data Entry'!$F2522='Visual SPC'!$K$4)),1,0))</f>
        <v/>
      </c>
      <c r="C2522">
        <f>C2521+B2522</f>
        <v/>
      </c>
      <c r="D2522">
        <f>IF(B2522=1,INDEX('Data Entry'!$H$5:$BE$10004,2522-4,'Visual SPC'!$B$3),"")</f>
        <v/>
      </c>
      <c r="E2522">
        <f>IF(B2522=1,D2522,E2521)</f>
        <v/>
      </c>
      <c r="F2522">
        <f>IF(AND(B2522=1,C2522&gt;1,E2521&lt;&gt;""),ABS(D2522-E2521),"")</f>
        <v/>
      </c>
    </row>
    <row r="2523">
      <c r="A2523" t="n">
        <v>2523</v>
      </c>
      <c r="B2523">
        <f>IF(INDEX('Data Entry'!$H$5:$BE$10004,2523-4,'Visual SPC'!$B$3)="",0,IF(AND(OR('Visual SPC'!$C$4="",'Data Entry'!$C2523&gt;='Visual SPC'!$C$4),OR('Visual SPC'!$E$4="",'Data Entry'!$C2523&lt;='Visual SPC'!$E$4),OR('Visual SPC'!$G$4="",'Data Entry'!$D2523='Visual SPC'!$G$4),OR('Visual SPC'!$I$4="",'Data Entry'!$E2523='Visual SPC'!$I$4),OR('Visual SPC'!$K$4="",'Data Entry'!$F2523='Visual SPC'!$K$4)),1,0))</f>
        <v/>
      </c>
      <c r="C2523">
        <f>C2522+B2523</f>
        <v/>
      </c>
      <c r="D2523">
        <f>IF(B2523=1,INDEX('Data Entry'!$H$5:$BE$10004,2523-4,'Visual SPC'!$B$3),"")</f>
        <v/>
      </c>
      <c r="E2523">
        <f>IF(B2523=1,D2523,E2522)</f>
        <v/>
      </c>
      <c r="F2523">
        <f>IF(AND(B2523=1,C2523&gt;1,E2522&lt;&gt;""),ABS(D2523-E2522),"")</f>
        <v/>
      </c>
    </row>
    <row r="2524">
      <c r="A2524" t="n">
        <v>2524</v>
      </c>
      <c r="B2524">
        <f>IF(INDEX('Data Entry'!$H$5:$BE$10004,2524-4,'Visual SPC'!$B$3)="",0,IF(AND(OR('Visual SPC'!$C$4="",'Data Entry'!$C2524&gt;='Visual SPC'!$C$4),OR('Visual SPC'!$E$4="",'Data Entry'!$C2524&lt;='Visual SPC'!$E$4),OR('Visual SPC'!$G$4="",'Data Entry'!$D2524='Visual SPC'!$G$4),OR('Visual SPC'!$I$4="",'Data Entry'!$E2524='Visual SPC'!$I$4),OR('Visual SPC'!$K$4="",'Data Entry'!$F2524='Visual SPC'!$K$4)),1,0))</f>
        <v/>
      </c>
      <c r="C2524">
        <f>C2523+B2524</f>
        <v/>
      </c>
      <c r="D2524">
        <f>IF(B2524=1,INDEX('Data Entry'!$H$5:$BE$10004,2524-4,'Visual SPC'!$B$3),"")</f>
        <v/>
      </c>
      <c r="E2524">
        <f>IF(B2524=1,D2524,E2523)</f>
        <v/>
      </c>
      <c r="F2524">
        <f>IF(AND(B2524=1,C2524&gt;1,E2523&lt;&gt;""),ABS(D2524-E2523),"")</f>
        <v/>
      </c>
    </row>
    <row r="2525">
      <c r="A2525" t="n">
        <v>2525</v>
      </c>
      <c r="B2525">
        <f>IF(INDEX('Data Entry'!$H$5:$BE$10004,2525-4,'Visual SPC'!$B$3)="",0,IF(AND(OR('Visual SPC'!$C$4="",'Data Entry'!$C2525&gt;='Visual SPC'!$C$4),OR('Visual SPC'!$E$4="",'Data Entry'!$C2525&lt;='Visual SPC'!$E$4),OR('Visual SPC'!$G$4="",'Data Entry'!$D2525='Visual SPC'!$G$4),OR('Visual SPC'!$I$4="",'Data Entry'!$E2525='Visual SPC'!$I$4),OR('Visual SPC'!$K$4="",'Data Entry'!$F2525='Visual SPC'!$K$4)),1,0))</f>
        <v/>
      </c>
      <c r="C2525">
        <f>C2524+B2525</f>
        <v/>
      </c>
      <c r="D2525">
        <f>IF(B2525=1,INDEX('Data Entry'!$H$5:$BE$10004,2525-4,'Visual SPC'!$B$3),"")</f>
        <v/>
      </c>
      <c r="E2525">
        <f>IF(B2525=1,D2525,E2524)</f>
        <v/>
      </c>
      <c r="F2525">
        <f>IF(AND(B2525=1,C2525&gt;1,E2524&lt;&gt;""),ABS(D2525-E2524),"")</f>
        <v/>
      </c>
    </row>
    <row r="2526">
      <c r="A2526" t="n">
        <v>2526</v>
      </c>
      <c r="B2526">
        <f>IF(INDEX('Data Entry'!$H$5:$BE$10004,2526-4,'Visual SPC'!$B$3)="",0,IF(AND(OR('Visual SPC'!$C$4="",'Data Entry'!$C2526&gt;='Visual SPC'!$C$4),OR('Visual SPC'!$E$4="",'Data Entry'!$C2526&lt;='Visual SPC'!$E$4),OR('Visual SPC'!$G$4="",'Data Entry'!$D2526='Visual SPC'!$G$4),OR('Visual SPC'!$I$4="",'Data Entry'!$E2526='Visual SPC'!$I$4),OR('Visual SPC'!$K$4="",'Data Entry'!$F2526='Visual SPC'!$K$4)),1,0))</f>
        <v/>
      </c>
      <c r="C2526">
        <f>C2525+B2526</f>
        <v/>
      </c>
      <c r="D2526">
        <f>IF(B2526=1,INDEX('Data Entry'!$H$5:$BE$10004,2526-4,'Visual SPC'!$B$3),"")</f>
        <v/>
      </c>
      <c r="E2526">
        <f>IF(B2526=1,D2526,E2525)</f>
        <v/>
      </c>
      <c r="F2526">
        <f>IF(AND(B2526=1,C2526&gt;1,E2525&lt;&gt;""),ABS(D2526-E2525),"")</f>
        <v/>
      </c>
    </row>
    <row r="2527">
      <c r="A2527" t="n">
        <v>2527</v>
      </c>
      <c r="B2527">
        <f>IF(INDEX('Data Entry'!$H$5:$BE$10004,2527-4,'Visual SPC'!$B$3)="",0,IF(AND(OR('Visual SPC'!$C$4="",'Data Entry'!$C2527&gt;='Visual SPC'!$C$4),OR('Visual SPC'!$E$4="",'Data Entry'!$C2527&lt;='Visual SPC'!$E$4),OR('Visual SPC'!$G$4="",'Data Entry'!$D2527='Visual SPC'!$G$4),OR('Visual SPC'!$I$4="",'Data Entry'!$E2527='Visual SPC'!$I$4),OR('Visual SPC'!$K$4="",'Data Entry'!$F2527='Visual SPC'!$K$4)),1,0))</f>
        <v/>
      </c>
      <c r="C2527">
        <f>C2526+B2527</f>
        <v/>
      </c>
      <c r="D2527">
        <f>IF(B2527=1,INDEX('Data Entry'!$H$5:$BE$10004,2527-4,'Visual SPC'!$B$3),"")</f>
        <v/>
      </c>
      <c r="E2527">
        <f>IF(B2527=1,D2527,E2526)</f>
        <v/>
      </c>
      <c r="F2527">
        <f>IF(AND(B2527=1,C2527&gt;1,E2526&lt;&gt;""),ABS(D2527-E2526),"")</f>
        <v/>
      </c>
    </row>
    <row r="2528">
      <c r="A2528" t="n">
        <v>2528</v>
      </c>
      <c r="B2528">
        <f>IF(INDEX('Data Entry'!$H$5:$BE$10004,2528-4,'Visual SPC'!$B$3)="",0,IF(AND(OR('Visual SPC'!$C$4="",'Data Entry'!$C2528&gt;='Visual SPC'!$C$4),OR('Visual SPC'!$E$4="",'Data Entry'!$C2528&lt;='Visual SPC'!$E$4),OR('Visual SPC'!$G$4="",'Data Entry'!$D2528='Visual SPC'!$G$4),OR('Visual SPC'!$I$4="",'Data Entry'!$E2528='Visual SPC'!$I$4),OR('Visual SPC'!$K$4="",'Data Entry'!$F2528='Visual SPC'!$K$4)),1,0))</f>
        <v/>
      </c>
      <c r="C2528">
        <f>C2527+B2528</f>
        <v/>
      </c>
      <c r="D2528">
        <f>IF(B2528=1,INDEX('Data Entry'!$H$5:$BE$10004,2528-4,'Visual SPC'!$B$3),"")</f>
        <v/>
      </c>
      <c r="E2528">
        <f>IF(B2528=1,D2528,E2527)</f>
        <v/>
      </c>
      <c r="F2528">
        <f>IF(AND(B2528=1,C2528&gt;1,E2527&lt;&gt;""),ABS(D2528-E2527),"")</f>
        <v/>
      </c>
    </row>
    <row r="2529">
      <c r="A2529" t="n">
        <v>2529</v>
      </c>
      <c r="B2529">
        <f>IF(INDEX('Data Entry'!$H$5:$BE$10004,2529-4,'Visual SPC'!$B$3)="",0,IF(AND(OR('Visual SPC'!$C$4="",'Data Entry'!$C2529&gt;='Visual SPC'!$C$4),OR('Visual SPC'!$E$4="",'Data Entry'!$C2529&lt;='Visual SPC'!$E$4),OR('Visual SPC'!$G$4="",'Data Entry'!$D2529='Visual SPC'!$G$4),OR('Visual SPC'!$I$4="",'Data Entry'!$E2529='Visual SPC'!$I$4),OR('Visual SPC'!$K$4="",'Data Entry'!$F2529='Visual SPC'!$K$4)),1,0))</f>
        <v/>
      </c>
      <c r="C2529">
        <f>C2528+B2529</f>
        <v/>
      </c>
      <c r="D2529">
        <f>IF(B2529=1,INDEX('Data Entry'!$H$5:$BE$10004,2529-4,'Visual SPC'!$B$3),"")</f>
        <v/>
      </c>
      <c r="E2529">
        <f>IF(B2529=1,D2529,E2528)</f>
        <v/>
      </c>
      <c r="F2529">
        <f>IF(AND(B2529=1,C2529&gt;1,E2528&lt;&gt;""),ABS(D2529-E2528),"")</f>
        <v/>
      </c>
    </row>
    <row r="2530">
      <c r="A2530" t="n">
        <v>2530</v>
      </c>
      <c r="B2530">
        <f>IF(INDEX('Data Entry'!$H$5:$BE$10004,2530-4,'Visual SPC'!$B$3)="",0,IF(AND(OR('Visual SPC'!$C$4="",'Data Entry'!$C2530&gt;='Visual SPC'!$C$4),OR('Visual SPC'!$E$4="",'Data Entry'!$C2530&lt;='Visual SPC'!$E$4),OR('Visual SPC'!$G$4="",'Data Entry'!$D2530='Visual SPC'!$G$4),OR('Visual SPC'!$I$4="",'Data Entry'!$E2530='Visual SPC'!$I$4),OR('Visual SPC'!$K$4="",'Data Entry'!$F2530='Visual SPC'!$K$4)),1,0))</f>
        <v/>
      </c>
      <c r="C2530">
        <f>C2529+B2530</f>
        <v/>
      </c>
      <c r="D2530">
        <f>IF(B2530=1,INDEX('Data Entry'!$H$5:$BE$10004,2530-4,'Visual SPC'!$B$3),"")</f>
        <v/>
      </c>
      <c r="E2530">
        <f>IF(B2530=1,D2530,E2529)</f>
        <v/>
      </c>
      <c r="F2530">
        <f>IF(AND(B2530=1,C2530&gt;1,E2529&lt;&gt;""),ABS(D2530-E2529),"")</f>
        <v/>
      </c>
    </row>
    <row r="2531">
      <c r="A2531" t="n">
        <v>2531</v>
      </c>
      <c r="B2531">
        <f>IF(INDEX('Data Entry'!$H$5:$BE$10004,2531-4,'Visual SPC'!$B$3)="",0,IF(AND(OR('Visual SPC'!$C$4="",'Data Entry'!$C2531&gt;='Visual SPC'!$C$4),OR('Visual SPC'!$E$4="",'Data Entry'!$C2531&lt;='Visual SPC'!$E$4),OR('Visual SPC'!$G$4="",'Data Entry'!$D2531='Visual SPC'!$G$4),OR('Visual SPC'!$I$4="",'Data Entry'!$E2531='Visual SPC'!$I$4),OR('Visual SPC'!$K$4="",'Data Entry'!$F2531='Visual SPC'!$K$4)),1,0))</f>
        <v/>
      </c>
      <c r="C2531">
        <f>C2530+B2531</f>
        <v/>
      </c>
      <c r="D2531">
        <f>IF(B2531=1,INDEX('Data Entry'!$H$5:$BE$10004,2531-4,'Visual SPC'!$B$3),"")</f>
        <v/>
      </c>
      <c r="E2531">
        <f>IF(B2531=1,D2531,E2530)</f>
        <v/>
      </c>
      <c r="F2531">
        <f>IF(AND(B2531=1,C2531&gt;1,E2530&lt;&gt;""),ABS(D2531-E2530),"")</f>
        <v/>
      </c>
    </row>
    <row r="2532">
      <c r="A2532" t="n">
        <v>2532</v>
      </c>
      <c r="B2532">
        <f>IF(INDEX('Data Entry'!$H$5:$BE$10004,2532-4,'Visual SPC'!$B$3)="",0,IF(AND(OR('Visual SPC'!$C$4="",'Data Entry'!$C2532&gt;='Visual SPC'!$C$4),OR('Visual SPC'!$E$4="",'Data Entry'!$C2532&lt;='Visual SPC'!$E$4),OR('Visual SPC'!$G$4="",'Data Entry'!$D2532='Visual SPC'!$G$4),OR('Visual SPC'!$I$4="",'Data Entry'!$E2532='Visual SPC'!$I$4),OR('Visual SPC'!$K$4="",'Data Entry'!$F2532='Visual SPC'!$K$4)),1,0))</f>
        <v/>
      </c>
      <c r="C2532">
        <f>C2531+B2532</f>
        <v/>
      </c>
      <c r="D2532">
        <f>IF(B2532=1,INDEX('Data Entry'!$H$5:$BE$10004,2532-4,'Visual SPC'!$B$3),"")</f>
        <v/>
      </c>
      <c r="E2532">
        <f>IF(B2532=1,D2532,E2531)</f>
        <v/>
      </c>
      <c r="F2532">
        <f>IF(AND(B2532=1,C2532&gt;1,E2531&lt;&gt;""),ABS(D2532-E2531),"")</f>
        <v/>
      </c>
    </row>
    <row r="2533">
      <c r="A2533" t="n">
        <v>2533</v>
      </c>
      <c r="B2533">
        <f>IF(INDEX('Data Entry'!$H$5:$BE$10004,2533-4,'Visual SPC'!$B$3)="",0,IF(AND(OR('Visual SPC'!$C$4="",'Data Entry'!$C2533&gt;='Visual SPC'!$C$4),OR('Visual SPC'!$E$4="",'Data Entry'!$C2533&lt;='Visual SPC'!$E$4),OR('Visual SPC'!$G$4="",'Data Entry'!$D2533='Visual SPC'!$G$4),OR('Visual SPC'!$I$4="",'Data Entry'!$E2533='Visual SPC'!$I$4),OR('Visual SPC'!$K$4="",'Data Entry'!$F2533='Visual SPC'!$K$4)),1,0))</f>
        <v/>
      </c>
      <c r="C2533">
        <f>C2532+B2533</f>
        <v/>
      </c>
      <c r="D2533">
        <f>IF(B2533=1,INDEX('Data Entry'!$H$5:$BE$10004,2533-4,'Visual SPC'!$B$3),"")</f>
        <v/>
      </c>
      <c r="E2533">
        <f>IF(B2533=1,D2533,E2532)</f>
        <v/>
      </c>
      <c r="F2533">
        <f>IF(AND(B2533=1,C2533&gt;1,E2532&lt;&gt;""),ABS(D2533-E2532),"")</f>
        <v/>
      </c>
    </row>
    <row r="2534">
      <c r="A2534" t="n">
        <v>2534</v>
      </c>
      <c r="B2534">
        <f>IF(INDEX('Data Entry'!$H$5:$BE$10004,2534-4,'Visual SPC'!$B$3)="",0,IF(AND(OR('Visual SPC'!$C$4="",'Data Entry'!$C2534&gt;='Visual SPC'!$C$4),OR('Visual SPC'!$E$4="",'Data Entry'!$C2534&lt;='Visual SPC'!$E$4),OR('Visual SPC'!$G$4="",'Data Entry'!$D2534='Visual SPC'!$G$4),OR('Visual SPC'!$I$4="",'Data Entry'!$E2534='Visual SPC'!$I$4),OR('Visual SPC'!$K$4="",'Data Entry'!$F2534='Visual SPC'!$K$4)),1,0))</f>
        <v/>
      </c>
      <c r="C2534">
        <f>C2533+B2534</f>
        <v/>
      </c>
      <c r="D2534">
        <f>IF(B2534=1,INDEX('Data Entry'!$H$5:$BE$10004,2534-4,'Visual SPC'!$B$3),"")</f>
        <v/>
      </c>
      <c r="E2534">
        <f>IF(B2534=1,D2534,E2533)</f>
        <v/>
      </c>
      <c r="F2534">
        <f>IF(AND(B2534=1,C2534&gt;1,E2533&lt;&gt;""),ABS(D2534-E2533),"")</f>
        <v/>
      </c>
    </row>
    <row r="2535">
      <c r="A2535" t="n">
        <v>2535</v>
      </c>
      <c r="B2535">
        <f>IF(INDEX('Data Entry'!$H$5:$BE$10004,2535-4,'Visual SPC'!$B$3)="",0,IF(AND(OR('Visual SPC'!$C$4="",'Data Entry'!$C2535&gt;='Visual SPC'!$C$4),OR('Visual SPC'!$E$4="",'Data Entry'!$C2535&lt;='Visual SPC'!$E$4),OR('Visual SPC'!$G$4="",'Data Entry'!$D2535='Visual SPC'!$G$4),OR('Visual SPC'!$I$4="",'Data Entry'!$E2535='Visual SPC'!$I$4),OR('Visual SPC'!$K$4="",'Data Entry'!$F2535='Visual SPC'!$K$4)),1,0))</f>
        <v/>
      </c>
      <c r="C2535">
        <f>C2534+B2535</f>
        <v/>
      </c>
      <c r="D2535">
        <f>IF(B2535=1,INDEX('Data Entry'!$H$5:$BE$10004,2535-4,'Visual SPC'!$B$3),"")</f>
        <v/>
      </c>
      <c r="E2535">
        <f>IF(B2535=1,D2535,E2534)</f>
        <v/>
      </c>
      <c r="F2535">
        <f>IF(AND(B2535=1,C2535&gt;1,E2534&lt;&gt;""),ABS(D2535-E2534),"")</f>
        <v/>
      </c>
    </row>
    <row r="2536">
      <c r="A2536" t="n">
        <v>2536</v>
      </c>
      <c r="B2536">
        <f>IF(INDEX('Data Entry'!$H$5:$BE$10004,2536-4,'Visual SPC'!$B$3)="",0,IF(AND(OR('Visual SPC'!$C$4="",'Data Entry'!$C2536&gt;='Visual SPC'!$C$4),OR('Visual SPC'!$E$4="",'Data Entry'!$C2536&lt;='Visual SPC'!$E$4),OR('Visual SPC'!$G$4="",'Data Entry'!$D2536='Visual SPC'!$G$4),OR('Visual SPC'!$I$4="",'Data Entry'!$E2536='Visual SPC'!$I$4),OR('Visual SPC'!$K$4="",'Data Entry'!$F2536='Visual SPC'!$K$4)),1,0))</f>
        <v/>
      </c>
      <c r="C2536">
        <f>C2535+B2536</f>
        <v/>
      </c>
      <c r="D2536">
        <f>IF(B2536=1,INDEX('Data Entry'!$H$5:$BE$10004,2536-4,'Visual SPC'!$B$3),"")</f>
        <v/>
      </c>
      <c r="E2536">
        <f>IF(B2536=1,D2536,E2535)</f>
        <v/>
      </c>
      <c r="F2536">
        <f>IF(AND(B2536=1,C2536&gt;1,E2535&lt;&gt;""),ABS(D2536-E2535),"")</f>
        <v/>
      </c>
    </row>
    <row r="2537">
      <c r="A2537" t="n">
        <v>2537</v>
      </c>
      <c r="B2537">
        <f>IF(INDEX('Data Entry'!$H$5:$BE$10004,2537-4,'Visual SPC'!$B$3)="",0,IF(AND(OR('Visual SPC'!$C$4="",'Data Entry'!$C2537&gt;='Visual SPC'!$C$4),OR('Visual SPC'!$E$4="",'Data Entry'!$C2537&lt;='Visual SPC'!$E$4),OR('Visual SPC'!$G$4="",'Data Entry'!$D2537='Visual SPC'!$G$4),OR('Visual SPC'!$I$4="",'Data Entry'!$E2537='Visual SPC'!$I$4),OR('Visual SPC'!$K$4="",'Data Entry'!$F2537='Visual SPC'!$K$4)),1,0))</f>
        <v/>
      </c>
      <c r="C2537">
        <f>C2536+B2537</f>
        <v/>
      </c>
      <c r="D2537">
        <f>IF(B2537=1,INDEX('Data Entry'!$H$5:$BE$10004,2537-4,'Visual SPC'!$B$3),"")</f>
        <v/>
      </c>
      <c r="E2537">
        <f>IF(B2537=1,D2537,E2536)</f>
        <v/>
      </c>
      <c r="F2537">
        <f>IF(AND(B2537=1,C2537&gt;1,E2536&lt;&gt;""),ABS(D2537-E2536),"")</f>
        <v/>
      </c>
    </row>
    <row r="2538">
      <c r="A2538" t="n">
        <v>2538</v>
      </c>
      <c r="B2538">
        <f>IF(INDEX('Data Entry'!$H$5:$BE$10004,2538-4,'Visual SPC'!$B$3)="",0,IF(AND(OR('Visual SPC'!$C$4="",'Data Entry'!$C2538&gt;='Visual SPC'!$C$4),OR('Visual SPC'!$E$4="",'Data Entry'!$C2538&lt;='Visual SPC'!$E$4),OR('Visual SPC'!$G$4="",'Data Entry'!$D2538='Visual SPC'!$G$4),OR('Visual SPC'!$I$4="",'Data Entry'!$E2538='Visual SPC'!$I$4),OR('Visual SPC'!$K$4="",'Data Entry'!$F2538='Visual SPC'!$K$4)),1,0))</f>
        <v/>
      </c>
      <c r="C2538">
        <f>C2537+B2538</f>
        <v/>
      </c>
      <c r="D2538">
        <f>IF(B2538=1,INDEX('Data Entry'!$H$5:$BE$10004,2538-4,'Visual SPC'!$B$3),"")</f>
        <v/>
      </c>
      <c r="E2538">
        <f>IF(B2538=1,D2538,E2537)</f>
        <v/>
      </c>
      <c r="F2538">
        <f>IF(AND(B2538=1,C2538&gt;1,E2537&lt;&gt;""),ABS(D2538-E2537),"")</f>
        <v/>
      </c>
    </row>
    <row r="2539">
      <c r="A2539" t="n">
        <v>2539</v>
      </c>
      <c r="B2539">
        <f>IF(INDEX('Data Entry'!$H$5:$BE$10004,2539-4,'Visual SPC'!$B$3)="",0,IF(AND(OR('Visual SPC'!$C$4="",'Data Entry'!$C2539&gt;='Visual SPC'!$C$4),OR('Visual SPC'!$E$4="",'Data Entry'!$C2539&lt;='Visual SPC'!$E$4),OR('Visual SPC'!$G$4="",'Data Entry'!$D2539='Visual SPC'!$G$4),OR('Visual SPC'!$I$4="",'Data Entry'!$E2539='Visual SPC'!$I$4),OR('Visual SPC'!$K$4="",'Data Entry'!$F2539='Visual SPC'!$K$4)),1,0))</f>
        <v/>
      </c>
      <c r="C2539">
        <f>C2538+B2539</f>
        <v/>
      </c>
      <c r="D2539">
        <f>IF(B2539=1,INDEX('Data Entry'!$H$5:$BE$10004,2539-4,'Visual SPC'!$B$3),"")</f>
        <v/>
      </c>
      <c r="E2539">
        <f>IF(B2539=1,D2539,E2538)</f>
        <v/>
      </c>
      <c r="F2539">
        <f>IF(AND(B2539=1,C2539&gt;1,E2538&lt;&gt;""),ABS(D2539-E2538),"")</f>
        <v/>
      </c>
    </row>
    <row r="2540">
      <c r="A2540" t="n">
        <v>2540</v>
      </c>
      <c r="B2540">
        <f>IF(INDEX('Data Entry'!$H$5:$BE$10004,2540-4,'Visual SPC'!$B$3)="",0,IF(AND(OR('Visual SPC'!$C$4="",'Data Entry'!$C2540&gt;='Visual SPC'!$C$4),OR('Visual SPC'!$E$4="",'Data Entry'!$C2540&lt;='Visual SPC'!$E$4),OR('Visual SPC'!$G$4="",'Data Entry'!$D2540='Visual SPC'!$G$4),OR('Visual SPC'!$I$4="",'Data Entry'!$E2540='Visual SPC'!$I$4),OR('Visual SPC'!$K$4="",'Data Entry'!$F2540='Visual SPC'!$K$4)),1,0))</f>
        <v/>
      </c>
      <c r="C2540">
        <f>C2539+B2540</f>
        <v/>
      </c>
      <c r="D2540">
        <f>IF(B2540=1,INDEX('Data Entry'!$H$5:$BE$10004,2540-4,'Visual SPC'!$B$3),"")</f>
        <v/>
      </c>
      <c r="E2540">
        <f>IF(B2540=1,D2540,E2539)</f>
        <v/>
      </c>
      <c r="F2540">
        <f>IF(AND(B2540=1,C2540&gt;1,E2539&lt;&gt;""),ABS(D2540-E2539),"")</f>
        <v/>
      </c>
    </row>
    <row r="2541">
      <c r="A2541" t="n">
        <v>2541</v>
      </c>
      <c r="B2541">
        <f>IF(INDEX('Data Entry'!$H$5:$BE$10004,2541-4,'Visual SPC'!$B$3)="",0,IF(AND(OR('Visual SPC'!$C$4="",'Data Entry'!$C2541&gt;='Visual SPC'!$C$4),OR('Visual SPC'!$E$4="",'Data Entry'!$C2541&lt;='Visual SPC'!$E$4),OR('Visual SPC'!$G$4="",'Data Entry'!$D2541='Visual SPC'!$G$4),OR('Visual SPC'!$I$4="",'Data Entry'!$E2541='Visual SPC'!$I$4),OR('Visual SPC'!$K$4="",'Data Entry'!$F2541='Visual SPC'!$K$4)),1,0))</f>
        <v/>
      </c>
      <c r="C2541">
        <f>C2540+B2541</f>
        <v/>
      </c>
      <c r="D2541">
        <f>IF(B2541=1,INDEX('Data Entry'!$H$5:$BE$10004,2541-4,'Visual SPC'!$B$3),"")</f>
        <v/>
      </c>
      <c r="E2541">
        <f>IF(B2541=1,D2541,E2540)</f>
        <v/>
      </c>
      <c r="F2541">
        <f>IF(AND(B2541=1,C2541&gt;1,E2540&lt;&gt;""),ABS(D2541-E2540),"")</f>
        <v/>
      </c>
    </row>
    <row r="2542">
      <c r="A2542" t="n">
        <v>2542</v>
      </c>
      <c r="B2542">
        <f>IF(INDEX('Data Entry'!$H$5:$BE$10004,2542-4,'Visual SPC'!$B$3)="",0,IF(AND(OR('Visual SPC'!$C$4="",'Data Entry'!$C2542&gt;='Visual SPC'!$C$4),OR('Visual SPC'!$E$4="",'Data Entry'!$C2542&lt;='Visual SPC'!$E$4),OR('Visual SPC'!$G$4="",'Data Entry'!$D2542='Visual SPC'!$G$4),OR('Visual SPC'!$I$4="",'Data Entry'!$E2542='Visual SPC'!$I$4),OR('Visual SPC'!$K$4="",'Data Entry'!$F2542='Visual SPC'!$K$4)),1,0))</f>
        <v/>
      </c>
      <c r="C2542">
        <f>C2541+B2542</f>
        <v/>
      </c>
      <c r="D2542">
        <f>IF(B2542=1,INDEX('Data Entry'!$H$5:$BE$10004,2542-4,'Visual SPC'!$B$3),"")</f>
        <v/>
      </c>
      <c r="E2542">
        <f>IF(B2542=1,D2542,E2541)</f>
        <v/>
      </c>
      <c r="F2542">
        <f>IF(AND(B2542=1,C2542&gt;1,E2541&lt;&gt;""),ABS(D2542-E2541),"")</f>
        <v/>
      </c>
    </row>
    <row r="2543">
      <c r="A2543" t="n">
        <v>2543</v>
      </c>
      <c r="B2543">
        <f>IF(INDEX('Data Entry'!$H$5:$BE$10004,2543-4,'Visual SPC'!$B$3)="",0,IF(AND(OR('Visual SPC'!$C$4="",'Data Entry'!$C2543&gt;='Visual SPC'!$C$4),OR('Visual SPC'!$E$4="",'Data Entry'!$C2543&lt;='Visual SPC'!$E$4),OR('Visual SPC'!$G$4="",'Data Entry'!$D2543='Visual SPC'!$G$4),OR('Visual SPC'!$I$4="",'Data Entry'!$E2543='Visual SPC'!$I$4),OR('Visual SPC'!$K$4="",'Data Entry'!$F2543='Visual SPC'!$K$4)),1,0))</f>
        <v/>
      </c>
      <c r="C2543">
        <f>C2542+B2543</f>
        <v/>
      </c>
      <c r="D2543">
        <f>IF(B2543=1,INDEX('Data Entry'!$H$5:$BE$10004,2543-4,'Visual SPC'!$B$3),"")</f>
        <v/>
      </c>
      <c r="E2543">
        <f>IF(B2543=1,D2543,E2542)</f>
        <v/>
      </c>
      <c r="F2543">
        <f>IF(AND(B2543=1,C2543&gt;1,E2542&lt;&gt;""),ABS(D2543-E2542),"")</f>
        <v/>
      </c>
    </row>
    <row r="2544">
      <c r="A2544" t="n">
        <v>2544</v>
      </c>
      <c r="B2544">
        <f>IF(INDEX('Data Entry'!$H$5:$BE$10004,2544-4,'Visual SPC'!$B$3)="",0,IF(AND(OR('Visual SPC'!$C$4="",'Data Entry'!$C2544&gt;='Visual SPC'!$C$4),OR('Visual SPC'!$E$4="",'Data Entry'!$C2544&lt;='Visual SPC'!$E$4),OR('Visual SPC'!$G$4="",'Data Entry'!$D2544='Visual SPC'!$G$4),OR('Visual SPC'!$I$4="",'Data Entry'!$E2544='Visual SPC'!$I$4),OR('Visual SPC'!$K$4="",'Data Entry'!$F2544='Visual SPC'!$K$4)),1,0))</f>
        <v/>
      </c>
      <c r="C2544">
        <f>C2543+B2544</f>
        <v/>
      </c>
      <c r="D2544">
        <f>IF(B2544=1,INDEX('Data Entry'!$H$5:$BE$10004,2544-4,'Visual SPC'!$B$3),"")</f>
        <v/>
      </c>
      <c r="E2544">
        <f>IF(B2544=1,D2544,E2543)</f>
        <v/>
      </c>
      <c r="F2544">
        <f>IF(AND(B2544=1,C2544&gt;1,E2543&lt;&gt;""),ABS(D2544-E2543),"")</f>
        <v/>
      </c>
    </row>
    <row r="2545">
      <c r="A2545" t="n">
        <v>2545</v>
      </c>
      <c r="B2545">
        <f>IF(INDEX('Data Entry'!$H$5:$BE$10004,2545-4,'Visual SPC'!$B$3)="",0,IF(AND(OR('Visual SPC'!$C$4="",'Data Entry'!$C2545&gt;='Visual SPC'!$C$4),OR('Visual SPC'!$E$4="",'Data Entry'!$C2545&lt;='Visual SPC'!$E$4),OR('Visual SPC'!$G$4="",'Data Entry'!$D2545='Visual SPC'!$G$4),OR('Visual SPC'!$I$4="",'Data Entry'!$E2545='Visual SPC'!$I$4),OR('Visual SPC'!$K$4="",'Data Entry'!$F2545='Visual SPC'!$K$4)),1,0))</f>
        <v/>
      </c>
      <c r="C2545">
        <f>C2544+B2545</f>
        <v/>
      </c>
      <c r="D2545">
        <f>IF(B2545=1,INDEX('Data Entry'!$H$5:$BE$10004,2545-4,'Visual SPC'!$B$3),"")</f>
        <v/>
      </c>
      <c r="E2545">
        <f>IF(B2545=1,D2545,E2544)</f>
        <v/>
      </c>
      <c r="F2545">
        <f>IF(AND(B2545=1,C2545&gt;1,E2544&lt;&gt;""),ABS(D2545-E2544),"")</f>
        <v/>
      </c>
    </row>
    <row r="2546">
      <c r="A2546" t="n">
        <v>2546</v>
      </c>
      <c r="B2546">
        <f>IF(INDEX('Data Entry'!$H$5:$BE$10004,2546-4,'Visual SPC'!$B$3)="",0,IF(AND(OR('Visual SPC'!$C$4="",'Data Entry'!$C2546&gt;='Visual SPC'!$C$4),OR('Visual SPC'!$E$4="",'Data Entry'!$C2546&lt;='Visual SPC'!$E$4),OR('Visual SPC'!$G$4="",'Data Entry'!$D2546='Visual SPC'!$G$4),OR('Visual SPC'!$I$4="",'Data Entry'!$E2546='Visual SPC'!$I$4),OR('Visual SPC'!$K$4="",'Data Entry'!$F2546='Visual SPC'!$K$4)),1,0))</f>
        <v/>
      </c>
      <c r="C2546">
        <f>C2545+B2546</f>
        <v/>
      </c>
      <c r="D2546">
        <f>IF(B2546=1,INDEX('Data Entry'!$H$5:$BE$10004,2546-4,'Visual SPC'!$B$3),"")</f>
        <v/>
      </c>
      <c r="E2546">
        <f>IF(B2546=1,D2546,E2545)</f>
        <v/>
      </c>
      <c r="F2546">
        <f>IF(AND(B2546=1,C2546&gt;1,E2545&lt;&gt;""),ABS(D2546-E2545),"")</f>
        <v/>
      </c>
    </row>
    <row r="2547">
      <c r="A2547" t="n">
        <v>2547</v>
      </c>
      <c r="B2547">
        <f>IF(INDEX('Data Entry'!$H$5:$BE$10004,2547-4,'Visual SPC'!$B$3)="",0,IF(AND(OR('Visual SPC'!$C$4="",'Data Entry'!$C2547&gt;='Visual SPC'!$C$4),OR('Visual SPC'!$E$4="",'Data Entry'!$C2547&lt;='Visual SPC'!$E$4),OR('Visual SPC'!$G$4="",'Data Entry'!$D2547='Visual SPC'!$G$4),OR('Visual SPC'!$I$4="",'Data Entry'!$E2547='Visual SPC'!$I$4),OR('Visual SPC'!$K$4="",'Data Entry'!$F2547='Visual SPC'!$K$4)),1,0))</f>
        <v/>
      </c>
      <c r="C2547">
        <f>C2546+B2547</f>
        <v/>
      </c>
      <c r="D2547">
        <f>IF(B2547=1,INDEX('Data Entry'!$H$5:$BE$10004,2547-4,'Visual SPC'!$B$3),"")</f>
        <v/>
      </c>
      <c r="E2547">
        <f>IF(B2547=1,D2547,E2546)</f>
        <v/>
      </c>
      <c r="F2547">
        <f>IF(AND(B2547=1,C2547&gt;1,E2546&lt;&gt;""),ABS(D2547-E2546),"")</f>
        <v/>
      </c>
    </row>
    <row r="2548">
      <c r="A2548" t="n">
        <v>2548</v>
      </c>
      <c r="B2548">
        <f>IF(INDEX('Data Entry'!$H$5:$BE$10004,2548-4,'Visual SPC'!$B$3)="",0,IF(AND(OR('Visual SPC'!$C$4="",'Data Entry'!$C2548&gt;='Visual SPC'!$C$4),OR('Visual SPC'!$E$4="",'Data Entry'!$C2548&lt;='Visual SPC'!$E$4),OR('Visual SPC'!$G$4="",'Data Entry'!$D2548='Visual SPC'!$G$4),OR('Visual SPC'!$I$4="",'Data Entry'!$E2548='Visual SPC'!$I$4),OR('Visual SPC'!$K$4="",'Data Entry'!$F2548='Visual SPC'!$K$4)),1,0))</f>
        <v/>
      </c>
      <c r="C2548">
        <f>C2547+B2548</f>
        <v/>
      </c>
      <c r="D2548">
        <f>IF(B2548=1,INDEX('Data Entry'!$H$5:$BE$10004,2548-4,'Visual SPC'!$B$3),"")</f>
        <v/>
      </c>
      <c r="E2548">
        <f>IF(B2548=1,D2548,E2547)</f>
        <v/>
      </c>
      <c r="F2548">
        <f>IF(AND(B2548=1,C2548&gt;1,E2547&lt;&gt;""),ABS(D2548-E2547),"")</f>
        <v/>
      </c>
    </row>
    <row r="2549">
      <c r="A2549" t="n">
        <v>2549</v>
      </c>
      <c r="B2549">
        <f>IF(INDEX('Data Entry'!$H$5:$BE$10004,2549-4,'Visual SPC'!$B$3)="",0,IF(AND(OR('Visual SPC'!$C$4="",'Data Entry'!$C2549&gt;='Visual SPC'!$C$4),OR('Visual SPC'!$E$4="",'Data Entry'!$C2549&lt;='Visual SPC'!$E$4),OR('Visual SPC'!$G$4="",'Data Entry'!$D2549='Visual SPC'!$G$4),OR('Visual SPC'!$I$4="",'Data Entry'!$E2549='Visual SPC'!$I$4),OR('Visual SPC'!$K$4="",'Data Entry'!$F2549='Visual SPC'!$K$4)),1,0))</f>
        <v/>
      </c>
      <c r="C2549">
        <f>C2548+B2549</f>
        <v/>
      </c>
      <c r="D2549">
        <f>IF(B2549=1,INDEX('Data Entry'!$H$5:$BE$10004,2549-4,'Visual SPC'!$B$3),"")</f>
        <v/>
      </c>
      <c r="E2549">
        <f>IF(B2549=1,D2549,E2548)</f>
        <v/>
      </c>
      <c r="F2549">
        <f>IF(AND(B2549=1,C2549&gt;1,E2548&lt;&gt;""),ABS(D2549-E2548),"")</f>
        <v/>
      </c>
    </row>
    <row r="2550">
      <c r="A2550" t="n">
        <v>2550</v>
      </c>
      <c r="B2550">
        <f>IF(INDEX('Data Entry'!$H$5:$BE$10004,2550-4,'Visual SPC'!$B$3)="",0,IF(AND(OR('Visual SPC'!$C$4="",'Data Entry'!$C2550&gt;='Visual SPC'!$C$4),OR('Visual SPC'!$E$4="",'Data Entry'!$C2550&lt;='Visual SPC'!$E$4),OR('Visual SPC'!$G$4="",'Data Entry'!$D2550='Visual SPC'!$G$4),OR('Visual SPC'!$I$4="",'Data Entry'!$E2550='Visual SPC'!$I$4),OR('Visual SPC'!$K$4="",'Data Entry'!$F2550='Visual SPC'!$K$4)),1,0))</f>
        <v/>
      </c>
      <c r="C2550">
        <f>C2549+B2550</f>
        <v/>
      </c>
      <c r="D2550">
        <f>IF(B2550=1,INDEX('Data Entry'!$H$5:$BE$10004,2550-4,'Visual SPC'!$B$3),"")</f>
        <v/>
      </c>
      <c r="E2550">
        <f>IF(B2550=1,D2550,E2549)</f>
        <v/>
      </c>
      <c r="F2550">
        <f>IF(AND(B2550=1,C2550&gt;1,E2549&lt;&gt;""),ABS(D2550-E2549),"")</f>
        <v/>
      </c>
    </row>
    <row r="2551">
      <c r="A2551" t="n">
        <v>2551</v>
      </c>
      <c r="B2551">
        <f>IF(INDEX('Data Entry'!$H$5:$BE$10004,2551-4,'Visual SPC'!$B$3)="",0,IF(AND(OR('Visual SPC'!$C$4="",'Data Entry'!$C2551&gt;='Visual SPC'!$C$4),OR('Visual SPC'!$E$4="",'Data Entry'!$C2551&lt;='Visual SPC'!$E$4),OR('Visual SPC'!$G$4="",'Data Entry'!$D2551='Visual SPC'!$G$4),OR('Visual SPC'!$I$4="",'Data Entry'!$E2551='Visual SPC'!$I$4),OR('Visual SPC'!$K$4="",'Data Entry'!$F2551='Visual SPC'!$K$4)),1,0))</f>
        <v/>
      </c>
      <c r="C2551">
        <f>C2550+B2551</f>
        <v/>
      </c>
      <c r="D2551">
        <f>IF(B2551=1,INDEX('Data Entry'!$H$5:$BE$10004,2551-4,'Visual SPC'!$B$3),"")</f>
        <v/>
      </c>
      <c r="E2551">
        <f>IF(B2551=1,D2551,E2550)</f>
        <v/>
      </c>
      <c r="F2551">
        <f>IF(AND(B2551=1,C2551&gt;1,E2550&lt;&gt;""),ABS(D2551-E2550),"")</f>
        <v/>
      </c>
    </row>
    <row r="2552">
      <c r="A2552" t="n">
        <v>2552</v>
      </c>
      <c r="B2552">
        <f>IF(INDEX('Data Entry'!$H$5:$BE$10004,2552-4,'Visual SPC'!$B$3)="",0,IF(AND(OR('Visual SPC'!$C$4="",'Data Entry'!$C2552&gt;='Visual SPC'!$C$4),OR('Visual SPC'!$E$4="",'Data Entry'!$C2552&lt;='Visual SPC'!$E$4),OR('Visual SPC'!$G$4="",'Data Entry'!$D2552='Visual SPC'!$G$4),OR('Visual SPC'!$I$4="",'Data Entry'!$E2552='Visual SPC'!$I$4),OR('Visual SPC'!$K$4="",'Data Entry'!$F2552='Visual SPC'!$K$4)),1,0))</f>
        <v/>
      </c>
      <c r="C2552">
        <f>C2551+B2552</f>
        <v/>
      </c>
      <c r="D2552">
        <f>IF(B2552=1,INDEX('Data Entry'!$H$5:$BE$10004,2552-4,'Visual SPC'!$B$3),"")</f>
        <v/>
      </c>
      <c r="E2552">
        <f>IF(B2552=1,D2552,E2551)</f>
        <v/>
      </c>
      <c r="F2552">
        <f>IF(AND(B2552=1,C2552&gt;1,E2551&lt;&gt;""),ABS(D2552-E2551),"")</f>
        <v/>
      </c>
    </row>
    <row r="2553">
      <c r="A2553" t="n">
        <v>2553</v>
      </c>
      <c r="B2553">
        <f>IF(INDEX('Data Entry'!$H$5:$BE$10004,2553-4,'Visual SPC'!$B$3)="",0,IF(AND(OR('Visual SPC'!$C$4="",'Data Entry'!$C2553&gt;='Visual SPC'!$C$4),OR('Visual SPC'!$E$4="",'Data Entry'!$C2553&lt;='Visual SPC'!$E$4),OR('Visual SPC'!$G$4="",'Data Entry'!$D2553='Visual SPC'!$G$4),OR('Visual SPC'!$I$4="",'Data Entry'!$E2553='Visual SPC'!$I$4),OR('Visual SPC'!$K$4="",'Data Entry'!$F2553='Visual SPC'!$K$4)),1,0))</f>
        <v/>
      </c>
      <c r="C2553">
        <f>C2552+B2553</f>
        <v/>
      </c>
      <c r="D2553">
        <f>IF(B2553=1,INDEX('Data Entry'!$H$5:$BE$10004,2553-4,'Visual SPC'!$B$3),"")</f>
        <v/>
      </c>
      <c r="E2553">
        <f>IF(B2553=1,D2553,E2552)</f>
        <v/>
      </c>
      <c r="F2553">
        <f>IF(AND(B2553=1,C2553&gt;1,E2552&lt;&gt;""),ABS(D2553-E2552),"")</f>
        <v/>
      </c>
    </row>
    <row r="2554">
      <c r="A2554" t="n">
        <v>2554</v>
      </c>
      <c r="B2554">
        <f>IF(INDEX('Data Entry'!$H$5:$BE$10004,2554-4,'Visual SPC'!$B$3)="",0,IF(AND(OR('Visual SPC'!$C$4="",'Data Entry'!$C2554&gt;='Visual SPC'!$C$4),OR('Visual SPC'!$E$4="",'Data Entry'!$C2554&lt;='Visual SPC'!$E$4),OR('Visual SPC'!$G$4="",'Data Entry'!$D2554='Visual SPC'!$G$4),OR('Visual SPC'!$I$4="",'Data Entry'!$E2554='Visual SPC'!$I$4),OR('Visual SPC'!$K$4="",'Data Entry'!$F2554='Visual SPC'!$K$4)),1,0))</f>
        <v/>
      </c>
      <c r="C2554">
        <f>C2553+B2554</f>
        <v/>
      </c>
      <c r="D2554">
        <f>IF(B2554=1,INDEX('Data Entry'!$H$5:$BE$10004,2554-4,'Visual SPC'!$B$3),"")</f>
        <v/>
      </c>
      <c r="E2554">
        <f>IF(B2554=1,D2554,E2553)</f>
        <v/>
      </c>
      <c r="F2554">
        <f>IF(AND(B2554=1,C2554&gt;1,E2553&lt;&gt;""),ABS(D2554-E2553),"")</f>
        <v/>
      </c>
    </row>
    <row r="2555">
      <c r="A2555" t="n">
        <v>2555</v>
      </c>
      <c r="B2555">
        <f>IF(INDEX('Data Entry'!$H$5:$BE$10004,2555-4,'Visual SPC'!$B$3)="",0,IF(AND(OR('Visual SPC'!$C$4="",'Data Entry'!$C2555&gt;='Visual SPC'!$C$4),OR('Visual SPC'!$E$4="",'Data Entry'!$C2555&lt;='Visual SPC'!$E$4),OR('Visual SPC'!$G$4="",'Data Entry'!$D2555='Visual SPC'!$G$4),OR('Visual SPC'!$I$4="",'Data Entry'!$E2555='Visual SPC'!$I$4),OR('Visual SPC'!$K$4="",'Data Entry'!$F2555='Visual SPC'!$K$4)),1,0))</f>
        <v/>
      </c>
      <c r="C2555">
        <f>C2554+B2555</f>
        <v/>
      </c>
      <c r="D2555">
        <f>IF(B2555=1,INDEX('Data Entry'!$H$5:$BE$10004,2555-4,'Visual SPC'!$B$3),"")</f>
        <v/>
      </c>
      <c r="E2555">
        <f>IF(B2555=1,D2555,E2554)</f>
        <v/>
      </c>
      <c r="F2555">
        <f>IF(AND(B2555=1,C2555&gt;1,E2554&lt;&gt;""),ABS(D2555-E2554),"")</f>
        <v/>
      </c>
    </row>
    <row r="2556">
      <c r="A2556" t="n">
        <v>2556</v>
      </c>
      <c r="B2556">
        <f>IF(INDEX('Data Entry'!$H$5:$BE$10004,2556-4,'Visual SPC'!$B$3)="",0,IF(AND(OR('Visual SPC'!$C$4="",'Data Entry'!$C2556&gt;='Visual SPC'!$C$4),OR('Visual SPC'!$E$4="",'Data Entry'!$C2556&lt;='Visual SPC'!$E$4),OR('Visual SPC'!$G$4="",'Data Entry'!$D2556='Visual SPC'!$G$4),OR('Visual SPC'!$I$4="",'Data Entry'!$E2556='Visual SPC'!$I$4),OR('Visual SPC'!$K$4="",'Data Entry'!$F2556='Visual SPC'!$K$4)),1,0))</f>
        <v/>
      </c>
      <c r="C2556">
        <f>C2555+B2556</f>
        <v/>
      </c>
      <c r="D2556">
        <f>IF(B2556=1,INDEX('Data Entry'!$H$5:$BE$10004,2556-4,'Visual SPC'!$B$3),"")</f>
        <v/>
      </c>
      <c r="E2556">
        <f>IF(B2556=1,D2556,E2555)</f>
        <v/>
      </c>
      <c r="F2556">
        <f>IF(AND(B2556=1,C2556&gt;1,E2555&lt;&gt;""),ABS(D2556-E2555),"")</f>
        <v/>
      </c>
    </row>
    <row r="2557">
      <c r="A2557" t="n">
        <v>2557</v>
      </c>
      <c r="B2557">
        <f>IF(INDEX('Data Entry'!$H$5:$BE$10004,2557-4,'Visual SPC'!$B$3)="",0,IF(AND(OR('Visual SPC'!$C$4="",'Data Entry'!$C2557&gt;='Visual SPC'!$C$4),OR('Visual SPC'!$E$4="",'Data Entry'!$C2557&lt;='Visual SPC'!$E$4),OR('Visual SPC'!$G$4="",'Data Entry'!$D2557='Visual SPC'!$G$4),OR('Visual SPC'!$I$4="",'Data Entry'!$E2557='Visual SPC'!$I$4),OR('Visual SPC'!$K$4="",'Data Entry'!$F2557='Visual SPC'!$K$4)),1,0))</f>
        <v/>
      </c>
      <c r="C2557">
        <f>C2556+B2557</f>
        <v/>
      </c>
      <c r="D2557">
        <f>IF(B2557=1,INDEX('Data Entry'!$H$5:$BE$10004,2557-4,'Visual SPC'!$B$3),"")</f>
        <v/>
      </c>
      <c r="E2557">
        <f>IF(B2557=1,D2557,E2556)</f>
        <v/>
      </c>
      <c r="F2557">
        <f>IF(AND(B2557=1,C2557&gt;1,E2556&lt;&gt;""),ABS(D2557-E2556),"")</f>
        <v/>
      </c>
    </row>
    <row r="2558">
      <c r="A2558" t="n">
        <v>2558</v>
      </c>
      <c r="B2558">
        <f>IF(INDEX('Data Entry'!$H$5:$BE$10004,2558-4,'Visual SPC'!$B$3)="",0,IF(AND(OR('Visual SPC'!$C$4="",'Data Entry'!$C2558&gt;='Visual SPC'!$C$4),OR('Visual SPC'!$E$4="",'Data Entry'!$C2558&lt;='Visual SPC'!$E$4),OR('Visual SPC'!$G$4="",'Data Entry'!$D2558='Visual SPC'!$G$4),OR('Visual SPC'!$I$4="",'Data Entry'!$E2558='Visual SPC'!$I$4),OR('Visual SPC'!$K$4="",'Data Entry'!$F2558='Visual SPC'!$K$4)),1,0))</f>
        <v/>
      </c>
      <c r="C2558">
        <f>C2557+B2558</f>
        <v/>
      </c>
      <c r="D2558">
        <f>IF(B2558=1,INDEX('Data Entry'!$H$5:$BE$10004,2558-4,'Visual SPC'!$B$3),"")</f>
        <v/>
      </c>
      <c r="E2558">
        <f>IF(B2558=1,D2558,E2557)</f>
        <v/>
      </c>
      <c r="F2558">
        <f>IF(AND(B2558=1,C2558&gt;1,E2557&lt;&gt;""),ABS(D2558-E2557),"")</f>
        <v/>
      </c>
    </row>
    <row r="2559">
      <c r="A2559" t="n">
        <v>2559</v>
      </c>
      <c r="B2559">
        <f>IF(INDEX('Data Entry'!$H$5:$BE$10004,2559-4,'Visual SPC'!$B$3)="",0,IF(AND(OR('Visual SPC'!$C$4="",'Data Entry'!$C2559&gt;='Visual SPC'!$C$4),OR('Visual SPC'!$E$4="",'Data Entry'!$C2559&lt;='Visual SPC'!$E$4),OR('Visual SPC'!$G$4="",'Data Entry'!$D2559='Visual SPC'!$G$4),OR('Visual SPC'!$I$4="",'Data Entry'!$E2559='Visual SPC'!$I$4),OR('Visual SPC'!$K$4="",'Data Entry'!$F2559='Visual SPC'!$K$4)),1,0))</f>
        <v/>
      </c>
      <c r="C2559">
        <f>C2558+B2559</f>
        <v/>
      </c>
      <c r="D2559">
        <f>IF(B2559=1,INDEX('Data Entry'!$H$5:$BE$10004,2559-4,'Visual SPC'!$B$3),"")</f>
        <v/>
      </c>
      <c r="E2559">
        <f>IF(B2559=1,D2559,E2558)</f>
        <v/>
      </c>
      <c r="F2559">
        <f>IF(AND(B2559=1,C2559&gt;1,E2558&lt;&gt;""),ABS(D2559-E2558),"")</f>
        <v/>
      </c>
    </row>
    <row r="2560">
      <c r="A2560" t="n">
        <v>2560</v>
      </c>
      <c r="B2560">
        <f>IF(INDEX('Data Entry'!$H$5:$BE$10004,2560-4,'Visual SPC'!$B$3)="",0,IF(AND(OR('Visual SPC'!$C$4="",'Data Entry'!$C2560&gt;='Visual SPC'!$C$4),OR('Visual SPC'!$E$4="",'Data Entry'!$C2560&lt;='Visual SPC'!$E$4),OR('Visual SPC'!$G$4="",'Data Entry'!$D2560='Visual SPC'!$G$4),OR('Visual SPC'!$I$4="",'Data Entry'!$E2560='Visual SPC'!$I$4),OR('Visual SPC'!$K$4="",'Data Entry'!$F2560='Visual SPC'!$K$4)),1,0))</f>
        <v/>
      </c>
      <c r="C2560">
        <f>C2559+B2560</f>
        <v/>
      </c>
      <c r="D2560">
        <f>IF(B2560=1,INDEX('Data Entry'!$H$5:$BE$10004,2560-4,'Visual SPC'!$B$3),"")</f>
        <v/>
      </c>
      <c r="E2560">
        <f>IF(B2560=1,D2560,E2559)</f>
        <v/>
      </c>
      <c r="F2560">
        <f>IF(AND(B2560=1,C2560&gt;1,E2559&lt;&gt;""),ABS(D2560-E2559),"")</f>
        <v/>
      </c>
    </row>
    <row r="2561">
      <c r="A2561" t="n">
        <v>2561</v>
      </c>
      <c r="B2561">
        <f>IF(INDEX('Data Entry'!$H$5:$BE$10004,2561-4,'Visual SPC'!$B$3)="",0,IF(AND(OR('Visual SPC'!$C$4="",'Data Entry'!$C2561&gt;='Visual SPC'!$C$4),OR('Visual SPC'!$E$4="",'Data Entry'!$C2561&lt;='Visual SPC'!$E$4),OR('Visual SPC'!$G$4="",'Data Entry'!$D2561='Visual SPC'!$G$4),OR('Visual SPC'!$I$4="",'Data Entry'!$E2561='Visual SPC'!$I$4),OR('Visual SPC'!$K$4="",'Data Entry'!$F2561='Visual SPC'!$K$4)),1,0))</f>
        <v/>
      </c>
      <c r="C2561">
        <f>C2560+B2561</f>
        <v/>
      </c>
      <c r="D2561">
        <f>IF(B2561=1,INDEX('Data Entry'!$H$5:$BE$10004,2561-4,'Visual SPC'!$B$3),"")</f>
        <v/>
      </c>
      <c r="E2561">
        <f>IF(B2561=1,D2561,E2560)</f>
        <v/>
      </c>
      <c r="F2561">
        <f>IF(AND(B2561=1,C2561&gt;1,E2560&lt;&gt;""),ABS(D2561-E2560),"")</f>
        <v/>
      </c>
    </row>
    <row r="2562">
      <c r="A2562" t="n">
        <v>2562</v>
      </c>
      <c r="B2562">
        <f>IF(INDEX('Data Entry'!$H$5:$BE$10004,2562-4,'Visual SPC'!$B$3)="",0,IF(AND(OR('Visual SPC'!$C$4="",'Data Entry'!$C2562&gt;='Visual SPC'!$C$4),OR('Visual SPC'!$E$4="",'Data Entry'!$C2562&lt;='Visual SPC'!$E$4),OR('Visual SPC'!$G$4="",'Data Entry'!$D2562='Visual SPC'!$G$4),OR('Visual SPC'!$I$4="",'Data Entry'!$E2562='Visual SPC'!$I$4),OR('Visual SPC'!$K$4="",'Data Entry'!$F2562='Visual SPC'!$K$4)),1,0))</f>
        <v/>
      </c>
      <c r="C2562">
        <f>C2561+B2562</f>
        <v/>
      </c>
      <c r="D2562">
        <f>IF(B2562=1,INDEX('Data Entry'!$H$5:$BE$10004,2562-4,'Visual SPC'!$B$3),"")</f>
        <v/>
      </c>
      <c r="E2562">
        <f>IF(B2562=1,D2562,E2561)</f>
        <v/>
      </c>
      <c r="F2562">
        <f>IF(AND(B2562=1,C2562&gt;1,E2561&lt;&gt;""),ABS(D2562-E2561),"")</f>
        <v/>
      </c>
    </row>
    <row r="2563">
      <c r="A2563" t="n">
        <v>2563</v>
      </c>
      <c r="B2563">
        <f>IF(INDEX('Data Entry'!$H$5:$BE$10004,2563-4,'Visual SPC'!$B$3)="",0,IF(AND(OR('Visual SPC'!$C$4="",'Data Entry'!$C2563&gt;='Visual SPC'!$C$4),OR('Visual SPC'!$E$4="",'Data Entry'!$C2563&lt;='Visual SPC'!$E$4),OR('Visual SPC'!$G$4="",'Data Entry'!$D2563='Visual SPC'!$G$4),OR('Visual SPC'!$I$4="",'Data Entry'!$E2563='Visual SPC'!$I$4),OR('Visual SPC'!$K$4="",'Data Entry'!$F2563='Visual SPC'!$K$4)),1,0))</f>
        <v/>
      </c>
      <c r="C2563">
        <f>C2562+B2563</f>
        <v/>
      </c>
      <c r="D2563">
        <f>IF(B2563=1,INDEX('Data Entry'!$H$5:$BE$10004,2563-4,'Visual SPC'!$B$3),"")</f>
        <v/>
      </c>
      <c r="E2563">
        <f>IF(B2563=1,D2563,E2562)</f>
        <v/>
      </c>
      <c r="F2563">
        <f>IF(AND(B2563=1,C2563&gt;1,E2562&lt;&gt;""),ABS(D2563-E2562),"")</f>
        <v/>
      </c>
    </row>
    <row r="2564">
      <c r="A2564" t="n">
        <v>2564</v>
      </c>
      <c r="B2564">
        <f>IF(INDEX('Data Entry'!$H$5:$BE$10004,2564-4,'Visual SPC'!$B$3)="",0,IF(AND(OR('Visual SPC'!$C$4="",'Data Entry'!$C2564&gt;='Visual SPC'!$C$4),OR('Visual SPC'!$E$4="",'Data Entry'!$C2564&lt;='Visual SPC'!$E$4),OR('Visual SPC'!$G$4="",'Data Entry'!$D2564='Visual SPC'!$G$4),OR('Visual SPC'!$I$4="",'Data Entry'!$E2564='Visual SPC'!$I$4),OR('Visual SPC'!$K$4="",'Data Entry'!$F2564='Visual SPC'!$K$4)),1,0))</f>
        <v/>
      </c>
      <c r="C2564">
        <f>C2563+B2564</f>
        <v/>
      </c>
      <c r="D2564">
        <f>IF(B2564=1,INDEX('Data Entry'!$H$5:$BE$10004,2564-4,'Visual SPC'!$B$3),"")</f>
        <v/>
      </c>
      <c r="E2564">
        <f>IF(B2564=1,D2564,E2563)</f>
        <v/>
      </c>
      <c r="F2564">
        <f>IF(AND(B2564=1,C2564&gt;1,E2563&lt;&gt;""),ABS(D2564-E2563),"")</f>
        <v/>
      </c>
    </row>
    <row r="2565">
      <c r="A2565" t="n">
        <v>2565</v>
      </c>
      <c r="B2565">
        <f>IF(INDEX('Data Entry'!$H$5:$BE$10004,2565-4,'Visual SPC'!$B$3)="",0,IF(AND(OR('Visual SPC'!$C$4="",'Data Entry'!$C2565&gt;='Visual SPC'!$C$4),OR('Visual SPC'!$E$4="",'Data Entry'!$C2565&lt;='Visual SPC'!$E$4),OR('Visual SPC'!$G$4="",'Data Entry'!$D2565='Visual SPC'!$G$4),OR('Visual SPC'!$I$4="",'Data Entry'!$E2565='Visual SPC'!$I$4),OR('Visual SPC'!$K$4="",'Data Entry'!$F2565='Visual SPC'!$K$4)),1,0))</f>
        <v/>
      </c>
      <c r="C2565">
        <f>C2564+B2565</f>
        <v/>
      </c>
      <c r="D2565">
        <f>IF(B2565=1,INDEX('Data Entry'!$H$5:$BE$10004,2565-4,'Visual SPC'!$B$3),"")</f>
        <v/>
      </c>
      <c r="E2565">
        <f>IF(B2565=1,D2565,E2564)</f>
        <v/>
      </c>
      <c r="F2565">
        <f>IF(AND(B2565=1,C2565&gt;1,E2564&lt;&gt;""),ABS(D2565-E2564),"")</f>
        <v/>
      </c>
    </row>
    <row r="2566">
      <c r="A2566" t="n">
        <v>2566</v>
      </c>
      <c r="B2566">
        <f>IF(INDEX('Data Entry'!$H$5:$BE$10004,2566-4,'Visual SPC'!$B$3)="",0,IF(AND(OR('Visual SPC'!$C$4="",'Data Entry'!$C2566&gt;='Visual SPC'!$C$4),OR('Visual SPC'!$E$4="",'Data Entry'!$C2566&lt;='Visual SPC'!$E$4),OR('Visual SPC'!$G$4="",'Data Entry'!$D2566='Visual SPC'!$G$4),OR('Visual SPC'!$I$4="",'Data Entry'!$E2566='Visual SPC'!$I$4),OR('Visual SPC'!$K$4="",'Data Entry'!$F2566='Visual SPC'!$K$4)),1,0))</f>
        <v/>
      </c>
      <c r="C2566">
        <f>C2565+B2566</f>
        <v/>
      </c>
      <c r="D2566">
        <f>IF(B2566=1,INDEX('Data Entry'!$H$5:$BE$10004,2566-4,'Visual SPC'!$B$3),"")</f>
        <v/>
      </c>
      <c r="E2566">
        <f>IF(B2566=1,D2566,E2565)</f>
        <v/>
      </c>
      <c r="F2566">
        <f>IF(AND(B2566=1,C2566&gt;1,E2565&lt;&gt;""),ABS(D2566-E2565),"")</f>
        <v/>
      </c>
    </row>
    <row r="2567">
      <c r="A2567" t="n">
        <v>2567</v>
      </c>
      <c r="B2567">
        <f>IF(INDEX('Data Entry'!$H$5:$BE$10004,2567-4,'Visual SPC'!$B$3)="",0,IF(AND(OR('Visual SPC'!$C$4="",'Data Entry'!$C2567&gt;='Visual SPC'!$C$4),OR('Visual SPC'!$E$4="",'Data Entry'!$C2567&lt;='Visual SPC'!$E$4),OR('Visual SPC'!$G$4="",'Data Entry'!$D2567='Visual SPC'!$G$4),OR('Visual SPC'!$I$4="",'Data Entry'!$E2567='Visual SPC'!$I$4),OR('Visual SPC'!$K$4="",'Data Entry'!$F2567='Visual SPC'!$K$4)),1,0))</f>
        <v/>
      </c>
      <c r="C2567">
        <f>C2566+B2567</f>
        <v/>
      </c>
      <c r="D2567">
        <f>IF(B2567=1,INDEX('Data Entry'!$H$5:$BE$10004,2567-4,'Visual SPC'!$B$3),"")</f>
        <v/>
      </c>
      <c r="E2567">
        <f>IF(B2567=1,D2567,E2566)</f>
        <v/>
      </c>
      <c r="F2567">
        <f>IF(AND(B2567=1,C2567&gt;1,E2566&lt;&gt;""),ABS(D2567-E2566),"")</f>
        <v/>
      </c>
    </row>
    <row r="2568">
      <c r="A2568" t="n">
        <v>2568</v>
      </c>
      <c r="B2568">
        <f>IF(INDEX('Data Entry'!$H$5:$BE$10004,2568-4,'Visual SPC'!$B$3)="",0,IF(AND(OR('Visual SPC'!$C$4="",'Data Entry'!$C2568&gt;='Visual SPC'!$C$4),OR('Visual SPC'!$E$4="",'Data Entry'!$C2568&lt;='Visual SPC'!$E$4),OR('Visual SPC'!$G$4="",'Data Entry'!$D2568='Visual SPC'!$G$4),OR('Visual SPC'!$I$4="",'Data Entry'!$E2568='Visual SPC'!$I$4),OR('Visual SPC'!$K$4="",'Data Entry'!$F2568='Visual SPC'!$K$4)),1,0))</f>
        <v/>
      </c>
      <c r="C2568">
        <f>C2567+B2568</f>
        <v/>
      </c>
      <c r="D2568">
        <f>IF(B2568=1,INDEX('Data Entry'!$H$5:$BE$10004,2568-4,'Visual SPC'!$B$3),"")</f>
        <v/>
      </c>
      <c r="E2568">
        <f>IF(B2568=1,D2568,E2567)</f>
        <v/>
      </c>
      <c r="F2568">
        <f>IF(AND(B2568=1,C2568&gt;1,E2567&lt;&gt;""),ABS(D2568-E2567),"")</f>
        <v/>
      </c>
    </row>
    <row r="2569">
      <c r="A2569" t="n">
        <v>2569</v>
      </c>
      <c r="B2569">
        <f>IF(INDEX('Data Entry'!$H$5:$BE$10004,2569-4,'Visual SPC'!$B$3)="",0,IF(AND(OR('Visual SPC'!$C$4="",'Data Entry'!$C2569&gt;='Visual SPC'!$C$4),OR('Visual SPC'!$E$4="",'Data Entry'!$C2569&lt;='Visual SPC'!$E$4),OR('Visual SPC'!$G$4="",'Data Entry'!$D2569='Visual SPC'!$G$4),OR('Visual SPC'!$I$4="",'Data Entry'!$E2569='Visual SPC'!$I$4),OR('Visual SPC'!$K$4="",'Data Entry'!$F2569='Visual SPC'!$K$4)),1,0))</f>
        <v/>
      </c>
      <c r="C2569">
        <f>C2568+B2569</f>
        <v/>
      </c>
      <c r="D2569">
        <f>IF(B2569=1,INDEX('Data Entry'!$H$5:$BE$10004,2569-4,'Visual SPC'!$B$3),"")</f>
        <v/>
      </c>
      <c r="E2569">
        <f>IF(B2569=1,D2569,E2568)</f>
        <v/>
      </c>
      <c r="F2569">
        <f>IF(AND(B2569=1,C2569&gt;1,E2568&lt;&gt;""),ABS(D2569-E2568),"")</f>
        <v/>
      </c>
    </row>
    <row r="2570">
      <c r="A2570" t="n">
        <v>2570</v>
      </c>
      <c r="B2570">
        <f>IF(INDEX('Data Entry'!$H$5:$BE$10004,2570-4,'Visual SPC'!$B$3)="",0,IF(AND(OR('Visual SPC'!$C$4="",'Data Entry'!$C2570&gt;='Visual SPC'!$C$4),OR('Visual SPC'!$E$4="",'Data Entry'!$C2570&lt;='Visual SPC'!$E$4),OR('Visual SPC'!$G$4="",'Data Entry'!$D2570='Visual SPC'!$G$4),OR('Visual SPC'!$I$4="",'Data Entry'!$E2570='Visual SPC'!$I$4),OR('Visual SPC'!$K$4="",'Data Entry'!$F2570='Visual SPC'!$K$4)),1,0))</f>
        <v/>
      </c>
      <c r="C2570">
        <f>C2569+B2570</f>
        <v/>
      </c>
      <c r="D2570">
        <f>IF(B2570=1,INDEX('Data Entry'!$H$5:$BE$10004,2570-4,'Visual SPC'!$B$3),"")</f>
        <v/>
      </c>
      <c r="E2570">
        <f>IF(B2570=1,D2570,E2569)</f>
        <v/>
      </c>
      <c r="F2570">
        <f>IF(AND(B2570=1,C2570&gt;1,E2569&lt;&gt;""),ABS(D2570-E2569),"")</f>
        <v/>
      </c>
    </row>
    <row r="2571">
      <c r="A2571" t="n">
        <v>2571</v>
      </c>
      <c r="B2571">
        <f>IF(INDEX('Data Entry'!$H$5:$BE$10004,2571-4,'Visual SPC'!$B$3)="",0,IF(AND(OR('Visual SPC'!$C$4="",'Data Entry'!$C2571&gt;='Visual SPC'!$C$4),OR('Visual SPC'!$E$4="",'Data Entry'!$C2571&lt;='Visual SPC'!$E$4),OR('Visual SPC'!$G$4="",'Data Entry'!$D2571='Visual SPC'!$G$4),OR('Visual SPC'!$I$4="",'Data Entry'!$E2571='Visual SPC'!$I$4),OR('Visual SPC'!$K$4="",'Data Entry'!$F2571='Visual SPC'!$K$4)),1,0))</f>
        <v/>
      </c>
      <c r="C2571">
        <f>C2570+B2571</f>
        <v/>
      </c>
      <c r="D2571">
        <f>IF(B2571=1,INDEX('Data Entry'!$H$5:$BE$10004,2571-4,'Visual SPC'!$B$3),"")</f>
        <v/>
      </c>
      <c r="E2571">
        <f>IF(B2571=1,D2571,E2570)</f>
        <v/>
      </c>
      <c r="F2571">
        <f>IF(AND(B2571=1,C2571&gt;1,E2570&lt;&gt;""),ABS(D2571-E2570),"")</f>
        <v/>
      </c>
    </row>
    <row r="2572">
      <c r="A2572" t="n">
        <v>2572</v>
      </c>
      <c r="B2572">
        <f>IF(INDEX('Data Entry'!$H$5:$BE$10004,2572-4,'Visual SPC'!$B$3)="",0,IF(AND(OR('Visual SPC'!$C$4="",'Data Entry'!$C2572&gt;='Visual SPC'!$C$4),OR('Visual SPC'!$E$4="",'Data Entry'!$C2572&lt;='Visual SPC'!$E$4),OR('Visual SPC'!$G$4="",'Data Entry'!$D2572='Visual SPC'!$G$4),OR('Visual SPC'!$I$4="",'Data Entry'!$E2572='Visual SPC'!$I$4),OR('Visual SPC'!$K$4="",'Data Entry'!$F2572='Visual SPC'!$K$4)),1,0))</f>
        <v/>
      </c>
      <c r="C2572">
        <f>C2571+B2572</f>
        <v/>
      </c>
      <c r="D2572">
        <f>IF(B2572=1,INDEX('Data Entry'!$H$5:$BE$10004,2572-4,'Visual SPC'!$B$3),"")</f>
        <v/>
      </c>
      <c r="E2572">
        <f>IF(B2572=1,D2572,E2571)</f>
        <v/>
      </c>
      <c r="F2572">
        <f>IF(AND(B2572=1,C2572&gt;1,E2571&lt;&gt;""),ABS(D2572-E2571),"")</f>
        <v/>
      </c>
    </row>
    <row r="2573">
      <c r="A2573" t="n">
        <v>2573</v>
      </c>
      <c r="B2573">
        <f>IF(INDEX('Data Entry'!$H$5:$BE$10004,2573-4,'Visual SPC'!$B$3)="",0,IF(AND(OR('Visual SPC'!$C$4="",'Data Entry'!$C2573&gt;='Visual SPC'!$C$4),OR('Visual SPC'!$E$4="",'Data Entry'!$C2573&lt;='Visual SPC'!$E$4),OR('Visual SPC'!$G$4="",'Data Entry'!$D2573='Visual SPC'!$G$4),OR('Visual SPC'!$I$4="",'Data Entry'!$E2573='Visual SPC'!$I$4),OR('Visual SPC'!$K$4="",'Data Entry'!$F2573='Visual SPC'!$K$4)),1,0))</f>
        <v/>
      </c>
      <c r="C2573">
        <f>C2572+B2573</f>
        <v/>
      </c>
      <c r="D2573">
        <f>IF(B2573=1,INDEX('Data Entry'!$H$5:$BE$10004,2573-4,'Visual SPC'!$B$3),"")</f>
        <v/>
      </c>
      <c r="E2573">
        <f>IF(B2573=1,D2573,E2572)</f>
        <v/>
      </c>
      <c r="F2573">
        <f>IF(AND(B2573=1,C2573&gt;1,E2572&lt;&gt;""),ABS(D2573-E2572),"")</f>
        <v/>
      </c>
    </row>
    <row r="2574">
      <c r="A2574" t="n">
        <v>2574</v>
      </c>
      <c r="B2574">
        <f>IF(INDEX('Data Entry'!$H$5:$BE$10004,2574-4,'Visual SPC'!$B$3)="",0,IF(AND(OR('Visual SPC'!$C$4="",'Data Entry'!$C2574&gt;='Visual SPC'!$C$4),OR('Visual SPC'!$E$4="",'Data Entry'!$C2574&lt;='Visual SPC'!$E$4),OR('Visual SPC'!$G$4="",'Data Entry'!$D2574='Visual SPC'!$G$4),OR('Visual SPC'!$I$4="",'Data Entry'!$E2574='Visual SPC'!$I$4),OR('Visual SPC'!$K$4="",'Data Entry'!$F2574='Visual SPC'!$K$4)),1,0))</f>
        <v/>
      </c>
      <c r="C2574">
        <f>C2573+B2574</f>
        <v/>
      </c>
      <c r="D2574">
        <f>IF(B2574=1,INDEX('Data Entry'!$H$5:$BE$10004,2574-4,'Visual SPC'!$B$3),"")</f>
        <v/>
      </c>
      <c r="E2574">
        <f>IF(B2574=1,D2574,E2573)</f>
        <v/>
      </c>
      <c r="F2574">
        <f>IF(AND(B2574=1,C2574&gt;1,E2573&lt;&gt;""),ABS(D2574-E2573),"")</f>
        <v/>
      </c>
    </row>
    <row r="2575">
      <c r="A2575" t="n">
        <v>2575</v>
      </c>
      <c r="B2575">
        <f>IF(INDEX('Data Entry'!$H$5:$BE$10004,2575-4,'Visual SPC'!$B$3)="",0,IF(AND(OR('Visual SPC'!$C$4="",'Data Entry'!$C2575&gt;='Visual SPC'!$C$4),OR('Visual SPC'!$E$4="",'Data Entry'!$C2575&lt;='Visual SPC'!$E$4),OR('Visual SPC'!$G$4="",'Data Entry'!$D2575='Visual SPC'!$G$4),OR('Visual SPC'!$I$4="",'Data Entry'!$E2575='Visual SPC'!$I$4),OR('Visual SPC'!$K$4="",'Data Entry'!$F2575='Visual SPC'!$K$4)),1,0))</f>
        <v/>
      </c>
      <c r="C2575">
        <f>C2574+B2575</f>
        <v/>
      </c>
      <c r="D2575">
        <f>IF(B2575=1,INDEX('Data Entry'!$H$5:$BE$10004,2575-4,'Visual SPC'!$B$3),"")</f>
        <v/>
      </c>
      <c r="E2575">
        <f>IF(B2575=1,D2575,E2574)</f>
        <v/>
      </c>
      <c r="F2575">
        <f>IF(AND(B2575=1,C2575&gt;1,E2574&lt;&gt;""),ABS(D2575-E2574),"")</f>
        <v/>
      </c>
    </row>
    <row r="2576">
      <c r="A2576" t="n">
        <v>2576</v>
      </c>
      <c r="B2576">
        <f>IF(INDEX('Data Entry'!$H$5:$BE$10004,2576-4,'Visual SPC'!$B$3)="",0,IF(AND(OR('Visual SPC'!$C$4="",'Data Entry'!$C2576&gt;='Visual SPC'!$C$4),OR('Visual SPC'!$E$4="",'Data Entry'!$C2576&lt;='Visual SPC'!$E$4),OR('Visual SPC'!$G$4="",'Data Entry'!$D2576='Visual SPC'!$G$4),OR('Visual SPC'!$I$4="",'Data Entry'!$E2576='Visual SPC'!$I$4),OR('Visual SPC'!$K$4="",'Data Entry'!$F2576='Visual SPC'!$K$4)),1,0))</f>
        <v/>
      </c>
      <c r="C2576">
        <f>C2575+B2576</f>
        <v/>
      </c>
      <c r="D2576">
        <f>IF(B2576=1,INDEX('Data Entry'!$H$5:$BE$10004,2576-4,'Visual SPC'!$B$3),"")</f>
        <v/>
      </c>
      <c r="E2576">
        <f>IF(B2576=1,D2576,E2575)</f>
        <v/>
      </c>
      <c r="F2576">
        <f>IF(AND(B2576=1,C2576&gt;1,E2575&lt;&gt;""),ABS(D2576-E2575),"")</f>
        <v/>
      </c>
    </row>
    <row r="2577">
      <c r="A2577" t="n">
        <v>2577</v>
      </c>
      <c r="B2577">
        <f>IF(INDEX('Data Entry'!$H$5:$BE$10004,2577-4,'Visual SPC'!$B$3)="",0,IF(AND(OR('Visual SPC'!$C$4="",'Data Entry'!$C2577&gt;='Visual SPC'!$C$4),OR('Visual SPC'!$E$4="",'Data Entry'!$C2577&lt;='Visual SPC'!$E$4),OR('Visual SPC'!$G$4="",'Data Entry'!$D2577='Visual SPC'!$G$4),OR('Visual SPC'!$I$4="",'Data Entry'!$E2577='Visual SPC'!$I$4),OR('Visual SPC'!$K$4="",'Data Entry'!$F2577='Visual SPC'!$K$4)),1,0))</f>
        <v/>
      </c>
      <c r="C2577">
        <f>C2576+B2577</f>
        <v/>
      </c>
      <c r="D2577">
        <f>IF(B2577=1,INDEX('Data Entry'!$H$5:$BE$10004,2577-4,'Visual SPC'!$B$3),"")</f>
        <v/>
      </c>
      <c r="E2577">
        <f>IF(B2577=1,D2577,E2576)</f>
        <v/>
      </c>
      <c r="F2577">
        <f>IF(AND(B2577=1,C2577&gt;1,E2576&lt;&gt;""),ABS(D2577-E2576),"")</f>
        <v/>
      </c>
    </row>
    <row r="2578">
      <c r="A2578" t="n">
        <v>2578</v>
      </c>
      <c r="B2578">
        <f>IF(INDEX('Data Entry'!$H$5:$BE$10004,2578-4,'Visual SPC'!$B$3)="",0,IF(AND(OR('Visual SPC'!$C$4="",'Data Entry'!$C2578&gt;='Visual SPC'!$C$4),OR('Visual SPC'!$E$4="",'Data Entry'!$C2578&lt;='Visual SPC'!$E$4),OR('Visual SPC'!$G$4="",'Data Entry'!$D2578='Visual SPC'!$G$4),OR('Visual SPC'!$I$4="",'Data Entry'!$E2578='Visual SPC'!$I$4),OR('Visual SPC'!$K$4="",'Data Entry'!$F2578='Visual SPC'!$K$4)),1,0))</f>
        <v/>
      </c>
      <c r="C2578">
        <f>C2577+B2578</f>
        <v/>
      </c>
      <c r="D2578">
        <f>IF(B2578=1,INDEX('Data Entry'!$H$5:$BE$10004,2578-4,'Visual SPC'!$B$3),"")</f>
        <v/>
      </c>
      <c r="E2578">
        <f>IF(B2578=1,D2578,E2577)</f>
        <v/>
      </c>
      <c r="F2578">
        <f>IF(AND(B2578=1,C2578&gt;1,E2577&lt;&gt;""),ABS(D2578-E2577),"")</f>
        <v/>
      </c>
    </row>
    <row r="2579">
      <c r="A2579" t="n">
        <v>2579</v>
      </c>
      <c r="B2579">
        <f>IF(INDEX('Data Entry'!$H$5:$BE$10004,2579-4,'Visual SPC'!$B$3)="",0,IF(AND(OR('Visual SPC'!$C$4="",'Data Entry'!$C2579&gt;='Visual SPC'!$C$4),OR('Visual SPC'!$E$4="",'Data Entry'!$C2579&lt;='Visual SPC'!$E$4),OR('Visual SPC'!$G$4="",'Data Entry'!$D2579='Visual SPC'!$G$4),OR('Visual SPC'!$I$4="",'Data Entry'!$E2579='Visual SPC'!$I$4),OR('Visual SPC'!$K$4="",'Data Entry'!$F2579='Visual SPC'!$K$4)),1,0))</f>
        <v/>
      </c>
      <c r="C2579">
        <f>C2578+B2579</f>
        <v/>
      </c>
      <c r="D2579">
        <f>IF(B2579=1,INDEX('Data Entry'!$H$5:$BE$10004,2579-4,'Visual SPC'!$B$3),"")</f>
        <v/>
      </c>
      <c r="E2579">
        <f>IF(B2579=1,D2579,E2578)</f>
        <v/>
      </c>
      <c r="F2579">
        <f>IF(AND(B2579=1,C2579&gt;1,E2578&lt;&gt;""),ABS(D2579-E2578),"")</f>
        <v/>
      </c>
    </row>
    <row r="2580">
      <c r="A2580" t="n">
        <v>2580</v>
      </c>
      <c r="B2580">
        <f>IF(INDEX('Data Entry'!$H$5:$BE$10004,2580-4,'Visual SPC'!$B$3)="",0,IF(AND(OR('Visual SPC'!$C$4="",'Data Entry'!$C2580&gt;='Visual SPC'!$C$4),OR('Visual SPC'!$E$4="",'Data Entry'!$C2580&lt;='Visual SPC'!$E$4),OR('Visual SPC'!$G$4="",'Data Entry'!$D2580='Visual SPC'!$G$4),OR('Visual SPC'!$I$4="",'Data Entry'!$E2580='Visual SPC'!$I$4),OR('Visual SPC'!$K$4="",'Data Entry'!$F2580='Visual SPC'!$K$4)),1,0))</f>
        <v/>
      </c>
      <c r="C2580">
        <f>C2579+B2580</f>
        <v/>
      </c>
      <c r="D2580">
        <f>IF(B2580=1,INDEX('Data Entry'!$H$5:$BE$10004,2580-4,'Visual SPC'!$B$3),"")</f>
        <v/>
      </c>
      <c r="E2580">
        <f>IF(B2580=1,D2580,E2579)</f>
        <v/>
      </c>
      <c r="F2580">
        <f>IF(AND(B2580=1,C2580&gt;1,E2579&lt;&gt;""),ABS(D2580-E2579),"")</f>
        <v/>
      </c>
    </row>
    <row r="2581">
      <c r="A2581" t="n">
        <v>2581</v>
      </c>
      <c r="B2581">
        <f>IF(INDEX('Data Entry'!$H$5:$BE$10004,2581-4,'Visual SPC'!$B$3)="",0,IF(AND(OR('Visual SPC'!$C$4="",'Data Entry'!$C2581&gt;='Visual SPC'!$C$4),OR('Visual SPC'!$E$4="",'Data Entry'!$C2581&lt;='Visual SPC'!$E$4),OR('Visual SPC'!$G$4="",'Data Entry'!$D2581='Visual SPC'!$G$4),OR('Visual SPC'!$I$4="",'Data Entry'!$E2581='Visual SPC'!$I$4),OR('Visual SPC'!$K$4="",'Data Entry'!$F2581='Visual SPC'!$K$4)),1,0))</f>
        <v/>
      </c>
      <c r="C2581">
        <f>C2580+B2581</f>
        <v/>
      </c>
      <c r="D2581">
        <f>IF(B2581=1,INDEX('Data Entry'!$H$5:$BE$10004,2581-4,'Visual SPC'!$B$3),"")</f>
        <v/>
      </c>
      <c r="E2581">
        <f>IF(B2581=1,D2581,E2580)</f>
        <v/>
      </c>
      <c r="F2581">
        <f>IF(AND(B2581=1,C2581&gt;1,E2580&lt;&gt;""),ABS(D2581-E2580),"")</f>
        <v/>
      </c>
    </row>
    <row r="2582">
      <c r="A2582" t="n">
        <v>2582</v>
      </c>
      <c r="B2582">
        <f>IF(INDEX('Data Entry'!$H$5:$BE$10004,2582-4,'Visual SPC'!$B$3)="",0,IF(AND(OR('Visual SPC'!$C$4="",'Data Entry'!$C2582&gt;='Visual SPC'!$C$4),OR('Visual SPC'!$E$4="",'Data Entry'!$C2582&lt;='Visual SPC'!$E$4),OR('Visual SPC'!$G$4="",'Data Entry'!$D2582='Visual SPC'!$G$4),OR('Visual SPC'!$I$4="",'Data Entry'!$E2582='Visual SPC'!$I$4),OR('Visual SPC'!$K$4="",'Data Entry'!$F2582='Visual SPC'!$K$4)),1,0))</f>
        <v/>
      </c>
      <c r="C2582">
        <f>C2581+B2582</f>
        <v/>
      </c>
      <c r="D2582">
        <f>IF(B2582=1,INDEX('Data Entry'!$H$5:$BE$10004,2582-4,'Visual SPC'!$B$3),"")</f>
        <v/>
      </c>
      <c r="E2582">
        <f>IF(B2582=1,D2582,E2581)</f>
        <v/>
      </c>
      <c r="F2582">
        <f>IF(AND(B2582=1,C2582&gt;1,E2581&lt;&gt;""),ABS(D2582-E2581),"")</f>
        <v/>
      </c>
    </row>
    <row r="2583">
      <c r="A2583" t="n">
        <v>2583</v>
      </c>
      <c r="B2583">
        <f>IF(INDEX('Data Entry'!$H$5:$BE$10004,2583-4,'Visual SPC'!$B$3)="",0,IF(AND(OR('Visual SPC'!$C$4="",'Data Entry'!$C2583&gt;='Visual SPC'!$C$4),OR('Visual SPC'!$E$4="",'Data Entry'!$C2583&lt;='Visual SPC'!$E$4),OR('Visual SPC'!$G$4="",'Data Entry'!$D2583='Visual SPC'!$G$4),OR('Visual SPC'!$I$4="",'Data Entry'!$E2583='Visual SPC'!$I$4),OR('Visual SPC'!$K$4="",'Data Entry'!$F2583='Visual SPC'!$K$4)),1,0))</f>
        <v/>
      </c>
      <c r="C2583">
        <f>C2582+B2583</f>
        <v/>
      </c>
      <c r="D2583">
        <f>IF(B2583=1,INDEX('Data Entry'!$H$5:$BE$10004,2583-4,'Visual SPC'!$B$3),"")</f>
        <v/>
      </c>
      <c r="E2583">
        <f>IF(B2583=1,D2583,E2582)</f>
        <v/>
      </c>
      <c r="F2583">
        <f>IF(AND(B2583=1,C2583&gt;1,E2582&lt;&gt;""),ABS(D2583-E2582),"")</f>
        <v/>
      </c>
    </row>
    <row r="2584">
      <c r="A2584" t="n">
        <v>2584</v>
      </c>
      <c r="B2584">
        <f>IF(INDEX('Data Entry'!$H$5:$BE$10004,2584-4,'Visual SPC'!$B$3)="",0,IF(AND(OR('Visual SPC'!$C$4="",'Data Entry'!$C2584&gt;='Visual SPC'!$C$4),OR('Visual SPC'!$E$4="",'Data Entry'!$C2584&lt;='Visual SPC'!$E$4),OR('Visual SPC'!$G$4="",'Data Entry'!$D2584='Visual SPC'!$G$4),OR('Visual SPC'!$I$4="",'Data Entry'!$E2584='Visual SPC'!$I$4),OR('Visual SPC'!$K$4="",'Data Entry'!$F2584='Visual SPC'!$K$4)),1,0))</f>
        <v/>
      </c>
      <c r="C2584">
        <f>C2583+B2584</f>
        <v/>
      </c>
      <c r="D2584">
        <f>IF(B2584=1,INDEX('Data Entry'!$H$5:$BE$10004,2584-4,'Visual SPC'!$B$3),"")</f>
        <v/>
      </c>
      <c r="E2584">
        <f>IF(B2584=1,D2584,E2583)</f>
        <v/>
      </c>
      <c r="F2584">
        <f>IF(AND(B2584=1,C2584&gt;1,E2583&lt;&gt;""),ABS(D2584-E2583),"")</f>
        <v/>
      </c>
    </row>
    <row r="2585">
      <c r="A2585" t="n">
        <v>2585</v>
      </c>
      <c r="B2585">
        <f>IF(INDEX('Data Entry'!$H$5:$BE$10004,2585-4,'Visual SPC'!$B$3)="",0,IF(AND(OR('Visual SPC'!$C$4="",'Data Entry'!$C2585&gt;='Visual SPC'!$C$4),OR('Visual SPC'!$E$4="",'Data Entry'!$C2585&lt;='Visual SPC'!$E$4),OR('Visual SPC'!$G$4="",'Data Entry'!$D2585='Visual SPC'!$G$4),OR('Visual SPC'!$I$4="",'Data Entry'!$E2585='Visual SPC'!$I$4),OR('Visual SPC'!$K$4="",'Data Entry'!$F2585='Visual SPC'!$K$4)),1,0))</f>
        <v/>
      </c>
      <c r="C2585">
        <f>C2584+B2585</f>
        <v/>
      </c>
      <c r="D2585">
        <f>IF(B2585=1,INDEX('Data Entry'!$H$5:$BE$10004,2585-4,'Visual SPC'!$B$3),"")</f>
        <v/>
      </c>
      <c r="E2585">
        <f>IF(B2585=1,D2585,E2584)</f>
        <v/>
      </c>
      <c r="F2585">
        <f>IF(AND(B2585=1,C2585&gt;1,E2584&lt;&gt;""),ABS(D2585-E2584),"")</f>
        <v/>
      </c>
    </row>
    <row r="2586">
      <c r="A2586" t="n">
        <v>2586</v>
      </c>
      <c r="B2586">
        <f>IF(INDEX('Data Entry'!$H$5:$BE$10004,2586-4,'Visual SPC'!$B$3)="",0,IF(AND(OR('Visual SPC'!$C$4="",'Data Entry'!$C2586&gt;='Visual SPC'!$C$4),OR('Visual SPC'!$E$4="",'Data Entry'!$C2586&lt;='Visual SPC'!$E$4),OR('Visual SPC'!$G$4="",'Data Entry'!$D2586='Visual SPC'!$G$4),OR('Visual SPC'!$I$4="",'Data Entry'!$E2586='Visual SPC'!$I$4),OR('Visual SPC'!$K$4="",'Data Entry'!$F2586='Visual SPC'!$K$4)),1,0))</f>
        <v/>
      </c>
      <c r="C2586">
        <f>C2585+B2586</f>
        <v/>
      </c>
      <c r="D2586">
        <f>IF(B2586=1,INDEX('Data Entry'!$H$5:$BE$10004,2586-4,'Visual SPC'!$B$3),"")</f>
        <v/>
      </c>
      <c r="E2586">
        <f>IF(B2586=1,D2586,E2585)</f>
        <v/>
      </c>
      <c r="F2586">
        <f>IF(AND(B2586=1,C2586&gt;1,E2585&lt;&gt;""),ABS(D2586-E2585),"")</f>
        <v/>
      </c>
    </row>
    <row r="2587">
      <c r="A2587" t="n">
        <v>2587</v>
      </c>
      <c r="B2587">
        <f>IF(INDEX('Data Entry'!$H$5:$BE$10004,2587-4,'Visual SPC'!$B$3)="",0,IF(AND(OR('Visual SPC'!$C$4="",'Data Entry'!$C2587&gt;='Visual SPC'!$C$4),OR('Visual SPC'!$E$4="",'Data Entry'!$C2587&lt;='Visual SPC'!$E$4),OR('Visual SPC'!$G$4="",'Data Entry'!$D2587='Visual SPC'!$G$4),OR('Visual SPC'!$I$4="",'Data Entry'!$E2587='Visual SPC'!$I$4),OR('Visual SPC'!$K$4="",'Data Entry'!$F2587='Visual SPC'!$K$4)),1,0))</f>
        <v/>
      </c>
      <c r="C2587">
        <f>C2586+B2587</f>
        <v/>
      </c>
      <c r="D2587">
        <f>IF(B2587=1,INDEX('Data Entry'!$H$5:$BE$10004,2587-4,'Visual SPC'!$B$3),"")</f>
        <v/>
      </c>
      <c r="E2587">
        <f>IF(B2587=1,D2587,E2586)</f>
        <v/>
      </c>
      <c r="F2587">
        <f>IF(AND(B2587=1,C2587&gt;1,E2586&lt;&gt;""),ABS(D2587-E2586),"")</f>
        <v/>
      </c>
    </row>
    <row r="2588">
      <c r="A2588" t="n">
        <v>2588</v>
      </c>
      <c r="B2588">
        <f>IF(INDEX('Data Entry'!$H$5:$BE$10004,2588-4,'Visual SPC'!$B$3)="",0,IF(AND(OR('Visual SPC'!$C$4="",'Data Entry'!$C2588&gt;='Visual SPC'!$C$4),OR('Visual SPC'!$E$4="",'Data Entry'!$C2588&lt;='Visual SPC'!$E$4),OR('Visual SPC'!$G$4="",'Data Entry'!$D2588='Visual SPC'!$G$4),OR('Visual SPC'!$I$4="",'Data Entry'!$E2588='Visual SPC'!$I$4),OR('Visual SPC'!$K$4="",'Data Entry'!$F2588='Visual SPC'!$K$4)),1,0))</f>
        <v/>
      </c>
      <c r="C2588">
        <f>C2587+B2588</f>
        <v/>
      </c>
      <c r="D2588">
        <f>IF(B2588=1,INDEX('Data Entry'!$H$5:$BE$10004,2588-4,'Visual SPC'!$B$3),"")</f>
        <v/>
      </c>
      <c r="E2588">
        <f>IF(B2588=1,D2588,E2587)</f>
        <v/>
      </c>
      <c r="F2588">
        <f>IF(AND(B2588=1,C2588&gt;1,E2587&lt;&gt;""),ABS(D2588-E2587),"")</f>
        <v/>
      </c>
    </row>
    <row r="2589">
      <c r="A2589" t="n">
        <v>2589</v>
      </c>
      <c r="B2589">
        <f>IF(INDEX('Data Entry'!$H$5:$BE$10004,2589-4,'Visual SPC'!$B$3)="",0,IF(AND(OR('Visual SPC'!$C$4="",'Data Entry'!$C2589&gt;='Visual SPC'!$C$4),OR('Visual SPC'!$E$4="",'Data Entry'!$C2589&lt;='Visual SPC'!$E$4),OR('Visual SPC'!$G$4="",'Data Entry'!$D2589='Visual SPC'!$G$4),OR('Visual SPC'!$I$4="",'Data Entry'!$E2589='Visual SPC'!$I$4),OR('Visual SPC'!$K$4="",'Data Entry'!$F2589='Visual SPC'!$K$4)),1,0))</f>
        <v/>
      </c>
      <c r="C2589">
        <f>C2588+B2589</f>
        <v/>
      </c>
      <c r="D2589">
        <f>IF(B2589=1,INDEX('Data Entry'!$H$5:$BE$10004,2589-4,'Visual SPC'!$B$3),"")</f>
        <v/>
      </c>
      <c r="E2589">
        <f>IF(B2589=1,D2589,E2588)</f>
        <v/>
      </c>
      <c r="F2589">
        <f>IF(AND(B2589=1,C2589&gt;1,E2588&lt;&gt;""),ABS(D2589-E2588),"")</f>
        <v/>
      </c>
    </row>
    <row r="2590">
      <c r="A2590" t="n">
        <v>2590</v>
      </c>
      <c r="B2590">
        <f>IF(INDEX('Data Entry'!$H$5:$BE$10004,2590-4,'Visual SPC'!$B$3)="",0,IF(AND(OR('Visual SPC'!$C$4="",'Data Entry'!$C2590&gt;='Visual SPC'!$C$4),OR('Visual SPC'!$E$4="",'Data Entry'!$C2590&lt;='Visual SPC'!$E$4),OR('Visual SPC'!$G$4="",'Data Entry'!$D2590='Visual SPC'!$G$4),OR('Visual SPC'!$I$4="",'Data Entry'!$E2590='Visual SPC'!$I$4),OR('Visual SPC'!$K$4="",'Data Entry'!$F2590='Visual SPC'!$K$4)),1,0))</f>
        <v/>
      </c>
      <c r="C2590">
        <f>C2589+B2590</f>
        <v/>
      </c>
      <c r="D2590">
        <f>IF(B2590=1,INDEX('Data Entry'!$H$5:$BE$10004,2590-4,'Visual SPC'!$B$3),"")</f>
        <v/>
      </c>
      <c r="E2590">
        <f>IF(B2590=1,D2590,E2589)</f>
        <v/>
      </c>
      <c r="F2590">
        <f>IF(AND(B2590=1,C2590&gt;1,E2589&lt;&gt;""),ABS(D2590-E2589),"")</f>
        <v/>
      </c>
    </row>
    <row r="2591">
      <c r="A2591" t="n">
        <v>2591</v>
      </c>
      <c r="B2591">
        <f>IF(INDEX('Data Entry'!$H$5:$BE$10004,2591-4,'Visual SPC'!$B$3)="",0,IF(AND(OR('Visual SPC'!$C$4="",'Data Entry'!$C2591&gt;='Visual SPC'!$C$4),OR('Visual SPC'!$E$4="",'Data Entry'!$C2591&lt;='Visual SPC'!$E$4),OR('Visual SPC'!$G$4="",'Data Entry'!$D2591='Visual SPC'!$G$4),OR('Visual SPC'!$I$4="",'Data Entry'!$E2591='Visual SPC'!$I$4),OR('Visual SPC'!$K$4="",'Data Entry'!$F2591='Visual SPC'!$K$4)),1,0))</f>
        <v/>
      </c>
      <c r="C2591">
        <f>C2590+B2591</f>
        <v/>
      </c>
      <c r="D2591">
        <f>IF(B2591=1,INDEX('Data Entry'!$H$5:$BE$10004,2591-4,'Visual SPC'!$B$3),"")</f>
        <v/>
      </c>
      <c r="E2591">
        <f>IF(B2591=1,D2591,E2590)</f>
        <v/>
      </c>
      <c r="F2591">
        <f>IF(AND(B2591=1,C2591&gt;1,E2590&lt;&gt;""),ABS(D2591-E2590),"")</f>
        <v/>
      </c>
    </row>
    <row r="2592">
      <c r="A2592" t="n">
        <v>2592</v>
      </c>
      <c r="B2592">
        <f>IF(INDEX('Data Entry'!$H$5:$BE$10004,2592-4,'Visual SPC'!$B$3)="",0,IF(AND(OR('Visual SPC'!$C$4="",'Data Entry'!$C2592&gt;='Visual SPC'!$C$4),OR('Visual SPC'!$E$4="",'Data Entry'!$C2592&lt;='Visual SPC'!$E$4),OR('Visual SPC'!$G$4="",'Data Entry'!$D2592='Visual SPC'!$G$4),OR('Visual SPC'!$I$4="",'Data Entry'!$E2592='Visual SPC'!$I$4),OR('Visual SPC'!$K$4="",'Data Entry'!$F2592='Visual SPC'!$K$4)),1,0))</f>
        <v/>
      </c>
      <c r="C2592">
        <f>C2591+B2592</f>
        <v/>
      </c>
      <c r="D2592">
        <f>IF(B2592=1,INDEX('Data Entry'!$H$5:$BE$10004,2592-4,'Visual SPC'!$B$3),"")</f>
        <v/>
      </c>
      <c r="E2592">
        <f>IF(B2592=1,D2592,E2591)</f>
        <v/>
      </c>
      <c r="F2592">
        <f>IF(AND(B2592=1,C2592&gt;1,E2591&lt;&gt;""),ABS(D2592-E2591),"")</f>
        <v/>
      </c>
    </row>
    <row r="2593">
      <c r="A2593" t="n">
        <v>2593</v>
      </c>
      <c r="B2593">
        <f>IF(INDEX('Data Entry'!$H$5:$BE$10004,2593-4,'Visual SPC'!$B$3)="",0,IF(AND(OR('Visual SPC'!$C$4="",'Data Entry'!$C2593&gt;='Visual SPC'!$C$4),OR('Visual SPC'!$E$4="",'Data Entry'!$C2593&lt;='Visual SPC'!$E$4),OR('Visual SPC'!$G$4="",'Data Entry'!$D2593='Visual SPC'!$G$4),OR('Visual SPC'!$I$4="",'Data Entry'!$E2593='Visual SPC'!$I$4),OR('Visual SPC'!$K$4="",'Data Entry'!$F2593='Visual SPC'!$K$4)),1,0))</f>
        <v/>
      </c>
      <c r="C2593">
        <f>C2592+B2593</f>
        <v/>
      </c>
      <c r="D2593">
        <f>IF(B2593=1,INDEX('Data Entry'!$H$5:$BE$10004,2593-4,'Visual SPC'!$B$3),"")</f>
        <v/>
      </c>
      <c r="E2593">
        <f>IF(B2593=1,D2593,E2592)</f>
        <v/>
      </c>
      <c r="F2593">
        <f>IF(AND(B2593=1,C2593&gt;1,E2592&lt;&gt;""),ABS(D2593-E2592),"")</f>
        <v/>
      </c>
    </row>
    <row r="2594">
      <c r="A2594" t="n">
        <v>2594</v>
      </c>
      <c r="B2594">
        <f>IF(INDEX('Data Entry'!$H$5:$BE$10004,2594-4,'Visual SPC'!$B$3)="",0,IF(AND(OR('Visual SPC'!$C$4="",'Data Entry'!$C2594&gt;='Visual SPC'!$C$4),OR('Visual SPC'!$E$4="",'Data Entry'!$C2594&lt;='Visual SPC'!$E$4),OR('Visual SPC'!$G$4="",'Data Entry'!$D2594='Visual SPC'!$G$4),OR('Visual SPC'!$I$4="",'Data Entry'!$E2594='Visual SPC'!$I$4),OR('Visual SPC'!$K$4="",'Data Entry'!$F2594='Visual SPC'!$K$4)),1,0))</f>
        <v/>
      </c>
      <c r="C2594">
        <f>C2593+B2594</f>
        <v/>
      </c>
      <c r="D2594">
        <f>IF(B2594=1,INDEX('Data Entry'!$H$5:$BE$10004,2594-4,'Visual SPC'!$B$3),"")</f>
        <v/>
      </c>
      <c r="E2594">
        <f>IF(B2594=1,D2594,E2593)</f>
        <v/>
      </c>
      <c r="F2594">
        <f>IF(AND(B2594=1,C2594&gt;1,E2593&lt;&gt;""),ABS(D2594-E2593),"")</f>
        <v/>
      </c>
    </row>
    <row r="2595">
      <c r="A2595" t="n">
        <v>2595</v>
      </c>
      <c r="B2595">
        <f>IF(INDEX('Data Entry'!$H$5:$BE$10004,2595-4,'Visual SPC'!$B$3)="",0,IF(AND(OR('Visual SPC'!$C$4="",'Data Entry'!$C2595&gt;='Visual SPC'!$C$4),OR('Visual SPC'!$E$4="",'Data Entry'!$C2595&lt;='Visual SPC'!$E$4),OR('Visual SPC'!$G$4="",'Data Entry'!$D2595='Visual SPC'!$G$4),OR('Visual SPC'!$I$4="",'Data Entry'!$E2595='Visual SPC'!$I$4),OR('Visual SPC'!$K$4="",'Data Entry'!$F2595='Visual SPC'!$K$4)),1,0))</f>
        <v/>
      </c>
      <c r="C2595">
        <f>C2594+B2595</f>
        <v/>
      </c>
      <c r="D2595">
        <f>IF(B2595=1,INDEX('Data Entry'!$H$5:$BE$10004,2595-4,'Visual SPC'!$B$3),"")</f>
        <v/>
      </c>
      <c r="E2595">
        <f>IF(B2595=1,D2595,E2594)</f>
        <v/>
      </c>
      <c r="F2595">
        <f>IF(AND(B2595=1,C2595&gt;1,E2594&lt;&gt;""),ABS(D2595-E2594),"")</f>
        <v/>
      </c>
    </row>
    <row r="2596">
      <c r="A2596" t="n">
        <v>2596</v>
      </c>
      <c r="B2596">
        <f>IF(INDEX('Data Entry'!$H$5:$BE$10004,2596-4,'Visual SPC'!$B$3)="",0,IF(AND(OR('Visual SPC'!$C$4="",'Data Entry'!$C2596&gt;='Visual SPC'!$C$4),OR('Visual SPC'!$E$4="",'Data Entry'!$C2596&lt;='Visual SPC'!$E$4),OR('Visual SPC'!$G$4="",'Data Entry'!$D2596='Visual SPC'!$G$4),OR('Visual SPC'!$I$4="",'Data Entry'!$E2596='Visual SPC'!$I$4),OR('Visual SPC'!$K$4="",'Data Entry'!$F2596='Visual SPC'!$K$4)),1,0))</f>
        <v/>
      </c>
      <c r="C2596">
        <f>C2595+B2596</f>
        <v/>
      </c>
      <c r="D2596">
        <f>IF(B2596=1,INDEX('Data Entry'!$H$5:$BE$10004,2596-4,'Visual SPC'!$B$3),"")</f>
        <v/>
      </c>
      <c r="E2596">
        <f>IF(B2596=1,D2596,E2595)</f>
        <v/>
      </c>
      <c r="F2596">
        <f>IF(AND(B2596=1,C2596&gt;1,E2595&lt;&gt;""),ABS(D2596-E2595),"")</f>
        <v/>
      </c>
    </row>
    <row r="2597">
      <c r="A2597" t="n">
        <v>2597</v>
      </c>
      <c r="B2597">
        <f>IF(INDEX('Data Entry'!$H$5:$BE$10004,2597-4,'Visual SPC'!$B$3)="",0,IF(AND(OR('Visual SPC'!$C$4="",'Data Entry'!$C2597&gt;='Visual SPC'!$C$4),OR('Visual SPC'!$E$4="",'Data Entry'!$C2597&lt;='Visual SPC'!$E$4),OR('Visual SPC'!$G$4="",'Data Entry'!$D2597='Visual SPC'!$G$4),OR('Visual SPC'!$I$4="",'Data Entry'!$E2597='Visual SPC'!$I$4),OR('Visual SPC'!$K$4="",'Data Entry'!$F2597='Visual SPC'!$K$4)),1,0))</f>
        <v/>
      </c>
      <c r="C2597">
        <f>C2596+B2597</f>
        <v/>
      </c>
      <c r="D2597">
        <f>IF(B2597=1,INDEX('Data Entry'!$H$5:$BE$10004,2597-4,'Visual SPC'!$B$3),"")</f>
        <v/>
      </c>
      <c r="E2597">
        <f>IF(B2597=1,D2597,E2596)</f>
        <v/>
      </c>
      <c r="F2597">
        <f>IF(AND(B2597=1,C2597&gt;1,E2596&lt;&gt;""),ABS(D2597-E2596),"")</f>
        <v/>
      </c>
    </row>
    <row r="2598">
      <c r="A2598" t="n">
        <v>2598</v>
      </c>
      <c r="B2598">
        <f>IF(INDEX('Data Entry'!$H$5:$BE$10004,2598-4,'Visual SPC'!$B$3)="",0,IF(AND(OR('Visual SPC'!$C$4="",'Data Entry'!$C2598&gt;='Visual SPC'!$C$4),OR('Visual SPC'!$E$4="",'Data Entry'!$C2598&lt;='Visual SPC'!$E$4),OR('Visual SPC'!$G$4="",'Data Entry'!$D2598='Visual SPC'!$G$4),OR('Visual SPC'!$I$4="",'Data Entry'!$E2598='Visual SPC'!$I$4),OR('Visual SPC'!$K$4="",'Data Entry'!$F2598='Visual SPC'!$K$4)),1,0))</f>
        <v/>
      </c>
      <c r="C2598">
        <f>C2597+B2598</f>
        <v/>
      </c>
      <c r="D2598">
        <f>IF(B2598=1,INDEX('Data Entry'!$H$5:$BE$10004,2598-4,'Visual SPC'!$B$3),"")</f>
        <v/>
      </c>
      <c r="E2598">
        <f>IF(B2598=1,D2598,E2597)</f>
        <v/>
      </c>
      <c r="F2598">
        <f>IF(AND(B2598=1,C2598&gt;1,E2597&lt;&gt;""),ABS(D2598-E2597),"")</f>
        <v/>
      </c>
    </row>
    <row r="2599">
      <c r="A2599" t="n">
        <v>2599</v>
      </c>
      <c r="B2599">
        <f>IF(INDEX('Data Entry'!$H$5:$BE$10004,2599-4,'Visual SPC'!$B$3)="",0,IF(AND(OR('Visual SPC'!$C$4="",'Data Entry'!$C2599&gt;='Visual SPC'!$C$4),OR('Visual SPC'!$E$4="",'Data Entry'!$C2599&lt;='Visual SPC'!$E$4),OR('Visual SPC'!$G$4="",'Data Entry'!$D2599='Visual SPC'!$G$4),OR('Visual SPC'!$I$4="",'Data Entry'!$E2599='Visual SPC'!$I$4),OR('Visual SPC'!$K$4="",'Data Entry'!$F2599='Visual SPC'!$K$4)),1,0))</f>
        <v/>
      </c>
      <c r="C2599">
        <f>C2598+B2599</f>
        <v/>
      </c>
      <c r="D2599">
        <f>IF(B2599=1,INDEX('Data Entry'!$H$5:$BE$10004,2599-4,'Visual SPC'!$B$3),"")</f>
        <v/>
      </c>
      <c r="E2599">
        <f>IF(B2599=1,D2599,E2598)</f>
        <v/>
      </c>
      <c r="F2599">
        <f>IF(AND(B2599=1,C2599&gt;1,E2598&lt;&gt;""),ABS(D2599-E2598),"")</f>
        <v/>
      </c>
    </row>
    <row r="2600">
      <c r="A2600" t="n">
        <v>2600</v>
      </c>
      <c r="B2600">
        <f>IF(INDEX('Data Entry'!$H$5:$BE$10004,2600-4,'Visual SPC'!$B$3)="",0,IF(AND(OR('Visual SPC'!$C$4="",'Data Entry'!$C2600&gt;='Visual SPC'!$C$4),OR('Visual SPC'!$E$4="",'Data Entry'!$C2600&lt;='Visual SPC'!$E$4),OR('Visual SPC'!$G$4="",'Data Entry'!$D2600='Visual SPC'!$G$4),OR('Visual SPC'!$I$4="",'Data Entry'!$E2600='Visual SPC'!$I$4),OR('Visual SPC'!$K$4="",'Data Entry'!$F2600='Visual SPC'!$K$4)),1,0))</f>
        <v/>
      </c>
      <c r="C2600">
        <f>C2599+B2600</f>
        <v/>
      </c>
      <c r="D2600">
        <f>IF(B2600=1,INDEX('Data Entry'!$H$5:$BE$10004,2600-4,'Visual SPC'!$B$3),"")</f>
        <v/>
      </c>
      <c r="E2600">
        <f>IF(B2600=1,D2600,E2599)</f>
        <v/>
      </c>
      <c r="F2600">
        <f>IF(AND(B2600=1,C2600&gt;1,E2599&lt;&gt;""),ABS(D2600-E2599),"")</f>
        <v/>
      </c>
    </row>
    <row r="2601">
      <c r="A2601" t="n">
        <v>2601</v>
      </c>
      <c r="B2601">
        <f>IF(INDEX('Data Entry'!$H$5:$BE$10004,2601-4,'Visual SPC'!$B$3)="",0,IF(AND(OR('Visual SPC'!$C$4="",'Data Entry'!$C2601&gt;='Visual SPC'!$C$4),OR('Visual SPC'!$E$4="",'Data Entry'!$C2601&lt;='Visual SPC'!$E$4),OR('Visual SPC'!$G$4="",'Data Entry'!$D2601='Visual SPC'!$G$4),OR('Visual SPC'!$I$4="",'Data Entry'!$E2601='Visual SPC'!$I$4),OR('Visual SPC'!$K$4="",'Data Entry'!$F2601='Visual SPC'!$K$4)),1,0))</f>
        <v/>
      </c>
      <c r="C2601">
        <f>C2600+B2601</f>
        <v/>
      </c>
      <c r="D2601">
        <f>IF(B2601=1,INDEX('Data Entry'!$H$5:$BE$10004,2601-4,'Visual SPC'!$B$3),"")</f>
        <v/>
      </c>
      <c r="E2601">
        <f>IF(B2601=1,D2601,E2600)</f>
        <v/>
      </c>
      <c r="F2601">
        <f>IF(AND(B2601=1,C2601&gt;1,E2600&lt;&gt;""),ABS(D2601-E2600),"")</f>
        <v/>
      </c>
    </row>
    <row r="2602">
      <c r="A2602" t="n">
        <v>2602</v>
      </c>
      <c r="B2602">
        <f>IF(INDEX('Data Entry'!$H$5:$BE$10004,2602-4,'Visual SPC'!$B$3)="",0,IF(AND(OR('Visual SPC'!$C$4="",'Data Entry'!$C2602&gt;='Visual SPC'!$C$4),OR('Visual SPC'!$E$4="",'Data Entry'!$C2602&lt;='Visual SPC'!$E$4),OR('Visual SPC'!$G$4="",'Data Entry'!$D2602='Visual SPC'!$G$4),OR('Visual SPC'!$I$4="",'Data Entry'!$E2602='Visual SPC'!$I$4),OR('Visual SPC'!$K$4="",'Data Entry'!$F2602='Visual SPC'!$K$4)),1,0))</f>
        <v/>
      </c>
      <c r="C2602">
        <f>C2601+B2602</f>
        <v/>
      </c>
      <c r="D2602">
        <f>IF(B2602=1,INDEX('Data Entry'!$H$5:$BE$10004,2602-4,'Visual SPC'!$B$3),"")</f>
        <v/>
      </c>
      <c r="E2602">
        <f>IF(B2602=1,D2602,E2601)</f>
        <v/>
      </c>
      <c r="F2602">
        <f>IF(AND(B2602=1,C2602&gt;1,E2601&lt;&gt;""),ABS(D2602-E2601),"")</f>
        <v/>
      </c>
    </row>
    <row r="2603">
      <c r="A2603" t="n">
        <v>2603</v>
      </c>
      <c r="B2603">
        <f>IF(INDEX('Data Entry'!$H$5:$BE$10004,2603-4,'Visual SPC'!$B$3)="",0,IF(AND(OR('Visual SPC'!$C$4="",'Data Entry'!$C2603&gt;='Visual SPC'!$C$4),OR('Visual SPC'!$E$4="",'Data Entry'!$C2603&lt;='Visual SPC'!$E$4),OR('Visual SPC'!$G$4="",'Data Entry'!$D2603='Visual SPC'!$G$4),OR('Visual SPC'!$I$4="",'Data Entry'!$E2603='Visual SPC'!$I$4),OR('Visual SPC'!$K$4="",'Data Entry'!$F2603='Visual SPC'!$K$4)),1,0))</f>
        <v/>
      </c>
      <c r="C2603">
        <f>C2602+B2603</f>
        <v/>
      </c>
      <c r="D2603">
        <f>IF(B2603=1,INDEX('Data Entry'!$H$5:$BE$10004,2603-4,'Visual SPC'!$B$3),"")</f>
        <v/>
      </c>
      <c r="E2603">
        <f>IF(B2603=1,D2603,E2602)</f>
        <v/>
      </c>
      <c r="F2603">
        <f>IF(AND(B2603=1,C2603&gt;1,E2602&lt;&gt;""),ABS(D2603-E2602),"")</f>
        <v/>
      </c>
    </row>
    <row r="2604">
      <c r="A2604" t="n">
        <v>2604</v>
      </c>
      <c r="B2604">
        <f>IF(INDEX('Data Entry'!$H$5:$BE$10004,2604-4,'Visual SPC'!$B$3)="",0,IF(AND(OR('Visual SPC'!$C$4="",'Data Entry'!$C2604&gt;='Visual SPC'!$C$4),OR('Visual SPC'!$E$4="",'Data Entry'!$C2604&lt;='Visual SPC'!$E$4),OR('Visual SPC'!$G$4="",'Data Entry'!$D2604='Visual SPC'!$G$4),OR('Visual SPC'!$I$4="",'Data Entry'!$E2604='Visual SPC'!$I$4),OR('Visual SPC'!$K$4="",'Data Entry'!$F2604='Visual SPC'!$K$4)),1,0))</f>
        <v/>
      </c>
      <c r="C2604">
        <f>C2603+B2604</f>
        <v/>
      </c>
      <c r="D2604">
        <f>IF(B2604=1,INDEX('Data Entry'!$H$5:$BE$10004,2604-4,'Visual SPC'!$B$3),"")</f>
        <v/>
      </c>
      <c r="E2604">
        <f>IF(B2604=1,D2604,E2603)</f>
        <v/>
      </c>
      <c r="F2604">
        <f>IF(AND(B2604=1,C2604&gt;1,E2603&lt;&gt;""),ABS(D2604-E2603),"")</f>
        <v/>
      </c>
    </row>
    <row r="2605">
      <c r="A2605" t="n">
        <v>2605</v>
      </c>
      <c r="B2605">
        <f>IF(INDEX('Data Entry'!$H$5:$BE$10004,2605-4,'Visual SPC'!$B$3)="",0,IF(AND(OR('Visual SPC'!$C$4="",'Data Entry'!$C2605&gt;='Visual SPC'!$C$4),OR('Visual SPC'!$E$4="",'Data Entry'!$C2605&lt;='Visual SPC'!$E$4),OR('Visual SPC'!$G$4="",'Data Entry'!$D2605='Visual SPC'!$G$4),OR('Visual SPC'!$I$4="",'Data Entry'!$E2605='Visual SPC'!$I$4),OR('Visual SPC'!$K$4="",'Data Entry'!$F2605='Visual SPC'!$K$4)),1,0))</f>
        <v/>
      </c>
      <c r="C2605">
        <f>C2604+B2605</f>
        <v/>
      </c>
      <c r="D2605">
        <f>IF(B2605=1,INDEX('Data Entry'!$H$5:$BE$10004,2605-4,'Visual SPC'!$B$3),"")</f>
        <v/>
      </c>
      <c r="E2605">
        <f>IF(B2605=1,D2605,E2604)</f>
        <v/>
      </c>
      <c r="F2605">
        <f>IF(AND(B2605=1,C2605&gt;1,E2604&lt;&gt;""),ABS(D2605-E2604),"")</f>
        <v/>
      </c>
    </row>
    <row r="2606">
      <c r="A2606" t="n">
        <v>2606</v>
      </c>
      <c r="B2606">
        <f>IF(INDEX('Data Entry'!$H$5:$BE$10004,2606-4,'Visual SPC'!$B$3)="",0,IF(AND(OR('Visual SPC'!$C$4="",'Data Entry'!$C2606&gt;='Visual SPC'!$C$4),OR('Visual SPC'!$E$4="",'Data Entry'!$C2606&lt;='Visual SPC'!$E$4),OR('Visual SPC'!$G$4="",'Data Entry'!$D2606='Visual SPC'!$G$4),OR('Visual SPC'!$I$4="",'Data Entry'!$E2606='Visual SPC'!$I$4),OR('Visual SPC'!$K$4="",'Data Entry'!$F2606='Visual SPC'!$K$4)),1,0))</f>
        <v/>
      </c>
      <c r="C2606">
        <f>C2605+B2606</f>
        <v/>
      </c>
      <c r="D2606">
        <f>IF(B2606=1,INDEX('Data Entry'!$H$5:$BE$10004,2606-4,'Visual SPC'!$B$3),"")</f>
        <v/>
      </c>
      <c r="E2606">
        <f>IF(B2606=1,D2606,E2605)</f>
        <v/>
      </c>
      <c r="F2606">
        <f>IF(AND(B2606=1,C2606&gt;1,E2605&lt;&gt;""),ABS(D2606-E2605),"")</f>
        <v/>
      </c>
    </row>
    <row r="2607">
      <c r="A2607" t="n">
        <v>2607</v>
      </c>
      <c r="B2607">
        <f>IF(INDEX('Data Entry'!$H$5:$BE$10004,2607-4,'Visual SPC'!$B$3)="",0,IF(AND(OR('Visual SPC'!$C$4="",'Data Entry'!$C2607&gt;='Visual SPC'!$C$4),OR('Visual SPC'!$E$4="",'Data Entry'!$C2607&lt;='Visual SPC'!$E$4),OR('Visual SPC'!$G$4="",'Data Entry'!$D2607='Visual SPC'!$G$4),OR('Visual SPC'!$I$4="",'Data Entry'!$E2607='Visual SPC'!$I$4),OR('Visual SPC'!$K$4="",'Data Entry'!$F2607='Visual SPC'!$K$4)),1,0))</f>
        <v/>
      </c>
      <c r="C2607">
        <f>C2606+B2607</f>
        <v/>
      </c>
      <c r="D2607">
        <f>IF(B2607=1,INDEX('Data Entry'!$H$5:$BE$10004,2607-4,'Visual SPC'!$B$3),"")</f>
        <v/>
      </c>
      <c r="E2607">
        <f>IF(B2607=1,D2607,E2606)</f>
        <v/>
      </c>
      <c r="F2607">
        <f>IF(AND(B2607=1,C2607&gt;1,E2606&lt;&gt;""),ABS(D2607-E2606),"")</f>
        <v/>
      </c>
    </row>
    <row r="2608">
      <c r="A2608" t="n">
        <v>2608</v>
      </c>
      <c r="B2608">
        <f>IF(INDEX('Data Entry'!$H$5:$BE$10004,2608-4,'Visual SPC'!$B$3)="",0,IF(AND(OR('Visual SPC'!$C$4="",'Data Entry'!$C2608&gt;='Visual SPC'!$C$4),OR('Visual SPC'!$E$4="",'Data Entry'!$C2608&lt;='Visual SPC'!$E$4),OR('Visual SPC'!$G$4="",'Data Entry'!$D2608='Visual SPC'!$G$4),OR('Visual SPC'!$I$4="",'Data Entry'!$E2608='Visual SPC'!$I$4),OR('Visual SPC'!$K$4="",'Data Entry'!$F2608='Visual SPC'!$K$4)),1,0))</f>
        <v/>
      </c>
      <c r="C2608">
        <f>C2607+B2608</f>
        <v/>
      </c>
      <c r="D2608">
        <f>IF(B2608=1,INDEX('Data Entry'!$H$5:$BE$10004,2608-4,'Visual SPC'!$B$3),"")</f>
        <v/>
      </c>
      <c r="E2608">
        <f>IF(B2608=1,D2608,E2607)</f>
        <v/>
      </c>
      <c r="F2608">
        <f>IF(AND(B2608=1,C2608&gt;1,E2607&lt;&gt;""),ABS(D2608-E2607),"")</f>
        <v/>
      </c>
    </row>
    <row r="2609">
      <c r="A2609" t="n">
        <v>2609</v>
      </c>
      <c r="B2609">
        <f>IF(INDEX('Data Entry'!$H$5:$BE$10004,2609-4,'Visual SPC'!$B$3)="",0,IF(AND(OR('Visual SPC'!$C$4="",'Data Entry'!$C2609&gt;='Visual SPC'!$C$4),OR('Visual SPC'!$E$4="",'Data Entry'!$C2609&lt;='Visual SPC'!$E$4),OR('Visual SPC'!$G$4="",'Data Entry'!$D2609='Visual SPC'!$G$4),OR('Visual SPC'!$I$4="",'Data Entry'!$E2609='Visual SPC'!$I$4),OR('Visual SPC'!$K$4="",'Data Entry'!$F2609='Visual SPC'!$K$4)),1,0))</f>
        <v/>
      </c>
      <c r="C2609">
        <f>C2608+B2609</f>
        <v/>
      </c>
      <c r="D2609">
        <f>IF(B2609=1,INDEX('Data Entry'!$H$5:$BE$10004,2609-4,'Visual SPC'!$B$3),"")</f>
        <v/>
      </c>
      <c r="E2609">
        <f>IF(B2609=1,D2609,E2608)</f>
        <v/>
      </c>
      <c r="F2609">
        <f>IF(AND(B2609=1,C2609&gt;1,E2608&lt;&gt;""),ABS(D2609-E2608),"")</f>
        <v/>
      </c>
    </row>
    <row r="2610">
      <c r="A2610" t="n">
        <v>2610</v>
      </c>
      <c r="B2610">
        <f>IF(INDEX('Data Entry'!$H$5:$BE$10004,2610-4,'Visual SPC'!$B$3)="",0,IF(AND(OR('Visual SPC'!$C$4="",'Data Entry'!$C2610&gt;='Visual SPC'!$C$4),OR('Visual SPC'!$E$4="",'Data Entry'!$C2610&lt;='Visual SPC'!$E$4),OR('Visual SPC'!$G$4="",'Data Entry'!$D2610='Visual SPC'!$G$4),OR('Visual SPC'!$I$4="",'Data Entry'!$E2610='Visual SPC'!$I$4),OR('Visual SPC'!$K$4="",'Data Entry'!$F2610='Visual SPC'!$K$4)),1,0))</f>
        <v/>
      </c>
      <c r="C2610">
        <f>C2609+B2610</f>
        <v/>
      </c>
      <c r="D2610">
        <f>IF(B2610=1,INDEX('Data Entry'!$H$5:$BE$10004,2610-4,'Visual SPC'!$B$3),"")</f>
        <v/>
      </c>
      <c r="E2610">
        <f>IF(B2610=1,D2610,E2609)</f>
        <v/>
      </c>
      <c r="F2610">
        <f>IF(AND(B2610=1,C2610&gt;1,E2609&lt;&gt;""),ABS(D2610-E2609),"")</f>
        <v/>
      </c>
    </row>
    <row r="2611">
      <c r="A2611" t="n">
        <v>2611</v>
      </c>
      <c r="B2611">
        <f>IF(INDEX('Data Entry'!$H$5:$BE$10004,2611-4,'Visual SPC'!$B$3)="",0,IF(AND(OR('Visual SPC'!$C$4="",'Data Entry'!$C2611&gt;='Visual SPC'!$C$4),OR('Visual SPC'!$E$4="",'Data Entry'!$C2611&lt;='Visual SPC'!$E$4),OR('Visual SPC'!$G$4="",'Data Entry'!$D2611='Visual SPC'!$G$4),OR('Visual SPC'!$I$4="",'Data Entry'!$E2611='Visual SPC'!$I$4),OR('Visual SPC'!$K$4="",'Data Entry'!$F2611='Visual SPC'!$K$4)),1,0))</f>
        <v/>
      </c>
      <c r="C2611">
        <f>C2610+B2611</f>
        <v/>
      </c>
      <c r="D2611">
        <f>IF(B2611=1,INDEX('Data Entry'!$H$5:$BE$10004,2611-4,'Visual SPC'!$B$3),"")</f>
        <v/>
      </c>
      <c r="E2611">
        <f>IF(B2611=1,D2611,E2610)</f>
        <v/>
      </c>
      <c r="F2611">
        <f>IF(AND(B2611=1,C2611&gt;1,E2610&lt;&gt;""),ABS(D2611-E2610),"")</f>
        <v/>
      </c>
    </row>
    <row r="2612">
      <c r="A2612" t="n">
        <v>2612</v>
      </c>
      <c r="B2612">
        <f>IF(INDEX('Data Entry'!$H$5:$BE$10004,2612-4,'Visual SPC'!$B$3)="",0,IF(AND(OR('Visual SPC'!$C$4="",'Data Entry'!$C2612&gt;='Visual SPC'!$C$4),OR('Visual SPC'!$E$4="",'Data Entry'!$C2612&lt;='Visual SPC'!$E$4),OR('Visual SPC'!$G$4="",'Data Entry'!$D2612='Visual SPC'!$G$4),OR('Visual SPC'!$I$4="",'Data Entry'!$E2612='Visual SPC'!$I$4),OR('Visual SPC'!$K$4="",'Data Entry'!$F2612='Visual SPC'!$K$4)),1,0))</f>
        <v/>
      </c>
      <c r="C2612">
        <f>C2611+B2612</f>
        <v/>
      </c>
      <c r="D2612">
        <f>IF(B2612=1,INDEX('Data Entry'!$H$5:$BE$10004,2612-4,'Visual SPC'!$B$3),"")</f>
        <v/>
      </c>
      <c r="E2612">
        <f>IF(B2612=1,D2612,E2611)</f>
        <v/>
      </c>
      <c r="F2612">
        <f>IF(AND(B2612=1,C2612&gt;1,E2611&lt;&gt;""),ABS(D2612-E2611),"")</f>
        <v/>
      </c>
    </row>
    <row r="2613">
      <c r="A2613" t="n">
        <v>2613</v>
      </c>
      <c r="B2613">
        <f>IF(INDEX('Data Entry'!$H$5:$BE$10004,2613-4,'Visual SPC'!$B$3)="",0,IF(AND(OR('Visual SPC'!$C$4="",'Data Entry'!$C2613&gt;='Visual SPC'!$C$4),OR('Visual SPC'!$E$4="",'Data Entry'!$C2613&lt;='Visual SPC'!$E$4),OR('Visual SPC'!$G$4="",'Data Entry'!$D2613='Visual SPC'!$G$4),OR('Visual SPC'!$I$4="",'Data Entry'!$E2613='Visual SPC'!$I$4),OR('Visual SPC'!$K$4="",'Data Entry'!$F2613='Visual SPC'!$K$4)),1,0))</f>
        <v/>
      </c>
      <c r="C2613">
        <f>C2612+B2613</f>
        <v/>
      </c>
      <c r="D2613">
        <f>IF(B2613=1,INDEX('Data Entry'!$H$5:$BE$10004,2613-4,'Visual SPC'!$B$3),"")</f>
        <v/>
      </c>
      <c r="E2613">
        <f>IF(B2613=1,D2613,E2612)</f>
        <v/>
      </c>
      <c r="F2613">
        <f>IF(AND(B2613=1,C2613&gt;1,E2612&lt;&gt;""),ABS(D2613-E2612),"")</f>
        <v/>
      </c>
    </row>
    <row r="2614">
      <c r="A2614" t="n">
        <v>2614</v>
      </c>
      <c r="B2614">
        <f>IF(INDEX('Data Entry'!$H$5:$BE$10004,2614-4,'Visual SPC'!$B$3)="",0,IF(AND(OR('Visual SPC'!$C$4="",'Data Entry'!$C2614&gt;='Visual SPC'!$C$4),OR('Visual SPC'!$E$4="",'Data Entry'!$C2614&lt;='Visual SPC'!$E$4),OR('Visual SPC'!$G$4="",'Data Entry'!$D2614='Visual SPC'!$G$4),OR('Visual SPC'!$I$4="",'Data Entry'!$E2614='Visual SPC'!$I$4),OR('Visual SPC'!$K$4="",'Data Entry'!$F2614='Visual SPC'!$K$4)),1,0))</f>
        <v/>
      </c>
      <c r="C2614">
        <f>C2613+B2614</f>
        <v/>
      </c>
      <c r="D2614">
        <f>IF(B2614=1,INDEX('Data Entry'!$H$5:$BE$10004,2614-4,'Visual SPC'!$B$3),"")</f>
        <v/>
      </c>
      <c r="E2614">
        <f>IF(B2614=1,D2614,E2613)</f>
        <v/>
      </c>
      <c r="F2614">
        <f>IF(AND(B2614=1,C2614&gt;1,E2613&lt;&gt;""),ABS(D2614-E2613),"")</f>
        <v/>
      </c>
    </row>
    <row r="2615">
      <c r="A2615" t="n">
        <v>2615</v>
      </c>
      <c r="B2615">
        <f>IF(INDEX('Data Entry'!$H$5:$BE$10004,2615-4,'Visual SPC'!$B$3)="",0,IF(AND(OR('Visual SPC'!$C$4="",'Data Entry'!$C2615&gt;='Visual SPC'!$C$4),OR('Visual SPC'!$E$4="",'Data Entry'!$C2615&lt;='Visual SPC'!$E$4),OR('Visual SPC'!$G$4="",'Data Entry'!$D2615='Visual SPC'!$G$4),OR('Visual SPC'!$I$4="",'Data Entry'!$E2615='Visual SPC'!$I$4),OR('Visual SPC'!$K$4="",'Data Entry'!$F2615='Visual SPC'!$K$4)),1,0))</f>
        <v/>
      </c>
      <c r="C2615">
        <f>C2614+B2615</f>
        <v/>
      </c>
      <c r="D2615">
        <f>IF(B2615=1,INDEX('Data Entry'!$H$5:$BE$10004,2615-4,'Visual SPC'!$B$3),"")</f>
        <v/>
      </c>
      <c r="E2615">
        <f>IF(B2615=1,D2615,E2614)</f>
        <v/>
      </c>
      <c r="F2615">
        <f>IF(AND(B2615=1,C2615&gt;1,E2614&lt;&gt;""),ABS(D2615-E2614),"")</f>
        <v/>
      </c>
    </row>
    <row r="2616">
      <c r="A2616" t="n">
        <v>2616</v>
      </c>
      <c r="B2616">
        <f>IF(INDEX('Data Entry'!$H$5:$BE$10004,2616-4,'Visual SPC'!$B$3)="",0,IF(AND(OR('Visual SPC'!$C$4="",'Data Entry'!$C2616&gt;='Visual SPC'!$C$4),OR('Visual SPC'!$E$4="",'Data Entry'!$C2616&lt;='Visual SPC'!$E$4),OR('Visual SPC'!$G$4="",'Data Entry'!$D2616='Visual SPC'!$G$4),OR('Visual SPC'!$I$4="",'Data Entry'!$E2616='Visual SPC'!$I$4),OR('Visual SPC'!$K$4="",'Data Entry'!$F2616='Visual SPC'!$K$4)),1,0))</f>
        <v/>
      </c>
      <c r="C2616">
        <f>C2615+B2616</f>
        <v/>
      </c>
      <c r="D2616">
        <f>IF(B2616=1,INDEX('Data Entry'!$H$5:$BE$10004,2616-4,'Visual SPC'!$B$3),"")</f>
        <v/>
      </c>
      <c r="E2616">
        <f>IF(B2616=1,D2616,E2615)</f>
        <v/>
      </c>
      <c r="F2616">
        <f>IF(AND(B2616=1,C2616&gt;1,E2615&lt;&gt;""),ABS(D2616-E2615),"")</f>
        <v/>
      </c>
    </row>
    <row r="2617">
      <c r="A2617" t="n">
        <v>2617</v>
      </c>
      <c r="B2617">
        <f>IF(INDEX('Data Entry'!$H$5:$BE$10004,2617-4,'Visual SPC'!$B$3)="",0,IF(AND(OR('Visual SPC'!$C$4="",'Data Entry'!$C2617&gt;='Visual SPC'!$C$4),OR('Visual SPC'!$E$4="",'Data Entry'!$C2617&lt;='Visual SPC'!$E$4),OR('Visual SPC'!$G$4="",'Data Entry'!$D2617='Visual SPC'!$G$4),OR('Visual SPC'!$I$4="",'Data Entry'!$E2617='Visual SPC'!$I$4),OR('Visual SPC'!$K$4="",'Data Entry'!$F2617='Visual SPC'!$K$4)),1,0))</f>
        <v/>
      </c>
      <c r="C2617">
        <f>C2616+B2617</f>
        <v/>
      </c>
      <c r="D2617">
        <f>IF(B2617=1,INDEX('Data Entry'!$H$5:$BE$10004,2617-4,'Visual SPC'!$B$3),"")</f>
        <v/>
      </c>
      <c r="E2617">
        <f>IF(B2617=1,D2617,E2616)</f>
        <v/>
      </c>
      <c r="F2617">
        <f>IF(AND(B2617=1,C2617&gt;1,E2616&lt;&gt;""),ABS(D2617-E2616),"")</f>
        <v/>
      </c>
    </row>
    <row r="2618">
      <c r="A2618" t="n">
        <v>2618</v>
      </c>
      <c r="B2618">
        <f>IF(INDEX('Data Entry'!$H$5:$BE$10004,2618-4,'Visual SPC'!$B$3)="",0,IF(AND(OR('Visual SPC'!$C$4="",'Data Entry'!$C2618&gt;='Visual SPC'!$C$4),OR('Visual SPC'!$E$4="",'Data Entry'!$C2618&lt;='Visual SPC'!$E$4),OR('Visual SPC'!$G$4="",'Data Entry'!$D2618='Visual SPC'!$G$4),OR('Visual SPC'!$I$4="",'Data Entry'!$E2618='Visual SPC'!$I$4),OR('Visual SPC'!$K$4="",'Data Entry'!$F2618='Visual SPC'!$K$4)),1,0))</f>
        <v/>
      </c>
      <c r="C2618">
        <f>C2617+B2618</f>
        <v/>
      </c>
      <c r="D2618">
        <f>IF(B2618=1,INDEX('Data Entry'!$H$5:$BE$10004,2618-4,'Visual SPC'!$B$3),"")</f>
        <v/>
      </c>
      <c r="E2618">
        <f>IF(B2618=1,D2618,E2617)</f>
        <v/>
      </c>
      <c r="F2618">
        <f>IF(AND(B2618=1,C2618&gt;1,E2617&lt;&gt;""),ABS(D2618-E2617),"")</f>
        <v/>
      </c>
    </row>
    <row r="2619">
      <c r="A2619" t="n">
        <v>2619</v>
      </c>
      <c r="B2619">
        <f>IF(INDEX('Data Entry'!$H$5:$BE$10004,2619-4,'Visual SPC'!$B$3)="",0,IF(AND(OR('Visual SPC'!$C$4="",'Data Entry'!$C2619&gt;='Visual SPC'!$C$4),OR('Visual SPC'!$E$4="",'Data Entry'!$C2619&lt;='Visual SPC'!$E$4),OR('Visual SPC'!$G$4="",'Data Entry'!$D2619='Visual SPC'!$G$4),OR('Visual SPC'!$I$4="",'Data Entry'!$E2619='Visual SPC'!$I$4),OR('Visual SPC'!$K$4="",'Data Entry'!$F2619='Visual SPC'!$K$4)),1,0))</f>
        <v/>
      </c>
      <c r="C2619">
        <f>C2618+B2619</f>
        <v/>
      </c>
      <c r="D2619">
        <f>IF(B2619=1,INDEX('Data Entry'!$H$5:$BE$10004,2619-4,'Visual SPC'!$B$3),"")</f>
        <v/>
      </c>
      <c r="E2619">
        <f>IF(B2619=1,D2619,E2618)</f>
        <v/>
      </c>
      <c r="F2619">
        <f>IF(AND(B2619=1,C2619&gt;1,E2618&lt;&gt;""),ABS(D2619-E2618),"")</f>
        <v/>
      </c>
    </row>
    <row r="2620">
      <c r="A2620" t="n">
        <v>2620</v>
      </c>
      <c r="B2620">
        <f>IF(INDEX('Data Entry'!$H$5:$BE$10004,2620-4,'Visual SPC'!$B$3)="",0,IF(AND(OR('Visual SPC'!$C$4="",'Data Entry'!$C2620&gt;='Visual SPC'!$C$4),OR('Visual SPC'!$E$4="",'Data Entry'!$C2620&lt;='Visual SPC'!$E$4),OR('Visual SPC'!$G$4="",'Data Entry'!$D2620='Visual SPC'!$G$4),OR('Visual SPC'!$I$4="",'Data Entry'!$E2620='Visual SPC'!$I$4),OR('Visual SPC'!$K$4="",'Data Entry'!$F2620='Visual SPC'!$K$4)),1,0))</f>
        <v/>
      </c>
      <c r="C2620">
        <f>C2619+B2620</f>
        <v/>
      </c>
      <c r="D2620">
        <f>IF(B2620=1,INDEX('Data Entry'!$H$5:$BE$10004,2620-4,'Visual SPC'!$B$3),"")</f>
        <v/>
      </c>
      <c r="E2620">
        <f>IF(B2620=1,D2620,E2619)</f>
        <v/>
      </c>
      <c r="F2620">
        <f>IF(AND(B2620=1,C2620&gt;1,E2619&lt;&gt;""),ABS(D2620-E2619),"")</f>
        <v/>
      </c>
    </row>
    <row r="2621">
      <c r="A2621" t="n">
        <v>2621</v>
      </c>
      <c r="B2621">
        <f>IF(INDEX('Data Entry'!$H$5:$BE$10004,2621-4,'Visual SPC'!$B$3)="",0,IF(AND(OR('Visual SPC'!$C$4="",'Data Entry'!$C2621&gt;='Visual SPC'!$C$4),OR('Visual SPC'!$E$4="",'Data Entry'!$C2621&lt;='Visual SPC'!$E$4),OR('Visual SPC'!$G$4="",'Data Entry'!$D2621='Visual SPC'!$G$4),OR('Visual SPC'!$I$4="",'Data Entry'!$E2621='Visual SPC'!$I$4),OR('Visual SPC'!$K$4="",'Data Entry'!$F2621='Visual SPC'!$K$4)),1,0))</f>
        <v/>
      </c>
      <c r="C2621">
        <f>C2620+B2621</f>
        <v/>
      </c>
      <c r="D2621">
        <f>IF(B2621=1,INDEX('Data Entry'!$H$5:$BE$10004,2621-4,'Visual SPC'!$B$3),"")</f>
        <v/>
      </c>
      <c r="E2621">
        <f>IF(B2621=1,D2621,E2620)</f>
        <v/>
      </c>
      <c r="F2621">
        <f>IF(AND(B2621=1,C2621&gt;1,E2620&lt;&gt;""),ABS(D2621-E2620),"")</f>
        <v/>
      </c>
    </row>
    <row r="2622">
      <c r="A2622" t="n">
        <v>2622</v>
      </c>
      <c r="B2622">
        <f>IF(INDEX('Data Entry'!$H$5:$BE$10004,2622-4,'Visual SPC'!$B$3)="",0,IF(AND(OR('Visual SPC'!$C$4="",'Data Entry'!$C2622&gt;='Visual SPC'!$C$4),OR('Visual SPC'!$E$4="",'Data Entry'!$C2622&lt;='Visual SPC'!$E$4),OR('Visual SPC'!$G$4="",'Data Entry'!$D2622='Visual SPC'!$G$4),OR('Visual SPC'!$I$4="",'Data Entry'!$E2622='Visual SPC'!$I$4),OR('Visual SPC'!$K$4="",'Data Entry'!$F2622='Visual SPC'!$K$4)),1,0))</f>
        <v/>
      </c>
      <c r="C2622">
        <f>C2621+B2622</f>
        <v/>
      </c>
      <c r="D2622">
        <f>IF(B2622=1,INDEX('Data Entry'!$H$5:$BE$10004,2622-4,'Visual SPC'!$B$3),"")</f>
        <v/>
      </c>
      <c r="E2622">
        <f>IF(B2622=1,D2622,E2621)</f>
        <v/>
      </c>
      <c r="F2622">
        <f>IF(AND(B2622=1,C2622&gt;1,E2621&lt;&gt;""),ABS(D2622-E2621),"")</f>
        <v/>
      </c>
    </row>
    <row r="2623">
      <c r="A2623" t="n">
        <v>2623</v>
      </c>
      <c r="B2623">
        <f>IF(INDEX('Data Entry'!$H$5:$BE$10004,2623-4,'Visual SPC'!$B$3)="",0,IF(AND(OR('Visual SPC'!$C$4="",'Data Entry'!$C2623&gt;='Visual SPC'!$C$4),OR('Visual SPC'!$E$4="",'Data Entry'!$C2623&lt;='Visual SPC'!$E$4),OR('Visual SPC'!$G$4="",'Data Entry'!$D2623='Visual SPC'!$G$4),OR('Visual SPC'!$I$4="",'Data Entry'!$E2623='Visual SPC'!$I$4),OR('Visual SPC'!$K$4="",'Data Entry'!$F2623='Visual SPC'!$K$4)),1,0))</f>
        <v/>
      </c>
      <c r="C2623">
        <f>C2622+B2623</f>
        <v/>
      </c>
      <c r="D2623">
        <f>IF(B2623=1,INDEX('Data Entry'!$H$5:$BE$10004,2623-4,'Visual SPC'!$B$3),"")</f>
        <v/>
      </c>
      <c r="E2623">
        <f>IF(B2623=1,D2623,E2622)</f>
        <v/>
      </c>
      <c r="F2623">
        <f>IF(AND(B2623=1,C2623&gt;1,E2622&lt;&gt;""),ABS(D2623-E2622),"")</f>
        <v/>
      </c>
    </row>
    <row r="2624">
      <c r="A2624" t="n">
        <v>2624</v>
      </c>
      <c r="B2624">
        <f>IF(INDEX('Data Entry'!$H$5:$BE$10004,2624-4,'Visual SPC'!$B$3)="",0,IF(AND(OR('Visual SPC'!$C$4="",'Data Entry'!$C2624&gt;='Visual SPC'!$C$4),OR('Visual SPC'!$E$4="",'Data Entry'!$C2624&lt;='Visual SPC'!$E$4),OR('Visual SPC'!$G$4="",'Data Entry'!$D2624='Visual SPC'!$G$4),OR('Visual SPC'!$I$4="",'Data Entry'!$E2624='Visual SPC'!$I$4),OR('Visual SPC'!$K$4="",'Data Entry'!$F2624='Visual SPC'!$K$4)),1,0))</f>
        <v/>
      </c>
      <c r="C2624">
        <f>C2623+B2624</f>
        <v/>
      </c>
      <c r="D2624">
        <f>IF(B2624=1,INDEX('Data Entry'!$H$5:$BE$10004,2624-4,'Visual SPC'!$B$3),"")</f>
        <v/>
      </c>
      <c r="E2624">
        <f>IF(B2624=1,D2624,E2623)</f>
        <v/>
      </c>
      <c r="F2624">
        <f>IF(AND(B2624=1,C2624&gt;1,E2623&lt;&gt;""),ABS(D2624-E2623),"")</f>
        <v/>
      </c>
    </row>
    <row r="2625">
      <c r="A2625" t="n">
        <v>2625</v>
      </c>
      <c r="B2625">
        <f>IF(INDEX('Data Entry'!$H$5:$BE$10004,2625-4,'Visual SPC'!$B$3)="",0,IF(AND(OR('Visual SPC'!$C$4="",'Data Entry'!$C2625&gt;='Visual SPC'!$C$4),OR('Visual SPC'!$E$4="",'Data Entry'!$C2625&lt;='Visual SPC'!$E$4),OR('Visual SPC'!$G$4="",'Data Entry'!$D2625='Visual SPC'!$G$4),OR('Visual SPC'!$I$4="",'Data Entry'!$E2625='Visual SPC'!$I$4),OR('Visual SPC'!$K$4="",'Data Entry'!$F2625='Visual SPC'!$K$4)),1,0))</f>
        <v/>
      </c>
      <c r="C2625">
        <f>C2624+B2625</f>
        <v/>
      </c>
      <c r="D2625">
        <f>IF(B2625=1,INDEX('Data Entry'!$H$5:$BE$10004,2625-4,'Visual SPC'!$B$3),"")</f>
        <v/>
      </c>
      <c r="E2625">
        <f>IF(B2625=1,D2625,E2624)</f>
        <v/>
      </c>
      <c r="F2625">
        <f>IF(AND(B2625=1,C2625&gt;1,E2624&lt;&gt;""),ABS(D2625-E2624),"")</f>
        <v/>
      </c>
    </row>
    <row r="2626">
      <c r="A2626" t="n">
        <v>2626</v>
      </c>
      <c r="B2626">
        <f>IF(INDEX('Data Entry'!$H$5:$BE$10004,2626-4,'Visual SPC'!$B$3)="",0,IF(AND(OR('Visual SPC'!$C$4="",'Data Entry'!$C2626&gt;='Visual SPC'!$C$4),OR('Visual SPC'!$E$4="",'Data Entry'!$C2626&lt;='Visual SPC'!$E$4),OR('Visual SPC'!$G$4="",'Data Entry'!$D2626='Visual SPC'!$G$4),OR('Visual SPC'!$I$4="",'Data Entry'!$E2626='Visual SPC'!$I$4),OR('Visual SPC'!$K$4="",'Data Entry'!$F2626='Visual SPC'!$K$4)),1,0))</f>
        <v/>
      </c>
      <c r="C2626">
        <f>C2625+B2626</f>
        <v/>
      </c>
      <c r="D2626">
        <f>IF(B2626=1,INDEX('Data Entry'!$H$5:$BE$10004,2626-4,'Visual SPC'!$B$3),"")</f>
        <v/>
      </c>
      <c r="E2626">
        <f>IF(B2626=1,D2626,E2625)</f>
        <v/>
      </c>
      <c r="F2626">
        <f>IF(AND(B2626=1,C2626&gt;1,E2625&lt;&gt;""),ABS(D2626-E2625),"")</f>
        <v/>
      </c>
    </row>
    <row r="2627">
      <c r="A2627" t="n">
        <v>2627</v>
      </c>
      <c r="B2627">
        <f>IF(INDEX('Data Entry'!$H$5:$BE$10004,2627-4,'Visual SPC'!$B$3)="",0,IF(AND(OR('Visual SPC'!$C$4="",'Data Entry'!$C2627&gt;='Visual SPC'!$C$4),OR('Visual SPC'!$E$4="",'Data Entry'!$C2627&lt;='Visual SPC'!$E$4),OR('Visual SPC'!$G$4="",'Data Entry'!$D2627='Visual SPC'!$G$4),OR('Visual SPC'!$I$4="",'Data Entry'!$E2627='Visual SPC'!$I$4),OR('Visual SPC'!$K$4="",'Data Entry'!$F2627='Visual SPC'!$K$4)),1,0))</f>
        <v/>
      </c>
      <c r="C2627">
        <f>C2626+B2627</f>
        <v/>
      </c>
      <c r="D2627">
        <f>IF(B2627=1,INDEX('Data Entry'!$H$5:$BE$10004,2627-4,'Visual SPC'!$B$3),"")</f>
        <v/>
      </c>
      <c r="E2627">
        <f>IF(B2627=1,D2627,E2626)</f>
        <v/>
      </c>
      <c r="F2627">
        <f>IF(AND(B2627=1,C2627&gt;1,E2626&lt;&gt;""),ABS(D2627-E2626),"")</f>
        <v/>
      </c>
    </row>
    <row r="2628">
      <c r="A2628" t="n">
        <v>2628</v>
      </c>
      <c r="B2628">
        <f>IF(INDEX('Data Entry'!$H$5:$BE$10004,2628-4,'Visual SPC'!$B$3)="",0,IF(AND(OR('Visual SPC'!$C$4="",'Data Entry'!$C2628&gt;='Visual SPC'!$C$4),OR('Visual SPC'!$E$4="",'Data Entry'!$C2628&lt;='Visual SPC'!$E$4),OR('Visual SPC'!$G$4="",'Data Entry'!$D2628='Visual SPC'!$G$4),OR('Visual SPC'!$I$4="",'Data Entry'!$E2628='Visual SPC'!$I$4),OR('Visual SPC'!$K$4="",'Data Entry'!$F2628='Visual SPC'!$K$4)),1,0))</f>
        <v/>
      </c>
      <c r="C2628">
        <f>C2627+B2628</f>
        <v/>
      </c>
      <c r="D2628">
        <f>IF(B2628=1,INDEX('Data Entry'!$H$5:$BE$10004,2628-4,'Visual SPC'!$B$3),"")</f>
        <v/>
      </c>
      <c r="E2628">
        <f>IF(B2628=1,D2628,E2627)</f>
        <v/>
      </c>
      <c r="F2628">
        <f>IF(AND(B2628=1,C2628&gt;1,E2627&lt;&gt;""),ABS(D2628-E2627),"")</f>
        <v/>
      </c>
    </row>
    <row r="2629">
      <c r="A2629" t="n">
        <v>2629</v>
      </c>
      <c r="B2629">
        <f>IF(INDEX('Data Entry'!$H$5:$BE$10004,2629-4,'Visual SPC'!$B$3)="",0,IF(AND(OR('Visual SPC'!$C$4="",'Data Entry'!$C2629&gt;='Visual SPC'!$C$4),OR('Visual SPC'!$E$4="",'Data Entry'!$C2629&lt;='Visual SPC'!$E$4),OR('Visual SPC'!$G$4="",'Data Entry'!$D2629='Visual SPC'!$G$4),OR('Visual SPC'!$I$4="",'Data Entry'!$E2629='Visual SPC'!$I$4),OR('Visual SPC'!$K$4="",'Data Entry'!$F2629='Visual SPC'!$K$4)),1,0))</f>
        <v/>
      </c>
      <c r="C2629">
        <f>C2628+B2629</f>
        <v/>
      </c>
      <c r="D2629">
        <f>IF(B2629=1,INDEX('Data Entry'!$H$5:$BE$10004,2629-4,'Visual SPC'!$B$3),"")</f>
        <v/>
      </c>
      <c r="E2629">
        <f>IF(B2629=1,D2629,E2628)</f>
        <v/>
      </c>
      <c r="F2629">
        <f>IF(AND(B2629=1,C2629&gt;1,E2628&lt;&gt;""),ABS(D2629-E2628),"")</f>
        <v/>
      </c>
    </row>
    <row r="2630">
      <c r="A2630" t="n">
        <v>2630</v>
      </c>
      <c r="B2630">
        <f>IF(INDEX('Data Entry'!$H$5:$BE$10004,2630-4,'Visual SPC'!$B$3)="",0,IF(AND(OR('Visual SPC'!$C$4="",'Data Entry'!$C2630&gt;='Visual SPC'!$C$4),OR('Visual SPC'!$E$4="",'Data Entry'!$C2630&lt;='Visual SPC'!$E$4),OR('Visual SPC'!$G$4="",'Data Entry'!$D2630='Visual SPC'!$G$4),OR('Visual SPC'!$I$4="",'Data Entry'!$E2630='Visual SPC'!$I$4),OR('Visual SPC'!$K$4="",'Data Entry'!$F2630='Visual SPC'!$K$4)),1,0))</f>
        <v/>
      </c>
      <c r="C2630">
        <f>C2629+B2630</f>
        <v/>
      </c>
      <c r="D2630">
        <f>IF(B2630=1,INDEX('Data Entry'!$H$5:$BE$10004,2630-4,'Visual SPC'!$B$3),"")</f>
        <v/>
      </c>
      <c r="E2630">
        <f>IF(B2630=1,D2630,E2629)</f>
        <v/>
      </c>
      <c r="F2630">
        <f>IF(AND(B2630=1,C2630&gt;1,E2629&lt;&gt;""),ABS(D2630-E2629),"")</f>
        <v/>
      </c>
    </row>
    <row r="2631">
      <c r="A2631" t="n">
        <v>2631</v>
      </c>
      <c r="B2631">
        <f>IF(INDEX('Data Entry'!$H$5:$BE$10004,2631-4,'Visual SPC'!$B$3)="",0,IF(AND(OR('Visual SPC'!$C$4="",'Data Entry'!$C2631&gt;='Visual SPC'!$C$4),OR('Visual SPC'!$E$4="",'Data Entry'!$C2631&lt;='Visual SPC'!$E$4),OR('Visual SPC'!$G$4="",'Data Entry'!$D2631='Visual SPC'!$G$4),OR('Visual SPC'!$I$4="",'Data Entry'!$E2631='Visual SPC'!$I$4),OR('Visual SPC'!$K$4="",'Data Entry'!$F2631='Visual SPC'!$K$4)),1,0))</f>
        <v/>
      </c>
      <c r="C2631">
        <f>C2630+B2631</f>
        <v/>
      </c>
      <c r="D2631">
        <f>IF(B2631=1,INDEX('Data Entry'!$H$5:$BE$10004,2631-4,'Visual SPC'!$B$3),"")</f>
        <v/>
      </c>
      <c r="E2631">
        <f>IF(B2631=1,D2631,E2630)</f>
        <v/>
      </c>
      <c r="F2631">
        <f>IF(AND(B2631=1,C2631&gt;1,E2630&lt;&gt;""),ABS(D2631-E2630),"")</f>
        <v/>
      </c>
    </row>
    <row r="2632">
      <c r="A2632" t="n">
        <v>2632</v>
      </c>
      <c r="B2632">
        <f>IF(INDEX('Data Entry'!$H$5:$BE$10004,2632-4,'Visual SPC'!$B$3)="",0,IF(AND(OR('Visual SPC'!$C$4="",'Data Entry'!$C2632&gt;='Visual SPC'!$C$4),OR('Visual SPC'!$E$4="",'Data Entry'!$C2632&lt;='Visual SPC'!$E$4),OR('Visual SPC'!$G$4="",'Data Entry'!$D2632='Visual SPC'!$G$4),OR('Visual SPC'!$I$4="",'Data Entry'!$E2632='Visual SPC'!$I$4),OR('Visual SPC'!$K$4="",'Data Entry'!$F2632='Visual SPC'!$K$4)),1,0))</f>
        <v/>
      </c>
      <c r="C2632">
        <f>C2631+B2632</f>
        <v/>
      </c>
      <c r="D2632">
        <f>IF(B2632=1,INDEX('Data Entry'!$H$5:$BE$10004,2632-4,'Visual SPC'!$B$3),"")</f>
        <v/>
      </c>
      <c r="E2632">
        <f>IF(B2632=1,D2632,E2631)</f>
        <v/>
      </c>
      <c r="F2632">
        <f>IF(AND(B2632=1,C2632&gt;1,E2631&lt;&gt;""),ABS(D2632-E2631),"")</f>
        <v/>
      </c>
    </row>
    <row r="2633">
      <c r="A2633" t="n">
        <v>2633</v>
      </c>
      <c r="B2633">
        <f>IF(INDEX('Data Entry'!$H$5:$BE$10004,2633-4,'Visual SPC'!$B$3)="",0,IF(AND(OR('Visual SPC'!$C$4="",'Data Entry'!$C2633&gt;='Visual SPC'!$C$4),OR('Visual SPC'!$E$4="",'Data Entry'!$C2633&lt;='Visual SPC'!$E$4),OR('Visual SPC'!$G$4="",'Data Entry'!$D2633='Visual SPC'!$G$4),OR('Visual SPC'!$I$4="",'Data Entry'!$E2633='Visual SPC'!$I$4),OR('Visual SPC'!$K$4="",'Data Entry'!$F2633='Visual SPC'!$K$4)),1,0))</f>
        <v/>
      </c>
      <c r="C2633">
        <f>C2632+B2633</f>
        <v/>
      </c>
      <c r="D2633">
        <f>IF(B2633=1,INDEX('Data Entry'!$H$5:$BE$10004,2633-4,'Visual SPC'!$B$3),"")</f>
        <v/>
      </c>
      <c r="E2633">
        <f>IF(B2633=1,D2633,E2632)</f>
        <v/>
      </c>
      <c r="F2633">
        <f>IF(AND(B2633=1,C2633&gt;1,E2632&lt;&gt;""),ABS(D2633-E2632),"")</f>
        <v/>
      </c>
    </row>
    <row r="2634">
      <c r="A2634" t="n">
        <v>2634</v>
      </c>
      <c r="B2634">
        <f>IF(INDEX('Data Entry'!$H$5:$BE$10004,2634-4,'Visual SPC'!$B$3)="",0,IF(AND(OR('Visual SPC'!$C$4="",'Data Entry'!$C2634&gt;='Visual SPC'!$C$4),OR('Visual SPC'!$E$4="",'Data Entry'!$C2634&lt;='Visual SPC'!$E$4),OR('Visual SPC'!$G$4="",'Data Entry'!$D2634='Visual SPC'!$G$4),OR('Visual SPC'!$I$4="",'Data Entry'!$E2634='Visual SPC'!$I$4),OR('Visual SPC'!$K$4="",'Data Entry'!$F2634='Visual SPC'!$K$4)),1,0))</f>
        <v/>
      </c>
      <c r="C2634">
        <f>C2633+B2634</f>
        <v/>
      </c>
      <c r="D2634">
        <f>IF(B2634=1,INDEX('Data Entry'!$H$5:$BE$10004,2634-4,'Visual SPC'!$B$3),"")</f>
        <v/>
      </c>
      <c r="E2634">
        <f>IF(B2634=1,D2634,E2633)</f>
        <v/>
      </c>
      <c r="F2634">
        <f>IF(AND(B2634=1,C2634&gt;1,E2633&lt;&gt;""),ABS(D2634-E2633),"")</f>
        <v/>
      </c>
    </row>
    <row r="2635">
      <c r="A2635" t="n">
        <v>2635</v>
      </c>
      <c r="B2635">
        <f>IF(INDEX('Data Entry'!$H$5:$BE$10004,2635-4,'Visual SPC'!$B$3)="",0,IF(AND(OR('Visual SPC'!$C$4="",'Data Entry'!$C2635&gt;='Visual SPC'!$C$4),OR('Visual SPC'!$E$4="",'Data Entry'!$C2635&lt;='Visual SPC'!$E$4),OR('Visual SPC'!$G$4="",'Data Entry'!$D2635='Visual SPC'!$G$4),OR('Visual SPC'!$I$4="",'Data Entry'!$E2635='Visual SPC'!$I$4),OR('Visual SPC'!$K$4="",'Data Entry'!$F2635='Visual SPC'!$K$4)),1,0))</f>
        <v/>
      </c>
      <c r="C2635">
        <f>C2634+B2635</f>
        <v/>
      </c>
      <c r="D2635">
        <f>IF(B2635=1,INDEX('Data Entry'!$H$5:$BE$10004,2635-4,'Visual SPC'!$B$3),"")</f>
        <v/>
      </c>
      <c r="E2635">
        <f>IF(B2635=1,D2635,E2634)</f>
        <v/>
      </c>
      <c r="F2635">
        <f>IF(AND(B2635=1,C2635&gt;1,E2634&lt;&gt;""),ABS(D2635-E2634),"")</f>
        <v/>
      </c>
    </row>
    <row r="2636">
      <c r="A2636" t="n">
        <v>2636</v>
      </c>
      <c r="B2636">
        <f>IF(INDEX('Data Entry'!$H$5:$BE$10004,2636-4,'Visual SPC'!$B$3)="",0,IF(AND(OR('Visual SPC'!$C$4="",'Data Entry'!$C2636&gt;='Visual SPC'!$C$4),OR('Visual SPC'!$E$4="",'Data Entry'!$C2636&lt;='Visual SPC'!$E$4),OR('Visual SPC'!$G$4="",'Data Entry'!$D2636='Visual SPC'!$G$4),OR('Visual SPC'!$I$4="",'Data Entry'!$E2636='Visual SPC'!$I$4),OR('Visual SPC'!$K$4="",'Data Entry'!$F2636='Visual SPC'!$K$4)),1,0))</f>
        <v/>
      </c>
      <c r="C2636">
        <f>C2635+B2636</f>
        <v/>
      </c>
      <c r="D2636">
        <f>IF(B2636=1,INDEX('Data Entry'!$H$5:$BE$10004,2636-4,'Visual SPC'!$B$3),"")</f>
        <v/>
      </c>
      <c r="E2636">
        <f>IF(B2636=1,D2636,E2635)</f>
        <v/>
      </c>
      <c r="F2636">
        <f>IF(AND(B2636=1,C2636&gt;1,E2635&lt;&gt;""),ABS(D2636-E2635),"")</f>
        <v/>
      </c>
    </row>
    <row r="2637">
      <c r="A2637" t="n">
        <v>2637</v>
      </c>
      <c r="B2637">
        <f>IF(INDEX('Data Entry'!$H$5:$BE$10004,2637-4,'Visual SPC'!$B$3)="",0,IF(AND(OR('Visual SPC'!$C$4="",'Data Entry'!$C2637&gt;='Visual SPC'!$C$4),OR('Visual SPC'!$E$4="",'Data Entry'!$C2637&lt;='Visual SPC'!$E$4),OR('Visual SPC'!$G$4="",'Data Entry'!$D2637='Visual SPC'!$G$4),OR('Visual SPC'!$I$4="",'Data Entry'!$E2637='Visual SPC'!$I$4),OR('Visual SPC'!$K$4="",'Data Entry'!$F2637='Visual SPC'!$K$4)),1,0))</f>
        <v/>
      </c>
      <c r="C2637">
        <f>C2636+B2637</f>
        <v/>
      </c>
      <c r="D2637">
        <f>IF(B2637=1,INDEX('Data Entry'!$H$5:$BE$10004,2637-4,'Visual SPC'!$B$3),"")</f>
        <v/>
      </c>
      <c r="E2637">
        <f>IF(B2637=1,D2637,E2636)</f>
        <v/>
      </c>
      <c r="F2637">
        <f>IF(AND(B2637=1,C2637&gt;1,E2636&lt;&gt;""),ABS(D2637-E2636),"")</f>
        <v/>
      </c>
    </row>
    <row r="2638">
      <c r="A2638" t="n">
        <v>2638</v>
      </c>
      <c r="B2638">
        <f>IF(INDEX('Data Entry'!$H$5:$BE$10004,2638-4,'Visual SPC'!$B$3)="",0,IF(AND(OR('Visual SPC'!$C$4="",'Data Entry'!$C2638&gt;='Visual SPC'!$C$4),OR('Visual SPC'!$E$4="",'Data Entry'!$C2638&lt;='Visual SPC'!$E$4),OR('Visual SPC'!$G$4="",'Data Entry'!$D2638='Visual SPC'!$G$4),OR('Visual SPC'!$I$4="",'Data Entry'!$E2638='Visual SPC'!$I$4),OR('Visual SPC'!$K$4="",'Data Entry'!$F2638='Visual SPC'!$K$4)),1,0))</f>
        <v/>
      </c>
      <c r="C2638">
        <f>C2637+B2638</f>
        <v/>
      </c>
      <c r="D2638">
        <f>IF(B2638=1,INDEX('Data Entry'!$H$5:$BE$10004,2638-4,'Visual SPC'!$B$3),"")</f>
        <v/>
      </c>
      <c r="E2638">
        <f>IF(B2638=1,D2638,E2637)</f>
        <v/>
      </c>
      <c r="F2638">
        <f>IF(AND(B2638=1,C2638&gt;1,E2637&lt;&gt;""),ABS(D2638-E2637),"")</f>
        <v/>
      </c>
    </row>
    <row r="2639">
      <c r="A2639" t="n">
        <v>2639</v>
      </c>
      <c r="B2639">
        <f>IF(INDEX('Data Entry'!$H$5:$BE$10004,2639-4,'Visual SPC'!$B$3)="",0,IF(AND(OR('Visual SPC'!$C$4="",'Data Entry'!$C2639&gt;='Visual SPC'!$C$4),OR('Visual SPC'!$E$4="",'Data Entry'!$C2639&lt;='Visual SPC'!$E$4),OR('Visual SPC'!$G$4="",'Data Entry'!$D2639='Visual SPC'!$G$4),OR('Visual SPC'!$I$4="",'Data Entry'!$E2639='Visual SPC'!$I$4),OR('Visual SPC'!$K$4="",'Data Entry'!$F2639='Visual SPC'!$K$4)),1,0))</f>
        <v/>
      </c>
      <c r="C2639">
        <f>C2638+B2639</f>
        <v/>
      </c>
      <c r="D2639">
        <f>IF(B2639=1,INDEX('Data Entry'!$H$5:$BE$10004,2639-4,'Visual SPC'!$B$3),"")</f>
        <v/>
      </c>
      <c r="E2639">
        <f>IF(B2639=1,D2639,E2638)</f>
        <v/>
      </c>
      <c r="F2639">
        <f>IF(AND(B2639=1,C2639&gt;1,E2638&lt;&gt;""),ABS(D2639-E2638),"")</f>
        <v/>
      </c>
    </row>
    <row r="2640">
      <c r="A2640" t="n">
        <v>2640</v>
      </c>
      <c r="B2640">
        <f>IF(INDEX('Data Entry'!$H$5:$BE$10004,2640-4,'Visual SPC'!$B$3)="",0,IF(AND(OR('Visual SPC'!$C$4="",'Data Entry'!$C2640&gt;='Visual SPC'!$C$4),OR('Visual SPC'!$E$4="",'Data Entry'!$C2640&lt;='Visual SPC'!$E$4),OR('Visual SPC'!$G$4="",'Data Entry'!$D2640='Visual SPC'!$G$4),OR('Visual SPC'!$I$4="",'Data Entry'!$E2640='Visual SPC'!$I$4),OR('Visual SPC'!$K$4="",'Data Entry'!$F2640='Visual SPC'!$K$4)),1,0))</f>
        <v/>
      </c>
      <c r="C2640">
        <f>C2639+B2640</f>
        <v/>
      </c>
      <c r="D2640">
        <f>IF(B2640=1,INDEX('Data Entry'!$H$5:$BE$10004,2640-4,'Visual SPC'!$B$3),"")</f>
        <v/>
      </c>
      <c r="E2640">
        <f>IF(B2640=1,D2640,E2639)</f>
        <v/>
      </c>
      <c r="F2640">
        <f>IF(AND(B2640=1,C2640&gt;1,E2639&lt;&gt;""),ABS(D2640-E2639),"")</f>
        <v/>
      </c>
    </row>
    <row r="2641">
      <c r="A2641" t="n">
        <v>2641</v>
      </c>
      <c r="B2641">
        <f>IF(INDEX('Data Entry'!$H$5:$BE$10004,2641-4,'Visual SPC'!$B$3)="",0,IF(AND(OR('Visual SPC'!$C$4="",'Data Entry'!$C2641&gt;='Visual SPC'!$C$4),OR('Visual SPC'!$E$4="",'Data Entry'!$C2641&lt;='Visual SPC'!$E$4),OR('Visual SPC'!$G$4="",'Data Entry'!$D2641='Visual SPC'!$G$4),OR('Visual SPC'!$I$4="",'Data Entry'!$E2641='Visual SPC'!$I$4),OR('Visual SPC'!$K$4="",'Data Entry'!$F2641='Visual SPC'!$K$4)),1,0))</f>
        <v/>
      </c>
      <c r="C2641">
        <f>C2640+B2641</f>
        <v/>
      </c>
      <c r="D2641">
        <f>IF(B2641=1,INDEX('Data Entry'!$H$5:$BE$10004,2641-4,'Visual SPC'!$B$3),"")</f>
        <v/>
      </c>
      <c r="E2641">
        <f>IF(B2641=1,D2641,E2640)</f>
        <v/>
      </c>
      <c r="F2641">
        <f>IF(AND(B2641=1,C2641&gt;1,E2640&lt;&gt;""),ABS(D2641-E2640),"")</f>
        <v/>
      </c>
    </row>
    <row r="2642">
      <c r="A2642" t="n">
        <v>2642</v>
      </c>
      <c r="B2642">
        <f>IF(INDEX('Data Entry'!$H$5:$BE$10004,2642-4,'Visual SPC'!$B$3)="",0,IF(AND(OR('Visual SPC'!$C$4="",'Data Entry'!$C2642&gt;='Visual SPC'!$C$4),OR('Visual SPC'!$E$4="",'Data Entry'!$C2642&lt;='Visual SPC'!$E$4),OR('Visual SPC'!$G$4="",'Data Entry'!$D2642='Visual SPC'!$G$4),OR('Visual SPC'!$I$4="",'Data Entry'!$E2642='Visual SPC'!$I$4),OR('Visual SPC'!$K$4="",'Data Entry'!$F2642='Visual SPC'!$K$4)),1,0))</f>
        <v/>
      </c>
      <c r="C2642">
        <f>C2641+B2642</f>
        <v/>
      </c>
      <c r="D2642">
        <f>IF(B2642=1,INDEX('Data Entry'!$H$5:$BE$10004,2642-4,'Visual SPC'!$B$3),"")</f>
        <v/>
      </c>
      <c r="E2642">
        <f>IF(B2642=1,D2642,E2641)</f>
        <v/>
      </c>
      <c r="F2642">
        <f>IF(AND(B2642=1,C2642&gt;1,E2641&lt;&gt;""),ABS(D2642-E2641),"")</f>
        <v/>
      </c>
    </row>
    <row r="2643">
      <c r="A2643" t="n">
        <v>2643</v>
      </c>
      <c r="B2643">
        <f>IF(INDEX('Data Entry'!$H$5:$BE$10004,2643-4,'Visual SPC'!$B$3)="",0,IF(AND(OR('Visual SPC'!$C$4="",'Data Entry'!$C2643&gt;='Visual SPC'!$C$4),OR('Visual SPC'!$E$4="",'Data Entry'!$C2643&lt;='Visual SPC'!$E$4),OR('Visual SPC'!$G$4="",'Data Entry'!$D2643='Visual SPC'!$G$4),OR('Visual SPC'!$I$4="",'Data Entry'!$E2643='Visual SPC'!$I$4),OR('Visual SPC'!$K$4="",'Data Entry'!$F2643='Visual SPC'!$K$4)),1,0))</f>
        <v/>
      </c>
      <c r="C2643">
        <f>C2642+B2643</f>
        <v/>
      </c>
      <c r="D2643">
        <f>IF(B2643=1,INDEX('Data Entry'!$H$5:$BE$10004,2643-4,'Visual SPC'!$B$3),"")</f>
        <v/>
      </c>
      <c r="E2643">
        <f>IF(B2643=1,D2643,E2642)</f>
        <v/>
      </c>
      <c r="F2643">
        <f>IF(AND(B2643=1,C2643&gt;1,E2642&lt;&gt;""),ABS(D2643-E2642),"")</f>
        <v/>
      </c>
    </row>
    <row r="2644">
      <c r="A2644" t="n">
        <v>2644</v>
      </c>
      <c r="B2644">
        <f>IF(INDEX('Data Entry'!$H$5:$BE$10004,2644-4,'Visual SPC'!$B$3)="",0,IF(AND(OR('Visual SPC'!$C$4="",'Data Entry'!$C2644&gt;='Visual SPC'!$C$4),OR('Visual SPC'!$E$4="",'Data Entry'!$C2644&lt;='Visual SPC'!$E$4),OR('Visual SPC'!$G$4="",'Data Entry'!$D2644='Visual SPC'!$G$4),OR('Visual SPC'!$I$4="",'Data Entry'!$E2644='Visual SPC'!$I$4),OR('Visual SPC'!$K$4="",'Data Entry'!$F2644='Visual SPC'!$K$4)),1,0))</f>
        <v/>
      </c>
      <c r="C2644">
        <f>C2643+B2644</f>
        <v/>
      </c>
      <c r="D2644">
        <f>IF(B2644=1,INDEX('Data Entry'!$H$5:$BE$10004,2644-4,'Visual SPC'!$B$3),"")</f>
        <v/>
      </c>
      <c r="E2644">
        <f>IF(B2644=1,D2644,E2643)</f>
        <v/>
      </c>
      <c r="F2644">
        <f>IF(AND(B2644=1,C2644&gt;1,E2643&lt;&gt;""),ABS(D2644-E2643),"")</f>
        <v/>
      </c>
    </row>
    <row r="2645">
      <c r="A2645" t="n">
        <v>2645</v>
      </c>
      <c r="B2645">
        <f>IF(INDEX('Data Entry'!$H$5:$BE$10004,2645-4,'Visual SPC'!$B$3)="",0,IF(AND(OR('Visual SPC'!$C$4="",'Data Entry'!$C2645&gt;='Visual SPC'!$C$4),OR('Visual SPC'!$E$4="",'Data Entry'!$C2645&lt;='Visual SPC'!$E$4),OR('Visual SPC'!$G$4="",'Data Entry'!$D2645='Visual SPC'!$G$4),OR('Visual SPC'!$I$4="",'Data Entry'!$E2645='Visual SPC'!$I$4),OR('Visual SPC'!$K$4="",'Data Entry'!$F2645='Visual SPC'!$K$4)),1,0))</f>
        <v/>
      </c>
      <c r="C2645">
        <f>C2644+B2645</f>
        <v/>
      </c>
      <c r="D2645">
        <f>IF(B2645=1,INDEX('Data Entry'!$H$5:$BE$10004,2645-4,'Visual SPC'!$B$3),"")</f>
        <v/>
      </c>
      <c r="E2645">
        <f>IF(B2645=1,D2645,E2644)</f>
        <v/>
      </c>
      <c r="F2645">
        <f>IF(AND(B2645=1,C2645&gt;1,E2644&lt;&gt;""),ABS(D2645-E2644),"")</f>
        <v/>
      </c>
    </row>
    <row r="2646">
      <c r="A2646" t="n">
        <v>2646</v>
      </c>
      <c r="B2646">
        <f>IF(INDEX('Data Entry'!$H$5:$BE$10004,2646-4,'Visual SPC'!$B$3)="",0,IF(AND(OR('Visual SPC'!$C$4="",'Data Entry'!$C2646&gt;='Visual SPC'!$C$4),OR('Visual SPC'!$E$4="",'Data Entry'!$C2646&lt;='Visual SPC'!$E$4),OR('Visual SPC'!$G$4="",'Data Entry'!$D2646='Visual SPC'!$G$4),OR('Visual SPC'!$I$4="",'Data Entry'!$E2646='Visual SPC'!$I$4),OR('Visual SPC'!$K$4="",'Data Entry'!$F2646='Visual SPC'!$K$4)),1,0))</f>
        <v/>
      </c>
      <c r="C2646">
        <f>C2645+B2646</f>
        <v/>
      </c>
      <c r="D2646">
        <f>IF(B2646=1,INDEX('Data Entry'!$H$5:$BE$10004,2646-4,'Visual SPC'!$B$3),"")</f>
        <v/>
      </c>
      <c r="E2646">
        <f>IF(B2646=1,D2646,E2645)</f>
        <v/>
      </c>
      <c r="F2646">
        <f>IF(AND(B2646=1,C2646&gt;1,E2645&lt;&gt;""),ABS(D2646-E2645),"")</f>
        <v/>
      </c>
    </row>
    <row r="2647">
      <c r="A2647" t="n">
        <v>2647</v>
      </c>
      <c r="B2647">
        <f>IF(INDEX('Data Entry'!$H$5:$BE$10004,2647-4,'Visual SPC'!$B$3)="",0,IF(AND(OR('Visual SPC'!$C$4="",'Data Entry'!$C2647&gt;='Visual SPC'!$C$4),OR('Visual SPC'!$E$4="",'Data Entry'!$C2647&lt;='Visual SPC'!$E$4),OR('Visual SPC'!$G$4="",'Data Entry'!$D2647='Visual SPC'!$G$4),OR('Visual SPC'!$I$4="",'Data Entry'!$E2647='Visual SPC'!$I$4),OR('Visual SPC'!$K$4="",'Data Entry'!$F2647='Visual SPC'!$K$4)),1,0))</f>
        <v/>
      </c>
      <c r="C2647">
        <f>C2646+B2647</f>
        <v/>
      </c>
      <c r="D2647">
        <f>IF(B2647=1,INDEX('Data Entry'!$H$5:$BE$10004,2647-4,'Visual SPC'!$B$3),"")</f>
        <v/>
      </c>
      <c r="E2647">
        <f>IF(B2647=1,D2647,E2646)</f>
        <v/>
      </c>
      <c r="F2647">
        <f>IF(AND(B2647=1,C2647&gt;1,E2646&lt;&gt;""),ABS(D2647-E2646),"")</f>
        <v/>
      </c>
    </row>
    <row r="2648">
      <c r="A2648" t="n">
        <v>2648</v>
      </c>
      <c r="B2648">
        <f>IF(INDEX('Data Entry'!$H$5:$BE$10004,2648-4,'Visual SPC'!$B$3)="",0,IF(AND(OR('Visual SPC'!$C$4="",'Data Entry'!$C2648&gt;='Visual SPC'!$C$4),OR('Visual SPC'!$E$4="",'Data Entry'!$C2648&lt;='Visual SPC'!$E$4),OR('Visual SPC'!$G$4="",'Data Entry'!$D2648='Visual SPC'!$G$4),OR('Visual SPC'!$I$4="",'Data Entry'!$E2648='Visual SPC'!$I$4),OR('Visual SPC'!$K$4="",'Data Entry'!$F2648='Visual SPC'!$K$4)),1,0))</f>
        <v/>
      </c>
      <c r="C2648">
        <f>C2647+B2648</f>
        <v/>
      </c>
      <c r="D2648">
        <f>IF(B2648=1,INDEX('Data Entry'!$H$5:$BE$10004,2648-4,'Visual SPC'!$B$3),"")</f>
        <v/>
      </c>
      <c r="E2648">
        <f>IF(B2648=1,D2648,E2647)</f>
        <v/>
      </c>
      <c r="F2648">
        <f>IF(AND(B2648=1,C2648&gt;1,E2647&lt;&gt;""),ABS(D2648-E2647),"")</f>
        <v/>
      </c>
    </row>
    <row r="2649">
      <c r="A2649" t="n">
        <v>2649</v>
      </c>
      <c r="B2649">
        <f>IF(INDEX('Data Entry'!$H$5:$BE$10004,2649-4,'Visual SPC'!$B$3)="",0,IF(AND(OR('Visual SPC'!$C$4="",'Data Entry'!$C2649&gt;='Visual SPC'!$C$4),OR('Visual SPC'!$E$4="",'Data Entry'!$C2649&lt;='Visual SPC'!$E$4),OR('Visual SPC'!$G$4="",'Data Entry'!$D2649='Visual SPC'!$G$4),OR('Visual SPC'!$I$4="",'Data Entry'!$E2649='Visual SPC'!$I$4),OR('Visual SPC'!$K$4="",'Data Entry'!$F2649='Visual SPC'!$K$4)),1,0))</f>
        <v/>
      </c>
      <c r="C2649">
        <f>C2648+B2649</f>
        <v/>
      </c>
      <c r="D2649">
        <f>IF(B2649=1,INDEX('Data Entry'!$H$5:$BE$10004,2649-4,'Visual SPC'!$B$3),"")</f>
        <v/>
      </c>
      <c r="E2649">
        <f>IF(B2649=1,D2649,E2648)</f>
        <v/>
      </c>
      <c r="F2649">
        <f>IF(AND(B2649=1,C2649&gt;1,E2648&lt;&gt;""),ABS(D2649-E2648),"")</f>
        <v/>
      </c>
    </row>
    <row r="2650">
      <c r="A2650" t="n">
        <v>2650</v>
      </c>
      <c r="B2650">
        <f>IF(INDEX('Data Entry'!$H$5:$BE$10004,2650-4,'Visual SPC'!$B$3)="",0,IF(AND(OR('Visual SPC'!$C$4="",'Data Entry'!$C2650&gt;='Visual SPC'!$C$4),OR('Visual SPC'!$E$4="",'Data Entry'!$C2650&lt;='Visual SPC'!$E$4),OR('Visual SPC'!$G$4="",'Data Entry'!$D2650='Visual SPC'!$G$4),OR('Visual SPC'!$I$4="",'Data Entry'!$E2650='Visual SPC'!$I$4),OR('Visual SPC'!$K$4="",'Data Entry'!$F2650='Visual SPC'!$K$4)),1,0))</f>
        <v/>
      </c>
      <c r="C2650">
        <f>C2649+B2650</f>
        <v/>
      </c>
      <c r="D2650">
        <f>IF(B2650=1,INDEX('Data Entry'!$H$5:$BE$10004,2650-4,'Visual SPC'!$B$3),"")</f>
        <v/>
      </c>
      <c r="E2650">
        <f>IF(B2650=1,D2650,E2649)</f>
        <v/>
      </c>
      <c r="F2650">
        <f>IF(AND(B2650=1,C2650&gt;1,E2649&lt;&gt;""),ABS(D2650-E2649),"")</f>
        <v/>
      </c>
    </row>
    <row r="2651">
      <c r="A2651" t="n">
        <v>2651</v>
      </c>
      <c r="B2651">
        <f>IF(INDEX('Data Entry'!$H$5:$BE$10004,2651-4,'Visual SPC'!$B$3)="",0,IF(AND(OR('Visual SPC'!$C$4="",'Data Entry'!$C2651&gt;='Visual SPC'!$C$4),OR('Visual SPC'!$E$4="",'Data Entry'!$C2651&lt;='Visual SPC'!$E$4),OR('Visual SPC'!$G$4="",'Data Entry'!$D2651='Visual SPC'!$G$4),OR('Visual SPC'!$I$4="",'Data Entry'!$E2651='Visual SPC'!$I$4),OR('Visual SPC'!$K$4="",'Data Entry'!$F2651='Visual SPC'!$K$4)),1,0))</f>
        <v/>
      </c>
      <c r="C2651">
        <f>C2650+B2651</f>
        <v/>
      </c>
      <c r="D2651">
        <f>IF(B2651=1,INDEX('Data Entry'!$H$5:$BE$10004,2651-4,'Visual SPC'!$B$3),"")</f>
        <v/>
      </c>
      <c r="E2651">
        <f>IF(B2651=1,D2651,E2650)</f>
        <v/>
      </c>
      <c r="F2651">
        <f>IF(AND(B2651=1,C2651&gt;1,E2650&lt;&gt;""),ABS(D2651-E2650),"")</f>
        <v/>
      </c>
    </row>
    <row r="2652">
      <c r="A2652" t="n">
        <v>2652</v>
      </c>
      <c r="B2652">
        <f>IF(INDEX('Data Entry'!$H$5:$BE$10004,2652-4,'Visual SPC'!$B$3)="",0,IF(AND(OR('Visual SPC'!$C$4="",'Data Entry'!$C2652&gt;='Visual SPC'!$C$4),OR('Visual SPC'!$E$4="",'Data Entry'!$C2652&lt;='Visual SPC'!$E$4),OR('Visual SPC'!$G$4="",'Data Entry'!$D2652='Visual SPC'!$G$4),OR('Visual SPC'!$I$4="",'Data Entry'!$E2652='Visual SPC'!$I$4),OR('Visual SPC'!$K$4="",'Data Entry'!$F2652='Visual SPC'!$K$4)),1,0))</f>
        <v/>
      </c>
      <c r="C2652">
        <f>C2651+B2652</f>
        <v/>
      </c>
      <c r="D2652">
        <f>IF(B2652=1,INDEX('Data Entry'!$H$5:$BE$10004,2652-4,'Visual SPC'!$B$3),"")</f>
        <v/>
      </c>
      <c r="E2652">
        <f>IF(B2652=1,D2652,E2651)</f>
        <v/>
      </c>
      <c r="F2652">
        <f>IF(AND(B2652=1,C2652&gt;1,E2651&lt;&gt;""),ABS(D2652-E2651),"")</f>
        <v/>
      </c>
    </row>
    <row r="2653">
      <c r="A2653" t="n">
        <v>2653</v>
      </c>
      <c r="B2653">
        <f>IF(INDEX('Data Entry'!$H$5:$BE$10004,2653-4,'Visual SPC'!$B$3)="",0,IF(AND(OR('Visual SPC'!$C$4="",'Data Entry'!$C2653&gt;='Visual SPC'!$C$4),OR('Visual SPC'!$E$4="",'Data Entry'!$C2653&lt;='Visual SPC'!$E$4),OR('Visual SPC'!$G$4="",'Data Entry'!$D2653='Visual SPC'!$G$4),OR('Visual SPC'!$I$4="",'Data Entry'!$E2653='Visual SPC'!$I$4),OR('Visual SPC'!$K$4="",'Data Entry'!$F2653='Visual SPC'!$K$4)),1,0))</f>
        <v/>
      </c>
      <c r="C2653">
        <f>C2652+B2653</f>
        <v/>
      </c>
      <c r="D2653">
        <f>IF(B2653=1,INDEX('Data Entry'!$H$5:$BE$10004,2653-4,'Visual SPC'!$B$3),"")</f>
        <v/>
      </c>
      <c r="E2653">
        <f>IF(B2653=1,D2653,E2652)</f>
        <v/>
      </c>
      <c r="F2653">
        <f>IF(AND(B2653=1,C2653&gt;1,E2652&lt;&gt;""),ABS(D2653-E2652),"")</f>
        <v/>
      </c>
    </row>
    <row r="2654">
      <c r="A2654" t="n">
        <v>2654</v>
      </c>
      <c r="B2654">
        <f>IF(INDEX('Data Entry'!$H$5:$BE$10004,2654-4,'Visual SPC'!$B$3)="",0,IF(AND(OR('Visual SPC'!$C$4="",'Data Entry'!$C2654&gt;='Visual SPC'!$C$4),OR('Visual SPC'!$E$4="",'Data Entry'!$C2654&lt;='Visual SPC'!$E$4),OR('Visual SPC'!$G$4="",'Data Entry'!$D2654='Visual SPC'!$G$4),OR('Visual SPC'!$I$4="",'Data Entry'!$E2654='Visual SPC'!$I$4),OR('Visual SPC'!$K$4="",'Data Entry'!$F2654='Visual SPC'!$K$4)),1,0))</f>
        <v/>
      </c>
      <c r="C2654">
        <f>C2653+B2654</f>
        <v/>
      </c>
      <c r="D2654">
        <f>IF(B2654=1,INDEX('Data Entry'!$H$5:$BE$10004,2654-4,'Visual SPC'!$B$3),"")</f>
        <v/>
      </c>
      <c r="E2654">
        <f>IF(B2654=1,D2654,E2653)</f>
        <v/>
      </c>
      <c r="F2654">
        <f>IF(AND(B2654=1,C2654&gt;1,E2653&lt;&gt;""),ABS(D2654-E2653),"")</f>
        <v/>
      </c>
    </row>
    <row r="2655">
      <c r="A2655" t="n">
        <v>2655</v>
      </c>
      <c r="B2655">
        <f>IF(INDEX('Data Entry'!$H$5:$BE$10004,2655-4,'Visual SPC'!$B$3)="",0,IF(AND(OR('Visual SPC'!$C$4="",'Data Entry'!$C2655&gt;='Visual SPC'!$C$4),OR('Visual SPC'!$E$4="",'Data Entry'!$C2655&lt;='Visual SPC'!$E$4),OR('Visual SPC'!$G$4="",'Data Entry'!$D2655='Visual SPC'!$G$4),OR('Visual SPC'!$I$4="",'Data Entry'!$E2655='Visual SPC'!$I$4),OR('Visual SPC'!$K$4="",'Data Entry'!$F2655='Visual SPC'!$K$4)),1,0))</f>
        <v/>
      </c>
      <c r="C2655">
        <f>C2654+B2655</f>
        <v/>
      </c>
      <c r="D2655">
        <f>IF(B2655=1,INDEX('Data Entry'!$H$5:$BE$10004,2655-4,'Visual SPC'!$B$3),"")</f>
        <v/>
      </c>
      <c r="E2655">
        <f>IF(B2655=1,D2655,E2654)</f>
        <v/>
      </c>
      <c r="F2655">
        <f>IF(AND(B2655=1,C2655&gt;1,E2654&lt;&gt;""),ABS(D2655-E2654),"")</f>
        <v/>
      </c>
    </row>
    <row r="2656">
      <c r="A2656" t="n">
        <v>2656</v>
      </c>
      <c r="B2656">
        <f>IF(INDEX('Data Entry'!$H$5:$BE$10004,2656-4,'Visual SPC'!$B$3)="",0,IF(AND(OR('Visual SPC'!$C$4="",'Data Entry'!$C2656&gt;='Visual SPC'!$C$4),OR('Visual SPC'!$E$4="",'Data Entry'!$C2656&lt;='Visual SPC'!$E$4),OR('Visual SPC'!$G$4="",'Data Entry'!$D2656='Visual SPC'!$G$4),OR('Visual SPC'!$I$4="",'Data Entry'!$E2656='Visual SPC'!$I$4),OR('Visual SPC'!$K$4="",'Data Entry'!$F2656='Visual SPC'!$K$4)),1,0))</f>
        <v/>
      </c>
      <c r="C2656">
        <f>C2655+B2656</f>
        <v/>
      </c>
      <c r="D2656">
        <f>IF(B2656=1,INDEX('Data Entry'!$H$5:$BE$10004,2656-4,'Visual SPC'!$B$3),"")</f>
        <v/>
      </c>
      <c r="E2656">
        <f>IF(B2656=1,D2656,E2655)</f>
        <v/>
      </c>
      <c r="F2656">
        <f>IF(AND(B2656=1,C2656&gt;1,E2655&lt;&gt;""),ABS(D2656-E2655),"")</f>
        <v/>
      </c>
    </row>
    <row r="2657">
      <c r="A2657" t="n">
        <v>2657</v>
      </c>
      <c r="B2657">
        <f>IF(INDEX('Data Entry'!$H$5:$BE$10004,2657-4,'Visual SPC'!$B$3)="",0,IF(AND(OR('Visual SPC'!$C$4="",'Data Entry'!$C2657&gt;='Visual SPC'!$C$4),OR('Visual SPC'!$E$4="",'Data Entry'!$C2657&lt;='Visual SPC'!$E$4),OR('Visual SPC'!$G$4="",'Data Entry'!$D2657='Visual SPC'!$G$4),OR('Visual SPC'!$I$4="",'Data Entry'!$E2657='Visual SPC'!$I$4),OR('Visual SPC'!$K$4="",'Data Entry'!$F2657='Visual SPC'!$K$4)),1,0))</f>
        <v/>
      </c>
      <c r="C2657">
        <f>C2656+B2657</f>
        <v/>
      </c>
      <c r="D2657">
        <f>IF(B2657=1,INDEX('Data Entry'!$H$5:$BE$10004,2657-4,'Visual SPC'!$B$3),"")</f>
        <v/>
      </c>
      <c r="E2657">
        <f>IF(B2657=1,D2657,E2656)</f>
        <v/>
      </c>
      <c r="F2657">
        <f>IF(AND(B2657=1,C2657&gt;1,E2656&lt;&gt;""),ABS(D2657-E2656),"")</f>
        <v/>
      </c>
    </row>
    <row r="2658">
      <c r="A2658" t="n">
        <v>2658</v>
      </c>
      <c r="B2658">
        <f>IF(INDEX('Data Entry'!$H$5:$BE$10004,2658-4,'Visual SPC'!$B$3)="",0,IF(AND(OR('Visual SPC'!$C$4="",'Data Entry'!$C2658&gt;='Visual SPC'!$C$4),OR('Visual SPC'!$E$4="",'Data Entry'!$C2658&lt;='Visual SPC'!$E$4),OR('Visual SPC'!$G$4="",'Data Entry'!$D2658='Visual SPC'!$G$4),OR('Visual SPC'!$I$4="",'Data Entry'!$E2658='Visual SPC'!$I$4),OR('Visual SPC'!$K$4="",'Data Entry'!$F2658='Visual SPC'!$K$4)),1,0))</f>
        <v/>
      </c>
      <c r="C2658">
        <f>C2657+B2658</f>
        <v/>
      </c>
      <c r="D2658">
        <f>IF(B2658=1,INDEX('Data Entry'!$H$5:$BE$10004,2658-4,'Visual SPC'!$B$3),"")</f>
        <v/>
      </c>
      <c r="E2658">
        <f>IF(B2658=1,D2658,E2657)</f>
        <v/>
      </c>
      <c r="F2658">
        <f>IF(AND(B2658=1,C2658&gt;1,E2657&lt;&gt;""),ABS(D2658-E2657),"")</f>
        <v/>
      </c>
    </row>
    <row r="2659">
      <c r="A2659" t="n">
        <v>2659</v>
      </c>
      <c r="B2659">
        <f>IF(INDEX('Data Entry'!$H$5:$BE$10004,2659-4,'Visual SPC'!$B$3)="",0,IF(AND(OR('Visual SPC'!$C$4="",'Data Entry'!$C2659&gt;='Visual SPC'!$C$4),OR('Visual SPC'!$E$4="",'Data Entry'!$C2659&lt;='Visual SPC'!$E$4),OR('Visual SPC'!$G$4="",'Data Entry'!$D2659='Visual SPC'!$G$4),OR('Visual SPC'!$I$4="",'Data Entry'!$E2659='Visual SPC'!$I$4),OR('Visual SPC'!$K$4="",'Data Entry'!$F2659='Visual SPC'!$K$4)),1,0))</f>
        <v/>
      </c>
      <c r="C2659">
        <f>C2658+B2659</f>
        <v/>
      </c>
      <c r="D2659">
        <f>IF(B2659=1,INDEX('Data Entry'!$H$5:$BE$10004,2659-4,'Visual SPC'!$B$3),"")</f>
        <v/>
      </c>
      <c r="E2659">
        <f>IF(B2659=1,D2659,E2658)</f>
        <v/>
      </c>
      <c r="F2659">
        <f>IF(AND(B2659=1,C2659&gt;1,E2658&lt;&gt;""),ABS(D2659-E2658),"")</f>
        <v/>
      </c>
    </row>
    <row r="2660">
      <c r="A2660" t="n">
        <v>2660</v>
      </c>
      <c r="B2660">
        <f>IF(INDEX('Data Entry'!$H$5:$BE$10004,2660-4,'Visual SPC'!$B$3)="",0,IF(AND(OR('Visual SPC'!$C$4="",'Data Entry'!$C2660&gt;='Visual SPC'!$C$4),OR('Visual SPC'!$E$4="",'Data Entry'!$C2660&lt;='Visual SPC'!$E$4),OR('Visual SPC'!$G$4="",'Data Entry'!$D2660='Visual SPC'!$G$4),OR('Visual SPC'!$I$4="",'Data Entry'!$E2660='Visual SPC'!$I$4),OR('Visual SPC'!$K$4="",'Data Entry'!$F2660='Visual SPC'!$K$4)),1,0))</f>
        <v/>
      </c>
      <c r="C2660">
        <f>C2659+B2660</f>
        <v/>
      </c>
      <c r="D2660">
        <f>IF(B2660=1,INDEX('Data Entry'!$H$5:$BE$10004,2660-4,'Visual SPC'!$B$3),"")</f>
        <v/>
      </c>
      <c r="E2660">
        <f>IF(B2660=1,D2660,E2659)</f>
        <v/>
      </c>
      <c r="F2660">
        <f>IF(AND(B2660=1,C2660&gt;1,E2659&lt;&gt;""),ABS(D2660-E2659),"")</f>
        <v/>
      </c>
    </row>
    <row r="2661">
      <c r="A2661" t="n">
        <v>2661</v>
      </c>
      <c r="B2661">
        <f>IF(INDEX('Data Entry'!$H$5:$BE$10004,2661-4,'Visual SPC'!$B$3)="",0,IF(AND(OR('Visual SPC'!$C$4="",'Data Entry'!$C2661&gt;='Visual SPC'!$C$4),OR('Visual SPC'!$E$4="",'Data Entry'!$C2661&lt;='Visual SPC'!$E$4),OR('Visual SPC'!$G$4="",'Data Entry'!$D2661='Visual SPC'!$G$4),OR('Visual SPC'!$I$4="",'Data Entry'!$E2661='Visual SPC'!$I$4),OR('Visual SPC'!$K$4="",'Data Entry'!$F2661='Visual SPC'!$K$4)),1,0))</f>
        <v/>
      </c>
      <c r="C2661">
        <f>C2660+B2661</f>
        <v/>
      </c>
      <c r="D2661">
        <f>IF(B2661=1,INDEX('Data Entry'!$H$5:$BE$10004,2661-4,'Visual SPC'!$B$3),"")</f>
        <v/>
      </c>
      <c r="E2661">
        <f>IF(B2661=1,D2661,E2660)</f>
        <v/>
      </c>
      <c r="F2661">
        <f>IF(AND(B2661=1,C2661&gt;1,E2660&lt;&gt;""),ABS(D2661-E2660),"")</f>
        <v/>
      </c>
    </row>
    <row r="2662">
      <c r="A2662" t="n">
        <v>2662</v>
      </c>
      <c r="B2662">
        <f>IF(INDEX('Data Entry'!$H$5:$BE$10004,2662-4,'Visual SPC'!$B$3)="",0,IF(AND(OR('Visual SPC'!$C$4="",'Data Entry'!$C2662&gt;='Visual SPC'!$C$4),OR('Visual SPC'!$E$4="",'Data Entry'!$C2662&lt;='Visual SPC'!$E$4),OR('Visual SPC'!$G$4="",'Data Entry'!$D2662='Visual SPC'!$G$4),OR('Visual SPC'!$I$4="",'Data Entry'!$E2662='Visual SPC'!$I$4),OR('Visual SPC'!$K$4="",'Data Entry'!$F2662='Visual SPC'!$K$4)),1,0))</f>
        <v/>
      </c>
      <c r="C2662">
        <f>C2661+B2662</f>
        <v/>
      </c>
      <c r="D2662">
        <f>IF(B2662=1,INDEX('Data Entry'!$H$5:$BE$10004,2662-4,'Visual SPC'!$B$3),"")</f>
        <v/>
      </c>
      <c r="E2662">
        <f>IF(B2662=1,D2662,E2661)</f>
        <v/>
      </c>
      <c r="F2662">
        <f>IF(AND(B2662=1,C2662&gt;1,E2661&lt;&gt;""),ABS(D2662-E2661),"")</f>
        <v/>
      </c>
    </row>
    <row r="2663">
      <c r="A2663" t="n">
        <v>2663</v>
      </c>
      <c r="B2663">
        <f>IF(INDEX('Data Entry'!$H$5:$BE$10004,2663-4,'Visual SPC'!$B$3)="",0,IF(AND(OR('Visual SPC'!$C$4="",'Data Entry'!$C2663&gt;='Visual SPC'!$C$4),OR('Visual SPC'!$E$4="",'Data Entry'!$C2663&lt;='Visual SPC'!$E$4),OR('Visual SPC'!$G$4="",'Data Entry'!$D2663='Visual SPC'!$G$4),OR('Visual SPC'!$I$4="",'Data Entry'!$E2663='Visual SPC'!$I$4),OR('Visual SPC'!$K$4="",'Data Entry'!$F2663='Visual SPC'!$K$4)),1,0))</f>
        <v/>
      </c>
      <c r="C2663">
        <f>C2662+B2663</f>
        <v/>
      </c>
      <c r="D2663">
        <f>IF(B2663=1,INDEX('Data Entry'!$H$5:$BE$10004,2663-4,'Visual SPC'!$B$3),"")</f>
        <v/>
      </c>
      <c r="E2663">
        <f>IF(B2663=1,D2663,E2662)</f>
        <v/>
      </c>
      <c r="F2663">
        <f>IF(AND(B2663=1,C2663&gt;1,E2662&lt;&gt;""),ABS(D2663-E2662),"")</f>
        <v/>
      </c>
    </row>
    <row r="2664">
      <c r="A2664" t="n">
        <v>2664</v>
      </c>
      <c r="B2664">
        <f>IF(INDEX('Data Entry'!$H$5:$BE$10004,2664-4,'Visual SPC'!$B$3)="",0,IF(AND(OR('Visual SPC'!$C$4="",'Data Entry'!$C2664&gt;='Visual SPC'!$C$4),OR('Visual SPC'!$E$4="",'Data Entry'!$C2664&lt;='Visual SPC'!$E$4),OR('Visual SPC'!$G$4="",'Data Entry'!$D2664='Visual SPC'!$G$4),OR('Visual SPC'!$I$4="",'Data Entry'!$E2664='Visual SPC'!$I$4),OR('Visual SPC'!$K$4="",'Data Entry'!$F2664='Visual SPC'!$K$4)),1,0))</f>
        <v/>
      </c>
      <c r="C2664">
        <f>C2663+B2664</f>
        <v/>
      </c>
      <c r="D2664">
        <f>IF(B2664=1,INDEX('Data Entry'!$H$5:$BE$10004,2664-4,'Visual SPC'!$B$3),"")</f>
        <v/>
      </c>
      <c r="E2664">
        <f>IF(B2664=1,D2664,E2663)</f>
        <v/>
      </c>
      <c r="F2664">
        <f>IF(AND(B2664=1,C2664&gt;1,E2663&lt;&gt;""),ABS(D2664-E2663),"")</f>
        <v/>
      </c>
    </row>
    <row r="2665">
      <c r="A2665" t="n">
        <v>2665</v>
      </c>
      <c r="B2665">
        <f>IF(INDEX('Data Entry'!$H$5:$BE$10004,2665-4,'Visual SPC'!$B$3)="",0,IF(AND(OR('Visual SPC'!$C$4="",'Data Entry'!$C2665&gt;='Visual SPC'!$C$4),OR('Visual SPC'!$E$4="",'Data Entry'!$C2665&lt;='Visual SPC'!$E$4),OR('Visual SPC'!$G$4="",'Data Entry'!$D2665='Visual SPC'!$G$4),OR('Visual SPC'!$I$4="",'Data Entry'!$E2665='Visual SPC'!$I$4),OR('Visual SPC'!$K$4="",'Data Entry'!$F2665='Visual SPC'!$K$4)),1,0))</f>
        <v/>
      </c>
      <c r="C2665">
        <f>C2664+B2665</f>
        <v/>
      </c>
      <c r="D2665">
        <f>IF(B2665=1,INDEX('Data Entry'!$H$5:$BE$10004,2665-4,'Visual SPC'!$B$3),"")</f>
        <v/>
      </c>
      <c r="E2665">
        <f>IF(B2665=1,D2665,E2664)</f>
        <v/>
      </c>
      <c r="F2665">
        <f>IF(AND(B2665=1,C2665&gt;1,E2664&lt;&gt;""),ABS(D2665-E2664),"")</f>
        <v/>
      </c>
    </row>
    <row r="2666">
      <c r="A2666" t="n">
        <v>2666</v>
      </c>
      <c r="B2666">
        <f>IF(INDEX('Data Entry'!$H$5:$BE$10004,2666-4,'Visual SPC'!$B$3)="",0,IF(AND(OR('Visual SPC'!$C$4="",'Data Entry'!$C2666&gt;='Visual SPC'!$C$4),OR('Visual SPC'!$E$4="",'Data Entry'!$C2666&lt;='Visual SPC'!$E$4),OR('Visual SPC'!$G$4="",'Data Entry'!$D2666='Visual SPC'!$G$4),OR('Visual SPC'!$I$4="",'Data Entry'!$E2666='Visual SPC'!$I$4),OR('Visual SPC'!$K$4="",'Data Entry'!$F2666='Visual SPC'!$K$4)),1,0))</f>
        <v/>
      </c>
      <c r="C2666">
        <f>C2665+B2666</f>
        <v/>
      </c>
      <c r="D2666">
        <f>IF(B2666=1,INDEX('Data Entry'!$H$5:$BE$10004,2666-4,'Visual SPC'!$B$3),"")</f>
        <v/>
      </c>
      <c r="E2666">
        <f>IF(B2666=1,D2666,E2665)</f>
        <v/>
      </c>
      <c r="F2666">
        <f>IF(AND(B2666=1,C2666&gt;1,E2665&lt;&gt;""),ABS(D2666-E2665),"")</f>
        <v/>
      </c>
    </row>
    <row r="2667">
      <c r="A2667" t="n">
        <v>2667</v>
      </c>
      <c r="B2667">
        <f>IF(INDEX('Data Entry'!$H$5:$BE$10004,2667-4,'Visual SPC'!$B$3)="",0,IF(AND(OR('Visual SPC'!$C$4="",'Data Entry'!$C2667&gt;='Visual SPC'!$C$4),OR('Visual SPC'!$E$4="",'Data Entry'!$C2667&lt;='Visual SPC'!$E$4),OR('Visual SPC'!$G$4="",'Data Entry'!$D2667='Visual SPC'!$G$4),OR('Visual SPC'!$I$4="",'Data Entry'!$E2667='Visual SPC'!$I$4),OR('Visual SPC'!$K$4="",'Data Entry'!$F2667='Visual SPC'!$K$4)),1,0))</f>
        <v/>
      </c>
      <c r="C2667">
        <f>C2666+B2667</f>
        <v/>
      </c>
      <c r="D2667">
        <f>IF(B2667=1,INDEX('Data Entry'!$H$5:$BE$10004,2667-4,'Visual SPC'!$B$3),"")</f>
        <v/>
      </c>
      <c r="E2667">
        <f>IF(B2667=1,D2667,E2666)</f>
        <v/>
      </c>
      <c r="F2667">
        <f>IF(AND(B2667=1,C2667&gt;1,E2666&lt;&gt;""),ABS(D2667-E2666),"")</f>
        <v/>
      </c>
    </row>
    <row r="2668">
      <c r="A2668" t="n">
        <v>2668</v>
      </c>
      <c r="B2668">
        <f>IF(INDEX('Data Entry'!$H$5:$BE$10004,2668-4,'Visual SPC'!$B$3)="",0,IF(AND(OR('Visual SPC'!$C$4="",'Data Entry'!$C2668&gt;='Visual SPC'!$C$4),OR('Visual SPC'!$E$4="",'Data Entry'!$C2668&lt;='Visual SPC'!$E$4),OR('Visual SPC'!$G$4="",'Data Entry'!$D2668='Visual SPC'!$G$4),OR('Visual SPC'!$I$4="",'Data Entry'!$E2668='Visual SPC'!$I$4),OR('Visual SPC'!$K$4="",'Data Entry'!$F2668='Visual SPC'!$K$4)),1,0))</f>
        <v/>
      </c>
      <c r="C2668">
        <f>C2667+B2668</f>
        <v/>
      </c>
      <c r="D2668">
        <f>IF(B2668=1,INDEX('Data Entry'!$H$5:$BE$10004,2668-4,'Visual SPC'!$B$3),"")</f>
        <v/>
      </c>
      <c r="E2668">
        <f>IF(B2668=1,D2668,E2667)</f>
        <v/>
      </c>
      <c r="F2668">
        <f>IF(AND(B2668=1,C2668&gt;1,E2667&lt;&gt;""),ABS(D2668-E2667),"")</f>
        <v/>
      </c>
    </row>
    <row r="2669">
      <c r="A2669" t="n">
        <v>2669</v>
      </c>
      <c r="B2669">
        <f>IF(INDEX('Data Entry'!$H$5:$BE$10004,2669-4,'Visual SPC'!$B$3)="",0,IF(AND(OR('Visual SPC'!$C$4="",'Data Entry'!$C2669&gt;='Visual SPC'!$C$4),OR('Visual SPC'!$E$4="",'Data Entry'!$C2669&lt;='Visual SPC'!$E$4),OR('Visual SPC'!$G$4="",'Data Entry'!$D2669='Visual SPC'!$G$4),OR('Visual SPC'!$I$4="",'Data Entry'!$E2669='Visual SPC'!$I$4),OR('Visual SPC'!$K$4="",'Data Entry'!$F2669='Visual SPC'!$K$4)),1,0))</f>
        <v/>
      </c>
      <c r="C2669">
        <f>C2668+B2669</f>
        <v/>
      </c>
      <c r="D2669">
        <f>IF(B2669=1,INDEX('Data Entry'!$H$5:$BE$10004,2669-4,'Visual SPC'!$B$3),"")</f>
        <v/>
      </c>
      <c r="E2669">
        <f>IF(B2669=1,D2669,E2668)</f>
        <v/>
      </c>
      <c r="F2669">
        <f>IF(AND(B2669=1,C2669&gt;1,E2668&lt;&gt;""),ABS(D2669-E2668),"")</f>
        <v/>
      </c>
    </row>
    <row r="2670">
      <c r="A2670" t="n">
        <v>2670</v>
      </c>
      <c r="B2670">
        <f>IF(INDEX('Data Entry'!$H$5:$BE$10004,2670-4,'Visual SPC'!$B$3)="",0,IF(AND(OR('Visual SPC'!$C$4="",'Data Entry'!$C2670&gt;='Visual SPC'!$C$4),OR('Visual SPC'!$E$4="",'Data Entry'!$C2670&lt;='Visual SPC'!$E$4),OR('Visual SPC'!$G$4="",'Data Entry'!$D2670='Visual SPC'!$G$4),OR('Visual SPC'!$I$4="",'Data Entry'!$E2670='Visual SPC'!$I$4),OR('Visual SPC'!$K$4="",'Data Entry'!$F2670='Visual SPC'!$K$4)),1,0))</f>
        <v/>
      </c>
      <c r="C2670">
        <f>C2669+B2670</f>
        <v/>
      </c>
      <c r="D2670">
        <f>IF(B2670=1,INDEX('Data Entry'!$H$5:$BE$10004,2670-4,'Visual SPC'!$B$3),"")</f>
        <v/>
      </c>
      <c r="E2670">
        <f>IF(B2670=1,D2670,E2669)</f>
        <v/>
      </c>
      <c r="F2670">
        <f>IF(AND(B2670=1,C2670&gt;1,E2669&lt;&gt;""),ABS(D2670-E2669),"")</f>
        <v/>
      </c>
    </row>
    <row r="2671">
      <c r="A2671" t="n">
        <v>2671</v>
      </c>
      <c r="B2671">
        <f>IF(INDEX('Data Entry'!$H$5:$BE$10004,2671-4,'Visual SPC'!$B$3)="",0,IF(AND(OR('Visual SPC'!$C$4="",'Data Entry'!$C2671&gt;='Visual SPC'!$C$4),OR('Visual SPC'!$E$4="",'Data Entry'!$C2671&lt;='Visual SPC'!$E$4),OR('Visual SPC'!$G$4="",'Data Entry'!$D2671='Visual SPC'!$G$4),OR('Visual SPC'!$I$4="",'Data Entry'!$E2671='Visual SPC'!$I$4),OR('Visual SPC'!$K$4="",'Data Entry'!$F2671='Visual SPC'!$K$4)),1,0))</f>
        <v/>
      </c>
      <c r="C2671">
        <f>C2670+B2671</f>
        <v/>
      </c>
      <c r="D2671">
        <f>IF(B2671=1,INDEX('Data Entry'!$H$5:$BE$10004,2671-4,'Visual SPC'!$B$3),"")</f>
        <v/>
      </c>
      <c r="E2671">
        <f>IF(B2671=1,D2671,E2670)</f>
        <v/>
      </c>
      <c r="F2671">
        <f>IF(AND(B2671=1,C2671&gt;1,E2670&lt;&gt;""),ABS(D2671-E2670),"")</f>
        <v/>
      </c>
    </row>
    <row r="2672">
      <c r="A2672" t="n">
        <v>2672</v>
      </c>
      <c r="B2672">
        <f>IF(INDEX('Data Entry'!$H$5:$BE$10004,2672-4,'Visual SPC'!$B$3)="",0,IF(AND(OR('Visual SPC'!$C$4="",'Data Entry'!$C2672&gt;='Visual SPC'!$C$4),OR('Visual SPC'!$E$4="",'Data Entry'!$C2672&lt;='Visual SPC'!$E$4),OR('Visual SPC'!$G$4="",'Data Entry'!$D2672='Visual SPC'!$G$4),OR('Visual SPC'!$I$4="",'Data Entry'!$E2672='Visual SPC'!$I$4),OR('Visual SPC'!$K$4="",'Data Entry'!$F2672='Visual SPC'!$K$4)),1,0))</f>
        <v/>
      </c>
      <c r="C2672">
        <f>C2671+B2672</f>
        <v/>
      </c>
      <c r="D2672">
        <f>IF(B2672=1,INDEX('Data Entry'!$H$5:$BE$10004,2672-4,'Visual SPC'!$B$3),"")</f>
        <v/>
      </c>
      <c r="E2672">
        <f>IF(B2672=1,D2672,E2671)</f>
        <v/>
      </c>
      <c r="F2672">
        <f>IF(AND(B2672=1,C2672&gt;1,E2671&lt;&gt;""),ABS(D2672-E2671),"")</f>
        <v/>
      </c>
    </row>
    <row r="2673">
      <c r="A2673" t="n">
        <v>2673</v>
      </c>
      <c r="B2673">
        <f>IF(INDEX('Data Entry'!$H$5:$BE$10004,2673-4,'Visual SPC'!$B$3)="",0,IF(AND(OR('Visual SPC'!$C$4="",'Data Entry'!$C2673&gt;='Visual SPC'!$C$4),OR('Visual SPC'!$E$4="",'Data Entry'!$C2673&lt;='Visual SPC'!$E$4),OR('Visual SPC'!$G$4="",'Data Entry'!$D2673='Visual SPC'!$G$4),OR('Visual SPC'!$I$4="",'Data Entry'!$E2673='Visual SPC'!$I$4),OR('Visual SPC'!$K$4="",'Data Entry'!$F2673='Visual SPC'!$K$4)),1,0))</f>
        <v/>
      </c>
      <c r="C2673">
        <f>C2672+B2673</f>
        <v/>
      </c>
      <c r="D2673">
        <f>IF(B2673=1,INDEX('Data Entry'!$H$5:$BE$10004,2673-4,'Visual SPC'!$B$3),"")</f>
        <v/>
      </c>
      <c r="E2673">
        <f>IF(B2673=1,D2673,E2672)</f>
        <v/>
      </c>
      <c r="F2673">
        <f>IF(AND(B2673=1,C2673&gt;1,E2672&lt;&gt;""),ABS(D2673-E2672),"")</f>
        <v/>
      </c>
    </row>
    <row r="2674">
      <c r="A2674" t="n">
        <v>2674</v>
      </c>
      <c r="B2674">
        <f>IF(INDEX('Data Entry'!$H$5:$BE$10004,2674-4,'Visual SPC'!$B$3)="",0,IF(AND(OR('Visual SPC'!$C$4="",'Data Entry'!$C2674&gt;='Visual SPC'!$C$4),OR('Visual SPC'!$E$4="",'Data Entry'!$C2674&lt;='Visual SPC'!$E$4),OR('Visual SPC'!$G$4="",'Data Entry'!$D2674='Visual SPC'!$G$4),OR('Visual SPC'!$I$4="",'Data Entry'!$E2674='Visual SPC'!$I$4),OR('Visual SPC'!$K$4="",'Data Entry'!$F2674='Visual SPC'!$K$4)),1,0))</f>
        <v/>
      </c>
      <c r="C2674">
        <f>C2673+B2674</f>
        <v/>
      </c>
      <c r="D2674">
        <f>IF(B2674=1,INDEX('Data Entry'!$H$5:$BE$10004,2674-4,'Visual SPC'!$B$3),"")</f>
        <v/>
      </c>
      <c r="E2674">
        <f>IF(B2674=1,D2674,E2673)</f>
        <v/>
      </c>
      <c r="F2674">
        <f>IF(AND(B2674=1,C2674&gt;1,E2673&lt;&gt;""),ABS(D2674-E2673),"")</f>
        <v/>
      </c>
    </row>
    <row r="2675">
      <c r="A2675" t="n">
        <v>2675</v>
      </c>
      <c r="B2675">
        <f>IF(INDEX('Data Entry'!$H$5:$BE$10004,2675-4,'Visual SPC'!$B$3)="",0,IF(AND(OR('Visual SPC'!$C$4="",'Data Entry'!$C2675&gt;='Visual SPC'!$C$4),OR('Visual SPC'!$E$4="",'Data Entry'!$C2675&lt;='Visual SPC'!$E$4),OR('Visual SPC'!$G$4="",'Data Entry'!$D2675='Visual SPC'!$G$4),OR('Visual SPC'!$I$4="",'Data Entry'!$E2675='Visual SPC'!$I$4),OR('Visual SPC'!$K$4="",'Data Entry'!$F2675='Visual SPC'!$K$4)),1,0))</f>
        <v/>
      </c>
      <c r="C2675">
        <f>C2674+B2675</f>
        <v/>
      </c>
      <c r="D2675">
        <f>IF(B2675=1,INDEX('Data Entry'!$H$5:$BE$10004,2675-4,'Visual SPC'!$B$3),"")</f>
        <v/>
      </c>
      <c r="E2675">
        <f>IF(B2675=1,D2675,E2674)</f>
        <v/>
      </c>
      <c r="F2675">
        <f>IF(AND(B2675=1,C2675&gt;1,E2674&lt;&gt;""),ABS(D2675-E2674),"")</f>
        <v/>
      </c>
    </row>
    <row r="2676">
      <c r="A2676" t="n">
        <v>2676</v>
      </c>
      <c r="B2676">
        <f>IF(INDEX('Data Entry'!$H$5:$BE$10004,2676-4,'Visual SPC'!$B$3)="",0,IF(AND(OR('Visual SPC'!$C$4="",'Data Entry'!$C2676&gt;='Visual SPC'!$C$4),OR('Visual SPC'!$E$4="",'Data Entry'!$C2676&lt;='Visual SPC'!$E$4),OR('Visual SPC'!$G$4="",'Data Entry'!$D2676='Visual SPC'!$G$4),OR('Visual SPC'!$I$4="",'Data Entry'!$E2676='Visual SPC'!$I$4),OR('Visual SPC'!$K$4="",'Data Entry'!$F2676='Visual SPC'!$K$4)),1,0))</f>
        <v/>
      </c>
      <c r="C2676">
        <f>C2675+B2676</f>
        <v/>
      </c>
      <c r="D2676">
        <f>IF(B2676=1,INDEX('Data Entry'!$H$5:$BE$10004,2676-4,'Visual SPC'!$B$3),"")</f>
        <v/>
      </c>
      <c r="E2676">
        <f>IF(B2676=1,D2676,E2675)</f>
        <v/>
      </c>
      <c r="F2676">
        <f>IF(AND(B2676=1,C2676&gt;1,E2675&lt;&gt;""),ABS(D2676-E2675),"")</f>
        <v/>
      </c>
    </row>
    <row r="2677">
      <c r="A2677" t="n">
        <v>2677</v>
      </c>
      <c r="B2677">
        <f>IF(INDEX('Data Entry'!$H$5:$BE$10004,2677-4,'Visual SPC'!$B$3)="",0,IF(AND(OR('Visual SPC'!$C$4="",'Data Entry'!$C2677&gt;='Visual SPC'!$C$4),OR('Visual SPC'!$E$4="",'Data Entry'!$C2677&lt;='Visual SPC'!$E$4),OR('Visual SPC'!$G$4="",'Data Entry'!$D2677='Visual SPC'!$G$4),OR('Visual SPC'!$I$4="",'Data Entry'!$E2677='Visual SPC'!$I$4),OR('Visual SPC'!$K$4="",'Data Entry'!$F2677='Visual SPC'!$K$4)),1,0))</f>
        <v/>
      </c>
      <c r="C2677">
        <f>C2676+B2677</f>
        <v/>
      </c>
      <c r="D2677">
        <f>IF(B2677=1,INDEX('Data Entry'!$H$5:$BE$10004,2677-4,'Visual SPC'!$B$3),"")</f>
        <v/>
      </c>
      <c r="E2677">
        <f>IF(B2677=1,D2677,E2676)</f>
        <v/>
      </c>
      <c r="F2677">
        <f>IF(AND(B2677=1,C2677&gt;1,E2676&lt;&gt;""),ABS(D2677-E2676),"")</f>
        <v/>
      </c>
    </row>
    <row r="2678">
      <c r="A2678" t="n">
        <v>2678</v>
      </c>
      <c r="B2678">
        <f>IF(INDEX('Data Entry'!$H$5:$BE$10004,2678-4,'Visual SPC'!$B$3)="",0,IF(AND(OR('Visual SPC'!$C$4="",'Data Entry'!$C2678&gt;='Visual SPC'!$C$4),OR('Visual SPC'!$E$4="",'Data Entry'!$C2678&lt;='Visual SPC'!$E$4),OR('Visual SPC'!$G$4="",'Data Entry'!$D2678='Visual SPC'!$G$4),OR('Visual SPC'!$I$4="",'Data Entry'!$E2678='Visual SPC'!$I$4),OR('Visual SPC'!$K$4="",'Data Entry'!$F2678='Visual SPC'!$K$4)),1,0))</f>
        <v/>
      </c>
      <c r="C2678">
        <f>C2677+B2678</f>
        <v/>
      </c>
      <c r="D2678">
        <f>IF(B2678=1,INDEX('Data Entry'!$H$5:$BE$10004,2678-4,'Visual SPC'!$B$3),"")</f>
        <v/>
      </c>
      <c r="E2678">
        <f>IF(B2678=1,D2678,E2677)</f>
        <v/>
      </c>
      <c r="F2678">
        <f>IF(AND(B2678=1,C2678&gt;1,E2677&lt;&gt;""),ABS(D2678-E2677),"")</f>
        <v/>
      </c>
    </row>
    <row r="2679">
      <c r="A2679" t="n">
        <v>2679</v>
      </c>
      <c r="B2679">
        <f>IF(INDEX('Data Entry'!$H$5:$BE$10004,2679-4,'Visual SPC'!$B$3)="",0,IF(AND(OR('Visual SPC'!$C$4="",'Data Entry'!$C2679&gt;='Visual SPC'!$C$4),OR('Visual SPC'!$E$4="",'Data Entry'!$C2679&lt;='Visual SPC'!$E$4),OR('Visual SPC'!$G$4="",'Data Entry'!$D2679='Visual SPC'!$G$4),OR('Visual SPC'!$I$4="",'Data Entry'!$E2679='Visual SPC'!$I$4),OR('Visual SPC'!$K$4="",'Data Entry'!$F2679='Visual SPC'!$K$4)),1,0))</f>
        <v/>
      </c>
      <c r="C2679">
        <f>C2678+B2679</f>
        <v/>
      </c>
      <c r="D2679">
        <f>IF(B2679=1,INDEX('Data Entry'!$H$5:$BE$10004,2679-4,'Visual SPC'!$B$3),"")</f>
        <v/>
      </c>
      <c r="E2679">
        <f>IF(B2679=1,D2679,E2678)</f>
        <v/>
      </c>
      <c r="F2679">
        <f>IF(AND(B2679=1,C2679&gt;1,E2678&lt;&gt;""),ABS(D2679-E2678),"")</f>
        <v/>
      </c>
    </row>
    <row r="2680">
      <c r="A2680" t="n">
        <v>2680</v>
      </c>
      <c r="B2680">
        <f>IF(INDEX('Data Entry'!$H$5:$BE$10004,2680-4,'Visual SPC'!$B$3)="",0,IF(AND(OR('Visual SPC'!$C$4="",'Data Entry'!$C2680&gt;='Visual SPC'!$C$4),OR('Visual SPC'!$E$4="",'Data Entry'!$C2680&lt;='Visual SPC'!$E$4),OR('Visual SPC'!$G$4="",'Data Entry'!$D2680='Visual SPC'!$G$4),OR('Visual SPC'!$I$4="",'Data Entry'!$E2680='Visual SPC'!$I$4),OR('Visual SPC'!$K$4="",'Data Entry'!$F2680='Visual SPC'!$K$4)),1,0))</f>
        <v/>
      </c>
      <c r="C2680">
        <f>C2679+B2680</f>
        <v/>
      </c>
      <c r="D2680">
        <f>IF(B2680=1,INDEX('Data Entry'!$H$5:$BE$10004,2680-4,'Visual SPC'!$B$3),"")</f>
        <v/>
      </c>
      <c r="E2680">
        <f>IF(B2680=1,D2680,E2679)</f>
        <v/>
      </c>
      <c r="F2680">
        <f>IF(AND(B2680=1,C2680&gt;1,E2679&lt;&gt;""),ABS(D2680-E2679),"")</f>
        <v/>
      </c>
    </row>
    <row r="2681">
      <c r="A2681" t="n">
        <v>2681</v>
      </c>
      <c r="B2681">
        <f>IF(INDEX('Data Entry'!$H$5:$BE$10004,2681-4,'Visual SPC'!$B$3)="",0,IF(AND(OR('Visual SPC'!$C$4="",'Data Entry'!$C2681&gt;='Visual SPC'!$C$4),OR('Visual SPC'!$E$4="",'Data Entry'!$C2681&lt;='Visual SPC'!$E$4),OR('Visual SPC'!$G$4="",'Data Entry'!$D2681='Visual SPC'!$G$4),OR('Visual SPC'!$I$4="",'Data Entry'!$E2681='Visual SPC'!$I$4),OR('Visual SPC'!$K$4="",'Data Entry'!$F2681='Visual SPC'!$K$4)),1,0))</f>
        <v/>
      </c>
      <c r="C2681">
        <f>C2680+B2681</f>
        <v/>
      </c>
      <c r="D2681">
        <f>IF(B2681=1,INDEX('Data Entry'!$H$5:$BE$10004,2681-4,'Visual SPC'!$B$3),"")</f>
        <v/>
      </c>
      <c r="E2681">
        <f>IF(B2681=1,D2681,E2680)</f>
        <v/>
      </c>
      <c r="F2681">
        <f>IF(AND(B2681=1,C2681&gt;1,E2680&lt;&gt;""),ABS(D2681-E2680),"")</f>
        <v/>
      </c>
    </row>
    <row r="2682">
      <c r="A2682" t="n">
        <v>2682</v>
      </c>
      <c r="B2682">
        <f>IF(INDEX('Data Entry'!$H$5:$BE$10004,2682-4,'Visual SPC'!$B$3)="",0,IF(AND(OR('Visual SPC'!$C$4="",'Data Entry'!$C2682&gt;='Visual SPC'!$C$4),OR('Visual SPC'!$E$4="",'Data Entry'!$C2682&lt;='Visual SPC'!$E$4),OR('Visual SPC'!$G$4="",'Data Entry'!$D2682='Visual SPC'!$G$4),OR('Visual SPC'!$I$4="",'Data Entry'!$E2682='Visual SPC'!$I$4),OR('Visual SPC'!$K$4="",'Data Entry'!$F2682='Visual SPC'!$K$4)),1,0))</f>
        <v/>
      </c>
      <c r="C2682">
        <f>C2681+B2682</f>
        <v/>
      </c>
      <c r="D2682">
        <f>IF(B2682=1,INDEX('Data Entry'!$H$5:$BE$10004,2682-4,'Visual SPC'!$B$3),"")</f>
        <v/>
      </c>
      <c r="E2682">
        <f>IF(B2682=1,D2682,E2681)</f>
        <v/>
      </c>
      <c r="F2682">
        <f>IF(AND(B2682=1,C2682&gt;1,E2681&lt;&gt;""),ABS(D2682-E2681),"")</f>
        <v/>
      </c>
    </row>
    <row r="2683">
      <c r="A2683" t="n">
        <v>2683</v>
      </c>
      <c r="B2683">
        <f>IF(INDEX('Data Entry'!$H$5:$BE$10004,2683-4,'Visual SPC'!$B$3)="",0,IF(AND(OR('Visual SPC'!$C$4="",'Data Entry'!$C2683&gt;='Visual SPC'!$C$4),OR('Visual SPC'!$E$4="",'Data Entry'!$C2683&lt;='Visual SPC'!$E$4),OR('Visual SPC'!$G$4="",'Data Entry'!$D2683='Visual SPC'!$G$4),OR('Visual SPC'!$I$4="",'Data Entry'!$E2683='Visual SPC'!$I$4),OR('Visual SPC'!$K$4="",'Data Entry'!$F2683='Visual SPC'!$K$4)),1,0))</f>
        <v/>
      </c>
      <c r="C2683">
        <f>C2682+B2683</f>
        <v/>
      </c>
      <c r="D2683">
        <f>IF(B2683=1,INDEX('Data Entry'!$H$5:$BE$10004,2683-4,'Visual SPC'!$B$3),"")</f>
        <v/>
      </c>
      <c r="E2683">
        <f>IF(B2683=1,D2683,E2682)</f>
        <v/>
      </c>
      <c r="F2683">
        <f>IF(AND(B2683=1,C2683&gt;1,E2682&lt;&gt;""),ABS(D2683-E2682),"")</f>
        <v/>
      </c>
    </row>
    <row r="2684">
      <c r="A2684" t="n">
        <v>2684</v>
      </c>
      <c r="B2684">
        <f>IF(INDEX('Data Entry'!$H$5:$BE$10004,2684-4,'Visual SPC'!$B$3)="",0,IF(AND(OR('Visual SPC'!$C$4="",'Data Entry'!$C2684&gt;='Visual SPC'!$C$4),OR('Visual SPC'!$E$4="",'Data Entry'!$C2684&lt;='Visual SPC'!$E$4),OR('Visual SPC'!$G$4="",'Data Entry'!$D2684='Visual SPC'!$G$4),OR('Visual SPC'!$I$4="",'Data Entry'!$E2684='Visual SPC'!$I$4),OR('Visual SPC'!$K$4="",'Data Entry'!$F2684='Visual SPC'!$K$4)),1,0))</f>
        <v/>
      </c>
      <c r="C2684">
        <f>C2683+B2684</f>
        <v/>
      </c>
      <c r="D2684">
        <f>IF(B2684=1,INDEX('Data Entry'!$H$5:$BE$10004,2684-4,'Visual SPC'!$B$3),"")</f>
        <v/>
      </c>
      <c r="E2684">
        <f>IF(B2684=1,D2684,E2683)</f>
        <v/>
      </c>
      <c r="F2684">
        <f>IF(AND(B2684=1,C2684&gt;1,E2683&lt;&gt;""),ABS(D2684-E2683),"")</f>
        <v/>
      </c>
    </row>
    <row r="2685">
      <c r="A2685" t="n">
        <v>2685</v>
      </c>
      <c r="B2685">
        <f>IF(INDEX('Data Entry'!$H$5:$BE$10004,2685-4,'Visual SPC'!$B$3)="",0,IF(AND(OR('Visual SPC'!$C$4="",'Data Entry'!$C2685&gt;='Visual SPC'!$C$4),OR('Visual SPC'!$E$4="",'Data Entry'!$C2685&lt;='Visual SPC'!$E$4),OR('Visual SPC'!$G$4="",'Data Entry'!$D2685='Visual SPC'!$G$4),OR('Visual SPC'!$I$4="",'Data Entry'!$E2685='Visual SPC'!$I$4),OR('Visual SPC'!$K$4="",'Data Entry'!$F2685='Visual SPC'!$K$4)),1,0))</f>
        <v/>
      </c>
      <c r="C2685">
        <f>C2684+B2685</f>
        <v/>
      </c>
      <c r="D2685">
        <f>IF(B2685=1,INDEX('Data Entry'!$H$5:$BE$10004,2685-4,'Visual SPC'!$B$3),"")</f>
        <v/>
      </c>
      <c r="E2685">
        <f>IF(B2685=1,D2685,E2684)</f>
        <v/>
      </c>
      <c r="F2685">
        <f>IF(AND(B2685=1,C2685&gt;1,E2684&lt;&gt;""),ABS(D2685-E2684),"")</f>
        <v/>
      </c>
    </row>
    <row r="2686">
      <c r="A2686" t="n">
        <v>2686</v>
      </c>
      <c r="B2686">
        <f>IF(INDEX('Data Entry'!$H$5:$BE$10004,2686-4,'Visual SPC'!$B$3)="",0,IF(AND(OR('Visual SPC'!$C$4="",'Data Entry'!$C2686&gt;='Visual SPC'!$C$4),OR('Visual SPC'!$E$4="",'Data Entry'!$C2686&lt;='Visual SPC'!$E$4),OR('Visual SPC'!$G$4="",'Data Entry'!$D2686='Visual SPC'!$G$4),OR('Visual SPC'!$I$4="",'Data Entry'!$E2686='Visual SPC'!$I$4),OR('Visual SPC'!$K$4="",'Data Entry'!$F2686='Visual SPC'!$K$4)),1,0))</f>
        <v/>
      </c>
      <c r="C2686">
        <f>C2685+B2686</f>
        <v/>
      </c>
      <c r="D2686">
        <f>IF(B2686=1,INDEX('Data Entry'!$H$5:$BE$10004,2686-4,'Visual SPC'!$B$3),"")</f>
        <v/>
      </c>
      <c r="E2686">
        <f>IF(B2686=1,D2686,E2685)</f>
        <v/>
      </c>
      <c r="F2686">
        <f>IF(AND(B2686=1,C2686&gt;1,E2685&lt;&gt;""),ABS(D2686-E2685),"")</f>
        <v/>
      </c>
    </row>
    <row r="2687">
      <c r="A2687" t="n">
        <v>2687</v>
      </c>
      <c r="B2687">
        <f>IF(INDEX('Data Entry'!$H$5:$BE$10004,2687-4,'Visual SPC'!$B$3)="",0,IF(AND(OR('Visual SPC'!$C$4="",'Data Entry'!$C2687&gt;='Visual SPC'!$C$4),OR('Visual SPC'!$E$4="",'Data Entry'!$C2687&lt;='Visual SPC'!$E$4),OR('Visual SPC'!$G$4="",'Data Entry'!$D2687='Visual SPC'!$G$4),OR('Visual SPC'!$I$4="",'Data Entry'!$E2687='Visual SPC'!$I$4),OR('Visual SPC'!$K$4="",'Data Entry'!$F2687='Visual SPC'!$K$4)),1,0))</f>
        <v/>
      </c>
      <c r="C2687">
        <f>C2686+B2687</f>
        <v/>
      </c>
      <c r="D2687">
        <f>IF(B2687=1,INDEX('Data Entry'!$H$5:$BE$10004,2687-4,'Visual SPC'!$B$3),"")</f>
        <v/>
      </c>
      <c r="E2687">
        <f>IF(B2687=1,D2687,E2686)</f>
        <v/>
      </c>
      <c r="F2687">
        <f>IF(AND(B2687=1,C2687&gt;1,E2686&lt;&gt;""),ABS(D2687-E2686),"")</f>
        <v/>
      </c>
    </row>
    <row r="2688">
      <c r="A2688" t="n">
        <v>2688</v>
      </c>
      <c r="B2688">
        <f>IF(INDEX('Data Entry'!$H$5:$BE$10004,2688-4,'Visual SPC'!$B$3)="",0,IF(AND(OR('Visual SPC'!$C$4="",'Data Entry'!$C2688&gt;='Visual SPC'!$C$4),OR('Visual SPC'!$E$4="",'Data Entry'!$C2688&lt;='Visual SPC'!$E$4),OR('Visual SPC'!$G$4="",'Data Entry'!$D2688='Visual SPC'!$G$4),OR('Visual SPC'!$I$4="",'Data Entry'!$E2688='Visual SPC'!$I$4),OR('Visual SPC'!$K$4="",'Data Entry'!$F2688='Visual SPC'!$K$4)),1,0))</f>
        <v/>
      </c>
      <c r="C2688">
        <f>C2687+B2688</f>
        <v/>
      </c>
      <c r="D2688">
        <f>IF(B2688=1,INDEX('Data Entry'!$H$5:$BE$10004,2688-4,'Visual SPC'!$B$3),"")</f>
        <v/>
      </c>
      <c r="E2688">
        <f>IF(B2688=1,D2688,E2687)</f>
        <v/>
      </c>
      <c r="F2688">
        <f>IF(AND(B2688=1,C2688&gt;1,E2687&lt;&gt;""),ABS(D2688-E2687),"")</f>
        <v/>
      </c>
    </row>
    <row r="2689">
      <c r="A2689" t="n">
        <v>2689</v>
      </c>
      <c r="B2689">
        <f>IF(INDEX('Data Entry'!$H$5:$BE$10004,2689-4,'Visual SPC'!$B$3)="",0,IF(AND(OR('Visual SPC'!$C$4="",'Data Entry'!$C2689&gt;='Visual SPC'!$C$4),OR('Visual SPC'!$E$4="",'Data Entry'!$C2689&lt;='Visual SPC'!$E$4),OR('Visual SPC'!$G$4="",'Data Entry'!$D2689='Visual SPC'!$G$4),OR('Visual SPC'!$I$4="",'Data Entry'!$E2689='Visual SPC'!$I$4),OR('Visual SPC'!$K$4="",'Data Entry'!$F2689='Visual SPC'!$K$4)),1,0))</f>
        <v/>
      </c>
      <c r="C2689">
        <f>C2688+B2689</f>
        <v/>
      </c>
      <c r="D2689">
        <f>IF(B2689=1,INDEX('Data Entry'!$H$5:$BE$10004,2689-4,'Visual SPC'!$B$3),"")</f>
        <v/>
      </c>
      <c r="E2689">
        <f>IF(B2689=1,D2689,E2688)</f>
        <v/>
      </c>
      <c r="F2689">
        <f>IF(AND(B2689=1,C2689&gt;1,E2688&lt;&gt;""),ABS(D2689-E2688),"")</f>
        <v/>
      </c>
    </row>
    <row r="2690">
      <c r="A2690" t="n">
        <v>2690</v>
      </c>
      <c r="B2690">
        <f>IF(INDEX('Data Entry'!$H$5:$BE$10004,2690-4,'Visual SPC'!$B$3)="",0,IF(AND(OR('Visual SPC'!$C$4="",'Data Entry'!$C2690&gt;='Visual SPC'!$C$4),OR('Visual SPC'!$E$4="",'Data Entry'!$C2690&lt;='Visual SPC'!$E$4),OR('Visual SPC'!$G$4="",'Data Entry'!$D2690='Visual SPC'!$G$4),OR('Visual SPC'!$I$4="",'Data Entry'!$E2690='Visual SPC'!$I$4),OR('Visual SPC'!$K$4="",'Data Entry'!$F2690='Visual SPC'!$K$4)),1,0))</f>
        <v/>
      </c>
      <c r="C2690">
        <f>C2689+B2690</f>
        <v/>
      </c>
      <c r="D2690">
        <f>IF(B2690=1,INDEX('Data Entry'!$H$5:$BE$10004,2690-4,'Visual SPC'!$B$3),"")</f>
        <v/>
      </c>
      <c r="E2690">
        <f>IF(B2690=1,D2690,E2689)</f>
        <v/>
      </c>
      <c r="F2690">
        <f>IF(AND(B2690=1,C2690&gt;1,E2689&lt;&gt;""),ABS(D2690-E2689),"")</f>
        <v/>
      </c>
    </row>
    <row r="2691">
      <c r="A2691" t="n">
        <v>2691</v>
      </c>
      <c r="B2691">
        <f>IF(INDEX('Data Entry'!$H$5:$BE$10004,2691-4,'Visual SPC'!$B$3)="",0,IF(AND(OR('Visual SPC'!$C$4="",'Data Entry'!$C2691&gt;='Visual SPC'!$C$4),OR('Visual SPC'!$E$4="",'Data Entry'!$C2691&lt;='Visual SPC'!$E$4),OR('Visual SPC'!$G$4="",'Data Entry'!$D2691='Visual SPC'!$G$4),OR('Visual SPC'!$I$4="",'Data Entry'!$E2691='Visual SPC'!$I$4),OR('Visual SPC'!$K$4="",'Data Entry'!$F2691='Visual SPC'!$K$4)),1,0))</f>
        <v/>
      </c>
      <c r="C2691">
        <f>C2690+B2691</f>
        <v/>
      </c>
      <c r="D2691">
        <f>IF(B2691=1,INDEX('Data Entry'!$H$5:$BE$10004,2691-4,'Visual SPC'!$B$3),"")</f>
        <v/>
      </c>
      <c r="E2691">
        <f>IF(B2691=1,D2691,E2690)</f>
        <v/>
      </c>
      <c r="F2691">
        <f>IF(AND(B2691=1,C2691&gt;1,E2690&lt;&gt;""),ABS(D2691-E2690),"")</f>
        <v/>
      </c>
    </row>
    <row r="2692">
      <c r="A2692" t="n">
        <v>2692</v>
      </c>
      <c r="B2692">
        <f>IF(INDEX('Data Entry'!$H$5:$BE$10004,2692-4,'Visual SPC'!$B$3)="",0,IF(AND(OR('Visual SPC'!$C$4="",'Data Entry'!$C2692&gt;='Visual SPC'!$C$4),OR('Visual SPC'!$E$4="",'Data Entry'!$C2692&lt;='Visual SPC'!$E$4),OR('Visual SPC'!$G$4="",'Data Entry'!$D2692='Visual SPC'!$G$4),OR('Visual SPC'!$I$4="",'Data Entry'!$E2692='Visual SPC'!$I$4),OR('Visual SPC'!$K$4="",'Data Entry'!$F2692='Visual SPC'!$K$4)),1,0))</f>
        <v/>
      </c>
      <c r="C2692">
        <f>C2691+B2692</f>
        <v/>
      </c>
      <c r="D2692">
        <f>IF(B2692=1,INDEX('Data Entry'!$H$5:$BE$10004,2692-4,'Visual SPC'!$B$3),"")</f>
        <v/>
      </c>
      <c r="E2692">
        <f>IF(B2692=1,D2692,E2691)</f>
        <v/>
      </c>
      <c r="F2692">
        <f>IF(AND(B2692=1,C2692&gt;1,E2691&lt;&gt;""),ABS(D2692-E2691),"")</f>
        <v/>
      </c>
    </row>
    <row r="2693">
      <c r="A2693" t="n">
        <v>2693</v>
      </c>
      <c r="B2693">
        <f>IF(INDEX('Data Entry'!$H$5:$BE$10004,2693-4,'Visual SPC'!$B$3)="",0,IF(AND(OR('Visual SPC'!$C$4="",'Data Entry'!$C2693&gt;='Visual SPC'!$C$4),OR('Visual SPC'!$E$4="",'Data Entry'!$C2693&lt;='Visual SPC'!$E$4),OR('Visual SPC'!$G$4="",'Data Entry'!$D2693='Visual SPC'!$G$4),OR('Visual SPC'!$I$4="",'Data Entry'!$E2693='Visual SPC'!$I$4),OR('Visual SPC'!$K$4="",'Data Entry'!$F2693='Visual SPC'!$K$4)),1,0))</f>
        <v/>
      </c>
      <c r="C2693">
        <f>C2692+B2693</f>
        <v/>
      </c>
      <c r="D2693">
        <f>IF(B2693=1,INDEX('Data Entry'!$H$5:$BE$10004,2693-4,'Visual SPC'!$B$3),"")</f>
        <v/>
      </c>
      <c r="E2693">
        <f>IF(B2693=1,D2693,E2692)</f>
        <v/>
      </c>
      <c r="F2693">
        <f>IF(AND(B2693=1,C2693&gt;1,E2692&lt;&gt;""),ABS(D2693-E2692),"")</f>
        <v/>
      </c>
    </row>
    <row r="2694">
      <c r="A2694" t="n">
        <v>2694</v>
      </c>
      <c r="B2694">
        <f>IF(INDEX('Data Entry'!$H$5:$BE$10004,2694-4,'Visual SPC'!$B$3)="",0,IF(AND(OR('Visual SPC'!$C$4="",'Data Entry'!$C2694&gt;='Visual SPC'!$C$4),OR('Visual SPC'!$E$4="",'Data Entry'!$C2694&lt;='Visual SPC'!$E$4),OR('Visual SPC'!$G$4="",'Data Entry'!$D2694='Visual SPC'!$G$4),OR('Visual SPC'!$I$4="",'Data Entry'!$E2694='Visual SPC'!$I$4),OR('Visual SPC'!$K$4="",'Data Entry'!$F2694='Visual SPC'!$K$4)),1,0))</f>
        <v/>
      </c>
      <c r="C2694">
        <f>C2693+B2694</f>
        <v/>
      </c>
      <c r="D2694">
        <f>IF(B2694=1,INDEX('Data Entry'!$H$5:$BE$10004,2694-4,'Visual SPC'!$B$3),"")</f>
        <v/>
      </c>
      <c r="E2694">
        <f>IF(B2694=1,D2694,E2693)</f>
        <v/>
      </c>
      <c r="F2694">
        <f>IF(AND(B2694=1,C2694&gt;1,E2693&lt;&gt;""),ABS(D2694-E2693),"")</f>
        <v/>
      </c>
    </row>
    <row r="2695">
      <c r="A2695" t="n">
        <v>2695</v>
      </c>
      <c r="B2695">
        <f>IF(INDEX('Data Entry'!$H$5:$BE$10004,2695-4,'Visual SPC'!$B$3)="",0,IF(AND(OR('Visual SPC'!$C$4="",'Data Entry'!$C2695&gt;='Visual SPC'!$C$4),OR('Visual SPC'!$E$4="",'Data Entry'!$C2695&lt;='Visual SPC'!$E$4),OR('Visual SPC'!$G$4="",'Data Entry'!$D2695='Visual SPC'!$G$4),OR('Visual SPC'!$I$4="",'Data Entry'!$E2695='Visual SPC'!$I$4),OR('Visual SPC'!$K$4="",'Data Entry'!$F2695='Visual SPC'!$K$4)),1,0))</f>
        <v/>
      </c>
      <c r="C2695">
        <f>C2694+B2695</f>
        <v/>
      </c>
      <c r="D2695">
        <f>IF(B2695=1,INDEX('Data Entry'!$H$5:$BE$10004,2695-4,'Visual SPC'!$B$3),"")</f>
        <v/>
      </c>
      <c r="E2695">
        <f>IF(B2695=1,D2695,E2694)</f>
        <v/>
      </c>
      <c r="F2695">
        <f>IF(AND(B2695=1,C2695&gt;1,E2694&lt;&gt;""),ABS(D2695-E2694),"")</f>
        <v/>
      </c>
    </row>
    <row r="2696">
      <c r="A2696" t="n">
        <v>2696</v>
      </c>
      <c r="B2696">
        <f>IF(INDEX('Data Entry'!$H$5:$BE$10004,2696-4,'Visual SPC'!$B$3)="",0,IF(AND(OR('Visual SPC'!$C$4="",'Data Entry'!$C2696&gt;='Visual SPC'!$C$4),OR('Visual SPC'!$E$4="",'Data Entry'!$C2696&lt;='Visual SPC'!$E$4),OR('Visual SPC'!$G$4="",'Data Entry'!$D2696='Visual SPC'!$G$4),OR('Visual SPC'!$I$4="",'Data Entry'!$E2696='Visual SPC'!$I$4),OR('Visual SPC'!$K$4="",'Data Entry'!$F2696='Visual SPC'!$K$4)),1,0))</f>
        <v/>
      </c>
      <c r="C2696">
        <f>C2695+B2696</f>
        <v/>
      </c>
      <c r="D2696">
        <f>IF(B2696=1,INDEX('Data Entry'!$H$5:$BE$10004,2696-4,'Visual SPC'!$B$3),"")</f>
        <v/>
      </c>
      <c r="E2696">
        <f>IF(B2696=1,D2696,E2695)</f>
        <v/>
      </c>
      <c r="F2696">
        <f>IF(AND(B2696=1,C2696&gt;1,E2695&lt;&gt;""),ABS(D2696-E2695),"")</f>
        <v/>
      </c>
    </row>
    <row r="2697">
      <c r="A2697" t="n">
        <v>2697</v>
      </c>
      <c r="B2697">
        <f>IF(INDEX('Data Entry'!$H$5:$BE$10004,2697-4,'Visual SPC'!$B$3)="",0,IF(AND(OR('Visual SPC'!$C$4="",'Data Entry'!$C2697&gt;='Visual SPC'!$C$4),OR('Visual SPC'!$E$4="",'Data Entry'!$C2697&lt;='Visual SPC'!$E$4),OR('Visual SPC'!$G$4="",'Data Entry'!$D2697='Visual SPC'!$G$4),OR('Visual SPC'!$I$4="",'Data Entry'!$E2697='Visual SPC'!$I$4),OR('Visual SPC'!$K$4="",'Data Entry'!$F2697='Visual SPC'!$K$4)),1,0))</f>
        <v/>
      </c>
      <c r="C2697">
        <f>C2696+B2697</f>
        <v/>
      </c>
      <c r="D2697">
        <f>IF(B2697=1,INDEX('Data Entry'!$H$5:$BE$10004,2697-4,'Visual SPC'!$B$3),"")</f>
        <v/>
      </c>
      <c r="E2697">
        <f>IF(B2697=1,D2697,E2696)</f>
        <v/>
      </c>
      <c r="F2697">
        <f>IF(AND(B2697=1,C2697&gt;1,E2696&lt;&gt;""),ABS(D2697-E2696),"")</f>
        <v/>
      </c>
    </row>
    <row r="2698">
      <c r="A2698" t="n">
        <v>2698</v>
      </c>
      <c r="B2698">
        <f>IF(INDEX('Data Entry'!$H$5:$BE$10004,2698-4,'Visual SPC'!$B$3)="",0,IF(AND(OR('Visual SPC'!$C$4="",'Data Entry'!$C2698&gt;='Visual SPC'!$C$4),OR('Visual SPC'!$E$4="",'Data Entry'!$C2698&lt;='Visual SPC'!$E$4),OR('Visual SPC'!$G$4="",'Data Entry'!$D2698='Visual SPC'!$G$4),OR('Visual SPC'!$I$4="",'Data Entry'!$E2698='Visual SPC'!$I$4),OR('Visual SPC'!$K$4="",'Data Entry'!$F2698='Visual SPC'!$K$4)),1,0))</f>
        <v/>
      </c>
      <c r="C2698">
        <f>C2697+B2698</f>
        <v/>
      </c>
      <c r="D2698">
        <f>IF(B2698=1,INDEX('Data Entry'!$H$5:$BE$10004,2698-4,'Visual SPC'!$B$3),"")</f>
        <v/>
      </c>
      <c r="E2698">
        <f>IF(B2698=1,D2698,E2697)</f>
        <v/>
      </c>
      <c r="F2698">
        <f>IF(AND(B2698=1,C2698&gt;1,E2697&lt;&gt;""),ABS(D2698-E2697),"")</f>
        <v/>
      </c>
    </row>
    <row r="2699">
      <c r="A2699" t="n">
        <v>2699</v>
      </c>
      <c r="B2699">
        <f>IF(INDEX('Data Entry'!$H$5:$BE$10004,2699-4,'Visual SPC'!$B$3)="",0,IF(AND(OR('Visual SPC'!$C$4="",'Data Entry'!$C2699&gt;='Visual SPC'!$C$4),OR('Visual SPC'!$E$4="",'Data Entry'!$C2699&lt;='Visual SPC'!$E$4),OR('Visual SPC'!$G$4="",'Data Entry'!$D2699='Visual SPC'!$G$4),OR('Visual SPC'!$I$4="",'Data Entry'!$E2699='Visual SPC'!$I$4),OR('Visual SPC'!$K$4="",'Data Entry'!$F2699='Visual SPC'!$K$4)),1,0))</f>
        <v/>
      </c>
      <c r="C2699">
        <f>C2698+B2699</f>
        <v/>
      </c>
      <c r="D2699">
        <f>IF(B2699=1,INDEX('Data Entry'!$H$5:$BE$10004,2699-4,'Visual SPC'!$B$3),"")</f>
        <v/>
      </c>
      <c r="E2699">
        <f>IF(B2699=1,D2699,E2698)</f>
        <v/>
      </c>
      <c r="F2699">
        <f>IF(AND(B2699=1,C2699&gt;1,E2698&lt;&gt;""),ABS(D2699-E2698),"")</f>
        <v/>
      </c>
    </row>
    <row r="2700">
      <c r="A2700" t="n">
        <v>2700</v>
      </c>
      <c r="B2700">
        <f>IF(INDEX('Data Entry'!$H$5:$BE$10004,2700-4,'Visual SPC'!$B$3)="",0,IF(AND(OR('Visual SPC'!$C$4="",'Data Entry'!$C2700&gt;='Visual SPC'!$C$4),OR('Visual SPC'!$E$4="",'Data Entry'!$C2700&lt;='Visual SPC'!$E$4),OR('Visual SPC'!$G$4="",'Data Entry'!$D2700='Visual SPC'!$G$4),OR('Visual SPC'!$I$4="",'Data Entry'!$E2700='Visual SPC'!$I$4),OR('Visual SPC'!$K$4="",'Data Entry'!$F2700='Visual SPC'!$K$4)),1,0))</f>
        <v/>
      </c>
      <c r="C2700">
        <f>C2699+B2700</f>
        <v/>
      </c>
      <c r="D2700">
        <f>IF(B2700=1,INDEX('Data Entry'!$H$5:$BE$10004,2700-4,'Visual SPC'!$B$3),"")</f>
        <v/>
      </c>
      <c r="E2700">
        <f>IF(B2700=1,D2700,E2699)</f>
        <v/>
      </c>
      <c r="F2700">
        <f>IF(AND(B2700=1,C2700&gt;1,E2699&lt;&gt;""),ABS(D2700-E2699),"")</f>
        <v/>
      </c>
    </row>
    <row r="2701">
      <c r="A2701" t="n">
        <v>2701</v>
      </c>
      <c r="B2701">
        <f>IF(INDEX('Data Entry'!$H$5:$BE$10004,2701-4,'Visual SPC'!$B$3)="",0,IF(AND(OR('Visual SPC'!$C$4="",'Data Entry'!$C2701&gt;='Visual SPC'!$C$4),OR('Visual SPC'!$E$4="",'Data Entry'!$C2701&lt;='Visual SPC'!$E$4),OR('Visual SPC'!$G$4="",'Data Entry'!$D2701='Visual SPC'!$G$4),OR('Visual SPC'!$I$4="",'Data Entry'!$E2701='Visual SPC'!$I$4),OR('Visual SPC'!$K$4="",'Data Entry'!$F2701='Visual SPC'!$K$4)),1,0))</f>
        <v/>
      </c>
      <c r="C2701">
        <f>C2700+B2701</f>
        <v/>
      </c>
      <c r="D2701">
        <f>IF(B2701=1,INDEX('Data Entry'!$H$5:$BE$10004,2701-4,'Visual SPC'!$B$3),"")</f>
        <v/>
      </c>
      <c r="E2701">
        <f>IF(B2701=1,D2701,E2700)</f>
        <v/>
      </c>
      <c r="F2701">
        <f>IF(AND(B2701=1,C2701&gt;1,E2700&lt;&gt;""),ABS(D2701-E2700),"")</f>
        <v/>
      </c>
    </row>
    <row r="2702">
      <c r="A2702" t="n">
        <v>2702</v>
      </c>
      <c r="B2702">
        <f>IF(INDEX('Data Entry'!$H$5:$BE$10004,2702-4,'Visual SPC'!$B$3)="",0,IF(AND(OR('Visual SPC'!$C$4="",'Data Entry'!$C2702&gt;='Visual SPC'!$C$4),OR('Visual SPC'!$E$4="",'Data Entry'!$C2702&lt;='Visual SPC'!$E$4),OR('Visual SPC'!$G$4="",'Data Entry'!$D2702='Visual SPC'!$G$4),OR('Visual SPC'!$I$4="",'Data Entry'!$E2702='Visual SPC'!$I$4),OR('Visual SPC'!$K$4="",'Data Entry'!$F2702='Visual SPC'!$K$4)),1,0))</f>
        <v/>
      </c>
      <c r="C2702">
        <f>C2701+B2702</f>
        <v/>
      </c>
      <c r="D2702">
        <f>IF(B2702=1,INDEX('Data Entry'!$H$5:$BE$10004,2702-4,'Visual SPC'!$B$3),"")</f>
        <v/>
      </c>
      <c r="E2702">
        <f>IF(B2702=1,D2702,E2701)</f>
        <v/>
      </c>
      <c r="F2702">
        <f>IF(AND(B2702=1,C2702&gt;1,E2701&lt;&gt;""),ABS(D2702-E2701),"")</f>
        <v/>
      </c>
    </row>
    <row r="2703">
      <c r="A2703" t="n">
        <v>2703</v>
      </c>
      <c r="B2703">
        <f>IF(INDEX('Data Entry'!$H$5:$BE$10004,2703-4,'Visual SPC'!$B$3)="",0,IF(AND(OR('Visual SPC'!$C$4="",'Data Entry'!$C2703&gt;='Visual SPC'!$C$4),OR('Visual SPC'!$E$4="",'Data Entry'!$C2703&lt;='Visual SPC'!$E$4),OR('Visual SPC'!$G$4="",'Data Entry'!$D2703='Visual SPC'!$G$4),OR('Visual SPC'!$I$4="",'Data Entry'!$E2703='Visual SPC'!$I$4),OR('Visual SPC'!$K$4="",'Data Entry'!$F2703='Visual SPC'!$K$4)),1,0))</f>
        <v/>
      </c>
      <c r="C2703">
        <f>C2702+B2703</f>
        <v/>
      </c>
      <c r="D2703">
        <f>IF(B2703=1,INDEX('Data Entry'!$H$5:$BE$10004,2703-4,'Visual SPC'!$B$3),"")</f>
        <v/>
      </c>
      <c r="E2703">
        <f>IF(B2703=1,D2703,E2702)</f>
        <v/>
      </c>
      <c r="F2703">
        <f>IF(AND(B2703=1,C2703&gt;1,E2702&lt;&gt;""),ABS(D2703-E2702),"")</f>
        <v/>
      </c>
    </row>
    <row r="2704">
      <c r="A2704" t="n">
        <v>2704</v>
      </c>
      <c r="B2704">
        <f>IF(INDEX('Data Entry'!$H$5:$BE$10004,2704-4,'Visual SPC'!$B$3)="",0,IF(AND(OR('Visual SPC'!$C$4="",'Data Entry'!$C2704&gt;='Visual SPC'!$C$4),OR('Visual SPC'!$E$4="",'Data Entry'!$C2704&lt;='Visual SPC'!$E$4),OR('Visual SPC'!$G$4="",'Data Entry'!$D2704='Visual SPC'!$G$4),OR('Visual SPC'!$I$4="",'Data Entry'!$E2704='Visual SPC'!$I$4),OR('Visual SPC'!$K$4="",'Data Entry'!$F2704='Visual SPC'!$K$4)),1,0))</f>
        <v/>
      </c>
      <c r="C2704">
        <f>C2703+B2704</f>
        <v/>
      </c>
      <c r="D2704">
        <f>IF(B2704=1,INDEX('Data Entry'!$H$5:$BE$10004,2704-4,'Visual SPC'!$B$3),"")</f>
        <v/>
      </c>
      <c r="E2704">
        <f>IF(B2704=1,D2704,E2703)</f>
        <v/>
      </c>
      <c r="F2704">
        <f>IF(AND(B2704=1,C2704&gt;1,E2703&lt;&gt;""),ABS(D2704-E2703),"")</f>
        <v/>
      </c>
    </row>
    <row r="2705">
      <c r="A2705" t="n">
        <v>2705</v>
      </c>
      <c r="B2705">
        <f>IF(INDEX('Data Entry'!$H$5:$BE$10004,2705-4,'Visual SPC'!$B$3)="",0,IF(AND(OR('Visual SPC'!$C$4="",'Data Entry'!$C2705&gt;='Visual SPC'!$C$4),OR('Visual SPC'!$E$4="",'Data Entry'!$C2705&lt;='Visual SPC'!$E$4),OR('Visual SPC'!$G$4="",'Data Entry'!$D2705='Visual SPC'!$G$4),OR('Visual SPC'!$I$4="",'Data Entry'!$E2705='Visual SPC'!$I$4),OR('Visual SPC'!$K$4="",'Data Entry'!$F2705='Visual SPC'!$K$4)),1,0))</f>
        <v/>
      </c>
      <c r="C2705">
        <f>C2704+B2705</f>
        <v/>
      </c>
      <c r="D2705">
        <f>IF(B2705=1,INDEX('Data Entry'!$H$5:$BE$10004,2705-4,'Visual SPC'!$B$3),"")</f>
        <v/>
      </c>
      <c r="E2705">
        <f>IF(B2705=1,D2705,E2704)</f>
        <v/>
      </c>
      <c r="F2705">
        <f>IF(AND(B2705=1,C2705&gt;1,E2704&lt;&gt;""),ABS(D2705-E2704),"")</f>
        <v/>
      </c>
    </row>
    <row r="2706">
      <c r="A2706" t="n">
        <v>2706</v>
      </c>
      <c r="B2706">
        <f>IF(INDEX('Data Entry'!$H$5:$BE$10004,2706-4,'Visual SPC'!$B$3)="",0,IF(AND(OR('Visual SPC'!$C$4="",'Data Entry'!$C2706&gt;='Visual SPC'!$C$4),OR('Visual SPC'!$E$4="",'Data Entry'!$C2706&lt;='Visual SPC'!$E$4),OR('Visual SPC'!$G$4="",'Data Entry'!$D2706='Visual SPC'!$G$4),OR('Visual SPC'!$I$4="",'Data Entry'!$E2706='Visual SPC'!$I$4),OR('Visual SPC'!$K$4="",'Data Entry'!$F2706='Visual SPC'!$K$4)),1,0))</f>
        <v/>
      </c>
      <c r="C2706">
        <f>C2705+B2706</f>
        <v/>
      </c>
      <c r="D2706">
        <f>IF(B2706=1,INDEX('Data Entry'!$H$5:$BE$10004,2706-4,'Visual SPC'!$B$3),"")</f>
        <v/>
      </c>
      <c r="E2706">
        <f>IF(B2706=1,D2706,E2705)</f>
        <v/>
      </c>
      <c r="F2706">
        <f>IF(AND(B2706=1,C2706&gt;1,E2705&lt;&gt;""),ABS(D2706-E2705),"")</f>
        <v/>
      </c>
    </row>
    <row r="2707">
      <c r="A2707" t="n">
        <v>2707</v>
      </c>
      <c r="B2707">
        <f>IF(INDEX('Data Entry'!$H$5:$BE$10004,2707-4,'Visual SPC'!$B$3)="",0,IF(AND(OR('Visual SPC'!$C$4="",'Data Entry'!$C2707&gt;='Visual SPC'!$C$4),OR('Visual SPC'!$E$4="",'Data Entry'!$C2707&lt;='Visual SPC'!$E$4),OR('Visual SPC'!$G$4="",'Data Entry'!$D2707='Visual SPC'!$G$4),OR('Visual SPC'!$I$4="",'Data Entry'!$E2707='Visual SPC'!$I$4),OR('Visual SPC'!$K$4="",'Data Entry'!$F2707='Visual SPC'!$K$4)),1,0))</f>
        <v/>
      </c>
      <c r="C2707">
        <f>C2706+B2707</f>
        <v/>
      </c>
      <c r="D2707">
        <f>IF(B2707=1,INDEX('Data Entry'!$H$5:$BE$10004,2707-4,'Visual SPC'!$B$3),"")</f>
        <v/>
      </c>
      <c r="E2707">
        <f>IF(B2707=1,D2707,E2706)</f>
        <v/>
      </c>
      <c r="F2707">
        <f>IF(AND(B2707=1,C2707&gt;1,E2706&lt;&gt;""),ABS(D2707-E2706),"")</f>
        <v/>
      </c>
    </row>
    <row r="2708">
      <c r="A2708" t="n">
        <v>2708</v>
      </c>
      <c r="B2708">
        <f>IF(INDEX('Data Entry'!$H$5:$BE$10004,2708-4,'Visual SPC'!$B$3)="",0,IF(AND(OR('Visual SPC'!$C$4="",'Data Entry'!$C2708&gt;='Visual SPC'!$C$4),OR('Visual SPC'!$E$4="",'Data Entry'!$C2708&lt;='Visual SPC'!$E$4),OR('Visual SPC'!$G$4="",'Data Entry'!$D2708='Visual SPC'!$G$4),OR('Visual SPC'!$I$4="",'Data Entry'!$E2708='Visual SPC'!$I$4),OR('Visual SPC'!$K$4="",'Data Entry'!$F2708='Visual SPC'!$K$4)),1,0))</f>
        <v/>
      </c>
      <c r="C2708">
        <f>C2707+B2708</f>
        <v/>
      </c>
      <c r="D2708">
        <f>IF(B2708=1,INDEX('Data Entry'!$H$5:$BE$10004,2708-4,'Visual SPC'!$B$3),"")</f>
        <v/>
      </c>
      <c r="E2708">
        <f>IF(B2708=1,D2708,E2707)</f>
        <v/>
      </c>
      <c r="F2708">
        <f>IF(AND(B2708=1,C2708&gt;1,E2707&lt;&gt;""),ABS(D2708-E2707),"")</f>
        <v/>
      </c>
    </row>
    <row r="2709">
      <c r="A2709" t="n">
        <v>2709</v>
      </c>
      <c r="B2709">
        <f>IF(INDEX('Data Entry'!$H$5:$BE$10004,2709-4,'Visual SPC'!$B$3)="",0,IF(AND(OR('Visual SPC'!$C$4="",'Data Entry'!$C2709&gt;='Visual SPC'!$C$4),OR('Visual SPC'!$E$4="",'Data Entry'!$C2709&lt;='Visual SPC'!$E$4),OR('Visual SPC'!$G$4="",'Data Entry'!$D2709='Visual SPC'!$G$4),OR('Visual SPC'!$I$4="",'Data Entry'!$E2709='Visual SPC'!$I$4),OR('Visual SPC'!$K$4="",'Data Entry'!$F2709='Visual SPC'!$K$4)),1,0))</f>
        <v/>
      </c>
      <c r="C2709">
        <f>C2708+B2709</f>
        <v/>
      </c>
      <c r="D2709">
        <f>IF(B2709=1,INDEX('Data Entry'!$H$5:$BE$10004,2709-4,'Visual SPC'!$B$3),"")</f>
        <v/>
      </c>
      <c r="E2709">
        <f>IF(B2709=1,D2709,E2708)</f>
        <v/>
      </c>
      <c r="F2709">
        <f>IF(AND(B2709=1,C2709&gt;1,E2708&lt;&gt;""),ABS(D2709-E2708),"")</f>
        <v/>
      </c>
    </row>
    <row r="2710">
      <c r="A2710" t="n">
        <v>2710</v>
      </c>
      <c r="B2710">
        <f>IF(INDEX('Data Entry'!$H$5:$BE$10004,2710-4,'Visual SPC'!$B$3)="",0,IF(AND(OR('Visual SPC'!$C$4="",'Data Entry'!$C2710&gt;='Visual SPC'!$C$4),OR('Visual SPC'!$E$4="",'Data Entry'!$C2710&lt;='Visual SPC'!$E$4),OR('Visual SPC'!$G$4="",'Data Entry'!$D2710='Visual SPC'!$G$4),OR('Visual SPC'!$I$4="",'Data Entry'!$E2710='Visual SPC'!$I$4),OR('Visual SPC'!$K$4="",'Data Entry'!$F2710='Visual SPC'!$K$4)),1,0))</f>
        <v/>
      </c>
      <c r="C2710">
        <f>C2709+B2710</f>
        <v/>
      </c>
      <c r="D2710">
        <f>IF(B2710=1,INDEX('Data Entry'!$H$5:$BE$10004,2710-4,'Visual SPC'!$B$3),"")</f>
        <v/>
      </c>
      <c r="E2710">
        <f>IF(B2710=1,D2710,E2709)</f>
        <v/>
      </c>
      <c r="F2710">
        <f>IF(AND(B2710=1,C2710&gt;1,E2709&lt;&gt;""),ABS(D2710-E2709),"")</f>
        <v/>
      </c>
    </row>
    <row r="2711">
      <c r="A2711" t="n">
        <v>2711</v>
      </c>
      <c r="B2711">
        <f>IF(INDEX('Data Entry'!$H$5:$BE$10004,2711-4,'Visual SPC'!$B$3)="",0,IF(AND(OR('Visual SPC'!$C$4="",'Data Entry'!$C2711&gt;='Visual SPC'!$C$4),OR('Visual SPC'!$E$4="",'Data Entry'!$C2711&lt;='Visual SPC'!$E$4),OR('Visual SPC'!$G$4="",'Data Entry'!$D2711='Visual SPC'!$G$4),OR('Visual SPC'!$I$4="",'Data Entry'!$E2711='Visual SPC'!$I$4),OR('Visual SPC'!$K$4="",'Data Entry'!$F2711='Visual SPC'!$K$4)),1,0))</f>
        <v/>
      </c>
      <c r="C2711">
        <f>C2710+B2711</f>
        <v/>
      </c>
      <c r="D2711">
        <f>IF(B2711=1,INDEX('Data Entry'!$H$5:$BE$10004,2711-4,'Visual SPC'!$B$3),"")</f>
        <v/>
      </c>
      <c r="E2711">
        <f>IF(B2711=1,D2711,E2710)</f>
        <v/>
      </c>
      <c r="F2711">
        <f>IF(AND(B2711=1,C2711&gt;1,E2710&lt;&gt;""),ABS(D2711-E2710),"")</f>
        <v/>
      </c>
    </row>
    <row r="2712">
      <c r="A2712" t="n">
        <v>2712</v>
      </c>
      <c r="B2712">
        <f>IF(INDEX('Data Entry'!$H$5:$BE$10004,2712-4,'Visual SPC'!$B$3)="",0,IF(AND(OR('Visual SPC'!$C$4="",'Data Entry'!$C2712&gt;='Visual SPC'!$C$4),OR('Visual SPC'!$E$4="",'Data Entry'!$C2712&lt;='Visual SPC'!$E$4),OR('Visual SPC'!$G$4="",'Data Entry'!$D2712='Visual SPC'!$G$4),OR('Visual SPC'!$I$4="",'Data Entry'!$E2712='Visual SPC'!$I$4),OR('Visual SPC'!$K$4="",'Data Entry'!$F2712='Visual SPC'!$K$4)),1,0))</f>
        <v/>
      </c>
      <c r="C2712">
        <f>C2711+B2712</f>
        <v/>
      </c>
      <c r="D2712">
        <f>IF(B2712=1,INDEX('Data Entry'!$H$5:$BE$10004,2712-4,'Visual SPC'!$B$3),"")</f>
        <v/>
      </c>
      <c r="E2712">
        <f>IF(B2712=1,D2712,E2711)</f>
        <v/>
      </c>
      <c r="F2712">
        <f>IF(AND(B2712=1,C2712&gt;1,E2711&lt;&gt;""),ABS(D2712-E2711),"")</f>
        <v/>
      </c>
    </row>
    <row r="2713">
      <c r="A2713" t="n">
        <v>2713</v>
      </c>
      <c r="B2713">
        <f>IF(INDEX('Data Entry'!$H$5:$BE$10004,2713-4,'Visual SPC'!$B$3)="",0,IF(AND(OR('Visual SPC'!$C$4="",'Data Entry'!$C2713&gt;='Visual SPC'!$C$4),OR('Visual SPC'!$E$4="",'Data Entry'!$C2713&lt;='Visual SPC'!$E$4),OR('Visual SPC'!$G$4="",'Data Entry'!$D2713='Visual SPC'!$G$4),OR('Visual SPC'!$I$4="",'Data Entry'!$E2713='Visual SPC'!$I$4),OR('Visual SPC'!$K$4="",'Data Entry'!$F2713='Visual SPC'!$K$4)),1,0))</f>
        <v/>
      </c>
      <c r="C2713">
        <f>C2712+B2713</f>
        <v/>
      </c>
      <c r="D2713">
        <f>IF(B2713=1,INDEX('Data Entry'!$H$5:$BE$10004,2713-4,'Visual SPC'!$B$3),"")</f>
        <v/>
      </c>
      <c r="E2713">
        <f>IF(B2713=1,D2713,E2712)</f>
        <v/>
      </c>
      <c r="F2713">
        <f>IF(AND(B2713=1,C2713&gt;1,E2712&lt;&gt;""),ABS(D2713-E2712),"")</f>
        <v/>
      </c>
    </row>
    <row r="2714">
      <c r="A2714" t="n">
        <v>2714</v>
      </c>
      <c r="B2714">
        <f>IF(INDEX('Data Entry'!$H$5:$BE$10004,2714-4,'Visual SPC'!$B$3)="",0,IF(AND(OR('Visual SPC'!$C$4="",'Data Entry'!$C2714&gt;='Visual SPC'!$C$4),OR('Visual SPC'!$E$4="",'Data Entry'!$C2714&lt;='Visual SPC'!$E$4),OR('Visual SPC'!$G$4="",'Data Entry'!$D2714='Visual SPC'!$G$4),OR('Visual SPC'!$I$4="",'Data Entry'!$E2714='Visual SPC'!$I$4),OR('Visual SPC'!$K$4="",'Data Entry'!$F2714='Visual SPC'!$K$4)),1,0))</f>
        <v/>
      </c>
      <c r="C2714">
        <f>C2713+B2714</f>
        <v/>
      </c>
      <c r="D2714">
        <f>IF(B2714=1,INDEX('Data Entry'!$H$5:$BE$10004,2714-4,'Visual SPC'!$B$3),"")</f>
        <v/>
      </c>
      <c r="E2714">
        <f>IF(B2714=1,D2714,E2713)</f>
        <v/>
      </c>
      <c r="F2714">
        <f>IF(AND(B2714=1,C2714&gt;1,E2713&lt;&gt;""),ABS(D2714-E2713),"")</f>
        <v/>
      </c>
    </row>
    <row r="2715">
      <c r="A2715" t="n">
        <v>2715</v>
      </c>
      <c r="B2715">
        <f>IF(INDEX('Data Entry'!$H$5:$BE$10004,2715-4,'Visual SPC'!$B$3)="",0,IF(AND(OR('Visual SPC'!$C$4="",'Data Entry'!$C2715&gt;='Visual SPC'!$C$4),OR('Visual SPC'!$E$4="",'Data Entry'!$C2715&lt;='Visual SPC'!$E$4),OR('Visual SPC'!$G$4="",'Data Entry'!$D2715='Visual SPC'!$G$4),OR('Visual SPC'!$I$4="",'Data Entry'!$E2715='Visual SPC'!$I$4),OR('Visual SPC'!$K$4="",'Data Entry'!$F2715='Visual SPC'!$K$4)),1,0))</f>
        <v/>
      </c>
      <c r="C2715">
        <f>C2714+B2715</f>
        <v/>
      </c>
      <c r="D2715">
        <f>IF(B2715=1,INDEX('Data Entry'!$H$5:$BE$10004,2715-4,'Visual SPC'!$B$3),"")</f>
        <v/>
      </c>
      <c r="E2715">
        <f>IF(B2715=1,D2715,E2714)</f>
        <v/>
      </c>
      <c r="F2715">
        <f>IF(AND(B2715=1,C2715&gt;1,E2714&lt;&gt;""),ABS(D2715-E2714),"")</f>
        <v/>
      </c>
    </row>
    <row r="2716">
      <c r="A2716" t="n">
        <v>2716</v>
      </c>
      <c r="B2716">
        <f>IF(INDEX('Data Entry'!$H$5:$BE$10004,2716-4,'Visual SPC'!$B$3)="",0,IF(AND(OR('Visual SPC'!$C$4="",'Data Entry'!$C2716&gt;='Visual SPC'!$C$4),OR('Visual SPC'!$E$4="",'Data Entry'!$C2716&lt;='Visual SPC'!$E$4),OR('Visual SPC'!$G$4="",'Data Entry'!$D2716='Visual SPC'!$G$4),OR('Visual SPC'!$I$4="",'Data Entry'!$E2716='Visual SPC'!$I$4),OR('Visual SPC'!$K$4="",'Data Entry'!$F2716='Visual SPC'!$K$4)),1,0))</f>
        <v/>
      </c>
      <c r="C2716">
        <f>C2715+B2716</f>
        <v/>
      </c>
      <c r="D2716">
        <f>IF(B2716=1,INDEX('Data Entry'!$H$5:$BE$10004,2716-4,'Visual SPC'!$B$3),"")</f>
        <v/>
      </c>
      <c r="E2716">
        <f>IF(B2716=1,D2716,E2715)</f>
        <v/>
      </c>
      <c r="F2716">
        <f>IF(AND(B2716=1,C2716&gt;1,E2715&lt;&gt;""),ABS(D2716-E2715),"")</f>
        <v/>
      </c>
    </row>
    <row r="2717">
      <c r="A2717" t="n">
        <v>2717</v>
      </c>
      <c r="B2717">
        <f>IF(INDEX('Data Entry'!$H$5:$BE$10004,2717-4,'Visual SPC'!$B$3)="",0,IF(AND(OR('Visual SPC'!$C$4="",'Data Entry'!$C2717&gt;='Visual SPC'!$C$4),OR('Visual SPC'!$E$4="",'Data Entry'!$C2717&lt;='Visual SPC'!$E$4),OR('Visual SPC'!$G$4="",'Data Entry'!$D2717='Visual SPC'!$G$4),OR('Visual SPC'!$I$4="",'Data Entry'!$E2717='Visual SPC'!$I$4),OR('Visual SPC'!$K$4="",'Data Entry'!$F2717='Visual SPC'!$K$4)),1,0))</f>
        <v/>
      </c>
      <c r="C2717">
        <f>C2716+B2717</f>
        <v/>
      </c>
      <c r="D2717">
        <f>IF(B2717=1,INDEX('Data Entry'!$H$5:$BE$10004,2717-4,'Visual SPC'!$B$3),"")</f>
        <v/>
      </c>
      <c r="E2717">
        <f>IF(B2717=1,D2717,E2716)</f>
        <v/>
      </c>
      <c r="F2717">
        <f>IF(AND(B2717=1,C2717&gt;1,E2716&lt;&gt;""),ABS(D2717-E2716),"")</f>
        <v/>
      </c>
    </row>
    <row r="2718">
      <c r="A2718" t="n">
        <v>2718</v>
      </c>
      <c r="B2718">
        <f>IF(INDEX('Data Entry'!$H$5:$BE$10004,2718-4,'Visual SPC'!$B$3)="",0,IF(AND(OR('Visual SPC'!$C$4="",'Data Entry'!$C2718&gt;='Visual SPC'!$C$4),OR('Visual SPC'!$E$4="",'Data Entry'!$C2718&lt;='Visual SPC'!$E$4),OR('Visual SPC'!$G$4="",'Data Entry'!$D2718='Visual SPC'!$G$4),OR('Visual SPC'!$I$4="",'Data Entry'!$E2718='Visual SPC'!$I$4),OR('Visual SPC'!$K$4="",'Data Entry'!$F2718='Visual SPC'!$K$4)),1,0))</f>
        <v/>
      </c>
      <c r="C2718">
        <f>C2717+B2718</f>
        <v/>
      </c>
      <c r="D2718">
        <f>IF(B2718=1,INDEX('Data Entry'!$H$5:$BE$10004,2718-4,'Visual SPC'!$B$3),"")</f>
        <v/>
      </c>
      <c r="E2718">
        <f>IF(B2718=1,D2718,E2717)</f>
        <v/>
      </c>
      <c r="F2718">
        <f>IF(AND(B2718=1,C2718&gt;1,E2717&lt;&gt;""),ABS(D2718-E2717),"")</f>
        <v/>
      </c>
    </row>
    <row r="2719">
      <c r="A2719" t="n">
        <v>2719</v>
      </c>
      <c r="B2719">
        <f>IF(INDEX('Data Entry'!$H$5:$BE$10004,2719-4,'Visual SPC'!$B$3)="",0,IF(AND(OR('Visual SPC'!$C$4="",'Data Entry'!$C2719&gt;='Visual SPC'!$C$4),OR('Visual SPC'!$E$4="",'Data Entry'!$C2719&lt;='Visual SPC'!$E$4),OR('Visual SPC'!$G$4="",'Data Entry'!$D2719='Visual SPC'!$G$4),OR('Visual SPC'!$I$4="",'Data Entry'!$E2719='Visual SPC'!$I$4),OR('Visual SPC'!$K$4="",'Data Entry'!$F2719='Visual SPC'!$K$4)),1,0))</f>
        <v/>
      </c>
      <c r="C2719">
        <f>C2718+B2719</f>
        <v/>
      </c>
      <c r="D2719">
        <f>IF(B2719=1,INDEX('Data Entry'!$H$5:$BE$10004,2719-4,'Visual SPC'!$B$3),"")</f>
        <v/>
      </c>
      <c r="E2719">
        <f>IF(B2719=1,D2719,E2718)</f>
        <v/>
      </c>
      <c r="F2719">
        <f>IF(AND(B2719=1,C2719&gt;1,E2718&lt;&gt;""),ABS(D2719-E2718),"")</f>
        <v/>
      </c>
    </row>
    <row r="2720">
      <c r="A2720" t="n">
        <v>2720</v>
      </c>
      <c r="B2720">
        <f>IF(INDEX('Data Entry'!$H$5:$BE$10004,2720-4,'Visual SPC'!$B$3)="",0,IF(AND(OR('Visual SPC'!$C$4="",'Data Entry'!$C2720&gt;='Visual SPC'!$C$4),OR('Visual SPC'!$E$4="",'Data Entry'!$C2720&lt;='Visual SPC'!$E$4),OR('Visual SPC'!$G$4="",'Data Entry'!$D2720='Visual SPC'!$G$4),OR('Visual SPC'!$I$4="",'Data Entry'!$E2720='Visual SPC'!$I$4),OR('Visual SPC'!$K$4="",'Data Entry'!$F2720='Visual SPC'!$K$4)),1,0))</f>
        <v/>
      </c>
      <c r="C2720">
        <f>C2719+B2720</f>
        <v/>
      </c>
      <c r="D2720">
        <f>IF(B2720=1,INDEX('Data Entry'!$H$5:$BE$10004,2720-4,'Visual SPC'!$B$3),"")</f>
        <v/>
      </c>
      <c r="E2720">
        <f>IF(B2720=1,D2720,E2719)</f>
        <v/>
      </c>
      <c r="F2720">
        <f>IF(AND(B2720=1,C2720&gt;1,E2719&lt;&gt;""),ABS(D2720-E2719),"")</f>
        <v/>
      </c>
    </row>
    <row r="2721">
      <c r="A2721" t="n">
        <v>2721</v>
      </c>
      <c r="B2721">
        <f>IF(INDEX('Data Entry'!$H$5:$BE$10004,2721-4,'Visual SPC'!$B$3)="",0,IF(AND(OR('Visual SPC'!$C$4="",'Data Entry'!$C2721&gt;='Visual SPC'!$C$4),OR('Visual SPC'!$E$4="",'Data Entry'!$C2721&lt;='Visual SPC'!$E$4),OR('Visual SPC'!$G$4="",'Data Entry'!$D2721='Visual SPC'!$G$4),OR('Visual SPC'!$I$4="",'Data Entry'!$E2721='Visual SPC'!$I$4),OR('Visual SPC'!$K$4="",'Data Entry'!$F2721='Visual SPC'!$K$4)),1,0))</f>
        <v/>
      </c>
      <c r="C2721">
        <f>C2720+B2721</f>
        <v/>
      </c>
      <c r="D2721">
        <f>IF(B2721=1,INDEX('Data Entry'!$H$5:$BE$10004,2721-4,'Visual SPC'!$B$3),"")</f>
        <v/>
      </c>
      <c r="E2721">
        <f>IF(B2721=1,D2721,E2720)</f>
        <v/>
      </c>
      <c r="F2721">
        <f>IF(AND(B2721=1,C2721&gt;1,E2720&lt;&gt;""),ABS(D2721-E2720),"")</f>
        <v/>
      </c>
    </row>
    <row r="2722">
      <c r="A2722" t="n">
        <v>2722</v>
      </c>
      <c r="B2722">
        <f>IF(INDEX('Data Entry'!$H$5:$BE$10004,2722-4,'Visual SPC'!$B$3)="",0,IF(AND(OR('Visual SPC'!$C$4="",'Data Entry'!$C2722&gt;='Visual SPC'!$C$4),OR('Visual SPC'!$E$4="",'Data Entry'!$C2722&lt;='Visual SPC'!$E$4),OR('Visual SPC'!$G$4="",'Data Entry'!$D2722='Visual SPC'!$G$4),OR('Visual SPC'!$I$4="",'Data Entry'!$E2722='Visual SPC'!$I$4),OR('Visual SPC'!$K$4="",'Data Entry'!$F2722='Visual SPC'!$K$4)),1,0))</f>
        <v/>
      </c>
      <c r="C2722">
        <f>C2721+B2722</f>
        <v/>
      </c>
      <c r="D2722">
        <f>IF(B2722=1,INDEX('Data Entry'!$H$5:$BE$10004,2722-4,'Visual SPC'!$B$3),"")</f>
        <v/>
      </c>
      <c r="E2722">
        <f>IF(B2722=1,D2722,E2721)</f>
        <v/>
      </c>
      <c r="F2722">
        <f>IF(AND(B2722=1,C2722&gt;1,E2721&lt;&gt;""),ABS(D2722-E2721),"")</f>
        <v/>
      </c>
    </row>
    <row r="2723">
      <c r="A2723" t="n">
        <v>2723</v>
      </c>
      <c r="B2723">
        <f>IF(INDEX('Data Entry'!$H$5:$BE$10004,2723-4,'Visual SPC'!$B$3)="",0,IF(AND(OR('Visual SPC'!$C$4="",'Data Entry'!$C2723&gt;='Visual SPC'!$C$4),OR('Visual SPC'!$E$4="",'Data Entry'!$C2723&lt;='Visual SPC'!$E$4),OR('Visual SPC'!$G$4="",'Data Entry'!$D2723='Visual SPC'!$G$4),OR('Visual SPC'!$I$4="",'Data Entry'!$E2723='Visual SPC'!$I$4),OR('Visual SPC'!$K$4="",'Data Entry'!$F2723='Visual SPC'!$K$4)),1,0))</f>
        <v/>
      </c>
      <c r="C2723">
        <f>C2722+B2723</f>
        <v/>
      </c>
      <c r="D2723">
        <f>IF(B2723=1,INDEX('Data Entry'!$H$5:$BE$10004,2723-4,'Visual SPC'!$B$3),"")</f>
        <v/>
      </c>
      <c r="E2723">
        <f>IF(B2723=1,D2723,E2722)</f>
        <v/>
      </c>
      <c r="F2723">
        <f>IF(AND(B2723=1,C2723&gt;1,E2722&lt;&gt;""),ABS(D2723-E2722),"")</f>
        <v/>
      </c>
    </row>
    <row r="2724">
      <c r="A2724" t="n">
        <v>2724</v>
      </c>
      <c r="B2724">
        <f>IF(INDEX('Data Entry'!$H$5:$BE$10004,2724-4,'Visual SPC'!$B$3)="",0,IF(AND(OR('Visual SPC'!$C$4="",'Data Entry'!$C2724&gt;='Visual SPC'!$C$4),OR('Visual SPC'!$E$4="",'Data Entry'!$C2724&lt;='Visual SPC'!$E$4),OR('Visual SPC'!$G$4="",'Data Entry'!$D2724='Visual SPC'!$G$4),OR('Visual SPC'!$I$4="",'Data Entry'!$E2724='Visual SPC'!$I$4),OR('Visual SPC'!$K$4="",'Data Entry'!$F2724='Visual SPC'!$K$4)),1,0))</f>
        <v/>
      </c>
      <c r="C2724">
        <f>C2723+B2724</f>
        <v/>
      </c>
      <c r="D2724">
        <f>IF(B2724=1,INDEX('Data Entry'!$H$5:$BE$10004,2724-4,'Visual SPC'!$B$3),"")</f>
        <v/>
      </c>
      <c r="E2724">
        <f>IF(B2724=1,D2724,E2723)</f>
        <v/>
      </c>
      <c r="F2724">
        <f>IF(AND(B2724=1,C2724&gt;1,E2723&lt;&gt;""),ABS(D2724-E2723),"")</f>
        <v/>
      </c>
    </row>
    <row r="2725">
      <c r="A2725" t="n">
        <v>2725</v>
      </c>
      <c r="B2725">
        <f>IF(INDEX('Data Entry'!$H$5:$BE$10004,2725-4,'Visual SPC'!$B$3)="",0,IF(AND(OR('Visual SPC'!$C$4="",'Data Entry'!$C2725&gt;='Visual SPC'!$C$4),OR('Visual SPC'!$E$4="",'Data Entry'!$C2725&lt;='Visual SPC'!$E$4),OR('Visual SPC'!$G$4="",'Data Entry'!$D2725='Visual SPC'!$G$4),OR('Visual SPC'!$I$4="",'Data Entry'!$E2725='Visual SPC'!$I$4),OR('Visual SPC'!$K$4="",'Data Entry'!$F2725='Visual SPC'!$K$4)),1,0))</f>
        <v/>
      </c>
      <c r="C2725">
        <f>C2724+B2725</f>
        <v/>
      </c>
      <c r="D2725">
        <f>IF(B2725=1,INDEX('Data Entry'!$H$5:$BE$10004,2725-4,'Visual SPC'!$B$3),"")</f>
        <v/>
      </c>
      <c r="E2725">
        <f>IF(B2725=1,D2725,E2724)</f>
        <v/>
      </c>
      <c r="F2725">
        <f>IF(AND(B2725=1,C2725&gt;1,E2724&lt;&gt;""),ABS(D2725-E2724),"")</f>
        <v/>
      </c>
    </row>
    <row r="2726">
      <c r="A2726" t="n">
        <v>2726</v>
      </c>
      <c r="B2726">
        <f>IF(INDEX('Data Entry'!$H$5:$BE$10004,2726-4,'Visual SPC'!$B$3)="",0,IF(AND(OR('Visual SPC'!$C$4="",'Data Entry'!$C2726&gt;='Visual SPC'!$C$4),OR('Visual SPC'!$E$4="",'Data Entry'!$C2726&lt;='Visual SPC'!$E$4),OR('Visual SPC'!$G$4="",'Data Entry'!$D2726='Visual SPC'!$G$4),OR('Visual SPC'!$I$4="",'Data Entry'!$E2726='Visual SPC'!$I$4),OR('Visual SPC'!$K$4="",'Data Entry'!$F2726='Visual SPC'!$K$4)),1,0))</f>
        <v/>
      </c>
      <c r="C2726">
        <f>C2725+B2726</f>
        <v/>
      </c>
      <c r="D2726">
        <f>IF(B2726=1,INDEX('Data Entry'!$H$5:$BE$10004,2726-4,'Visual SPC'!$B$3),"")</f>
        <v/>
      </c>
      <c r="E2726">
        <f>IF(B2726=1,D2726,E2725)</f>
        <v/>
      </c>
      <c r="F2726">
        <f>IF(AND(B2726=1,C2726&gt;1,E2725&lt;&gt;""),ABS(D2726-E2725),"")</f>
        <v/>
      </c>
    </row>
    <row r="2727">
      <c r="A2727" t="n">
        <v>2727</v>
      </c>
      <c r="B2727">
        <f>IF(INDEX('Data Entry'!$H$5:$BE$10004,2727-4,'Visual SPC'!$B$3)="",0,IF(AND(OR('Visual SPC'!$C$4="",'Data Entry'!$C2727&gt;='Visual SPC'!$C$4),OR('Visual SPC'!$E$4="",'Data Entry'!$C2727&lt;='Visual SPC'!$E$4),OR('Visual SPC'!$G$4="",'Data Entry'!$D2727='Visual SPC'!$G$4),OR('Visual SPC'!$I$4="",'Data Entry'!$E2727='Visual SPC'!$I$4),OR('Visual SPC'!$K$4="",'Data Entry'!$F2727='Visual SPC'!$K$4)),1,0))</f>
        <v/>
      </c>
      <c r="C2727">
        <f>C2726+B2727</f>
        <v/>
      </c>
      <c r="D2727">
        <f>IF(B2727=1,INDEX('Data Entry'!$H$5:$BE$10004,2727-4,'Visual SPC'!$B$3),"")</f>
        <v/>
      </c>
      <c r="E2727">
        <f>IF(B2727=1,D2727,E2726)</f>
        <v/>
      </c>
      <c r="F2727">
        <f>IF(AND(B2727=1,C2727&gt;1,E2726&lt;&gt;""),ABS(D2727-E2726),"")</f>
        <v/>
      </c>
    </row>
    <row r="2728">
      <c r="A2728" t="n">
        <v>2728</v>
      </c>
      <c r="B2728">
        <f>IF(INDEX('Data Entry'!$H$5:$BE$10004,2728-4,'Visual SPC'!$B$3)="",0,IF(AND(OR('Visual SPC'!$C$4="",'Data Entry'!$C2728&gt;='Visual SPC'!$C$4),OR('Visual SPC'!$E$4="",'Data Entry'!$C2728&lt;='Visual SPC'!$E$4),OR('Visual SPC'!$G$4="",'Data Entry'!$D2728='Visual SPC'!$G$4),OR('Visual SPC'!$I$4="",'Data Entry'!$E2728='Visual SPC'!$I$4),OR('Visual SPC'!$K$4="",'Data Entry'!$F2728='Visual SPC'!$K$4)),1,0))</f>
        <v/>
      </c>
      <c r="C2728">
        <f>C2727+B2728</f>
        <v/>
      </c>
      <c r="D2728">
        <f>IF(B2728=1,INDEX('Data Entry'!$H$5:$BE$10004,2728-4,'Visual SPC'!$B$3),"")</f>
        <v/>
      </c>
      <c r="E2728">
        <f>IF(B2728=1,D2728,E2727)</f>
        <v/>
      </c>
      <c r="F2728">
        <f>IF(AND(B2728=1,C2728&gt;1,E2727&lt;&gt;""),ABS(D2728-E2727),"")</f>
        <v/>
      </c>
    </row>
    <row r="2729">
      <c r="A2729" t="n">
        <v>2729</v>
      </c>
      <c r="B2729">
        <f>IF(INDEX('Data Entry'!$H$5:$BE$10004,2729-4,'Visual SPC'!$B$3)="",0,IF(AND(OR('Visual SPC'!$C$4="",'Data Entry'!$C2729&gt;='Visual SPC'!$C$4),OR('Visual SPC'!$E$4="",'Data Entry'!$C2729&lt;='Visual SPC'!$E$4),OR('Visual SPC'!$G$4="",'Data Entry'!$D2729='Visual SPC'!$G$4),OR('Visual SPC'!$I$4="",'Data Entry'!$E2729='Visual SPC'!$I$4),OR('Visual SPC'!$K$4="",'Data Entry'!$F2729='Visual SPC'!$K$4)),1,0))</f>
        <v/>
      </c>
      <c r="C2729">
        <f>C2728+B2729</f>
        <v/>
      </c>
      <c r="D2729">
        <f>IF(B2729=1,INDEX('Data Entry'!$H$5:$BE$10004,2729-4,'Visual SPC'!$B$3),"")</f>
        <v/>
      </c>
      <c r="E2729">
        <f>IF(B2729=1,D2729,E2728)</f>
        <v/>
      </c>
      <c r="F2729">
        <f>IF(AND(B2729=1,C2729&gt;1,E2728&lt;&gt;""),ABS(D2729-E2728),"")</f>
        <v/>
      </c>
    </row>
    <row r="2730">
      <c r="A2730" t="n">
        <v>2730</v>
      </c>
      <c r="B2730">
        <f>IF(INDEX('Data Entry'!$H$5:$BE$10004,2730-4,'Visual SPC'!$B$3)="",0,IF(AND(OR('Visual SPC'!$C$4="",'Data Entry'!$C2730&gt;='Visual SPC'!$C$4),OR('Visual SPC'!$E$4="",'Data Entry'!$C2730&lt;='Visual SPC'!$E$4),OR('Visual SPC'!$G$4="",'Data Entry'!$D2730='Visual SPC'!$G$4),OR('Visual SPC'!$I$4="",'Data Entry'!$E2730='Visual SPC'!$I$4),OR('Visual SPC'!$K$4="",'Data Entry'!$F2730='Visual SPC'!$K$4)),1,0))</f>
        <v/>
      </c>
      <c r="C2730">
        <f>C2729+B2730</f>
        <v/>
      </c>
      <c r="D2730">
        <f>IF(B2730=1,INDEX('Data Entry'!$H$5:$BE$10004,2730-4,'Visual SPC'!$B$3),"")</f>
        <v/>
      </c>
      <c r="E2730">
        <f>IF(B2730=1,D2730,E2729)</f>
        <v/>
      </c>
      <c r="F2730">
        <f>IF(AND(B2730=1,C2730&gt;1,E2729&lt;&gt;""),ABS(D2730-E2729),"")</f>
        <v/>
      </c>
    </row>
    <row r="2731">
      <c r="A2731" t="n">
        <v>2731</v>
      </c>
      <c r="B2731">
        <f>IF(INDEX('Data Entry'!$H$5:$BE$10004,2731-4,'Visual SPC'!$B$3)="",0,IF(AND(OR('Visual SPC'!$C$4="",'Data Entry'!$C2731&gt;='Visual SPC'!$C$4),OR('Visual SPC'!$E$4="",'Data Entry'!$C2731&lt;='Visual SPC'!$E$4),OR('Visual SPC'!$G$4="",'Data Entry'!$D2731='Visual SPC'!$G$4),OR('Visual SPC'!$I$4="",'Data Entry'!$E2731='Visual SPC'!$I$4),OR('Visual SPC'!$K$4="",'Data Entry'!$F2731='Visual SPC'!$K$4)),1,0))</f>
        <v/>
      </c>
      <c r="C2731">
        <f>C2730+B2731</f>
        <v/>
      </c>
      <c r="D2731">
        <f>IF(B2731=1,INDEX('Data Entry'!$H$5:$BE$10004,2731-4,'Visual SPC'!$B$3),"")</f>
        <v/>
      </c>
      <c r="E2731">
        <f>IF(B2731=1,D2731,E2730)</f>
        <v/>
      </c>
      <c r="F2731">
        <f>IF(AND(B2731=1,C2731&gt;1,E2730&lt;&gt;""),ABS(D2731-E2730),"")</f>
        <v/>
      </c>
    </row>
    <row r="2732">
      <c r="A2732" t="n">
        <v>2732</v>
      </c>
      <c r="B2732">
        <f>IF(INDEX('Data Entry'!$H$5:$BE$10004,2732-4,'Visual SPC'!$B$3)="",0,IF(AND(OR('Visual SPC'!$C$4="",'Data Entry'!$C2732&gt;='Visual SPC'!$C$4),OR('Visual SPC'!$E$4="",'Data Entry'!$C2732&lt;='Visual SPC'!$E$4),OR('Visual SPC'!$G$4="",'Data Entry'!$D2732='Visual SPC'!$G$4),OR('Visual SPC'!$I$4="",'Data Entry'!$E2732='Visual SPC'!$I$4),OR('Visual SPC'!$K$4="",'Data Entry'!$F2732='Visual SPC'!$K$4)),1,0))</f>
        <v/>
      </c>
      <c r="C2732">
        <f>C2731+B2732</f>
        <v/>
      </c>
      <c r="D2732">
        <f>IF(B2732=1,INDEX('Data Entry'!$H$5:$BE$10004,2732-4,'Visual SPC'!$B$3),"")</f>
        <v/>
      </c>
      <c r="E2732">
        <f>IF(B2732=1,D2732,E2731)</f>
        <v/>
      </c>
      <c r="F2732">
        <f>IF(AND(B2732=1,C2732&gt;1,E2731&lt;&gt;""),ABS(D2732-E2731),"")</f>
        <v/>
      </c>
    </row>
    <row r="2733">
      <c r="A2733" t="n">
        <v>2733</v>
      </c>
      <c r="B2733">
        <f>IF(INDEX('Data Entry'!$H$5:$BE$10004,2733-4,'Visual SPC'!$B$3)="",0,IF(AND(OR('Visual SPC'!$C$4="",'Data Entry'!$C2733&gt;='Visual SPC'!$C$4),OR('Visual SPC'!$E$4="",'Data Entry'!$C2733&lt;='Visual SPC'!$E$4),OR('Visual SPC'!$G$4="",'Data Entry'!$D2733='Visual SPC'!$G$4),OR('Visual SPC'!$I$4="",'Data Entry'!$E2733='Visual SPC'!$I$4),OR('Visual SPC'!$K$4="",'Data Entry'!$F2733='Visual SPC'!$K$4)),1,0))</f>
        <v/>
      </c>
      <c r="C2733">
        <f>C2732+B2733</f>
        <v/>
      </c>
      <c r="D2733">
        <f>IF(B2733=1,INDEX('Data Entry'!$H$5:$BE$10004,2733-4,'Visual SPC'!$B$3),"")</f>
        <v/>
      </c>
      <c r="E2733">
        <f>IF(B2733=1,D2733,E2732)</f>
        <v/>
      </c>
      <c r="F2733">
        <f>IF(AND(B2733=1,C2733&gt;1,E2732&lt;&gt;""),ABS(D2733-E2732),"")</f>
        <v/>
      </c>
    </row>
    <row r="2734">
      <c r="A2734" t="n">
        <v>2734</v>
      </c>
      <c r="B2734">
        <f>IF(INDEX('Data Entry'!$H$5:$BE$10004,2734-4,'Visual SPC'!$B$3)="",0,IF(AND(OR('Visual SPC'!$C$4="",'Data Entry'!$C2734&gt;='Visual SPC'!$C$4),OR('Visual SPC'!$E$4="",'Data Entry'!$C2734&lt;='Visual SPC'!$E$4),OR('Visual SPC'!$G$4="",'Data Entry'!$D2734='Visual SPC'!$G$4),OR('Visual SPC'!$I$4="",'Data Entry'!$E2734='Visual SPC'!$I$4),OR('Visual SPC'!$K$4="",'Data Entry'!$F2734='Visual SPC'!$K$4)),1,0))</f>
        <v/>
      </c>
      <c r="C2734">
        <f>C2733+B2734</f>
        <v/>
      </c>
      <c r="D2734">
        <f>IF(B2734=1,INDEX('Data Entry'!$H$5:$BE$10004,2734-4,'Visual SPC'!$B$3),"")</f>
        <v/>
      </c>
      <c r="E2734">
        <f>IF(B2734=1,D2734,E2733)</f>
        <v/>
      </c>
      <c r="F2734">
        <f>IF(AND(B2734=1,C2734&gt;1,E2733&lt;&gt;""),ABS(D2734-E2733),"")</f>
        <v/>
      </c>
    </row>
    <row r="2735">
      <c r="A2735" t="n">
        <v>2735</v>
      </c>
      <c r="B2735">
        <f>IF(INDEX('Data Entry'!$H$5:$BE$10004,2735-4,'Visual SPC'!$B$3)="",0,IF(AND(OR('Visual SPC'!$C$4="",'Data Entry'!$C2735&gt;='Visual SPC'!$C$4),OR('Visual SPC'!$E$4="",'Data Entry'!$C2735&lt;='Visual SPC'!$E$4),OR('Visual SPC'!$G$4="",'Data Entry'!$D2735='Visual SPC'!$G$4),OR('Visual SPC'!$I$4="",'Data Entry'!$E2735='Visual SPC'!$I$4),OR('Visual SPC'!$K$4="",'Data Entry'!$F2735='Visual SPC'!$K$4)),1,0))</f>
        <v/>
      </c>
      <c r="C2735">
        <f>C2734+B2735</f>
        <v/>
      </c>
      <c r="D2735">
        <f>IF(B2735=1,INDEX('Data Entry'!$H$5:$BE$10004,2735-4,'Visual SPC'!$B$3),"")</f>
        <v/>
      </c>
      <c r="E2735">
        <f>IF(B2735=1,D2735,E2734)</f>
        <v/>
      </c>
      <c r="F2735">
        <f>IF(AND(B2735=1,C2735&gt;1,E2734&lt;&gt;""),ABS(D2735-E2734),"")</f>
        <v/>
      </c>
    </row>
    <row r="2736">
      <c r="A2736" t="n">
        <v>2736</v>
      </c>
      <c r="B2736">
        <f>IF(INDEX('Data Entry'!$H$5:$BE$10004,2736-4,'Visual SPC'!$B$3)="",0,IF(AND(OR('Visual SPC'!$C$4="",'Data Entry'!$C2736&gt;='Visual SPC'!$C$4),OR('Visual SPC'!$E$4="",'Data Entry'!$C2736&lt;='Visual SPC'!$E$4),OR('Visual SPC'!$G$4="",'Data Entry'!$D2736='Visual SPC'!$G$4),OR('Visual SPC'!$I$4="",'Data Entry'!$E2736='Visual SPC'!$I$4),OR('Visual SPC'!$K$4="",'Data Entry'!$F2736='Visual SPC'!$K$4)),1,0))</f>
        <v/>
      </c>
      <c r="C2736">
        <f>C2735+B2736</f>
        <v/>
      </c>
      <c r="D2736">
        <f>IF(B2736=1,INDEX('Data Entry'!$H$5:$BE$10004,2736-4,'Visual SPC'!$B$3),"")</f>
        <v/>
      </c>
      <c r="E2736">
        <f>IF(B2736=1,D2736,E2735)</f>
        <v/>
      </c>
      <c r="F2736">
        <f>IF(AND(B2736=1,C2736&gt;1,E2735&lt;&gt;""),ABS(D2736-E2735),"")</f>
        <v/>
      </c>
    </row>
    <row r="2737">
      <c r="A2737" t="n">
        <v>2737</v>
      </c>
      <c r="B2737">
        <f>IF(INDEX('Data Entry'!$H$5:$BE$10004,2737-4,'Visual SPC'!$B$3)="",0,IF(AND(OR('Visual SPC'!$C$4="",'Data Entry'!$C2737&gt;='Visual SPC'!$C$4),OR('Visual SPC'!$E$4="",'Data Entry'!$C2737&lt;='Visual SPC'!$E$4),OR('Visual SPC'!$G$4="",'Data Entry'!$D2737='Visual SPC'!$G$4),OR('Visual SPC'!$I$4="",'Data Entry'!$E2737='Visual SPC'!$I$4),OR('Visual SPC'!$K$4="",'Data Entry'!$F2737='Visual SPC'!$K$4)),1,0))</f>
        <v/>
      </c>
      <c r="C2737">
        <f>C2736+B2737</f>
        <v/>
      </c>
      <c r="D2737">
        <f>IF(B2737=1,INDEX('Data Entry'!$H$5:$BE$10004,2737-4,'Visual SPC'!$B$3),"")</f>
        <v/>
      </c>
      <c r="E2737">
        <f>IF(B2737=1,D2737,E2736)</f>
        <v/>
      </c>
      <c r="F2737">
        <f>IF(AND(B2737=1,C2737&gt;1,E2736&lt;&gt;""),ABS(D2737-E2736),"")</f>
        <v/>
      </c>
    </row>
    <row r="2738">
      <c r="A2738" t="n">
        <v>2738</v>
      </c>
      <c r="B2738">
        <f>IF(INDEX('Data Entry'!$H$5:$BE$10004,2738-4,'Visual SPC'!$B$3)="",0,IF(AND(OR('Visual SPC'!$C$4="",'Data Entry'!$C2738&gt;='Visual SPC'!$C$4),OR('Visual SPC'!$E$4="",'Data Entry'!$C2738&lt;='Visual SPC'!$E$4),OR('Visual SPC'!$G$4="",'Data Entry'!$D2738='Visual SPC'!$G$4),OR('Visual SPC'!$I$4="",'Data Entry'!$E2738='Visual SPC'!$I$4),OR('Visual SPC'!$K$4="",'Data Entry'!$F2738='Visual SPC'!$K$4)),1,0))</f>
        <v/>
      </c>
      <c r="C2738">
        <f>C2737+B2738</f>
        <v/>
      </c>
      <c r="D2738">
        <f>IF(B2738=1,INDEX('Data Entry'!$H$5:$BE$10004,2738-4,'Visual SPC'!$B$3),"")</f>
        <v/>
      </c>
      <c r="E2738">
        <f>IF(B2738=1,D2738,E2737)</f>
        <v/>
      </c>
      <c r="F2738">
        <f>IF(AND(B2738=1,C2738&gt;1,E2737&lt;&gt;""),ABS(D2738-E2737),"")</f>
        <v/>
      </c>
    </row>
    <row r="2739">
      <c r="A2739" t="n">
        <v>2739</v>
      </c>
      <c r="B2739">
        <f>IF(INDEX('Data Entry'!$H$5:$BE$10004,2739-4,'Visual SPC'!$B$3)="",0,IF(AND(OR('Visual SPC'!$C$4="",'Data Entry'!$C2739&gt;='Visual SPC'!$C$4),OR('Visual SPC'!$E$4="",'Data Entry'!$C2739&lt;='Visual SPC'!$E$4),OR('Visual SPC'!$G$4="",'Data Entry'!$D2739='Visual SPC'!$G$4),OR('Visual SPC'!$I$4="",'Data Entry'!$E2739='Visual SPC'!$I$4),OR('Visual SPC'!$K$4="",'Data Entry'!$F2739='Visual SPC'!$K$4)),1,0))</f>
        <v/>
      </c>
      <c r="C2739">
        <f>C2738+B2739</f>
        <v/>
      </c>
      <c r="D2739">
        <f>IF(B2739=1,INDEX('Data Entry'!$H$5:$BE$10004,2739-4,'Visual SPC'!$B$3),"")</f>
        <v/>
      </c>
      <c r="E2739">
        <f>IF(B2739=1,D2739,E2738)</f>
        <v/>
      </c>
      <c r="F2739">
        <f>IF(AND(B2739=1,C2739&gt;1,E2738&lt;&gt;""),ABS(D2739-E2738),"")</f>
        <v/>
      </c>
    </row>
    <row r="2740">
      <c r="A2740" t="n">
        <v>2740</v>
      </c>
      <c r="B2740">
        <f>IF(INDEX('Data Entry'!$H$5:$BE$10004,2740-4,'Visual SPC'!$B$3)="",0,IF(AND(OR('Visual SPC'!$C$4="",'Data Entry'!$C2740&gt;='Visual SPC'!$C$4),OR('Visual SPC'!$E$4="",'Data Entry'!$C2740&lt;='Visual SPC'!$E$4),OR('Visual SPC'!$G$4="",'Data Entry'!$D2740='Visual SPC'!$G$4),OR('Visual SPC'!$I$4="",'Data Entry'!$E2740='Visual SPC'!$I$4),OR('Visual SPC'!$K$4="",'Data Entry'!$F2740='Visual SPC'!$K$4)),1,0))</f>
        <v/>
      </c>
      <c r="C2740">
        <f>C2739+B2740</f>
        <v/>
      </c>
      <c r="D2740">
        <f>IF(B2740=1,INDEX('Data Entry'!$H$5:$BE$10004,2740-4,'Visual SPC'!$B$3),"")</f>
        <v/>
      </c>
      <c r="E2740">
        <f>IF(B2740=1,D2740,E2739)</f>
        <v/>
      </c>
      <c r="F2740">
        <f>IF(AND(B2740=1,C2740&gt;1,E2739&lt;&gt;""),ABS(D2740-E2739),"")</f>
        <v/>
      </c>
    </row>
    <row r="2741">
      <c r="A2741" t="n">
        <v>2741</v>
      </c>
      <c r="B2741">
        <f>IF(INDEX('Data Entry'!$H$5:$BE$10004,2741-4,'Visual SPC'!$B$3)="",0,IF(AND(OR('Visual SPC'!$C$4="",'Data Entry'!$C2741&gt;='Visual SPC'!$C$4),OR('Visual SPC'!$E$4="",'Data Entry'!$C2741&lt;='Visual SPC'!$E$4),OR('Visual SPC'!$G$4="",'Data Entry'!$D2741='Visual SPC'!$G$4),OR('Visual SPC'!$I$4="",'Data Entry'!$E2741='Visual SPC'!$I$4),OR('Visual SPC'!$K$4="",'Data Entry'!$F2741='Visual SPC'!$K$4)),1,0))</f>
        <v/>
      </c>
      <c r="C2741">
        <f>C2740+B2741</f>
        <v/>
      </c>
      <c r="D2741">
        <f>IF(B2741=1,INDEX('Data Entry'!$H$5:$BE$10004,2741-4,'Visual SPC'!$B$3),"")</f>
        <v/>
      </c>
      <c r="E2741">
        <f>IF(B2741=1,D2741,E2740)</f>
        <v/>
      </c>
      <c r="F2741">
        <f>IF(AND(B2741=1,C2741&gt;1,E2740&lt;&gt;""),ABS(D2741-E2740),"")</f>
        <v/>
      </c>
    </row>
    <row r="2742">
      <c r="A2742" t="n">
        <v>2742</v>
      </c>
      <c r="B2742">
        <f>IF(INDEX('Data Entry'!$H$5:$BE$10004,2742-4,'Visual SPC'!$B$3)="",0,IF(AND(OR('Visual SPC'!$C$4="",'Data Entry'!$C2742&gt;='Visual SPC'!$C$4),OR('Visual SPC'!$E$4="",'Data Entry'!$C2742&lt;='Visual SPC'!$E$4),OR('Visual SPC'!$G$4="",'Data Entry'!$D2742='Visual SPC'!$G$4),OR('Visual SPC'!$I$4="",'Data Entry'!$E2742='Visual SPC'!$I$4),OR('Visual SPC'!$K$4="",'Data Entry'!$F2742='Visual SPC'!$K$4)),1,0))</f>
        <v/>
      </c>
      <c r="C2742">
        <f>C2741+B2742</f>
        <v/>
      </c>
      <c r="D2742">
        <f>IF(B2742=1,INDEX('Data Entry'!$H$5:$BE$10004,2742-4,'Visual SPC'!$B$3),"")</f>
        <v/>
      </c>
      <c r="E2742">
        <f>IF(B2742=1,D2742,E2741)</f>
        <v/>
      </c>
      <c r="F2742">
        <f>IF(AND(B2742=1,C2742&gt;1,E2741&lt;&gt;""),ABS(D2742-E2741),"")</f>
        <v/>
      </c>
    </row>
    <row r="2743">
      <c r="A2743" t="n">
        <v>2743</v>
      </c>
      <c r="B2743">
        <f>IF(INDEX('Data Entry'!$H$5:$BE$10004,2743-4,'Visual SPC'!$B$3)="",0,IF(AND(OR('Visual SPC'!$C$4="",'Data Entry'!$C2743&gt;='Visual SPC'!$C$4),OR('Visual SPC'!$E$4="",'Data Entry'!$C2743&lt;='Visual SPC'!$E$4),OR('Visual SPC'!$G$4="",'Data Entry'!$D2743='Visual SPC'!$G$4),OR('Visual SPC'!$I$4="",'Data Entry'!$E2743='Visual SPC'!$I$4),OR('Visual SPC'!$K$4="",'Data Entry'!$F2743='Visual SPC'!$K$4)),1,0))</f>
        <v/>
      </c>
      <c r="C2743">
        <f>C2742+B2743</f>
        <v/>
      </c>
      <c r="D2743">
        <f>IF(B2743=1,INDEX('Data Entry'!$H$5:$BE$10004,2743-4,'Visual SPC'!$B$3),"")</f>
        <v/>
      </c>
      <c r="E2743">
        <f>IF(B2743=1,D2743,E2742)</f>
        <v/>
      </c>
      <c r="F2743">
        <f>IF(AND(B2743=1,C2743&gt;1,E2742&lt;&gt;""),ABS(D2743-E2742),"")</f>
        <v/>
      </c>
    </row>
    <row r="2744">
      <c r="A2744" t="n">
        <v>2744</v>
      </c>
      <c r="B2744">
        <f>IF(INDEX('Data Entry'!$H$5:$BE$10004,2744-4,'Visual SPC'!$B$3)="",0,IF(AND(OR('Visual SPC'!$C$4="",'Data Entry'!$C2744&gt;='Visual SPC'!$C$4),OR('Visual SPC'!$E$4="",'Data Entry'!$C2744&lt;='Visual SPC'!$E$4),OR('Visual SPC'!$G$4="",'Data Entry'!$D2744='Visual SPC'!$G$4),OR('Visual SPC'!$I$4="",'Data Entry'!$E2744='Visual SPC'!$I$4),OR('Visual SPC'!$K$4="",'Data Entry'!$F2744='Visual SPC'!$K$4)),1,0))</f>
        <v/>
      </c>
      <c r="C2744">
        <f>C2743+B2744</f>
        <v/>
      </c>
      <c r="D2744">
        <f>IF(B2744=1,INDEX('Data Entry'!$H$5:$BE$10004,2744-4,'Visual SPC'!$B$3),"")</f>
        <v/>
      </c>
      <c r="E2744">
        <f>IF(B2744=1,D2744,E2743)</f>
        <v/>
      </c>
      <c r="F2744">
        <f>IF(AND(B2744=1,C2744&gt;1,E2743&lt;&gt;""),ABS(D2744-E2743),"")</f>
        <v/>
      </c>
    </row>
    <row r="2745">
      <c r="A2745" t="n">
        <v>2745</v>
      </c>
      <c r="B2745">
        <f>IF(INDEX('Data Entry'!$H$5:$BE$10004,2745-4,'Visual SPC'!$B$3)="",0,IF(AND(OR('Visual SPC'!$C$4="",'Data Entry'!$C2745&gt;='Visual SPC'!$C$4),OR('Visual SPC'!$E$4="",'Data Entry'!$C2745&lt;='Visual SPC'!$E$4),OR('Visual SPC'!$G$4="",'Data Entry'!$D2745='Visual SPC'!$G$4),OR('Visual SPC'!$I$4="",'Data Entry'!$E2745='Visual SPC'!$I$4),OR('Visual SPC'!$K$4="",'Data Entry'!$F2745='Visual SPC'!$K$4)),1,0))</f>
        <v/>
      </c>
      <c r="C2745">
        <f>C2744+B2745</f>
        <v/>
      </c>
      <c r="D2745">
        <f>IF(B2745=1,INDEX('Data Entry'!$H$5:$BE$10004,2745-4,'Visual SPC'!$B$3),"")</f>
        <v/>
      </c>
      <c r="E2745">
        <f>IF(B2745=1,D2745,E2744)</f>
        <v/>
      </c>
      <c r="F2745">
        <f>IF(AND(B2745=1,C2745&gt;1,E2744&lt;&gt;""),ABS(D2745-E2744),"")</f>
        <v/>
      </c>
    </row>
    <row r="2746">
      <c r="A2746" t="n">
        <v>2746</v>
      </c>
      <c r="B2746">
        <f>IF(INDEX('Data Entry'!$H$5:$BE$10004,2746-4,'Visual SPC'!$B$3)="",0,IF(AND(OR('Visual SPC'!$C$4="",'Data Entry'!$C2746&gt;='Visual SPC'!$C$4),OR('Visual SPC'!$E$4="",'Data Entry'!$C2746&lt;='Visual SPC'!$E$4),OR('Visual SPC'!$G$4="",'Data Entry'!$D2746='Visual SPC'!$G$4),OR('Visual SPC'!$I$4="",'Data Entry'!$E2746='Visual SPC'!$I$4),OR('Visual SPC'!$K$4="",'Data Entry'!$F2746='Visual SPC'!$K$4)),1,0))</f>
        <v/>
      </c>
      <c r="C2746">
        <f>C2745+B2746</f>
        <v/>
      </c>
      <c r="D2746">
        <f>IF(B2746=1,INDEX('Data Entry'!$H$5:$BE$10004,2746-4,'Visual SPC'!$B$3),"")</f>
        <v/>
      </c>
      <c r="E2746">
        <f>IF(B2746=1,D2746,E2745)</f>
        <v/>
      </c>
      <c r="F2746">
        <f>IF(AND(B2746=1,C2746&gt;1,E2745&lt;&gt;""),ABS(D2746-E2745),"")</f>
        <v/>
      </c>
    </row>
    <row r="2747">
      <c r="A2747" t="n">
        <v>2747</v>
      </c>
      <c r="B2747">
        <f>IF(INDEX('Data Entry'!$H$5:$BE$10004,2747-4,'Visual SPC'!$B$3)="",0,IF(AND(OR('Visual SPC'!$C$4="",'Data Entry'!$C2747&gt;='Visual SPC'!$C$4),OR('Visual SPC'!$E$4="",'Data Entry'!$C2747&lt;='Visual SPC'!$E$4),OR('Visual SPC'!$G$4="",'Data Entry'!$D2747='Visual SPC'!$G$4),OR('Visual SPC'!$I$4="",'Data Entry'!$E2747='Visual SPC'!$I$4),OR('Visual SPC'!$K$4="",'Data Entry'!$F2747='Visual SPC'!$K$4)),1,0))</f>
        <v/>
      </c>
      <c r="C2747">
        <f>C2746+B2747</f>
        <v/>
      </c>
      <c r="D2747">
        <f>IF(B2747=1,INDEX('Data Entry'!$H$5:$BE$10004,2747-4,'Visual SPC'!$B$3),"")</f>
        <v/>
      </c>
      <c r="E2747">
        <f>IF(B2747=1,D2747,E2746)</f>
        <v/>
      </c>
      <c r="F2747">
        <f>IF(AND(B2747=1,C2747&gt;1,E2746&lt;&gt;""),ABS(D2747-E2746),"")</f>
        <v/>
      </c>
    </row>
    <row r="2748">
      <c r="A2748" t="n">
        <v>2748</v>
      </c>
      <c r="B2748">
        <f>IF(INDEX('Data Entry'!$H$5:$BE$10004,2748-4,'Visual SPC'!$B$3)="",0,IF(AND(OR('Visual SPC'!$C$4="",'Data Entry'!$C2748&gt;='Visual SPC'!$C$4),OR('Visual SPC'!$E$4="",'Data Entry'!$C2748&lt;='Visual SPC'!$E$4),OR('Visual SPC'!$G$4="",'Data Entry'!$D2748='Visual SPC'!$G$4),OR('Visual SPC'!$I$4="",'Data Entry'!$E2748='Visual SPC'!$I$4),OR('Visual SPC'!$K$4="",'Data Entry'!$F2748='Visual SPC'!$K$4)),1,0))</f>
        <v/>
      </c>
      <c r="C2748">
        <f>C2747+B2748</f>
        <v/>
      </c>
      <c r="D2748">
        <f>IF(B2748=1,INDEX('Data Entry'!$H$5:$BE$10004,2748-4,'Visual SPC'!$B$3),"")</f>
        <v/>
      </c>
      <c r="E2748">
        <f>IF(B2748=1,D2748,E2747)</f>
        <v/>
      </c>
      <c r="F2748">
        <f>IF(AND(B2748=1,C2748&gt;1,E2747&lt;&gt;""),ABS(D2748-E2747),"")</f>
        <v/>
      </c>
    </row>
    <row r="2749">
      <c r="A2749" t="n">
        <v>2749</v>
      </c>
      <c r="B2749">
        <f>IF(INDEX('Data Entry'!$H$5:$BE$10004,2749-4,'Visual SPC'!$B$3)="",0,IF(AND(OR('Visual SPC'!$C$4="",'Data Entry'!$C2749&gt;='Visual SPC'!$C$4),OR('Visual SPC'!$E$4="",'Data Entry'!$C2749&lt;='Visual SPC'!$E$4),OR('Visual SPC'!$G$4="",'Data Entry'!$D2749='Visual SPC'!$G$4),OR('Visual SPC'!$I$4="",'Data Entry'!$E2749='Visual SPC'!$I$4),OR('Visual SPC'!$K$4="",'Data Entry'!$F2749='Visual SPC'!$K$4)),1,0))</f>
        <v/>
      </c>
      <c r="C2749">
        <f>C2748+B2749</f>
        <v/>
      </c>
      <c r="D2749">
        <f>IF(B2749=1,INDEX('Data Entry'!$H$5:$BE$10004,2749-4,'Visual SPC'!$B$3),"")</f>
        <v/>
      </c>
      <c r="E2749">
        <f>IF(B2749=1,D2749,E2748)</f>
        <v/>
      </c>
      <c r="F2749">
        <f>IF(AND(B2749=1,C2749&gt;1,E2748&lt;&gt;""),ABS(D2749-E2748),"")</f>
        <v/>
      </c>
    </row>
    <row r="2750">
      <c r="A2750" t="n">
        <v>2750</v>
      </c>
      <c r="B2750">
        <f>IF(INDEX('Data Entry'!$H$5:$BE$10004,2750-4,'Visual SPC'!$B$3)="",0,IF(AND(OR('Visual SPC'!$C$4="",'Data Entry'!$C2750&gt;='Visual SPC'!$C$4),OR('Visual SPC'!$E$4="",'Data Entry'!$C2750&lt;='Visual SPC'!$E$4),OR('Visual SPC'!$G$4="",'Data Entry'!$D2750='Visual SPC'!$G$4),OR('Visual SPC'!$I$4="",'Data Entry'!$E2750='Visual SPC'!$I$4),OR('Visual SPC'!$K$4="",'Data Entry'!$F2750='Visual SPC'!$K$4)),1,0))</f>
        <v/>
      </c>
      <c r="C2750">
        <f>C2749+B2750</f>
        <v/>
      </c>
      <c r="D2750">
        <f>IF(B2750=1,INDEX('Data Entry'!$H$5:$BE$10004,2750-4,'Visual SPC'!$B$3),"")</f>
        <v/>
      </c>
      <c r="E2750">
        <f>IF(B2750=1,D2750,E2749)</f>
        <v/>
      </c>
      <c r="F2750">
        <f>IF(AND(B2750=1,C2750&gt;1,E2749&lt;&gt;""),ABS(D2750-E2749),"")</f>
        <v/>
      </c>
    </row>
    <row r="2751">
      <c r="A2751" t="n">
        <v>2751</v>
      </c>
      <c r="B2751">
        <f>IF(INDEX('Data Entry'!$H$5:$BE$10004,2751-4,'Visual SPC'!$B$3)="",0,IF(AND(OR('Visual SPC'!$C$4="",'Data Entry'!$C2751&gt;='Visual SPC'!$C$4),OR('Visual SPC'!$E$4="",'Data Entry'!$C2751&lt;='Visual SPC'!$E$4),OR('Visual SPC'!$G$4="",'Data Entry'!$D2751='Visual SPC'!$G$4),OR('Visual SPC'!$I$4="",'Data Entry'!$E2751='Visual SPC'!$I$4),OR('Visual SPC'!$K$4="",'Data Entry'!$F2751='Visual SPC'!$K$4)),1,0))</f>
        <v/>
      </c>
      <c r="C2751">
        <f>C2750+B2751</f>
        <v/>
      </c>
      <c r="D2751">
        <f>IF(B2751=1,INDEX('Data Entry'!$H$5:$BE$10004,2751-4,'Visual SPC'!$B$3),"")</f>
        <v/>
      </c>
      <c r="E2751">
        <f>IF(B2751=1,D2751,E2750)</f>
        <v/>
      </c>
      <c r="F2751">
        <f>IF(AND(B2751=1,C2751&gt;1,E2750&lt;&gt;""),ABS(D2751-E2750),"")</f>
        <v/>
      </c>
    </row>
    <row r="2752">
      <c r="A2752" t="n">
        <v>2752</v>
      </c>
      <c r="B2752">
        <f>IF(INDEX('Data Entry'!$H$5:$BE$10004,2752-4,'Visual SPC'!$B$3)="",0,IF(AND(OR('Visual SPC'!$C$4="",'Data Entry'!$C2752&gt;='Visual SPC'!$C$4),OR('Visual SPC'!$E$4="",'Data Entry'!$C2752&lt;='Visual SPC'!$E$4),OR('Visual SPC'!$G$4="",'Data Entry'!$D2752='Visual SPC'!$G$4),OR('Visual SPC'!$I$4="",'Data Entry'!$E2752='Visual SPC'!$I$4),OR('Visual SPC'!$K$4="",'Data Entry'!$F2752='Visual SPC'!$K$4)),1,0))</f>
        <v/>
      </c>
      <c r="C2752">
        <f>C2751+B2752</f>
        <v/>
      </c>
      <c r="D2752">
        <f>IF(B2752=1,INDEX('Data Entry'!$H$5:$BE$10004,2752-4,'Visual SPC'!$B$3),"")</f>
        <v/>
      </c>
      <c r="E2752">
        <f>IF(B2752=1,D2752,E2751)</f>
        <v/>
      </c>
      <c r="F2752">
        <f>IF(AND(B2752=1,C2752&gt;1,E2751&lt;&gt;""),ABS(D2752-E2751),"")</f>
        <v/>
      </c>
    </row>
    <row r="2753">
      <c r="A2753" t="n">
        <v>2753</v>
      </c>
      <c r="B2753">
        <f>IF(INDEX('Data Entry'!$H$5:$BE$10004,2753-4,'Visual SPC'!$B$3)="",0,IF(AND(OR('Visual SPC'!$C$4="",'Data Entry'!$C2753&gt;='Visual SPC'!$C$4),OR('Visual SPC'!$E$4="",'Data Entry'!$C2753&lt;='Visual SPC'!$E$4),OR('Visual SPC'!$G$4="",'Data Entry'!$D2753='Visual SPC'!$G$4),OR('Visual SPC'!$I$4="",'Data Entry'!$E2753='Visual SPC'!$I$4),OR('Visual SPC'!$K$4="",'Data Entry'!$F2753='Visual SPC'!$K$4)),1,0))</f>
        <v/>
      </c>
      <c r="C2753">
        <f>C2752+B2753</f>
        <v/>
      </c>
      <c r="D2753">
        <f>IF(B2753=1,INDEX('Data Entry'!$H$5:$BE$10004,2753-4,'Visual SPC'!$B$3),"")</f>
        <v/>
      </c>
      <c r="E2753">
        <f>IF(B2753=1,D2753,E2752)</f>
        <v/>
      </c>
      <c r="F2753">
        <f>IF(AND(B2753=1,C2753&gt;1,E2752&lt;&gt;""),ABS(D2753-E2752),"")</f>
        <v/>
      </c>
    </row>
    <row r="2754">
      <c r="A2754" t="n">
        <v>2754</v>
      </c>
      <c r="B2754">
        <f>IF(INDEX('Data Entry'!$H$5:$BE$10004,2754-4,'Visual SPC'!$B$3)="",0,IF(AND(OR('Visual SPC'!$C$4="",'Data Entry'!$C2754&gt;='Visual SPC'!$C$4),OR('Visual SPC'!$E$4="",'Data Entry'!$C2754&lt;='Visual SPC'!$E$4),OR('Visual SPC'!$G$4="",'Data Entry'!$D2754='Visual SPC'!$G$4),OR('Visual SPC'!$I$4="",'Data Entry'!$E2754='Visual SPC'!$I$4),OR('Visual SPC'!$K$4="",'Data Entry'!$F2754='Visual SPC'!$K$4)),1,0))</f>
        <v/>
      </c>
      <c r="C2754">
        <f>C2753+B2754</f>
        <v/>
      </c>
      <c r="D2754">
        <f>IF(B2754=1,INDEX('Data Entry'!$H$5:$BE$10004,2754-4,'Visual SPC'!$B$3),"")</f>
        <v/>
      </c>
      <c r="E2754">
        <f>IF(B2754=1,D2754,E2753)</f>
        <v/>
      </c>
      <c r="F2754">
        <f>IF(AND(B2754=1,C2754&gt;1,E2753&lt;&gt;""),ABS(D2754-E2753),"")</f>
        <v/>
      </c>
    </row>
    <row r="2755">
      <c r="A2755" t="n">
        <v>2755</v>
      </c>
      <c r="B2755">
        <f>IF(INDEX('Data Entry'!$H$5:$BE$10004,2755-4,'Visual SPC'!$B$3)="",0,IF(AND(OR('Visual SPC'!$C$4="",'Data Entry'!$C2755&gt;='Visual SPC'!$C$4),OR('Visual SPC'!$E$4="",'Data Entry'!$C2755&lt;='Visual SPC'!$E$4),OR('Visual SPC'!$G$4="",'Data Entry'!$D2755='Visual SPC'!$G$4),OR('Visual SPC'!$I$4="",'Data Entry'!$E2755='Visual SPC'!$I$4),OR('Visual SPC'!$K$4="",'Data Entry'!$F2755='Visual SPC'!$K$4)),1,0))</f>
        <v/>
      </c>
      <c r="C2755">
        <f>C2754+B2755</f>
        <v/>
      </c>
      <c r="D2755">
        <f>IF(B2755=1,INDEX('Data Entry'!$H$5:$BE$10004,2755-4,'Visual SPC'!$B$3),"")</f>
        <v/>
      </c>
      <c r="E2755">
        <f>IF(B2755=1,D2755,E2754)</f>
        <v/>
      </c>
      <c r="F2755">
        <f>IF(AND(B2755=1,C2755&gt;1,E2754&lt;&gt;""),ABS(D2755-E2754),"")</f>
        <v/>
      </c>
    </row>
    <row r="2756">
      <c r="A2756" t="n">
        <v>2756</v>
      </c>
      <c r="B2756">
        <f>IF(INDEX('Data Entry'!$H$5:$BE$10004,2756-4,'Visual SPC'!$B$3)="",0,IF(AND(OR('Visual SPC'!$C$4="",'Data Entry'!$C2756&gt;='Visual SPC'!$C$4),OR('Visual SPC'!$E$4="",'Data Entry'!$C2756&lt;='Visual SPC'!$E$4),OR('Visual SPC'!$G$4="",'Data Entry'!$D2756='Visual SPC'!$G$4),OR('Visual SPC'!$I$4="",'Data Entry'!$E2756='Visual SPC'!$I$4),OR('Visual SPC'!$K$4="",'Data Entry'!$F2756='Visual SPC'!$K$4)),1,0))</f>
        <v/>
      </c>
      <c r="C2756">
        <f>C2755+B2756</f>
        <v/>
      </c>
      <c r="D2756">
        <f>IF(B2756=1,INDEX('Data Entry'!$H$5:$BE$10004,2756-4,'Visual SPC'!$B$3),"")</f>
        <v/>
      </c>
      <c r="E2756">
        <f>IF(B2756=1,D2756,E2755)</f>
        <v/>
      </c>
      <c r="F2756">
        <f>IF(AND(B2756=1,C2756&gt;1,E2755&lt;&gt;""),ABS(D2756-E2755),"")</f>
        <v/>
      </c>
    </row>
    <row r="2757">
      <c r="A2757" t="n">
        <v>2757</v>
      </c>
      <c r="B2757">
        <f>IF(INDEX('Data Entry'!$H$5:$BE$10004,2757-4,'Visual SPC'!$B$3)="",0,IF(AND(OR('Visual SPC'!$C$4="",'Data Entry'!$C2757&gt;='Visual SPC'!$C$4),OR('Visual SPC'!$E$4="",'Data Entry'!$C2757&lt;='Visual SPC'!$E$4),OR('Visual SPC'!$G$4="",'Data Entry'!$D2757='Visual SPC'!$G$4),OR('Visual SPC'!$I$4="",'Data Entry'!$E2757='Visual SPC'!$I$4),OR('Visual SPC'!$K$4="",'Data Entry'!$F2757='Visual SPC'!$K$4)),1,0))</f>
        <v/>
      </c>
      <c r="C2757">
        <f>C2756+B2757</f>
        <v/>
      </c>
      <c r="D2757">
        <f>IF(B2757=1,INDEX('Data Entry'!$H$5:$BE$10004,2757-4,'Visual SPC'!$B$3),"")</f>
        <v/>
      </c>
      <c r="E2757">
        <f>IF(B2757=1,D2757,E2756)</f>
        <v/>
      </c>
      <c r="F2757">
        <f>IF(AND(B2757=1,C2757&gt;1,E2756&lt;&gt;""),ABS(D2757-E2756),"")</f>
        <v/>
      </c>
    </row>
    <row r="2758">
      <c r="A2758" t="n">
        <v>2758</v>
      </c>
      <c r="B2758">
        <f>IF(INDEX('Data Entry'!$H$5:$BE$10004,2758-4,'Visual SPC'!$B$3)="",0,IF(AND(OR('Visual SPC'!$C$4="",'Data Entry'!$C2758&gt;='Visual SPC'!$C$4),OR('Visual SPC'!$E$4="",'Data Entry'!$C2758&lt;='Visual SPC'!$E$4),OR('Visual SPC'!$G$4="",'Data Entry'!$D2758='Visual SPC'!$G$4),OR('Visual SPC'!$I$4="",'Data Entry'!$E2758='Visual SPC'!$I$4),OR('Visual SPC'!$K$4="",'Data Entry'!$F2758='Visual SPC'!$K$4)),1,0))</f>
        <v/>
      </c>
      <c r="C2758">
        <f>C2757+B2758</f>
        <v/>
      </c>
      <c r="D2758">
        <f>IF(B2758=1,INDEX('Data Entry'!$H$5:$BE$10004,2758-4,'Visual SPC'!$B$3),"")</f>
        <v/>
      </c>
      <c r="E2758">
        <f>IF(B2758=1,D2758,E2757)</f>
        <v/>
      </c>
      <c r="F2758">
        <f>IF(AND(B2758=1,C2758&gt;1,E2757&lt;&gt;""),ABS(D2758-E2757),"")</f>
        <v/>
      </c>
    </row>
    <row r="2759">
      <c r="A2759" t="n">
        <v>2759</v>
      </c>
      <c r="B2759">
        <f>IF(INDEX('Data Entry'!$H$5:$BE$10004,2759-4,'Visual SPC'!$B$3)="",0,IF(AND(OR('Visual SPC'!$C$4="",'Data Entry'!$C2759&gt;='Visual SPC'!$C$4),OR('Visual SPC'!$E$4="",'Data Entry'!$C2759&lt;='Visual SPC'!$E$4),OR('Visual SPC'!$G$4="",'Data Entry'!$D2759='Visual SPC'!$G$4),OR('Visual SPC'!$I$4="",'Data Entry'!$E2759='Visual SPC'!$I$4),OR('Visual SPC'!$K$4="",'Data Entry'!$F2759='Visual SPC'!$K$4)),1,0))</f>
        <v/>
      </c>
      <c r="C2759">
        <f>C2758+B2759</f>
        <v/>
      </c>
      <c r="D2759">
        <f>IF(B2759=1,INDEX('Data Entry'!$H$5:$BE$10004,2759-4,'Visual SPC'!$B$3),"")</f>
        <v/>
      </c>
      <c r="E2759">
        <f>IF(B2759=1,D2759,E2758)</f>
        <v/>
      </c>
      <c r="F2759">
        <f>IF(AND(B2759=1,C2759&gt;1,E2758&lt;&gt;""),ABS(D2759-E2758),"")</f>
        <v/>
      </c>
    </row>
    <row r="2760">
      <c r="A2760" t="n">
        <v>2760</v>
      </c>
      <c r="B2760">
        <f>IF(INDEX('Data Entry'!$H$5:$BE$10004,2760-4,'Visual SPC'!$B$3)="",0,IF(AND(OR('Visual SPC'!$C$4="",'Data Entry'!$C2760&gt;='Visual SPC'!$C$4),OR('Visual SPC'!$E$4="",'Data Entry'!$C2760&lt;='Visual SPC'!$E$4),OR('Visual SPC'!$G$4="",'Data Entry'!$D2760='Visual SPC'!$G$4),OR('Visual SPC'!$I$4="",'Data Entry'!$E2760='Visual SPC'!$I$4),OR('Visual SPC'!$K$4="",'Data Entry'!$F2760='Visual SPC'!$K$4)),1,0))</f>
        <v/>
      </c>
      <c r="C2760">
        <f>C2759+B2760</f>
        <v/>
      </c>
      <c r="D2760">
        <f>IF(B2760=1,INDEX('Data Entry'!$H$5:$BE$10004,2760-4,'Visual SPC'!$B$3),"")</f>
        <v/>
      </c>
      <c r="E2760">
        <f>IF(B2760=1,D2760,E2759)</f>
        <v/>
      </c>
      <c r="F2760">
        <f>IF(AND(B2760=1,C2760&gt;1,E2759&lt;&gt;""),ABS(D2760-E2759),"")</f>
        <v/>
      </c>
    </row>
    <row r="2761">
      <c r="A2761" t="n">
        <v>2761</v>
      </c>
      <c r="B2761">
        <f>IF(INDEX('Data Entry'!$H$5:$BE$10004,2761-4,'Visual SPC'!$B$3)="",0,IF(AND(OR('Visual SPC'!$C$4="",'Data Entry'!$C2761&gt;='Visual SPC'!$C$4),OR('Visual SPC'!$E$4="",'Data Entry'!$C2761&lt;='Visual SPC'!$E$4),OR('Visual SPC'!$G$4="",'Data Entry'!$D2761='Visual SPC'!$G$4),OR('Visual SPC'!$I$4="",'Data Entry'!$E2761='Visual SPC'!$I$4),OR('Visual SPC'!$K$4="",'Data Entry'!$F2761='Visual SPC'!$K$4)),1,0))</f>
        <v/>
      </c>
      <c r="C2761">
        <f>C2760+B2761</f>
        <v/>
      </c>
      <c r="D2761">
        <f>IF(B2761=1,INDEX('Data Entry'!$H$5:$BE$10004,2761-4,'Visual SPC'!$B$3),"")</f>
        <v/>
      </c>
      <c r="E2761">
        <f>IF(B2761=1,D2761,E2760)</f>
        <v/>
      </c>
      <c r="F2761">
        <f>IF(AND(B2761=1,C2761&gt;1,E2760&lt;&gt;""),ABS(D2761-E2760),"")</f>
        <v/>
      </c>
    </row>
    <row r="2762">
      <c r="A2762" t="n">
        <v>2762</v>
      </c>
      <c r="B2762">
        <f>IF(INDEX('Data Entry'!$H$5:$BE$10004,2762-4,'Visual SPC'!$B$3)="",0,IF(AND(OR('Visual SPC'!$C$4="",'Data Entry'!$C2762&gt;='Visual SPC'!$C$4),OR('Visual SPC'!$E$4="",'Data Entry'!$C2762&lt;='Visual SPC'!$E$4),OR('Visual SPC'!$G$4="",'Data Entry'!$D2762='Visual SPC'!$G$4),OR('Visual SPC'!$I$4="",'Data Entry'!$E2762='Visual SPC'!$I$4),OR('Visual SPC'!$K$4="",'Data Entry'!$F2762='Visual SPC'!$K$4)),1,0))</f>
        <v/>
      </c>
      <c r="C2762">
        <f>C2761+B2762</f>
        <v/>
      </c>
      <c r="D2762">
        <f>IF(B2762=1,INDEX('Data Entry'!$H$5:$BE$10004,2762-4,'Visual SPC'!$B$3),"")</f>
        <v/>
      </c>
      <c r="E2762">
        <f>IF(B2762=1,D2762,E2761)</f>
        <v/>
      </c>
      <c r="F2762">
        <f>IF(AND(B2762=1,C2762&gt;1,E2761&lt;&gt;""),ABS(D2762-E2761),"")</f>
        <v/>
      </c>
    </row>
    <row r="2763">
      <c r="A2763" t="n">
        <v>2763</v>
      </c>
      <c r="B2763">
        <f>IF(INDEX('Data Entry'!$H$5:$BE$10004,2763-4,'Visual SPC'!$B$3)="",0,IF(AND(OR('Visual SPC'!$C$4="",'Data Entry'!$C2763&gt;='Visual SPC'!$C$4),OR('Visual SPC'!$E$4="",'Data Entry'!$C2763&lt;='Visual SPC'!$E$4),OR('Visual SPC'!$G$4="",'Data Entry'!$D2763='Visual SPC'!$G$4),OR('Visual SPC'!$I$4="",'Data Entry'!$E2763='Visual SPC'!$I$4),OR('Visual SPC'!$K$4="",'Data Entry'!$F2763='Visual SPC'!$K$4)),1,0))</f>
        <v/>
      </c>
      <c r="C2763">
        <f>C2762+B2763</f>
        <v/>
      </c>
      <c r="D2763">
        <f>IF(B2763=1,INDEX('Data Entry'!$H$5:$BE$10004,2763-4,'Visual SPC'!$B$3),"")</f>
        <v/>
      </c>
      <c r="E2763">
        <f>IF(B2763=1,D2763,E2762)</f>
        <v/>
      </c>
      <c r="F2763">
        <f>IF(AND(B2763=1,C2763&gt;1,E2762&lt;&gt;""),ABS(D2763-E2762),"")</f>
        <v/>
      </c>
    </row>
    <row r="2764">
      <c r="A2764" t="n">
        <v>2764</v>
      </c>
      <c r="B2764">
        <f>IF(INDEX('Data Entry'!$H$5:$BE$10004,2764-4,'Visual SPC'!$B$3)="",0,IF(AND(OR('Visual SPC'!$C$4="",'Data Entry'!$C2764&gt;='Visual SPC'!$C$4),OR('Visual SPC'!$E$4="",'Data Entry'!$C2764&lt;='Visual SPC'!$E$4),OR('Visual SPC'!$G$4="",'Data Entry'!$D2764='Visual SPC'!$G$4),OR('Visual SPC'!$I$4="",'Data Entry'!$E2764='Visual SPC'!$I$4),OR('Visual SPC'!$K$4="",'Data Entry'!$F2764='Visual SPC'!$K$4)),1,0))</f>
        <v/>
      </c>
      <c r="C2764">
        <f>C2763+B2764</f>
        <v/>
      </c>
      <c r="D2764">
        <f>IF(B2764=1,INDEX('Data Entry'!$H$5:$BE$10004,2764-4,'Visual SPC'!$B$3),"")</f>
        <v/>
      </c>
      <c r="E2764">
        <f>IF(B2764=1,D2764,E2763)</f>
        <v/>
      </c>
      <c r="F2764">
        <f>IF(AND(B2764=1,C2764&gt;1,E2763&lt;&gt;""),ABS(D2764-E2763),"")</f>
        <v/>
      </c>
    </row>
    <row r="2765">
      <c r="A2765" t="n">
        <v>2765</v>
      </c>
      <c r="B2765">
        <f>IF(INDEX('Data Entry'!$H$5:$BE$10004,2765-4,'Visual SPC'!$B$3)="",0,IF(AND(OR('Visual SPC'!$C$4="",'Data Entry'!$C2765&gt;='Visual SPC'!$C$4),OR('Visual SPC'!$E$4="",'Data Entry'!$C2765&lt;='Visual SPC'!$E$4),OR('Visual SPC'!$G$4="",'Data Entry'!$D2765='Visual SPC'!$G$4),OR('Visual SPC'!$I$4="",'Data Entry'!$E2765='Visual SPC'!$I$4),OR('Visual SPC'!$K$4="",'Data Entry'!$F2765='Visual SPC'!$K$4)),1,0))</f>
        <v/>
      </c>
      <c r="C2765">
        <f>C2764+B2765</f>
        <v/>
      </c>
      <c r="D2765">
        <f>IF(B2765=1,INDEX('Data Entry'!$H$5:$BE$10004,2765-4,'Visual SPC'!$B$3),"")</f>
        <v/>
      </c>
      <c r="E2765">
        <f>IF(B2765=1,D2765,E2764)</f>
        <v/>
      </c>
      <c r="F2765">
        <f>IF(AND(B2765=1,C2765&gt;1,E2764&lt;&gt;""),ABS(D2765-E2764),"")</f>
        <v/>
      </c>
    </row>
    <row r="2766">
      <c r="A2766" t="n">
        <v>2766</v>
      </c>
      <c r="B2766">
        <f>IF(INDEX('Data Entry'!$H$5:$BE$10004,2766-4,'Visual SPC'!$B$3)="",0,IF(AND(OR('Visual SPC'!$C$4="",'Data Entry'!$C2766&gt;='Visual SPC'!$C$4),OR('Visual SPC'!$E$4="",'Data Entry'!$C2766&lt;='Visual SPC'!$E$4),OR('Visual SPC'!$G$4="",'Data Entry'!$D2766='Visual SPC'!$G$4),OR('Visual SPC'!$I$4="",'Data Entry'!$E2766='Visual SPC'!$I$4),OR('Visual SPC'!$K$4="",'Data Entry'!$F2766='Visual SPC'!$K$4)),1,0))</f>
        <v/>
      </c>
      <c r="C2766">
        <f>C2765+B2766</f>
        <v/>
      </c>
      <c r="D2766">
        <f>IF(B2766=1,INDEX('Data Entry'!$H$5:$BE$10004,2766-4,'Visual SPC'!$B$3),"")</f>
        <v/>
      </c>
      <c r="E2766">
        <f>IF(B2766=1,D2766,E2765)</f>
        <v/>
      </c>
      <c r="F2766">
        <f>IF(AND(B2766=1,C2766&gt;1,E2765&lt;&gt;""),ABS(D2766-E2765),"")</f>
        <v/>
      </c>
    </row>
    <row r="2767">
      <c r="A2767" t="n">
        <v>2767</v>
      </c>
      <c r="B2767">
        <f>IF(INDEX('Data Entry'!$H$5:$BE$10004,2767-4,'Visual SPC'!$B$3)="",0,IF(AND(OR('Visual SPC'!$C$4="",'Data Entry'!$C2767&gt;='Visual SPC'!$C$4),OR('Visual SPC'!$E$4="",'Data Entry'!$C2767&lt;='Visual SPC'!$E$4),OR('Visual SPC'!$G$4="",'Data Entry'!$D2767='Visual SPC'!$G$4),OR('Visual SPC'!$I$4="",'Data Entry'!$E2767='Visual SPC'!$I$4),OR('Visual SPC'!$K$4="",'Data Entry'!$F2767='Visual SPC'!$K$4)),1,0))</f>
        <v/>
      </c>
      <c r="C2767">
        <f>C2766+B2767</f>
        <v/>
      </c>
      <c r="D2767">
        <f>IF(B2767=1,INDEX('Data Entry'!$H$5:$BE$10004,2767-4,'Visual SPC'!$B$3),"")</f>
        <v/>
      </c>
      <c r="E2767">
        <f>IF(B2767=1,D2767,E2766)</f>
        <v/>
      </c>
      <c r="F2767">
        <f>IF(AND(B2767=1,C2767&gt;1,E2766&lt;&gt;""),ABS(D2767-E2766),"")</f>
        <v/>
      </c>
    </row>
    <row r="2768">
      <c r="A2768" t="n">
        <v>2768</v>
      </c>
      <c r="B2768">
        <f>IF(INDEX('Data Entry'!$H$5:$BE$10004,2768-4,'Visual SPC'!$B$3)="",0,IF(AND(OR('Visual SPC'!$C$4="",'Data Entry'!$C2768&gt;='Visual SPC'!$C$4),OR('Visual SPC'!$E$4="",'Data Entry'!$C2768&lt;='Visual SPC'!$E$4),OR('Visual SPC'!$G$4="",'Data Entry'!$D2768='Visual SPC'!$G$4),OR('Visual SPC'!$I$4="",'Data Entry'!$E2768='Visual SPC'!$I$4),OR('Visual SPC'!$K$4="",'Data Entry'!$F2768='Visual SPC'!$K$4)),1,0))</f>
        <v/>
      </c>
      <c r="C2768">
        <f>C2767+B2768</f>
        <v/>
      </c>
      <c r="D2768">
        <f>IF(B2768=1,INDEX('Data Entry'!$H$5:$BE$10004,2768-4,'Visual SPC'!$B$3),"")</f>
        <v/>
      </c>
      <c r="E2768">
        <f>IF(B2768=1,D2768,E2767)</f>
        <v/>
      </c>
      <c r="F2768">
        <f>IF(AND(B2768=1,C2768&gt;1,E2767&lt;&gt;""),ABS(D2768-E2767),"")</f>
        <v/>
      </c>
    </row>
    <row r="2769">
      <c r="A2769" t="n">
        <v>2769</v>
      </c>
      <c r="B2769">
        <f>IF(INDEX('Data Entry'!$H$5:$BE$10004,2769-4,'Visual SPC'!$B$3)="",0,IF(AND(OR('Visual SPC'!$C$4="",'Data Entry'!$C2769&gt;='Visual SPC'!$C$4),OR('Visual SPC'!$E$4="",'Data Entry'!$C2769&lt;='Visual SPC'!$E$4),OR('Visual SPC'!$G$4="",'Data Entry'!$D2769='Visual SPC'!$G$4),OR('Visual SPC'!$I$4="",'Data Entry'!$E2769='Visual SPC'!$I$4),OR('Visual SPC'!$K$4="",'Data Entry'!$F2769='Visual SPC'!$K$4)),1,0))</f>
        <v/>
      </c>
      <c r="C2769">
        <f>C2768+B2769</f>
        <v/>
      </c>
      <c r="D2769">
        <f>IF(B2769=1,INDEX('Data Entry'!$H$5:$BE$10004,2769-4,'Visual SPC'!$B$3),"")</f>
        <v/>
      </c>
      <c r="E2769">
        <f>IF(B2769=1,D2769,E2768)</f>
        <v/>
      </c>
      <c r="F2769">
        <f>IF(AND(B2769=1,C2769&gt;1,E2768&lt;&gt;""),ABS(D2769-E2768),"")</f>
        <v/>
      </c>
    </row>
    <row r="2770">
      <c r="A2770" t="n">
        <v>2770</v>
      </c>
      <c r="B2770">
        <f>IF(INDEX('Data Entry'!$H$5:$BE$10004,2770-4,'Visual SPC'!$B$3)="",0,IF(AND(OR('Visual SPC'!$C$4="",'Data Entry'!$C2770&gt;='Visual SPC'!$C$4),OR('Visual SPC'!$E$4="",'Data Entry'!$C2770&lt;='Visual SPC'!$E$4),OR('Visual SPC'!$G$4="",'Data Entry'!$D2770='Visual SPC'!$G$4),OR('Visual SPC'!$I$4="",'Data Entry'!$E2770='Visual SPC'!$I$4),OR('Visual SPC'!$K$4="",'Data Entry'!$F2770='Visual SPC'!$K$4)),1,0))</f>
        <v/>
      </c>
      <c r="C2770">
        <f>C2769+B2770</f>
        <v/>
      </c>
      <c r="D2770">
        <f>IF(B2770=1,INDEX('Data Entry'!$H$5:$BE$10004,2770-4,'Visual SPC'!$B$3),"")</f>
        <v/>
      </c>
      <c r="E2770">
        <f>IF(B2770=1,D2770,E2769)</f>
        <v/>
      </c>
      <c r="F2770">
        <f>IF(AND(B2770=1,C2770&gt;1,E2769&lt;&gt;""),ABS(D2770-E2769),"")</f>
        <v/>
      </c>
    </row>
    <row r="2771">
      <c r="A2771" t="n">
        <v>2771</v>
      </c>
      <c r="B2771">
        <f>IF(INDEX('Data Entry'!$H$5:$BE$10004,2771-4,'Visual SPC'!$B$3)="",0,IF(AND(OR('Visual SPC'!$C$4="",'Data Entry'!$C2771&gt;='Visual SPC'!$C$4),OR('Visual SPC'!$E$4="",'Data Entry'!$C2771&lt;='Visual SPC'!$E$4),OR('Visual SPC'!$G$4="",'Data Entry'!$D2771='Visual SPC'!$G$4),OR('Visual SPC'!$I$4="",'Data Entry'!$E2771='Visual SPC'!$I$4),OR('Visual SPC'!$K$4="",'Data Entry'!$F2771='Visual SPC'!$K$4)),1,0))</f>
        <v/>
      </c>
      <c r="C2771">
        <f>C2770+B2771</f>
        <v/>
      </c>
      <c r="D2771">
        <f>IF(B2771=1,INDEX('Data Entry'!$H$5:$BE$10004,2771-4,'Visual SPC'!$B$3),"")</f>
        <v/>
      </c>
      <c r="E2771">
        <f>IF(B2771=1,D2771,E2770)</f>
        <v/>
      </c>
      <c r="F2771">
        <f>IF(AND(B2771=1,C2771&gt;1,E2770&lt;&gt;""),ABS(D2771-E2770),"")</f>
        <v/>
      </c>
    </row>
    <row r="2772">
      <c r="A2772" t="n">
        <v>2772</v>
      </c>
      <c r="B2772">
        <f>IF(INDEX('Data Entry'!$H$5:$BE$10004,2772-4,'Visual SPC'!$B$3)="",0,IF(AND(OR('Visual SPC'!$C$4="",'Data Entry'!$C2772&gt;='Visual SPC'!$C$4),OR('Visual SPC'!$E$4="",'Data Entry'!$C2772&lt;='Visual SPC'!$E$4),OR('Visual SPC'!$G$4="",'Data Entry'!$D2772='Visual SPC'!$G$4),OR('Visual SPC'!$I$4="",'Data Entry'!$E2772='Visual SPC'!$I$4),OR('Visual SPC'!$K$4="",'Data Entry'!$F2772='Visual SPC'!$K$4)),1,0))</f>
        <v/>
      </c>
      <c r="C2772">
        <f>C2771+B2772</f>
        <v/>
      </c>
      <c r="D2772">
        <f>IF(B2772=1,INDEX('Data Entry'!$H$5:$BE$10004,2772-4,'Visual SPC'!$B$3),"")</f>
        <v/>
      </c>
      <c r="E2772">
        <f>IF(B2772=1,D2772,E2771)</f>
        <v/>
      </c>
      <c r="F2772">
        <f>IF(AND(B2772=1,C2772&gt;1,E2771&lt;&gt;""),ABS(D2772-E2771),"")</f>
        <v/>
      </c>
    </row>
    <row r="2773">
      <c r="A2773" t="n">
        <v>2773</v>
      </c>
      <c r="B2773">
        <f>IF(INDEX('Data Entry'!$H$5:$BE$10004,2773-4,'Visual SPC'!$B$3)="",0,IF(AND(OR('Visual SPC'!$C$4="",'Data Entry'!$C2773&gt;='Visual SPC'!$C$4),OR('Visual SPC'!$E$4="",'Data Entry'!$C2773&lt;='Visual SPC'!$E$4),OR('Visual SPC'!$G$4="",'Data Entry'!$D2773='Visual SPC'!$G$4),OR('Visual SPC'!$I$4="",'Data Entry'!$E2773='Visual SPC'!$I$4),OR('Visual SPC'!$K$4="",'Data Entry'!$F2773='Visual SPC'!$K$4)),1,0))</f>
        <v/>
      </c>
      <c r="C2773">
        <f>C2772+B2773</f>
        <v/>
      </c>
      <c r="D2773">
        <f>IF(B2773=1,INDEX('Data Entry'!$H$5:$BE$10004,2773-4,'Visual SPC'!$B$3),"")</f>
        <v/>
      </c>
      <c r="E2773">
        <f>IF(B2773=1,D2773,E2772)</f>
        <v/>
      </c>
      <c r="F2773">
        <f>IF(AND(B2773=1,C2773&gt;1,E2772&lt;&gt;""),ABS(D2773-E2772),"")</f>
        <v/>
      </c>
    </row>
    <row r="2774">
      <c r="A2774" t="n">
        <v>2774</v>
      </c>
      <c r="B2774">
        <f>IF(INDEX('Data Entry'!$H$5:$BE$10004,2774-4,'Visual SPC'!$B$3)="",0,IF(AND(OR('Visual SPC'!$C$4="",'Data Entry'!$C2774&gt;='Visual SPC'!$C$4),OR('Visual SPC'!$E$4="",'Data Entry'!$C2774&lt;='Visual SPC'!$E$4),OR('Visual SPC'!$G$4="",'Data Entry'!$D2774='Visual SPC'!$G$4),OR('Visual SPC'!$I$4="",'Data Entry'!$E2774='Visual SPC'!$I$4),OR('Visual SPC'!$K$4="",'Data Entry'!$F2774='Visual SPC'!$K$4)),1,0))</f>
        <v/>
      </c>
      <c r="C2774">
        <f>C2773+B2774</f>
        <v/>
      </c>
      <c r="D2774">
        <f>IF(B2774=1,INDEX('Data Entry'!$H$5:$BE$10004,2774-4,'Visual SPC'!$B$3),"")</f>
        <v/>
      </c>
      <c r="E2774">
        <f>IF(B2774=1,D2774,E2773)</f>
        <v/>
      </c>
      <c r="F2774">
        <f>IF(AND(B2774=1,C2774&gt;1,E2773&lt;&gt;""),ABS(D2774-E2773),"")</f>
        <v/>
      </c>
    </row>
    <row r="2775">
      <c r="A2775" t="n">
        <v>2775</v>
      </c>
      <c r="B2775">
        <f>IF(INDEX('Data Entry'!$H$5:$BE$10004,2775-4,'Visual SPC'!$B$3)="",0,IF(AND(OR('Visual SPC'!$C$4="",'Data Entry'!$C2775&gt;='Visual SPC'!$C$4),OR('Visual SPC'!$E$4="",'Data Entry'!$C2775&lt;='Visual SPC'!$E$4),OR('Visual SPC'!$G$4="",'Data Entry'!$D2775='Visual SPC'!$G$4),OR('Visual SPC'!$I$4="",'Data Entry'!$E2775='Visual SPC'!$I$4),OR('Visual SPC'!$K$4="",'Data Entry'!$F2775='Visual SPC'!$K$4)),1,0))</f>
        <v/>
      </c>
      <c r="C2775">
        <f>C2774+B2775</f>
        <v/>
      </c>
      <c r="D2775">
        <f>IF(B2775=1,INDEX('Data Entry'!$H$5:$BE$10004,2775-4,'Visual SPC'!$B$3),"")</f>
        <v/>
      </c>
      <c r="E2775">
        <f>IF(B2775=1,D2775,E2774)</f>
        <v/>
      </c>
      <c r="F2775">
        <f>IF(AND(B2775=1,C2775&gt;1,E2774&lt;&gt;""),ABS(D2775-E2774),"")</f>
        <v/>
      </c>
    </row>
    <row r="2776">
      <c r="A2776" t="n">
        <v>2776</v>
      </c>
      <c r="B2776">
        <f>IF(INDEX('Data Entry'!$H$5:$BE$10004,2776-4,'Visual SPC'!$B$3)="",0,IF(AND(OR('Visual SPC'!$C$4="",'Data Entry'!$C2776&gt;='Visual SPC'!$C$4),OR('Visual SPC'!$E$4="",'Data Entry'!$C2776&lt;='Visual SPC'!$E$4),OR('Visual SPC'!$G$4="",'Data Entry'!$D2776='Visual SPC'!$G$4),OR('Visual SPC'!$I$4="",'Data Entry'!$E2776='Visual SPC'!$I$4),OR('Visual SPC'!$K$4="",'Data Entry'!$F2776='Visual SPC'!$K$4)),1,0))</f>
        <v/>
      </c>
      <c r="C2776">
        <f>C2775+B2776</f>
        <v/>
      </c>
      <c r="D2776">
        <f>IF(B2776=1,INDEX('Data Entry'!$H$5:$BE$10004,2776-4,'Visual SPC'!$B$3),"")</f>
        <v/>
      </c>
      <c r="E2776">
        <f>IF(B2776=1,D2776,E2775)</f>
        <v/>
      </c>
      <c r="F2776">
        <f>IF(AND(B2776=1,C2776&gt;1,E2775&lt;&gt;""),ABS(D2776-E2775),"")</f>
        <v/>
      </c>
    </row>
    <row r="2777">
      <c r="A2777" t="n">
        <v>2777</v>
      </c>
      <c r="B2777">
        <f>IF(INDEX('Data Entry'!$H$5:$BE$10004,2777-4,'Visual SPC'!$B$3)="",0,IF(AND(OR('Visual SPC'!$C$4="",'Data Entry'!$C2777&gt;='Visual SPC'!$C$4),OR('Visual SPC'!$E$4="",'Data Entry'!$C2777&lt;='Visual SPC'!$E$4),OR('Visual SPC'!$G$4="",'Data Entry'!$D2777='Visual SPC'!$G$4),OR('Visual SPC'!$I$4="",'Data Entry'!$E2777='Visual SPC'!$I$4),OR('Visual SPC'!$K$4="",'Data Entry'!$F2777='Visual SPC'!$K$4)),1,0))</f>
        <v/>
      </c>
      <c r="C2777">
        <f>C2776+B2777</f>
        <v/>
      </c>
      <c r="D2777">
        <f>IF(B2777=1,INDEX('Data Entry'!$H$5:$BE$10004,2777-4,'Visual SPC'!$B$3),"")</f>
        <v/>
      </c>
      <c r="E2777">
        <f>IF(B2777=1,D2777,E2776)</f>
        <v/>
      </c>
      <c r="F2777">
        <f>IF(AND(B2777=1,C2777&gt;1,E2776&lt;&gt;""),ABS(D2777-E2776),"")</f>
        <v/>
      </c>
    </row>
    <row r="2778">
      <c r="A2778" t="n">
        <v>2778</v>
      </c>
      <c r="B2778">
        <f>IF(INDEX('Data Entry'!$H$5:$BE$10004,2778-4,'Visual SPC'!$B$3)="",0,IF(AND(OR('Visual SPC'!$C$4="",'Data Entry'!$C2778&gt;='Visual SPC'!$C$4),OR('Visual SPC'!$E$4="",'Data Entry'!$C2778&lt;='Visual SPC'!$E$4),OR('Visual SPC'!$G$4="",'Data Entry'!$D2778='Visual SPC'!$G$4),OR('Visual SPC'!$I$4="",'Data Entry'!$E2778='Visual SPC'!$I$4),OR('Visual SPC'!$K$4="",'Data Entry'!$F2778='Visual SPC'!$K$4)),1,0))</f>
        <v/>
      </c>
      <c r="C2778">
        <f>C2777+B2778</f>
        <v/>
      </c>
      <c r="D2778">
        <f>IF(B2778=1,INDEX('Data Entry'!$H$5:$BE$10004,2778-4,'Visual SPC'!$B$3),"")</f>
        <v/>
      </c>
      <c r="E2778">
        <f>IF(B2778=1,D2778,E2777)</f>
        <v/>
      </c>
      <c r="F2778">
        <f>IF(AND(B2778=1,C2778&gt;1,E2777&lt;&gt;""),ABS(D2778-E2777),"")</f>
        <v/>
      </c>
    </row>
    <row r="2779">
      <c r="A2779" t="n">
        <v>2779</v>
      </c>
      <c r="B2779">
        <f>IF(INDEX('Data Entry'!$H$5:$BE$10004,2779-4,'Visual SPC'!$B$3)="",0,IF(AND(OR('Visual SPC'!$C$4="",'Data Entry'!$C2779&gt;='Visual SPC'!$C$4),OR('Visual SPC'!$E$4="",'Data Entry'!$C2779&lt;='Visual SPC'!$E$4),OR('Visual SPC'!$G$4="",'Data Entry'!$D2779='Visual SPC'!$G$4),OR('Visual SPC'!$I$4="",'Data Entry'!$E2779='Visual SPC'!$I$4),OR('Visual SPC'!$K$4="",'Data Entry'!$F2779='Visual SPC'!$K$4)),1,0))</f>
        <v/>
      </c>
      <c r="C2779">
        <f>C2778+B2779</f>
        <v/>
      </c>
      <c r="D2779">
        <f>IF(B2779=1,INDEX('Data Entry'!$H$5:$BE$10004,2779-4,'Visual SPC'!$B$3),"")</f>
        <v/>
      </c>
      <c r="E2779">
        <f>IF(B2779=1,D2779,E2778)</f>
        <v/>
      </c>
      <c r="F2779">
        <f>IF(AND(B2779=1,C2779&gt;1,E2778&lt;&gt;""),ABS(D2779-E2778),"")</f>
        <v/>
      </c>
    </row>
    <row r="2780">
      <c r="A2780" t="n">
        <v>2780</v>
      </c>
      <c r="B2780">
        <f>IF(INDEX('Data Entry'!$H$5:$BE$10004,2780-4,'Visual SPC'!$B$3)="",0,IF(AND(OR('Visual SPC'!$C$4="",'Data Entry'!$C2780&gt;='Visual SPC'!$C$4),OR('Visual SPC'!$E$4="",'Data Entry'!$C2780&lt;='Visual SPC'!$E$4),OR('Visual SPC'!$G$4="",'Data Entry'!$D2780='Visual SPC'!$G$4),OR('Visual SPC'!$I$4="",'Data Entry'!$E2780='Visual SPC'!$I$4),OR('Visual SPC'!$K$4="",'Data Entry'!$F2780='Visual SPC'!$K$4)),1,0))</f>
        <v/>
      </c>
      <c r="C2780">
        <f>C2779+B2780</f>
        <v/>
      </c>
      <c r="D2780">
        <f>IF(B2780=1,INDEX('Data Entry'!$H$5:$BE$10004,2780-4,'Visual SPC'!$B$3),"")</f>
        <v/>
      </c>
      <c r="E2780">
        <f>IF(B2780=1,D2780,E2779)</f>
        <v/>
      </c>
      <c r="F2780">
        <f>IF(AND(B2780=1,C2780&gt;1,E2779&lt;&gt;""),ABS(D2780-E2779),"")</f>
        <v/>
      </c>
    </row>
    <row r="2781">
      <c r="A2781" t="n">
        <v>2781</v>
      </c>
      <c r="B2781">
        <f>IF(INDEX('Data Entry'!$H$5:$BE$10004,2781-4,'Visual SPC'!$B$3)="",0,IF(AND(OR('Visual SPC'!$C$4="",'Data Entry'!$C2781&gt;='Visual SPC'!$C$4),OR('Visual SPC'!$E$4="",'Data Entry'!$C2781&lt;='Visual SPC'!$E$4),OR('Visual SPC'!$G$4="",'Data Entry'!$D2781='Visual SPC'!$G$4),OR('Visual SPC'!$I$4="",'Data Entry'!$E2781='Visual SPC'!$I$4),OR('Visual SPC'!$K$4="",'Data Entry'!$F2781='Visual SPC'!$K$4)),1,0))</f>
        <v/>
      </c>
      <c r="C2781">
        <f>C2780+B2781</f>
        <v/>
      </c>
      <c r="D2781">
        <f>IF(B2781=1,INDEX('Data Entry'!$H$5:$BE$10004,2781-4,'Visual SPC'!$B$3),"")</f>
        <v/>
      </c>
      <c r="E2781">
        <f>IF(B2781=1,D2781,E2780)</f>
        <v/>
      </c>
      <c r="F2781">
        <f>IF(AND(B2781=1,C2781&gt;1,E2780&lt;&gt;""),ABS(D2781-E2780),"")</f>
        <v/>
      </c>
    </row>
    <row r="2782">
      <c r="A2782" t="n">
        <v>2782</v>
      </c>
      <c r="B2782">
        <f>IF(INDEX('Data Entry'!$H$5:$BE$10004,2782-4,'Visual SPC'!$B$3)="",0,IF(AND(OR('Visual SPC'!$C$4="",'Data Entry'!$C2782&gt;='Visual SPC'!$C$4),OR('Visual SPC'!$E$4="",'Data Entry'!$C2782&lt;='Visual SPC'!$E$4),OR('Visual SPC'!$G$4="",'Data Entry'!$D2782='Visual SPC'!$G$4),OR('Visual SPC'!$I$4="",'Data Entry'!$E2782='Visual SPC'!$I$4),OR('Visual SPC'!$K$4="",'Data Entry'!$F2782='Visual SPC'!$K$4)),1,0))</f>
        <v/>
      </c>
      <c r="C2782">
        <f>C2781+B2782</f>
        <v/>
      </c>
      <c r="D2782">
        <f>IF(B2782=1,INDEX('Data Entry'!$H$5:$BE$10004,2782-4,'Visual SPC'!$B$3),"")</f>
        <v/>
      </c>
      <c r="E2782">
        <f>IF(B2782=1,D2782,E2781)</f>
        <v/>
      </c>
      <c r="F2782">
        <f>IF(AND(B2782=1,C2782&gt;1,E2781&lt;&gt;""),ABS(D2782-E2781),"")</f>
        <v/>
      </c>
    </row>
    <row r="2783">
      <c r="A2783" t="n">
        <v>2783</v>
      </c>
      <c r="B2783">
        <f>IF(INDEX('Data Entry'!$H$5:$BE$10004,2783-4,'Visual SPC'!$B$3)="",0,IF(AND(OR('Visual SPC'!$C$4="",'Data Entry'!$C2783&gt;='Visual SPC'!$C$4),OR('Visual SPC'!$E$4="",'Data Entry'!$C2783&lt;='Visual SPC'!$E$4),OR('Visual SPC'!$G$4="",'Data Entry'!$D2783='Visual SPC'!$G$4),OR('Visual SPC'!$I$4="",'Data Entry'!$E2783='Visual SPC'!$I$4),OR('Visual SPC'!$K$4="",'Data Entry'!$F2783='Visual SPC'!$K$4)),1,0))</f>
        <v/>
      </c>
      <c r="C2783">
        <f>C2782+B2783</f>
        <v/>
      </c>
      <c r="D2783">
        <f>IF(B2783=1,INDEX('Data Entry'!$H$5:$BE$10004,2783-4,'Visual SPC'!$B$3),"")</f>
        <v/>
      </c>
      <c r="E2783">
        <f>IF(B2783=1,D2783,E2782)</f>
        <v/>
      </c>
      <c r="F2783">
        <f>IF(AND(B2783=1,C2783&gt;1,E2782&lt;&gt;""),ABS(D2783-E2782),"")</f>
        <v/>
      </c>
    </row>
    <row r="2784">
      <c r="A2784" t="n">
        <v>2784</v>
      </c>
      <c r="B2784">
        <f>IF(INDEX('Data Entry'!$H$5:$BE$10004,2784-4,'Visual SPC'!$B$3)="",0,IF(AND(OR('Visual SPC'!$C$4="",'Data Entry'!$C2784&gt;='Visual SPC'!$C$4),OR('Visual SPC'!$E$4="",'Data Entry'!$C2784&lt;='Visual SPC'!$E$4),OR('Visual SPC'!$G$4="",'Data Entry'!$D2784='Visual SPC'!$G$4),OR('Visual SPC'!$I$4="",'Data Entry'!$E2784='Visual SPC'!$I$4),OR('Visual SPC'!$K$4="",'Data Entry'!$F2784='Visual SPC'!$K$4)),1,0))</f>
        <v/>
      </c>
      <c r="C2784">
        <f>C2783+B2784</f>
        <v/>
      </c>
      <c r="D2784">
        <f>IF(B2784=1,INDEX('Data Entry'!$H$5:$BE$10004,2784-4,'Visual SPC'!$B$3),"")</f>
        <v/>
      </c>
      <c r="E2784">
        <f>IF(B2784=1,D2784,E2783)</f>
        <v/>
      </c>
      <c r="F2784">
        <f>IF(AND(B2784=1,C2784&gt;1,E2783&lt;&gt;""),ABS(D2784-E2783),"")</f>
        <v/>
      </c>
    </row>
    <row r="2785">
      <c r="A2785" t="n">
        <v>2785</v>
      </c>
      <c r="B2785">
        <f>IF(INDEX('Data Entry'!$H$5:$BE$10004,2785-4,'Visual SPC'!$B$3)="",0,IF(AND(OR('Visual SPC'!$C$4="",'Data Entry'!$C2785&gt;='Visual SPC'!$C$4),OR('Visual SPC'!$E$4="",'Data Entry'!$C2785&lt;='Visual SPC'!$E$4),OR('Visual SPC'!$G$4="",'Data Entry'!$D2785='Visual SPC'!$G$4),OR('Visual SPC'!$I$4="",'Data Entry'!$E2785='Visual SPC'!$I$4),OR('Visual SPC'!$K$4="",'Data Entry'!$F2785='Visual SPC'!$K$4)),1,0))</f>
        <v/>
      </c>
      <c r="C2785">
        <f>C2784+B2785</f>
        <v/>
      </c>
      <c r="D2785">
        <f>IF(B2785=1,INDEX('Data Entry'!$H$5:$BE$10004,2785-4,'Visual SPC'!$B$3),"")</f>
        <v/>
      </c>
      <c r="E2785">
        <f>IF(B2785=1,D2785,E2784)</f>
        <v/>
      </c>
      <c r="F2785">
        <f>IF(AND(B2785=1,C2785&gt;1,E2784&lt;&gt;""),ABS(D2785-E2784),"")</f>
        <v/>
      </c>
    </row>
    <row r="2786">
      <c r="A2786" t="n">
        <v>2786</v>
      </c>
      <c r="B2786">
        <f>IF(INDEX('Data Entry'!$H$5:$BE$10004,2786-4,'Visual SPC'!$B$3)="",0,IF(AND(OR('Visual SPC'!$C$4="",'Data Entry'!$C2786&gt;='Visual SPC'!$C$4),OR('Visual SPC'!$E$4="",'Data Entry'!$C2786&lt;='Visual SPC'!$E$4),OR('Visual SPC'!$G$4="",'Data Entry'!$D2786='Visual SPC'!$G$4),OR('Visual SPC'!$I$4="",'Data Entry'!$E2786='Visual SPC'!$I$4),OR('Visual SPC'!$K$4="",'Data Entry'!$F2786='Visual SPC'!$K$4)),1,0))</f>
        <v/>
      </c>
      <c r="C2786">
        <f>C2785+B2786</f>
        <v/>
      </c>
      <c r="D2786">
        <f>IF(B2786=1,INDEX('Data Entry'!$H$5:$BE$10004,2786-4,'Visual SPC'!$B$3),"")</f>
        <v/>
      </c>
      <c r="E2786">
        <f>IF(B2786=1,D2786,E2785)</f>
        <v/>
      </c>
      <c r="F2786">
        <f>IF(AND(B2786=1,C2786&gt;1,E2785&lt;&gt;""),ABS(D2786-E2785),"")</f>
        <v/>
      </c>
    </row>
    <row r="2787">
      <c r="A2787" t="n">
        <v>2787</v>
      </c>
      <c r="B2787">
        <f>IF(INDEX('Data Entry'!$H$5:$BE$10004,2787-4,'Visual SPC'!$B$3)="",0,IF(AND(OR('Visual SPC'!$C$4="",'Data Entry'!$C2787&gt;='Visual SPC'!$C$4),OR('Visual SPC'!$E$4="",'Data Entry'!$C2787&lt;='Visual SPC'!$E$4),OR('Visual SPC'!$G$4="",'Data Entry'!$D2787='Visual SPC'!$G$4),OR('Visual SPC'!$I$4="",'Data Entry'!$E2787='Visual SPC'!$I$4),OR('Visual SPC'!$K$4="",'Data Entry'!$F2787='Visual SPC'!$K$4)),1,0))</f>
        <v/>
      </c>
      <c r="C2787">
        <f>C2786+B2787</f>
        <v/>
      </c>
      <c r="D2787">
        <f>IF(B2787=1,INDEX('Data Entry'!$H$5:$BE$10004,2787-4,'Visual SPC'!$B$3),"")</f>
        <v/>
      </c>
      <c r="E2787">
        <f>IF(B2787=1,D2787,E2786)</f>
        <v/>
      </c>
      <c r="F2787">
        <f>IF(AND(B2787=1,C2787&gt;1,E2786&lt;&gt;""),ABS(D2787-E2786),"")</f>
        <v/>
      </c>
    </row>
    <row r="2788">
      <c r="A2788" t="n">
        <v>2788</v>
      </c>
      <c r="B2788">
        <f>IF(INDEX('Data Entry'!$H$5:$BE$10004,2788-4,'Visual SPC'!$B$3)="",0,IF(AND(OR('Visual SPC'!$C$4="",'Data Entry'!$C2788&gt;='Visual SPC'!$C$4),OR('Visual SPC'!$E$4="",'Data Entry'!$C2788&lt;='Visual SPC'!$E$4),OR('Visual SPC'!$G$4="",'Data Entry'!$D2788='Visual SPC'!$G$4),OR('Visual SPC'!$I$4="",'Data Entry'!$E2788='Visual SPC'!$I$4),OR('Visual SPC'!$K$4="",'Data Entry'!$F2788='Visual SPC'!$K$4)),1,0))</f>
        <v/>
      </c>
      <c r="C2788">
        <f>C2787+B2788</f>
        <v/>
      </c>
      <c r="D2788">
        <f>IF(B2788=1,INDEX('Data Entry'!$H$5:$BE$10004,2788-4,'Visual SPC'!$B$3),"")</f>
        <v/>
      </c>
      <c r="E2788">
        <f>IF(B2788=1,D2788,E2787)</f>
        <v/>
      </c>
      <c r="F2788">
        <f>IF(AND(B2788=1,C2788&gt;1,E2787&lt;&gt;""),ABS(D2788-E2787),"")</f>
        <v/>
      </c>
    </row>
    <row r="2789">
      <c r="A2789" t="n">
        <v>2789</v>
      </c>
      <c r="B2789">
        <f>IF(INDEX('Data Entry'!$H$5:$BE$10004,2789-4,'Visual SPC'!$B$3)="",0,IF(AND(OR('Visual SPC'!$C$4="",'Data Entry'!$C2789&gt;='Visual SPC'!$C$4),OR('Visual SPC'!$E$4="",'Data Entry'!$C2789&lt;='Visual SPC'!$E$4),OR('Visual SPC'!$G$4="",'Data Entry'!$D2789='Visual SPC'!$G$4),OR('Visual SPC'!$I$4="",'Data Entry'!$E2789='Visual SPC'!$I$4),OR('Visual SPC'!$K$4="",'Data Entry'!$F2789='Visual SPC'!$K$4)),1,0))</f>
        <v/>
      </c>
      <c r="C2789">
        <f>C2788+B2789</f>
        <v/>
      </c>
      <c r="D2789">
        <f>IF(B2789=1,INDEX('Data Entry'!$H$5:$BE$10004,2789-4,'Visual SPC'!$B$3),"")</f>
        <v/>
      </c>
      <c r="E2789">
        <f>IF(B2789=1,D2789,E2788)</f>
        <v/>
      </c>
      <c r="F2789">
        <f>IF(AND(B2789=1,C2789&gt;1,E2788&lt;&gt;""),ABS(D2789-E2788),"")</f>
        <v/>
      </c>
    </row>
    <row r="2790">
      <c r="A2790" t="n">
        <v>2790</v>
      </c>
      <c r="B2790">
        <f>IF(INDEX('Data Entry'!$H$5:$BE$10004,2790-4,'Visual SPC'!$B$3)="",0,IF(AND(OR('Visual SPC'!$C$4="",'Data Entry'!$C2790&gt;='Visual SPC'!$C$4),OR('Visual SPC'!$E$4="",'Data Entry'!$C2790&lt;='Visual SPC'!$E$4),OR('Visual SPC'!$G$4="",'Data Entry'!$D2790='Visual SPC'!$G$4),OR('Visual SPC'!$I$4="",'Data Entry'!$E2790='Visual SPC'!$I$4),OR('Visual SPC'!$K$4="",'Data Entry'!$F2790='Visual SPC'!$K$4)),1,0))</f>
        <v/>
      </c>
      <c r="C2790">
        <f>C2789+B2790</f>
        <v/>
      </c>
      <c r="D2790">
        <f>IF(B2790=1,INDEX('Data Entry'!$H$5:$BE$10004,2790-4,'Visual SPC'!$B$3),"")</f>
        <v/>
      </c>
      <c r="E2790">
        <f>IF(B2790=1,D2790,E2789)</f>
        <v/>
      </c>
      <c r="F2790">
        <f>IF(AND(B2790=1,C2790&gt;1,E2789&lt;&gt;""),ABS(D2790-E2789),"")</f>
        <v/>
      </c>
    </row>
    <row r="2791">
      <c r="A2791" t="n">
        <v>2791</v>
      </c>
      <c r="B2791">
        <f>IF(INDEX('Data Entry'!$H$5:$BE$10004,2791-4,'Visual SPC'!$B$3)="",0,IF(AND(OR('Visual SPC'!$C$4="",'Data Entry'!$C2791&gt;='Visual SPC'!$C$4),OR('Visual SPC'!$E$4="",'Data Entry'!$C2791&lt;='Visual SPC'!$E$4),OR('Visual SPC'!$G$4="",'Data Entry'!$D2791='Visual SPC'!$G$4),OR('Visual SPC'!$I$4="",'Data Entry'!$E2791='Visual SPC'!$I$4),OR('Visual SPC'!$K$4="",'Data Entry'!$F2791='Visual SPC'!$K$4)),1,0))</f>
        <v/>
      </c>
      <c r="C2791">
        <f>C2790+B2791</f>
        <v/>
      </c>
      <c r="D2791">
        <f>IF(B2791=1,INDEX('Data Entry'!$H$5:$BE$10004,2791-4,'Visual SPC'!$B$3),"")</f>
        <v/>
      </c>
      <c r="E2791">
        <f>IF(B2791=1,D2791,E2790)</f>
        <v/>
      </c>
      <c r="F2791">
        <f>IF(AND(B2791=1,C2791&gt;1,E2790&lt;&gt;""),ABS(D2791-E2790),"")</f>
        <v/>
      </c>
    </row>
    <row r="2792">
      <c r="A2792" t="n">
        <v>2792</v>
      </c>
      <c r="B2792">
        <f>IF(INDEX('Data Entry'!$H$5:$BE$10004,2792-4,'Visual SPC'!$B$3)="",0,IF(AND(OR('Visual SPC'!$C$4="",'Data Entry'!$C2792&gt;='Visual SPC'!$C$4),OR('Visual SPC'!$E$4="",'Data Entry'!$C2792&lt;='Visual SPC'!$E$4),OR('Visual SPC'!$G$4="",'Data Entry'!$D2792='Visual SPC'!$G$4),OR('Visual SPC'!$I$4="",'Data Entry'!$E2792='Visual SPC'!$I$4),OR('Visual SPC'!$K$4="",'Data Entry'!$F2792='Visual SPC'!$K$4)),1,0))</f>
        <v/>
      </c>
      <c r="C2792">
        <f>C2791+B2792</f>
        <v/>
      </c>
      <c r="D2792">
        <f>IF(B2792=1,INDEX('Data Entry'!$H$5:$BE$10004,2792-4,'Visual SPC'!$B$3),"")</f>
        <v/>
      </c>
      <c r="E2792">
        <f>IF(B2792=1,D2792,E2791)</f>
        <v/>
      </c>
      <c r="F2792">
        <f>IF(AND(B2792=1,C2792&gt;1,E2791&lt;&gt;""),ABS(D2792-E2791),"")</f>
        <v/>
      </c>
    </row>
    <row r="2793">
      <c r="A2793" t="n">
        <v>2793</v>
      </c>
      <c r="B2793">
        <f>IF(INDEX('Data Entry'!$H$5:$BE$10004,2793-4,'Visual SPC'!$B$3)="",0,IF(AND(OR('Visual SPC'!$C$4="",'Data Entry'!$C2793&gt;='Visual SPC'!$C$4),OR('Visual SPC'!$E$4="",'Data Entry'!$C2793&lt;='Visual SPC'!$E$4),OR('Visual SPC'!$G$4="",'Data Entry'!$D2793='Visual SPC'!$G$4),OR('Visual SPC'!$I$4="",'Data Entry'!$E2793='Visual SPC'!$I$4),OR('Visual SPC'!$K$4="",'Data Entry'!$F2793='Visual SPC'!$K$4)),1,0))</f>
        <v/>
      </c>
      <c r="C2793">
        <f>C2792+B2793</f>
        <v/>
      </c>
      <c r="D2793">
        <f>IF(B2793=1,INDEX('Data Entry'!$H$5:$BE$10004,2793-4,'Visual SPC'!$B$3),"")</f>
        <v/>
      </c>
      <c r="E2793">
        <f>IF(B2793=1,D2793,E2792)</f>
        <v/>
      </c>
      <c r="F2793">
        <f>IF(AND(B2793=1,C2793&gt;1,E2792&lt;&gt;""),ABS(D2793-E2792),"")</f>
        <v/>
      </c>
    </row>
    <row r="2794">
      <c r="A2794" t="n">
        <v>2794</v>
      </c>
      <c r="B2794">
        <f>IF(INDEX('Data Entry'!$H$5:$BE$10004,2794-4,'Visual SPC'!$B$3)="",0,IF(AND(OR('Visual SPC'!$C$4="",'Data Entry'!$C2794&gt;='Visual SPC'!$C$4),OR('Visual SPC'!$E$4="",'Data Entry'!$C2794&lt;='Visual SPC'!$E$4),OR('Visual SPC'!$G$4="",'Data Entry'!$D2794='Visual SPC'!$G$4),OR('Visual SPC'!$I$4="",'Data Entry'!$E2794='Visual SPC'!$I$4),OR('Visual SPC'!$K$4="",'Data Entry'!$F2794='Visual SPC'!$K$4)),1,0))</f>
        <v/>
      </c>
      <c r="C2794">
        <f>C2793+B2794</f>
        <v/>
      </c>
      <c r="D2794">
        <f>IF(B2794=1,INDEX('Data Entry'!$H$5:$BE$10004,2794-4,'Visual SPC'!$B$3),"")</f>
        <v/>
      </c>
      <c r="E2794">
        <f>IF(B2794=1,D2794,E2793)</f>
        <v/>
      </c>
      <c r="F2794">
        <f>IF(AND(B2794=1,C2794&gt;1,E2793&lt;&gt;""),ABS(D2794-E2793),"")</f>
        <v/>
      </c>
    </row>
    <row r="2795">
      <c r="A2795" t="n">
        <v>2795</v>
      </c>
      <c r="B2795">
        <f>IF(INDEX('Data Entry'!$H$5:$BE$10004,2795-4,'Visual SPC'!$B$3)="",0,IF(AND(OR('Visual SPC'!$C$4="",'Data Entry'!$C2795&gt;='Visual SPC'!$C$4),OR('Visual SPC'!$E$4="",'Data Entry'!$C2795&lt;='Visual SPC'!$E$4),OR('Visual SPC'!$G$4="",'Data Entry'!$D2795='Visual SPC'!$G$4),OR('Visual SPC'!$I$4="",'Data Entry'!$E2795='Visual SPC'!$I$4),OR('Visual SPC'!$K$4="",'Data Entry'!$F2795='Visual SPC'!$K$4)),1,0))</f>
        <v/>
      </c>
      <c r="C2795">
        <f>C2794+B2795</f>
        <v/>
      </c>
      <c r="D2795">
        <f>IF(B2795=1,INDEX('Data Entry'!$H$5:$BE$10004,2795-4,'Visual SPC'!$B$3),"")</f>
        <v/>
      </c>
      <c r="E2795">
        <f>IF(B2795=1,D2795,E2794)</f>
        <v/>
      </c>
      <c r="F2795">
        <f>IF(AND(B2795=1,C2795&gt;1,E2794&lt;&gt;""),ABS(D2795-E2794),"")</f>
        <v/>
      </c>
    </row>
    <row r="2796">
      <c r="A2796" t="n">
        <v>2796</v>
      </c>
      <c r="B2796">
        <f>IF(INDEX('Data Entry'!$H$5:$BE$10004,2796-4,'Visual SPC'!$B$3)="",0,IF(AND(OR('Visual SPC'!$C$4="",'Data Entry'!$C2796&gt;='Visual SPC'!$C$4),OR('Visual SPC'!$E$4="",'Data Entry'!$C2796&lt;='Visual SPC'!$E$4),OR('Visual SPC'!$G$4="",'Data Entry'!$D2796='Visual SPC'!$G$4),OR('Visual SPC'!$I$4="",'Data Entry'!$E2796='Visual SPC'!$I$4),OR('Visual SPC'!$K$4="",'Data Entry'!$F2796='Visual SPC'!$K$4)),1,0))</f>
        <v/>
      </c>
      <c r="C2796">
        <f>C2795+B2796</f>
        <v/>
      </c>
      <c r="D2796">
        <f>IF(B2796=1,INDEX('Data Entry'!$H$5:$BE$10004,2796-4,'Visual SPC'!$B$3),"")</f>
        <v/>
      </c>
      <c r="E2796">
        <f>IF(B2796=1,D2796,E2795)</f>
        <v/>
      </c>
      <c r="F2796">
        <f>IF(AND(B2796=1,C2796&gt;1,E2795&lt;&gt;""),ABS(D2796-E2795),"")</f>
        <v/>
      </c>
    </row>
    <row r="2797">
      <c r="A2797" t="n">
        <v>2797</v>
      </c>
      <c r="B2797">
        <f>IF(INDEX('Data Entry'!$H$5:$BE$10004,2797-4,'Visual SPC'!$B$3)="",0,IF(AND(OR('Visual SPC'!$C$4="",'Data Entry'!$C2797&gt;='Visual SPC'!$C$4),OR('Visual SPC'!$E$4="",'Data Entry'!$C2797&lt;='Visual SPC'!$E$4),OR('Visual SPC'!$G$4="",'Data Entry'!$D2797='Visual SPC'!$G$4),OR('Visual SPC'!$I$4="",'Data Entry'!$E2797='Visual SPC'!$I$4),OR('Visual SPC'!$K$4="",'Data Entry'!$F2797='Visual SPC'!$K$4)),1,0))</f>
        <v/>
      </c>
      <c r="C2797">
        <f>C2796+B2797</f>
        <v/>
      </c>
      <c r="D2797">
        <f>IF(B2797=1,INDEX('Data Entry'!$H$5:$BE$10004,2797-4,'Visual SPC'!$B$3),"")</f>
        <v/>
      </c>
      <c r="E2797">
        <f>IF(B2797=1,D2797,E2796)</f>
        <v/>
      </c>
      <c r="F2797">
        <f>IF(AND(B2797=1,C2797&gt;1,E2796&lt;&gt;""),ABS(D2797-E2796),"")</f>
        <v/>
      </c>
    </row>
    <row r="2798">
      <c r="A2798" t="n">
        <v>2798</v>
      </c>
      <c r="B2798">
        <f>IF(INDEX('Data Entry'!$H$5:$BE$10004,2798-4,'Visual SPC'!$B$3)="",0,IF(AND(OR('Visual SPC'!$C$4="",'Data Entry'!$C2798&gt;='Visual SPC'!$C$4),OR('Visual SPC'!$E$4="",'Data Entry'!$C2798&lt;='Visual SPC'!$E$4),OR('Visual SPC'!$G$4="",'Data Entry'!$D2798='Visual SPC'!$G$4),OR('Visual SPC'!$I$4="",'Data Entry'!$E2798='Visual SPC'!$I$4),OR('Visual SPC'!$K$4="",'Data Entry'!$F2798='Visual SPC'!$K$4)),1,0))</f>
        <v/>
      </c>
      <c r="C2798">
        <f>C2797+B2798</f>
        <v/>
      </c>
      <c r="D2798">
        <f>IF(B2798=1,INDEX('Data Entry'!$H$5:$BE$10004,2798-4,'Visual SPC'!$B$3),"")</f>
        <v/>
      </c>
      <c r="E2798">
        <f>IF(B2798=1,D2798,E2797)</f>
        <v/>
      </c>
      <c r="F2798">
        <f>IF(AND(B2798=1,C2798&gt;1,E2797&lt;&gt;""),ABS(D2798-E2797),"")</f>
        <v/>
      </c>
    </row>
    <row r="2799">
      <c r="A2799" t="n">
        <v>2799</v>
      </c>
      <c r="B2799">
        <f>IF(INDEX('Data Entry'!$H$5:$BE$10004,2799-4,'Visual SPC'!$B$3)="",0,IF(AND(OR('Visual SPC'!$C$4="",'Data Entry'!$C2799&gt;='Visual SPC'!$C$4),OR('Visual SPC'!$E$4="",'Data Entry'!$C2799&lt;='Visual SPC'!$E$4),OR('Visual SPC'!$G$4="",'Data Entry'!$D2799='Visual SPC'!$G$4),OR('Visual SPC'!$I$4="",'Data Entry'!$E2799='Visual SPC'!$I$4),OR('Visual SPC'!$K$4="",'Data Entry'!$F2799='Visual SPC'!$K$4)),1,0))</f>
        <v/>
      </c>
      <c r="C2799">
        <f>C2798+B2799</f>
        <v/>
      </c>
      <c r="D2799">
        <f>IF(B2799=1,INDEX('Data Entry'!$H$5:$BE$10004,2799-4,'Visual SPC'!$B$3),"")</f>
        <v/>
      </c>
      <c r="E2799">
        <f>IF(B2799=1,D2799,E2798)</f>
        <v/>
      </c>
      <c r="F2799">
        <f>IF(AND(B2799=1,C2799&gt;1,E2798&lt;&gt;""),ABS(D2799-E2798),"")</f>
        <v/>
      </c>
    </row>
    <row r="2800">
      <c r="A2800" t="n">
        <v>2800</v>
      </c>
      <c r="B2800">
        <f>IF(INDEX('Data Entry'!$H$5:$BE$10004,2800-4,'Visual SPC'!$B$3)="",0,IF(AND(OR('Visual SPC'!$C$4="",'Data Entry'!$C2800&gt;='Visual SPC'!$C$4),OR('Visual SPC'!$E$4="",'Data Entry'!$C2800&lt;='Visual SPC'!$E$4),OR('Visual SPC'!$G$4="",'Data Entry'!$D2800='Visual SPC'!$G$4),OR('Visual SPC'!$I$4="",'Data Entry'!$E2800='Visual SPC'!$I$4),OR('Visual SPC'!$K$4="",'Data Entry'!$F2800='Visual SPC'!$K$4)),1,0))</f>
        <v/>
      </c>
      <c r="C2800">
        <f>C2799+B2800</f>
        <v/>
      </c>
      <c r="D2800">
        <f>IF(B2800=1,INDEX('Data Entry'!$H$5:$BE$10004,2800-4,'Visual SPC'!$B$3),"")</f>
        <v/>
      </c>
      <c r="E2800">
        <f>IF(B2800=1,D2800,E2799)</f>
        <v/>
      </c>
      <c r="F2800">
        <f>IF(AND(B2800=1,C2800&gt;1,E2799&lt;&gt;""),ABS(D2800-E2799),"")</f>
        <v/>
      </c>
    </row>
    <row r="2801">
      <c r="A2801" t="n">
        <v>2801</v>
      </c>
      <c r="B2801">
        <f>IF(INDEX('Data Entry'!$H$5:$BE$10004,2801-4,'Visual SPC'!$B$3)="",0,IF(AND(OR('Visual SPC'!$C$4="",'Data Entry'!$C2801&gt;='Visual SPC'!$C$4),OR('Visual SPC'!$E$4="",'Data Entry'!$C2801&lt;='Visual SPC'!$E$4),OR('Visual SPC'!$G$4="",'Data Entry'!$D2801='Visual SPC'!$G$4),OR('Visual SPC'!$I$4="",'Data Entry'!$E2801='Visual SPC'!$I$4),OR('Visual SPC'!$K$4="",'Data Entry'!$F2801='Visual SPC'!$K$4)),1,0))</f>
        <v/>
      </c>
      <c r="C2801">
        <f>C2800+B2801</f>
        <v/>
      </c>
      <c r="D2801">
        <f>IF(B2801=1,INDEX('Data Entry'!$H$5:$BE$10004,2801-4,'Visual SPC'!$B$3),"")</f>
        <v/>
      </c>
      <c r="E2801">
        <f>IF(B2801=1,D2801,E2800)</f>
        <v/>
      </c>
      <c r="F2801">
        <f>IF(AND(B2801=1,C2801&gt;1,E2800&lt;&gt;""),ABS(D2801-E2800),"")</f>
        <v/>
      </c>
    </row>
    <row r="2802">
      <c r="A2802" t="n">
        <v>2802</v>
      </c>
      <c r="B2802">
        <f>IF(INDEX('Data Entry'!$H$5:$BE$10004,2802-4,'Visual SPC'!$B$3)="",0,IF(AND(OR('Visual SPC'!$C$4="",'Data Entry'!$C2802&gt;='Visual SPC'!$C$4),OR('Visual SPC'!$E$4="",'Data Entry'!$C2802&lt;='Visual SPC'!$E$4),OR('Visual SPC'!$G$4="",'Data Entry'!$D2802='Visual SPC'!$G$4),OR('Visual SPC'!$I$4="",'Data Entry'!$E2802='Visual SPC'!$I$4),OR('Visual SPC'!$K$4="",'Data Entry'!$F2802='Visual SPC'!$K$4)),1,0))</f>
        <v/>
      </c>
      <c r="C2802">
        <f>C2801+B2802</f>
        <v/>
      </c>
      <c r="D2802">
        <f>IF(B2802=1,INDEX('Data Entry'!$H$5:$BE$10004,2802-4,'Visual SPC'!$B$3),"")</f>
        <v/>
      </c>
      <c r="E2802">
        <f>IF(B2802=1,D2802,E2801)</f>
        <v/>
      </c>
      <c r="F2802">
        <f>IF(AND(B2802=1,C2802&gt;1,E2801&lt;&gt;""),ABS(D2802-E2801),"")</f>
        <v/>
      </c>
    </row>
    <row r="2803">
      <c r="A2803" t="n">
        <v>2803</v>
      </c>
      <c r="B2803">
        <f>IF(INDEX('Data Entry'!$H$5:$BE$10004,2803-4,'Visual SPC'!$B$3)="",0,IF(AND(OR('Visual SPC'!$C$4="",'Data Entry'!$C2803&gt;='Visual SPC'!$C$4),OR('Visual SPC'!$E$4="",'Data Entry'!$C2803&lt;='Visual SPC'!$E$4),OR('Visual SPC'!$G$4="",'Data Entry'!$D2803='Visual SPC'!$G$4),OR('Visual SPC'!$I$4="",'Data Entry'!$E2803='Visual SPC'!$I$4),OR('Visual SPC'!$K$4="",'Data Entry'!$F2803='Visual SPC'!$K$4)),1,0))</f>
        <v/>
      </c>
      <c r="C2803">
        <f>C2802+B2803</f>
        <v/>
      </c>
      <c r="D2803">
        <f>IF(B2803=1,INDEX('Data Entry'!$H$5:$BE$10004,2803-4,'Visual SPC'!$B$3),"")</f>
        <v/>
      </c>
      <c r="E2803">
        <f>IF(B2803=1,D2803,E2802)</f>
        <v/>
      </c>
      <c r="F2803">
        <f>IF(AND(B2803=1,C2803&gt;1,E2802&lt;&gt;""),ABS(D2803-E2802),"")</f>
        <v/>
      </c>
    </row>
    <row r="2804">
      <c r="A2804" t="n">
        <v>2804</v>
      </c>
      <c r="B2804">
        <f>IF(INDEX('Data Entry'!$H$5:$BE$10004,2804-4,'Visual SPC'!$B$3)="",0,IF(AND(OR('Visual SPC'!$C$4="",'Data Entry'!$C2804&gt;='Visual SPC'!$C$4),OR('Visual SPC'!$E$4="",'Data Entry'!$C2804&lt;='Visual SPC'!$E$4),OR('Visual SPC'!$G$4="",'Data Entry'!$D2804='Visual SPC'!$G$4),OR('Visual SPC'!$I$4="",'Data Entry'!$E2804='Visual SPC'!$I$4),OR('Visual SPC'!$K$4="",'Data Entry'!$F2804='Visual SPC'!$K$4)),1,0))</f>
        <v/>
      </c>
      <c r="C2804">
        <f>C2803+B2804</f>
        <v/>
      </c>
      <c r="D2804">
        <f>IF(B2804=1,INDEX('Data Entry'!$H$5:$BE$10004,2804-4,'Visual SPC'!$B$3),"")</f>
        <v/>
      </c>
      <c r="E2804">
        <f>IF(B2804=1,D2804,E2803)</f>
        <v/>
      </c>
      <c r="F2804">
        <f>IF(AND(B2804=1,C2804&gt;1,E2803&lt;&gt;""),ABS(D2804-E2803),"")</f>
        <v/>
      </c>
    </row>
    <row r="2805">
      <c r="A2805" t="n">
        <v>2805</v>
      </c>
      <c r="B2805">
        <f>IF(INDEX('Data Entry'!$H$5:$BE$10004,2805-4,'Visual SPC'!$B$3)="",0,IF(AND(OR('Visual SPC'!$C$4="",'Data Entry'!$C2805&gt;='Visual SPC'!$C$4),OR('Visual SPC'!$E$4="",'Data Entry'!$C2805&lt;='Visual SPC'!$E$4),OR('Visual SPC'!$G$4="",'Data Entry'!$D2805='Visual SPC'!$G$4),OR('Visual SPC'!$I$4="",'Data Entry'!$E2805='Visual SPC'!$I$4),OR('Visual SPC'!$K$4="",'Data Entry'!$F2805='Visual SPC'!$K$4)),1,0))</f>
        <v/>
      </c>
      <c r="C2805">
        <f>C2804+B2805</f>
        <v/>
      </c>
      <c r="D2805">
        <f>IF(B2805=1,INDEX('Data Entry'!$H$5:$BE$10004,2805-4,'Visual SPC'!$B$3),"")</f>
        <v/>
      </c>
      <c r="E2805">
        <f>IF(B2805=1,D2805,E2804)</f>
        <v/>
      </c>
      <c r="F2805">
        <f>IF(AND(B2805=1,C2805&gt;1,E2804&lt;&gt;""),ABS(D2805-E2804),"")</f>
        <v/>
      </c>
    </row>
    <row r="2806">
      <c r="A2806" t="n">
        <v>2806</v>
      </c>
      <c r="B2806">
        <f>IF(INDEX('Data Entry'!$H$5:$BE$10004,2806-4,'Visual SPC'!$B$3)="",0,IF(AND(OR('Visual SPC'!$C$4="",'Data Entry'!$C2806&gt;='Visual SPC'!$C$4),OR('Visual SPC'!$E$4="",'Data Entry'!$C2806&lt;='Visual SPC'!$E$4),OR('Visual SPC'!$G$4="",'Data Entry'!$D2806='Visual SPC'!$G$4),OR('Visual SPC'!$I$4="",'Data Entry'!$E2806='Visual SPC'!$I$4),OR('Visual SPC'!$K$4="",'Data Entry'!$F2806='Visual SPC'!$K$4)),1,0))</f>
        <v/>
      </c>
      <c r="C2806">
        <f>C2805+B2806</f>
        <v/>
      </c>
      <c r="D2806">
        <f>IF(B2806=1,INDEX('Data Entry'!$H$5:$BE$10004,2806-4,'Visual SPC'!$B$3),"")</f>
        <v/>
      </c>
      <c r="E2806">
        <f>IF(B2806=1,D2806,E2805)</f>
        <v/>
      </c>
      <c r="F2806">
        <f>IF(AND(B2806=1,C2806&gt;1,E2805&lt;&gt;""),ABS(D2806-E2805),"")</f>
        <v/>
      </c>
    </row>
    <row r="2807">
      <c r="A2807" t="n">
        <v>2807</v>
      </c>
      <c r="B2807">
        <f>IF(INDEX('Data Entry'!$H$5:$BE$10004,2807-4,'Visual SPC'!$B$3)="",0,IF(AND(OR('Visual SPC'!$C$4="",'Data Entry'!$C2807&gt;='Visual SPC'!$C$4),OR('Visual SPC'!$E$4="",'Data Entry'!$C2807&lt;='Visual SPC'!$E$4),OR('Visual SPC'!$G$4="",'Data Entry'!$D2807='Visual SPC'!$G$4),OR('Visual SPC'!$I$4="",'Data Entry'!$E2807='Visual SPC'!$I$4),OR('Visual SPC'!$K$4="",'Data Entry'!$F2807='Visual SPC'!$K$4)),1,0))</f>
        <v/>
      </c>
      <c r="C2807">
        <f>C2806+B2807</f>
        <v/>
      </c>
      <c r="D2807">
        <f>IF(B2807=1,INDEX('Data Entry'!$H$5:$BE$10004,2807-4,'Visual SPC'!$B$3),"")</f>
        <v/>
      </c>
      <c r="E2807">
        <f>IF(B2807=1,D2807,E2806)</f>
        <v/>
      </c>
      <c r="F2807">
        <f>IF(AND(B2807=1,C2807&gt;1,E2806&lt;&gt;""),ABS(D2807-E2806),"")</f>
        <v/>
      </c>
    </row>
    <row r="2808">
      <c r="A2808" t="n">
        <v>2808</v>
      </c>
      <c r="B2808">
        <f>IF(INDEX('Data Entry'!$H$5:$BE$10004,2808-4,'Visual SPC'!$B$3)="",0,IF(AND(OR('Visual SPC'!$C$4="",'Data Entry'!$C2808&gt;='Visual SPC'!$C$4),OR('Visual SPC'!$E$4="",'Data Entry'!$C2808&lt;='Visual SPC'!$E$4),OR('Visual SPC'!$G$4="",'Data Entry'!$D2808='Visual SPC'!$G$4),OR('Visual SPC'!$I$4="",'Data Entry'!$E2808='Visual SPC'!$I$4),OR('Visual SPC'!$K$4="",'Data Entry'!$F2808='Visual SPC'!$K$4)),1,0))</f>
        <v/>
      </c>
      <c r="C2808">
        <f>C2807+B2808</f>
        <v/>
      </c>
      <c r="D2808">
        <f>IF(B2808=1,INDEX('Data Entry'!$H$5:$BE$10004,2808-4,'Visual SPC'!$B$3),"")</f>
        <v/>
      </c>
      <c r="E2808">
        <f>IF(B2808=1,D2808,E2807)</f>
        <v/>
      </c>
      <c r="F2808">
        <f>IF(AND(B2808=1,C2808&gt;1,E2807&lt;&gt;""),ABS(D2808-E2807),"")</f>
        <v/>
      </c>
    </row>
    <row r="2809">
      <c r="A2809" t="n">
        <v>2809</v>
      </c>
      <c r="B2809">
        <f>IF(INDEX('Data Entry'!$H$5:$BE$10004,2809-4,'Visual SPC'!$B$3)="",0,IF(AND(OR('Visual SPC'!$C$4="",'Data Entry'!$C2809&gt;='Visual SPC'!$C$4),OR('Visual SPC'!$E$4="",'Data Entry'!$C2809&lt;='Visual SPC'!$E$4),OR('Visual SPC'!$G$4="",'Data Entry'!$D2809='Visual SPC'!$G$4),OR('Visual SPC'!$I$4="",'Data Entry'!$E2809='Visual SPC'!$I$4),OR('Visual SPC'!$K$4="",'Data Entry'!$F2809='Visual SPC'!$K$4)),1,0))</f>
        <v/>
      </c>
      <c r="C2809">
        <f>C2808+B2809</f>
        <v/>
      </c>
      <c r="D2809">
        <f>IF(B2809=1,INDEX('Data Entry'!$H$5:$BE$10004,2809-4,'Visual SPC'!$B$3),"")</f>
        <v/>
      </c>
      <c r="E2809">
        <f>IF(B2809=1,D2809,E2808)</f>
        <v/>
      </c>
      <c r="F2809">
        <f>IF(AND(B2809=1,C2809&gt;1,E2808&lt;&gt;""),ABS(D2809-E2808),"")</f>
        <v/>
      </c>
    </row>
    <row r="2810">
      <c r="A2810" t="n">
        <v>2810</v>
      </c>
      <c r="B2810">
        <f>IF(INDEX('Data Entry'!$H$5:$BE$10004,2810-4,'Visual SPC'!$B$3)="",0,IF(AND(OR('Visual SPC'!$C$4="",'Data Entry'!$C2810&gt;='Visual SPC'!$C$4),OR('Visual SPC'!$E$4="",'Data Entry'!$C2810&lt;='Visual SPC'!$E$4),OR('Visual SPC'!$G$4="",'Data Entry'!$D2810='Visual SPC'!$G$4),OR('Visual SPC'!$I$4="",'Data Entry'!$E2810='Visual SPC'!$I$4),OR('Visual SPC'!$K$4="",'Data Entry'!$F2810='Visual SPC'!$K$4)),1,0))</f>
        <v/>
      </c>
      <c r="C2810">
        <f>C2809+B2810</f>
        <v/>
      </c>
      <c r="D2810">
        <f>IF(B2810=1,INDEX('Data Entry'!$H$5:$BE$10004,2810-4,'Visual SPC'!$B$3),"")</f>
        <v/>
      </c>
      <c r="E2810">
        <f>IF(B2810=1,D2810,E2809)</f>
        <v/>
      </c>
      <c r="F2810">
        <f>IF(AND(B2810=1,C2810&gt;1,E2809&lt;&gt;""),ABS(D2810-E2809),"")</f>
        <v/>
      </c>
    </row>
    <row r="2811">
      <c r="A2811" t="n">
        <v>2811</v>
      </c>
      <c r="B2811">
        <f>IF(INDEX('Data Entry'!$H$5:$BE$10004,2811-4,'Visual SPC'!$B$3)="",0,IF(AND(OR('Visual SPC'!$C$4="",'Data Entry'!$C2811&gt;='Visual SPC'!$C$4),OR('Visual SPC'!$E$4="",'Data Entry'!$C2811&lt;='Visual SPC'!$E$4),OR('Visual SPC'!$G$4="",'Data Entry'!$D2811='Visual SPC'!$G$4),OR('Visual SPC'!$I$4="",'Data Entry'!$E2811='Visual SPC'!$I$4),OR('Visual SPC'!$K$4="",'Data Entry'!$F2811='Visual SPC'!$K$4)),1,0))</f>
        <v/>
      </c>
      <c r="C2811">
        <f>C2810+B2811</f>
        <v/>
      </c>
      <c r="D2811">
        <f>IF(B2811=1,INDEX('Data Entry'!$H$5:$BE$10004,2811-4,'Visual SPC'!$B$3),"")</f>
        <v/>
      </c>
      <c r="E2811">
        <f>IF(B2811=1,D2811,E2810)</f>
        <v/>
      </c>
      <c r="F2811">
        <f>IF(AND(B2811=1,C2811&gt;1,E2810&lt;&gt;""),ABS(D2811-E2810),"")</f>
        <v/>
      </c>
    </row>
    <row r="2812">
      <c r="A2812" t="n">
        <v>2812</v>
      </c>
      <c r="B2812">
        <f>IF(INDEX('Data Entry'!$H$5:$BE$10004,2812-4,'Visual SPC'!$B$3)="",0,IF(AND(OR('Visual SPC'!$C$4="",'Data Entry'!$C2812&gt;='Visual SPC'!$C$4),OR('Visual SPC'!$E$4="",'Data Entry'!$C2812&lt;='Visual SPC'!$E$4),OR('Visual SPC'!$G$4="",'Data Entry'!$D2812='Visual SPC'!$G$4),OR('Visual SPC'!$I$4="",'Data Entry'!$E2812='Visual SPC'!$I$4),OR('Visual SPC'!$K$4="",'Data Entry'!$F2812='Visual SPC'!$K$4)),1,0))</f>
        <v/>
      </c>
      <c r="C2812">
        <f>C2811+B2812</f>
        <v/>
      </c>
      <c r="D2812">
        <f>IF(B2812=1,INDEX('Data Entry'!$H$5:$BE$10004,2812-4,'Visual SPC'!$B$3),"")</f>
        <v/>
      </c>
      <c r="E2812">
        <f>IF(B2812=1,D2812,E2811)</f>
        <v/>
      </c>
      <c r="F2812">
        <f>IF(AND(B2812=1,C2812&gt;1,E2811&lt;&gt;""),ABS(D2812-E2811),"")</f>
        <v/>
      </c>
    </row>
    <row r="2813">
      <c r="A2813" t="n">
        <v>2813</v>
      </c>
      <c r="B2813">
        <f>IF(INDEX('Data Entry'!$H$5:$BE$10004,2813-4,'Visual SPC'!$B$3)="",0,IF(AND(OR('Visual SPC'!$C$4="",'Data Entry'!$C2813&gt;='Visual SPC'!$C$4),OR('Visual SPC'!$E$4="",'Data Entry'!$C2813&lt;='Visual SPC'!$E$4),OR('Visual SPC'!$G$4="",'Data Entry'!$D2813='Visual SPC'!$G$4),OR('Visual SPC'!$I$4="",'Data Entry'!$E2813='Visual SPC'!$I$4),OR('Visual SPC'!$K$4="",'Data Entry'!$F2813='Visual SPC'!$K$4)),1,0))</f>
        <v/>
      </c>
      <c r="C2813">
        <f>C2812+B2813</f>
        <v/>
      </c>
      <c r="D2813">
        <f>IF(B2813=1,INDEX('Data Entry'!$H$5:$BE$10004,2813-4,'Visual SPC'!$B$3),"")</f>
        <v/>
      </c>
      <c r="E2813">
        <f>IF(B2813=1,D2813,E2812)</f>
        <v/>
      </c>
      <c r="F2813">
        <f>IF(AND(B2813=1,C2813&gt;1,E2812&lt;&gt;""),ABS(D2813-E2812),"")</f>
        <v/>
      </c>
    </row>
    <row r="2814">
      <c r="A2814" t="n">
        <v>2814</v>
      </c>
      <c r="B2814">
        <f>IF(INDEX('Data Entry'!$H$5:$BE$10004,2814-4,'Visual SPC'!$B$3)="",0,IF(AND(OR('Visual SPC'!$C$4="",'Data Entry'!$C2814&gt;='Visual SPC'!$C$4),OR('Visual SPC'!$E$4="",'Data Entry'!$C2814&lt;='Visual SPC'!$E$4),OR('Visual SPC'!$G$4="",'Data Entry'!$D2814='Visual SPC'!$G$4),OR('Visual SPC'!$I$4="",'Data Entry'!$E2814='Visual SPC'!$I$4),OR('Visual SPC'!$K$4="",'Data Entry'!$F2814='Visual SPC'!$K$4)),1,0))</f>
        <v/>
      </c>
      <c r="C2814">
        <f>C2813+B2814</f>
        <v/>
      </c>
      <c r="D2814">
        <f>IF(B2814=1,INDEX('Data Entry'!$H$5:$BE$10004,2814-4,'Visual SPC'!$B$3),"")</f>
        <v/>
      </c>
      <c r="E2814">
        <f>IF(B2814=1,D2814,E2813)</f>
        <v/>
      </c>
      <c r="F2814">
        <f>IF(AND(B2814=1,C2814&gt;1,E2813&lt;&gt;""),ABS(D2814-E2813),"")</f>
        <v/>
      </c>
    </row>
    <row r="2815">
      <c r="A2815" t="n">
        <v>2815</v>
      </c>
      <c r="B2815">
        <f>IF(INDEX('Data Entry'!$H$5:$BE$10004,2815-4,'Visual SPC'!$B$3)="",0,IF(AND(OR('Visual SPC'!$C$4="",'Data Entry'!$C2815&gt;='Visual SPC'!$C$4),OR('Visual SPC'!$E$4="",'Data Entry'!$C2815&lt;='Visual SPC'!$E$4),OR('Visual SPC'!$G$4="",'Data Entry'!$D2815='Visual SPC'!$G$4),OR('Visual SPC'!$I$4="",'Data Entry'!$E2815='Visual SPC'!$I$4),OR('Visual SPC'!$K$4="",'Data Entry'!$F2815='Visual SPC'!$K$4)),1,0))</f>
        <v/>
      </c>
      <c r="C2815">
        <f>C2814+B2815</f>
        <v/>
      </c>
      <c r="D2815">
        <f>IF(B2815=1,INDEX('Data Entry'!$H$5:$BE$10004,2815-4,'Visual SPC'!$B$3),"")</f>
        <v/>
      </c>
      <c r="E2815">
        <f>IF(B2815=1,D2815,E2814)</f>
        <v/>
      </c>
      <c r="F2815">
        <f>IF(AND(B2815=1,C2815&gt;1,E2814&lt;&gt;""),ABS(D2815-E2814),"")</f>
        <v/>
      </c>
    </row>
    <row r="2816">
      <c r="A2816" t="n">
        <v>2816</v>
      </c>
      <c r="B2816">
        <f>IF(INDEX('Data Entry'!$H$5:$BE$10004,2816-4,'Visual SPC'!$B$3)="",0,IF(AND(OR('Visual SPC'!$C$4="",'Data Entry'!$C2816&gt;='Visual SPC'!$C$4),OR('Visual SPC'!$E$4="",'Data Entry'!$C2816&lt;='Visual SPC'!$E$4),OR('Visual SPC'!$G$4="",'Data Entry'!$D2816='Visual SPC'!$G$4),OR('Visual SPC'!$I$4="",'Data Entry'!$E2816='Visual SPC'!$I$4),OR('Visual SPC'!$K$4="",'Data Entry'!$F2816='Visual SPC'!$K$4)),1,0))</f>
        <v/>
      </c>
      <c r="C2816">
        <f>C2815+B2816</f>
        <v/>
      </c>
      <c r="D2816">
        <f>IF(B2816=1,INDEX('Data Entry'!$H$5:$BE$10004,2816-4,'Visual SPC'!$B$3),"")</f>
        <v/>
      </c>
      <c r="E2816">
        <f>IF(B2816=1,D2816,E2815)</f>
        <v/>
      </c>
      <c r="F2816">
        <f>IF(AND(B2816=1,C2816&gt;1,E2815&lt;&gt;""),ABS(D2816-E2815),"")</f>
        <v/>
      </c>
    </row>
    <row r="2817">
      <c r="A2817" t="n">
        <v>2817</v>
      </c>
      <c r="B2817">
        <f>IF(INDEX('Data Entry'!$H$5:$BE$10004,2817-4,'Visual SPC'!$B$3)="",0,IF(AND(OR('Visual SPC'!$C$4="",'Data Entry'!$C2817&gt;='Visual SPC'!$C$4),OR('Visual SPC'!$E$4="",'Data Entry'!$C2817&lt;='Visual SPC'!$E$4),OR('Visual SPC'!$G$4="",'Data Entry'!$D2817='Visual SPC'!$G$4),OR('Visual SPC'!$I$4="",'Data Entry'!$E2817='Visual SPC'!$I$4),OR('Visual SPC'!$K$4="",'Data Entry'!$F2817='Visual SPC'!$K$4)),1,0))</f>
        <v/>
      </c>
      <c r="C2817">
        <f>C2816+B2817</f>
        <v/>
      </c>
      <c r="D2817">
        <f>IF(B2817=1,INDEX('Data Entry'!$H$5:$BE$10004,2817-4,'Visual SPC'!$B$3),"")</f>
        <v/>
      </c>
      <c r="E2817">
        <f>IF(B2817=1,D2817,E2816)</f>
        <v/>
      </c>
      <c r="F2817">
        <f>IF(AND(B2817=1,C2817&gt;1,E2816&lt;&gt;""),ABS(D2817-E2816),"")</f>
        <v/>
      </c>
    </row>
    <row r="2818">
      <c r="A2818" t="n">
        <v>2818</v>
      </c>
      <c r="B2818">
        <f>IF(INDEX('Data Entry'!$H$5:$BE$10004,2818-4,'Visual SPC'!$B$3)="",0,IF(AND(OR('Visual SPC'!$C$4="",'Data Entry'!$C2818&gt;='Visual SPC'!$C$4),OR('Visual SPC'!$E$4="",'Data Entry'!$C2818&lt;='Visual SPC'!$E$4),OR('Visual SPC'!$G$4="",'Data Entry'!$D2818='Visual SPC'!$G$4),OR('Visual SPC'!$I$4="",'Data Entry'!$E2818='Visual SPC'!$I$4),OR('Visual SPC'!$K$4="",'Data Entry'!$F2818='Visual SPC'!$K$4)),1,0))</f>
        <v/>
      </c>
      <c r="C2818">
        <f>C2817+B2818</f>
        <v/>
      </c>
      <c r="D2818">
        <f>IF(B2818=1,INDEX('Data Entry'!$H$5:$BE$10004,2818-4,'Visual SPC'!$B$3),"")</f>
        <v/>
      </c>
      <c r="E2818">
        <f>IF(B2818=1,D2818,E2817)</f>
        <v/>
      </c>
      <c r="F2818">
        <f>IF(AND(B2818=1,C2818&gt;1,E2817&lt;&gt;""),ABS(D2818-E2817),"")</f>
        <v/>
      </c>
    </row>
    <row r="2819">
      <c r="A2819" t="n">
        <v>2819</v>
      </c>
      <c r="B2819">
        <f>IF(INDEX('Data Entry'!$H$5:$BE$10004,2819-4,'Visual SPC'!$B$3)="",0,IF(AND(OR('Visual SPC'!$C$4="",'Data Entry'!$C2819&gt;='Visual SPC'!$C$4),OR('Visual SPC'!$E$4="",'Data Entry'!$C2819&lt;='Visual SPC'!$E$4),OR('Visual SPC'!$G$4="",'Data Entry'!$D2819='Visual SPC'!$G$4),OR('Visual SPC'!$I$4="",'Data Entry'!$E2819='Visual SPC'!$I$4),OR('Visual SPC'!$K$4="",'Data Entry'!$F2819='Visual SPC'!$K$4)),1,0))</f>
        <v/>
      </c>
      <c r="C2819">
        <f>C2818+B2819</f>
        <v/>
      </c>
      <c r="D2819">
        <f>IF(B2819=1,INDEX('Data Entry'!$H$5:$BE$10004,2819-4,'Visual SPC'!$B$3),"")</f>
        <v/>
      </c>
      <c r="E2819">
        <f>IF(B2819=1,D2819,E2818)</f>
        <v/>
      </c>
      <c r="F2819">
        <f>IF(AND(B2819=1,C2819&gt;1,E2818&lt;&gt;""),ABS(D2819-E2818),"")</f>
        <v/>
      </c>
    </row>
    <row r="2820">
      <c r="A2820" t="n">
        <v>2820</v>
      </c>
      <c r="B2820">
        <f>IF(INDEX('Data Entry'!$H$5:$BE$10004,2820-4,'Visual SPC'!$B$3)="",0,IF(AND(OR('Visual SPC'!$C$4="",'Data Entry'!$C2820&gt;='Visual SPC'!$C$4),OR('Visual SPC'!$E$4="",'Data Entry'!$C2820&lt;='Visual SPC'!$E$4),OR('Visual SPC'!$G$4="",'Data Entry'!$D2820='Visual SPC'!$G$4),OR('Visual SPC'!$I$4="",'Data Entry'!$E2820='Visual SPC'!$I$4),OR('Visual SPC'!$K$4="",'Data Entry'!$F2820='Visual SPC'!$K$4)),1,0))</f>
        <v/>
      </c>
      <c r="C2820">
        <f>C2819+B2820</f>
        <v/>
      </c>
      <c r="D2820">
        <f>IF(B2820=1,INDEX('Data Entry'!$H$5:$BE$10004,2820-4,'Visual SPC'!$B$3),"")</f>
        <v/>
      </c>
      <c r="E2820">
        <f>IF(B2820=1,D2820,E2819)</f>
        <v/>
      </c>
      <c r="F2820">
        <f>IF(AND(B2820=1,C2820&gt;1,E2819&lt;&gt;""),ABS(D2820-E2819),"")</f>
        <v/>
      </c>
    </row>
    <row r="2821">
      <c r="A2821" t="n">
        <v>2821</v>
      </c>
      <c r="B2821">
        <f>IF(INDEX('Data Entry'!$H$5:$BE$10004,2821-4,'Visual SPC'!$B$3)="",0,IF(AND(OR('Visual SPC'!$C$4="",'Data Entry'!$C2821&gt;='Visual SPC'!$C$4),OR('Visual SPC'!$E$4="",'Data Entry'!$C2821&lt;='Visual SPC'!$E$4),OR('Visual SPC'!$G$4="",'Data Entry'!$D2821='Visual SPC'!$G$4),OR('Visual SPC'!$I$4="",'Data Entry'!$E2821='Visual SPC'!$I$4),OR('Visual SPC'!$K$4="",'Data Entry'!$F2821='Visual SPC'!$K$4)),1,0))</f>
        <v/>
      </c>
      <c r="C2821">
        <f>C2820+B2821</f>
        <v/>
      </c>
      <c r="D2821">
        <f>IF(B2821=1,INDEX('Data Entry'!$H$5:$BE$10004,2821-4,'Visual SPC'!$B$3),"")</f>
        <v/>
      </c>
      <c r="E2821">
        <f>IF(B2821=1,D2821,E2820)</f>
        <v/>
      </c>
      <c r="F2821">
        <f>IF(AND(B2821=1,C2821&gt;1,E2820&lt;&gt;""),ABS(D2821-E2820),"")</f>
        <v/>
      </c>
    </row>
    <row r="2822">
      <c r="A2822" t="n">
        <v>2822</v>
      </c>
      <c r="B2822">
        <f>IF(INDEX('Data Entry'!$H$5:$BE$10004,2822-4,'Visual SPC'!$B$3)="",0,IF(AND(OR('Visual SPC'!$C$4="",'Data Entry'!$C2822&gt;='Visual SPC'!$C$4),OR('Visual SPC'!$E$4="",'Data Entry'!$C2822&lt;='Visual SPC'!$E$4),OR('Visual SPC'!$G$4="",'Data Entry'!$D2822='Visual SPC'!$G$4),OR('Visual SPC'!$I$4="",'Data Entry'!$E2822='Visual SPC'!$I$4),OR('Visual SPC'!$K$4="",'Data Entry'!$F2822='Visual SPC'!$K$4)),1,0))</f>
        <v/>
      </c>
      <c r="C2822">
        <f>C2821+B2822</f>
        <v/>
      </c>
      <c r="D2822">
        <f>IF(B2822=1,INDEX('Data Entry'!$H$5:$BE$10004,2822-4,'Visual SPC'!$B$3),"")</f>
        <v/>
      </c>
      <c r="E2822">
        <f>IF(B2822=1,D2822,E2821)</f>
        <v/>
      </c>
      <c r="F2822">
        <f>IF(AND(B2822=1,C2822&gt;1,E2821&lt;&gt;""),ABS(D2822-E2821),"")</f>
        <v/>
      </c>
    </row>
    <row r="2823">
      <c r="A2823" t="n">
        <v>2823</v>
      </c>
      <c r="B2823">
        <f>IF(INDEX('Data Entry'!$H$5:$BE$10004,2823-4,'Visual SPC'!$B$3)="",0,IF(AND(OR('Visual SPC'!$C$4="",'Data Entry'!$C2823&gt;='Visual SPC'!$C$4),OR('Visual SPC'!$E$4="",'Data Entry'!$C2823&lt;='Visual SPC'!$E$4),OR('Visual SPC'!$G$4="",'Data Entry'!$D2823='Visual SPC'!$G$4),OR('Visual SPC'!$I$4="",'Data Entry'!$E2823='Visual SPC'!$I$4),OR('Visual SPC'!$K$4="",'Data Entry'!$F2823='Visual SPC'!$K$4)),1,0))</f>
        <v/>
      </c>
      <c r="C2823">
        <f>C2822+B2823</f>
        <v/>
      </c>
      <c r="D2823">
        <f>IF(B2823=1,INDEX('Data Entry'!$H$5:$BE$10004,2823-4,'Visual SPC'!$B$3),"")</f>
        <v/>
      </c>
      <c r="E2823">
        <f>IF(B2823=1,D2823,E2822)</f>
        <v/>
      </c>
      <c r="F2823">
        <f>IF(AND(B2823=1,C2823&gt;1,E2822&lt;&gt;""),ABS(D2823-E2822),"")</f>
        <v/>
      </c>
    </row>
    <row r="2824">
      <c r="A2824" t="n">
        <v>2824</v>
      </c>
      <c r="B2824">
        <f>IF(INDEX('Data Entry'!$H$5:$BE$10004,2824-4,'Visual SPC'!$B$3)="",0,IF(AND(OR('Visual SPC'!$C$4="",'Data Entry'!$C2824&gt;='Visual SPC'!$C$4),OR('Visual SPC'!$E$4="",'Data Entry'!$C2824&lt;='Visual SPC'!$E$4),OR('Visual SPC'!$G$4="",'Data Entry'!$D2824='Visual SPC'!$G$4),OR('Visual SPC'!$I$4="",'Data Entry'!$E2824='Visual SPC'!$I$4),OR('Visual SPC'!$K$4="",'Data Entry'!$F2824='Visual SPC'!$K$4)),1,0))</f>
        <v/>
      </c>
      <c r="C2824">
        <f>C2823+B2824</f>
        <v/>
      </c>
      <c r="D2824">
        <f>IF(B2824=1,INDEX('Data Entry'!$H$5:$BE$10004,2824-4,'Visual SPC'!$B$3),"")</f>
        <v/>
      </c>
      <c r="E2824">
        <f>IF(B2824=1,D2824,E2823)</f>
        <v/>
      </c>
      <c r="F2824">
        <f>IF(AND(B2824=1,C2824&gt;1,E2823&lt;&gt;""),ABS(D2824-E2823),"")</f>
        <v/>
      </c>
    </row>
    <row r="2825">
      <c r="A2825" t="n">
        <v>2825</v>
      </c>
      <c r="B2825">
        <f>IF(INDEX('Data Entry'!$H$5:$BE$10004,2825-4,'Visual SPC'!$B$3)="",0,IF(AND(OR('Visual SPC'!$C$4="",'Data Entry'!$C2825&gt;='Visual SPC'!$C$4),OR('Visual SPC'!$E$4="",'Data Entry'!$C2825&lt;='Visual SPC'!$E$4),OR('Visual SPC'!$G$4="",'Data Entry'!$D2825='Visual SPC'!$G$4),OR('Visual SPC'!$I$4="",'Data Entry'!$E2825='Visual SPC'!$I$4),OR('Visual SPC'!$K$4="",'Data Entry'!$F2825='Visual SPC'!$K$4)),1,0))</f>
        <v/>
      </c>
      <c r="C2825">
        <f>C2824+B2825</f>
        <v/>
      </c>
      <c r="D2825">
        <f>IF(B2825=1,INDEX('Data Entry'!$H$5:$BE$10004,2825-4,'Visual SPC'!$B$3),"")</f>
        <v/>
      </c>
      <c r="E2825">
        <f>IF(B2825=1,D2825,E2824)</f>
        <v/>
      </c>
      <c r="F2825">
        <f>IF(AND(B2825=1,C2825&gt;1,E2824&lt;&gt;""),ABS(D2825-E2824),"")</f>
        <v/>
      </c>
    </row>
    <row r="2826">
      <c r="A2826" t="n">
        <v>2826</v>
      </c>
      <c r="B2826">
        <f>IF(INDEX('Data Entry'!$H$5:$BE$10004,2826-4,'Visual SPC'!$B$3)="",0,IF(AND(OR('Visual SPC'!$C$4="",'Data Entry'!$C2826&gt;='Visual SPC'!$C$4),OR('Visual SPC'!$E$4="",'Data Entry'!$C2826&lt;='Visual SPC'!$E$4),OR('Visual SPC'!$G$4="",'Data Entry'!$D2826='Visual SPC'!$G$4),OR('Visual SPC'!$I$4="",'Data Entry'!$E2826='Visual SPC'!$I$4),OR('Visual SPC'!$K$4="",'Data Entry'!$F2826='Visual SPC'!$K$4)),1,0))</f>
        <v/>
      </c>
      <c r="C2826">
        <f>C2825+B2826</f>
        <v/>
      </c>
      <c r="D2826">
        <f>IF(B2826=1,INDEX('Data Entry'!$H$5:$BE$10004,2826-4,'Visual SPC'!$B$3),"")</f>
        <v/>
      </c>
      <c r="E2826">
        <f>IF(B2826=1,D2826,E2825)</f>
        <v/>
      </c>
      <c r="F2826">
        <f>IF(AND(B2826=1,C2826&gt;1,E2825&lt;&gt;""),ABS(D2826-E2825),"")</f>
        <v/>
      </c>
    </row>
    <row r="2827">
      <c r="A2827" t="n">
        <v>2827</v>
      </c>
      <c r="B2827">
        <f>IF(INDEX('Data Entry'!$H$5:$BE$10004,2827-4,'Visual SPC'!$B$3)="",0,IF(AND(OR('Visual SPC'!$C$4="",'Data Entry'!$C2827&gt;='Visual SPC'!$C$4),OR('Visual SPC'!$E$4="",'Data Entry'!$C2827&lt;='Visual SPC'!$E$4),OR('Visual SPC'!$G$4="",'Data Entry'!$D2827='Visual SPC'!$G$4),OR('Visual SPC'!$I$4="",'Data Entry'!$E2827='Visual SPC'!$I$4),OR('Visual SPC'!$K$4="",'Data Entry'!$F2827='Visual SPC'!$K$4)),1,0))</f>
        <v/>
      </c>
      <c r="C2827">
        <f>C2826+B2827</f>
        <v/>
      </c>
      <c r="D2827">
        <f>IF(B2827=1,INDEX('Data Entry'!$H$5:$BE$10004,2827-4,'Visual SPC'!$B$3),"")</f>
        <v/>
      </c>
      <c r="E2827">
        <f>IF(B2827=1,D2827,E2826)</f>
        <v/>
      </c>
      <c r="F2827">
        <f>IF(AND(B2827=1,C2827&gt;1,E2826&lt;&gt;""),ABS(D2827-E2826),"")</f>
        <v/>
      </c>
    </row>
    <row r="2828">
      <c r="A2828" t="n">
        <v>2828</v>
      </c>
      <c r="B2828">
        <f>IF(INDEX('Data Entry'!$H$5:$BE$10004,2828-4,'Visual SPC'!$B$3)="",0,IF(AND(OR('Visual SPC'!$C$4="",'Data Entry'!$C2828&gt;='Visual SPC'!$C$4),OR('Visual SPC'!$E$4="",'Data Entry'!$C2828&lt;='Visual SPC'!$E$4),OR('Visual SPC'!$G$4="",'Data Entry'!$D2828='Visual SPC'!$G$4),OR('Visual SPC'!$I$4="",'Data Entry'!$E2828='Visual SPC'!$I$4),OR('Visual SPC'!$K$4="",'Data Entry'!$F2828='Visual SPC'!$K$4)),1,0))</f>
        <v/>
      </c>
      <c r="C2828">
        <f>C2827+B2828</f>
        <v/>
      </c>
      <c r="D2828">
        <f>IF(B2828=1,INDEX('Data Entry'!$H$5:$BE$10004,2828-4,'Visual SPC'!$B$3),"")</f>
        <v/>
      </c>
      <c r="E2828">
        <f>IF(B2828=1,D2828,E2827)</f>
        <v/>
      </c>
      <c r="F2828">
        <f>IF(AND(B2828=1,C2828&gt;1,E2827&lt;&gt;""),ABS(D2828-E2827),"")</f>
        <v/>
      </c>
    </row>
    <row r="2829">
      <c r="A2829" t="n">
        <v>2829</v>
      </c>
      <c r="B2829">
        <f>IF(INDEX('Data Entry'!$H$5:$BE$10004,2829-4,'Visual SPC'!$B$3)="",0,IF(AND(OR('Visual SPC'!$C$4="",'Data Entry'!$C2829&gt;='Visual SPC'!$C$4),OR('Visual SPC'!$E$4="",'Data Entry'!$C2829&lt;='Visual SPC'!$E$4),OR('Visual SPC'!$G$4="",'Data Entry'!$D2829='Visual SPC'!$G$4),OR('Visual SPC'!$I$4="",'Data Entry'!$E2829='Visual SPC'!$I$4),OR('Visual SPC'!$K$4="",'Data Entry'!$F2829='Visual SPC'!$K$4)),1,0))</f>
        <v/>
      </c>
      <c r="C2829">
        <f>C2828+B2829</f>
        <v/>
      </c>
      <c r="D2829">
        <f>IF(B2829=1,INDEX('Data Entry'!$H$5:$BE$10004,2829-4,'Visual SPC'!$B$3),"")</f>
        <v/>
      </c>
      <c r="E2829">
        <f>IF(B2829=1,D2829,E2828)</f>
        <v/>
      </c>
      <c r="F2829">
        <f>IF(AND(B2829=1,C2829&gt;1,E2828&lt;&gt;""),ABS(D2829-E2828),"")</f>
        <v/>
      </c>
    </row>
    <row r="2830">
      <c r="A2830" t="n">
        <v>2830</v>
      </c>
      <c r="B2830">
        <f>IF(INDEX('Data Entry'!$H$5:$BE$10004,2830-4,'Visual SPC'!$B$3)="",0,IF(AND(OR('Visual SPC'!$C$4="",'Data Entry'!$C2830&gt;='Visual SPC'!$C$4),OR('Visual SPC'!$E$4="",'Data Entry'!$C2830&lt;='Visual SPC'!$E$4),OR('Visual SPC'!$G$4="",'Data Entry'!$D2830='Visual SPC'!$G$4),OR('Visual SPC'!$I$4="",'Data Entry'!$E2830='Visual SPC'!$I$4),OR('Visual SPC'!$K$4="",'Data Entry'!$F2830='Visual SPC'!$K$4)),1,0))</f>
        <v/>
      </c>
      <c r="C2830">
        <f>C2829+B2830</f>
        <v/>
      </c>
      <c r="D2830">
        <f>IF(B2830=1,INDEX('Data Entry'!$H$5:$BE$10004,2830-4,'Visual SPC'!$B$3),"")</f>
        <v/>
      </c>
      <c r="E2830">
        <f>IF(B2830=1,D2830,E2829)</f>
        <v/>
      </c>
      <c r="F2830">
        <f>IF(AND(B2830=1,C2830&gt;1,E2829&lt;&gt;""),ABS(D2830-E2829),"")</f>
        <v/>
      </c>
    </row>
    <row r="2831">
      <c r="A2831" t="n">
        <v>2831</v>
      </c>
      <c r="B2831">
        <f>IF(INDEX('Data Entry'!$H$5:$BE$10004,2831-4,'Visual SPC'!$B$3)="",0,IF(AND(OR('Visual SPC'!$C$4="",'Data Entry'!$C2831&gt;='Visual SPC'!$C$4),OR('Visual SPC'!$E$4="",'Data Entry'!$C2831&lt;='Visual SPC'!$E$4),OR('Visual SPC'!$G$4="",'Data Entry'!$D2831='Visual SPC'!$G$4),OR('Visual SPC'!$I$4="",'Data Entry'!$E2831='Visual SPC'!$I$4),OR('Visual SPC'!$K$4="",'Data Entry'!$F2831='Visual SPC'!$K$4)),1,0))</f>
        <v/>
      </c>
      <c r="C2831">
        <f>C2830+B2831</f>
        <v/>
      </c>
      <c r="D2831">
        <f>IF(B2831=1,INDEX('Data Entry'!$H$5:$BE$10004,2831-4,'Visual SPC'!$B$3),"")</f>
        <v/>
      </c>
      <c r="E2831">
        <f>IF(B2831=1,D2831,E2830)</f>
        <v/>
      </c>
      <c r="F2831">
        <f>IF(AND(B2831=1,C2831&gt;1,E2830&lt;&gt;""),ABS(D2831-E2830),"")</f>
        <v/>
      </c>
    </row>
    <row r="2832">
      <c r="A2832" t="n">
        <v>2832</v>
      </c>
      <c r="B2832">
        <f>IF(INDEX('Data Entry'!$H$5:$BE$10004,2832-4,'Visual SPC'!$B$3)="",0,IF(AND(OR('Visual SPC'!$C$4="",'Data Entry'!$C2832&gt;='Visual SPC'!$C$4),OR('Visual SPC'!$E$4="",'Data Entry'!$C2832&lt;='Visual SPC'!$E$4),OR('Visual SPC'!$G$4="",'Data Entry'!$D2832='Visual SPC'!$G$4),OR('Visual SPC'!$I$4="",'Data Entry'!$E2832='Visual SPC'!$I$4),OR('Visual SPC'!$K$4="",'Data Entry'!$F2832='Visual SPC'!$K$4)),1,0))</f>
        <v/>
      </c>
      <c r="C2832">
        <f>C2831+B2832</f>
        <v/>
      </c>
      <c r="D2832">
        <f>IF(B2832=1,INDEX('Data Entry'!$H$5:$BE$10004,2832-4,'Visual SPC'!$B$3),"")</f>
        <v/>
      </c>
      <c r="E2832">
        <f>IF(B2832=1,D2832,E2831)</f>
        <v/>
      </c>
      <c r="F2832">
        <f>IF(AND(B2832=1,C2832&gt;1,E2831&lt;&gt;""),ABS(D2832-E2831),"")</f>
        <v/>
      </c>
    </row>
    <row r="2833">
      <c r="A2833" t="n">
        <v>2833</v>
      </c>
      <c r="B2833">
        <f>IF(INDEX('Data Entry'!$H$5:$BE$10004,2833-4,'Visual SPC'!$B$3)="",0,IF(AND(OR('Visual SPC'!$C$4="",'Data Entry'!$C2833&gt;='Visual SPC'!$C$4),OR('Visual SPC'!$E$4="",'Data Entry'!$C2833&lt;='Visual SPC'!$E$4),OR('Visual SPC'!$G$4="",'Data Entry'!$D2833='Visual SPC'!$G$4),OR('Visual SPC'!$I$4="",'Data Entry'!$E2833='Visual SPC'!$I$4),OR('Visual SPC'!$K$4="",'Data Entry'!$F2833='Visual SPC'!$K$4)),1,0))</f>
        <v/>
      </c>
      <c r="C2833">
        <f>C2832+B2833</f>
        <v/>
      </c>
      <c r="D2833">
        <f>IF(B2833=1,INDEX('Data Entry'!$H$5:$BE$10004,2833-4,'Visual SPC'!$B$3),"")</f>
        <v/>
      </c>
      <c r="E2833">
        <f>IF(B2833=1,D2833,E2832)</f>
        <v/>
      </c>
      <c r="F2833">
        <f>IF(AND(B2833=1,C2833&gt;1,E2832&lt;&gt;""),ABS(D2833-E2832),"")</f>
        <v/>
      </c>
    </row>
    <row r="2834">
      <c r="A2834" t="n">
        <v>2834</v>
      </c>
      <c r="B2834">
        <f>IF(INDEX('Data Entry'!$H$5:$BE$10004,2834-4,'Visual SPC'!$B$3)="",0,IF(AND(OR('Visual SPC'!$C$4="",'Data Entry'!$C2834&gt;='Visual SPC'!$C$4),OR('Visual SPC'!$E$4="",'Data Entry'!$C2834&lt;='Visual SPC'!$E$4),OR('Visual SPC'!$G$4="",'Data Entry'!$D2834='Visual SPC'!$G$4),OR('Visual SPC'!$I$4="",'Data Entry'!$E2834='Visual SPC'!$I$4),OR('Visual SPC'!$K$4="",'Data Entry'!$F2834='Visual SPC'!$K$4)),1,0))</f>
        <v/>
      </c>
      <c r="C2834">
        <f>C2833+B2834</f>
        <v/>
      </c>
      <c r="D2834">
        <f>IF(B2834=1,INDEX('Data Entry'!$H$5:$BE$10004,2834-4,'Visual SPC'!$B$3),"")</f>
        <v/>
      </c>
      <c r="E2834">
        <f>IF(B2834=1,D2834,E2833)</f>
        <v/>
      </c>
      <c r="F2834">
        <f>IF(AND(B2834=1,C2834&gt;1,E2833&lt;&gt;""),ABS(D2834-E2833),"")</f>
        <v/>
      </c>
    </row>
    <row r="2835">
      <c r="A2835" t="n">
        <v>2835</v>
      </c>
      <c r="B2835">
        <f>IF(INDEX('Data Entry'!$H$5:$BE$10004,2835-4,'Visual SPC'!$B$3)="",0,IF(AND(OR('Visual SPC'!$C$4="",'Data Entry'!$C2835&gt;='Visual SPC'!$C$4),OR('Visual SPC'!$E$4="",'Data Entry'!$C2835&lt;='Visual SPC'!$E$4),OR('Visual SPC'!$G$4="",'Data Entry'!$D2835='Visual SPC'!$G$4),OR('Visual SPC'!$I$4="",'Data Entry'!$E2835='Visual SPC'!$I$4),OR('Visual SPC'!$K$4="",'Data Entry'!$F2835='Visual SPC'!$K$4)),1,0))</f>
        <v/>
      </c>
      <c r="C2835">
        <f>C2834+B2835</f>
        <v/>
      </c>
      <c r="D2835">
        <f>IF(B2835=1,INDEX('Data Entry'!$H$5:$BE$10004,2835-4,'Visual SPC'!$B$3),"")</f>
        <v/>
      </c>
      <c r="E2835">
        <f>IF(B2835=1,D2835,E2834)</f>
        <v/>
      </c>
      <c r="F2835">
        <f>IF(AND(B2835=1,C2835&gt;1,E2834&lt;&gt;""),ABS(D2835-E2834),"")</f>
        <v/>
      </c>
    </row>
    <row r="2836">
      <c r="A2836" t="n">
        <v>2836</v>
      </c>
      <c r="B2836">
        <f>IF(INDEX('Data Entry'!$H$5:$BE$10004,2836-4,'Visual SPC'!$B$3)="",0,IF(AND(OR('Visual SPC'!$C$4="",'Data Entry'!$C2836&gt;='Visual SPC'!$C$4),OR('Visual SPC'!$E$4="",'Data Entry'!$C2836&lt;='Visual SPC'!$E$4),OR('Visual SPC'!$G$4="",'Data Entry'!$D2836='Visual SPC'!$G$4),OR('Visual SPC'!$I$4="",'Data Entry'!$E2836='Visual SPC'!$I$4),OR('Visual SPC'!$K$4="",'Data Entry'!$F2836='Visual SPC'!$K$4)),1,0))</f>
        <v/>
      </c>
      <c r="C2836">
        <f>C2835+B2836</f>
        <v/>
      </c>
      <c r="D2836">
        <f>IF(B2836=1,INDEX('Data Entry'!$H$5:$BE$10004,2836-4,'Visual SPC'!$B$3),"")</f>
        <v/>
      </c>
      <c r="E2836">
        <f>IF(B2836=1,D2836,E2835)</f>
        <v/>
      </c>
      <c r="F2836">
        <f>IF(AND(B2836=1,C2836&gt;1,E2835&lt;&gt;""),ABS(D2836-E2835),"")</f>
        <v/>
      </c>
    </row>
    <row r="2837">
      <c r="A2837" t="n">
        <v>2837</v>
      </c>
      <c r="B2837">
        <f>IF(INDEX('Data Entry'!$H$5:$BE$10004,2837-4,'Visual SPC'!$B$3)="",0,IF(AND(OR('Visual SPC'!$C$4="",'Data Entry'!$C2837&gt;='Visual SPC'!$C$4),OR('Visual SPC'!$E$4="",'Data Entry'!$C2837&lt;='Visual SPC'!$E$4),OR('Visual SPC'!$G$4="",'Data Entry'!$D2837='Visual SPC'!$G$4),OR('Visual SPC'!$I$4="",'Data Entry'!$E2837='Visual SPC'!$I$4),OR('Visual SPC'!$K$4="",'Data Entry'!$F2837='Visual SPC'!$K$4)),1,0))</f>
        <v/>
      </c>
      <c r="C2837">
        <f>C2836+B2837</f>
        <v/>
      </c>
      <c r="D2837">
        <f>IF(B2837=1,INDEX('Data Entry'!$H$5:$BE$10004,2837-4,'Visual SPC'!$B$3),"")</f>
        <v/>
      </c>
      <c r="E2837">
        <f>IF(B2837=1,D2837,E2836)</f>
        <v/>
      </c>
      <c r="F2837">
        <f>IF(AND(B2837=1,C2837&gt;1,E2836&lt;&gt;""),ABS(D2837-E2836),"")</f>
        <v/>
      </c>
    </row>
    <row r="2838">
      <c r="A2838" t="n">
        <v>2838</v>
      </c>
      <c r="B2838">
        <f>IF(INDEX('Data Entry'!$H$5:$BE$10004,2838-4,'Visual SPC'!$B$3)="",0,IF(AND(OR('Visual SPC'!$C$4="",'Data Entry'!$C2838&gt;='Visual SPC'!$C$4),OR('Visual SPC'!$E$4="",'Data Entry'!$C2838&lt;='Visual SPC'!$E$4),OR('Visual SPC'!$G$4="",'Data Entry'!$D2838='Visual SPC'!$G$4),OR('Visual SPC'!$I$4="",'Data Entry'!$E2838='Visual SPC'!$I$4),OR('Visual SPC'!$K$4="",'Data Entry'!$F2838='Visual SPC'!$K$4)),1,0))</f>
        <v/>
      </c>
      <c r="C2838">
        <f>C2837+B2838</f>
        <v/>
      </c>
      <c r="D2838">
        <f>IF(B2838=1,INDEX('Data Entry'!$H$5:$BE$10004,2838-4,'Visual SPC'!$B$3),"")</f>
        <v/>
      </c>
      <c r="E2838">
        <f>IF(B2838=1,D2838,E2837)</f>
        <v/>
      </c>
      <c r="F2838">
        <f>IF(AND(B2838=1,C2838&gt;1,E2837&lt;&gt;""),ABS(D2838-E2837),"")</f>
        <v/>
      </c>
    </row>
    <row r="2839">
      <c r="A2839" t="n">
        <v>2839</v>
      </c>
      <c r="B2839">
        <f>IF(INDEX('Data Entry'!$H$5:$BE$10004,2839-4,'Visual SPC'!$B$3)="",0,IF(AND(OR('Visual SPC'!$C$4="",'Data Entry'!$C2839&gt;='Visual SPC'!$C$4),OR('Visual SPC'!$E$4="",'Data Entry'!$C2839&lt;='Visual SPC'!$E$4),OR('Visual SPC'!$G$4="",'Data Entry'!$D2839='Visual SPC'!$G$4),OR('Visual SPC'!$I$4="",'Data Entry'!$E2839='Visual SPC'!$I$4),OR('Visual SPC'!$K$4="",'Data Entry'!$F2839='Visual SPC'!$K$4)),1,0))</f>
        <v/>
      </c>
      <c r="C2839">
        <f>C2838+B2839</f>
        <v/>
      </c>
      <c r="D2839">
        <f>IF(B2839=1,INDEX('Data Entry'!$H$5:$BE$10004,2839-4,'Visual SPC'!$B$3),"")</f>
        <v/>
      </c>
      <c r="E2839">
        <f>IF(B2839=1,D2839,E2838)</f>
        <v/>
      </c>
      <c r="F2839">
        <f>IF(AND(B2839=1,C2839&gt;1,E2838&lt;&gt;""),ABS(D2839-E2838),"")</f>
        <v/>
      </c>
    </row>
    <row r="2840">
      <c r="A2840" t="n">
        <v>2840</v>
      </c>
      <c r="B2840">
        <f>IF(INDEX('Data Entry'!$H$5:$BE$10004,2840-4,'Visual SPC'!$B$3)="",0,IF(AND(OR('Visual SPC'!$C$4="",'Data Entry'!$C2840&gt;='Visual SPC'!$C$4),OR('Visual SPC'!$E$4="",'Data Entry'!$C2840&lt;='Visual SPC'!$E$4),OR('Visual SPC'!$G$4="",'Data Entry'!$D2840='Visual SPC'!$G$4),OR('Visual SPC'!$I$4="",'Data Entry'!$E2840='Visual SPC'!$I$4),OR('Visual SPC'!$K$4="",'Data Entry'!$F2840='Visual SPC'!$K$4)),1,0))</f>
        <v/>
      </c>
      <c r="C2840">
        <f>C2839+B2840</f>
        <v/>
      </c>
      <c r="D2840">
        <f>IF(B2840=1,INDEX('Data Entry'!$H$5:$BE$10004,2840-4,'Visual SPC'!$B$3),"")</f>
        <v/>
      </c>
      <c r="E2840">
        <f>IF(B2840=1,D2840,E2839)</f>
        <v/>
      </c>
      <c r="F2840">
        <f>IF(AND(B2840=1,C2840&gt;1,E2839&lt;&gt;""),ABS(D2840-E2839),"")</f>
        <v/>
      </c>
    </row>
    <row r="2841">
      <c r="A2841" t="n">
        <v>2841</v>
      </c>
      <c r="B2841">
        <f>IF(INDEX('Data Entry'!$H$5:$BE$10004,2841-4,'Visual SPC'!$B$3)="",0,IF(AND(OR('Visual SPC'!$C$4="",'Data Entry'!$C2841&gt;='Visual SPC'!$C$4),OR('Visual SPC'!$E$4="",'Data Entry'!$C2841&lt;='Visual SPC'!$E$4),OR('Visual SPC'!$G$4="",'Data Entry'!$D2841='Visual SPC'!$G$4),OR('Visual SPC'!$I$4="",'Data Entry'!$E2841='Visual SPC'!$I$4),OR('Visual SPC'!$K$4="",'Data Entry'!$F2841='Visual SPC'!$K$4)),1,0))</f>
        <v/>
      </c>
      <c r="C2841">
        <f>C2840+B2841</f>
        <v/>
      </c>
      <c r="D2841">
        <f>IF(B2841=1,INDEX('Data Entry'!$H$5:$BE$10004,2841-4,'Visual SPC'!$B$3),"")</f>
        <v/>
      </c>
      <c r="E2841">
        <f>IF(B2841=1,D2841,E2840)</f>
        <v/>
      </c>
      <c r="F2841">
        <f>IF(AND(B2841=1,C2841&gt;1,E2840&lt;&gt;""),ABS(D2841-E2840),"")</f>
        <v/>
      </c>
    </row>
    <row r="2842">
      <c r="A2842" t="n">
        <v>2842</v>
      </c>
      <c r="B2842">
        <f>IF(INDEX('Data Entry'!$H$5:$BE$10004,2842-4,'Visual SPC'!$B$3)="",0,IF(AND(OR('Visual SPC'!$C$4="",'Data Entry'!$C2842&gt;='Visual SPC'!$C$4),OR('Visual SPC'!$E$4="",'Data Entry'!$C2842&lt;='Visual SPC'!$E$4),OR('Visual SPC'!$G$4="",'Data Entry'!$D2842='Visual SPC'!$G$4),OR('Visual SPC'!$I$4="",'Data Entry'!$E2842='Visual SPC'!$I$4),OR('Visual SPC'!$K$4="",'Data Entry'!$F2842='Visual SPC'!$K$4)),1,0))</f>
        <v/>
      </c>
      <c r="C2842">
        <f>C2841+B2842</f>
        <v/>
      </c>
      <c r="D2842">
        <f>IF(B2842=1,INDEX('Data Entry'!$H$5:$BE$10004,2842-4,'Visual SPC'!$B$3),"")</f>
        <v/>
      </c>
      <c r="E2842">
        <f>IF(B2842=1,D2842,E2841)</f>
        <v/>
      </c>
      <c r="F2842">
        <f>IF(AND(B2842=1,C2842&gt;1,E2841&lt;&gt;""),ABS(D2842-E2841),"")</f>
        <v/>
      </c>
    </row>
    <row r="2843">
      <c r="A2843" t="n">
        <v>2843</v>
      </c>
      <c r="B2843">
        <f>IF(INDEX('Data Entry'!$H$5:$BE$10004,2843-4,'Visual SPC'!$B$3)="",0,IF(AND(OR('Visual SPC'!$C$4="",'Data Entry'!$C2843&gt;='Visual SPC'!$C$4),OR('Visual SPC'!$E$4="",'Data Entry'!$C2843&lt;='Visual SPC'!$E$4),OR('Visual SPC'!$G$4="",'Data Entry'!$D2843='Visual SPC'!$G$4),OR('Visual SPC'!$I$4="",'Data Entry'!$E2843='Visual SPC'!$I$4),OR('Visual SPC'!$K$4="",'Data Entry'!$F2843='Visual SPC'!$K$4)),1,0))</f>
        <v/>
      </c>
      <c r="C2843">
        <f>C2842+B2843</f>
        <v/>
      </c>
      <c r="D2843">
        <f>IF(B2843=1,INDEX('Data Entry'!$H$5:$BE$10004,2843-4,'Visual SPC'!$B$3),"")</f>
        <v/>
      </c>
      <c r="E2843">
        <f>IF(B2843=1,D2843,E2842)</f>
        <v/>
      </c>
      <c r="F2843">
        <f>IF(AND(B2843=1,C2843&gt;1,E2842&lt;&gt;""),ABS(D2843-E2842),"")</f>
        <v/>
      </c>
    </row>
    <row r="2844">
      <c r="A2844" t="n">
        <v>2844</v>
      </c>
      <c r="B2844">
        <f>IF(INDEX('Data Entry'!$H$5:$BE$10004,2844-4,'Visual SPC'!$B$3)="",0,IF(AND(OR('Visual SPC'!$C$4="",'Data Entry'!$C2844&gt;='Visual SPC'!$C$4),OR('Visual SPC'!$E$4="",'Data Entry'!$C2844&lt;='Visual SPC'!$E$4),OR('Visual SPC'!$G$4="",'Data Entry'!$D2844='Visual SPC'!$G$4),OR('Visual SPC'!$I$4="",'Data Entry'!$E2844='Visual SPC'!$I$4),OR('Visual SPC'!$K$4="",'Data Entry'!$F2844='Visual SPC'!$K$4)),1,0))</f>
        <v/>
      </c>
      <c r="C2844">
        <f>C2843+B2844</f>
        <v/>
      </c>
      <c r="D2844">
        <f>IF(B2844=1,INDEX('Data Entry'!$H$5:$BE$10004,2844-4,'Visual SPC'!$B$3),"")</f>
        <v/>
      </c>
      <c r="E2844">
        <f>IF(B2844=1,D2844,E2843)</f>
        <v/>
      </c>
      <c r="F2844">
        <f>IF(AND(B2844=1,C2844&gt;1,E2843&lt;&gt;""),ABS(D2844-E2843),"")</f>
        <v/>
      </c>
    </row>
    <row r="2845">
      <c r="A2845" t="n">
        <v>2845</v>
      </c>
      <c r="B2845">
        <f>IF(INDEX('Data Entry'!$H$5:$BE$10004,2845-4,'Visual SPC'!$B$3)="",0,IF(AND(OR('Visual SPC'!$C$4="",'Data Entry'!$C2845&gt;='Visual SPC'!$C$4),OR('Visual SPC'!$E$4="",'Data Entry'!$C2845&lt;='Visual SPC'!$E$4),OR('Visual SPC'!$G$4="",'Data Entry'!$D2845='Visual SPC'!$G$4),OR('Visual SPC'!$I$4="",'Data Entry'!$E2845='Visual SPC'!$I$4),OR('Visual SPC'!$K$4="",'Data Entry'!$F2845='Visual SPC'!$K$4)),1,0))</f>
        <v/>
      </c>
      <c r="C2845">
        <f>C2844+B2845</f>
        <v/>
      </c>
      <c r="D2845">
        <f>IF(B2845=1,INDEX('Data Entry'!$H$5:$BE$10004,2845-4,'Visual SPC'!$B$3),"")</f>
        <v/>
      </c>
      <c r="E2845">
        <f>IF(B2845=1,D2845,E2844)</f>
        <v/>
      </c>
      <c r="F2845">
        <f>IF(AND(B2845=1,C2845&gt;1,E2844&lt;&gt;""),ABS(D2845-E2844),"")</f>
        <v/>
      </c>
    </row>
    <row r="2846">
      <c r="A2846" t="n">
        <v>2846</v>
      </c>
      <c r="B2846">
        <f>IF(INDEX('Data Entry'!$H$5:$BE$10004,2846-4,'Visual SPC'!$B$3)="",0,IF(AND(OR('Visual SPC'!$C$4="",'Data Entry'!$C2846&gt;='Visual SPC'!$C$4),OR('Visual SPC'!$E$4="",'Data Entry'!$C2846&lt;='Visual SPC'!$E$4),OR('Visual SPC'!$G$4="",'Data Entry'!$D2846='Visual SPC'!$G$4),OR('Visual SPC'!$I$4="",'Data Entry'!$E2846='Visual SPC'!$I$4),OR('Visual SPC'!$K$4="",'Data Entry'!$F2846='Visual SPC'!$K$4)),1,0))</f>
        <v/>
      </c>
      <c r="C2846">
        <f>C2845+B2846</f>
        <v/>
      </c>
      <c r="D2846">
        <f>IF(B2846=1,INDEX('Data Entry'!$H$5:$BE$10004,2846-4,'Visual SPC'!$B$3),"")</f>
        <v/>
      </c>
      <c r="E2846">
        <f>IF(B2846=1,D2846,E2845)</f>
        <v/>
      </c>
      <c r="F2846">
        <f>IF(AND(B2846=1,C2846&gt;1,E2845&lt;&gt;""),ABS(D2846-E2845),"")</f>
        <v/>
      </c>
    </row>
    <row r="2847">
      <c r="A2847" t="n">
        <v>2847</v>
      </c>
      <c r="B2847">
        <f>IF(INDEX('Data Entry'!$H$5:$BE$10004,2847-4,'Visual SPC'!$B$3)="",0,IF(AND(OR('Visual SPC'!$C$4="",'Data Entry'!$C2847&gt;='Visual SPC'!$C$4),OR('Visual SPC'!$E$4="",'Data Entry'!$C2847&lt;='Visual SPC'!$E$4),OR('Visual SPC'!$G$4="",'Data Entry'!$D2847='Visual SPC'!$G$4),OR('Visual SPC'!$I$4="",'Data Entry'!$E2847='Visual SPC'!$I$4),OR('Visual SPC'!$K$4="",'Data Entry'!$F2847='Visual SPC'!$K$4)),1,0))</f>
        <v/>
      </c>
      <c r="C2847">
        <f>C2846+B2847</f>
        <v/>
      </c>
      <c r="D2847">
        <f>IF(B2847=1,INDEX('Data Entry'!$H$5:$BE$10004,2847-4,'Visual SPC'!$B$3),"")</f>
        <v/>
      </c>
      <c r="E2847">
        <f>IF(B2847=1,D2847,E2846)</f>
        <v/>
      </c>
      <c r="F2847">
        <f>IF(AND(B2847=1,C2847&gt;1,E2846&lt;&gt;""),ABS(D2847-E2846),"")</f>
        <v/>
      </c>
    </row>
    <row r="2848">
      <c r="A2848" t="n">
        <v>2848</v>
      </c>
      <c r="B2848">
        <f>IF(INDEX('Data Entry'!$H$5:$BE$10004,2848-4,'Visual SPC'!$B$3)="",0,IF(AND(OR('Visual SPC'!$C$4="",'Data Entry'!$C2848&gt;='Visual SPC'!$C$4),OR('Visual SPC'!$E$4="",'Data Entry'!$C2848&lt;='Visual SPC'!$E$4),OR('Visual SPC'!$G$4="",'Data Entry'!$D2848='Visual SPC'!$G$4),OR('Visual SPC'!$I$4="",'Data Entry'!$E2848='Visual SPC'!$I$4),OR('Visual SPC'!$K$4="",'Data Entry'!$F2848='Visual SPC'!$K$4)),1,0))</f>
        <v/>
      </c>
      <c r="C2848">
        <f>C2847+B2848</f>
        <v/>
      </c>
      <c r="D2848">
        <f>IF(B2848=1,INDEX('Data Entry'!$H$5:$BE$10004,2848-4,'Visual SPC'!$B$3),"")</f>
        <v/>
      </c>
      <c r="E2848">
        <f>IF(B2848=1,D2848,E2847)</f>
        <v/>
      </c>
      <c r="F2848">
        <f>IF(AND(B2848=1,C2848&gt;1,E2847&lt;&gt;""),ABS(D2848-E2847),"")</f>
        <v/>
      </c>
    </row>
    <row r="2849">
      <c r="A2849" t="n">
        <v>2849</v>
      </c>
      <c r="B2849">
        <f>IF(INDEX('Data Entry'!$H$5:$BE$10004,2849-4,'Visual SPC'!$B$3)="",0,IF(AND(OR('Visual SPC'!$C$4="",'Data Entry'!$C2849&gt;='Visual SPC'!$C$4),OR('Visual SPC'!$E$4="",'Data Entry'!$C2849&lt;='Visual SPC'!$E$4),OR('Visual SPC'!$G$4="",'Data Entry'!$D2849='Visual SPC'!$G$4),OR('Visual SPC'!$I$4="",'Data Entry'!$E2849='Visual SPC'!$I$4),OR('Visual SPC'!$K$4="",'Data Entry'!$F2849='Visual SPC'!$K$4)),1,0))</f>
        <v/>
      </c>
      <c r="C2849">
        <f>C2848+B2849</f>
        <v/>
      </c>
      <c r="D2849">
        <f>IF(B2849=1,INDEX('Data Entry'!$H$5:$BE$10004,2849-4,'Visual SPC'!$B$3),"")</f>
        <v/>
      </c>
      <c r="E2849">
        <f>IF(B2849=1,D2849,E2848)</f>
        <v/>
      </c>
      <c r="F2849">
        <f>IF(AND(B2849=1,C2849&gt;1,E2848&lt;&gt;""),ABS(D2849-E2848),"")</f>
        <v/>
      </c>
    </row>
    <row r="2850">
      <c r="A2850" t="n">
        <v>2850</v>
      </c>
      <c r="B2850">
        <f>IF(INDEX('Data Entry'!$H$5:$BE$10004,2850-4,'Visual SPC'!$B$3)="",0,IF(AND(OR('Visual SPC'!$C$4="",'Data Entry'!$C2850&gt;='Visual SPC'!$C$4),OR('Visual SPC'!$E$4="",'Data Entry'!$C2850&lt;='Visual SPC'!$E$4),OR('Visual SPC'!$G$4="",'Data Entry'!$D2850='Visual SPC'!$G$4),OR('Visual SPC'!$I$4="",'Data Entry'!$E2850='Visual SPC'!$I$4),OR('Visual SPC'!$K$4="",'Data Entry'!$F2850='Visual SPC'!$K$4)),1,0))</f>
        <v/>
      </c>
      <c r="C2850">
        <f>C2849+B2850</f>
        <v/>
      </c>
      <c r="D2850">
        <f>IF(B2850=1,INDEX('Data Entry'!$H$5:$BE$10004,2850-4,'Visual SPC'!$B$3),"")</f>
        <v/>
      </c>
      <c r="E2850">
        <f>IF(B2850=1,D2850,E2849)</f>
        <v/>
      </c>
      <c r="F2850">
        <f>IF(AND(B2850=1,C2850&gt;1,E2849&lt;&gt;""),ABS(D2850-E2849),"")</f>
        <v/>
      </c>
    </row>
    <row r="2851">
      <c r="A2851" t="n">
        <v>2851</v>
      </c>
      <c r="B2851">
        <f>IF(INDEX('Data Entry'!$H$5:$BE$10004,2851-4,'Visual SPC'!$B$3)="",0,IF(AND(OR('Visual SPC'!$C$4="",'Data Entry'!$C2851&gt;='Visual SPC'!$C$4),OR('Visual SPC'!$E$4="",'Data Entry'!$C2851&lt;='Visual SPC'!$E$4),OR('Visual SPC'!$G$4="",'Data Entry'!$D2851='Visual SPC'!$G$4),OR('Visual SPC'!$I$4="",'Data Entry'!$E2851='Visual SPC'!$I$4),OR('Visual SPC'!$K$4="",'Data Entry'!$F2851='Visual SPC'!$K$4)),1,0))</f>
        <v/>
      </c>
      <c r="C2851">
        <f>C2850+B2851</f>
        <v/>
      </c>
      <c r="D2851">
        <f>IF(B2851=1,INDEX('Data Entry'!$H$5:$BE$10004,2851-4,'Visual SPC'!$B$3),"")</f>
        <v/>
      </c>
      <c r="E2851">
        <f>IF(B2851=1,D2851,E2850)</f>
        <v/>
      </c>
      <c r="F2851">
        <f>IF(AND(B2851=1,C2851&gt;1,E2850&lt;&gt;""),ABS(D2851-E2850),"")</f>
        <v/>
      </c>
    </row>
    <row r="2852">
      <c r="A2852" t="n">
        <v>2852</v>
      </c>
      <c r="B2852">
        <f>IF(INDEX('Data Entry'!$H$5:$BE$10004,2852-4,'Visual SPC'!$B$3)="",0,IF(AND(OR('Visual SPC'!$C$4="",'Data Entry'!$C2852&gt;='Visual SPC'!$C$4),OR('Visual SPC'!$E$4="",'Data Entry'!$C2852&lt;='Visual SPC'!$E$4),OR('Visual SPC'!$G$4="",'Data Entry'!$D2852='Visual SPC'!$G$4),OR('Visual SPC'!$I$4="",'Data Entry'!$E2852='Visual SPC'!$I$4),OR('Visual SPC'!$K$4="",'Data Entry'!$F2852='Visual SPC'!$K$4)),1,0))</f>
        <v/>
      </c>
      <c r="C2852">
        <f>C2851+B2852</f>
        <v/>
      </c>
      <c r="D2852">
        <f>IF(B2852=1,INDEX('Data Entry'!$H$5:$BE$10004,2852-4,'Visual SPC'!$B$3),"")</f>
        <v/>
      </c>
      <c r="E2852">
        <f>IF(B2852=1,D2852,E2851)</f>
        <v/>
      </c>
      <c r="F2852">
        <f>IF(AND(B2852=1,C2852&gt;1,E2851&lt;&gt;""),ABS(D2852-E2851),"")</f>
        <v/>
      </c>
    </row>
    <row r="2853">
      <c r="A2853" t="n">
        <v>2853</v>
      </c>
      <c r="B2853">
        <f>IF(INDEX('Data Entry'!$H$5:$BE$10004,2853-4,'Visual SPC'!$B$3)="",0,IF(AND(OR('Visual SPC'!$C$4="",'Data Entry'!$C2853&gt;='Visual SPC'!$C$4),OR('Visual SPC'!$E$4="",'Data Entry'!$C2853&lt;='Visual SPC'!$E$4),OR('Visual SPC'!$G$4="",'Data Entry'!$D2853='Visual SPC'!$G$4),OR('Visual SPC'!$I$4="",'Data Entry'!$E2853='Visual SPC'!$I$4),OR('Visual SPC'!$K$4="",'Data Entry'!$F2853='Visual SPC'!$K$4)),1,0))</f>
        <v/>
      </c>
      <c r="C2853">
        <f>C2852+B2853</f>
        <v/>
      </c>
      <c r="D2853">
        <f>IF(B2853=1,INDEX('Data Entry'!$H$5:$BE$10004,2853-4,'Visual SPC'!$B$3),"")</f>
        <v/>
      </c>
      <c r="E2853">
        <f>IF(B2853=1,D2853,E2852)</f>
        <v/>
      </c>
      <c r="F2853">
        <f>IF(AND(B2853=1,C2853&gt;1,E2852&lt;&gt;""),ABS(D2853-E2852),"")</f>
        <v/>
      </c>
    </row>
    <row r="2854">
      <c r="A2854" t="n">
        <v>2854</v>
      </c>
      <c r="B2854">
        <f>IF(INDEX('Data Entry'!$H$5:$BE$10004,2854-4,'Visual SPC'!$B$3)="",0,IF(AND(OR('Visual SPC'!$C$4="",'Data Entry'!$C2854&gt;='Visual SPC'!$C$4),OR('Visual SPC'!$E$4="",'Data Entry'!$C2854&lt;='Visual SPC'!$E$4),OR('Visual SPC'!$G$4="",'Data Entry'!$D2854='Visual SPC'!$G$4),OR('Visual SPC'!$I$4="",'Data Entry'!$E2854='Visual SPC'!$I$4),OR('Visual SPC'!$K$4="",'Data Entry'!$F2854='Visual SPC'!$K$4)),1,0))</f>
        <v/>
      </c>
      <c r="C2854">
        <f>C2853+B2854</f>
        <v/>
      </c>
      <c r="D2854">
        <f>IF(B2854=1,INDEX('Data Entry'!$H$5:$BE$10004,2854-4,'Visual SPC'!$B$3),"")</f>
        <v/>
      </c>
      <c r="E2854">
        <f>IF(B2854=1,D2854,E2853)</f>
        <v/>
      </c>
      <c r="F2854">
        <f>IF(AND(B2854=1,C2854&gt;1,E2853&lt;&gt;""),ABS(D2854-E2853),"")</f>
        <v/>
      </c>
    </row>
    <row r="2855">
      <c r="A2855" t="n">
        <v>2855</v>
      </c>
      <c r="B2855">
        <f>IF(INDEX('Data Entry'!$H$5:$BE$10004,2855-4,'Visual SPC'!$B$3)="",0,IF(AND(OR('Visual SPC'!$C$4="",'Data Entry'!$C2855&gt;='Visual SPC'!$C$4),OR('Visual SPC'!$E$4="",'Data Entry'!$C2855&lt;='Visual SPC'!$E$4),OR('Visual SPC'!$G$4="",'Data Entry'!$D2855='Visual SPC'!$G$4),OR('Visual SPC'!$I$4="",'Data Entry'!$E2855='Visual SPC'!$I$4),OR('Visual SPC'!$K$4="",'Data Entry'!$F2855='Visual SPC'!$K$4)),1,0))</f>
        <v/>
      </c>
      <c r="C2855">
        <f>C2854+B2855</f>
        <v/>
      </c>
      <c r="D2855">
        <f>IF(B2855=1,INDEX('Data Entry'!$H$5:$BE$10004,2855-4,'Visual SPC'!$B$3),"")</f>
        <v/>
      </c>
      <c r="E2855">
        <f>IF(B2855=1,D2855,E2854)</f>
        <v/>
      </c>
      <c r="F2855">
        <f>IF(AND(B2855=1,C2855&gt;1,E2854&lt;&gt;""),ABS(D2855-E2854),"")</f>
        <v/>
      </c>
    </row>
    <row r="2856">
      <c r="A2856" t="n">
        <v>2856</v>
      </c>
      <c r="B2856">
        <f>IF(INDEX('Data Entry'!$H$5:$BE$10004,2856-4,'Visual SPC'!$B$3)="",0,IF(AND(OR('Visual SPC'!$C$4="",'Data Entry'!$C2856&gt;='Visual SPC'!$C$4),OR('Visual SPC'!$E$4="",'Data Entry'!$C2856&lt;='Visual SPC'!$E$4),OR('Visual SPC'!$G$4="",'Data Entry'!$D2856='Visual SPC'!$G$4),OR('Visual SPC'!$I$4="",'Data Entry'!$E2856='Visual SPC'!$I$4),OR('Visual SPC'!$K$4="",'Data Entry'!$F2856='Visual SPC'!$K$4)),1,0))</f>
        <v/>
      </c>
      <c r="C2856">
        <f>C2855+B2856</f>
        <v/>
      </c>
      <c r="D2856">
        <f>IF(B2856=1,INDEX('Data Entry'!$H$5:$BE$10004,2856-4,'Visual SPC'!$B$3),"")</f>
        <v/>
      </c>
      <c r="E2856">
        <f>IF(B2856=1,D2856,E2855)</f>
        <v/>
      </c>
      <c r="F2856">
        <f>IF(AND(B2856=1,C2856&gt;1,E2855&lt;&gt;""),ABS(D2856-E2855),"")</f>
        <v/>
      </c>
    </row>
    <row r="2857">
      <c r="A2857" t="n">
        <v>2857</v>
      </c>
      <c r="B2857">
        <f>IF(INDEX('Data Entry'!$H$5:$BE$10004,2857-4,'Visual SPC'!$B$3)="",0,IF(AND(OR('Visual SPC'!$C$4="",'Data Entry'!$C2857&gt;='Visual SPC'!$C$4),OR('Visual SPC'!$E$4="",'Data Entry'!$C2857&lt;='Visual SPC'!$E$4),OR('Visual SPC'!$G$4="",'Data Entry'!$D2857='Visual SPC'!$G$4),OR('Visual SPC'!$I$4="",'Data Entry'!$E2857='Visual SPC'!$I$4),OR('Visual SPC'!$K$4="",'Data Entry'!$F2857='Visual SPC'!$K$4)),1,0))</f>
        <v/>
      </c>
      <c r="C2857">
        <f>C2856+B2857</f>
        <v/>
      </c>
      <c r="D2857">
        <f>IF(B2857=1,INDEX('Data Entry'!$H$5:$BE$10004,2857-4,'Visual SPC'!$B$3),"")</f>
        <v/>
      </c>
      <c r="E2857">
        <f>IF(B2857=1,D2857,E2856)</f>
        <v/>
      </c>
      <c r="F2857">
        <f>IF(AND(B2857=1,C2857&gt;1,E2856&lt;&gt;""),ABS(D2857-E2856),"")</f>
        <v/>
      </c>
    </row>
    <row r="2858">
      <c r="A2858" t="n">
        <v>2858</v>
      </c>
      <c r="B2858">
        <f>IF(INDEX('Data Entry'!$H$5:$BE$10004,2858-4,'Visual SPC'!$B$3)="",0,IF(AND(OR('Visual SPC'!$C$4="",'Data Entry'!$C2858&gt;='Visual SPC'!$C$4),OR('Visual SPC'!$E$4="",'Data Entry'!$C2858&lt;='Visual SPC'!$E$4),OR('Visual SPC'!$G$4="",'Data Entry'!$D2858='Visual SPC'!$G$4),OR('Visual SPC'!$I$4="",'Data Entry'!$E2858='Visual SPC'!$I$4),OR('Visual SPC'!$K$4="",'Data Entry'!$F2858='Visual SPC'!$K$4)),1,0))</f>
        <v/>
      </c>
      <c r="C2858">
        <f>C2857+B2858</f>
        <v/>
      </c>
      <c r="D2858">
        <f>IF(B2858=1,INDEX('Data Entry'!$H$5:$BE$10004,2858-4,'Visual SPC'!$B$3),"")</f>
        <v/>
      </c>
      <c r="E2858">
        <f>IF(B2858=1,D2858,E2857)</f>
        <v/>
      </c>
      <c r="F2858">
        <f>IF(AND(B2858=1,C2858&gt;1,E2857&lt;&gt;""),ABS(D2858-E2857),"")</f>
        <v/>
      </c>
    </row>
    <row r="2859">
      <c r="A2859" t="n">
        <v>2859</v>
      </c>
      <c r="B2859">
        <f>IF(INDEX('Data Entry'!$H$5:$BE$10004,2859-4,'Visual SPC'!$B$3)="",0,IF(AND(OR('Visual SPC'!$C$4="",'Data Entry'!$C2859&gt;='Visual SPC'!$C$4),OR('Visual SPC'!$E$4="",'Data Entry'!$C2859&lt;='Visual SPC'!$E$4),OR('Visual SPC'!$G$4="",'Data Entry'!$D2859='Visual SPC'!$G$4),OR('Visual SPC'!$I$4="",'Data Entry'!$E2859='Visual SPC'!$I$4),OR('Visual SPC'!$K$4="",'Data Entry'!$F2859='Visual SPC'!$K$4)),1,0))</f>
        <v/>
      </c>
      <c r="C2859">
        <f>C2858+B2859</f>
        <v/>
      </c>
      <c r="D2859">
        <f>IF(B2859=1,INDEX('Data Entry'!$H$5:$BE$10004,2859-4,'Visual SPC'!$B$3),"")</f>
        <v/>
      </c>
      <c r="E2859">
        <f>IF(B2859=1,D2859,E2858)</f>
        <v/>
      </c>
      <c r="F2859">
        <f>IF(AND(B2859=1,C2859&gt;1,E2858&lt;&gt;""),ABS(D2859-E2858),"")</f>
        <v/>
      </c>
    </row>
    <row r="2860">
      <c r="A2860" t="n">
        <v>2860</v>
      </c>
      <c r="B2860">
        <f>IF(INDEX('Data Entry'!$H$5:$BE$10004,2860-4,'Visual SPC'!$B$3)="",0,IF(AND(OR('Visual SPC'!$C$4="",'Data Entry'!$C2860&gt;='Visual SPC'!$C$4),OR('Visual SPC'!$E$4="",'Data Entry'!$C2860&lt;='Visual SPC'!$E$4),OR('Visual SPC'!$G$4="",'Data Entry'!$D2860='Visual SPC'!$G$4),OR('Visual SPC'!$I$4="",'Data Entry'!$E2860='Visual SPC'!$I$4),OR('Visual SPC'!$K$4="",'Data Entry'!$F2860='Visual SPC'!$K$4)),1,0))</f>
        <v/>
      </c>
      <c r="C2860">
        <f>C2859+B2860</f>
        <v/>
      </c>
      <c r="D2860">
        <f>IF(B2860=1,INDEX('Data Entry'!$H$5:$BE$10004,2860-4,'Visual SPC'!$B$3),"")</f>
        <v/>
      </c>
      <c r="E2860">
        <f>IF(B2860=1,D2860,E2859)</f>
        <v/>
      </c>
      <c r="F2860">
        <f>IF(AND(B2860=1,C2860&gt;1,E2859&lt;&gt;""),ABS(D2860-E2859),"")</f>
        <v/>
      </c>
    </row>
    <row r="2861">
      <c r="A2861" t="n">
        <v>2861</v>
      </c>
      <c r="B2861">
        <f>IF(INDEX('Data Entry'!$H$5:$BE$10004,2861-4,'Visual SPC'!$B$3)="",0,IF(AND(OR('Visual SPC'!$C$4="",'Data Entry'!$C2861&gt;='Visual SPC'!$C$4),OR('Visual SPC'!$E$4="",'Data Entry'!$C2861&lt;='Visual SPC'!$E$4),OR('Visual SPC'!$G$4="",'Data Entry'!$D2861='Visual SPC'!$G$4),OR('Visual SPC'!$I$4="",'Data Entry'!$E2861='Visual SPC'!$I$4),OR('Visual SPC'!$K$4="",'Data Entry'!$F2861='Visual SPC'!$K$4)),1,0))</f>
        <v/>
      </c>
      <c r="C2861">
        <f>C2860+B2861</f>
        <v/>
      </c>
      <c r="D2861">
        <f>IF(B2861=1,INDEX('Data Entry'!$H$5:$BE$10004,2861-4,'Visual SPC'!$B$3),"")</f>
        <v/>
      </c>
      <c r="E2861">
        <f>IF(B2861=1,D2861,E2860)</f>
        <v/>
      </c>
      <c r="F2861">
        <f>IF(AND(B2861=1,C2861&gt;1,E2860&lt;&gt;""),ABS(D2861-E2860),"")</f>
        <v/>
      </c>
    </row>
    <row r="2862">
      <c r="A2862" t="n">
        <v>2862</v>
      </c>
      <c r="B2862">
        <f>IF(INDEX('Data Entry'!$H$5:$BE$10004,2862-4,'Visual SPC'!$B$3)="",0,IF(AND(OR('Visual SPC'!$C$4="",'Data Entry'!$C2862&gt;='Visual SPC'!$C$4),OR('Visual SPC'!$E$4="",'Data Entry'!$C2862&lt;='Visual SPC'!$E$4),OR('Visual SPC'!$G$4="",'Data Entry'!$D2862='Visual SPC'!$G$4),OR('Visual SPC'!$I$4="",'Data Entry'!$E2862='Visual SPC'!$I$4),OR('Visual SPC'!$K$4="",'Data Entry'!$F2862='Visual SPC'!$K$4)),1,0))</f>
        <v/>
      </c>
      <c r="C2862">
        <f>C2861+B2862</f>
        <v/>
      </c>
      <c r="D2862">
        <f>IF(B2862=1,INDEX('Data Entry'!$H$5:$BE$10004,2862-4,'Visual SPC'!$B$3),"")</f>
        <v/>
      </c>
      <c r="E2862">
        <f>IF(B2862=1,D2862,E2861)</f>
        <v/>
      </c>
      <c r="F2862">
        <f>IF(AND(B2862=1,C2862&gt;1,E2861&lt;&gt;""),ABS(D2862-E2861),"")</f>
        <v/>
      </c>
    </row>
    <row r="2863">
      <c r="A2863" t="n">
        <v>2863</v>
      </c>
      <c r="B2863">
        <f>IF(INDEX('Data Entry'!$H$5:$BE$10004,2863-4,'Visual SPC'!$B$3)="",0,IF(AND(OR('Visual SPC'!$C$4="",'Data Entry'!$C2863&gt;='Visual SPC'!$C$4),OR('Visual SPC'!$E$4="",'Data Entry'!$C2863&lt;='Visual SPC'!$E$4),OR('Visual SPC'!$G$4="",'Data Entry'!$D2863='Visual SPC'!$G$4),OR('Visual SPC'!$I$4="",'Data Entry'!$E2863='Visual SPC'!$I$4),OR('Visual SPC'!$K$4="",'Data Entry'!$F2863='Visual SPC'!$K$4)),1,0))</f>
        <v/>
      </c>
      <c r="C2863">
        <f>C2862+B2863</f>
        <v/>
      </c>
      <c r="D2863">
        <f>IF(B2863=1,INDEX('Data Entry'!$H$5:$BE$10004,2863-4,'Visual SPC'!$B$3),"")</f>
        <v/>
      </c>
      <c r="E2863">
        <f>IF(B2863=1,D2863,E2862)</f>
        <v/>
      </c>
      <c r="F2863">
        <f>IF(AND(B2863=1,C2863&gt;1,E2862&lt;&gt;""),ABS(D2863-E2862),"")</f>
        <v/>
      </c>
    </row>
    <row r="2864">
      <c r="A2864" t="n">
        <v>2864</v>
      </c>
      <c r="B2864">
        <f>IF(INDEX('Data Entry'!$H$5:$BE$10004,2864-4,'Visual SPC'!$B$3)="",0,IF(AND(OR('Visual SPC'!$C$4="",'Data Entry'!$C2864&gt;='Visual SPC'!$C$4),OR('Visual SPC'!$E$4="",'Data Entry'!$C2864&lt;='Visual SPC'!$E$4),OR('Visual SPC'!$G$4="",'Data Entry'!$D2864='Visual SPC'!$G$4),OR('Visual SPC'!$I$4="",'Data Entry'!$E2864='Visual SPC'!$I$4),OR('Visual SPC'!$K$4="",'Data Entry'!$F2864='Visual SPC'!$K$4)),1,0))</f>
        <v/>
      </c>
      <c r="C2864">
        <f>C2863+B2864</f>
        <v/>
      </c>
      <c r="D2864">
        <f>IF(B2864=1,INDEX('Data Entry'!$H$5:$BE$10004,2864-4,'Visual SPC'!$B$3),"")</f>
        <v/>
      </c>
      <c r="E2864">
        <f>IF(B2864=1,D2864,E2863)</f>
        <v/>
      </c>
      <c r="F2864">
        <f>IF(AND(B2864=1,C2864&gt;1,E2863&lt;&gt;""),ABS(D2864-E2863),"")</f>
        <v/>
      </c>
    </row>
    <row r="2865">
      <c r="A2865" t="n">
        <v>2865</v>
      </c>
      <c r="B2865">
        <f>IF(INDEX('Data Entry'!$H$5:$BE$10004,2865-4,'Visual SPC'!$B$3)="",0,IF(AND(OR('Visual SPC'!$C$4="",'Data Entry'!$C2865&gt;='Visual SPC'!$C$4),OR('Visual SPC'!$E$4="",'Data Entry'!$C2865&lt;='Visual SPC'!$E$4),OR('Visual SPC'!$G$4="",'Data Entry'!$D2865='Visual SPC'!$G$4),OR('Visual SPC'!$I$4="",'Data Entry'!$E2865='Visual SPC'!$I$4),OR('Visual SPC'!$K$4="",'Data Entry'!$F2865='Visual SPC'!$K$4)),1,0))</f>
        <v/>
      </c>
      <c r="C2865">
        <f>C2864+B2865</f>
        <v/>
      </c>
      <c r="D2865">
        <f>IF(B2865=1,INDEX('Data Entry'!$H$5:$BE$10004,2865-4,'Visual SPC'!$B$3),"")</f>
        <v/>
      </c>
      <c r="E2865">
        <f>IF(B2865=1,D2865,E2864)</f>
        <v/>
      </c>
      <c r="F2865">
        <f>IF(AND(B2865=1,C2865&gt;1,E2864&lt;&gt;""),ABS(D2865-E2864),"")</f>
        <v/>
      </c>
    </row>
    <row r="2866">
      <c r="A2866" t="n">
        <v>2866</v>
      </c>
      <c r="B2866">
        <f>IF(INDEX('Data Entry'!$H$5:$BE$10004,2866-4,'Visual SPC'!$B$3)="",0,IF(AND(OR('Visual SPC'!$C$4="",'Data Entry'!$C2866&gt;='Visual SPC'!$C$4),OR('Visual SPC'!$E$4="",'Data Entry'!$C2866&lt;='Visual SPC'!$E$4),OR('Visual SPC'!$G$4="",'Data Entry'!$D2866='Visual SPC'!$G$4),OR('Visual SPC'!$I$4="",'Data Entry'!$E2866='Visual SPC'!$I$4),OR('Visual SPC'!$K$4="",'Data Entry'!$F2866='Visual SPC'!$K$4)),1,0))</f>
        <v/>
      </c>
      <c r="C2866">
        <f>C2865+B2866</f>
        <v/>
      </c>
      <c r="D2866">
        <f>IF(B2866=1,INDEX('Data Entry'!$H$5:$BE$10004,2866-4,'Visual SPC'!$B$3),"")</f>
        <v/>
      </c>
      <c r="E2866">
        <f>IF(B2866=1,D2866,E2865)</f>
        <v/>
      </c>
      <c r="F2866">
        <f>IF(AND(B2866=1,C2866&gt;1,E2865&lt;&gt;""),ABS(D2866-E2865),"")</f>
        <v/>
      </c>
    </row>
    <row r="2867">
      <c r="A2867" t="n">
        <v>2867</v>
      </c>
      <c r="B2867">
        <f>IF(INDEX('Data Entry'!$H$5:$BE$10004,2867-4,'Visual SPC'!$B$3)="",0,IF(AND(OR('Visual SPC'!$C$4="",'Data Entry'!$C2867&gt;='Visual SPC'!$C$4),OR('Visual SPC'!$E$4="",'Data Entry'!$C2867&lt;='Visual SPC'!$E$4),OR('Visual SPC'!$G$4="",'Data Entry'!$D2867='Visual SPC'!$G$4),OR('Visual SPC'!$I$4="",'Data Entry'!$E2867='Visual SPC'!$I$4),OR('Visual SPC'!$K$4="",'Data Entry'!$F2867='Visual SPC'!$K$4)),1,0))</f>
        <v/>
      </c>
      <c r="C2867">
        <f>C2866+B2867</f>
        <v/>
      </c>
      <c r="D2867">
        <f>IF(B2867=1,INDEX('Data Entry'!$H$5:$BE$10004,2867-4,'Visual SPC'!$B$3),"")</f>
        <v/>
      </c>
      <c r="E2867">
        <f>IF(B2867=1,D2867,E2866)</f>
        <v/>
      </c>
      <c r="F2867">
        <f>IF(AND(B2867=1,C2867&gt;1,E2866&lt;&gt;""),ABS(D2867-E2866),"")</f>
        <v/>
      </c>
    </row>
    <row r="2868">
      <c r="A2868" t="n">
        <v>2868</v>
      </c>
      <c r="B2868">
        <f>IF(INDEX('Data Entry'!$H$5:$BE$10004,2868-4,'Visual SPC'!$B$3)="",0,IF(AND(OR('Visual SPC'!$C$4="",'Data Entry'!$C2868&gt;='Visual SPC'!$C$4),OR('Visual SPC'!$E$4="",'Data Entry'!$C2868&lt;='Visual SPC'!$E$4),OR('Visual SPC'!$G$4="",'Data Entry'!$D2868='Visual SPC'!$G$4),OR('Visual SPC'!$I$4="",'Data Entry'!$E2868='Visual SPC'!$I$4),OR('Visual SPC'!$K$4="",'Data Entry'!$F2868='Visual SPC'!$K$4)),1,0))</f>
        <v/>
      </c>
      <c r="C2868">
        <f>C2867+B2868</f>
        <v/>
      </c>
      <c r="D2868">
        <f>IF(B2868=1,INDEX('Data Entry'!$H$5:$BE$10004,2868-4,'Visual SPC'!$B$3),"")</f>
        <v/>
      </c>
      <c r="E2868">
        <f>IF(B2868=1,D2868,E2867)</f>
        <v/>
      </c>
      <c r="F2868">
        <f>IF(AND(B2868=1,C2868&gt;1,E2867&lt;&gt;""),ABS(D2868-E2867),"")</f>
        <v/>
      </c>
    </row>
    <row r="2869">
      <c r="A2869" t="n">
        <v>2869</v>
      </c>
      <c r="B2869">
        <f>IF(INDEX('Data Entry'!$H$5:$BE$10004,2869-4,'Visual SPC'!$B$3)="",0,IF(AND(OR('Visual SPC'!$C$4="",'Data Entry'!$C2869&gt;='Visual SPC'!$C$4),OR('Visual SPC'!$E$4="",'Data Entry'!$C2869&lt;='Visual SPC'!$E$4),OR('Visual SPC'!$G$4="",'Data Entry'!$D2869='Visual SPC'!$G$4),OR('Visual SPC'!$I$4="",'Data Entry'!$E2869='Visual SPC'!$I$4),OR('Visual SPC'!$K$4="",'Data Entry'!$F2869='Visual SPC'!$K$4)),1,0))</f>
        <v/>
      </c>
      <c r="C2869">
        <f>C2868+B2869</f>
        <v/>
      </c>
      <c r="D2869">
        <f>IF(B2869=1,INDEX('Data Entry'!$H$5:$BE$10004,2869-4,'Visual SPC'!$B$3),"")</f>
        <v/>
      </c>
      <c r="E2869">
        <f>IF(B2869=1,D2869,E2868)</f>
        <v/>
      </c>
      <c r="F2869">
        <f>IF(AND(B2869=1,C2869&gt;1,E2868&lt;&gt;""),ABS(D2869-E2868),"")</f>
        <v/>
      </c>
    </row>
    <row r="2870">
      <c r="A2870" t="n">
        <v>2870</v>
      </c>
      <c r="B2870">
        <f>IF(INDEX('Data Entry'!$H$5:$BE$10004,2870-4,'Visual SPC'!$B$3)="",0,IF(AND(OR('Visual SPC'!$C$4="",'Data Entry'!$C2870&gt;='Visual SPC'!$C$4),OR('Visual SPC'!$E$4="",'Data Entry'!$C2870&lt;='Visual SPC'!$E$4),OR('Visual SPC'!$G$4="",'Data Entry'!$D2870='Visual SPC'!$G$4),OR('Visual SPC'!$I$4="",'Data Entry'!$E2870='Visual SPC'!$I$4),OR('Visual SPC'!$K$4="",'Data Entry'!$F2870='Visual SPC'!$K$4)),1,0))</f>
        <v/>
      </c>
      <c r="C2870">
        <f>C2869+B2870</f>
        <v/>
      </c>
      <c r="D2870">
        <f>IF(B2870=1,INDEX('Data Entry'!$H$5:$BE$10004,2870-4,'Visual SPC'!$B$3),"")</f>
        <v/>
      </c>
      <c r="E2870">
        <f>IF(B2870=1,D2870,E2869)</f>
        <v/>
      </c>
      <c r="F2870">
        <f>IF(AND(B2870=1,C2870&gt;1,E2869&lt;&gt;""),ABS(D2870-E2869),"")</f>
        <v/>
      </c>
    </row>
    <row r="2871">
      <c r="A2871" t="n">
        <v>2871</v>
      </c>
      <c r="B2871">
        <f>IF(INDEX('Data Entry'!$H$5:$BE$10004,2871-4,'Visual SPC'!$B$3)="",0,IF(AND(OR('Visual SPC'!$C$4="",'Data Entry'!$C2871&gt;='Visual SPC'!$C$4),OR('Visual SPC'!$E$4="",'Data Entry'!$C2871&lt;='Visual SPC'!$E$4),OR('Visual SPC'!$G$4="",'Data Entry'!$D2871='Visual SPC'!$G$4),OR('Visual SPC'!$I$4="",'Data Entry'!$E2871='Visual SPC'!$I$4),OR('Visual SPC'!$K$4="",'Data Entry'!$F2871='Visual SPC'!$K$4)),1,0))</f>
        <v/>
      </c>
      <c r="C2871">
        <f>C2870+B2871</f>
        <v/>
      </c>
      <c r="D2871">
        <f>IF(B2871=1,INDEX('Data Entry'!$H$5:$BE$10004,2871-4,'Visual SPC'!$B$3),"")</f>
        <v/>
      </c>
      <c r="E2871">
        <f>IF(B2871=1,D2871,E2870)</f>
        <v/>
      </c>
      <c r="F2871">
        <f>IF(AND(B2871=1,C2871&gt;1,E2870&lt;&gt;""),ABS(D2871-E2870),"")</f>
        <v/>
      </c>
    </row>
    <row r="2872">
      <c r="A2872" t="n">
        <v>2872</v>
      </c>
      <c r="B2872">
        <f>IF(INDEX('Data Entry'!$H$5:$BE$10004,2872-4,'Visual SPC'!$B$3)="",0,IF(AND(OR('Visual SPC'!$C$4="",'Data Entry'!$C2872&gt;='Visual SPC'!$C$4),OR('Visual SPC'!$E$4="",'Data Entry'!$C2872&lt;='Visual SPC'!$E$4),OR('Visual SPC'!$G$4="",'Data Entry'!$D2872='Visual SPC'!$G$4),OR('Visual SPC'!$I$4="",'Data Entry'!$E2872='Visual SPC'!$I$4),OR('Visual SPC'!$K$4="",'Data Entry'!$F2872='Visual SPC'!$K$4)),1,0))</f>
        <v/>
      </c>
      <c r="C2872">
        <f>C2871+B2872</f>
        <v/>
      </c>
      <c r="D2872">
        <f>IF(B2872=1,INDEX('Data Entry'!$H$5:$BE$10004,2872-4,'Visual SPC'!$B$3),"")</f>
        <v/>
      </c>
      <c r="E2872">
        <f>IF(B2872=1,D2872,E2871)</f>
        <v/>
      </c>
      <c r="F2872">
        <f>IF(AND(B2872=1,C2872&gt;1,E2871&lt;&gt;""),ABS(D2872-E2871),"")</f>
        <v/>
      </c>
    </row>
    <row r="2873">
      <c r="A2873" t="n">
        <v>2873</v>
      </c>
      <c r="B2873">
        <f>IF(INDEX('Data Entry'!$H$5:$BE$10004,2873-4,'Visual SPC'!$B$3)="",0,IF(AND(OR('Visual SPC'!$C$4="",'Data Entry'!$C2873&gt;='Visual SPC'!$C$4),OR('Visual SPC'!$E$4="",'Data Entry'!$C2873&lt;='Visual SPC'!$E$4),OR('Visual SPC'!$G$4="",'Data Entry'!$D2873='Visual SPC'!$G$4),OR('Visual SPC'!$I$4="",'Data Entry'!$E2873='Visual SPC'!$I$4),OR('Visual SPC'!$K$4="",'Data Entry'!$F2873='Visual SPC'!$K$4)),1,0))</f>
        <v/>
      </c>
      <c r="C2873">
        <f>C2872+B2873</f>
        <v/>
      </c>
      <c r="D2873">
        <f>IF(B2873=1,INDEX('Data Entry'!$H$5:$BE$10004,2873-4,'Visual SPC'!$B$3),"")</f>
        <v/>
      </c>
      <c r="E2873">
        <f>IF(B2873=1,D2873,E2872)</f>
        <v/>
      </c>
      <c r="F2873">
        <f>IF(AND(B2873=1,C2873&gt;1,E2872&lt;&gt;""),ABS(D2873-E2872),"")</f>
        <v/>
      </c>
    </row>
    <row r="2874">
      <c r="A2874" t="n">
        <v>2874</v>
      </c>
      <c r="B2874">
        <f>IF(INDEX('Data Entry'!$H$5:$BE$10004,2874-4,'Visual SPC'!$B$3)="",0,IF(AND(OR('Visual SPC'!$C$4="",'Data Entry'!$C2874&gt;='Visual SPC'!$C$4),OR('Visual SPC'!$E$4="",'Data Entry'!$C2874&lt;='Visual SPC'!$E$4),OR('Visual SPC'!$G$4="",'Data Entry'!$D2874='Visual SPC'!$G$4),OR('Visual SPC'!$I$4="",'Data Entry'!$E2874='Visual SPC'!$I$4),OR('Visual SPC'!$K$4="",'Data Entry'!$F2874='Visual SPC'!$K$4)),1,0))</f>
        <v/>
      </c>
      <c r="C2874">
        <f>C2873+B2874</f>
        <v/>
      </c>
      <c r="D2874">
        <f>IF(B2874=1,INDEX('Data Entry'!$H$5:$BE$10004,2874-4,'Visual SPC'!$B$3),"")</f>
        <v/>
      </c>
      <c r="E2874">
        <f>IF(B2874=1,D2874,E2873)</f>
        <v/>
      </c>
      <c r="F2874">
        <f>IF(AND(B2874=1,C2874&gt;1,E2873&lt;&gt;""),ABS(D2874-E2873),"")</f>
        <v/>
      </c>
    </row>
    <row r="2875">
      <c r="A2875" t="n">
        <v>2875</v>
      </c>
      <c r="B2875">
        <f>IF(INDEX('Data Entry'!$H$5:$BE$10004,2875-4,'Visual SPC'!$B$3)="",0,IF(AND(OR('Visual SPC'!$C$4="",'Data Entry'!$C2875&gt;='Visual SPC'!$C$4),OR('Visual SPC'!$E$4="",'Data Entry'!$C2875&lt;='Visual SPC'!$E$4),OR('Visual SPC'!$G$4="",'Data Entry'!$D2875='Visual SPC'!$G$4),OR('Visual SPC'!$I$4="",'Data Entry'!$E2875='Visual SPC'!$I$4),OR('Visual SPC'!$K$4="",'Data Entry'!$F2875='Visual SPC'!$K$4)),1,0))</f>
        <v/>
      </c>
      <c r="C2875">
        <f>C2874+B2875</f>
        <v/>
      </c>
      <c r="D2875">
        <f>IF(B2875=1,INDEX('Data Entry'!$H$5:$BE$10004,2875-4,'Visual SPC'!$B$3),"")</f>
        <v/>
      </c>
      <c r="E2875">
        <f>IF(B2875=1,D2875,E2874)</f>
        <v/>
      </c>
      <c r="F2875">
        <f>IF(AND(B2875=1,C2875&gt;1,E2874&lt;&gt;""),ABS(D2875-E2874),"")</f>
        <v/>
      </c>
    </row>
    <row r="2876">
      <c r="A2876" t="n">
        <v>2876</v>
      </c>
      <c r="B2876">
        <f>IF(INDEX('Data Entry'!$H$5:$BE$10004,2876-4,'Visual SPC'!$B$3)="",0,IF(AND(OR('Visual SPC'!$C$4="",'Data Entry'!$C2876&gt;='Visual SPC'!$C$4),OR('Visual SPC'!$E$4="",'Data Entry'!$C2876&lt;='Visual SPC'!$E$4),OR('Visual SPC'!$G$4="",'Data Entry'!$D2876='Visual SPC'!$G$4),OR('Visual SPC'!$I$4="",'Data Entry'!$E2876='Visual SPC'!$I$4),OR('Visual SPC'!$K$4="",'Data Entry'!$F2876='Visual SPC'!$K$4)),1,0))</f>
        <v/>
      </c>
      <c r="C2876">
        <f>C2875+B2876</f>
        <v/>
      </c>
      <c r="D2876">
        <f>IF(B2876=1,INDEX('Data Entry'!$H$5:$BE$10004,2876-4,'Visual SPC'!$B$3),"")</f>
        <v/>
      </c>
      <c r="E2876">
        <f>IF(B2876=1,D2876,E2875)</f>
        <v/>
      </c>
      <c r="F2876">
        <f>IF(AND(B2876=1,C2876&gt;1,E2875&lt;&gt;""),ABS(D2876-E2875),"")</f>
        <v/>
      </c>
    </row>
    <row r="2877">
      <c r="A2877" t="n">
        <v>2877</v>
      </c>
      <c r="B2877">
        <f>IF(INDEX('Data Entry'!$H$5:$BE$10004,2877-4,'Visual SPC'!$B$3)="",0,IF(AND(OR('Visual SPC'!$C$4="",'Data Entry'!$C2877&gt;='Visual SPC'!$C$4),OR('Visual SPC'!$E$4="",'Data Entry'!$C2877&lt;='Visual SPC'!$E$4),OR('Visual SPC'!$G$4="",'Data Entry'!$D2877='Visual SPC'!$G$4),OR('Visual SPC'!$I$4="",'Data Entry'!$E2877='Visual SPC'!$I$4),OR('Visual SPC'!$K$4="",'Data Entry'!$F2877='Visual SPC'!$K$4)),1,0))</f>
        <v/>
      </c>
      <c r="C2877">
        <f>C2876+B2877</f>
        <v/>
      </c>
      <c r="D2877">
        <f>IF(B2877=1,INDEX('Data Entry'!$H$5:$BE$10004,2877-4,'Visual SPC'!$B$3),"")</f>
        <v/>
      </c>
      <c r="E2877">
        <f>IF(B2877=1,D2877,E2876)</f>
        <v/>
      </c>
      <c r="F2877">
        <f>IF(AND(B2877=1,C2877&gt;1,E2876&lt;&gt;""),ABS(D2877-E2876),"")</f>
        <v/>
      </c>
    </row>
    <row r="2878">
      <c r="A2878" t="n">
        <v>2878</v>
      </c>
      <c r="B2878">
        <f>IF(INDEX('Data Entry'!$H$5:$BE$10004,2878-4,'Visual SPC'!$B$3)="",0,IF(AND(OR('Visual SPC'!$C$4="",'Data Entry'!$C2878&gt;='Visual SPC'!$C$4),OR('Visual SPC'!$E$4="",'Data Entry'!$C2878&lt;='Visual SPC'!$E$4),OR('Visual SPC'!$G$4="",'Data Entry'!$D2878='Visual SPC'!$G$4),OR('Visual SPC'!$I$4="",'Data Entry'!$E2878='Visual SPC'!$I$4),OR('Visual SPC'!$K$4="",'Data Entry'!$F2878='Visual SPC'!$K$4)),1,0))</f>
        <v/>
      </c>
      <c r="C2878">
        <f>C2877+B2878</f>
        <v/>
      </c>
      <c r="D2878">
        <f>IF(B2878=1,INDEX('Data Entry'!$H$5:$BE$10004,2878-4,'Visual SPC'!$B$3),"")</f>
        <v/>
      </c>
      <c r="E2878">
        <f>IF(B2878=1,D2878,E2877)</f>
        <v/>
      </c>
      <c r="F2878">
        <f>IF(AND(B2878=1,C2878&gt;1,E2877&lt;&gt;""),ABS(D2878-E2877),"")</f>
        <v/>
      </c>
    </row>
    <row r="2879">
      <c r="A2879" t="n">
        <v>2879</v>
      </c>
      <c r="B2879">
        <f>IF(INDEX('Data Entry'!$H$5:$BE$10004,2879-4,'Visual SPC'!$B$3)="",0,IF(AND(OR('Visual SPC'!$C$4="",'Data Entry'!$C2879&gt;='Visual SPC'!$C$4),OR('Visual SPC'!$E$4="",'Data Entry'!$C2879&lt;='Visual SPC'!$E$4),OR('Visual SPC'!$G$4="",'Data Entry'!$D2879='Visual SPC'!$G$4),OR('Visual SPC'!$I$4="",'Data Entry'!$E2879='Visual SPC'!$I$4),OR('Visual SPC'!$K$4="",'Data Entry'!$F2879='Visual SPC'!$K$4)),1,0))</f>
        <v/>
      </c>
      <c r="C2879">
        <f>C2878+B2879</f>
        <v/>
      </c>
      <c r="D2879">
        <f>IF(B2879=1,INDEX('Data Entry'!$H$5:$BE$10004,2879-4,'Visual SPC'!$B$3),"")</f>
        <v/>
      </c>
      <c r="E2879">
        <f>IF(B2879=1,D2879,E2878)</f>
        <v/>
      </c>
      <c r="F2879">
        <f>IF(AND(B2879=1,C2879&gt;1,E2878&lt;&gt;""),ABS(D2879-E2878),"")</f>
        <v/>
      </c>
    </row>
    <row r="2880">
      <c r="A2880" t="n">
        <v>2880</v>
      </c>
      <c r="B2880">
        <f>IF(INDEX('Data Entry'!$H$5:$BE$10004,2880-4,'Visual SPC'!$B$3)="",0,IF(AND(OR('Visual SPC'!$C$4="",'Data Entry'!$C2880&gt;='Visual SPC'!$C$4),OR('Visual SPC'!$E$4="",'Data Entry'!$C2880&lt;='Visual SPC'!$E$4),OR('Visual SPC'!$G$4="",'Data Entry'!$D2880='Visual SPC'!$G$4),OR('Visual SPC'!$I$4="",'Data Entry'!$E2880='Visual SPC'!$I$4),OR('Visual SPC'!$K$4="",'Data Entry'!$F2880='Visual SPC'!$K$4)),1,0))</f>
        <v/>
      </c>
      <c r="C2880">
        <f>C2879+B2880</f>
        <v/>
      </c>
      <c r="D2880">
        <f>IF(B2880=1,INDEX('Data Entry'!$H$5:$BE$10004,2880-4,'Visual SPC'!$B$3),"")</f>
        <v/>
      </c>
      <c r="E2880">
        <f>IF(B2880=1,D2880,E2879)</f>
        <v/>
      </c>
      <c r="F2880">
        <f>IF(AND(B2880=1,C2880&gt;1,E2879&lt;&gt;""),ABS(D2880-E2879),"")</f>
        <v/>
      </c>
    </row>
    <row r="2881">
      <c r="A2881" t="n">
        <v>2881</v>
      </c>
      <c r="B2881">
        <f>IF(INDEX('Data Entry'!$H$5:$BE$10004,2881-4,'Visual SPC'!$B$3)="",0,IF(AND(OR('Visual SPC'!$C$4="",'Data Entry'!$C2881&gt;='Visual SPC'!$C$4),OR('Visual SPC'!$E$4="",'Data Entry'!$C2881&lt;='Visual SPC'!$E$4),OR('Visual SPC'!$G$4="",'Data Entry'!$D2881='Visual SPC'!$G$4),OR('Visual SPC'!$I$4="",'Data Entry'!$E2881='Visual SPC'!$I$4),OR('Visual SPC'!$K$4="",'Data Entry'!$F2881='Visual SPC'!$K$4)),1,0))</f>
        <v/>
      </c>
      <c r="C2881">
        <f>C2880+B2881</f>
        <v/>
      </c>
      <c r="D2881">
        <f>IF(B2881=1,INDEX('Data Entry'!$H$5:$BE$10004,2881-4,'Visual SPC'!$B$3),"")</f>
        <v/>
      </c>
      <c r="E2881">
        <f>IF(B2881=1,D2881,E2880)</f>
        <v/>
      </c>
      <c r="F2881">
        <f>IF(AND(B2881=1,C2881&gt;1,E2880&lt;&gt;""),ABS(D2881-E2880),"")</f>
        <v/>
      </c>
    </row>
    <row r="2882">
      <c r="A2882" t="n">
        <v>2882</v>
      </c>
      <c r="B2882">
        <f>IF(INDEX('Data Entry'!$H$5:$BE$10004,2882-4,'Visual SPC'!$B$3)="",0,IF(AND(OR('Visual SPC'!$C$4="",'Data Entry'!$C2882&gt;='Visual SPC'!$C$4),OR('Visual SPC'!$E$4="",'Data Entry'!$C2882&lt;='Visual SPC'!$E$4),OR('Visual SPC'!$G$4="",'Data Entry'!$D2882='Visual SPC'!$G$4),OR('Visual SPC'!$I$4="",'Data Entry'!$E2882='Visual SPC'!$I$4),OR('Visual SPC'!$K$4="",'Data Entry'!$F2882='Visual SPC'!$K$4)),1,0))</f>
        <v/>
      </c>
      <c r="C2882">
        <f>C2881+B2882</f>
        <v/>
      </c>
      <c r="D2882">
        <f>IF(B2882=1,INDEX('Data Entry'!$H$5:$BE$10004,2882-4,'Visual SPC'!$B$3),"")</f>
        <v/>
      </c>
      <c r="E2882">
        <f>IF(B2882=1,D2882,E2881)</f>
        <v/>
      </c>
      <c r="F2882">
        <f>IF(AND(B2882=1,C2882&gt;1,E2881&lt;&gt;""),ABS(D2882-E2881),"")</f>
        <v/>
      </c>
    </row>
    <row r="2883">
      <c r="A2883" t="n">
        <v>2883</v>
      </c>
      <c r="B2883">
        <f>IF(INDEX('Data Entry'!$H$5:$BE$10004,2883-4,'Visual SPC'!$B$3)="",0,IF(AND(OR('Visual SPC'!$C$4="",'Data Entry'!$C2883&gt;='Visual SPC'!$C$4),OR('Visual SPC'!$E$4="",'Data Entry'!$C2883&lt;='Visual SPC'!$E$4),OR('Visual SPC'!$G$4="",'Data Entry'!$D2883='Visual SPC'!$G$4),OR('Visual SPC'!$I$4="",'Data Entry'!$E2883='Visual SPC'!$I$4),OR('Visual SPC'!$K$4="",'Data Entry'!$F2883='Visual SPC'!$K$4)),1,0))</f>
        <v/>
      </c>
      <c r="C2883">
        <f>C2882+B2883</f>
        <v/>
      </c>
      <c r="D2883">
        <f>IF(B2883=1,INDEX('Data Entry'!$H$5:$BE$10004,2883-4,'Visual SPC'!$B$3),"")</f>
        <v/>
      </c>
      <c r="E2883">
        <f>IF(B2883=1,D2883,E2882)</f>
        <v/>
      </c>
      <c r="F2883">
        <f>IF(AND(B2883=1,C2883&gt;1,E2882&lt;&gt;""),ABS(D2883-E2882),"")</f>
        <v/>
      </c>
    </row>
    <row r="2884">
      <c r="A2884" t="n">
        <v>2884</v>
      </c>
      <c r="B2884">
        <f>IF(INDEX('Data Entry'!$H$5:$BE$10004,2884-4,'Visual SPC'!$B$3)="",0,IF(AND(OR('Visual SPC'!$C$4="",'Data Entry'!$C2884&gt;='Visual SPC'!$C$4),OR('Visual SPC'!$E$4="",'Data Entry'!$C2884&lt;='Visual SPC'!$E$4),OR('Visual SPC'!$G$4="",'Data Entry'!$D2884='Visual SPC'!$G$4),OR('Visual SPC'!$I$4="",'Data Entry'!$E2884='Visual SPC'!$I$4),OR('Visual SPC'!$K$4="",'Data Entry'!$F2884='Visual SPC'!$K$4)),1,0))</f>
        <v/>
      </c>
      <c r="C2884">
        <f>C2883+B2884</f>
        <v/>
      </c>
      <c r="D2884">
        <f>IF(B2884=1,INDEX('Data Entry'!$H$5:$BE$10004,2884-4,'Visual SPC'!$B$3),"")</f>
        <v/>
      </c>
      <c r="E2884">
        <f>IF(B2884=1,D2884,E2883)</f>
        <v/>
      </c>
      <c r="F2884">
        <f>IF(AND(B2884=1,C2884&gt;1,E2883&lt;&gt;""),ABS(D2884-E2883),"")</f>
        <v/>
      </c>
    </row>
    <row r="2885">
      <c r="A2885" t="n">
        <v>2885</v>
      </c>
      <c r="B2885">
        <f>IF(INDEX('Data Entry'!$H$5:$BE$10004,2885-4,'Visual SPC'!$B$3)="",0,IF(AND(OR('Visual SPC'!$C$4="",'Data Entry'!$C2885&gt;='Visual SPC'!$C$4),OR('Visual SPC'!$E$4="",'Data Entry'!$C2885&lt;='Visual SPC'!$E$4),OR('Visual SPC'!$G$4="",'Data Entry'!$D2885='Visual SPC'!$G$4),OR('Visual SPC'!$I$4="",'Data Entry'!$E2885='Visual SPC'!$I$4),OR('Visual SPC'!$K$4="",'Data Entry'!$F2885='Visual SPC'!$K$4)),1,0))</f>
        <v/>
      </c>
      <c r="C2885">
        <f>C2884+B2885</f>
        <v/>
      </c>
      <c r="D2885">
        <f>IF(B2885=1,INDEX('Data Entry'!$H$5:$BE$10004,2885-4,'Visual SPC'!$B$3),"")</f>
        <v/>
      </c>
      <c r="E2885">
        <f>IF(B2885=1,D2885,E2884)</f>
        <v/>
      </c>
      <c r="F2885">
        <f>IF(AND(B2885=1,C2885&gt;1,E2884&lt;&gt;""),ABS(D2885-E2884),"")</f>
        <v/>
      </c>
    </row>
    <row r="2886">
      <c r="A2886" t="n">
        <v>2886</v>
      </c>
      <c r="B2886">
        <f>IF(INDEX('Data Entry'!$H$5:$BE$10004,2886-4,'Visual SPC'!$B$3)="",0,IF(AND(OR('Visual SPC'!$C$4="",'Data Entry'!$C2886&gt;='Visual SPC'!$C$4),OR('Visual SPC'!$E$4="",'Data Entry'!$C2886&lt;='Visual SPC'!$E$4),OR('Visual SPC'!$G$4="",'Data Entry'!$D2886='Visual SPC'!$G$4),OR('Visual SPC'!$I$4="",'Data Entry'!$E2886='Visual SPC'!$I$4),OR('Visual SPC'!$K$4="",'Data Entry'!$F2886='Visual SPC'!$K$4)),1,0))</f>
        <v/>
      </c>
      <c r="C2886">
        <f>C2885+B2886</f>
        <v/>
      </c>
      <c r="D2886">
        <f>IF(B2886=1,INDEX('Data Entry'!$H$5:$BE$10004,2886-4,'Visual SPC'!$B$3),"")</f>
        <v/>
      </c>
      <c r="E2886">
        <f>IF(B2886=1,D2886,E2885)</f>
        <v/>
      </c>
      <c r="F2886">
        <f>IF(AND(B2886=1,C2886&gt;1,E2885&lt;&gt;""),ABS(D2886-E2885),"")</f>
        <v/>
      </c>
    </row>
    <row r="2887">
      <c r="A2887" t="n">
        <v>2887</v>
      </c>
      <c r="B2887">
        <f>IF(INDEX('Data Entry'!$H$5:$BE$10004,2887-4,'Visual SPC'!$B$3)="",0,IF(AND(OR('Visual SPC'!$C$4="",'Data Entry'!$C2887&gt;='Visual SPC'!$C$4),OR('Visual SPC'!$E$4="",'Data Entry'!$C2887&lt;='Visual SPC'!$E$4),OR('Visual SPC'!$G$4="",'Data Entry'!$D2887='Visual SPC'!$G$4),OR('Visual SPC'!$I$4="",'Data Entry'!$E2887='Visual SPC'!$I$4),OR('Visual SPC'!$K$4="",'Data Entry'!$F2887='Visual SPC'!$K$4)),1,0))</f>
        <v/>
      </c>
      <c r="C2887">
        <f>C2886+B2887</f>
        <v/>
      </c>
      <c r="D2887">
        <f>IF(B2887=1,INDEX('Data Entry'!$H$5:$BE$10004,2887-4,'Visual SPC'!$B$3),"")</f>
        <v/>
      </c>
      <c r="E2887">
        <f>IF(B2887=1,D2887,E2886)</f>
        <v/>
      </c>
      <c r="F2887">
        <f>IF(AND(B2887=1,C2887&gt;1,E2886&lt;&gt;""),ABS(D2887-E2886),"")</f>
        <v/>
      </c>
    </row>
    <row r="2888">
      <c r="A2888" t="n">
        <v>2888</v>
      </c>
      <c r="B2888">
        <f>IF(INDEX('Data Entry'!$H$5:$BE$10004,2888-4,'Visual SPC'!$B$3)="",0,IF(AND(OR('Visual SPC'!$C$4="",'Data Entry'!$C2888&gt;='Visual SPC'!$C$4),OR('Visual SPC'!$E$4="",'Data Entry'!$C2888&lt;='Visual SPC'!$E$4),OR('Visual SPC'!$G$4="",'Data Entry'!$D2888='Visual SPC'!$G$4),OR('Visual SPC'!$I$4="",'Data Entry'!$E2888='Visual SPC'!$I$4),OR('Visual SPC'!$K$4="",'Data Entry'!$F2888='Visual SPC'!$K$4)),1,0))</f>
        <v/>
      </c>
      <c r="C2888">
        <f>C2887+B2888</f>
        <v/>
      </c>
      <c r="D2888">
        <f>IF(B2888=1,INDEX('Data Entry'!$H$5:$BE$10004,2888-4,'Visual SPC'!$B$3),"")</f>
        <v/>
      </c>
      <c r="E2888">
        <f>IF(B2888=1,D2888,E2887)</f>
        <v/>
      </c>
      <c r="F2888">
        <f>IF(AND(B2888=1,C2888&gt;1,E2887&lt;&gt;""),ABS(D2888-E2887),"")</f>
        <v/>
      </c>
    </row>
    <row r="2889">
      <c r="A2889" t="n">
        <v>2889</v>
      </c>
      <c r="B2889">
        <f>IF(INDEX('Data Entry'!$H$5:$BE$10004,2889-4,'Visual SPC'!$B$3)="",0,IF(AND(OR('Visual SPC'!$C$4="",'Data Entry'!$C2889&gt;='Visual SPC'!$C$4),OR('Visual SPC'!$E$4="",'Data Entry'!$C2889&lt;='Visual SPC'!$E$4),OR('Visual SPC'!$G$4="",'Data Entry'!$D2889='Visual SPC'!$G$4),OR('Visual SPC'!$I$4="",'Data Entry'!$E2889='Visual SPC'!$I$4),OR('Visual SPC'!$K$4="",'Data Entry'!$F2889='Visual SPC'!$K$4)),1,0))</f>
        <v/>
      </c>
      <c r="C2889">
        <f>C2888+B2889</f>
        <v/>
      </c>
      <c r="D2889">
        <f>IF(B2889=1,INDEX('Data Entry'!$H$5:$BE$10004,2889-4,'Visual SPC'!$B$3),"")</f>
        <v/>
      </c>
      <c r="E2889">
        <f>IF(B2889=1,D2889,E2888)</f>
        <v/>
      </c>
      <c r="F2889">
        <f>IF(AND(B2889=1,C2889&gt;1,E2888&lt;&gt;""),ABS(D2889-E2888),"")</f>
        <v/>
      </c>
    </row>
    <row r="2890">
      <c r="A2890" t="n">
        <v>2890</v>
      </c>
      <c r="B2890">
        <f>IF(INDEX('Data Entry'!$H$5:$BE$10004,2890-4,'Visual SPC'!$B$3)="",0,IF(AND(OR('Visual SPC'!$C$4="",'Data Entry'!$C2890&gt;='Visual SPC'!$C$4),OR('Visual SPC'!$E$4="",'Data Entry'!$C2890&lt;='Visual SPC'!$E$4),OR('Visual SPC'!$G$4="",'Data Entry'!$D2890='Visual SPC'!$G$4),OR('Visual SPC'!$I$4="",'Data Entry'!$E2890='Visual SPC'!$I$4),OR('Visual SPC'!$K$4="",'Data Entry'!$F2890='Visual SPC'!$K$4)),1,0))</f>
        <v/>
      </c>
      <c r="C2890">
        <f>C2889+B2890</f>
        <v/>
      </c>
      <c r="D2890">
        <f>IF(B2890=1,INDEX('Data Entry'!$H$5:$BE$10004,2890-4,'Visual SPC'!$B$3),"")</f>
        <v/>
      </c>
      <c r="E2890">
        <f>IF(B2890=1,D2890,E2889)</f>
        <v/>
      </c>
      <c r="F2890">
        <f>IF(AND(B2890=1,C2890&gt;1,E2889&lt;&gt;""),ABS(D2890-E2889),"")</f>
        <v/>
      </c>
    </row>
    <row r="2891">
      <c r="A2891" t="n">
        <v>2891</v>
      </c>
      <c r="B2891">
        <f>IF(INDEX('Data Entry'!$H$5:$BE$10004,2891-4,'Visual SPC'!$B$3)="",0,IF(AND(OR('Visual SPC'!$C$4="",'Data Entry'!$C2891&gt;='Visual SPC'!$C$4),OR('Visual SPC'!$E$4="",'Data Entry'!$C2891&lt;='Visual SPC'!$E$4),OR('Visual SPC'!$G$4="",'Data Entry'!$D2891='Visual SPC'!$G$4),OR('Visual SPC'!$I$4="",'Data Entry'!$E2891='Visual SPC'!$I$4),OR('Visual SPC'!$K$4="",'Data Entry'!$F2891='Visual SPC'!$K$4)),1,0))</f>
        <v/>
      </c>
      <c r="C2891">
        <f>C2890+B2891</f>
        <v/>
      </c>
      <c r="D2891">
        <f>IF(B2891=1,INDEX('Data Entry'!$H$5:$BE$10004,2891-4,'Visual SPC'!$B$3),"")</f>
        <v/>
      </c>
      <c r="E2891">
        <f>IF(B2891=1,D2891,E2890)</f>
        <v/>
      </c>
      <c r="F2891">
        <f>IF(AND(B2891=1,C2891&gt;1,E2890&lt;&gt;""),ABS(D2891-E2890),"")</f>
        <v/>
      </c>
    </row>
    <row r="2892">
      <c r="A2892" t="n">
        <v>2892</v>
      </c>
      <c r="B2892">
        <f>IF(INDEX('Data Entry'!$H$5:$BE$10004,2892-4,'Visual SPC'!$B$3)="",0,IF(AND(OR('Visual SPC'!$C$4="",'Data Entry'!$C2892&gt;='Visual SPC'!$C$4),OR('Visual SPC'!$E$4="",'Data Entry'!$C2892&lt;='Visual SPC'!$E$4),OR('Visual SPC'!$G$4="",'Data Entry'!$D2892='Visual SPC'!$G$4),OR('Visual SPC'!$I$4="",'Data Entry'!$E2892='Visual SPC'!$I$4),OR('Visual SPC'!$K$4="",'Data Entry'!$F2892='Visual SPC'!$K$4)),1,0))</f>
        <v/>
      </c>
      <c r="C2892">
        <f>C2891+B2892</f>
        <v/>
      </c>
      <c r="D2892">
        <f>IF(B2892=1,INDEX('Data Entry'!$H$5:$BE$10004,2892-4,'Visual SPC'!$B$3),"")</f>
        <v/>
      </c>
      <c r="E2892">
        <f>IF(B2892=1,D2892,E2891)</f>
        <v/>
      </c>
      <c r="F2892">
        <f>IF(AND(B2892=1,C2892&gt;1,E2891&lt;&gt;""),ABS(D2892-E2891),"")</f>
        <v/>
      </c>
    </row>
    <row r="2893">
      <c r="A2893" t="n">
        <v>2893</v>
      </c>
      <c r="B2893">
        <f>IF(INDEX('Data Entry'!$H$5:$BE$10004,2893-4,'Visual SPC'!$B$3)="",0,IF(AND(OR('Visual SPC'!$C$4="",'Data Entry'!$C2893&gt;='Visual SPC'!$C$4),OR('Visual SPC'!$E$4="",'Data Entry'!$C2893&lt;='Visual SPC'!$E$4),OR('Visual SPC'!$G$4="",'Data Entry'!$D2893='Visual SPC'!$G$4),OR('Visual SPC'!$I$4="",'Data Entry'!$E2893='Visual SPC'!$I$4),OR('Visual SPC'!$K$4="",'Data Entry'!$F2893='Visual SPC'!$K$4)),1,0))</f>
        <v/>
      </c>
      <c r="C2893">
        <f>C2892+B2893</f>
        <v/>
      </c>
      <c r="D2893">
        <f>IF(B2893=1,INDEX('Data Entry'!$H$5:$BE$10004,2893-4,'Visual SPC'!$B$3),"")</f>
        <v/>
      </c>
      <c r="E2893">
        <f>IF(B2893=1,D2893,E2892)</f>
        <v/>
      </c>
      <c r="F2893">
        <f>IF(AND(B2893=1,C2893&gt;1,E2892&lt;&gt;""),ABS(D2893-E2892),"")</f>
        <v/>
      </c>
    </row>
    <row r="2894">
      <c r="A2894" t="n">
        <v>2894</v>
      </c>
      <c r="B2894">
        <f>IF(INDEX('Data Entry'!$H$5:$BE$10004,2894-4,'Visual SPC'!$B$3)="",0,IF(AND(OR('Visual SPC'!$C$4="",'Data Entry'!$C2894&gt;='Visual SPC'!$C$4),OR('Visual SPC'!$E$4="",'Data Entry'!$C2894&lt;='Visual SPC'!$E$4),OR('Visual SPC'!$G$4="",'Data Entry'!$D2894='Visual SPC'!$G$4),OR('Visual SPC'!$I$4="",'Data Entry'!$E2894='Visual SPC'!$I$4),OR('Visual SPC'!$K$4="",'Data Entry'!$F2894='Visual SPC'!$K$4)),1,0))</f>
        <v/>
      </c>
      <c r="C2894">
        <f>C2893+B2894</f>
        <v/>
      </c>
      <c r="D2894">
        <f>IF(B2894=1,INDEX('Data Entry'!$H$5:$BE$10004,2894-4,'Visual SPC'!$B$3),"")</f>
        <v/>
      </c>
      <c r="E2894">
        <f>IF(B2894=1,D2894,E2893)</f>
        <v/>
      </c>
      <c r="F2894">
        <f>IF(AND(B2894=1,C2894&gt;1,E2893&lt;&gt;""),ABS(D2894-E2893),"")</f>
        <v/>
      </c>
    </row>
    <row r="2895">
      <c r="A2895" t="n">
        <v>2895</v>
      </c>
      <c r="B2895">
        <f>IF(INDEX('Data Entry'!$H$5:$BE$10004,2895-4,'Visual SPC'!$B$3)="",0,IF(AND(OR('Visual SPC'!$C$4="",'Data Entry'!$C2895&gt;='Visual SPC'!$C$4),OR('Visual SPC'!$E$4="",'Data Entry'!$C2895&lt;='Visual SPC'!$E$4),OR('Visual SPC'!$G$4="",'Data Entry'!$D2895='Visual SPC'!$G$4),OR('Visual SPC'!$I$4="",'Data Entry'!$E2895='Visual SPC'!$I$4),OR('Visual SPC'!$K$4="",'Data Entry'!$F2895='Visual SPC'!$K$4)),1,0))</f>
        <v/>
      </c>
      <c r="C2895">
        <f>C2894+B2895</f>
        <v/>
      </c>
      <c r="D2895">
        <f>IF(B2895=1,INDEX('Data Entry'!$H$5:$BE$10004,2895-4,'Visual SPC'!$B$3),"")</f>
        <v/>
      </c>
      <c r="E2895">
        <f>IF(B2895=1,D2895,E2894)</f>
        <v/>
      </c>
      <c r="F2895">
        <f>IF(AND(B2895=1,C2895&gt;1,E2894&lt;&gt;""),ABS(D2895-E2894),"")</f>
        <v/>
      </c>
    </row>
    <row r="2896">
      <c r="A2896" t="n">
        <v>2896</v>
      </c>
      <c r="B2896">
        <f>IF(INDEX('Data Entry'!$H$5:$BE$10004,2896-4,'Visual SPC'!$B$3)="",0,IF(AND(OR('Visual SPC'!$C$4="",'Data Entry'!$C2896&gt;='Visual SPC'!$C$4),OR('Visual SPC'!$E$4="",'Data Entry'!$C2896&lt;='Visual SPC'!$E$4),OR('Visual SPC'!$G$4="",'Data Entry'!$D2896='Visual SPC'!$G$4),OR('Visual SPC'!$I$4="",'Data Entry'!$E2896='Visual SPC'!$I$4),OR('Visual SPC'!$K$4="",'Data Entry'!$F2896='Visual SPC'!$K$4)),1,0))</f>
        <v/>
      </c>
      <c r="C2896">
        <f>C2895+B2896</f>
        <v/>
      </c>
      <c r="D2896">
        <f>IF(B2896=1,INDEX('Data Entry'!$H$5:$BE$10004,2896-4,'Visual SPC'!$B$3),"")</f>
        <v/>
      </c>
      <c r="E2896">
        <f>IF(B2896=1,D2896,E2895)</f>
        <v/>
      </c>
      <c r="F2896">
        <f>IF(AND(B2896=1,C2896&gt;1,E2895&lt;&gt;""),ABS(D2896-E2895),"")</f>
        <v/>
      </c>
    </row>
    <row r="2897">
      <c r="A2897" t="n">
        <v>2897</v>
      </c>
      <c r="B2897">
        <f>IF(INDEX('Data Entry'!$H$5:$BE$10004,2897-4,'Visual SPC'!$B$3)="",0,IF(AND(OR('Visual SPC'!$C$4="",'Data Entry'!$C2897&gt;='Visual SPC'!$C$4),OR('Visual SPC'!$E$4="",'Data Entry'!$C2897&lt;='Visual SPC'!$E$4),OR('Visual SPC'!$G$4="",'Data Entry'!$D2897='Visual SPC'!$G$4),OR('Visual SPC'!$I$4="",'Data Entry'!$E2897='Visual SPC'!$I$4),OR('Visual SPC'!$K$4="",'Data Entry'!$F2897='Visual SPC'!$K$4)),1,0))</f>
        <v/>
      </c>
      <c r="C2897">
        <f>C2896+B2897</f>
        <v/>
      </c>
      <c r="D2897">
        <f>IF(B2897=1,INDEX('Data Entry'!$H$5:$BE$10004,2897-4,'Visual SPC'!$B$3),"")</f>
        <v/>
      </c>
      <c r="E2897">
        <f>IF(B2897=1,D2897,E2896)</f>
        <v/>
      </c>
      <c r="F2897">
        <f>IF(AND(B2897=1,C2897&gt;1,E2896&lt;&gt;""),ABS(D2897-E2896),"")</f>
        <v/>
      </c>
    </row>
    <row r="2898">
      <c r="A2898" t="n">
        <v>2898</v>
      </c>
      <c r="B2898">
        <f>IF(INDEX('Data Entry'!$H$5:$BE$10004,2898-4,'Visual SPC'!$B$3)="",0,IF(AND(OR('Visual SPC'!$C$4="",'Data Entry'!$C2898&gt;='Visual SPC'!$C$4),OR('Visual SPC'!$E$4="",'Data Entry'!$C2898&lt;='Visual SPC'!$E$4),OR('Visual SPC'!$G$4="",'Data Entry'!$D2898='Visual SPC'!$G$4),OR('Visual SPC'!$I$4="",'Data Entry'!$E2898='Visual SPC'!$I$4),OR('Visual SPC'!$K$4="",'Data Entry'!$F2898='Visual SPC'!$K$4)),1,0))</f>
        <v/>
      </c>
      <c r="C2898">
        <f>C2897+B2898</f>
        <v/>
      </c>
      <c r="D2898">
        <f>IF(B2898=1,INDEX('Data Entry'!$H$5:$BE$10004,2898-4,'Visual SPC'!$B$3),"")</f>
        <v/>
      </c>
      <c r="E2898">
        <f>IF(B2898=1,D2898,E2897)</f>
        <v/>
      </c>
      <c r="F2898">
        <f>IF(AND(B2898=1,C2898&gt;1,E2897&lt;&gt;""),ABS(D2898-E2897),"")</f>
        <v/>
      </c>
    </row>
    <row r="2899">
      <c r="A2899" t="n">
        <v>2899</v>
      </c>
      <c r="B2899">
        <f>IF(INDEX('Data Entry'!$H$5:$BE$10004,2899-4,'Visual SPC'!$B$3)="",0,IF(AND(OR('Visual SPC'!$C$4="",'Data Entry'!$C2899&gt;='Visual SPC'!$C$4),OR('Visual SPC'!$E$4="",'Data Entry'!$C2899&lt;='Visual SPC'!$E$4),OR('Visual SPC'!$G$4="",'Data Entry'!$D2899='Visual SPC'!$G$4),OR('Visual SPC'!$I$4="",'Data Entry'!$E2899='Visual SPC'!$I$4),OR('Visual SPC'!$K$4="",'Data Entry'!$F2899='Visual SPC'!$K$4)),1,0))</f>
        <v/>
      </c>
      <c r="C2899">
        <f>C2898+B2899</f>
        <v/>
      </c>
      <c r="D2899">
        <f>IF(B2899=1,INDEX('Data Entry'!$H$5:$BE$10004,2899-4,'Visual SPC'!$B$3),"")</f>
        <v/>
      </c>
      <c r="E2899">
        <f>IF(B2899=1,D2899,E2898)</f>
        <v/>
      </c>
      <c r="F2899">
        <f>IF(AND(B2899=1,C2899&gt;1,E2898&lt;&gt;""),ABS(D2899-E2898),"")</f>
        <v/>
      </c>
    </row>
    <row r="2900">
      <c r="A2900" t="n">
        <v>2900</v>
      </c>
      <c r="B2900">
        <f>IF(INDEX('Data Entry'!$H$5:$BE$10004,2900-4,'Visual SPC'!$B$3)="",0,IF(AND(OR('Visual SPC'!$C$4="",'Data Entry'!$C2900&gt;='Visual SPC'!$C$4),OR('Visual SPC'!$E$4="",'Data Entry'!$C2900&lt;='Visual SPC'!$E$4),OR('Visual SPC'!$G$4="",'Data Entry'!$D2900='Visual SPC'!$G$4),OR('Visual SPC'!$I$4="",'Data Entry'!$E2900='Visual SPC'!$I$4),OR('Visual SPC'!$K$4="",'Data Entry'!$F2900='Visual SPC'!$K$4)),1,0))</f>
        <v/>
      </c>
      <c r="C2900">
        <f>C2899+B2900</f>
        <v/>
      </c>
      <c r="D2900">
        <f>IF(B2900=1,INDEX('Data Entry'!$H$5:$BE$10004,2900-4,'Visual SPC'!$B$3),"")</f>
        <v/>
      </c>
      <c r="E2900">
        <f>IF(B2900=1,D2900,E2899)</f>
        <v/>
      </c>
      <c r="F2900">
        <f>IF(AND(B2900=1,C2900&gt;1,E2899&lt;&gt;""),ABS(D2900-E2899),"")</f>
        <v/>
      </c>
    </row>
    <row r="2901">
      <c r="A2901" t="n">
        <v>2901</v>
      </c>
      <c r="B2901">
        <f>IF(INDEX('Data Entry'!$H$5:$BE$10004,2901-4,'Visual SPC'!$B$3)="",0,IF(AND(OR('Visual SPC'!$C$4="",'Data Entry'!$C2901&gt;='Visual SPC'!$C$4),OR('Visual SPC'!$E$4="",'Data Entry'!$C2901&lt;='Visual SPC'!$E$4),OR('Visual SPC'!$G$4="",'Data Entry'!$D2901='Visual SPC'!$G$4),OR('Visual SPC'!$I$4="",'Data Entry'!$E2901='Visual SPC'!$I$4),OR('Visual SPC'!$K$4="",'Data Entry'!$F2901='Visual SPC'!$K$4)),1,0))</f>
        <v/>
      </c>
      <c r="C2901">
        <f>C2900+B2901</f>
        <v/>
      </c>
      <c r="D2901">
        <f>IF(B2901=1,INDEX('Data Entry'!$H$5:$BE$10004,2901-4,'Visual SPC'!$B$3),"")</f>
        <v/>
      </c>
      <c r="E2901">
        <f>IF(B2901=1,D2901,E2900)</f>
        <v/>
      </c>
      <c r="F2901">
        <f>IF(AND(B2901=1,C2901&gt;1,E2900&lt;&gt;""),ABS(D2901-E2900),"")</f>
        <v/>
      </c>
    </row>
    <row r="2902">
      <c r="A2902" t="n">
        <v>2902</v>
      </c>
      <c r="B2902">
        <f>IF(INDEX('Data Entry'!$H$5:$BE$10004,2902-4,'Visual SPC'!$B$3)="",0,IF(AND(OR('Visual SPC'!$C$4="",'Data Entry'!$C2902&gt;='Visual SPC'!$C$4),OR('Visual SPC'!$E$4="",'Data Entry'!$C2902&lt;='Visual SPC'!$E$4),OR('Visual SPC'!$G$4="",'Data Entry'!$D2902='Visual SPC'!$G$4),OR('Visual SPC'!$I$4="",'Data Entry'!$E2902='Visual SPC'!$I$4),OR('Visual SPC'!$K$4="",'Data Entry'!$F2902='Visual SPC'!$K$4)),1,0))</f>
        <v/>
      </c>
      <c r="C2902">
        <f>C2901+B2902</f>
        <v/>
      </c>
      <c r="D2902">
        <f>IF(B2902=1,INDEX('Data Entry'!$H$5:$BE$10004,2902-4,'Visual SPC'!$B$3),"")</f>
        <v/>
      </c>
      <c r="E2902">
        <f>IF(B2902=1,D2902,E2901)</f>
        <v/>
      </c>
      <c r="F2902">
        <f>IF(AND(B2902=1,C2902&gt;1,E2901&lt;&gt;""),ABS(D2902-E2901),"")</f>
        <v/>
      </c>
    </row>
    <row r="2903">
      <c r="A2903" t="n">
        <v>2903</v>
      </c>
      <c r="B2903">
        <f>IF(INDEX('Data Entry'!$H$5:$BE$10004,2903-4,'Visual SPC'!$B$3)="",0,IF(AND(OR('Visual SPC'!$C$4="",'Data Entry'!$C2903&gt;='Visual SPC'!$C$4),OR('Visual SPC'!$E$4="",'Data Entry'!$C2903&lt;='Visual SPC'!$E$4),OR('Visual SPC'!$G$4="",'Data Entry'!$D2903='Visual SPC'!$G$4),OR('Visual SPC'!$I$4="",'Data Entry'!$E2903='Visual SPC'!$I$4),OR('Visual SPC'!$K$4="",'Data Entry'!$F2903='Visual SPC'!$K$4)),1,0))</f>
        <v/>
      </c>
      <c r="C2903">
        <f>C2902+B2903</f>
        <v/>
      </c>
      <c r="D2903">
        <f>IF(B2903=1,INDEX('Data Entry'!$H$5:$BE$10004,2903-4,'Visual SPC'!$B$3),"")</f>
        <v/>
      </c>
      <c r="E2903">
        <f>IF(B2903=1,D2903,E2902)</f>
        <v/>
      </c>
      <c r="F2903">
        <f>IF(AND(B2903=1,C2903&gt;1,E2902&lt;&gt;""),ABS(D2903-E2902),"")</f>
        <v/>
      </c>
    </row>
    <row r="2904">
      <c r="A2904" t="n">
        <v>2904</v>
      </c>
      <c r="B2904">
        <f>IF(INDEX('Data Entry'!$H$5:$BE$10004,2904-4,'Visual SPC'!$B$3)="",0,IF(AND(OR('Visual SPC'!$C$4="",'Data Entry'!$C2904&gt;='Visual SPC'!$C$4),OR('Visual SPC'!$E$4="",'Data Entry'!$C2904&lt;='Visual SPC'!$E$4),OR('Visual SPC'!$G$4="",'Data Entry'!$D2904='Visual SPC'!$G$4),OR('Visual SPC'!$I$4="",'Data Entry'!$E2904='Visual SPC'!$I$4),OR('Visual SPC'!$K$4="",'Data Entry'!$F2904='Visual SPC'!$K$4)),1,0))</f>
        <v/>
      </c>
      <c r="C2904">
        <f>C2903+B2904</f>
        <v/>
      </c>
      <c r="D2904">
        <f>IF(B2904=1,INDEX('Data Entry'!$H$5:$BE$10004,2904-4,'Visual SPC'!$B$3),"")</f>
        <v/>
      </c>
      <c r="E2904">
        <f>IF(B2904=1,D2904,E2903)</f>
        <v/>
      </c>
      <c r="F2904">
        <f>IF(AND(B2904=1,C2904&gt;1,E2903&lt;&gt;""),ABS(D2904-E2903),"")</f>
        <v/>
      </c>
    </row>
    <row r="2905">
      <c r="A2905" t="n">
        <v>2905</v>
      </c>
      <c r="B2905">
        <f>IF(INDEX('Data Entry'!$H$5:$BE$10004,2905-4,'Visual SPC'!$B$3)="",0,IF(AND(OR('Visual SPC'!$C$4="",'Data Entry'!$C2905&gt;='Visual SPC'!$C$4),OR('Visual SPC'!$E$4="",'Data Entry'!$C2905&lt;='Visual SPC'!$E$4),OR('Visual SPC'!$G$4="",'Data Entry'!$D2905='Visual SPC'!$G$4),OR('Visual SPC'!$I$4="",'Data Entry'!$E2905='Visual SPC'!$I$4),OR('Visual SPC'!$K$4="",'Data Entry'!$F2905='Visual SPC'!$K$4)),1,0))</f>
        <v/>
      </c>
      <c r="C2905">
        <f>C2904+B2905</f>
        <v/>
      </c>
      <c r="D2905">
        <f>IF(B2905=1,INDEX('Data Entry'!$H$5:$BE$10004,2905-4,'Visual SPC'!$B$3),"")</f>
        <v/>
      </c>
      <c r="E2905">
        <f>IF(B2905=1,D2905,E2904)</f>
        <v/>
      </c>
      <c r="F2905">
        <f>IF(AND(B2905=1,C2905&gt;1,E2904&lt;&gt;""),ABS(D2905-E2904),"")</f>
        <v/>
      </c>
    </row>
    <row r="2906">
      <c r="A2906" t="n">
        <v>2906</v>
      </c>
      <c r="B2906">
        <f>IF(INDEX('Data Entry'!$H$5:$BE$10004,2906-4,'Visual SPC'!$B$3)="",0,IF(AND(OR('Visual SPC'!$C$4="",'Data Entry'!$C2906&gt;='Visual SPC'!$C$4),OR('Visual SPC'!$E$4="",'Data Entry'!$C2906&lt;='Visual SPC'!$E$4),OR('Visual SPC'!$G$4="",'Data Entry'!$D2906='Visual SPC'!$G$4),OR('Visual SPC'!$I$4="",'Data Entry'!$E2906='Visual SPC'!$I$4),OR('Visual SPC'!$K$4="",'Data Entry'!$F2906='Visual SPC'!$K$4)),1,0))</f>
        <v/>
      </c>
      <c r="C2906">
        <f>C2905+B2906</f>
        <v/>
      </c>
      <c r="D2906">
        <f>IF(B2906=1,INDEX('Data Entry'!$H$5:$BE$10004,2906-4,'Visual SPC'!$B$3),"")</f>
        <v/>
      </c>
      <c r="E2906">
        <f>IF(B2906=1,D2906,E2905)</f>
        <v/>
      </c>
      <c r="F2906">
        <f>IF(AND(B2906=1,C2906&gt;1,E2905&lt;&gt;""),ABS(D2906-E2905),"")</f>
        <v/>
      </c>
    </row>
    <row r="2907">
      <c r="A2907" t="n">
        <v>2907</v>
      </c>
      <c r="B2907">
        <f>IF(INDEX('Data Entry'!$H$5:$BE$10004,2907-4,'Visual SPC'!$B$3)="",0,IF(AND(OR('Visual SPC'!$C$4="",'Data Entry'!$C2907&gt;='Visual SPC'!$C$4),OR('Visual SPC'!$E$4="",'Data Entry'!$C2907&lt;='Visual SPC'!$E$4),OR('Visual SPC'!$G$4="",'Data Entry'!$D2907='Visual SPC'!$G$4),OR('Visual SPC'!$I$4="",'Data Entry'!$E2907='Visual SPC'!$I$4),OR('Visual SPC'!$K$4="",'Data Entry'!$F2907='Visual SPC'!$K$4)),1,0))</f>
        <v/>
      </c>
      <c r="C2907">
        <f>C2906+B2907</f>
        <v/>
      </c>
      <c r="D2907">
        <f>IF(B2907=1,INDEX('Data Entry'!$H$5:$BE$10004,2907-4,'Visual SPC'!$B$3),"")</f>
        <v/>
      </c>
      <c r="E2907">
        <f>IF(B2907=1,D2907,E2906)</f>
        <v/>
      </c>
      <c r="F2907">
        <f>IF(AND(B2907=1,C2907&gt;1,E2906&lt;&gt;""),ABS(D2907-E2906),"")</f>
        <v/>
      </c>
    </row>
    <row r="2908">
      <c r="A2908" t="n">
        <v>2908</v>
      </c>
      <c r="B2908">
        <f>IF(INDEX('Data Entry'!$H$5:$BE$10004,2908-4,'Visual SPC'!$B$3)="",0,IF(AND(OR('Visual SPC'!$C$4="",'Data Entry'!$C2908&gt;='Visual SPC'!$C$4),OR('Visual SPC'!$E$4="",'Data Entry'!$C2908&lt;='Visual SPC'!$E$4),OR('Visual SPC'!$G$4="",'Data Entry'!$D2908='Visual SPC'!$G$4),OR('Visual SPC'!$I$4="",'Data Entry'!$E2908='Visual SPC'!$I$4),OR('Visual SPC'!$K$4="",'Data Entry'!$F2908='Visual SPC'!$K$4)),1,0))</f>
        <v/>
      </c>
      <c r="C2908">
        <f>C2907+B2908</f>
        <v/>
      </c>
      <c r="D2908">
        <f>IF(B2908=1,INDEX('Data Entry'!$H$5:$BE$10004,2908-4,'Visual SPC'!$B$3),"")</f>
        <v/>
      </c>
      <c r="E2908">
        <f>IF(B2908=1,D2908,E2907)</f>
        <v/>
      </c>
      <c r="F2908">
        <f>IF(AND(B2908=1,C2908&gt;1,E2907&lt;&gt;""),ABS(D2908-E2907),"")</f>
        <v/>
      </c>
    </row>
    <row r="2909">
      <c r="A2909" t="n">
        <v>2909</v>
      </c>
      <c r="B2909">
        <f>IF(INDEX('Data Entry'!$H$5:$BE$10004,2909-4,'Visual SPC'!$B$3)="",0,IF(AND(OR('Visual SPC'!$C$4="",'Data Entry'!$C2909&gt;='Visual SPC'!$C$4),OR('Visual SPC'!$E$4="",'Data Entry'!$C2909&lt;='Visual SPC'!$E$4),OR('Visual SPC'!$G$4="",'Data Entry'!$D2909='Visual SPC'!$G$4),OR('Visual SPC'!$I$4="",'Data Entry'!$E2909='Visual SPC'!$I$4),OR('Visual SPC'!$K$4="",'Data Entry'!$F2909='Visual SPC'!$K$4)),1,0))</f>
        <v/>
      </c>
      <c r="C2909">
        <f>C2908+B2909</f>
        <v/>
      </c>
      <c r="D2909">
        <f>IF(B2909=1,INDEX('Data Entry'!$H$5:$BE$10004,2909-4,'Visual SPC'!$B$3),"")</f>
        <v/>
      </c>
      <c r="E2909">
        <f>IF(B2909=1,D2909,E2908)</f>
        <v/>
      </c>
      <c r="F2909">
        <f>IF(AND(B2909=1,C2909&gt;1,E2908&lt;&gt;""),ABS(D2909-E2908),"")</f>
        <v/>
      </c>
    </row>
    <row r="2910">
      <c r="A2910" t="n">
        <v>2910</v>
      </c>
      <c r="B2910">
        <f>IF(INDEX('Data Entry'!$H$5:$BE$10004,2910-4,'Visual SPC'!$B$3)="",0,IF(AND(OR('Visual SPC'!$C$4="",'Data Entry'!$C2910&gt;='Visual SPC'!$C$4),OR('Visual SPC'!$E$4="",'Data Entry'!$C2910&lt;='Visual SPC'!$E$4),OR('Visual SPC'!$G$4="",'Data Entry'!$D2910='Visual SPC'!$G$4),OR('Visual SPC'!$I$4="",'Data Entry'!$E2910='Visual SPC'!$I$4),OR('Visual SPC'!$K$4="",'Data Entry'!$F2910='Visual SPC'!$K$4)),1,0))</f>
        <v/>
      </c>
      <c r="C2910">
        <f>C2909+B2910</f>
        <v/>
      </c>
      <c r="D2910">
        <f>IF(B2910=1,INDEX('Data Entry'!$H$5:$BE$10004,2910-4,'Visual SPC'!$B$3),"")</f>
        <v/>
      </c>
      <c r="E2910">
        <f>IF(B2910=1,D2910,E2909)</f>
        <v/>
      </c>
      <c r="F2910">
        <f>IF(AND(B2910=1,C2910&gt;1,E2909&lt;&gt;""),ABS(D2910-E2909),"")</f>
        <v/>
      </c>
    </row>
    <row r="2911">
      <c r="A2911" t="n">
        <v>2911</v>
      </c>
      <c r="B2911">
        <f>IF(INDEX('Data Entry'!$H$5:$BE$10004,2911-4,'Visual SPC'!$B$3)="",0,IF(AND(OR('Visual SPC'!$C$4="",'Data Entry'!$C2911&gt;='Visual SPC'!$C$4),OR('Visual SPC'!$E$4="",'Data Entry'!$C2911&lt;='Visual SPC'!$E$4),OR('Visual SPC'!$G$4="",'Data Entry'!$D2911='Visual SPC'!$G$4),OR('Visual SPC'!$I$4="",'Data Entry'!$E2911='Visual SPC'!$I$4),OR('Visual SPC'!$K$4="",'Data Entry'!$F2911='Visual SPC'!$K$4)),1,0))</f>
        <v/>
      </c>
      <c r="C2911">
        <f>C2910+B2911</f>
        <v/>
      </c>
      <c r="D2911">
        <f>IF(B2911=1,INDEX('Data Entry'!$H$5:$BE$10004,2911-4,'Visual SPC'!$B$3),"")</f>
        <v/>
      </c>
      <c r="E2911">
        <f>IF(B2911=1,D2911,E2910)</f>
        <v/>
      </c>
      <c r="F2911">
        <f>IF(AND(B2911=1,C2911&gt;1,E2910&lt;&gt;""),ABS(D2911-E2910),"")</f>
        <v/>
      </c>
    </row>
    <row r="2912">
      <c r="A2912" t="n">
        <v>2912</v>
      </c>
      <c r="B2912">
        <f>IF(INDEX('Data Entry'!$H$5:$BE$10004,2912-4,'Visual SPC'!$B$3)="",0,IF(AND(OR('Visual SPC'!$C$4="",'Data Entry'!$C2912&gt;='Visual SPC'!$C$4),OR('Visual SPC'!$E$4="",'Data Entry'!$C2912&lt;='Visual SPC'!$E$4),OR('Visual SPC'!$G$4="",'Data Entry'!$D2912='Visual SPC'!$G$4),OR('Visual SPC'!$I$4="",'Data Entry'!$E2912='Visual SPC'!$I$4),OR('Visual SPC'!$K$4="",'Data Entry'!$F2912='Visual SPC'!$K$4)),1,0))</f>
        <v/>
      </c>
      <c r="C2912">
        <f>C2911+B2912</f>
        <v/>
      </c>
      <c r="D2912">
        <f>IF(B2912=1,INDEX('Data Entry'!$H$5:$BE$10004,2912-4,'Visual SPC'!$B$3),"")</f>
        <v/>
      </c>
      <c r="E2912">
        <f>IF(B2912=1,D2912,E2911)</f>
        <v/>
      </c>
      <c r="F2912">
        <f>IF(AND(B2912=1,C2912&gt;1,E2911&lt;&gt;""),ABS(D2912-E2911),"")</f>
        <v/>
      </c>
    </row>
    <row r="2913">
      <c r="A2913" t="n">
        <v>2913</v>
      </c>
      <c r="B2913">
        <f>IF(INDEX('Data Entry'!$H$5:$BE$10004,2913-4,'Visual SPC'!$B$3)="",0,IF(AND(OR('Visual SPC'!$C$4="",'Data Entry'!$C2913&gt;='Visual SPC'!$C$4),OR('Visual SPC'!$E$4="",'Data Entry'!$C2913&lt;='Visual SPC'!$E$4),OR('Visual SPC'!$G$4="",'Data Entry'!$D2913='Visual SPC'!$G$4),OR('Visual SPC'!$I$4="",'Data Entry'!$E2913='Visual SPC'!$I$4),OR('Visual SPC'!$K$4="",'Data Entry'!$F2913='Visual SPC'!$K$4)),1,0))</f>
        <v/>
      </c>
      <c r="C2913">
        <f>C2912+B2913</f>
        <v/>
      </c>
      <c r="D2913">
        <f>IF(B2913=1,INDEX('Data Entry'!$H$5:$BE$10004,2913-4,'Visual SPC'!$B$3),"")</f>
        <v/>
      </c>
      <c r="E2913">
        <f>IF(B2913=1,D2913,E2912)</f>
        <v/>
      </c>
      <c r="F2913">
        <f>IF(AND(B2913=1,C2913&gt;1,E2912&lt;&gt;""),ABS(D2913-E2912),"")</f>
        <v/>
      </c>
    </row>
    <row r="2914">
      <c r="A2914" t="n">
        <v>2914</v>
      </c>
      <c r="B2914">
        <f>IF(INDEX('Data Entry'!$H$5:$BE$10004,2914-4,'Visual SPC'!$B$3)="",0,IF(AND(OR('Visual SPC'!$C$4="",'Data Entry'!$C2914&gt;='Visual SPC'!$C$4),OR('Visual SPC'!$E$4="",'Data Entry'!$C2914&lt;='Visual SPC'!$E$4),OR('Visual SPC'!$G$4="",'Data Entry'!$D2914='Visual SPC'!$G$4),OR('Visual SPC'!$I$4="",'Data Entry'!$E2914='Visual SPC'!$I$4),OR('Visual SPC'!$K$4="",'Data Entry'!$F2914='Visual SPC'!$K$4)),1,0))</f>
        <v/>
      </c>
      <c r="C2914">
        <f>C2913+B2914</f>
        <v/>
      </c>
      <c r="D2914">
        <f>IF(B2914=1,INDEX('Data Entry'!$H$5:$BE$10004,2914-4,'Visual SPC'!$B$3),"")</f>
        <v/>
      </c>
      <c r="E2914">
        <f>IF(B2914=1,D2914,E2913)</f>
        <v/>
      </c>
      <c r="F2914">
        <f>IF(AND(B2914=1,C2914&gt;1,E2913&lt;&gt;""),ABS(D2914-E2913),"")</f>
        <v/>
      </c>
    </row>
    <row r="2915">
      <c r="A2915" t="n">
        <v>2915</v>
      </c>
      <c r="B2915">
        <f>IF(INDEX('Data Entry'!$H$5:$BE$10004,2915-4,'Visual SPC'!$B$3)="",0,IF(AND(OR('Visual SPC'!$C$4="",'Data Entry'!$C2915&gt;='Visual SPC'!$C$4),OR('Visual SPC'!$E$4="",'Data Entry'!$C2915&lt;='Visual SPC'!$E$4),OR('Visual SPC'!$G$4="",'Data Entry'!$D2915='Visual SPC'!$G$4),OR('Visual SPC'!$I$4="",'Data Entry'!$E2915='Visual SPC'!$I$4),OR('Visual SPC'!$K$4="",'Data Entry'!$F2915='Visual SPC'!$K$4)),1,0))</f>
        <v/>
      </c>
      <c r="C2915">
        <f>C2914+B2915</f>
        <v/>
      </c>
      <c r="D2915">
        <f>IF(B2915=1,INDEX('Data Entry'!$H$5:$BE$10004,2915-4,'Visual SPC'!$B$3),"")</f>
        <v/>
      </c>
      <c r="E2915">
        <f>IF(B2915=1,D2915,E2914)</f>
        <v/>
      </c>
      <c r="F2915">
        <f>IF(AND(B2915=1,C2915&gt;1,E2914&lt;&gt;""),ABS(D2915-E2914),"")</f>
        <v/>
      </c>
    </row>
    <row r="2916">
      <c r="A2916" t="n">
        <v>2916</v>
      </c>
      <c r="B2916">
        <f>IF(INDEX('Data Entry'!$H$5:$BE$10004,2916-4,'Visual SPC'!$B$3)="",0,IF(AND(OR('Visual SPC'!$C$4="",'Data Entry'!$C2916&gt;='Visual SPC'!$C$4),OR('Visual SPC'!$E$4="",'Data Entry'!$C2916&lt;='Visual SPC'!$E$4),OR('Visual SPC'!$G$4="",'Data Entry'!$D2916='Visual SPC'!$G$4),OR('Visual SPC'!$I$4="",'Data Entry'!$E2916='Visual SPC'!$I$4),OR('Visual SPC'!$K$4="",'Data Entry'!$F2916='Visual SPC'!$K$4)),1,0))</f>
        <v/>
      </c>
      <c r="C2916">
        <f>C2915+B2916</f>
        <v/>
      </c>
      <c r="D2916">
        <f>IF(B2916=1,INDEX('Data Entry'!$H$5:$BE$10004,2916-4,'Visual SPC'!$B$3),"")</f>
        <v/>
      </c>
      <c r="E2916">
        <f>IF(B2916=1,D2916,E2915)</f>
        <v/>
      </c>
      <c r="F2916">
        <f>IF(AND(B2916=1,C2916&gt;1,E2915&lt;&gt;""),ABS(D2916-E2915),"")</f>
        <v/>
      </c>
    </row>
    <row r="2917">
      <c r="A2917" t="n">
        <v>2917</v>
      </c>
      <c r="B2917">
        <f>IF(INDEX('Data Entry'!$H$5:$BE$10004,2917-4,'Visual SPC'!$B$3)="",0,IF(AND(OR('Visual SPC'!$C$4="",'Data Entry'!$C2917&gt;='Visual SPC'!$C$4),OR('Visual SPC'!$E$4="",'Data Entry'!$C2917&lt;='Visual SPC'!$E$4),OR('Visual SPC'!$G$4="",'Data Entry'!$D2917='Visual SPC'!$G$4),OR('Visual SPC'!$I$4="",'Data Entry'!$E2917='Visual SPC'!$I$4),OR('Visual SPC'!$K$4="",'Data Entry'!$F2917='Visual SPC'!$K$4)),1,0))</f>
        <v/>
      </c>
      <c r="C2917">
        <f>C2916+B2917</f>
        <v/>
      </c>
      <c r="D2917">
        <f>IF(B2917=1,INDEX('Data Entry'!$H$5:$BE$10004,2917-4,'Visual SPC'!$B$3),"")</f>
        <v/>
      </c>
      <c r="E2917">
        <f>IF(B2917=1,D2917,E2916)</f>
        <v/>
      </c>
      <c r="F2917">
        <f>IF(AND(B2917=1,C2917&gt;1,E2916&lt;&gt;""),ABS(D2917-E2916),"")</f>
        <v/>
      </c>
    </row>
    <row r="2918">
      <c r="A2918" t="n">
        <v>2918</v>
      </c>
      <c r="B2918">
        <f>IF(INDEX('Data Entry'!$H$5:$BE$10004,2918-4,'Visual SPC'!$B$3)="",0,IF(AND(OR('Visual SPC'!$C$4="",'Data Entry'!$C2918&gt;='Visual SPC'!$C$4),OR('Visual SPC'!$E$4="",'Data Entry'!$C2918&lt;='Visual SPC'!$E$4),OR('Visual SPC'!$G$4="",'Data Entry'!$D2918='Visual SPC'!$G$4),OR('Visual SPC'!$I$4="",'Data Entry'!$E2918='Visual SPC'!$I$4),OR('Visual SPC'!$K$4="",'Data Entry'!$F2918='Visual SPC'!$K$4)),1,0))</f>
        <v/>
      </c>
      <c r="C2918">
        <f>C2917+B2918</f>
        <v/>
      </c>
      <c r="D2918">
        <f>IF(B2918=1,INDEX('Data Entry'!$H$5:$BE$10004,2918-4,'Visual SPC'!$B$3),"")</f>
        <v/>
      </c>
      <c r="E2918">
        <f>IF(B2918=1,D2918,E2917)</f>
        <v/>
      </c>
      <c r="F2918">
        <f>IF(AND(B2918=1,C2918&gt;1,E2917&lt;&gt;""),ABS(D2918-E2917),"")</f>
        <v/>
      </c>
    </row>
    <row r="2919">
      <c r="A2919" t="n">
        <v>2919</v>
      </c>
      <c r="B2919">
        <f>IF(INDEX('Data Entry'!$H$5:$BE$10004,2919-4,'Visual SPC'!$B$3)="",0,IF(AND(OR('Visual SPC'!$C$4="",'Data Entry'!$C2919&gt;='Visual SPC'!$C$4),OR('Visual SPC'!$E$4="",'Data Entry'!$C2919&lt;='Visual SPC'!$E$4),OR('Visual SPC'!$G$4="",'Data Entry'!$D2919='Visual SPC'!$G$4),OR('Visual SPC'!$I$4="",'Data Entry'!$E2919='Visual SPC'!$I$4),OR('Visual SPC'!$K$4="",'Data Entry'!$F2919='Visual SPC'!$K$4)),1,0))</f>
        <v/>
      </c>
      <c r="C2919">
        <f>C2918+B2919</f>
        <v/>
      </c>
      <c r="D2919">
        <f>IF(B2919=1,INDEX('Data Entry'!$H$5:$BE$10004,2919-4,'Visual SPC'!$B$3),"")</f>
        <v/>
      </c>
      <c r="E2919">
        <f>IF(B2919=1,D2919,E2918)</f>
        <v/>
      </c>
      <c r="F2919">
        <f>IF(AND(B2919=1,C2919&gt;1,E2918&lt;&gt;""),ABS(D2919-E2918),"")</f>
        <v/>
      </c>
    </row>
    <row r="2920">
      <c r="A2920" t="n">
        <v>2920</v>
      </c>
      <c r="B2920">
        <f>IF(INDEX('Data Entry'!$H$5:$BE$10004,2920-4,'Visual SPC'!$B$3)="",0,IF(AND(OR('Visual SPC'!$C$4="",'Data Entry'!$C2920&gt;='Visual SPC'!$C$4),OR('Visual SPC'!$E$4="",'Data Entry'!$C2920&lt;='Visual SPC'!$E$4),OR('Visual SPC'!$G$4="",'Data Entry'!$D2920='Visual SPC'!$G$4),OR('Visual SPC'!$I$4="",'Data Entry'!$E2920='Visual SPC'!$I$4),OR('Visual SPC'!$K$4="",'Data Entry'!$F2920='Visual SPC'!$K$4)),1,0))</f>
        <v/>
      </c>
      <c r="C2920">
        <f>C2919+B2920</f>
        <v/>
      </c>
      <c r="D2920">
        <f>IF(B2920=1,INDEX('Data Entry'!$H$5:$BE$10004,2920-4,'Visual SPC'!$B$3),"")</f>
        <v/>
      </c>
      <c r="E2920">
        <f>IF(B2920=1,D2920,E2919)</f>
        <v/>
      </c>
      <c r="F2920">
        <f>IF(AND(B2920=1,C2920&gt;1,E2919&lt;&gt;""),ABS(D2920-E2919),"")</f>
        <v/>
      </c>
    </row>
    <row r="2921">
      <c r="A2921" t="n">
        <v>2921</v>
      </c>
      <c r="B2921">
        <f>IF(INDEX('Data Entry'!$H$5:$BE$10004,2921-4,'Visual SPC'!$B$3)="",0,IF(AND(OR('Visual SPC'!$C$4="",'Data Entry'!$C2921&gt;='Visual SPC'!$C$4),OR('Visual SPC'!$E$4="",'Data Entry'!$C2921&lt;='Visual SPC'!$E$4),OR('Visual SPC'!$G$4="",'Data Entry'!$D2921='Visual SPC'!$G$4),OR('Visual SPC'!$I$4="",'Data Entry'!$E2921='Visual SPC'!$I$4),OR('Visual SPC'!$K$4="",'Data Entry'!$F2921='Visual SPC'!$K$4)),1,0))</f>
        <v/>
      </c>
      <c r="C2921">
        <f>C2920+B2921</f>
        <v/>
      </c>
      <c r="D2921">
        <f>IF(B2921=1,INDEX('Data Entry'!$H$5:$BE$10004,2921-4,'Visual SPC'!$B$3),"")</f>
        <v/>
      </c>
      <c r="E2921">
        <f>IF(B2921=1,D2921,E2920)</f>
        <v/>
      </c>
      <c r="F2921">
        <f>IF(AND(B2921=1,C2921&gt;1,E2920&lt;&gt;""),ABS(D2921-E2920),"")</f>
        <v/>
      </c>
    </row>
    <row r="2922">
      <c r="A2922" t="n">
        <v>2922</v>
      </c>
      <c r="B2922">
        <f>IF(INDEX('Data Entry'!$H$5:$BE$10004,2922-4,'Visual SPC'!$B$3)="",0,IF(AND(OR('Visual SPC'!$C$4="",'Data Entry'!$C2922&gt;='Visual SPC'!$C$4),OR('Visual SPC'!$E$4="",'Data Entry'!$C2922&lt;='Visual SPC'!$E$4),OR('Visual SPC'!$G$4="",'Data Entry'!$D2922='Visual SPC'!$G$4),OR('Visual SPC'!$I$4="",'Data Entry'!$E2922='Visual SPC'!$I$4),OR('Visual SPC'!$K$4="",'Data Entry'!$F2922='Visual SPC'!$K$4)),1,0))</f>
        <v/>
      </c>
      <c r="C2922">
        <f>C2921+B2922</f>
        <v/>
      </c>
      <c r="D2922">
        <f>IF(B2922=1,INDEX('Data Entry'!$H$5:$BE$10004,2922-4,'Visual SPC'!$B$3),"")</f>
        <v/>
      </c>
      <c r="E2922">
        <f>IF(B2922=1,D2922,E2921)</f>
        <v/>
      </c>
      <c r="F2922">
        <f>IF(AND(B2922=1,C2922&gt;1,E2921&lt;&gt;""),ABS(D2922-E2921),"")</f>
        <v/>
      </c>
    </row>
    <row r="2923">
      <c r="A2923" t="n">
        <v>2923</v>
      </c>
      <c r="B2923">
        <f>IF(INDEX('Data Entry'!$H$5:$BE$10004,2923-4,'Visual SPC'!$B$3)="",0,IF(AND(OR('Visual SPC'!$C$4="",'Data Entry'!$C2923&gt;='Visual SPC'!$C$4),OR('Visual SPC'!$E$4="",'Data Entry'!$C2923&lt;='Visual SPC'!$E$4),OR('Visual SPC'!$G$4="",'Data Entry'!$D2923='Visual SPC'!$G$4),OR('Visual SPC'!$I$4="",'Data Entry'!$E2923='Visual SPC'!$I$4),OR('Visual SPC'!$K$4="",'Data Entry'!$F2923='Visual SPC'!$K$4)),1,0))</f>
        <v/>
      </c>
      <c r="C2923">
        <f>C2922+B2923</f>
        <v/>
      </c>
      <c r="D2923">
        <f>IF(B2923=1,INDEX('Data Entry'!$H$5:$BE$10004,2923-4,'Visual SPC'!$B$3),"")</f>
        <v/>
      </c>
      <c r="E2923">
        <f>IF(B2923=1,D2923,E2922)</f>
        <v/>
      </c>
      <c r="F2923">
        <f>IF(AND(B2923=1,C2923&gt;1,E2922&lt;&gt;""),ABS(D2923-E2922),"")</f>
        <v/>
      </c>
    </row>
    <row r="2924">
      <c r="A2924" t="n">
        <v>2924</v>
      </c>
      <c r="B2924">
        <f>IF(INDEX('Data Entry'!$H$5:$BE$10004,2924-4,'Visual SPC'!$B$3)="",0,IF(AND(OR('Visual SPC'!$C$4="",'Data Entry'!$C2924&gt;='Visual SPC'!$C$4),OR('Visual SPC'!$E$4="",'Data Entry'!$C2924&lt;='Visual SPC'!$E$4),OR('Visual SPC'!$G$4="",'Data Entry'!$D2924='Visual SPC'!$G$4),OR('Visual SPC'!$I$4="",'Data Entry'!$E2924='Visual SPC'!$I$4),OR('Visual SPC'!$K$4="",'Data Entry'!$F2924='Visual SPC'!$K$4)),1,0))</f>
        <v/>
      </c>
      <c r="C2924">
        <f>C2923+B2924</f>
        <v/>
      </c>
      <c r="D2924">
        <f>IF(B2924=1,INDEX('Data Entry'!$H$5:$BE$10004,2924-4,'Visual SPC'!$B$3),"")</f>
        <v/>
      </c>
      <c r="E2924">
        <f>IF(B2924=1,D2924,E2923)</f>
        <v/>
      </c>
      <c r="F2924">
        <f>IF(AND(B2924=1,C2924&gt;1,E2923&lt;&gt;""),ABS(D2924-E2923),"")</f>
        <v/>
      </c>
    </row>
    <row r="2925">
      <c r="A2925" t="n">
        <v>2925</v>
      </c>
      <c r="B2925">
        <f>IF(INDEX('Data Entry'!$H$5:$BE$10004,2925-4,'Visual SPC'!$B$3)="",0,IF(AND(OR('Visual SPC'!$C$4="",'Data Entry'!$C2925&gt;='Visual SPC'!$C$4),OR('Visual SPC'!$E$4="",'Data Entry'!$C2925&lt;='Visual SPC'!$E$4),OR('Visual SPC'!$G$4="",'Data Entry'!$D2925='Visual SPC'!$G$4),OR('Visual SPC'!$I$4="",'Data Entry'!$E2925='Visual SPC'!$I$4),OR('Visual SPC'!$K$4="",'Data Entry'!$F2925='Visual SPC'!$K$4)),1,0))</f>
        <v/>
      </c>
      <c r="C2925">
        <f>C2924+B2925</f>
        <v/>
      </c>
      <c r="D2925">
        <f>IF(B2925=1,INDEX('Data Entry'!$H$5:$BE$10004,2925-4,'Visual SPC'!$B$3),"")</f>
        <v/>
      </c>
      <c r="E2925">
        <f>IF(B2925=1,D2925,E2924)</f>
        <v/>
      </c>
      <c r="F2925">
        <f>IF(AND(B2925=1,C2925&gt;1,E2924&lt;&gt;""),ABS(D2925-E2924),"")</f>
        <v/>
      </c>
    </row>
    <row r="2926">
      <c r="A2926" t="n">
        <v>2926</v>
      </c>
      <c r="B2926">
        <f>IF(INDEX('Data Entry'!$H$5:$BE$10004,2926-4,'Visual SPC'!$B$3)="",0,IF(AND(OR('Visual SPC'!$C$4="",'Data Entry'!$C2926&gt;='Visual SPC'!$C$4),OR('Visual SPC'!$E$4="",'Data Entry'!$C2926&lt;='Visual SPC'!$E$4),OR('Visual SPC'!$G$4="",'Data Entry'!$D2926='Visual SPC'!$G$4),OR('Visual SPC'!$I$4="",'Data Entry'!$E2926='Visual SPC'!$I$4),OR('Visual SPC'!$K$4="",'Data Entry'!$F2926='Visual SPC'!$K$4)),1,0))</f>
        <v/>
      </c>
      <c r="C2926">
        <f>C2925+B2926</f>
        <v/>
      </c>
      <c r="D2926">
        <f>IF(B2926=1,INDEX('Data Entry'!$H$5:$BE$10004,2926-4,'Visual SPC'!$B$3),"")</f>
        <v/>
      </c>
      <c r="E2926">
        <f>IF(B2926=1,D2926,E2925)</f>
        <v/>
      </c>
      <c r="F2926">
        <f>IF(AND(B2926=1,C2926&gt;1,E2925&lt;&gt;""),ABS(D2926-E2925),"")</f>
        <v/>
      </c>
    </row>
    <row r="2927">
      <c r="A2927" t="n">
        <v>2927</v>
      </c>
      <c r="B2927">
        <f>IF(INDEX('Data Entry'!$H$5:$BE$10004,2927-4,'Visual SPC'!$B$3)="",0,IF(AND(OR('Visual SPC'!$C$4="",'Data Entry'!$C2927&gt;='Visual SPC'!$C$4),OR('Visual SPC'!$E$4="",'Data Entry'!$C2927&lt;='Visual SPC'!$E$4),OR('Visual SPC'!$G$4="",'Data Entry'!$D2927='Visual SPC'!$G$4),OR('Visual SPC'!$I$4="",'Data Entry'!$E2927='Visual SPC'!$I$4),OR('Visual SPC'!$K$4="",'Data Entry'!$F2927='Visual SPC'!$K$4)),1,0))</f>
        <v/>
      </c>
      <c r="C2927">
        <f>C2926+B2927</f>
        <v/>
      </c>
      <c r="D2927">
        <f>IF(B2927=1,INDEX('Data Entry'!$H$5:$BE$10004,2927-4,'Visual SPC'!$B$3),"")</f>
        <v/>
      </c>
      <c r="E2927">
        <f>IF(B2927=1,D2927,E2926)</f>
        <v/>
      </c>
      <c r="F2927">
        <f>IF(AND(B2927=1,C2927&gt;1,E2926&lt;&gt;""),ABS(D2927-E2926),"")</f>
        <v/>
      </c>
    </row>
    <row r="2928">
      <c r="A2928" t="n">
        <v>2928</v>
      </c>
      <c r="B2928">
        <f>IF(INDEX('Data Entry'!$H$5:$BE$10004,2928-4,'Visual SPC'!$B$3)="",0,IF(AND(OR('Visual SPC'!$C$4="",'Data Entry'!$C2928&gt;='Visual SPC'!$C$4),OR('Visual SPC'!$E$4="",'Data Entry'!$C2928&lt;='Visual SPC'!$E$4),OR('Visual SPC'!$G$4="",'Data Entry'!$D2928='Visual SPC'!$G$4),OR('Visual SPC'!$I$4="",'Data Entry'!$E2928='Visual SPC'!$I$4),OR('Visual SPC'!$K$4="",'Data Entry'!$F2928='Visual SPC'!$K$4)),1,0))</f>
        <v/>
      </c>
      <c r="C2928">
        <f>C2927+B2928</f>
        <v/>
      </c>
      <c r="D2928">
        <f>IF(B2928=1,INDEX('Data Entry'!$H$5:$BE$10004,2928-4,'Visual SPC'!$B$3),"")</f>
        <v/>
      </c>
      <c r="E2928">
        <f>IF(B2928=1,D2928,E2927)</f>
        <v/>
      </c>
      <c r="F2928">
        <f>IF(AND(B2928=1,C2928&gt;1,E2927&lt;&gt;""),ABS(D2928-E2927),"")</f>
        <v/>
      </c>
    </row>
    <row r="2929">
      <c r="A2929" t="n">
        <v>2929</v>
      </c>
      <c r="B2929">
        <f>IF(INDEX('Data Entry'!$H$5:$BE$10004,2929-4,'Visual SPC'!$B$3)="",0,IF(AND(OR('Visual SPC'!$C$4="",'Data Entry'!$C2929&gt;='Visual SPC'!$C$4),OR('Visual SPC'!$E$4="",'Data Entry'!$C2929&lt;='Visual SPC'!$E$4),OR('Visual SPC'!$G$4="",'Data Entry'!$D2929='Visual SPC'!$G$4),OR('Visual SPC'!$I$4="",'Data Entry'!$E2929='Visual SPC'!$I$4),OR('Visual SPC'!$K$4="",'Data Entry'!$F2929='Visual SPC'!$K$4)),1,0))</f>
        <v/>
      </c>
      <c r="C2929">
        <f>C2928+B2929</f>
        <v/>
      </c>
      <c r="D2929">
        <f>IF(B2929=1,INDEX('Data Entry'!$H$5:$BE$10004,2929-4,'Visual SPC'!$B$3),"")</f>
        <v/>
      </c>
      <c r="E2929">
        <f>IF(B2929=1,D2929,E2928)</f>
        <v/>
      </c>
      <c r="F2929">
        <f>IF(AND(B2929=1,C2929&gt;1,E2928&lt;&gt;""),ABS(D2929-E2928),"")</f>
        <v/>
      </c>
    </row>
    <row r="2930">
      <c r="A2930" t="n">
        <v>2930</v>
      </c>
      <c r="B2930">
        <f>IF(INDEX('Data Entry'!$H$5:$BE$10004,2930-4,'Visual SPC'!$B$3)="",0,IF(AND(OR('Visual SPC'!$C$4="",'Data Entry'!$C2930&gt;='Visual SPC'!$C$4),OR('Visual SPC'!$E$4="",'Data Entry'!$C2930&lt;='Visual SPC'!$E$4),OR('Visual SPC'!$G$4="",'Data Entry'!$D2930='Visual SPC'!$G$4),OR('Visual SPC'!$I$4="",'Data Entry'!$E2930='Visual SPC'!$I$4),OR('Visual SPC'!$K$4="",'Data Entry'!$F2930='Visual SPC'!$K$4)),1,0))</f>
        <v/>
      </c>
      <c r="C2930">
        <f>C2929+B2930</f>
        <v/>
      </c>
      <c r="D2930">
        <f>IF(B2930=1,INDEX('Data Entry'!$H$5:$BE$10004,2930-4,'Visual SPC'!$B$3),"")</f>
        <v/>
      </c>
      <c r="E2930">
        <f>IF(B2930=1,D2930,E2929)</f>
        <v/>
      </c>
      <c r="F2930">
        <f>IF(AND(B2930=1,C2930&gt;1,E2929&lt;&gt;""),ABS(D2930-E2929),"")</f>
        <v/>
      </c>
    </row>
    <row r="2931">
      <c r="A2931" t="n">
        <v>2931</v>
      </c>
      <c r="B2931">
        <f>IF(INDEX('Data Entry'!$H$5:$BE$10004,2931-4,'Visual SPC'!$B$3)="",0,IF(AND(OR('Visual SPC'!$C$4="",'Data Entry'!$C2931&gt;='Visual SPC'!$C$4),OR('Visual SPC'!$E$4="",'Data Entry'!$C2931&lt;='Visual SPC'!$E$4),OR('Visual SPC'!$G$4="",'Data Entry'!$D2931='Visual SPC'!$G$4),OR('Visual SPC'!$I$4="",'Data Entry'!$E2931='Visual SPC'!$I$4),OR('Visual SPC'!$K$4="",'Data Entry'!$F2931='Visual SPC'!$K$4)),1,0))</f>
        <v/>
      </c>
      <c r="C2931">
        <f>C2930+B2931</f>
        <v/>
      </c>
      <c r="D2931">
        <f>IF(B2931=1,INDEX('Data Entry'!$H$5:$BE$10004,2931-4,'Visual SPC'!$B$3),"")</f>
        <v/>
      </c>
      <c r="E2931">
        <f>IF(B2931=1,D2931,E2930)</f>
        <v/>
      </c>
      <c r="F2931">
        <f>IF(AND(B2931=1,C2931&gt;1,E2930&lt;&gt;""),ABS(D2931-E2930),"")</f>
        <v/>
      </c>
    </row>
    <row r="2932">
      <c r="A2932" t="n">
        <v>2932</v>
      </c>
      <c r="B2932">
        <f>IF(INDEX('Data Entry'!$H$5:$BE$10004,2932-4,'Visual SPC'!$B$3)="",0,IF(AND(OR('Visual SPC'!$C$4="",'Data Entry'!$C2932&gt;='Visual SPC'!$C$4),OR('Visual SPC'!$E$4="",'Data Entry'!$C2932&lt;='Visual SPC'!$E$4),OR('Visual SPC'!$G$4="",'Data Entry'!$D2932='Visual SPC'!$G$4),OR('Visual SPC'!$I$4="",'Data Entry'!$E2932='Visual SPC'!$I$4),OR('Visual SPC'!$K$4="",'Data Entry'!$F2932='Visual SPC'!$K$4)),1,0))</f>
        <v/>
      </c>
      <c r="C2932">
        <f>C2931+B2932</f>
        <v/>
      </c>
      <c r="D2932">
        <f>IF(B2932=1,INDEX('Data Entry'!$H$5:$BE$10004,2932-4,'Visual SPC'!$B$3),"")</f>
        <v/>
      </c>
      <c r="E2932">
        <f>IF(B2932=1,D2932,E2931)</f>
        <v/>
      </c>
      <c r="F2932">
        <f>IF(AND(B2932=1,C2932&gt;1,E2931&lt;&gt;""),ABS(D2932-E2931),"")</f>
        <v/>
      </c>
    </row>
    <row r="2933">
      <c r="A2933" t="n">
        <v>2933</v>
      </c>
      <c r="B2933">
        <f>IF(INDEX('Data Entry'!$H$5:$BE$10004,2933-4,'Visual SPC'!$B$3)="",0,IF(AND(OR('Visual SPC'!$C$4="",'Data Entry'!$C2933&gt;='Visual SPC'!$C$4),OR('Visual SPC'!$E$4="",'Data Entry'!$C2933&lt;='Visual SPC'!$E$4),OR('Visual SPC'!$G$4="",'Data Entry'!$D2933='Visual SPC'!$G$4),OR('Visual SPC'!$I$4="",'Data Entry'!$E2933='Visual SPC'!$I$4),OR('Visual SPC'!$K$4="",'Data Entry'!$F2933='Visual SPC'!$K$4)),1,0))</f>
        <v/>
      </c>
      <c r="C2933">
        <f>C2932+B2933</f>
        <v/>
      </c>
      <c r="D2933">
        <f>IF(B2933=1,INDEX('Data Entry'!$H$5:$BE$10004,2933-4,'Visual SPC'!$B$3),"")</f>
        <v/>
      </c>
      <c r="E2933">
        <f>IF(B2933=1,D2933,E2932)</f>
        <v/>
      </c>
      <c r="F2933">
        <f>IF(AND(B2933=1,C2933&gt;1,E2932&lt;&gt;""),ABS(D2933-E2932),"")</f>
        <v/>
      </c>
    </row>
    <row r="2934">
      <c r="A2934" t="n">
        <v>2934</v>
      </c>
      <c r="B2934">
        <f>IF(INDEX('Data Entry'!$H$5:$BE$10004,2934-4,'Visual SPC'!$B$3)="",0,IF(AND(OR('Visual SPC'!$C$4="",'Data Entry'!$C2934&gt;='Visual SPC'!$C$4),OR('Visual SPC'!$E$4="",'Data Entry'!$C2934&lt;='Visual SPC'!$E$4),OR('Visual SPC'!$G$4="",'Data Entry'!$D2934='Visual SPC'!$G$4),OR('Visual SPC'!$I$4="",'Data Entry'!$E2934='Visual SPC'!$I$4),OR('Visual SPC'!$K$4="",'Data Entry'!$F2934='Visual SPC'!$K$4)),1,0))</f>
        <v/>
      </c>
      <c r="C2934">
        <f>C2933+B2934</f>
        <v/>
      </c>
      <c r="D2934">
        <f>IF(B2934=1,INDEX('Data Entry'!$H$5:$BE$10004,2934-4,'Visual SPC'!$B$3),"")</f>
        <v/>
      </c>
      <c r="E2934">
        <f>IF(B2934=1,D2934,E2933)</f>
        <v/>
      </c>
      <c r="F2934">
        <f>IF(AND(B2934=1,C2934&gt;1,E2933&lt;&gt;""),ABS(D2934-E2933),"")</f>
        <v/>
      </c>
    </row>
    <row r="2935">
      <c r="A2935" t="n">
        <v>2935</v>
      </c>
      <c r="B2935">
        <f>IF(INDEX('Data Entry'!$H$5:$BE$10004,2935-4,'Visual SPC'!$B$3)="",0,IF(AND(OR('Visual SPC'!$C$4="",'Data Entry'!$C2935&gt;='Visual SPC'!$C$4),OR('Visual SPC'!$E$4="",'Data Entry'!$C2935&lt;='Visual SPC'!$E$4),OR('Visual SPC'!$G$4="",'Data Entry'!$D2935='Visual SPC'!$G$4),OR('Visual SPC'!$I$4="",'Data Entry'!$E2935='Visual SPC'!$I$4),OR('Visual SPC'!$K$4="",'Data Entry'!$F2935='Visual SPC'!$K$4)),1,0))</f>
        <v/>
      </c>
      <c r="C2935">
        <f>C2934+B2935</f>
        <v/>
      </c>
      <c r="D2935">
        <f>IF(B2935=1,INDEX('Data Entry'!$H$5:$BE$10004,2935-4,'Visual SPC'!$B$3),"")</f>
        <v/>
      </c>
      <c r="E2935">
        <f>IF(B2935=1,D2935,E2934)</f>
        <v/>
      </c>
      <c r="F2935">
        <f>IF(AND(B2935=1,C2935&gt;1,E2934&lt;&gt;""),ABS(D2935-E2934),"")</f>
        <v/>
      </c>
    </row>
    <row r="2936">
      <c r="A2936" t="n">
        <v>2936</v>
      </c>
      <c r="B2936">
        <f>IF(INDEX('Data Entry'!$H$5:$BE$10004,2936-4,'Visual SPC'!$B$3)="",0,IF(AND(OR('Visual SPC'!$C$4="",'Data Entry'!$C2936&gt;='Visual SPC'!$C$4),OR('Visual SPC'!$E$4="",'Data Entry'!$C2936&lt;='Visual SPC'!$E$4),OR('Visual SPC'!$G$4="",'Data Entry'!$D2936='Visual SPC'!$G$4),OR('Visual SPC'!$I$4="",'Data Entry'!$E2936='Visual SPC'!$I$4),OR('Visual SPC'!$K$4="",'Data Entry'!$F2936='Visual SPC'!$K$4)),1,0))</f>
        <v/>
      </c>
      <c r="C2936">
        <f>C2935+B2936</f>
        <v/>
      </c>
      <c r="D2936">
        <f>IF(B2936=1,INDEX('Data Entry'!$H$5:$BE$10004,2936-4,'Visual SPC'!$B$3),"")</f>
        <v/>
      </c>
      <c r="E2936">
        <f>IF(B2936=1,D2936,E2935)</f>
        <v/>
      </c>
      <c r="F2936">
        <f>IF(AND(B2936=1,C2936&gt;1,E2935&lt;&gt;""),ABS(D2936-E2935),"")</f>
        <v/>
      </c>
    </row>
    <row r="2937">
      <c r="A2937" t="n">
        <v>2937</v>
      </c>
      <c r="B2937">
        <f>IF(INDEX('Data Entry'!$H$5:$BE$10004,2937-4,'Visual SPC'!$B$3)="",0,IF(AND(OR('Visual SPC'!$C$4="",'Data Entry'!$C2937&gt;='Visual SPC'!$C$4),OR('Visual SPC'!$E$4="",'Data Entry'!$C2937&lt;='Visual SPC'!$E$4),OR('Visual SPC'!$G$4="",'Data Entry'!$D2937='Visual SPC'!$G$4),OR('Visual SPC'!$I$4="",'Data Entry'!$E2937='Visual SPC'!$I$4),OR('Visual SPC'!$K$4="",'Data Entry'!$F2937='Visual SPC'!$K$4)),1,0))</f>
        <v/>
      </c>
      <c r="C2937">
        <f>C2936+B2937</f>
        <v/>
      </c>
      <c r="D2937">
        <f>IF(B2937=1,INDEX('Data Entry'!$H$5:$BE$10004,2937-4,'Visual SPC'!$B$3),"")</f>
        <v/>
      </c>
      <c r="E2937">
        <f>IF(B2937=1,D2937,E2936)</f>
        <v/>
      </c>
      <c r="F2937">
        <f>IF(AND(B2937=1,C2937&gt;1,E2936&lt;&gt;""),ABS(D2937-E2936),"")</f>
        <v/>
      </c>
    </row>
    <row r="2938">
      <c r="A2938" t="n">
        <v>2938</v>
      </c>
      <c r="B2938">
        <f>IF(INDEX('Data Entry'!$H$5:$BE$10004,2938-4,'Visual SPC'!$B$3)="",0,IF(AND(OR('Visual SPC'!$C$4="",'Data Entry'!$C2938&gt;='Visual SPC'!$C$4),OR('Visual SPC'!$E$4="",'Data Entry'!$C2938&lt;='Visual SPC'!$E$4),OR('Visual SPC'!$G$4="",'Data Entry'!$D2938='Visual SPC'!$G$4),OR('Visual SPC'!$I$4="",'Data Entry'!$E2938='Visual SPC'!$I$4),OR('Visual SPC'!$K$4="",'Data Entry'!$F2938='Visual SPC'!$K$4)),1,0))</f>
        <v/>
      </c>
      <c r="C2938">
        <f>C2937+B2938</f>
        <v/>
      </c>
      <c r="D2938">
        <f>IF(B2938=1,INDEX('Data Entry'!$H$5:$BE$10004,2938-4,'Visual SPC'!$B$3),"")</f>
        <v/>
      </c>
      <c r="E2938">
        <f>IF(B2938=1,D2938,E2937)</f>
        <v/>
      </c>
      <c r="F2938">
        <f>IF(AND(B2938=1,C2938&gt;1,E2937&lt;&gt;""),ABS(D2938-E2937),"")</f>
        <v/>
      </c>
    </row>
    <row r="2939">
      <c r="A2939" t="n">
        <v>2939</v>
      </c>
      <c r="B2939">
        <f>IF(INDEX('Data Entry'!$H$5:$BE$10004,2939-4,'Visual SPC'!$B$3)="",0,IF(AND(OR('Visual SPC'!$C$4="",'Data Entry'!$C2939&gt;='Visual SPC'!$C$4),OR('Visual SPC'!$E$4="",'Data Entry'!$C2939&lt;='Visual SPC'!$E$4),OR('Visual SPC'!$G$4="",'Data Entry'!$D2939='Visual SPC'!$G$4),OR('Visual SPC'!$I$4="",'Data Entry'!$E2939='Visual SPC'!$I$4),OR('Visual SPC'!$K$4="",'Data Entry'!$F2939='Visual SPC'!$K$4)),1,0))</f>
        <v/>
      </c>
      <c r="C2939">
        <f>C2938+B2939</f>
        <v/>
      </c>
      <c r="D2939">
        <f>IF(B2939=1,INDEX('Data Entry'!$H$5:$BE$10004,2939-4,'Visual SPC'!$B$3),"")</f>
        <v/>
      </c>
      <c r="E2939">
        <f>IF(B2939=1,D2939,E2938)</f>
        <v/>
      </c>
      <c r="F2939">
        <f>IF(AND(B2939=1,C2939&gt;1,E2938&lt;&gt;""),ABS(D2939-E2938),"")</f>
        <v/>
      </c>
    </row>
    <row r="2940">
      <c r="A2940" t="n">
        <v>2940</v>
      </c>
      <c r="B2940">
        <f>IF(INDEX('Data Entry'!$H$5:$BE$10004,2940-4,'Visual SPC'!$B$3)="",0,IF(AND(OR('Visual SPC'!$C$4="",'Data Entry'!$C2940&gt;='Visual SPC'!$C$4),OR('Visual SPC'!$E$4="",'Data Entry'!$C2940&lt;='Visual SPC'!$E$4),OR('Visual SPC'!$G$4="",'Data Entry'!$D2940='Visual SPC'!$G$4),OR('Visual SPC'!$I$4="",'Data Entry'!$E2940='Visual SPC'!$I$4),OR('Visual SPC'!$K$4="",'Data Entry'!$F2940='Visual SPC'!$K$4)),1,0))</f>
        <v/>
      </c>
      <c r="C2940">
        <f>C2939+B2940</f>
        <v/>
      </c>
      <c r="D2940">
        <f>IF(B2940=1,INDEX('Data Entry'!$H$5:$BE$10004,2940-4,'Visual SPC'!$B$3),"")</f>
        <v/>
      </c>
      <c r="E2940">
        <f>IF(B2940=1,D2940,E2939)</f>
        <v/>
      </c>
      <c r="F2940">
        <f>IF(AND(B2940=1,C2940&gt;1,E2939&lt;&gt;""),ABS(D2940-E2939),"")</f>
        <v/>
      </c>
    </row>
    <row r="2941">
      <c r="A2941" t="n">
        <v>2941</v>
      </c>
      <c r="B2941">
        <f>IF(INDEX('Data Entry'!$H$5:$BE$10004,2941-4,'Visual SPC'!$B$3)="",0,IF(AND(OR('Visual SPC'!$C$4="",'Data Entry'!$C2941&gt;='Visual SPC'!$C$4),OR('Visual SPC'!$E$4="",'Data Entry'!$C2941&lt;='Visual SPC'!$E$4),OR('Visual SPC'!$G$4="",'Data Entry'!$D2941='Visual SPC'!$G$4),OR('Visual SPC'!$I$4="",'Data Entry'!$E2941='Visual SPC'!$I$4),OR('Visual SPC'!$K$4="",'Data Entry'!$F2941='Visual SPC'!$K$4)),1,0))</f>
        <v/>
      </c>
      <c r="C2941">
        <f>C2940+B2941</f>
        <v/>
      </c>
      <c r="D2941">
        <f>IF(B2941=1,INDEX('Data Entry'!$H$5:$BE$10004,2941-4,'Visual SPC'!$B$3),"")</f>
        <v/>
      </c>
      <c r="E2941">
        <f>IF(B2941=1,D2941,E2940)</f>
        <v/>
      </c>
      <c r="F2941">
        <f>IF(AND(B2941=1,C2941&gt;1,E2940&lt;&gt;""),ABS(D2941-E2940),"")</f>
        <v/>
      </c>
    </row>
    <row r="2942">
      <c r="A2942" t="n">
        <v>2942</v>
      </c>
      <c r="B2942">
        <f>IF(INDEX('Data Entry'!$H$5:$BE$10004,2942-4,'Visual SPC'!$B$3)="",0,IF(AND(OR('Visual SPC'!$C$4="",'Data Entry'!$C2942&gt;='Visual SPC'!$C$4),OR('Visual SPC'!$E$4="",'Data Entry'!$C2942&lt;='Visual SPC'!$E$4),OR('Visual SPC'!$G$4="",'Data Entry'!$D2942='Visual SPC'!$G$4),OR('Visual SPC'!$I$4="",'Data Entry'!$E2942='Visual SPC'!$I$4),OR('Visual SPC'!$K$4="",'Data Entry'!$F2942='Visual SPC'!$K$4)),1,0))</f>
        <v/>
      </c>
      <c r="C2942">
        <f>C2941+B2942</f>
        <v/>
      </c>
      <c r="D2942">
        <f>IF(B2942=1,INDEX('Data Entry'!$H$5:$BE$10004,2942-4,'Visual SPC'!$B$3),"")</f>
        <v/>
      </c>
      <c r="E2942">
        <f>IF(B2942=1,D2942,E2941)</f>
        <v/>
      </c>
      <c r="F2942">
        <f>IF(AND(B2942=1,C2942&gt;1,E2941&lt;&gt;""),ABS(D2942-E2941),"")</f>
        <v/>
      </c>
    </row>
    <row r="2943">
      <c r="A2943" t="n">
        <v>2943</v>
      </c>
      <c r="B2943">
        <f>IF(INDEX('Data Entry'!$H$5:$BE$10004,2943-4,'Visual SPC'!$B$3)="",0,IF(AND(OR('Visual SPC'!$C$4="",'Data Entry'!$C2943&gt;='Visual SPC'!$C$4),OR('Visual SPC'!$E$4="",'Data Entry'!$C2943&lt;='Visual SPC'!$E$4),OR('Visual SPC'!$G$4="",'Data Entry'!$D2943='Visual SPC'!$G$4),OR('Visual SPC'!$I$4="",'Data Entry'!$E2943='Visual SPC'!$I$4),OR('Visual SPC'!$K$4="",'Data Entry'!$F2943='Visual SPC'!$K$4)),1,0))</f>
        <v/>
      </c>
      <c r="C2943">
        <f>C2942+B2943</f>
        <v/>
      </c>
      <c r="D2943">
        <f>IF(B2943=1,INDEX('Data Entry'!$H$5:$BE$10004,2943-4,'Visual SPC'!$B$3),"")</f>
        <v/>
      </c>
      <c r="E2943">
        <f>IF(B2943=1,D2943,E2942)</f>
        <v/>
      </c>
      <c r="F2943">
        <f>IF(AND(B2943=1,C2943&gt;1,E2942&lt;&gt;""),ABS(D2943-E2942),"")</f>
        <v/>
      </c>
    </row>
    <row r="2944">
      <c r="A2944" t="n">
        <v>2944</v>
      </c>
      <c r="B2944">
        <f>IF(INDEX('Data Entry'!$H$5:$BE$10004,2944-4,'Visual SPC'!$B$3)="",0,IF(AND(OR('Visual SPC'!$C$4="",'Data Entry'!$C2944&gt;='Visual SPC'!$C$4),OR('Visual SPC'!$E$4="",'Data Entry'!$C2944&lt;='Visual SPC'!$E$4),OR('Visual SPC'!$G$4="",'Data Entry'!$D2944='Visual SPC'!$G$4),OR('Visual SPC'!$I$4="",'Data Entry'!$E2944='Visual SPC'!$I$4),OR('Visual SPC'!$K$4="",'Data Entry'!$F2944='Visual SPC'!$K$4)),1,0))</f>
        <v/>
      </c>
      <c r="C2944">
        <f>C2943+B2944</f>
        <v/>
      </c>
      <c r="D2944">
        <f>IF(B2944=1,INDEX('Data Entry'!$H$5:$BE$10004,2944-4,'Visual SPC'!$B$3),"")</f>
        <v/>
      </c>
      <c r="E2944">
        <f>IF(B2944=1,D2944,E2943)</f>
        <v/>
      </c>
      <c r="F2944">
        <f>IF(AND(B2944=1,C2944&gt;1,E2943&lt;&gt;""),ABS(D2944-E2943),"")</f>
        <v/>
      </c>
    </row>
    <row r="2945">
      <c r="A2945" t="n">
        <v>2945</v>
      </c>
      <c r="B2945">
        <f>IF(INDEX('Data Entry'!$H$5:$BE$10004,2945-4,'Visual SPC'!$B$3)="",0,IF(AND(OR('Visual SPC'!$C$4="",'Data Entry'!$C2945&gt;='Visual SPC'!$C$4),OR('Visual SPC'!$E$4="",'Data Entry'!$C2945&lt;='Visual SPC'!$E$4),OR('Visual SPC'!$G$4="",'Data Entry'!$D2945='Visual SPC'!$G$4),OR('Visual SPC'!$I$4="",'Data Entry'!$E2945='Visual SPC'!$I$4),OR('Visual SPC'!$K$4="",'Data Entry'!$F2945='Visual SPC'!$K$4)),1,0))</f>
        <v/>
      </c>
      <c r="C2945">
        <f>C2944+B2945</f>
        <v/>
      </c>
      <c r="D2945">
        <f>IF(B2945=1,INDEX('Data Entry'!$H$5:$BE$10004,2945-4,'Visual SPC'!$B$3),"")</f>
        <v/>
      </c>
      <c r="E2945">
        <f>IF(B2945=1,D2945,E2944)</f>
        <v/>
      </c>
      <c r="F2945">
        <f>IF(AND(B2945=1,C2945&gt;1,E2944&lt;&gt;""),ABS(D2945-E2944),"")</f>
        <v/>
      </c>
    </row>
    <row r="2946">
      <c r="A2946" t="n">
        <v>2946</v>
      </c>
      <c r="B2946">
        <f>IF(INDEX('Data Entry'!$H$5:$BE$10004,2946-4,'Visual SPC'!$B$3)="",0,IF(AND(OR('Visual SPC'!$C$4="",'Data Entry'!$C2946&gt;='Visual SPC'!$C$4),OR('Visual SPC'!$E$4="",'Data Entry'!$C2946&lt;='Visual SPC'!$E$4),OR('Visual SPC'!$G$4="",'Data Entry'!$D2946='Visual SPC'!$G$4),OR('Visual SPC'!$I$4="",'Data Entry'!$E2946='Visual SPC'!$I$4),OR('Visual SPC'!$K$4="",'Data Entry'!$F2946='Visual SPC'!$K$4)),1,0))</f>
        <v/>
      </c>
      <c r="C2946">
        <f>C2945+B2946</f>
        <v/>
      </c>
      <c r="D2946">
        <f>IF(B2946=1,INDEX('Data Entry'!$H$5:$BE$10004,2946-4,'Visual SPC'!$B$3),"")</f>
        <v/>
      </c>
      <c r="E2946">
        <f>IF(B2946=1,D2946,E2945)</f>
        <v/>
      </c>
      <c r="F2946">
        <f>IF(AND(B2946=1,C2946&gt;1,E2945&lt;&gt;""),ABS(D2946-E2945),"")</f>
        <v/>
      </c>
    </row>
    <row r="2947">
      <c r="A2947" t="n">
        <v>2947</v>
      </c>
      <c r="B2947">
        <f>IF(INDEX('Data Entry'!$H$5:$BE$10004,2947-4,'Visual SPC'!$B$3)="",0,IF(AND(OR('Visual SPC'!$C$4="",'Data Entry'!$C2947&gt;='Visual SPC'!$C$4),OR('Visual SPC'!$E$4="",'Data Entry'!$C2947&lt;='Visual SPC'!$E$4),OR('Visual SPC'!$G$4="",'Data Entry'!$D2947='Visual SPC'!$G$4),OR('Visual SPC'!$I$4="",'Data Entry'!$E2947='Visual SPC'!$I$4),OR('Visual SPC'!$K$4="",'Data Entry'!$F2947='Visual SPC'!$K$4)),1,0))</f>
        <v/>
      </c>
      <c r="C2947">
        <f>C2946+B2947</f>
        <v/>
      </c>
      <c r="D2947">
        <f>IF(B2947=1,INDEX('Data Entry'!$H$5:$BE$10004,2947-4,'Visual SPC'!$B$3),"")</f>
        <v/>
      </c>
      <c r="E2947">
        <f>IF(B2947=1,D2947,E2946)</f>
        <v/>
      </c>
      <c r="F2947">
        <f>IF(AND(B2947=1,C2947&gt;1,E2946&lt;&gt;""),ABS(D2947-E2946),"")</f>
        <v/>
      </c>
    </row>
    <row r="2948">
      <c r="A2948" t="n">
        <v>2948</v>
      </c>
      <c r="B2948">
        <f>IF(INDEX('Data Entry'!$H$5:$BE$10004,2948-4,'Visual SPC'!$B$3)="",0,IF(AND(OR('Visual SPC'!$C$4="",'Data Entry'!$C2948&gt;='Visual SPC'!$C$4),OR('Visual SPC'!$E$4="",'Data Entry'!$C2948&lt;='Visual SPC'!$E$4),OR('Visual SPC'!$G$4="",'Data Entry'!$D2948='Visual SPC'!$G$4),OR('Visual SPC'!$I$4="",'Data Entry'!$E2948='Visual SPC'!$I$4),OR('Visual SPC'!$K$4="",'Data Entry'!$F2948='Visual SPC'!$K$4)),1,0))</f>
        <v/>
      </c>
      <c r="C2948">
        <f>C2947+B2948</f>
        <v/>
      </c>
      <c r="D2948">
        <f>IF(B2948=1,INDEX('Data Entry'!$H$5:$BE$10004,2948-4,'Visual SPC'!$B$3),"")</f>
        <v/>
      </c>
      <c r="E2948">
        <f>IF(B2948=1,D2948,E2947)</f>
        <v/>
      </c>
      <c r="F2948">
        <f>IF(AND(B2948=1,C2948&gt;1,E2947&lt;&gt;""),ABS(D2948-E2947),"")</f>
        <v/>
      </c>
    </row>
    <row r="2949">
      <c r="A2949" t="n">
        <v>2949</v>
      </c>
      <c r="B2949">
        <f>IF(INDEX('Data Entry'!$H$5:$BE$10004,2949-4,'Visual SPC'!$B$3)="",0,IF(AND(OR('Visual SPC'!$C$4="",'Data Entry'!$C2949&gt;='Visual SPC'!$C$4),OR('Visual SPC'!$E$4="",'Data Entry'!$C2949&lt;='Visual SPC'!$E$4),OR('Visual SPC'!$G$4="",'Data Entry'!$D2949='Visual SPC'!$G$4),OR('Visual SPC'!$I$4="",'Data Entry'!$E2949='Visual SPC'!$I$4),OR('Visual SPC'!$K$4="",'Data Entry'!$F2949='Visual SPC'!$K$4)),1,0))</f>
        <v/>
      </c>
      <c r="C2949">
        <f>C2948+B2949</f>
        <v/>
      </c>
      <c r="D2949">
        <f>IF(B2949=1,INDEX('Data Entry'!$H$5:$BE$10004,2949-4,'Visual SPC'!$B$3),"")</f>
        <v/>
      </c>
      <c r="E2949">
        <f>IF(B2949=1,D2949,E2948)</f>
        <v/>
      </c>
      <c r="F2949">
        <f>IF(AND(B2949=1,C2949&gt;1,E2948&lt;&gt;""),ABS(D2949-E2948),"")</f>
        <v/>
      </c>
    </row>
    <row r="2950">
      <c r="A2950" t="n">
        <v>2950</v>
      </c>
      <c r="B2950">
        <f>IF(INDEX('Data Entry'!$H$5:$BE$10004,2950-4,'Visual SPC'!$B$3)="",0,IF(AND(OR('Visual SPC'!$C$4="",'Data Entry'!$C2950&gt;='Visual SPC'!$C$4),OR('Visual SPC'!$E$4="",'Data Entry'!$C2950&lt;='Visual SPC'!$E$4),OR('Visual SPC'!$G$4="",'Data Entry'!$D2950='Visual SPC'!$G$4),OR('Visual SPC'!$I$4="",'Data Entry'!$E2950='Visual SPC'!$I$4),OR('Visual SPC'!$K$4="",'Data Entry'!$F2950='Visual SPC'!$K$4)),1,0))</f>
        <v/>
      </c>
      <c r="C2950">
        <f>C2949+B2950</f>
        <v/>
      </c>
      <c r="D2950">
        <f>IF(B2950=1,INDEX('Data Entry'!$H$5:$BE$10004,2950-4,'Visual SPC'!$B$3),"")</f>
        <v/>
      </c>
      <c r="E2950">
        <f>IF(B2950=1,D2950,E2949)</f>
        <v/>
      </c>
      <c r="F2950">
        <f>IF(AND(B2950=1,C2950&gt;1,E2949&lt;&gt;""),ABS(D2950-E2949),"")</f>
        <v/>
      </c>
    </row>
    <row r="2951">
      <c r="A2951" t="n">
        <v>2951</v>
      </c>
      <c r="B2951">
        <f>IF(INDEX('Data Entry'!$H$5:$BE$10004,2951-4,'Visual SPC'!$B$3)="",0,IF(AND(OR('Visual SPC'!$C$4="",'Data Entry'!$C2951&gt;='Visual SPC'!$C$4),OR('Visual SPC'!$E$4="",'Data Entry'!$C2951&lt;='Visual SPC'!$E$4),OR('Visual SPC'!$G$4="",'Data Entry'!$D2951='Visual SPC'!$G$4),OR('Visual SPC'!$I$4="",'Data Entry'!$E2951='Visual SPC'!$I$4),OR('Visual SPC'!$K$4="",'Data Entry'!$F2951='Visual SPC'!$K$4)),1,0))</f>
        <v/>
      </c>
      <c r="C2951">
        <f>C2950+B2951</f>
        <v/>
      </c>
      <c r="D2951">
        <f>IF(B2951=1,INDEX('Data Entry'!$H$5:$BE$10004,2951-4,'Visual SPC'!$B$3),"")</f>
        <v/>
      </c>
      <c r="E2951">
        <f>IF(B2951=1,D2951,E2950)</f>
        <v/>
      </c>
      <c r="F2951">
        <f>IF(AND(B2951=1,C2951&gt;1,E2950&lt;&gt;""),ABS(D2951-E2950),"")</f>
        <v/>
      </c>
    </row>
    <row r="2952">
      <c r="A2952" t="n">
        <v>2952</v>
      </c>
      <c r="B2952">
        <f>IF(INDEX('Data Entry'!$H$5:$BE$10004,2952-4,'Visual SPC'!$B$3)="",0,IF(AND(OR('Visual SPC'!$C$4="",'Data Entry'!$C2952&gt;='Visual SPC'!$C$4),OR('Visual SPC'!$E$4="",'Data Entry'!$C2952&lt;='Visual SPC'!$E$4),OR('Visual SPC'!$G$4="",'Data Entry'!$D2952='Visual SPC'!$G$4),OR('Visual SPC'!$I$4="",'Data Entry'!$E2952='Visual SPC'!$I$4),OR('Visual SPC'!$K$4="",'Data Entry'!$F2952='Visual SPC'!$K$4)),1,0))</f>
        <v/>
      </c>
      <c r="C2952">
        <f>C2951+B2952</f>
        <v/>
      </c>
      <c r="D2952">
        <f>IF(B2952=1,INDEX('Data Entry'!$H$5:$BE$10004,2952-4,'Visual SPC'!$B$3),"")</f>
        <v/>
      </c>
      <c r="E2952">
        <f>IF(B2952=1,D2952,E2951)</f>
        <v/>
      </c>
      <c r="F2952">
        <f>IF(AND(B2952=1,C2952&gt;1,E2951&lt;&gt;""),ABS(D2952-E2951),"")</f>
        <v/>
      </c>
    </row>
    <row r="2953">
      <c r="A2953" t="n">
        <v>2953</v>
      </c>
      <c r="B2953">
        <f>IF(INDEX('Data Entry'!$H$5:$BE$10004,2953-4,'Visual SPC'!$B$3)="",0,IF(AND(OR('Visual SPC'!$C$4="",'Data Entry'!$C2953&gt;='Visual SPC'!$C$4),OR('Visual SPC'!$E$4="",'Data Entry'!$C2953&lt;='Visual SPC'!$E$4),OR('Visual SPC'!$G$4="",'Data Entry'!$D2953='Visual SPC'!$G$4),OR('Visual SPC'!$I$4="",'Data Entry'!$E2953='Visual SPC'!$I$4),OR('Visual SPC'!$K$4="",'Data Entry'!$F2953='Visual SPC'!$K$4)),1,0))</f>
        <v/>
      </c>
      <c r="C2953">
        <f>C2952+B2953</f>
        <v/>
      </c>
      <c r="D2953">
        <f>IF(B2953=1,INDEX('Data Entry'!$H$5:$BE$10004,2953-4,'Visual SPC'!$B$3),"")</f>
        <v/>
      </c>
      <c r="E2953">
        <f>IF(B2953=1,D2953,E2952)</f>
        <v/>
      </c>
      <c r="F2953">
        <f>IF(AND(B2953=1,C2953&gt;1,E2952&lt;&gt;""),ABS(D2953-E2952),"")</f>
        <v/>
      </c>
    </row>
    <row r="2954">
      <c r="A2954" t="n">
        <v>2954</v>
      </c>
      <c r="B2954">
        <f>IF(INDEX('Data Entry'!$H$5:$BE$10004,2954-4,'Visual SPC'!$B$3)="",0,IF(AND(OR('Visual SPC'!$C$4="",'Data Entry'!$C2954&gt;='Visual SPC'!$C$4),OR('Visual SPC'!$E$4="",'Data Entry'!$C2954&lt;='Visual SPC'!$E$4),OR('Visual SPC'!$G$4="",'Data Entry'!$D2954='Visual SPC'!$G$4),OR('Visual SPC'!$I$4="",'Data Entry'!$E2954='Visual SPC'!$I$4),OR('Visual SPC'!$K$4="",'Data Entry'!$F2954='Visual SPC'!$K$4)),1,0))</f>
        <v/>
      </c>
      <c r="C2954">
        <f>C2953+B2954</f>
        <v/>
      </c>
      <c r="D2954">
        <f>IF(B2954=1,INDEX('Data Entry'!$H$5:$BE$10004,2954-4,'Visual SPC'!$B$3),"")</f>
        <v/>
      </c>
      <c r="E2954">
        <f>IF(B2954=1,D2954,E2953)</f>
        <v/>
      </c>
      <c r="F2954">
        <f>IF(AND(B2954=1,C2954&gt;1,E2953&lt;&gt;""),ABS(D2954-E2953),"")</f>
        <v/>
      </c>
    </row>
    <row r="2955">
      <c r="A2955" t="n">
        <v>2955</v>
      </c>
      <c r="B2955">
        <f>IF(INDEX('Data Entry'!$H$5:$BE$10004,2955-4,'Visual SPC'!$B$3)="",0,IF(AND(OR('Visual SPC'!$C$4="",'Data Entry'!$C2955&gt;='Visual SPC'!$C$4),OR('Visual SPC'!$E$4="",'Data Entry'!$C2955&lt;='Visual SPC'!$E$4),OR('Visual SPC'!$G$4="",'Data Entry'!$D2955='Visual SPC'!$G$4),OR('Visual SPC'!$I$4="",'Data Entry'!$E2955='Visual SPC'!$I$4),OR('Visual SPC'!$K$4="",'Data Entry'!$F2955='Visual SPC'!$K$4)),1,0))</f>
        <v/>
      </c>
      <c r="C2955">
        <f>C2954+B2955</f>
        <v/>
      </c>
      <c r="D2955">
        <f>IF(B2955=1,INDEX('Data Entry'!$H$5:$BE$10004,2955-4,'Visual SPC'!$B$3),"")</f>
        <v/>
      </c>
      <c r="E2955">
        <f>IF(B2955=1,D2955,E2954)</f>
        <v/>
      </c>
      <c r="F2955">
        <f>IF(AND(B2955=1,C2955&gt;1,E2954&lt;&gt;""),ABS(D2955-E2954),"")</f>
        <v/>
      </c>
    </row>
    <row r="2956">
      <c r="A2956" t="n">
        <v>2956</v>
      </c>
      <c r="B2956">
        <f>IF(INDEX('Data Entry'!$H$5:$BE$10004,2956-4,'Visual SPC'!$B$3)="",0,IF(AND(OR('Visual SPC'!$C$4="",'Data Entry'!$C2956&gt;='Visual SPC'!$C$4),OR('Visual SPC'!$E$4="",'Data Entry'!$C2956&lt;='Visual SPC'!$E$4),OR('Visual SPC'!$G$4="",'Data Entry'!$D2956='Visual SPC'!$G$4),OR('Visual SPC'!$I$4="",'Data Entry'!$E2956='Visual SPC'!$I$4),OR('Visual SPC'!$K$4="",'Data Entry'!$F2956='Visual SPC'!$K$4)),1,0))</f>
        <v/>
      </c>
      <c r="C2956">
        <f>C2955+B2956</f>
        <v/>
      </c>
      <c r="D2956">
        <f>IF(B2956=1,INDEX('Data Entry'!$H$5:$BE$10004,2956-4,'Visual SPC'!$B$3),"")</f>
        <v/>
      </c>
      <c r="E2956">
        <f>IF(B2956=1,D2956,E2955)</f>
        <v/>
      </c>
      <c r="F2956">
        <f>IF(AND(B2956=1,C2956&gt;1,E2955&lt;&gt;""),ABS(D2956-E2955),"")</f>
        <v/>
      </c>
    </row>
    <row r="2957">
      <c r="A2957" t="n">
        <v>2957</v>
      </c>
      <c r="B2957">
        <f>IF(INDEX('Data Entry'!$H$5:$BE$10004,2957-4,'Visual SPC'!$B$3)="",0,IF(AND(OR('Visual SPC'!$C$4="",'Data Entry'!$C2957&gt;='Visual SPC'!$C$4),OR('Visual SPC'!$E$4="",'Data Entry'!$C2957&lt;='Visual SPC'!$E$4),OR('Visual SPC'!$G$4="",'Data Entry'!$D2957='Visual SPC'!$G$4),OR('Visual SPC'!$I$4="",'Data Entry'!$E2957='Visual SPC'!$I$4),OR('Visual SPC'!$K$4="",'Data Entry'!$F2957='Visual SPC'!$K$4)),1,0))</f>
        <v/>
      </c>
      <c r="C2957">
        <f>C2956+B2957</f>
        <v/>
      </c>
      <c r="D2957">
        <f>IF(B2957=1,INDEX('Data Entry'!$H$5:$BE$10004,2957-4,'Visual SPC'!$B$3),"")</f>
        <v/>
      </c>
      <c r="E2957">
        <f>IF(B2957=1,D2957,E2956)</f>
        <v/>
      </c>
      <c r="F2957">
        <f>IF(AND(B2957=1,C2957&gt;1,E2956&lt;&gt;""),ABS(D2957-E2956),"")</f>
        <v/>
      </c>
    </row>
    <row r="2958">
      <c r="A2958" t="n">
        <v>2958</v>
      </c>
      <c r="B2958">
        <f>IF(INDEX('Data Entry'!$H$5:$BE$10004,2958-4,'Visual SPC'!$B$3)="",0,IF(AND(OR('Visual SPC'!$C$4="",'Data Entry'!$C2958&gt;='Visual SPC'!$C$4),OR('Visual SPC'!$E$4="",'Data Entry'!$C2958&lt;='Visual SPC'!$E$4),OR('Visual SPC'!$G$4="",'Data Entry'!$D2958='Visual SPC'!$G$4),OR('Visual SPC'!$I$4="",'Data Entry'!$E2958='Visual SPC'!$I$4),OR('Visual SPC'!$K$4="",'Data Entry'!$F2958='Visual SPC'!$K$4)),1,0))</f>
        <v/>
      </c>
      <c r="C2958">
        <f>C2957+B2958</f>
        <v/>
      </c>
      <c r="D2958">
        <f>IF(B2958=1,INDEX('Data Entry'!$H$5:$BE$10004,2958-4,'Visual SPC'!$B$3),"")</f>
        <v/>
      </c>
      <c r="E2958">
        <f>IF(B2958=1,D2958,E2957)</f>
        <v/>
      </c>
      <c r="F2958">
        <f>IF(AND(B2958=1,C2958&gt;1,E2957&lt;&gt;""),ABS(D2958-E2957),"")</f>
        <v/>
      </c>
    </row>
    <row r="2959">
      <c r="A2959" t="n">
        <v>2959</v>
      </c>
      <c r="B2959">
        <f>IF(INDEX('Data Entry'!$H$5:$BE$10004,2959-4,'Visual SPC'!$B$3)="",0,IF(AND(OR('Visual SPC'!$C$4="",'Data Entry'!$C2959&gt;='Visual SPC'!$C$4),OR('Visual SPC'!$E$4="",'Data Entry'!$C2959&lt;='Visual SPC'!$E$4),OR('Visual SPC'!$G$4="",'Data Entry'!$D2959='Visual SPC'!$G$4),OR('Visual SPC'!$I$4="",'Data Entry'!$E2959='Visual SPC'!$I$4),OR('Visual SPC'!$K$4="",'Data Entry'!$F2959='Visual SPC'!$K$4)),1,0))</f>
        <v/>
      </c>
      <c r="C2959">
        <f>C2958+B2959</f>
        <v/>
      </c>
      <c r="D2959">
        <f>IF(B2959=1,INDEX('Data Entry'!$H$5:$BE$10004,2959-4,'Visual SPC'!$B$3),"")</f>
        <v/>
      </c>
      <c r="E2959">
        <f>IF(B2959=1,D2959,E2958)</f>
        <v/>
      </c>
      <c r="F2959">
        <f>IF(AND(B2959=1,C2959&gt;1,E2958&lt;&gt;""),ABS(D2959-E2958),"")</f>
        <v/>
      </c>
    </row>
    <row r="2960">
      <c r="A2960" t="n">
        <v>2960</v>
      </c>
      <c r="B2960">
        <f>IF(INDEX('Data Entry'!$H$5:$BE$10004,2960-4,'Visual SPC'!$B$3)="",0,IF(AND(OR('Visual SPC'!$C$4="",'Data Entry'!$C2960&gt;='Visual SPC'!$C$4),OR('Visual SPC'!$E$4="",'Data Entry'!$C2960&lt;='Visual SPC'!$E$4),OR('Visual SPC'!$G$4="",'Data Entry'!$D2960='Visual SPC'!$G$4),OR('Visual SPC'!$I$4="",'Data Entry'!$E2960='Visual SPC'!$I$4),OR('Visual SPC'!$K$4="",'Data Entry'!$F2960='Visual SPC'!$K$4)),1,0))</f>
        <v/>
      </c>
      <c r="C2960">
        <f>C2959+B2960</f>
        <v/>
      </c>
      <c r="D2960">
        <f>IF(B2960=1,INDEX('Data Entry'!$H$5:$BE$10004,2960-4,'Visual SPC'!$B$3),"")</f>
        <v/>
      </c>
      <c r="E2960">
        <f>IF(B2960=1,D2960,E2959)</f>
        <v/>
      </c>
      <c r="F2960">
        <f>IF(AND(B2960=1,C2960&gt;1,E2959&lt;&gt;""),ABS(D2960-E2959),"")</f>
        <v/>
      </c>
    </row>
    <row r="2961">
      <c r="A2961" t="n">
        <v>2961</v>
      </c>
      <c r="B2961">
        <f>IF(INDEX('Data Entry'!$H$5:$BE$10004,2961-4,'Visual SPC'!$B$3)="",0,IF(AND(OR('Visual SPC'!$C$4="",'Data Entry'!$C2961&gt;='Visual SPC'!$C$4),OR('Visual SPC'!$E$4="",'Data Entry'!$C2961&lt;='Visual SPC'!$E$4),OR('Visual SPC'!$G$4="",'Data Entry'!$D2961='Visual SPC'!$G$4),OR('Visual SPC'!$I$4="",'Data Entry'!$E2961='Visual SPC'!$I$4),OR('Visual SPC'!$K$4="",'Data Entry'!$F2961='Visual SPC'!$K$4)),1,0))</f>
        <v/>
      </c>
      <c r="C2961">
        <f>C2960+B2961</f>
        <v/>
      </c>
      <c r="D2961">
        <f>IF(B2961=1,INDEX('Data Entry'!$H$5:$BE$10004,2961-4,'Visual SPC'!$B$3),"")</f>
        <v/>
      </c>
      <c r="E2961">
        <f>IF(B2961=1,D2961,E2960)</f>
        <v/>
      </c>
      <c r="F2961">
        <f>IF(AND(B2961=1,C2961&gt;1,E2960&lt;&gt;""),ABS(D2961-E2960),"")</f>
        <v/>
      </c>
    </row>
    <row r="2962">
      <c r="A2962" t="n">
        <v>2962</v>
      </c>
      <c r="B2962">
        <f>IF(INDEX('Data Entry'!$H$5:$BE$10004,2962-4,'Visual SPC'!$B$3)="",0,IF(AND(OR('Visual SPC'!$C$4="",'Data Entry'!$C2962&gt;='Visual SPC'!$C$4),OR('Visual SPC'!$E$4="",'Data Entry'!$C2962&lt;='Visual SPC'!$E$4),OR('Visual SPC'!$G$4="",'Data Entry'!$D2962='Visual SPC'!$G$4),OR('Visual SPC'!$I$4="",'Data Entry'!$E2962='Visual SPC'!$I$4),OR('Visual SPC'!$K$4="",'Data Entry'!$F2962='Visual SPC'!$K$4)),1,0))</f>
        <v/>
      </c>
      <c r="C2962">
        <f>C2961+B2962</f>
        <v/>
      </c>
      <c r="D2962">
        <f>IF(B2962=1,INDEX('Data Entry'!$H$5:$BE$10004,2962-4,'Visual SPC'!$B$3),"")</f>
        <v/>
      </c>
      <c r="E2962">
        <f>IF(B2962=1,D2962,E2961)</f>
        <v/>
      </c>
      <c r="F2962">
        <f>IF(AND(B2962=1,C2962&gt;1,E2961&lt;&gt;""),ABS(D2962-E2961),"")</f>
        <v/>
      </c>
    </row>
    <row r="2963">
      <c r="A2963" t="n">
        <v>2963</v>
      </c>
      <c r="B2963">
        <f>IF(INDEX('Data Entry'!$H$5:$BE$10004,2963-4,'Visual SPC'!$B$3)="",0,IF(AND(OR('Visual SPC'!$C$4="",'Data Entry'!$C2963&gt;='Visual SPC'!$C$4),OR('Visual SPC'!$E$4="",'Data Entry'!$C2963&lt;='Visual SPC'!$E$4),OR('Visual SPC'!$G$4="",'Data Entry'!$D2963='Visual SPC'!$G$4),OR('Visual SPC'!$I$4="",'Data Entry'!$E2963='Visual SPC'!$I$4),OR('Visual SPC'!$K$4="",'Data Entry'!$F2963='Visual SPC'!$K$4)),1,0))</f>
        <v/>
      </c>
      <c r="C2963">
        <f>C2962+B2963</f>
        <v/>
      </c>
      <c r="D2963">
        <f>IF(B2963=1,INDEX('Data Entry'!$H$5:$BE$10004,2963-4,'Visual SPC'!$B$3),"")</f>
        <v/>
      </c>
      <c r="E2963">
        <f>IF(B2963=1,D2963,E2962)</f>
        <v/>
      </c>
      <c r="F2963">
        <f>IF(AND(B2963=1,C2963&gt;1,E2962&lt;&gt;""),ABS(D2963-E2962),"")</f>
        <v/>
      </c>
    </row>
    <row r="2964">
      <c r="A2964" t="n">
        <v>2964</v>
      </c>
      <c r="B2964">
        <f>IF(INDEX('Data Entry'!$H$5:$BE$10004,2964-4,'Visual SPC'!$B$3)="",0,IF(AND(OR('Visual SPC'!$C$4="",'Data Entry'!$C2964&gt;='Visual SPC'!$C$4),OR('Visual SPC'!$E$4="",'Data Entry'!$C2964&lt;='Visual SPC'!$E$4),OR('Visual SPC'!$G$4="",'Data Entry'!$D2964='Visual SPC'!$G$4),OR('Visual SPC'!$I$4="",'Data Entry'!$E2964='Visual SPC'!$I$4),OR('Visual SPC'!$K$4="",'Data Entry'!$F2964='Visual SPC'!$K$4)),1,0))</f>
        <v/>
      </c>
      <c r="C2964">
        <f>C2963+B2964</f>
        <v/>
      </c>
      <c r="D2964">
        <f>IF(B2964=1,INDEX('Data Entry'!$H$5:$BE$10004,2964-4,'Visual SPC'!$B$3),"")</f>
        <v/>
      </c>
      <c r="E2964">
        <f>IF(B2964=1,D2964,E2963)</f>
        <v/>
      </c>
      <c r="F2964">
        <f>IF(AND(B2964=1,C2964&gt;1,E2963&lt;&gt;""),ABS(D2964-E2963),"")</f>
        <v/>
      </c>
    </row>
    <row r="2965">
      <c r="A2965" t="n">
        <v>2965</v>
      </c>
      <c r="B2965">
        <f>IF(INDEX('Data Entry'!$H$5:$BE$10004,2965-4,'Visual SPC'!$B$3)="",0,IF(AND(OR('Visual SPC'!$C$4="",'Data Entry'!$C2965&gt;='Visual SPC'!$C$4),OR('Visual SPC'!$E$4="",'Data Entry'!$C2965&lt;='Visual SPC'!$E$4),OR('Visual SPC'!$G$4="",'Data Entry'!$D2965='Visual SPC'!$G$4),OR('Visual SPC'!$I$4="",'Data Entry'!$E2965='Visual SPC'!$I$4),OR('Visual SPC'!$K$4="",'Data Entry'!$F2965='Visual SPC'!$K$4)),1,0))</f>
        <v/>
      </c>
      <c r="C2965">
        <f>C2964+B2965</f>
        <v/>
      </c>
      <c r="D2965">
        <f>IF(B2965=1,INDEX('Data Entry'!$H$5:$BE$10004,2965-4,'Visual SPC'!$B$3),"")</f>
        <v/>
      </c>
      <c r="E2965">
        <f>IF(B2965=1,D2965,E2964)</f>
        <v/>
      </c>
      <c r="F2965">
        <f>IF(AND(B2965=1,C2965&gt;1,E2964&lt;&gt;""),ABS(D2965-E2964),"")</f>
        <v/>
      </c>
    </row>
    <row r="2966">
      <c r="A2966" t="n">
        <v>2966</v>
      </c>
      <c r="B2966">
        <f>IF(INDEX('Data Entry'!$H$5:$BE$10004,2966-4,'Visual SPC'!$B$3)="",0,IF(AND(OR('Visual SPC'!$C$4="",'Data Entry'!$C2966&gt;='Visual SPC'!$C$4),OR('Visual SPC'!$E$4="",'Data Entry'!$C2966&lt;='Visual SPC'!$E$4),OR('Visual SPC'!$G$4="",'Data Entry'!$D2966='Visual SPC'!$G$4),OR('Visual SPC'!$I$4="",'Data Entry'!$E2966='Visual SPC'!$I$4),OR('Visual SPC'!$K$4="",'Data Entry'!$F2966='Visual SPC'!$K$4)),1,0))</f>
        <v/>
      </c>
      <c r="C2966">
        <f>C2965+B2966</f>
        <v/>
      </c>
      <c r="D2966">
        <f>IF(B2966=1,INDEX('Data Entry'!$H$5:$BE$10004,2966-4,'Visual SPC'!$B$3),"")</f>
        <v/>
      </c>
      <c r="E2966">
        <f>IF(B2966=1,D2966,E2965)</f>
        <v/>
      </c>
      <c r="F2966">
        <f>IF(AND(B2966=1,C2966&gt;1,E2965&lt;&gt;""),ABS(D2966-E2965),"")</f>
        <v/>
      </c>
    </row>
    <row r="2967">
      <c r="A2967" t="n">
        <v>2967</v>
      </c>
      <c r="B2967">
        <f>IF(INDEX('Data Entry'!$H$5:$BE$10004,2967-4,'Visual SPC'!$B$3)="",0,IF(AND(OR('Visual SPC'!$C$4="",'Data Entry'!$C2967&gt;='Visual SPC'!$C$4),OR('Visual SPC'!$E$4="",'Data Entry'!$C2967&lt;='Visual SPC'!$E$4),OR('Visual SPC'!$G$4="",'Data Entry'!$D2967='Visual SPC'!$G$4),OR('Visual SPC'!$I$4="",'Data Entry'!$E2967='Visual SPC'!$I$4),OR('Visual SPC'!$K$4="",'Data Entry'!$F2967='Visual SPC'!$K$4)),1,0))</f>
        <v/>
      </c>
      <c r="C2967">
        <f>C2966+B2967</f>
        <v/>
      </c>
      <c r="D2967">
        <f>IF(B2967=1,INDEX('Data Entry'!$H$5:$BE$10004,2967-4,'Visual SPC'!$B$3),"")</f>
        <v/>
      </c>
      <c r="E2967">
        <f>IF(B2967=1,D2967,E2966)</f>
        <v/>
      </c>
      <c r="F2967">
        <f>IF(AND(B2967=1,C2967&gt;1,E2966&lt;&gt;""),ABS(D2967-E2966),"")</f>
        <v/>
      </c>
    </row>
    <row r="2968">
      <c r="A2968" t="n">
        <v>2968</v>
      </c>
      <c r="B2968">
        <f>IF(INDEX('Data Entry'!$H$5:$BE$10004,2968-4,'Visual SPC'!$B$3)="",0,IF(AND(OR('Visual SPC'!$C$4="",'Data Entry'!$C2968&gt;='Visual SPC'!$C$4),OR('Visual SPC'!$E$4="",'Data Entry'!$C2968&lt;='Visual SPC'!$E$4),OR('Visual SPC'!$G$4="",'Data Entry'!$D2968='Visual SPC'!$G$4),OR('Visual SPC'!$I$4="",'Data Entry'!$E2968='Visual SPC'!$I$4),OR('Visual SPC'!$K$4="",'Data Entry'!$F2968='Visual SPC'!$K$4)),1,0))</f>
        <v/>
      </c>
      <c r="C2968">
        <f>C2967+B2968</f>
        <v/>
      </c>
      <c r="D2968">
        <f>IF(B2968=1,INDEX('Data Entry'!$H$5:$BE$10004,2968-4,'Visual SPC'!$B$3),"")</f>
        <v/>
      </c>
      <c r="E2968">
        <f>IF(B2968=1,D2968,E2967)</f>
        <v/>
      </c>
      <c r="F2968">
        <f>IF(AND(B2968=1,C2968&gt;1,E2967&lt;&gt;""),ABS(D2968-E2967),"")</f>
        <v/>
      </c>
    </row>
    <row r="2969">
      <c r="A2969" t="n">
        <v>2969</v>
      </c>
      <c r="B2969">
        <f>IF(INDEX('Data Entry'!$H$5:$BE$10004,2969-4,'Visual SPC'!$B$3)="",0,IF(AND(OR('Visual SPC'!$C$4="",'Data Entry'!$C2969&gt;='Visual SPC'!$C$4),OR('Visual SPC'!$E$4="",'Data Entry'!$C2969&lt;='Visual SPC'!$E$4),OR('Visual SPC'!$G$4="",'Data Entry'!$D2969='Visual SPC'!$G$4),OR('Visual SPC'!$I$4="",'Data Entry'!$E2969='Visual SPC'!$I$4),OR('Visual SPC'!$K$4="",'Data Entry'!$F2969='Visual SPC'!$K$4)),1,0))</f>
        <v/>
      </c>
      <c r="C2969">
        <f>C2968+B2969</f>
        <v/>
      </c>
      <c r="D2969">
        <f>IF(B2969=1,INDEX('Data Entry'!$H$5:$BE$10004,2969-4,'Visual SPC'!$B$3),"")</f>
        <v/>
      </c>
      <c r="E2969">
        <f>IF(B2969=1,D2969,E2968)</f>
        <v/>
      </c>
      <c r="F2969">
        <f>IF(AND(B2969=1,C2969&gt;1,E2968&lt;&gt;""),ABS(D2969-E2968),"")</f>
        <v/>
      </c>
    </row>
    <row r="2970">
      <c r="A2970" t="n">
        <v>2970</v>
      </c>
      <c r="B2970">
        <f>IF(INDEX('Data Entry'!$H$5:$BE$10004,2970-4,'Visual SPC'!$B$3)="",0,IF(AND(OR('Visual SPC'!$C$4="",'Data Entry'!$C2970&gt;='Visual SPC'!$C$4),OR('Visual SPC'!$E$4="",'Data Entry'!$C2970&lt;='Visual SPC'!$E$4),OR('Visual SPC'!$G$4="",'Data Entry'!$D2970='Visual SPC'!$G$4),OR('Visual SPC'!$I$4="",'Data Entry'!$E2970='Visual SPC'!$I$4),OR('Visual SPC'!$K$4="",'Data Entry'!$F2970='Visual SPC'!$K$4)),1,0))</f>
        <v/>
      </c>
      <c r="C2970">
        <f>C2969+B2970</f>
        <v/>
      </c>
      <c r="D2970">
        <f>IF(B2970=1,INDEX('Data Entry'!$H$5:$BE$10004,2970-4,'Visual SPC'!$B$3),"")</f>
        <v/>
      </c>
      <c r="E2970">
        <f>IF(B2970=1,D2970,E2969)</f>
        <v/>
      </c>
      <c r="F2970">
        <f>IF(AND(B2970=1,C2970&gt;1,E2969&lt;&gt;""),ABS(D2970-E2969),"")</f>
        <v/>
      </c>
    </row>
    <row r="2971">
      <c r="A2971" t="n">
        <v>2971</v>
      </c>
      <c r="B2971">
        <f>IF(INDEX('Data Entry'!$H$5:$BE$10004,2971-4,'Visual SPC'!$B$3)="",0,IF(AND(OR('Visual SPC'!$C$4="",'Data Entry'!$C2971&gt;='Visual SPC'!$C$4),OR('Visual SPC'!$E$4="",'Data Entry'!$C2971&lt;='Visual SPC'!$E$4),OR('Visual SPC'!$G$4="",'Data Entry'!$D2971='Visual SPC'!$G$4),OR('Visual SPC'!$I$4="",'Data Entry'!$E2971='Visual SPC'!$I$4),OR('Visual SPC'!$K$4="",'Data Entry'!$F2971='Visual SPC'!$K$4)),1,0))</f>
        <v/>
      </c>
      <c r="C2971">
        <f>C2970+B2971</f>
        <v/>
      </c>
      <c r="D2971">
        <f>IF(B2971=1,INDEX('Data Entry'!$H$5:$BE$10004,2971-4,'Visual SPC'!$B$3),"")</f>
        <v/>
      </c>
      <c r="E2971">
        <f>IF(B2971=1,D2971,E2970)</f>
        <v/>
      </c>
      <c r="F2971">
        <f>IF(AND(B2971=1,C2971&gt;1,E2970&lt;&gt;""),ABS(D2971-E2970),"")</f>
        <v/>
      </c>
    </row>
    <row r="2972">
      <c r="A2972" t="n">
        <v>2972</v>
      </c>
      <c r="B2972">
        <f>IF(INDEX('Data Entry'!$H$5:$BE$10004,2972-4,'Visual SPC'!$B$3)="",0,IF(AND(OR('Visual SPC'!$C$4="",'Data Entry'!$C2972&gt;='Visual SPC'!$C$4),OR('Visual SPC'!$E$4="",'Data Entry'!$C2972&lt;='Visual SPC'!$E$4),OR('Visual SPC'!$G$4="",'Data Entry'!$D2972='Visual SPC'!$G$4),OR('Visual SPC'!$I$4="",'Data Entry'!$E2972='Visual SPC'!$I$4),OR('Visual SPC'!$K$4="",'Data Entry'!$F2972='Visual SPC'!$K$4)),1,0))</f>
        <v/>
      </c>
      <c r="C2972">
        <f>C2971+B2972</f>
        <v/>
      </c>
      <c r="D2972">
        <f>IF(B2972=1,INDEX('Data Entry'!$H$5:$BE$10004,2972-4,'Visual SPC'!$B$3),"")</f>
        <v/>
      </c>
      <c r="E2972">
        <f>IF(B2972=1,D2972,E2971)</f>
        <v/>
      </c>
      <c r="F2972">
        <f>IF(AND(B2972=1,C2972&gt;1,E2971&lt;&gt;""),ABS(D2972-E2971),"")</f>
        <v/>
      </c>
    </row>
    <row r="2973">
      <c r="A2973" t="n">
        <v>2973</v>
      </c>
      <c r="B2973">
        <f>IF(INDEX('Data Entry'!$H$5:$BE$10004,2973-4,'Visual SPC'!$B$3)="",0,IF(AND(OR('Visual SPC'!$C$4="",'Data Entry'!$C2973&gt;='Visual SPC'!$C$4),OR('Visual SPC'!$E$4="",'Data Entry'!$C2973&lt;='Visual SPC'!$E$4),OR('Visual SPC'!$G$4="",'Data Entry'!$D2973='Visual SPC'!$G$4),OR('Visual SPC'!$I$4="",'Data Entry'!$E2973='Visual SPC'!$I$4),OR('Visual SPC'!$K$4="",'Data Entry'!$F2973='Visual SPC'!$K$4)),1,0))</f>
        <v/>
      </c>
      <c r="C2973">
        <f>C2972+B2973</f>
        <v/>
      </c>
      <c r="D2973">
        <f>IF(B2973=1,INDEX('Data Entry'!$H$5:$BE$10004,2973-4,'Visual SPC'!$B$3),"")</f>
        <v/>
      </c>
      <c r="E2973">
        <f>IF(B2973=1,D2973,E2972)</f>
        <v/>
      </c>
      <c r="F2973">
        <f>IF(AND(B2973=1,C2973&gt;1,E2972&lt;&gt;""),ABS(D2973-E2972),"")</f>
        <v/>
      </c>
    </row>
    <row r="2974">
      <c r="A2974" t="n">
        <v>2974</v>
      </c>
      <c r="B2974">
        <f>IF(INDEX('Data Entry'!$H$5:$BE$10004,2974-4,'Visual SPC'!$B$3)="",0,IF(AND(OR('Visual SPC'!$C$4="",'Data Entry'!$C2974&gt;='Visual SPC'!$C$4),OR('Visual SPC'!$E$4="",'Data Entry'!$C2974&lt;='Visual SPC'!$E$4),OR('Visual SPC'!$G$4="",'Data Entry'!$D2974='Visual SPC'!$G$4),OR('Visual SPC'!$I$4="",'Data Entry'!$E2974='Visual SPC'!$I$4),OR('Visual SPC'!$K$4="",'Data Entry'!$F2974='Visual SPC'!$K$4)),1,0))</f>
        <v/>
      </c>
      <c r="C2974">
        <f>C2973+B2974</f>
        <v/>
      </c>
      <c r="D2974">
        <f>IF(B2974=1,INDEX('Data Entry'!$H$5:$BE$10004,2974-4,'Visual SPC'!$B$3),"")</f>
        <v/>
      </c>
      <c r="E2974">
        <f>IF(B2974=1,D2974,E2973)</f>
        <v/>
      </c>
      <c r="F2974">
        <f>IF(AND(B2974=1,C2974&gt;1,E2973&lt;&gt;""),ABS(D2974-E2973),"")</f>
        <v/>
      </c>
    </row>
    <row r="2975">
      <c r="A2975" t="n">
        <v>2975</v>
      </c>
      <c r="B2975">
        <f>IF(INDEX('Data Entry'!$H$5:$BE$10004,2975-4,'Visual SPC'!$B$3)="",0,IF(AND(OR('Visual SPC'!$C$4="",'Data Entry'!$C2975&gt;='Visual SPC'!$C$4),OR('Visual SPC'!$E$4="",'Data Entry'!$C2975&lt;='Visual SPC'!$E$4),OR('Visual SPC'!$G$4="",'Data Entry'!$D2975='Visual SPC'!$G$4),OR('Visual SPC'!$I$4="",'Data Entry'!$E2975='Visual SPC'!$I$4),OR('Visual SPC'!$K$4="",'Data Entry'!$F2975='Visual SPC'!$K$4)),1,0))</f>
        <v/>
      </c>
      <c r="C2975">
        <f>C2974+B2975</f>
        <v/>
      </c>
      <c r="D2975">
        <f>IF(B2975=1,INDEX('Data Entry'!$H$5:$BE$10004,2975-4,'Visual SPC'!$B$3),"")</f>
        <v/>
      </c>
      <c r="E2975">
        <f>IF(B2975=1,D2975,E2974)</f>
        <v/>
      </c>
      <c r="F2975">
        <f>IF(AND(B2975=1,C2975&gt;1,E2974&lt;&gt;""),ABS(D2975-E2974),"")</f>
        <v/>
      </c>
    </row>
    <row r="2976">
      <c r="A2976" t="n">
        <v>2976</v>
      </c>
      <c r="B2976">
        <f>IF(INDEX('Data Entry'!$H$5:$BE$10004,2976-4,'Visual SPC'!$B$3)="",0,IF(AND(OR('Visual SPC'!$C$4="",'Data Entry'!$C2976&gt;='Visual SPC'!$C$4),OR('Visual SPC'!$E$4="",'Data Entry'!$C2976&lt;='Visual SPC'!$E$4),OR('Visual SPC'!$G$4="",'Data Entry'!$D2976='Visual SPC'!$G$4),OR('Visual SPC'!$I$4="",'Data Entry'!$E2976='Visual SPC'!$I$4),OR('Visual SPC'!$K$4="",'Data Entry'!$F2976='Visual SPC'!$K$4)),1,0))</f>
        <v/>
      </c>
      <c r="C2976">
        <f>C2975+B2976</f>
        <v/>
      </c>
      <c r="D2976">
        <f>IF(B2976=1,INDEX('Data Entry'!$H$5:$BE$10004,2976-4,'Visual SPC'!$B$3),"")</f>
        <v/>
      </c>
      <c r="E2976">
        <f>IF(B2976=1,D2976,E2975)</f>
        <v/>
      </c>
      <c r="F2976">
        <f>IF(AND(B2976=1,C2976&gt;1,E2975&lt;&gt;""),ABS(D2976-E2975),"")</f>
        <v/>
      </c>
    </row>
    <row r="2977">
      <c r="A2977" t="n">
        <v>2977</v>
      </c>
      <c r="B2977">
        <f>IF(INDEX('Data Entry'!$H$5:$BE$10004,2977-4,'Visual SPC'!$B$3)="",0,IF(AND(OR('Visual SPC'!$C$4="",'Data Entry'!$C2977&gt;='Visual SPC'!$C$4),OR('Visual SPC'!$E$4="",'Data Entry'!$C2977&lt;='Visual SPC'!$E$4),OR('Visual SPC'!$G$4="",'Data Entry'!$D2977='Visual SPC'!$G$4),OR('Visual SPC'!$I$4="",'Data Entry'!$E2977='Visual SPC'!$I$4),OR('Visual SPC'!$K$4="",'Data Entry'!$F2977='Visual SPC'!$K$4)),1,0))</f>
        <v/>
      </c>
      <c r="C2977">
        <f>C2976+B2977</f>
        <v/>
      </c>
      <c r="D2977">
        <f>IF(B2977=1,INDEX('Data Entry'!$H$5:$BE$10004,2977-4,'Visual SPC'!$B$3),"")</f>
        <v/>
      </c>
      <c r="E2977">
        <f>IF(B2977=1,D2977,E2976)</f>
        <v/>
      </c>
      <c r="F2977">
        <f>IF(AND(B2977=1,C2977&gt;1,E2976&lt;&gt;""),ABS(D2977-E2976),"")</f>
        <v/>
      </c>
    </row>
    <row r="2978">
      <c r="A2978" t="n">
        <v>2978</v>
      </c>
      <c r="B2978">
        <f>IF(INDEX('Data Entry'!$H$5:$BE$10004,2978-4,'Visual SPC'!$B$3)="",0,IF(AND(OR('Visual SPC'!$C$4="",'Data Entry'!$C2978&gt;='Visual SPC'!$C$4),OR('Visual SPC'!$E$4="",'Data Entry'!$C2978&lt;='Visual SPC'!$E$4),OR('Visual SPC'!$G$4="",'Data Entry'!$D2978='Visual SPC'!$G$4),OR('Visual SPC'!$I$4="",'Data Entry'!$E2978='Visual SPC'!$I$4),OR('Visual SPC'!$K$4="",'Data Entry'!$F2978='Visual SPC'!$K$4)),1,0))</f>
        <v/>
      </c>
      <c r="C2978">
        <f>C2977+B2978</f>
        <v/>
      </c>
      <c r="D2978">
        <f>IF(B2978=1,INDEX('Data Entry'!$H$5:$BE$10004,2978-4,'Visual SPC'!$B$3),"")</f>
        <v/>
      </c>
      <c r="E2978">
        <f>IF(B2978=1,D2978,E2977)</f>
        <v/>
      </c>
      <c r="F2978">
        <f>IF(AND(B2978=1,C2978&gt;1,E2977&lt;&gt;""),ABS(D2978-E2977),"")</f>
        <v/>
      </c>
    </row>
    <row r="2979">
      <c r="A2979" t="n">
        <v>2979</v>
      </c>
      <c r="B2979">
        <f>IF(INDEX('Data Entry'!$H$5:$BE$10004,2979-4,'Visual SPC'!$B$3)="",0,IF(AND(OR('Visual SPC'!$C$4="",'Data Entry'!$C2979&gt;='Visual SPC'!$C$4),OR('Visual SPC'!$E$4="",'Data Entry'!$C2979&lt;='Visual SPC'!$E$4),OR('Visual SPC'!$G$4="",'Data Entry'!$D2979='Visual SPC'!$G$4),OR('Visual SPC'!$I$4="",'Data Entry'!$E2979='Visual SPC'!$I$4),OR('Visual SPC'!$K$4="",'Data Entry'!$F2979='Visual SPC'!$K$4)),1,0))</f>
        <v/>
      </c>
      <c r="C2979">
        <f>C2978+B2979</f>
        <v/>
      </c>
      <c r="D2979">
        <f>IF(B2979=1,INDEX('Data Entry'!$H$5:$BE$10004,2979-4,'Visual SPC'!$B$3),"")</f>
        <v/>
      </c>
      <c r="E2979">
        <f>IF(B2979=1,D2979,E2978)</f>
        <v/>
      </c>
      <c r="F2979">
        <f>IF(AND(B2979=1,C2979&gt;1,E2978&lt;&gt;""),ABS(D2979-E2978),"")</f>
        <v/>
      </c>
    </row>
    <row r="2980">
      <c r="A2980" t="n">
        <v>2980</v>
      </c>
      <c r="B2980">
        <f>IF(INDEX('Data Entry'!$H$5:$BE$10004,2980-4,'Visual SPC'!$B$3)="",0,IF(AND(OR('Visual SPC'!$C$4="",'Data Entry'!$C2980&gt;='Visual SPC'!$C$4),OR('Visual SPC'!$E$4="",'Data Entry'!$C2980&lt;='Visual SPC'!$E$4),OR('Visual SPC'!$G$4="",'Data Entry'!$D2980='Visual SPC'!$G$4),OR('Visual SPC'!$I$4="",'Data Entry'!$E2980='Visual SPC'!$I$4),OR('Visual SPC'!$K$4="",'Data Entry'!$F2980='Visual SPC'!$K$4)),1,0))</f>
        <v/>
      </c>
      <c r="C2980">
        <f>C2979+B2980</f>
        <v/>
      </c>
      <c r="D2980">
        <f>IF(B2980=1,INDEX('Data Entry'!$H$5:$BE$10004,2980-4,'Visual SPC'!$B$3),"")</f>
        <v/>
      </c>
      <c r="E2980">
        <f>IF(B2980=1,D2980,E2979)</f>
        <v/>
      </c>
      <c r="F2980">
        <f>IF(AND(B2980=1,C2980&gt;1,E2979&lt;&gt;""),ABS(D2980-E2979),"")</f>
        <v/>
      </c>
    </row>
    <row r="2981">
      <c r="A2981" t="n">
        <v>2981</v>
      </c>
      <c r="B2981">
        <f>IF(INDEX('Data Entry'!$H$5:$BE$10004,2981-4,'Visual SPC'!$B$3)="",0,IF(AND(OR('Visual SPC'!$C$4="",'Data Entry'!$C2981&gt;='Visual SPC'!$C$4),OR('Visual SPC'!$E$4="",'Data Entry'!$C2981&lt;='Visual SPC'!$E$4),OR('Visual SPC'!$G$4="",'Data Entry'!$D2981='Visual SPC'!$G$4),OR('Visual SPC'!$I$4="",'Data Entry'!$E2981='Visual SPC'!$I$4),OR('Visual SPC'!$K$4="",'Data Entry'!$F2981='Visual SPC'!$K$4)),1,0))</f>
        <v/>
      </c>
      <c r="C2981">
        <f>C2980+B2981</f>
        <v/>
      </c>
      <c r="D2981">
        <f>IF(B2981=1,INDEX('Data Entry'!$H$5:$BE$10004,2981-4,'Visual SPC'!$B$3),"")</f>
        <v/>
      </c>
      <c r="E2981">
        <f>IF(B2981=1,D2981,E2980)</f>
        <v/>
      </c>
      <c r="F2981">
        <f>IF(AND(B2981=1,C2981&gt;1,E2980&lt;&gt;""),ABS(D2981-E2980),"")</f>
        <v/>
      </c>
    </row>
    <row r="2982">
      <c r="A2982" t="n">
        <v>2982</v>
      </c>
      <c r="B2982">
        <f>IF(INDEX('Data Entry'!$H$5:$BE$10004,2982-4,'Visual SPC'!$B$3)="",0,IF(AND(OR('Visual SPC'!$C$4="",'Data Entry'!$C2982&gt;='Visual SPC'!$C$4),OR('Visual SPC'!$E$4="",'Data Entry'!$C2982&lt;='Visual SPC'!$E$4),OR('Visual SPC'!$G$4="",'Data Entry'!$D2982='Visual SPC'!$G$4),OR('Visual SPC'!$I$4="",'Data Entry'!$E2982='Visual SPC'!$I$4),OR('Visual SPC'!$K$4="",'Data Entry'!$F2982='Visual SPC'!$K$4)),1,0))</f>
        <v/>
      </c>
      <c r="C2982">
        <f>C2981+B2982</f>
        <v/>
      </c>
      <c r="D2982">
        <f>IF(B2982=1,INDEX('Data Entry'!$H$5:$BE$10004,2982-4,'Visual SPC'!$B$3),"")</f>
        <v/>
      </c>
      <c r="E2982">
        <f>IF(B2982=1,D2982,E2981)</f>
        <v/>
      </c>
      <c r="F2982">
        <f>IF(AND(B2982=1,C2982&gt;1,E2981&lt;&gt;""),ABS(D2982-E2981),"")</f>
        <v/>
      </c>
    </row>
    <row r="2983">
      <c r="A2983" t="n">
        <v>2983</v>
      </c>
      <c r="B2983">
        <f>IF(INDEX('Data Entry'!$H$5:$BE$10004,2983-4,'Visual SPC'!$B$3)="",0,IF(AND(OR('Visual SPC'!$C$4="",'Data Entry'!$C2983&gt;='Visual SPC'!$C$4),OR('Visual SPC'!$E$4="",'Data Entry'!$C2983&lt;='Visual SPC'!$E$4),OR('Visual SPC'!$G$4="",'Data Entry'!$D2983='Visual SPC'!$G$4),OR('Visual SPC'!$I$4="",'Data Entry'!$E2983='Visual SPC'!$I$4),OR('Visual SPC'!$K$4="",'Data Entry'!$F2983='Visual SPC'!$K$4)),1,0))</f>
        <v/>
      </c>
      <c r="C2983">
        <f>C2982+B2983</f>
        <v/>
      </c>
      <c r="D2983">
        <f>IF(B2983=1,INDEX('Data Entry'!$H$5:$BE$10004,2983-4,'Visual SPC'!$B$3),"")</f>
        <v/>
      </c>
      <c r="E2983">
        <f>IF(B2983=1,D2983,E2982)</f>
        <v/>
      </c>
      <c r="F2983">
        <f>IF(AND(B2983=1,C2983&gt;1,E2982&lt;&gt;""),ABS(D2983-E2982),"")</f>
        <v/>
      </c>
    </row>
    <row r="2984">
      <c r="A2984" t="n">
        <v>2984</v>
      </c>
      <c r="B2984">
        <f>IF(INDEX('Data Entry'!$H$5:$BE$10004,2984-4,'Visual SPC'!$B$3)="",0,IF(AND(OR('Visual SPC'!$C$4="",'Data Entry'!$C2984&gt;='Visual SPC'!$C$4),OR('Visual SPC'!$E$4="",'Data Entry'!$C2984&lt;='Visual SPC'!$E$4),OR('Visual SPC'!$G$4="",'Data Entry'!$D2984='Visual SPC'!$G$4),OR('Visual SPC'!$I$4="",'Data Entry'!$E2984='Visual SPC'!$I$4),OR('Visual SPC'!$K$4="",'Data Entry'!$F2984='Visual SPC'!$K$4)),1,0))</f>
        <v/>
      </c>
      <c r="C2984">
        <f>C2983+B2984</f>
        <v/>
      </c>
      <c r="D2984">
        <f>IF(B2984=1,INDEX('Data Entry'!$H$5:$BE$10004,2984-4,'Visual SPC'!$B$3),"")</f>
        <v/>
      </c>
      <c r="E2984">
        <f>IF(B2984=1,D2984,E2983)</f>
        <v/>
      </c>
      <c r="F2984">
        <f>IF(AND(B2984=1,C2984&gt;1,E2983&lt;&gt;""),ABS(D2984-E2983),"")</f>
        <v/>
      </c>
    </row>
    <row r="2985">
      <c r="A2985" t="n">
        <v>2985</v>
      </c>
      <c r="B2985">
        <f>IF(INDEX('Data Entry'!$H$5:$BE$10004,2985-4,'Visual SPC'!$B$3)="",0,IF(AND(OR('Visual SPC'!$C$4="",'Data Entry'!$C2985&gt;='Visual SPC'!$C$4),OR('Visual SPC'!$E$4="",'Data Entry'!$C2985&lt;='Visual SPC'!$E$4),OR('Visual SPC'!$G$4="",'Data Entry'!$D2985='Visual SPC'!$G$4),OR('Visual SPC'!$I$4="",'Data Entry'!$E2985='Visual SPC'!$I$4),OR('Visual SPC'!$K$4="",'Data Entry'!$F2985='Visual SPC'!$K$4)),1,0))</f>
        <v/>
      </c>
      <c r="C2985">
        <f>C2984+B2985</f>
        <v/>
      </c>
      <c r="D2985">
        <f>IF(B2985=1,INDEX('Data Entry'!$H$5:$BE$10004,2985-4,'Visual SPC'!$B$3),"")</f>
        <v/>
      </c>
      <c r="E2985">
        <f>IF(B2985=1,D2985,E2984)</f>
        <v/>
      </c>
      <c r="F2985">
        <f>IF(AND(B2985=1,C2985&gt;1,E2984&lt;&gt;""),ABS(D2985-E2984),"")</f>
        <v/>
      </c>
    </row>
    <row r="2986">
      <c r="A2986" t="n">
        <v>2986</v>
      </c>
      <c r="B2986">
        <f>IF(INDEX('Data Entry'!$H$5:$BE$10004,2986-4,'Visual SPC'!$B$3)="",0,IF(AND(OR('Visual SPC'!$C$4="",'Data Entry'!$C2986&gt;='Visual SPC'!$C$4),OR('Visual SPC'!$E$4="",'Data Entry'!$C2986&lt;='Visual SPC'!$E$4),OR('Visual SPC'!$G$4="",'Data Entry'!$D2986='Visual SPC'!$G$4),OR('Visual SPC'!$I$4="",'Data Entry'!$E2986='Visual SPC'!$I$4),OR('Visual SPC'!$K$4="",'Data Entry'!$F2986='Visual SPC'!$K$4)),1,0))</f>
        <v/>
      </c>
      <c r="C2986">
        <f>C2985+B2986</f>
        <v/>
      </c>
      <c r="D2986">
        <f>IF(B2986=1,INDEX('Data Entry'!$H$5:$BE$10004,2986-4,'Visual SPC'!$B$3),"")</f>
        <v/>
      </c>
      <c r="E2986">
        <f>IF(B2986=1,D2986,E2985)</f>
        <v/>
      </c>
      <c r="F2986">
        <f>IF(AND(B2986=1,C2986&gt;1,E2985&lt;&gt;""),ABS(D2986-E2985),"")</f>
        <v/>
      </c>
    </row>
    <row r="2987">
      <c r="A2987" t="n">
        <v>2987</v>
      </c>
      <c r="B2987">
        <f>IF(INDEX('Data Entry'!$H$5:$BE$10004,2987-4,'Visual SPC'!$B$3)="",0,IF(AND(OR('Visual SPC'!$C$4="",'Data Entry'!$C2987&gt;='Visual SPC'!$C$4),OR('Visual SPC'!$E$4="",'Data Entry'!$C2987&lt;='Visual SPC'!$E$4),OR('Visual SPC'!$G$4="",'Data Entry'!$D2987='Visual SPC'!$G$4),OR('Visual SPC'!$I$4="",'Data Entry'!$E2987='Visual SPC'!$I$4),OR('Visual SPC'!$K$4="",'Data Entry'!$F2987='Visual SPC'!$K$4)),1,0))</f>
        <v/>
      </c>
      <c r="C2987">
        <f>C2986+B2987</f>
        <v/>
      </c>
      <c r="D2987">
        <f>IF(B2987=1,INDEX('Data Entry'!$H$5:$BE$10004,2987-4,'Visual SPC'!$B$3),"")</f>
        <v/>
      </c>
      <c r="E2987">
        <f>IF(B2987=1,D2987,E2986)</f>
        <v/>
      </c>
      <c r="F2987">
        <f>IF(AND(B2987=1,C2987&gt;1,E2986&lt;&gt;""),ABS(D2987-E2986),"")</f>
        <v/>
      </c>
    </row>
    <row r="2988">
      <c r="A2988" t="n">
        <v>2988</v>
      </c>
      <c r="B2988">
        <f>IF(INDEX('Data Entry'!$H$5:$BE$10004,2988-4,'Visual SPC'!$B$3)="",0,IF(AND(OR('Visual SPC'!$C$4="",'Data Entry'!$C2988&gt;='Visual SPC'!$C$4),OR('Visual SPC'!$E$4="",'Data Entry'!$C2988&lt;='Visual SPC'!$E$4),OR('Visual SPC'!$G$4="",'Data Entry'!$D2988='Visual SPC'!$G$4),OR('Visual SPC'!$I$4="",'Data Entry'!$E2988='Visual SPC'!$I$4),OR('Visual SPC'!$K$4="",'Data Entry'!$F2988='Visual SPC'!$K$4)),1,0))</f>
        <v/>
      </c>
      <c r="C2988">
        <f>C2987+B2988</f>
        <v/>
      </c>
      <c r="D2988">
        <f>IF(B2988=1,INDEX('Data Entry'!$H$5:$BE$10004,2988-4,'Visual SPC'!$B$3),"")</f>
        <v/>
      </c>
      <c r="E2988">
        <f>IF(B2988=1,D2988,E2987)</f>
        <v/>
      </c>
      <c r="F2988">
        <f>IF(AND(B2988=1,C2988&gt;1,E2987&lt;&gt;""),ABS(D2988-E2987),"")</f>
        <v/>
      </c>
    </row>
    <row r="2989">
      <c r="A2989" t="n">
        <v>2989</v>
      </c>
      <c r="B2989">
        <f>IF(INDEX('Data Entry'!$H$5:$BE$10004,2989-4,'Visual SPC'!$B$3)="",0,IF(AND(OR('Visual SPC'!$C$4="",'Data Entry'!$C2989&gt;='Visual SPC'!$C$4),OR('Visual SPC'!$E$4="",'Data Entry'!$C2989&lt;='Visual SPC'!$E$4),OR('Visual SPC'!$G$4="",'Data Entry'!$D2989='Visual SPC'!$G$4),OR('Visual SPC'!$I$4="",'Data Entry'!$E2989='Visual SPC'!$I$4),OR('Visual SPC'!$K$4="",'Data Entry'!$F2989='Visual SPC'!$K$4)),1,0))</f>
        <v/>
      </c>
      <c r="C2989">
        <f>C2988+B2989</f>
        <v/>
      </c>
      <c r="D2989">
        <f>IF(B2989=1,INDEX('Data Entry'!$H$5:$BE$10004,2989-4,'Visual SPC'!$B$3),"")</f>
        <v/>
      </c>
      <c r="E2989">
        <f>IF(B2989=1,D2989,E2988)</f>
        <v/>
      </c>
      <c r="F2989">
        <f>IF(AND(B2989=1,C2989&gt;1,E2988&lt;&gt;""),ABS(D2989-E2988),"")</f>
        <v/>
      </c>
    </row>
    <row r="2990">
      <c r="A2990" t="n">
        <v>2990</v>
      </c>
      <c r="B2990">
        <f>IF(INDEX('Data Entry'!$H$5:$BE$10004,2990-4,'Visual SPC'!$B$3)="",0,IF(AND(OR('Visual SPC'!$C$4="",'Data Entry'!$C2990&gt;='Visual SPC'!$C$4),OR('Visual SPC'!$E$4="",'Data Entry'!$C2990&lt;='Visual SPC'!$E$4),OR('Visual SPC'!$G$4="",'Data Entry'!$D2990='Visual SPC'!$G$4),OR('Visual SPC'!$I$4="",'Data Entry'!$E2990='Visual SPC'!$I$4),OR('Visual SPC'!$K$4="",'Data Entry'!$F2990='Visual SPC'!$K$4)),1,0))</f>
        <v/>
      </c>
      <c r="C2990">
        <f>C2989+B2990</f>
        <v/>
      </c>
      <c r="D2990">
        <f>IF(B2990=1,INDEX('Data Entry'!$H$5:$BE$10004,2990-4,'Visual SPC'!$B$3),"")</f>
        <v/>
      </c>
      <c r="E2990">
        <f>IF(B2990=1,D2990,E2989)</f>
        <v/>
      </c>
      <c r="F2990">
        <f>IF(AND(B2990=1,C2990&gt;1,E2989&lt;&gt;""),ABS(D2990-E2989),"")</f>
        <v/>
      </c>
    </row>
    <row r="2991">
      <c r="A2991" t="n">
        <v>2991</v>
      </c>
      <c r="B2991">
        <f>IF(INDEX('Data Entry'!$H$5:$BE$10004,2991-4,'Visual SPC'!$B$3)="",0,IF(AND(OR('Visual SPC'!$C$4="",'Data Entry'!$C2991&gt;='Visual SPC'!$C$4),OR('Visual SPC'!$E$4="",'Data Entry'!$C2991&lt;='Visual SPC'!$E$4),OR('Visual SPC'!$G$4="",'Data Entry'!$D2991='Visual SPC'!$G$4),OR('Visual SPC'!$I$4="",'Data Entry'!$E2991='Visual SPC'!$I$4),OR('Visual SPC'!$K$4="",'Data Entry'!$F2991='Visual SPC'!$K$4)),1,0))</f>
        <v/>
      </c>
      <c r="C2991">
        <f>C2990+B2991</f>
        <v/>
      </c>
      <c r="D2991">
        <f>IF(B2991=1,INDEX('Data Entry'!$H$5:$BE$10004,2991-4,'Visual SPC'!$B$3),"")</f>
        <v/>
      </c>
      <c r="E2991">
        <f>IF(B2991=1,D2991,E2990)</f>
        <v/>
      </c>
      <c r="F2991">
        <f>IF(AND(B2991=1,C2991&gt;1,E2990&lt;&gt;""),ABS(D2991-E2990),"")</f>
        <v/>
      </c>
    </row>
    <row r="2992">
      <c r="A2992" t="n">
        <v>2992</v>
      </c>
      <c r="B2992">
        <f>IF(INDEX('Data Entry'!$H$5:$BE$10004,2992-4,'Visual SPC'!$B$3)="",0,IF(AND(OR('Visual SPC'!$C$4="",'Data Entry'!$C2992&gt;='Visual SPC'!$C$4),OR('Visual SPC'!$E$4="",'Data Entry'!$C2992&lt;='Visual SPC'!$E$4),OR('Visual SPC'!$G$4="",'Data Entry'!$D2992='Visual SPC'!$G$4),OR('Visual SPC'!$I$4="",'Data Entry'!$E2992='Visual SPC'!$I$4),OR('Visual SPC'!$K$4="",'Data Entry'!$F2992='Visual SPC'!$K$4)),1,0))</f>
        <v/>
      </c>
      <c r="C2992">
        <f>C2991+B2992</f>
        <v/>
      </c>
      <c r="D2992">
        <f>IF(B2992=1,INDEX('Data Entry'!$H$5:$BE$10004,2992-4,'Visual SPC'!$B$3),"")</f>
        <v/>
      </c>
      <c r="E2992">
        <f>IF(B2992=1,D2992,E2991)</f>
        <v/>
      </c>
      <c r="F2992">
        <f>IF(AND(B2992=1,C2992&gt;1,E2991&lt;&gt;""),ABS(D2992-E2991),"")</f>
        <v/>
      </c>
    </row>
    <row r="2993">
      <c r="A2993" t="n">
        <v>2993</v>
      </c>
      <c r="B2993">
        <f>IF(INDEX('Data Entry'!$H$5:$BE$10004,2993-4,'Visual SPC'!$B$3)="",0,IF(AND(OR('Visual SPC'!$C$4="",'Data Entry'!$C2993&gt;='Visual SPC'!$C$4),OR('Visual SPC'!$E$4="",'Data Entry'!$C2993&lt;='Visual SPC'!$E$4),OR('Visual SPC'!$G$4="",'Data Entry'!$D2993='Visual SPC'!$G$4),OR('Visual SPC'!$I$4="",'Data Entry'!$E2993='Visual SPC'!$I$4),OR('Visual SPC'!$K$4="",'Data Entry'!$F2993='Visual SPC'!$K$4)),1,0))</f>
        <v/>
      </c>
      <c r="C2993">
        <f>C2992+B2993</f>
        <v/>
      </c>
      <c r="D2993">
        <f>IF(B2993=1,INDEX('Data Entry'!$H$5:$BE$10004,2993-4,'Visual SPC'!$B$3),"")</f>
        <v/>
      </c>
      <c r="E2993">
        <f>IF(B2993=1,D2993,E2992)</f>
        <v/>
      </c>
      <c r="F2993">
        <f>IF(AND(B2993=1,C2993&gt;1,E2992&lt;&gt;""),ABS(D2993-E2992),"")</f>
        <v/>
      </c>
    </row>
    <row r="2994">
      <c r="A2994" t="n">
        <v>2994</v>
      </c>
      <c r="B2994">
        <f>IF(INDEX('Data Entry'!$H$5:$BE$10004,2994-4,'Visual SPC'!$B$3)="",0,IF(AND(OR('Visual SPC'!$C$4="",'Data Entry'!$C2994&gt;='Visual SPC'!$C$4),OR('Visual SPC'!$E$4="",'Data Entry'!$C2994&lt;='Visual SPC'!$E$4),OR('Visual SPC'!$G$4="",'Data Entry'!$D2994='Visual SPC'!$G$4),OR('Visual SPC'!$I$4="",'Data Entry'!$E2994='Visual SPC'!$I$4),OR('Visual SPC'!$K$4="",'Data Entry'!$F2994='Visual SPC'!$K$4)),1,0))</f>
        <v/>
      </c>
      <c r="C2994">
        <f>C2993+B2994</f>
        <v/>
      </c>
      <c r="D2994">
        <f>IF(B2994=1,INDEX('Data Entry'!$H$5:$BE$10004,2994-4,'Visual SPC'!$B$3),"")</f>
        <v/>
      </c>
      <c r="E2994">
        <f>IF(B2994=1,D2994,E2993)</f>
        <v/>
      </c>
      <c r="F2994">
        <f>IF(AND(B2994=1,C2994&gt;1,E2993&lt;&gt;""),ABS(D2994-E2993),"")</f>
        <v/>
      </c>
    </row>
    <row r="2995">
      <c r="A2995" t="n">
        <v>2995</v>
      </c>
      <c r="B2995">
        <f>IF(INDEX('Data Entry'!$H$5:$BE$10004,2995-4,'Visual SPC'!$B$3)="",0,IF(AND(OR('Visual SPC'!$C$4="",'Data Entry'!$C2995&gt;='Visual SPC'!$C$4),OR('Visual SPC'!$E$4="",'Data Entry'!$C2995&lt;='Visual SPC'!$E$4),OR('Visual SPC'!$G$4="",'Data Entry'!$D2995='Visual SPC'!$G$4),OR('Visual SPC'!$I$4="",'Data Entry'!$E2995='Visual SPC'!$I$4),OR('Visual SPC'!$K$4="",'Data Entry'!$F2995='Visual SPC'!$K$4)),1,0))</f>
        <v/>
      </c>
      <c r="C2995">
        <f>C2994+B2995</f>
        <v/>
      </c>
      <c r="D2995">
        <f>IF(B2995=1,INDEX('Data Entry'!$H$5:$BE$10004,2995-4,'Visual SPC'!$B$3),"")</f>
        <v/>
      </c>
      <c r="E2995">
        <f>IF(B2995=1,D2995,E2994)</f>
        <v/>
      </c>
      <c r="F2995">
        <f>IF(AND(B2995=1,C2995&gt;1,E2994&lt;&gt;""),ABS(D2995-E2994),"")</f>
        <v/>
      </c>
    </row>
    <row r="2996">
      <c r="A2996" t="n">
        <v>2996</v>
      </c>
      <c r="B2996">
        <f>IF(INDEX('Data Entry'!$H$5:$BE$10004,2996-4,'Visual SPC'!$B$3)="",0,IF(AND(OR('Visual SPC'!$C$4="",'Data Entry'!$C2996&gt;='Visual SPC'!$C$4),OR('Visual SPC'!$E$4="",'Data Entry'!$C2996&lt;='Visual SPC'!$E$4),OR('Visual SPC'!$G$4="",'Data Entry'!$D2996='Visual SPC'!$G$4),OR('Visual SPC'!$I$4="",'Data Entry'!$E2996='Visual SPC'!$I$4),OR('Visual SPC'!$K$4="",'Data Entry'!$F2996='Visual SPC'!$K$4)),1,0))</f>
        <v/>
      </c>
      <c r="C2996">
        <f>C2995+B2996</f>
        <v/>
      </c>
      <c r="D2996">
        <f>IF(B2996=1,INDEX('Data Entry'!$H$5:$BE$10004,2996-4,'Visual SPC'!$B$3),"")</f>
        <v/>
      </c>
      <c r="E2996">
        <f>IF(B2996=1,D2996,E2995)</f>
        <v/>
      </c>
      <c r="F2996">
        <f>IF(AND(B2996=1,C2996&gt;1,E2995&lt;&gt;""),ABS(D2996-E2995),"")</f>
        <v/>
      </c>
    </row>
    <row r="2997">
      <c r="A2997" t="n">
        <v>2997</v>
      </c>
      <c r="B2997">
        <f>IF(INDEX('Data Entry'!$H$5:$BE$10004,2997-4,'Visual SPC'!$B$3)="",0,IF(AND(OR('Visual SPC'!$C$4="",'Data Entry'!$C2997&gt;='Visual SPC'!$C$4),OR('Visual SPC'!$E$4="",'Data Entry'!$C2997&lt;='Visual SPC'!$E$4),OR('Visual SPC'!$G$4="",'Data Entry'!$D2997='Visual SPC'!$G$4),OR('Visual SPC'!$I$4="",'Data Entry'!$E2997='Visual SPC'!$I$4),OR('Visual SPC'!$K$4="",'Data Entry'!$F2997='Visual SPC'!$K$4)),1,0))</f>
        <v/>
      </c>
      <c r="C2997">
        <f>C2996+B2997</f>
        <v/>
      </c>
      <c r="D2997">
        <f>IF(B2997=1,INDEX('Data Entry'!$H$5:$BE$10004,2997-4,'Visual SPC'!$B$3),"")</f>
        <v/>
      </c>
      <c r="E2997">
        <f>IF(B2997=1,D2997,E2996)</f>
        <v/>
      </c>
      <c r="F2997">
        <f>IF(AND(B2997=1,C2997&gt;1,E2996&lt;&gt;""),ABS(D2997-E2996),"")</f>
        <v/>
      </c>
    </row>
    <row r="2998">
      <c r="A2998" t="n">
        <v>2998</v>
      </c>
      <c r="B2998">
        <f>IF(INDEX('Data Entry'!$H$5:$BE$10004,2998-4,'Visual SPC'!$B$3)="",0,IF(AND(OR('Visual SPC'!$C$4="",'Data Entry'!$C2998&gt;='Visual SPC'!$C$4),OR('Visual SPC'!$E$4="",'Data Entry'!$C2998&lt;='Visual SPC'!$E$4),OR('Visual SPC'!$G$4="",'Data Entry'!$D2998='Visual SPC'!$G$4),OR('Visual SPC'!$I$4="",'Data Entry'!$E2998='Visual SPC'!$I$4),OR('Visual SPC'!$K$4="",'Data Entry'!$F2998='Visual SPC'!$K$4)),1,0))</f>
        <v/>
      </c>
      <c r="C2998">
        <f>C2997+B2998</f>
        <v/>
      </c>
      <c r="D2998">
        <f>IF(B2998=1,INDEX('Data Entry'!$H$5:$BE$10004,2998-4,'Visual SPC'!$B$3),"")</f>
        <v/>
      </c>
      <c r="E2998">
        <f>IF(B2998=1,D2998,E2997)</f>
        <v/>
      </c>
      <c r="F2998">
        <f>IF(AND(B2998=1,C2998&gt;1,E2997&lt;&gt;""),ABS(D2998-E2997),"")</f>
        <v/>
      </c>
    </row>
    <row r="2999">
      <c r="A2999" t="n">
        <v>2999</v>
      </c>
      <c r="B2999">
        <f>IF(INDEX('Data Entry'!$H$5:$BE$10004,2999-4,'Visual SPC'!$B$3)="",0,IF(AND(OR('Visual SPC'!$C$4="",'Data Entry'!$C2999&gt;='Visual SPC'!$C$4),OR('Visual SPC'!$E$4="",'Data Entry'!$C2999&lt;='Visual SPC'!$E$4),OR('Visual SPC'!$G$4="",'Data Entry'!$D2999='Visual SPC'!$G$4),OR('Visual SPC'!$I$4="",'Data Entry'!$E2999='Visual SPC'!$I$4),OR('Visual SPC'!$K$4="",'Data Entry'!$F2999='Visual SPC'!$K$4)),1,0))</f>
        <v/>
      </c>
      <c r="C2999">
        <f>C2998+B2999</f>
        <v/>
      </c>
      <c r="D2999">
        <f>IF(B2999=1,INDEX('Data Entry'!$H$5:$BE$10004,2999-4,'Visual SPC'!$B$3),"")</f>
        <v/>
      </c>
      <c r="E2999">
        <f>IF(B2999=1,D2999,E2998)</f>
        <v/>
      </c>
      <c r="F2999">
        <f>IF(AND(B2999=1,C2999&gt;1,E2998&lt;&gt;""),ABS(D2999-E2998),"")</f>
        <v/>
      </c>
    </row>
    <row r="3000">
      <c r="A3000" t="n">
        <v>3000</v>
      </c>
      <c r="B3000">
        <f>IF(INDEX('Data Entry'!$H$5:$BE$10004,3000-4,'Visual SPC'!$B$3)="",0,IF(AND(OR('Visual SPC'!$C$4="",'Data Entry'!$C3000&gt;='Visual SPC'!$C$4),OR('Visual SPC'!$E$4="",'Data Entry'!$C3000&lt;='Visual SPC'!$E$4),OR('Visual SPC'!$G$4="",'Data Entry'!$D3000='Visual SPC'!$G$4),OR('Visual SPC'!$I$4="",'Data Entry'!$E3000='Visual SPC'!$I$4),OR('Visual SPC'!$K$4="",'Data Entry'!$F3000='Visual SPC'!$K$4)),1,0))</f>
        <v/>
      </c>
      <c r="C3000">
        <f>C2999+B3000</f>
        <v/>
      </c>
      <c r="D3000">
        <f>IF(B3000=1,INDEX('Data Entry'!$H$5:$BE$10004,3000-4,'Visual SPC'!$B$3),"")</f>
        <v/>
      </c>
      <c r="E3000">
        <f>IF(B3000=1,D3000,E2999)</f>
        <v/>
      </c>
      <c r="F3000">
        <f>IF(AND(B3000=1,C3000&gt;1,E2999&lt;&gt;""),ABS(D3000-E2999),"")</f>
        <v/>
      </c>
    </row>
    <row r="3001">
      <c r="A3001" t="n">
        <v>3001</v>
      </c>
      <c r="B3001">
        <f>IF(INDEX('Data Entry'!$H$5:$BE$10004,3001-4,'Visual SPC'!$B$3)="",0,IF(AND(OR('Visual SPC'!$C$4="",'Data Entry'!$C3001&gt;='Visual SPC'!$C$4),OR('Visual SPC'!$E$4="",'Data Entry'!$C3001&lt;='Visual SPC'!$E$4),OR('Visual SPC'!$G$4="",'Data Entry'!$D3001='Visual SPC'!$G$4),OR('Visual SPC'!$I$4="",'Data Entry'!$E3001='Visual SPC'!$I$4),OR('Visual SPC'!$K$4="",'Data Entry'!$F3001='Visual SPC'!$K$4)),1,0))</f>
        <v/>
      </c>
      <c r="C3001">
        <f>C3000+B3001</f>
        <v/>
      </c>
      <c r="D3001">
        <f>IF(B3001=1,INDEX('Data Entry'!$H$5:$BE$10004,3001-4,'Visual SPC'!$B$3),"")</f>
        <v/>
      </c>
      <c r="E3001">
        <f>IF(B3001=1,D3001,E3000)</f>
        <v/>
      </c>
      <c r="F3001">
        <f>IF(AND(B3001=1,C3001&gt;1,E3000&lt;&gt;""),ABS(D3001-E3000),"")</f>
        <v/>
      </c>
    </row>
    <row r="3002">
      <c r="A3002" t="n">
        <v>3002</v>
      </c>
      <c r="B3002">
        <f>IF(INDEX('Data Entry'!$H$5:$BE$10004,3002-4,'Visual SPC'!$B$3)="",0,IF(AND(OR('Visual SPC'!$C$4="",'Data Entry'!$C3002&gt;='Visual SPC'!$C$4),OR('Visual SPC'!$E$4="",'Data Entry'!$C3002&lt;='Visual SPC'!$E$4),OR('Visual SPC'!$G$4="",'Data Entry'!$D3002='Visual SPC'!$G$4),OR('Visual SPC'!$I$4="",'Data Entry'!$E3002='Visual SPC'!$I$4),OR('Visual SPC'!$K$4="",'Data Entry'!$F3002='Visual SPC'!$K$4)),1,0))</f>
        <v/>
      </c>
      <c r="C3002">
        <f>C3001+B3002</f>
        <v/>
      </c>
      <c r="D3002">
        <f>IF(B3002=1,INDEX('Data Entry'!$H$5:$BE$10004,3002-4,'Visual SPC'!$B$3),"")</f>
        <v/>
      </c>
      <c r="E3002">
        <f>IF(B3002=1,D3002,E3001)</f>
        <v/>
      </c>
      <c r="F3002">
        <f>IF(AND(B3002=1,C3002&gt;1,E3001&lt;&gt;""),ABS(D3002-E3001),"")</f>
        <v/>
      </c>
    </row>
    <row r="3003">
      <c r="A3003" t="n">
        <v>3003</v>
      </c>
      <c r="B3003">
        <f>IF(INDEX('Data Entry'!$H$5:$BE$10004,3003-4,'Visual SPC'!$B$3)="",0,IF(AND(OR('Visual SPC'!$C$4="",'Data Entry'!$C3003&gt;='Visual SPC'!$C$4),OR('Visual SPC'!$E$4="",'Data Entry'!$C3003&lt;='Visual SPC'!$E$4),OR('Visual SPC'!$G$4="",'Data Entry'!$D3003='Visual SPC'!$G$4),OR('Visual SPC'!$I$4="",'Data Entry'!$E3003='Visual SPC'!$I$4),OR('Visual SPC'!$K$4="",'Data Entry'!$F3003='Visual SPC'!$K$4)),1,0))</f>
        <v/>
      </c>
      <c r="C3003">
        <f>C3002+B3003</f>
        <v/>
      </c>
      <c r="D3003">
        <f>IF(B3003=1,INDEX('Data Entry'!$H$5:$BE$10004,3003-4,'Visual SPC'!$B$3),"")</f>
        <v/>
      </c>
      <c r="E3003">
        <f>IF(B3003=1,D3003,E3002)</f>
        <v/>
      </c>
      <c r="F3003">
        <f>IF(AND(B3003=1,C3003&gt;1,E3002&lt;&gt;""),ABS(D3003-E3002),"")</f>
        <v/>
      </c>
    </row>
    <row r="3004">
      <c r="A3004" t="n">
        <v>3004</v>
      </c>
      <c r="B3004">
        <f>IF(INDEX('Data Entry'!$H$5:$BE$10004,3004-4,'Visual SPC'!$B$3)="",0,IF(AND(OR('Visual SPC'!$C$4="",'Data Entry'!$C3004&gt;='Visual SPC'!$C$4),OR('Visual SPC'!$E$4="",'Data Entry'!$C3004&lt;='Visual SPC'!$E$4),OR('Visual SPC'!$G$4="",'Data Entry'!$D3004='Visual SPC'!$G$4),OR('Visual SPC'!$I$4="",'Data Entry'!$E3004='Visual SPC'!$I$4),OR('Visual SPC'!$K$4="",'Data Entry'!$F3004='Visual SPC'!$K$4)),1,0))</f>
        <v/>
      </c>
      <c r="C3004">
        <f>C3003+B3004</f>
        <v/>
      </c>
      <c r="D3004">
        <f>IF(B3004=1,INDEX('Data Entry'!$H$5:$BE$10004,3004-4,'Visual SPC'!$B$3),"")</f>
        <v/>
      </c>
      <c r="E3004">
        <f>IF(B3004=1,D3004,E3003)</f>
        <v/>
      </c>
      <c r="F3004">
        <f>IF(AND(B3004=1,C3004&gt;1,E3003&lt;&gt;""),ABS(D3004-E3003),"")</f>
        <v/>
      </c>
    </row>
    <row r="3005">
      <c r="A3005" t="n">
        <v>3005</v>
      </c>
      <c r="B3005">
        <f>IF(INDEX('Data Entry'!$H$5:$BE$10004,3005-4,'Visual SPC'!$B$3)="",0,IF(AND(OR('Visual SPC'!$C$4="",'Data Entry'!$C3005&gt;='Visual SPC'!$C$4),OR('Visual SPC'!$E$4="",'Data Entry'!$C3005&lt;='Visual SPC'!$E$4),OR('Visual SPC'!$G$4="",'Data Entry'!$D3005='Visual SPC'!$G$4),OR('Visual SPC'!$I$4="",'Data Entry'!$E3005='Visual SPC'!$I$4),OR('Visual SPC'!$K$4="",'Data Entry'!$F3005='Visual SPC'!$K$4)),1,0))</f>
        <v/>
      </c>
      <c r="C3005">
        <f>C3004+B3005</f>
        <v/>
      </c>
      <c r="D3005">
        <f>IF(B3005=1,INDEX('Data Entry'!$H$5:$BE$10004,3005-4,'Visual SPC'!$B$3),"")</f>
        <v/>
      </c>
      <c r="E3005">
        <f>IF(B3005=1,D3005,E3004)</f>
        <v/>
      </c>
      <c r="F3005">
        <f>IF(AND(B3005=1,C3005&gt;1,E3004&lt;&gt;""),ABS(D3005-E3004),"")</f>
        <v/>
      </c>
    </row>
    <row r="3006">
      <c r="A3006" t="n">
        <v>3006</v>
      </c>
      <c r="B3006">
        <f>IF(INDEX('Data Entry'!$H$5:$BE$10004,3006-4,'Visual SPC'!$B$3)="",0,IF(AND(OR('Visual SPC'!$C$4="",'Data Entry'!$C3006&gt;='Visual SPC'!$C$4),OR('Visual SPC'!$E$4="",'Data Entry'!$C3006&lt;='Visual SPC'!$E$4),OR('Visual SPC'!$G$4="",'Data Entry'!$D3006='Visual SPC'!$G$4),OR('Visual SPC'!$I$4="",'Data Entry'!$E3006='Visual SPC'!$I$4),OR('Visual SPC'!$K$4="",'Data Entry'!$F3006='Visual SPC'!$K$4)),1,0))</f>
        <v/>
      </c>
      <c r="C3006">
        <f>C3005+B3006</f>
        <v/>
      </c>
      <c r="D3006">
        <f>IF(B3006=1,INDEX('Data Entry'!$H$5:$BE$10004,3006-4,'Visual SPC'!$B$3),"")</f>
        <v/>
      </c>
      <c r="E3006">
        <f>IF(B3006=1,D3006,E3005)</f>
        <v/>
      </c>
      <c r="F3006">
        <f>IF(AND(B3006=1,C3006&gt;1,E3005&lt;&gt;""),ABS(D3006-E3005),"")</f>
        <v/>
      </c>
    </row>
    <row r="3007">
      <c r="A3007" t="n">
        <v>3007</v>
      </c>
      <c r="B3007">
        <f>IF(INDEX('Data Entry'!$H$5:$BE$10004,3007-4,'Visual SPC'!$B$3)="",0,IF(AND(OR('Visual SPC'!$C$4="",'Data Entry'!$C3007&gt;='Visual SPC'!$C$4),OR('Visual SPC'!$E$4="",'Data Entry'!$C3007&lt;='Visual SPC'!$E$4),OR('Visual SPC'!$G$4="",'Data Entry'!$D3007='Visual SPC'!$G$4),OR('Visual SPC'!$I$4="",'Data Entry'!$E3007='Visual SPC'!$I$4),OR('Visual SPC'!$K$4="",'Data Entry'!$F3007='Visual SPC'!$K$4)),1,0))</f>
        <v/>
      </c>
      <c r="C3007">
        <f>C3006+B3007</f>
        <v/>
      </c>
      <c r="D3007">
        <f>IF(B3007=1,INDEX('Data Entry'!$H$5:$BE$10004,3007-4,'Visual SPC'!$B$3),"")</f>
        <v/>
      </c>
      <c r="E3007">
        <f>IF(B3007=1,D3007,E3006)</f>
        <v/>
      </c>
      <c r="F3007">
        <f>IF(AND(B3007=1,C3007&gt;1,E3006&lt;&gt;""),ABS(D3007-E3006),"")</f>
        <v/>
      </c>
    </row>
    <row r="3008">
      <c r="A3008" t="n">
        <v>3008</v>
      </c>
      <c r="B3008">
        <f>IF(INDEX('Data Entry'!$H$5:$BE$10004,3008-4,'Visual SPC'!$B$3)="",0,IF(AND(OR('Visual SPC'!$C$4="",'Data Entry'!$C3008&gt;='Visual SPC'!$C$4),OR('Visual SPC'!$E$4="",'Data Entry'!$C3008&lt;='Visual SPC'!$E$4),OR('Visual SPC'!$G$4="",'Data Entry'!$D3008='Visual SPC'!$G$4),OR('Visual SPC'!$I$4="",'Data Entry'!$E3008='Visual SPC'!$I$4),OR('Visual SPC'!$K$4="",'Data Entry'!$F3008='Visual SPC'!$K$4)),1,0))</f>
        <v/>
      </c>
      <c r="C3008">
        <f>C3007+B3008</f>
        <v/>
      </c>
      <c r="D3008">
        <f>IF(B3008=1,INDEX('Data Entry'!$H$5:$BE$10004,3008-4,'Visual SPC'!$B$3),"")</f>
        <v/>
      </c>
      <c r="E3008">
        <f>IF(B3008=1,D3008,E3007)</f>
        <v/>
      </c>
      <c r="F3008">
        <f>IF(AND(B3008=1,C3008&gt;1,E3007&lt;&gt;""),ABS(D3008-E3007),"")</f>
        <v/>
      </c>
    </row>
    <row r="3009">
      <c r="A3009" t="n">
        <v>3009</v>
      </c>
      <c r="B3009">
        <f>IF(INDEX('Data Entry'!$H$5:$BE$10004,3009-4,'Visual SPC'!$B$3)="",0,IF(AND(OR('Visual SPC'!$C$4="",'Data Entry'!$C3009&gt;='Visual SPC'!$C$4),OR('Visual SPC'!$E$4="",'Data Entry'!$C3009&lt;='Visual SPC'!$E$4),OR('Visual SPC'!$G$4="",'Data Entry'!$D3009='Visual SPC'!$G$4),OR('Visual SPC'!$I$4="",'Data Entry'!$E3009='Visual SPC'!$I$4),OR('Visual SPC'!$K$4="",'Data Entry'!$F3009='Visual SPC'!$K$4)),1,0))</f>
        <v/>
      </c>
      <c r="C3009">
        <f>C3008+B3009</f>
        <v/>
      </c>
      <c r="D3009">
        <f>IF(B3009=1,INDEX('Data Entry'!$H$5:$BE$10004,3009-4,'Visual SPC'!$B$3),"")</f>
        <v/>
      </c>
      <c r="E3009">
        <f>IF(B3009=1,D3009,E3008)</f>
        <v/>
      </c>
      <c r="F3009">
        <f>IF(AND(B3009=1,C3009&gt;1,E3008&lt;&gt;""),ABS(D3009-E3008),"")</f>
        <v/>
      </c>
    </row>
    <row r="3010">
      <c r="A3010" t="n">
        <v>3010</v>
      </c>
      <c r="B3010">
        <f>IF(INDEX('Data Entry'!$H$5:$BE$10004,3010-4,'Visual SPC'!$B$3)="",0,IF(AND(OR('Visual SPC'!$C$4="",'Data Entry'!$C3010&gt;='Visual SPC'!$C$4),OR('Visual SPC'!$E$4="",'Data Entry'!$C3010&lt;='Visual SPC'!$E$4),OR('Visual SPC'!$G$4="",'Data Entry'!$D3010='Visual SPC'!$G$4),OR('Visual SPC'!$I$4="",'Data Entry'!$E3010='Visual SPC'!$I$4),OR('Visual SPC'!$K$4="",'Data Entry'!$F3010='Visual SPC'!$K$4)),1,0))</f>
        <v/>
      </c>
      <c r="C3010">
        <f>C3009+B3010</f>
        <v/>
      </c>
      <c r="D3010">
        <f>IF(B3010=1,INDEX('Data Entry'!$H$5:$BE$10004,3010-4,'Visual SPC'!$B$3),"")</f>
        <v/>
      </c>
      <c r="E3010">
        <f>IF(B3010=1,D3010,E3009)</f>
        <v/>
      </c>
      <c r="F3010">
        <f>IF(AND(B3010=1,C3010&gt;1,E3009&lt;&gt;""),ABS(D3010-E3009),"")</f>
        <v/>
      </c>
    </row>
    <row r="3011">
      <c r="A3011" t="n">
        <v>3011</v>
      </c>
      <c r="B3011">
        <f>IF(INDEX('Data Entry'!$H$5:$BE$10004,3011-4,'Visual SPC'!$B$3)="",0,IF(AND(OR('Visual SPC'!$C$4="",'Data Entry'!$C3011&gt;='Visual SPC'!$C$4),OR('Visual SPC'!$E$4="",'Data Entry'!$C3011&lt;='Visual SPC'!$E$4),OR('Visual SPC'!$G$4="",'Data Entry'!$D3011='Visual SPC'!$G$4),OR('Visual SPC'!$I$4="",'Data Entry'!$E3011='Visual SPC'!$I$4),OR('Visual SPC'!$K$4="",'Data Entry'!$F3011='Visual SPC'!$K$4)),1,0))</f>
        <v/>
      </c>
      <c r="C3011">
        <f>C3010+B3011</f>
        <v/>
      </c>
      <c r="D3011">
        <f>IF(B3011=1,INDEX('Data Entry'!$H$5:$BE$10004,3011-4,'Visual SPC'!$B$3),"")</f>
        <v/>
      </c>
      <c r="E3011">
        <f>IF(B3011=1,D3011,E3010)</f>
        <v/>
      </c>
      <c r="F3011">
        <f>IF(AND(B3011=1,C3011&gt;1,E3010&lt;&gt;""),ABS(D3011-E3010),"")</f>
        <v/>
      </c>
    </row>
    <row r="3012">
      <c r="A3012" t="n">
        <v>3012</v>
      </c>
      <c r="B3012">
        <f>IF(INDEX('Data Entry'!$H$5:$BE$10004,3012-4,'Visual SPC'!$B$3)="",0,IF(AND(OR('Visual SPC'!$C$4="",'Data Entry'!$C3012&gt;='Visual SPC'!$C$4),OR('Visual SPC'!$E$4="",'Data Entry'!$C3012&lt;='Visual SPC'!$E$4),OR('Visual SPC'!$G$4="",'Data Entry'!$D3012='Visual SPC'!$G$4),OR('Visual SPC'!$I$4="",'Data Entry'!$E3012='Visual SPC'!$I$4),OR('Visual SPC'!$K$4="",'Data Entry'!$F3012='Visual SPC'!$K$4)),1,0))</f>
        <v/>
      </c>
      <c r="C3012">
        <f>C3011+B3012</f>
        <v/>
      </c>
      <c r="D3012">
        <f>IF(B3012=1,INDEX('Data Entry'!$H$5:$BE$10004,3012-4,'Visual SPC'!$B$3),"")</f>
        <v/>
      </c>
      <c r="E3012">
        <f>IF(B3012=1,D3012,E3011)</f>
        <v/>
      </c>
      <c r="F3012">
        <f>IF(AND(B3012=1,C3012&gt;1,E3011&lt;&gt;""),ABS(D3012-E3011),"")</f>
        <v/>
      </c>
    </row>
    <row r="3013">
      <c r="A3013" t="n">
        <v>3013</v>
      </c>
      <c r="B3013">
        <f>IF(INDEX('Data Entry'!$H$5:$BE$10004,3013-4,'Visual SPC'!$B$3)="",0,IF(AND(OR('Visual SPC'!$C$4="",'Data Entry'!$C3013&gt;='Visual SPC'!$C$4),OR('Visual SPC'!$E$4="",'Data Entry'!$C3013&lt;='Visual SPC'!$E$4),OR('Visual SPC'!$G$4="",'Data Entry'!$D3013='Visual SPC'!$G$4),OR('Visual SPC'!$I$4="",'Data Entry'!$E3013='Visual SPC'!$I$4),OR('Visual SPC'!$K$4="",'Data Entry'!$F3013='Visual SPC'!$K$4)),1,0))</f>
        <v/>
      </c>
      <c r="C3013">
        <f>C3012+B3013</f>
        <v/>
      </c>
      <c r="D3013">
        <f>IF(B3013=1,INDEX('Data Entry'!$H$5:$BE$10004,3013-4,'Visual SPC'!$B$3),"")</f>
        <v/>
      </c>
      <c r="E3013">
        <f>IF(B3013=1,D3013,E3012)</f>
        <v/>
      </c>
      <c r="F3013">
        <f>IF(AND(B3013=1,C3013&gt;1,E3012&lt;&gt;""),ABS(D3013-E3012),"")</f>
        <v/>
      </c>
    </row>
    <row r="3014">
      <c r="A3014" t="n">
        <v>3014</v>
      </c>
      <c r="B3014">
        <f>IF(INDEX('Data Entry'!$H$5:$BE$10004,3014-4,'Visual SPC'!$B$3)="",0,IF(AND(OR('Visual SPC'!$C$4="",'Data Entry'!$C3014&gt;='Visual SPC'!$C$4),OR('Visual SPC'!$E$4="",'Data Entry'!$C3014&lt;='Visual SPC'!$E$4),OR('Visual SPC'!$G$4="",'Data Entry'!$D3014='Visual SPC'!$G$4),OR('Visual SPC'!$I$4="",'Data Entry'!$E3014='Visual SPC'!$I$4),OR('Visual SPC'!$K$4="",'Data Entry'!$F3014='Visual SPC'!$K$4)),1,0))</f>
        <v/>
      </c>
      <c r="C3014">
        <f>C3013+B3014</f>
        <v/>
      </c>
      <c r="D3014">
        <f>IF(B3014=1,INDEX('Data Entry'!$H$5:$BE$10004,3014-4,'Visual SPC'!$B$3),"")</f>
        <v/>
      </c>
      <c r="E3014">
        <f>IF(B3014=1,D3014,E3013)</f>
        <v/>
      </c>
      <c r="F3014">
        <f>IF(AND(B3014=1,C3014&gt;1,E3013&lt;&gt;""),ABS(D3014-E3013),"")</f>
        <v/>
      </c>
    </row>
    <row r="3015">
      <c r="A3015" t="n">
        <v>3015</v>
      </c>
      <c r="B3015">
        <f>IF(INDEX('Data Entry'!$H$5:$BE$10004,3015-4,'Visual SPC'!$B$3)="",0,IF(AND(OR('Visual SPC'!$C$4="",'Data Entry'!$C3015&gt;='Visual SPC'!$C$4),OR('Visual SPC'!$E$4="",'Data Entry'!$C3015&lt;='Visual SPC'!$E$4),OR('Visual SPC'!$G$4="",'Data Entry'!$D3015='Visual SPC'!$G$4),OR('Visual SPC'!$I$4="",'Data Entry'!$E3015='Visual SPC'!$I$4),OR('Visual SPC'!$K$4="",'Data Entry'!$F3015='Visual SPC'!$K$4)),1,0))</f>
        <v/>
      </c>
      <c r="C3015">
        <f>C3014+B3015</f>
        <v/>
      </c>
      <c r="D3015">
        <f>IF(B3015=1,INDEX('Data Entry'!$H$5:$BE$10004,3015-4,'Visual SPC'!$B$3),"")</f>
        <v/>
      </c>
      <c r="E3015">
        <f>IF(B3015=1,D3015,E3014)</f>
        <v/>
      </c>
      <c r="F3015">
        <f>IF(AND(B3015=1,C3015&gt;1,E3014&lt;&gt;""),ABS(D3015-E3014),"")</f>
        <v/>
      </c>
    </row>
    <row r="3016">
      <c r="A3016" t="n">
        <v>3016</v>
      </c>
      <c r="B3016">
        <f>IF(INDEX('Data Entry'!$H$5:$BE$10004,3016-4,'Visual SPC'!$B$3)="",0,IF(AND(OR('Visual SPC'!$C$4="",'Data Entry'!$C3016&gt;='Visual SPC'!$C$4),OR('Visual SPC'!$E$4="",'Data Entry'!$C3016&lt;='Visual SPC'!$E$4),OR('Visual SPC'!$G$4="",'Data Entry'!$D3016='Visual SPC'!$G$4),OR('Visual SPC'!$I$4="",'Data Entry'!$E3016='Visual SPC'!$I$4),OR('Visual SPC'!$K$4="",'Data Entry'!$F3016='Visual SPC'!$K$4)),1,0))</f>
        <v/>
      </c>
      <c r="C3016">
        <f>C3015+B3016</f>
        <v/>
      </c>
      <c r="D3016">
        <f>IF(B3016=1,INDEX('Data Entry'!$H$5:$BE$10004,3016-4,'Visual SPC'!$B$3),"")</f>
        <v/>
      </c>
      <c r="E3016">
        <f>IF(B3016=1,D3016,E3015)</f>
        <v/>
      </c>
      <c r="F3016">
        <f>IF(AND(B3016=1,C3016&gt;1,E3015&lt;&gt;""),ABS(D3016-E3015),"")</f>
        <v/>
      </c>
    </row>
    <row r="3017">
      <c r="A3017" t="n">
        <v>3017</v>
      </c>
      <c r="B3017">
        <f>IF(INDEX('Data Entry'!$H$5:$BE$10004,3017-4,'Visual SPC'!$B$3)="",0,IF(AND(OR('Visual SPC'!$C$4="",'Data Entry'!$C3017&gt;='Visual SPC'!$C$4),OR('Visual SPC'!$E$4="",'Data Entry'!$C3017&lt;='Visual SPC'!$E$4),OR('Visual SPC'!$G$4="",'Data Entry'!$D3017='Visual SPC'!$G$4),OR('Visual SPC'!$I$4="",'Data Entry'!$E3017='Visual SPC'!$I$4),OR('Visual SPC'!$K$4="",'Data Entry'!$F3017='Visual SPC'!$K$4)),1,0))</f>
        <v/>
      </c>
      <c r="C3017">
        <f>C3016+B3017</f>
        <v/>
      </c>
      <c r="D3017">
        <f>IF(B3017=1,INDEX('Data Entry'!$H$5:$BE$10004,3017-4,'Visual SPC'!$B$3),"")</f>
        <v/>
      </c>
      <c r="E3017">
        <f>IF(B3017=1,D3017,E3016)</f>
        <v/>
      </c>
      <c r="F3017">
        <f>IF(AND(B3017=1,C3017&gt;1,E3016&lt;&gt;""),ABS(D3017-E3016),"")</f>
        <v/>
      </c>
    </row>
    <row r="3018">
      <c r="A3018" t="n">
        <v>3018</v>
      </c>
      <c r="B3018">
        <f>IF(INDEX('Data Entry'!$H$5:$BE$10004,3018-4,'Visual SPC'!$B$3)="",0,IF(AND(OR('Visual SPC'!$C$4="",'Data Entry'!$C3018&gt;='Visual SPC'!$C$4),OR('Visual SPC'!$E$4="",'Data Entry'!$C3018&lt;='Visual SPC'!$E$4),OR('Visual SPC'!$G$4="",'Data Entry'!$D3018='Visual SPC'!$G$4),OR('Visual SPC'!$I$4="",'Data Entry'!$E3018='Visual SPC'!$I$4),OR('Visual SPC'!$K$4="",'Data Entry'!$F3018='Visual SPC'!$K$4)),1,0))</f>
        <v/>
      </c>
      <c r="C3018">
        <f>C3017+B3018</f>
        <v/>
      </c>
      <c r="D3018">
        <f>IF(B3018=1,INDEX('Data Entry'!$H$5:$BE$10004,3018-4,'Visual SPC'!$B$3),"")</f>
        <v/>
      </c>
      <c r="E3018">
        <f>IF(B3018=1,D3018,E3017)</f>
        <v/>
      </c>
      <c r="F3018">
        <f>IF(AND(B3018=1,C3018&gt;1,E3017&lt;&gt;""),ABS(D3018-E3017),"")</f>
        <v/>
      </c>
    </row>
    <row r="3019">
      <c r="A3019" t="n">
        <v>3019</v>
      </c>
      <c r="B3019">
        <f>IF(INDEX('Data Entry'!$H$5:$BE$10004,3019-4,'Visual SPC'!$B$3)="",0,IF(AND(OR('Visual SPC'!$C$4="",'Data Entry'!$C3019&gt;='Visual SPC'!$C$4),OR('Visual SPC'!$E$4="",'Data Entry'!$C3019&lt;='Visual SPC'!$E$4),OR('Visual SPC'!$G$4="",'Data Entry'!$D3019='Visual SPC'!$G$4),OR('Visual SPC'!$I$4="",'Data Entry'!$E3019='Visual SPC'!$I$4),OR('Visual SPC'!$K$4="",'Data Entry'!$F3019='Visual SPC'!$K$4)),1,0))</f>
        <v/>
      </c>
      <c r="C3019">
        <f>C3018+B3019</f>
        <v/>
      </c>
      <c r="D3019">
        <f>IF(B3019=1,INDEX('Data Entry'!$H$5:$BE$10004,3019-4,'Visual SPC'!$B$3),"")</f>
        <v/>
      </c>
      <c r="E3019">
        <f>IF(B3019=1,D3019,E3018)</f>
        <v/>
      </c>
      <c r="F3019">
        <f>IF(AND(B3019=1,C3019&gt;1,E3018&lt;&gt;""),ABS(D3019-E3018),"")</f>
        <v/>
      </c>
    </row>
    <row r="3020">
      <c r="A3020" t="n">
        <v>3020</v>
      </c>
      <c r="B3020">
        <f>IF(INDEX('Data Entry'!$H$5:$BE$10004,3020-4,'Visual SPC'!$B$3)="",0,IF(AND(OR('Visual SPC'!$C$4="",'Data Entry'!$C3020&gt;='Visual SPC'!$C$4),OR('Visual SPC'!$E$4="",'Data Entry'!$C3020&lt;='Visual SPC'!$E$4),OR('Visual SPC'!$G$4="",'Data Entry'!$D3020='Visual SPC'!$G$4),OR('Visual SPC'!$I$4="",'Data Entry'!$E3020='Visual SPC'!$I$4),OR('Visual SPC'!$K$4="",'Data Entry'!$F3020='Visual SPC'!$K$4)),1,0))</f>
        <v/>
      </c>
      <c r="C3020">
        <f>C3019+B3020</f>
        <v/>
      </c>
      <c r="D3020">
        <f>IF(B3020=1,INDEX('Data Entry'!$H$5:$BE$10004,3020-4,'Visual SPC'!$B$3),"")</f>
        <v/>
      </c>
      <c r="E3020">
        <f>IF(B3020=1,D3020,E3019)</f>
        <v/>
      </c>
      <c r="F3020">
        <f>IF(AND(B3020=1,C3020&gt;1,E3019&lt;&gt;""),ABS(D3020-E3019),"")</f>
        <v/>
      </c>
    </row>
    <row r="3021">
      <c r="A3021" t="n">
        <v>3021</v>
      </c>
      <c r="B3021">
        <f>IF(INDEX('Data Entry'!$H$5:$BE$10004,3021-4,'Visual SPC'!$B$3)="",0,IF(AND(OR('Visual SPC'!$C$4="",'Data Entry'!$C3021&gt;='Visual SPC'!$C$4),OR('Visual SPC'!$E$4="",'Data Entry'!$C3021&lt;='Visual SPC'!$E$4),OR('Visual SPC'!$G$4="",'Data Entry'!$D3021='Visual SPC'!$G$4),OR('Visual SPC'!$I$4="",'Data Entry'!$E3021='Visual SPC'!$I$4),OR('Visual SPC'!$K$4="",'Data Entry'!$F3021='Visual SPC'!$K$4)),1,0))</f>
        <v/>
      </c>
      <c r="C3021">
        <f>C3020+B3021</f>
        <v/>
      </c>
      <c r="D3021">
        <f>IF(B3021=1,INDEX('Data Entry'!$H$5:$BE$10004,3021-4,'Visual SPC'!$B$3),"")</f>
        <v/>
      </c>
      <c r="E3021">
        <f>IF(B3021=1,D3021,E3020)</f>
        <v/>
      </c>
      <c r="F3021">
        <f>IF(AND(B3021=1,C3021&gt;1,E3020&lt;&gt;""),ABS(D3021-E3020),"")</f>
        <v/>
      </c>
    </row>
    <row r="3022">
      <c r="A3022" t="n">
        <v>3022</v>
      </c>
      <c r="B3022">
        <f>IF(INDEX('Data Entry'!$H$5:$BE$10004,3022-4,'Visual SPC'!$B$3)="",0,IF(AND(OR('Visual SPC'!$C$4="",'Data Entry'!$C3022&gt;='Visual SPC'!$C$4),OR('Visual SPC'!$E$4="",'Data Entry'!$C3022&lt;='Visual SPC'!$E$4),OR('Visual SPC'!$G$4="",'Data Entry'!$D3022='Visual SPC'!$G$4),OR('Visual SPC'!$I$4="",'Data Entry'!$E3022='Visual SPC'!$I$4),OR('Visual SPC'!$K$4="",'Data Entry'!$F3022='Visual SPC'!$K$4)),1,0))</f>
        <v/>
      </c>
      <c r="C3022">
        <f>C3021+B3022</f>
        <v/>
      </c>
      <c r="D3022">
        <f>IF(B3022=1,INDEX('Data Entry'!$H$5:$BE$10004,3022-4,'Visual SPC'!$B$3),"")</f>
        <v/>
      </c>
      <c r="E3022">
        <f>IF(B3022=1,D3022,E3021)</f>
        <v/>
      </c>
      <c r="F3022">
        <f>IF(AND(B3022=1,C3022&gt;1,E3021&lt;&gt;""),ABS(D3022-E3021),"")</f>
        <v/>
      </c>
    </row>
    <row r="3023">
      <c r="A3023" t="n">
        <v>3023</v>
      </c>
      <c r="B3023">
        <f>IF(INDEX('Data Entry'!$H$5:$BE$10004,3023-4,'Visual SPC'!$B$3)="",0,IF(AND(OR('Visual SPC'!$C$4="",'Data Entry'!$C3023&gt;='Visual SPC'!$C$4),OR('Visual SPC'!$E$4="",'Data Entry'!$C3023&lt;='Visual SPC'!$E$4),OR('Visual SPC'!$G$4="",'Data Entry'!$D3023='Visual SPC'!$G$4),OR('Visual SPC'!$I$4="",'Data Entry'!$E3023='Visual SPC'!$I$4),OR('Visual SPC'!$K$4="",'Data Entry'!$F3023='Visual SPC'!$K$4)),1,0))</f>
        <v/>
      </c>
      <c r="C3023">
        <f>C3022+B3023</f>
        <v/>
      </c>
      <c r="D3023">
        <f>IF(B3023=1,INDEX('Data Entry'!$H$5:$BE$10004,3023-4,'Visual SPC'!$B$3),"")</f>
        <v/>
      </c>
      <c r="E3023">
        <f>IF(B3023=1,D3023,E3022)</f>
        <v/>
      </c>
      <c r="F3023">
        <f>IF(AND(B3023=1,C3023&gt;1,E3022&lt;&gt;""),ABS(D3023-E3022),"")</f>
        <v/>
      </c>
    </row>
    <row r="3024">
      <c r="A3024" t="n">
        <v>3024</v>
      </c>
      <c r="B3024">
        <f>IF(INDEX('Data Entry'!$H$5:$BE$10004,3024-4,'Visual SPC'!$B$3)="",0,IF(AND(OR('Visual SPC'!$C$4="",'Data Entry'!$C3024&gt;='Visual SPC'!$C$4),OR('Visual SPC'!$E$4="",'Data Entry'!$C3024&lt;='Visual SPC'!$E$4),OR('Visual SPC'!$G$4="",'Data Entry'!$D3024='Visual SPC'!$G$4),OR('Visual SPC'!$I$4="",'Data Entry'!$E3024='Visual SPC'!$I$4),OR('Visual SPC'!$K$4="",'Data Entry'!$F3024='Visual SPC'!$K$4)),1,0))</f>
        <v/>
      </c>
      <c r="C3024">
        <f>C3023+B3024</f>
        <v/>
      </c>
      <c r="D3024">
        <f>IF(B3024=1,INDEX('Data Entry'!$H$5:$BE$10004,3024-4,'Visual SPC'!$B$3),"")</f>
        <v/>
      </c>
      <c r="E3024">
        <f>IF(B3024=1,D3024,E3023)</f>
        <v/>
      </c>
      <c r="F3024">
        <f>IF(AND(B3024=1,C3024&gt;1,E3023&lt;&gt;""),ABS(D3024-E3023),"")</f>
        <v/>
      </c>
    </row>
    <row r="3025">
      <c r="A3025" t="n">
        <v>3025</v>
      </c>
      <c r="B3025">
        <f>IF(INDEX('Data Entry'!$H$5:$BE$10004,3025-4,'Visual SPC'!$B$3)="",0,IF(AND(OR('Visual SPC'!$C$4="",'Data Entry'!$C3025&gt;='Visual SPC'!$C$4),OR('Visual SPC'!$E$4="",'Data Entry'!$C3025&lt;='Visual SPC'!$E$4),OR('Visual SPC'!$G$4="",'Data Entry'!$D3025='Visual SPC'!$G$4),OR('Visual SPC'!$I$4="",'Data Entry'!$E3025='Visual SPC'!$I$4),OR('Visual SPC'!$K$4="",'Data Entry'!$F3025='Visual SPC'!$K$4)),1,0))</f>
        <v/>
      </c>
      <c r="C3025">
        <f>C3024+B3025</f>
        <v/>
      </c>
      <c r="D3025">
        <f>IF(B3025=1,INDEX('Data Entry'!$H$5:$BE$10004,3025-4,'Visual SPC'!$B$3),"")</f>
        <v/>
      </c>
      <c r="E3025">
        <f>IF(B3025=1,D3025,E3024)</f>
        <v/>
      </c>
      <c r="F3025">
        <f>IF(AND(B3025=1,C3025&gt;1,E3024&lt;&gt;""),ABS(D3025-E3024),"")</f>
        <v/>
      </c>
    </row>
    <row r="3026">
      <c r="A3026" t="n">
        <v>3026</v>
      </c>
      <c r="B3026">
        <f>IF(INDEX('Data Entry'!$H$5:$BE$10004,3026-4,'Visual SPC'!$B$3)="",0,IF(AND(OR('Visual SPC'!$C$4="",'Data Entry'!$C3026&gt;='Visual SPC'!$C$4),OR('Visual SPC'!$E$4="",'Data Entry'!$C3026&lt;='Visual SPC'!$E$4),OR('Visual SPC'!$G$4="",'Data Entry'!$D3026='Visual SPC'!$G$4),OR('Visual SPC'!$I$4="",'Data Entry'!$E3026='Visual SPC'!$I$4),OR('Visual SPC'!$K$4="",'Data Entry'!$F3026='Visual SPC'!$K$4)),1,0))</f>
        <v/>
      </c>
      <c r="C3026">
        <f>C3025+B3026</f>
        <v/>
      </c>
      <c r="D3026">
        <f>IF(B3026=1,INDEX('Data Entry'!$H$5:$BE$10004,3026-4,'Visual SPC'!$B$3),"")</f>
        <v/>
      </c>
      <c r="E3026">
        <f>IF(B3026=1,D3026,E3025)</f>
        <v/>
      </c>
      <c r="F3026">
        <f>IF(AND(B3026=1,C3026&gt;1,E3025&lt;&gt;""),ABS(D3026-E3025),"")</f>
        <v/>
      </c>
    </row>
    <row r="3027">
      <c r="A3027" t="n">
        <v>3027</v>
      </c>
      <c r="B3027">
        <f>IF(INDEX('Data Entry'!$H$5:$BE$10004,3027-4,'Visual SPC'!$B$3)="",0,IF(AND(OR('Visual SPC'!$C$4="",'Data Entry'!$C3027&gt;='Visual SPC'!$C$4),OR('Visual SPC'!$E$4="",'Data Entry'!$C3027&lt;='Visual SPC'!$E$4),OR('Visual SPC'!$G$4="",'Data Entry'!$D3027='Visual SPC'!$G$4),OR('Visual SPC'!$I$4="",'Data Entry'!$E3027='Visual SPC'!$I$4),OR('Visual SPC'!$K$4="",'Data Entry'!$F3027='Visual SPC'!$K$4)),1,0))</f>
        <v/>
      </c>
      <c r="C3027">
        <f>C3026+B3027</f>
        <v/>
      </c>
      <c r="D3027">
        <f>IF(B3027=1,INDEX('Data Entry'!$H$5:$BE$10004,3027-4,'Visual SPC'!$B$3),"")</f>
        <v/>
      </c>
      <c r="E3027">
        <f>IF(B3027=1,D3027,E3026)</f>
        <v/>
      </c>
      <c r="F3027">
        <f>IF(AND(B3027=1,C3027&gt;1,E3026&lt;&gt;""),ABS(D3027-E3026),"")</f>
        <v/>
      </c>
    </row>
    <row r="3028">
      <c r="A3028" t="n">
        <v>3028</v>
      </c>
      <c r="B3028">
        <f>IF(INDEX('Data Entry'!$H$5:$BE$10004,3028-4,'Visual SPC'!$B$3)="",0,IF(AND(OR('Visual SPC'!$C$4="",'Data Entry'!$C3028&gt;='Visual SPC'!$C$4),OR('Visual SPC'!$E$4="",'Data Entry'!$C3028&lt;='Visual SPC'!$E$4),OR('Visual SPC'!$G$4="",'Data Entry'!$D3028='Visual SPC'!$G$4),OR('Visual SPC'!$I$4="",'Data Entry'!$E3028='Visual SPC'!$I$4),OR('Visual SPC'!$K$4="",'Data Entry'!$F3028='Visual SPC'!$K$4)),1,0))</f>
        <v/>
      </c>
      <c r="C3028">
        <f>C3027+B3028</f>
        <v/>
      </c>
      <c r="D3028">
        <f>IF(B3028=1,INDEX('Data Entry'!$H$5:$BE$10004,3028-4,'Visual SPC'!$B$3),"")</f>
        <v/>
      </c>
      <c r="E3028">
        <f>IF(B3028=1,D3028,E3027)</f>
        <v/>
      </c>
      <c r="F3028">
        <f>IF(AND(B3028=1,C3028&gt;1,E3027&lt;&gt;""),ABS(D3028-E3027),"")</f>
        <v/>
      </c>
    </row>
    <row r="3029">
      <c r="A3029" t="n">
        <v>3029</v>
      </c>
      <c r="B3029">
        <f>IF(INDEX('Data Entry'!$H$5:$BE$10004,3029-4,'Visual SPC'!$B$3)="",0,IF(AND(OR('Visual SPC'!$C$4="",'Data Entry'!$C3029&gt;='Visual SPC'!$C$4),OR('Visual SPC'!$E$4="",'Data Entry'!$C3029&lt;='Visual SPC'!$E$4),OR('Visual SPC'!$G$4="",'Data Entry'!$D3029='Visual SPC'!$G$4),OR('Visual SPC'!$I$4="",'Data Entry'!$E3029='Visual SPC'!$I$4),OR('Visual SPC'!$K$4="",'Data Entry'!$F3029='Visual SPC'!$K$4)),1,0))</f>
        <v/>
      </c>
      <c r="C3029">
        <f>C3028+B3029</f>
        <v/>
      </c>
      <c r="D3029">
        <f>IF(B3029=1,INDEX('Data Entry'!$H$5:$BE$10004,3029-4,'Visual SPC'!$B$3),"")</f>
        <v/>
      </c>
      <c r="E3029">
        <f>IF(B3029=1,D3029,E3028)</f>
        <v/>
      </c>
      <c r="F3029">
        <f>IF(AND(B3029=1,C3029&gt;1,E3028&lt;&gt;""),ABS(D3029-E3028),"")</f>
        <v/>
      </c>
    </row>
    <row r="3030">
      <c r="A3030" t="n">
        <v>3030</v>
      </c>
      <c r="B3030">
        <f>IF(INDEX('Data Entry'!$H$5:$BE$10004,3030-4,'Visual SPC'!$B$3)="",0,IF(AND(OR('Visual SPC'!$C$4="",'Data Entry'!$C3030&gt;='Visual SPC'!$C$4),OR('Visual SPC'!$E$4="",'Data Entry'!$C3030&lt;='Visual SPC'!$E$4),OR('Visual SPC'!$G$4="",'Data Entry'!$D3030='Visual SPC'!$G$4),OR('Visual SPC'!$I$4="",'Data Entry'!$E3030='Visual SPC'!$I$4),OR('Visual SPC'!$K$4="",'Data Entry'!$F3030='Visual SPC'!$K$4)),1,0))</f>
        <v/>
      </c>
      <c r="C3030">
        <f>C3029+B3030</f>
        <v/>
      </c>
      <c r="D3030">
        <f>IF(B3030=1,INDEX('Data Entry'!$H$5:$BE$10004,3030-4,'Visual SPC'!$B$3),"")</f>
        <v/>
      </c>
      <c r="E3030">
        <f>IF(B3030=1,D3030,E3029)</f>
        <v/>
      </c>
      <c r="F3030">
        <f>IF(AND(B3030=1,C3030&gt;1,E3029&lt;&gt;""),ABS(D3030-E3029),"")</f>
        <v/>
      </c>
    </row>
    <row r="3031">
      <c r="A3031" t="n">
        <v>3031</v>
      </c>
      <c r="B3031">
        <f>IF(INDEX('Data Entry'!$H$5:$BE$10004,3031-4,'Visual SPC'!$B$3)="",0,IF(AND(OR('Visual SPC'!$C$4="",'Data Entry'!$C3031&gt;='Visual SPC'!$C$4),OR('Visual SPC'!$E$4="",'Data Entry'!$C3031&lt;='Visual SPC'!$E$4),OR('Visual SPC'!$G$4="",'Data Entry'!$D3031='Visual SPC'!$G$4),OR('Visual SPC'!$I$4="",'Data Entry'!$E3031='Visual SPC'!$I$4),OR('Visual SPC'!$K$4="",'Data Entry'!$F3031='Visual SPC'!$K$4)),1,0))</f>
        <v/>
      </c>
      <c r="C3031">
        <f>C3030+B3031</f>
        <v/>
      </c>
      <c r="D3031">
        <f>IF(B3031=1,INDEX('Data Entry'!$H$5:$BE$10004,3031-4,'Visual SPC'!$B$3),"")</f>
        <v/>
      </c>
      <c r="E3031">
        <f>IF(B3031=1,D3031,E3030)</f>
        <v/>
      </c>
      <c r="F3031">
        <f>IF(AND(B3031=1,C3031&gt;1,E3030&lt;&gt;""),ABS(D3031-E3030),"")</f>
        <v/>
      </c>
    </row>
    <row r="3032">
      <c r="A3032" t="n">
        <v>3032</v>
      </c>
      <c r="B3032">
        <f>IF(INDEX('Data Entry'!$H$5:$BE$10004,3032-4,'Visual SPC'!$B$3)="",0,IF(AND(OR('Visual SPC'!$C$4="",'Data Entry'!$C3032&gt;='Visual SPC'!$C$4),OR('Visual SPC'!$E$4="",'Data Entry'!$C3032&lt;='Visual SPC'!$E$4),OR('Visual SPC'!$G$4="",'Data Entry'!$D3032='Visual SPC'!$G$4),OR('Visual SPC'!$I$4="",'Data Entry'!$E3032='Visual SPC'!$I$4),OR('Visual SPC'!$K$4="",'Data Entry'!$F3032='Visual SPC'!$K$4)),1,0))</f>
        <v/>
      </c>
      <c r="C3032">
        <f>C3031+B3032</f>
        <v/>
      </c>
      <c r="D3032">
        <f>IF(B3032=1,INDEX('Data Entry'!$H$5:$BE$10004,3032-4,'Visual SPC'!$B$3),"")</f>
        <v/>
      </c>
      <c r="E3032">
        <f>IF(B3032=1,D3032,E3031)</f>
        <v/>
      </c>
      <c r="F3032">
        <f>IF(AND(B3032=1,C3032&gt;1,E3031&lt;&gt;""),ABS(D3032-E3031),"")</f>
        <v/>
      </c>
    </row>
    <row r="3033">
      <c r="A3033" t="n">
        <v>3033</v>
      </c>
      <c r="B3033">
        <f>IF(INDEX('Data Entry'!$H$5:$BE$10004,3033-4,'Visual SPC'!$B$3)="",0,IF(AND(OR('Visual SPC'!$C$4="",'Data Entry'!$C3033&gt;='Visual SPC'!$C$4),OR('Visual SPC'!$E$4="",'Data Entry'!$C3033&lt;='Visual SPC'!$E$4),OR('Visual SPC'!$G$4="",'Data Entry'!$D3033='Visual SPC'!$G$4),OR('Visual SPC'!$I$4="",'Data Entry'!$E3033='Visual SPC'!$I$4),OR('Visual SPC'!$K$4="",'Data Entry'!$F3033='Visual SPC'!$K$4)),1,0))</f>
        <v/>
      </c>
      <c r="C3033">
        <f>C3032+B3033</f>
        <v/>
      </c>
      <c r="D3033">
        <f>IF(B3033=1,INDEX('Data Entry'!$H$5:$BE$10004,3033-4,'Visual SPC'!$B$3),"")</f>
        <v/>
      </c>
      <c r="E3033">
        <f>IF(B3033=1,D3033,E3032)</f>
        <v/>
      </c>
      <c r="F3033">
        <f>IF(AND(B3033=1,C3033&gt;1,E3032&lt;&gt;""),ABS(D3033-E3032),"")</f>
        <v/>
      </c>
    </row>
    <row r="3034">
      <c r="A3034" t="n">
        <v>3034</v>
      </c>
      <c r="B3034">
        <f>IF(INDEX('Data Entry'!$H$5:$BE$10004,3034-4,'Visual SPC'!$B$3)="",0,IF(AND(OR('Visual SPC'!$C$4="",'Data Entry'!$C3034&gt;='Visual SPC'!$C$4),OR('Visual SPC'!$E$4="",'Data Entry'!$C3034&lt;='Visual SPC'!$E$4),OR('Visual SPC'!$G$4="",'Data Entry'!$D3034='Visual SPC'!$G$4),OR('Visual SPC'!$I$4="",'Data Entry'!$E3034='Visual SPC'!$I$4),OR('Visual SPC'!$K$4="",'Data Entry'!$F3034='Visual SPC'!$K$4)),1,0))</f>
        <v/>
      </c>
      <c r="C3034">
        <f>C3033+B3034</f>
        <v/>
      </c>
      <c r="D3034">
        <f>IF(B3034=1,INDEX('Data Entry'!$H$5:$BE$10004,3034-4,'Visual SPC'!$B$3),"")</f>
        <v/>
      </c>
      <c r="E3034">
        <f>IF(B3034=1,D3034,E3033)</f>
        <v/>
      </c>
      <c r="F3034">
        <f>IF(AND(B3034=1,C3034&gt;1,E3033&lt;&gt;""),ABS(D3034-E3033),"")</f>
        <v/>
      </c>
    </row>
    <row r="3035">
      <c r="A3035" t="n">
        <v>3035</v>
      </c>
      <c r="B3035">
        <f>IF(INDEX('Data Entry'!$H$5:$BE$10004,3035-4,'Visual SPC'!$B$3)="",0,IF(AND(OR('Visual SPC'!$C$4="",'Data Entry'!$C3035&gt;='Visual SPC'!$C$4),OR('Visual SPC'!$E$4="",'Data Entry'!$C3035&lt;='Visual SPC'!$E$4),OR('Visual SPC'!$G$4="",'Data Entry'!$D3035='Visual SPC'!$G$4),OR('Visual SPC'!$I$4="",'Data Entry'!$E3035='Visual SPC'!$I$4),OR('Visual SPC'!$K$4="",'Data Entry'!$F3035='Visual SPC'!$K$4)),1,0))</f>
        <v/>
      </c>
      <c r="C3035">
        <f>C3034+B3035</f>
        <v/>
      </c>
      <c r="D3035">
        <f>IF(B3035=1,INDEX('Data Entry'!$H$5:$BE$10004,3035-4,'Visual SPC'!$B$3),"")</f>
        <v/>
      </c>
      <c r="E3035">
        <f>IF(B3035=1,D3035,E3034)</f>
        <v/>
      </c>
      <c r="F3035">
        <f>IF(AND(B3035=1,C3035&gt;1,E3034&lt;&gt;""),ABS(D3035-E3034),"")</f>
        <v/>
      </c>
    </row>
    <row r="3036">
      <c r="A3036" t="n">
        <v>3036</v>
      </c>
      <c r="B3036">
        <f>IF(INDEX('Data Entry'!$H$5:$BE$10004,3036-4,'Visual SPC'!$B$3)="",0,IF(AND(OR('Visual SPC'!$C$4="",'Data Entry'!$C3036&gt;='Visual SPC'!$C$4),OR('Visual SPC'!$E$4="",'Data Entry'!$C3036&lt;='Visual SPC'!$E$4),OR('Visual SPC'!$G$4="",'Data Entry'!$D3036='Visual SPC'!$G$4),OR('Visual SPC'!$I$4="",'Data Entry'!$E3036='Visual SPC'!$I$4),OR('Visual SPC'!$K$4="",'Data Entry'!$F3036='Visual SPC'!$K$4)),1,0))</f>
        <v/>
      </c>
      <c r="C3036">
        <f>C3035+B3036</f>
        <v/>
      </c>
      <c r="D3036">
        <f>IF(B3036=1,INDEX('Data Entry'!$H$5:$BE$10004,3036-4,'Visual SPC'!$B$3),"")</f>
        <v/>
      </c>
      <c r="E3036">
        <f>IF(B3036=1,D3036,E3035)</f>
        <v/>
      </c>
      <c r="F3036">
        <f>IF(AND(B3036=1,C3036&gt;1,E3035&lt;&gt;""),ABS(D3036-E3035),"")</f>
        <v/>
      </c>
    </row>
    <row r="3037">
      <c r="A3037" t="n">
        <v>3037</v>
      </c>
      <c r="B3037">
        <f>IF(INDEX('Data Entry'!$H$5:$BE$10004,3037-4,'Visual SPC'!$B$3)="",0,IF(AND(OR('Visual SPC'!$C$4="",'Data Entry'!$C3037&gt;='Visual SPC'!$C$4),OR('Visual SPC'!$E$4="",'Data Entry'!$C3037&lt;='Visual SPC'!$E$4),OR('Visual SPC'!$G$4="",'Data Entry'!$D3037='Visual SPC'!$G$4),OR('Visual SPC'!$I$4="",'Data Entry'!$E3037='Visual SPC'!$I$4),OR('Visual SPC'!$K$4="",'Data Entry'!$F3037='Visual SPC'!$K$4)),1,0))</f>
        <v/>
      </c>
      <c r="C3037">
        <f>C3036+B3037</f>
        <v/>
      </c>
      <c r="D3037">
        <f>IF(B3037=1,INDEX('Data Entry'!$H$5:$BE$10004,3037-4,'Visual SPC'!$B$3),"")</f>
        <v/>
      </c>
      <c r="E3037">
        <f>IF(B3037=1,D3037,E3036)</f>
        <v/>
      </c>
      <c r="F3037">
        <f>IF(AND(B3037=1,C3037&gt;1,E3036&lt;&gt;""),ABS(D3037-E3036),"")</f>
        <v/>
      </c>
    </row>
    <row r="3038">
      <c r="A3038" t="n">
        <v>3038</v>
      </c>
      <c r="B3038">
        <f>IF(INDEX('Data Entry'!$H$5:$BE$10004,3038-4,'Visual SPC'!$B$3)="",0,IF(AND(OR('Visual SPC'!$C$4="",'Data Entry'!$C3038&gt;='Visual SPC'!$C$4),OR('Visual SPC'!$E$4="",'Data Entry'!$C3038&lt;='Visual SPC'!$E$4),OR('Visual SPC'!$G$4="",'Data Entry'!$D3038='Visual SPC'!$G$4),OR('Visual SPC'!$I$4="",'Data Entry'!$E3038='Visual SPC'!$I$4),OR('Visual SPC'!$K$4="",'Data Entry'!$F3038='Visual SPC'!$K$4)),1,0))</f>
        <v/>
      </c>
      <c r="C3038">
        <f>C3037+B3038</f>
        <v/>
      </c>
      <c r="D3038">
        <f>IF(B3038=1,INDEX('Data Entry'!$H$5:$BE$10004,3038-4,'Visual SPC'!$B$3),"")</f>
        <v/>
      </c>
      <c r="E3038">
        <f>IF(B3038=1,D3038,E3037)</f>
        <v/>
      </c>
      <c r="F3038">
        <f>IF(AND(B3038=1,C3038&gt;1,E3037&lt;&gt;""),ABS(D3038-E3037),"")</f>
        <v/>
      </c>
    </row>
    <row r="3039">
      <c r="A3039" t="n">
        <v>3039</v>
      </c>
      <c r="B3039">
        <f>IF(INDEX('Data Entry'!$H$5:$BE$10004,3039-4,'Visual SPC'!$B$3)="",0,IF(AND(OR('Visual SPC'!$C$4="",'Data Entry'!$C3039&gt;='Visual SPC'!$C$4),OR('Visual SPC'!$E$4="",'Data Entry'!$C3039&lt;='Visual SPC'!$E$4),OR('Visual SPC'!$G$4="",'Data Entry'!$D3039='Visual SPC'!$G$4),OR('Visual SPC'!$I$4="",'Data Entry'!$E3039='Visual SPC'!$I$4),OR('Visual SPC'!$K$4="",'Data Entry'!$F3039='Visual SPC'!$K$4)),1,0))</f>
        <v/>
      </c>
      <c r="C3039">
        <f>C3038+B3039</f>
        <v/>
      </c>
      <c r="D3039">
        <f>IF(B3039=1,INDEX('Data Entry'!$H$5:$BE$10004,3039-4,'Visual SPC'!$B$3),"")</f>
        <v/>
      </c>
      <c r="E3039">
        <f>IF(B3039=1,D3039,E3038)</f>
        <v/>
      </c>
      <c r="F3039">
        <f>IF(AND(B3039=1,C3039&gt;1,E3038&lt;&gt;""),ABS(D3039-E3038),"")</f>
        <v/>
      </c>
    </row>
    <row r="3040">
      <c r="A3040" t="n">
        <v>3040</v>
      </c>
      <c r="B3040">
        <f>IF(INDEX('Data Entry'!$H$5:$BE$10004,3040-4,'Visual SPC'!$B$3)="",0,IF(AND(OR('Visual SPC'!$C$4="",'Data Entry'!$C3040&gt;='Visual SPC'!$C$4),OR('Visual SPC'!$E$4="",'Data Entry'!$C3040&lt;='Visual SPC'!$E$4),OR('Visual SPC'!$G$4="",'Data Entry'!$D3040='Visual SPC'!$G$4),OR('Visual SPC'!$I$4="",'Data Entry'!$E3040='Visual SPC'!$I$4),OR('Visual SPC'!$K$4="",'Data Entry'!$F3040='Visual SPC'!$K$4)),1,0))</f>
        <v/>
      </c>
      <c r="C3040">
        <f>C3039+B3040</f>
        <v/>
      </c>
      <c r="D3040">
        <f>IF(B3040=1,INDEX('Data Entry'!$H$5:$BE$10004,3040-4,'Visual SPC'!$B$3),"")</f>
        <v/>
      </c>
      <c r="E3040">
        <f>IF(B3040=1,D3040,E3039)</f>
        <v/>
      </c>
      <c r="F3040">
        <f>IF(AND(B3040=1,C3040&gt;1,E3039&lt;&gt;""),ABS(D3040-E3039),"")</f>
        <v/>
      </c>
    </row>
    <row r="3041">
      <c r="A3041" t="n">
        <v>3041</v>
      </c>
      <c r="B3041">
        <f>IF(INDEX('Data Entry'!$H$5:$BE$10004,3041-4,'Visual SPC'!$B$3)="",0,IF(AND(OR('Visual SPC'!$C$4="",'Data Entry'!$C3041&gt;='Visual SPC'!$C$4),OR('Visual SPC'!$E$4="",'Data Entry'!$C3041&lt;='Visual SPC'!$E$4),OR('Visual SPC'!$G$4="",'Data Entry'!$D3041='Visual SPC'!$G$4),OR('Visual SPC'!$I$4="",'Data Entry'!$E3041='Visual SPC'!$I$4),OR('Visual SPC'!$K$4="",'Data Entry'!$F3041='Visual SPC'!$K$4)),1,0))</f>
        <v/>
      </c>
      <c r="C3041">
        <f>C3040+B3041</f>
        <v/>
      </c>
      <c r="D3041">
        <f>IF(B3041=1,INDEX('Data Entry'!$H$5:$BE$10004,3041-4,'Visual SPC'!$B$3),"")</f>
        <v/>
      </c>
      <c r="E3041">
        <f>IF(B3041=1,D3041,E3040)</f>
        <v/>
      </c>
      <c r="F3041">
        <f>IF(AND(B3041=1,C3041&gt;1,E3040&lt;&gt;""),ABS(D3041-E3040),"")</f>
        <v/>
      </c>
    </row>
    <row r="3042">
      <c r="A3042" t="n">
        <v>3042</v>
      </c>
      <c r="B3042">
        <f>IF(INDEX('Data Entry'!$H$5:$BE$10004,3042-4,'Visual SPC'!$B$3)="",0,IF(AND(OR('Visual SPC'!$C$4="",'Data Entry'!$C3042&gt;='Visual SPC'!$C$4),OR('Visual SPC'!$E$4="",'Data Entry'!$C3042&lt;='Visual SPC'!$E$4),OR('Visual SPC'!$G$4="",'Data Entry'!$D3042='Visual SPC'!$G$4),OR('Visual SPC'!$I$4="",'Data Entry'!$E3042='Visual SPC'!$I$4),OR('Visual SPC'!$K$4="",'Data Entry'!$F3042='Visual SPC'!$K$4)),1,0))</f>
        <v/>
      </c>
      <c r="C3042">
        <f>C3041+B3042</f>
        <v/>
      </c>
      <c r="D3042">
        <f>IF(B3042=1,INDEX('Data Entry'!$H$5:$BE$10004,3042-4,'Visual SPC'!$B$3),"")</f>
        <v/>
      </c>
      <c r="E3042">
        <f>IF(B3042=1,D3042,E3041)</f>
        <v/>
      </c>
      <c r="F3042">
        <f>IF(AND(B3042=1,C3042&gt;1,E3041&lt;&gt;""),ABS(D3042-E3041),"")</f>
        <v/>
      </c>
    </row>
    <row r="3043">
      <c r="A3043" t="n">
        <v>3043</v>
      </c>
      <c r="B3043">
        <f>IF(INDEX('Data Entry'!$H$5:$BE$10004,3043-4,'Visual SPC'!$B$3)="",0,IF(AND(OR('Visual SPC'!$C$4="",'Data Entry'!$C3043&gt;='Visual SPC'!$C$4),OR('Visual SPC'!$E$4="",'Data Entry'!$C3043&lt;='Visual SPC'!$E$4),OR('Visual SPC'!$G$4="",'Data Entry'!$D3043='Visual SPC'!$G$4),OR('Visual SPC'!$I$4="",'Data Entry'!$E3043='Visual SPC'!$I$4),OR('Visual SPC'!$K$4="",'Data Entry'!$F3043='Visual SPC'!$K$4)),1,0))</f>
        <v/>
      </c>
      <c r="C3043">
        <f>C3042+B3043</f>
        <v/>
      </c>
      <c r="D3043">
        <f>IF(B3043=1,INDEX('Data Entry'!$H$5:$BE$10004,3043-4,'Visual SPC'!$B$3),"")</f>
        <v/>
      </c>
      <c r="E3043">
        <f>IF(B3043=1,D3043,E3042)</f>
        <v/>
      </c>
      <c r="F3043">
        <f>IF(AND(B3043=1,C3043&gt;1,E3042&lt;&gt;""),ABS(D3043-E3042),"")</f>
        <v/>
      </c>
    </row>
    <row r="3044">
      <c r="A3044" t="n">
        <v>3044</v>
      </c>
      <c r="B3044">
        <f>IF(INDEX('Data Entry'!$H$5:$BE$10004,3044-4,'Visual SPC'!$B$3)="",0,IF(AND(OR('Visual SPC'!$C$4="",'Data Entry'!$C3044&gt;='Visual SPC'!$C$4),OR('Visual SPC'!$E$4="",'Data Entry'!$C3044&lt;='Visual SPC'!$E$4),OR('Visual SPC'!$G$4="",'Data Entry'!$D3044='Visual SPC'!$G$4),OR('Visual SPC'!$I$4="",'Data Entry'!$E3044='Visual SPC'!$I$4),OR('Visual SPC'!$K$4="",'Data Entry'!$F3044='Visual SPC'!$K$4)),1,0))</f>
        <v/>
      </c>
      <c r="C3044">
        <f>C3043+B3044</f>
        <v/>
      </c>
      <c r="D3044">
        <f>IF(B3044=1,INDEX('Data Entry'!$H$5:$BE$10004,3044-4,'Visual SPC'!$B$3),"")</f>
        <v/>
      </c>
      <c r="E3044">
        <f>IF(B3044=1,D3044,E3043)</f>
        <v/>
      </c>
      <c r="F3044">
        <f>IF(AND(B3044=1,C3044&gt;1,E3043&lt;&gt;""),ABS(D3044-E3043),"")</f>
        <v/>
      </c>
    </row>
    <row r="3045">
      <c r="A3045" t="n">
        <v>3045</v>
      </c>
      <c r="B3045">
        <f>IF(INDEX('Data Entry'!$H$5:$BE$10004,3045-4,'Visual SPC'!$B$3)="",0,IF(AND(OR('Visual SPC'!$C$4="",'Data Entry'!$C3045&gt;='Visual SPC'!$C$4),OR('Visual SPC'!$E$4="",'Data Entry'!$C3045&lt;='Visual SPC'!$E$4),OR('Visual SPC'!$G$4="",'Data Entry'!$D3045='Visual SPC'!$G$4),OR('Visual SPC'!$I$4="",'Data Entry'!$E3045='Visual SPC'!$I$4),OR('Visual SPC'!$K$4="",'Data Entry'!$F3045='Visual SPC'!$K$4)),1,0))</f>
        <v/>
      </c>
      <c r="C3045">
        <f>C3044+B3045</f>
        <v/>
      </c>
      <c r="D3045">
        <f>IF(B3045=1,INDEX('Data Entry'!$H$5:$BE$10004,3045-4,'Visual SPC'!$B$3),"")</f>
        <v/>
      </c>
      <c r="E3045">
        <f>IF(B3045=1,D3045,E3044)</f>
        <v/>
      </c>
      <c r="F3045">
        <f>IF(AND(B3045=1,C3045&gt;1,E3044&lt;&gt;""),ABS(D3045-E3044),"")</f>
        <v/>
      </c>
    </row>
    <row r="3046">
      <c r="A3046" t="n">
        <v>3046</v>
      </c>
      <c r="B3046">
        <f>IF(INDEX('Data Entry'!$H$5:$BE$10004,3046-4,'Visual SPC'!$B$3)="",0,IF(AND(OR('Visual SPC'!$C$4="",'Data Entry'!$C3046&gt;='Visual SPC'!$C$4),OR('Visual SPC'!$E$4="",'Data Entry'!$C3046&lt;='Visual SPC'!$E$4),OR('Visual SPC'!$G$4="",'Data Entry'!$D3046='Visual SPC'!$G$4),OR('Visual SPC'!$I$4="",'Data Entry'!$E3046='Visual SPC'!$I$4),OR('Visual SPC'!$K$4="",'Data Entry'!$F3046='Visual SPC'!$K$4)),1,0))</f>
        <v/>
      </c>
      <c r="C3046">
        <f>C3045+B3046</f>
        <v/>
      </c>
      <c r="D3046">
        <f>IF(B3046=1,INDEX('Data Entry'!$H$5:$BE$10004,3046-4,'Visual SPC'!$B$3),"")</f>
        <v/>
      </c>
      <c r="E3046">
        <f>IF(B3046=1,D3046,E3045)</f>
        <v/>
      </c>
      <c r="F3046">
        <f>IF(AND(B3046=1,C3046&gt;1,E3045&lt;&gt;""),ABS(D3046-E3045),"")</f>
        <v/>
      </c>
    </row>
    <row r="3047">
      <c r="A3047" t="n">
        <v>3047</v>
      </c>
      <c r="B3047">
        <f>IF(INDEX('Data Entry'!$H$5:$BE$10004,3047-4,'Visual SPC'!$B$3)="",0,IF(AND(OR('Visual SPC'!$C$4="",'Data Entry'!$C3047&gt;='Visual SPC'!$C$4),OR('Visual SPC'!$E$4="",'Data Entry'!$C3047&lt;='Visual SPC'!$E$4),OR('Visual SPC'!$G$4="",'Data Entry'!$D3047='Visual SPC'!$G$4),OR('Visual SPC'!$I$4="",'Data Entry'!$E3047='Visual SPC'!$I$4),OR('Visual SPC'!$K$4="",'Data Entry'!$F3047='Visual SPC'!$K$4)),1,0))</f>
        <v/>
      </c>
      <c r="C3047">
        <f>C3046+B3047</f>
        <v/>
      </c>
      <c r="D3047">
        <f>IF(B3047=1,INDEX('Data Entry'!$H$5:$BE$10004,3047-4,'Visual SPC'!$B$3),"")</f>
        <v/>
      </c>
      <c r="E3047">
        <f>IF(B3047=1,D3047,E3046)</f>
        <v/>
      </c>
      <c r="F3047">
        <f>IF(AND(B3047=1,C3047&gt;1,E3046&lt;&gt;""),ABS(D3047-E3046),"")</f>
        <v/>
      </c>
    </row>
    <row r="3048">
      <c r="A3048" t="n">
        <v>3048</v>
      </c>
      <c r="B3048">
        <f>IF(INDEX('Data Entry'!$H$5:$BE$10004,3048-4,'Visual SPC'!$B$3)="",0,IF(AND(OR('Visual SPC'!$C$4="",'Data Entry'!$C3048&gt;='Visual SPC'!$C$4),OR('Visual SPC'!$E$4="",'Data Entry'!$C3048&lt;='Visual SPC'!$E$4),OR('Visual SPC'!$G$4="",'Data Entry'!$D3048='Visual SPC'!$G$4),OR('Visual SPC'!$I$4="",'Data Entry'!$E3048='Visual SPC'!$I$4),OR('Visual SPC'!$K$4="",'Data Entry'!$F3048='Visual SPC'!$K$4)),1,0))</f>
        <v/>
      </c>
      <c r="C3048">
        <f>C3047+B3048</f>
        <v/>
      </c>
      <c r="D3048">
        <f>IF(B3048=1,INDEX('Data Entry'!$H$5:$BE$10004,3048-4,'Visual SPC'!$B$3),"")</f>
        <v/>
      </c>
      <c r="E3048">
        <f>IF(B3048=1,D3048,E3047)</f>
        <v/>
      </c>
      <c r="F3048">
        <f>IF(AND(B3048=1,C3048&gt;1,E3047&lt;&gt;""),ABS(D3048-E3047),"")</f>
        <v/>
      </c>
    </row>
    <row r="3049">
      <c r="A3049" t="n">
        <v>3049</v>
      </c>
      <c r="B3049">
        <f>IF(INDEX('Data Entry'!$H$5:$BE$10004,3049-4,'Visual SPC'!$B$3)="",0,IF(AND(OR('Visual SPC'!$C$4="",'Data Entry'!$C3049&gt;='Visual SPC'!$C$4),OR('Visual SPC'!$E$4="",'Data Entry'!$C3049&lt;='Visual SPC'!$E$4),OR('Visual SPC'!$G$4="",'Data Entry'!$D3049='Visual SPC'!$G$4),OR('Visual SPC'!$I$4="",'Data Entry'!$E3049='Visual SPC'!$I$4),OR('Visual SPC'!$K$4="",'Data Entry'!$F3049='Visual SPC'!$K$4)),1,0))</f>
        <v/>
      </c>
      <c r="C3049">
        <f>C3048+B3049</f>
        <v/>
      </c>
      <c r="D3049">
        <f>IF(B3049=1,INDEX('Data Entry'!$H$5:$BE$10004,3049-4,'Visual SPC'!$B$3),"")</f>
        <v/>
      </c>
      <c r="E3049">
        <f>IF(B3049=1,D3049,E3048)</f>
        <v/>
      </c>
      <c r="F3049">
        <f>IF(AND(B3049=1,C3049&gt;1,E3048&lt;&gt;""),ABS(D3049-E3048),"")</f>
        <v/>
      </c>
    </row>
    <row r="3050">
      <c r="A3050" t="n">
        <v>3050</v>
      </c>
      <c r="B3050">
        <f>IF(INDEX('Data Entry'!$H$5:$BE$10004,3050-4,'Visual SPC'!$B$3)="",0,IF(AND(OR('Visual SPC'!$C$4="",'Data Entry'!$C3050&gt;='Visual SPC'!$C$4),OR('Visual SPC'!$E$4="",'Data Entry'!$C3050&lt;='Visual SPC'!$E$4),OR('Visual SPC'!$G$4="",'Data Entry'!$D3050='Visual SPC'!$G$4),OR('Visual SPC'!$I$4="",'Data Entry'!$E3050='Visual SPC'!$I$4),OR('Visual SPC'!$K$4="",'Data Entry'!$F3050='Visual SPC'!$K$4)),1,0))</f>
        <v/>
      </c>
      <c r="C3050">
        <f>C3049+B3050</f>
        <v/>
      </c>
      <c r="D3050">
        <f>IF(B3050=1,INDEX('Data Entry'!$H$5:$BE$10004,3050-4,'Visual SPC'!$B$3),"")</f>
        <v/>
      </c>
      <c r="E3050">
        <f>IF(B3050=1,D3050,E3049)</f>
        <v/>
      </c>
      <c r="F3050">
        <f>IF(AND(B3050=1,C3050&gt;1,E3049&lt;&gt;""),ABS(D3050-E3049),"")</f>
        <v/>
      </c>
    </row>
    <row r="3051">
      <c r="A3051" t="n">
        <v>3051</v>
      </c>
      <c r="B3051">
        <f>IF(INDEX('Data Entry'!$H$5:$BE$10004,3051-4,'Visual SPC'!$B$3)="",0,IF(AND(OR('Visual SPC'!$C$4="",'Data Entry'!$C3051&gt;='Visual SPC'!$C$4),OR('Visual SPC'!$E$4="",'Data Entry'!$C3051&lt;='Visual SPC'!$E$4),OR('Visual SPC'!$G$4="",'Data Entry'!$D3051='Visual SPC'!$G$4),OR('Visual SPC'!$I$4="",'Data Entry'!$E3051='Visual SPC'!$I$4),OR('Visual SPC'!$K$4="",'Data Entry'!$F3051='Visual SPC'!$K$4)),1,0))</f>
        <v/>
      </c>
      <c r="C3051">
        <f>C3050+B3051</f>
        <v/>
      </c>
      <c r="D3051">
        <f>IF(B3051=1,INDEX('Data Entry'!$H$5:$BE$10004,3051-4,'Visual SPC'!$B$3),"")</f>
        <v/>
      </c>
      <c r="E3051">
        <f>IF(B3051=1,D3051,E3050)</f>
        <v/>
      </c>
      <c r="F3051">
        <f>IF(AND(B3051=1,C3051&gt;1,E3050&lt;&gt;""),ABS(D3051-E3050),"")</f>
        <v/>
      </c>
    </row>
    <row r="3052">
      <c r="A3052" t="n">
        <v>3052</v>
      </c>
      <c r="B3052">
        <f>IF(INDEX('Data Entry'!$H$5:$BE$10004,3052-4,'Visual SPC'!$B$3)="",0,IF(AND(OR('Visual SPC'!$C$4="",'Data Entry'!$C3052&gt;='Visual SPC'!$C$4),OR('Visual SPC'!$E$4="",'Data Entry'!$C3052&lt;='Visual SPC'!$E$4),OR('Visual SPC'!$G$4="",'Data Entry'!$D3052='Visual SPC'!$G$4),OR('Visual SPC'!$I$4="",'Data Entry'!$E3052='Visual SPC'!$I$4),OR('Visual SPC'!$K$4="",'Data Entry'!$F3052='Visual SPC'!$K$4)),1,0))</f>
        <v/>
      </c>
      <c r="C3052">
        <f>C3051+B3052</f>
        <v/>
      </c>
      <c r="D3052">
        <f>IF(B3052=1,INDEX('Data Entry'!$H$5:$BE$10004,3052-4,'Visual SPC'!$B$3),"")</f>
        <v/>
      </c>
      <c r="E3052">
        <f>IF(B3052=1,D3052,E3051)</f>
        <v/>
      </c>
      <c r="F3052">
        <f>IF(AND(B3052=1,C3052&gt;1,E3051&lt;&gt;""),ABS(D3052-E3051),"")</f>
        <v/>
      </c>
    </row>
    <row r="3053">
      <c r="A3053" t="n">
        <v>3053</v>
      </c>
      <c r="B3053">
        <f>IF(INDEX('Data Entry'!$H$5:$BE$10004,3053-4,'Visual SPC'!$B$3)="",0,IF(AND(OR('Visual SPC'!$C$4="",'Data Entry'!$C3053&gt;='Visual SPC'!$C$4),OR('Visual SPC'!$E$4="",'Data Entry'!$C3053&lt;='Visual SPC'!$E$4),OR('Visual SPC'!$G$4="",'Data Entry'!$D3053='Visual SPC'!$G$4),OR('Visual SPC'!$I$4="",'Data Entry'!$E3053='Visual SPC'!$I$4),OR('Visual SPC'!$K$4="",'Data Entry'!$F3053='Visual SPC'!$K$4)),1,0))</f>
        <v/>
      </c>
      <c r="C3053">
        <f>C3052+B3053</f>
        <v/>
      </c>
      <c r="D3053">
        <f>IF(B3053=1,INDEX('Data Entry'!$H$5:$BE$10004,3053-4,'Visual SPC'!$B$3),"")</f>
        <v/>
      </c>
      <c r="E3053">
        <f>IF(B3053=1,D3053,E3052)</f>
        <v/>
      </c>
      <c r="F3053">
        <f>IF(AND(B3053=1,C3053&gt;1,E3052&lt;&gt;""),ABS(D3053-E3052),"")</f>
        <v/>
      </c>
    </row>
    <row r="3054">
      <c r="A3054" t="n">
        <v>3054</v>
      </c>
      <c r="B3054">
        <f>IF(INDEX('Data Entry'!$H$5:$BE$10004,3054-4,'Visual SPC'!$B$3)="",0,IF(AND(OR('Visual SPC'!$C$4="",'Data Entry'!$C3054&gt;='Visual SPC'!$C$4),OR('Visual SPC'!$E$4="",'Data Entry'!$C3054&lt;='Visual SPC'!$E$4),OR('Visual SPC'!$G$4="",'Data Entry'!$D3054='Visual SPC'!$G$4),OR('Visual SPC'!$I$4="",'Data Entry'!$E3054='Visual SPC'!$I$4),OR('Visual SPC'!$K$4="",'Data Entry'!$F3054='Visual SPC'!$K$4)),1,0))</f>
        <v/>
      </c>
      <c r="C3054">
        <f>C3053+B3054</f>
        <v/>
      </c>
      <c r="D3054">
        <f>IF(B3054=1,INDEX('Data Entry'!$H$5:$BE$10004,3054-4,'Visual SPC'!$B$3),"")</f>
        <v/>
      </c>
      <c r="E3054">
        <f>IF(B3054=1,D3054,E3053)</f>
        <v/>
      </c>
      <c r="F3054">
        <f>IF(AND(B3054=1,C3054&gt;1,E3053&lt;&gt;""),ABS(D3054-E3053),"")</f>
        <v/>
      </c>
    </row>
    <row r="3055">
      <c r="A3055" t="n">
        <v>3055</v>
      </c>
      <c r="B3055">
        <f>IF(INDEX('Data Entry'!$H$5:$BE$10004,3055-4,'Visual SPC'!$B$3)="",0,IF(AND(OR('Visual SPC'!$C$4="",'Data Entry'!$C3055&gt;='Visual SPC'!$C$4),OR('Visual SPC'!$E$4="",'Data Entry'!$C3055&lt;='Visual SPC'!$E$4),OR('Visual SPC'!$G$4="",'Data Entry'!$D3055='Visual SPC'!$G$4),OR('Visual SPC'!$I$4="",'Data Entry'!$E3055='Visual SPC'!$I$4),OR('Visual SPC'!$K$4="",'Data Entry'!$F3055='Visual SPC'!$K$4)),1,0))</f>
        <v/>
      </c>
      <c r="C3055">
        <f>C3054+B3055</f>
        <v/>
      </c>
      <c r="D3055">
        <f>IF(B3055=1,INDEX('Data Entry'!$H$5:$BE$10004,3055-4,'Visual SPC'!$B$3),"")</f>
        <v/>
      </c>
      <c r="E3055">
        <f>IF(B3055=1,D3055,E3054)</f>
        <v/>
      </c>
      <c r="F3055">
        <f>IF(AND(B3055=1,C3055&gt;1,E3054&lt;&gt;""),ABS(D3055-E3054),"")</f>
        <v/>
      </c>
    </row>
    <row r="3056">
      <c r="A3056" t="n">
        <v>3056</v>
      </c>
      <c r="B3056">
        <f>IF(INDEX('Data Entry'!$H$5:$BE$10004,3056-4,'Visual SPC'!$B$3)="",0,IF(AND(OR('Visual SPC'!$C$4="",'Data Entry'!$C3056&gt;='Visual SPC'!$C$4),OR('Visual SPC'!$E$4="",'Data Entry'!$C3056&lt;='Visual SPC'!$E$4),OR('Visual SPC'!$G$4="",'Data Entry'!$D3056='Visual SPC'!$G$4),OR('Visual SPC'!$I$4="",'Data Entry'!$E3056='Visual SPC'!$I$4),OR('Visual SPC'!$K$4="",'Data Entry'!$F3056='Visual SPC'!$K$4)),1,0))</f>
        <v/>
      </c>
      <c r="C3056">
        <f>C3055+B3056</f>
        <v/>
      </c>
      <c r="D3056">
        <f>IF(B3056=1,INDEX('Data Entry'!$H$5:$BE$10004,3056-4,'Visual SPC'!$B$3),"")</f>
        <v/>
      </c>
      <c r="E3056">
        <f>IF(B3056=1,D3056,E3055)</f>
        <v/>
      </c>
      <c r="F3056">
        <f>IF(AND(B3056=1,C3056&gt;1,E3055&lt;&gt;""),ABS(D3056-E3055),"")</f>
        <v/>
      </c>
    </row>
    <row r="3057">
      <c r="A3057" t="n">
        <v>3057</v>
      </c>
      <c r="B3057">
        <f>IF(INDEX('Data Entry'!$H$5:$BE$10004,3057-4,'Visual SPC'!$B$3)="",0,IF(AND(OR('Visual SPC'!$C$4="",'Data Entry'!$C3057&gt;='Visual SPC'!$C$4),OR('Visual SPC'!$E$4="",'Data Entry'!$C3057&lt;='Visual SPC'!$E$4),OR('Visual SPC'!$G$4="",'Data Entry'!$D3057='Visual SPC'!$G$4),OR('Visual SPC'!$I$4="",'Data Entry'!$E3057='Visual SPC'!$I$4),OR('Visual SPC'!$K$4="",'Data Entry'!$F3057='Visual SPC'!$K$4)),1,0))</f>
        <v/>
      </c>
      <c r="C3057">
        <f>C3056+B3057</f>
        <v/>
      </c>
      <c r="D3057">
        <f>IF(B3057=1,INDEX('Data Entry'!$H$5:$BE$10004,3057-4,'Visual SPC'!$B$3),"")</f>
        <v/>
      </c>
      <c r="E3057">
        <f>IF(B3057=1,D3057,E3056)</f>
        <v/>
      </c>
      <c r="F3057">
        <f>IF(AND(B3057=1,C3057&gt;1,E3056&lt;&gt;""),ABS(D3057-E3056),"")</f>
        <v/>
      </c>
    </row>
    <row r="3058">
      <c r="A3058" t="n">
        <v>3058</v>
      </c>
      <c r="B3058">
        <f>IF(INDEX('Data Entry'!$H$5:$BE$10004,3058-4,'Visual SPC'!$B$3)="",0,IF(AND(OR('Visual SPC'!$C$4="",'Data Entry'!$C3058&gt;='Visual SPC'!$C$4),OR('Visual SPC'!$E$4="",'Data Entry'!$C3058&lt;='Visual SPC'!$E$4),OR('Visual SPC'!$G$4="",'Data Entry'!$D3058='Visual SPC'!$G$4),OR('Visual SPC'!$I$4="",'Data Entry'!$E3058='Visual SPC'!$I$4),OR('Visual SPC'!$K$4="",'Data Entry'!$F3058='Visual SPC'!$K$4)),1,0))</f>
        <v/>
      </c>
      <c r="C3058">
        <f>C3057+B3058</f>
        <v/>
      </c>
      <c r="D3058">
        <f>IF(B3058=1,INDEX('Data Entry'!$H$5:$BE$10004,3058-4,'Visual SPC'!$B$3),"")</f>
        <v/>
      </c>
      <c r="E3058">
        <f>IF(B3058=1,D3058,E3057)</f>
        <v/>
      </c>
      <c r="F3058">
        <f>IF(AND(B3058=1,C3058&gt;1,E3057&lt;&gt;""),ABS(D3058-E3057),"")</f>
        <v/>
      </c>
    </row>
    <row r="3059">
      <c r="A3059" t="n">
        <v>3059</v>
      </c>
      <c r="B3059">
        <f>IF(INDEX('Data Entry'!$H$5:$BE$10004,3059-4,'Visual SPC'!$B$3)="",0,IF(AND(OR('Visual SPC'!$C$4="",'Data Entry'!$C3059&gt;='Visual SPC'!$C$4),OR('Visual SPC'!$E$4="",'Data Entry'!$C3059&lt;='Visual SPC'!$E$4),OR('Visual SPC'!$G$4="",'Data Entry'!$D3059='Visual SPC'!$G$4),OR('Visual SPC'!$I$4="",'Data Entry'!$E3059='Visual SPC'!$I$4),OR('Visual SPC'!$K$4="",'Data Entry'!$F3059='Visual SPC'!$K$4)),1,0))</f>
        <v/>
      </c>
      <c r="C3059">
        <f>C3058+B3059</f>
        <v/>
      </c>
      <c r="D3059">
        <f>IF(B3059=1,INDEX('Data Entry'!$H$5:$BE$10004,3059-4,'Visual SPC'!$B$3),"")</f>
        <v/>
      </c>
      <c r="E3059">
        <f>IF(B3059=1,D3059,E3058)</f>
        <v/>
      </c>
      <c r="F3059">
        <f>IF(AND(B3059=1,C3059&gt;1,E3058&lt;&gt;""),ABS(D3059-E3058),"")</f>
        <v/>
      </c>
    </row>
    <row r="3060">
      <c r="A3060" t="n">
        <v>3060</v>
      </c>
      <c r="B3060">
        <f>IF(INDEX('Data Entry'!$H$5:$BE$10004,3060-4,'Visual SPC'!$B$3)="",0,IF(AND(OR('Visual SPC'!$C$4="",'Data Entry'!$C3060&gt;='Visual SPC'!$C$4),OR('Visual SPC'!$E$4="",'Data Entry'!$C3060&lt;='Visual SPC'!$E$4),OR('Visual SPC'!$G$4="",'Data Entry'!$D3060='Visual SPC'!$G$4),OR('Visual SPC'!$I$4="",'Data Entry'!$E3060='Visual SPC'!$I$4),OR('Visual SPC'!$K$4="",'Data Entry'!$F3060='Visual SPC'!$K$4)),1,0))</f>
        <v/>
      </c>
      <c r="C3060">
        <f>C3059+B3060</f>
        <v/>
      </c>
      <c r="D3060">
        <f>IF(B3060=1,INDEX('Data Entry'!$H$5:$BE$10004,3060-4,'Visual SPC'!$B$3),"")</f>
        <v/>
      </c>
      <c r="E3060">
        <f>IF(B3060=1,D3060,E3059)</f>
        <v/>
      </c>
      <c r="F3060">
        <f>IF(AND(B3060=1,C3060&gt;1,E3059&lt;&gt;""),ABS(D3060-E3059),"")</f>
        <v/>
      </c>
    </row>
    <row r="3061">
      <c r="A3061" t="n">
        <v>3061</v>
      </c>
      <c r="B3061">
        <f>IF(INDEX('Data Entry'!$H$5:$BE$10004,3061-4,'Visual SPC'!$B$3)="",0,IF(AND(OR('Visual SPC'!$C$4="",'Data Entry'!$C3061&gt;='Visual SPC'!$C$4),OR('Visual SPC'!$E$4="",'Data Entry'!$C3061&lt;='Visual SPC'!$E$4),OR('Visual SPC'!$G$4="",'Data Entry'!$D3061='Visual SPC'!$G$4),OR('Visual SPC'!$I$4="",'Data Entry'!$E3061='Visual SPC'!$I$4),OR('Visual SPC'!$K$4="",'Data Entry'!$F3061='Visual SPC'!$K$4)),1,0))</f>
        <v/>
      </c>
      <c r="C3061">
        <f>C3060+B3061</f>
        <v/>
      </c>
      <c r="D3061">
        <f>IF(B3061=1,INDEX('Data Entry'!$H$5:$BE$10004,3061-4,'Visual SPC'!$B$3),"")</f>
        <v/>
      </c>
      <c r="E3061">
        <f>IF(B3061=1,D3061,E3060)</f>
        <v/>
      </c>
      <c r="F3061">
        <f>IF(AND(B3061=1,C3061&gt;1,E3060&lt;&gt;""),ABS(D3061-E3060),"")</f>
        <v/>
      </c>
    </row>
    <row r="3062">
      <c r="A3062" t="n">
        <v>3062</v>
      </c>
      <c r="B3062">
        <f>IF(INDEX('Data Entry'!$H$5:$BE$10004,3062-4,'Visual SPC'!$B$3)="",0,IF(AND(OR('Visual SPC'!$C$4="",'Data Entry'!$C3062&gt;='Visual SPC'!$C$4),OR('Visual SPC'!$E$4="",'Data Entry'!$C3062&lt;='Visual SPC'!$E$4),OR('Visual SPC'!$G$4="",'Data Entry'!$D3062='Visual SPC'!$G$4),OR('Visual SPC'!$I$4="",'Data Entry'!$E3062='Visual SPC'!$I$4),OR('Visual SPC'!$K$4="",'Data Entry'!$F3062='Visual SPC'!$K$4)),1,0))</f>
        <v/>
      </c>
      <c r="C3062">
        <f>C3061+B3062</f>
        <v/>
      </c>
      <c r="D3062">
        <f>IF(B3062=1,INDEX('Data Entry'!$H$5:$BE$10004,3062-4,'Visual SPC'!$B$3),"")</f>
        <v/>
      </c>
      <c r="E3062">
        <f>IF(B3062=1,D3062,E3061)</f>
        <v/>
      </c>
      <c r="F3062">
        <f>IF(AND(B3062=1,C3062&gt;1,E3061&lt;&gt;""),ABS(D3062-E3061),"")</f>
        <v/>
      </c>
    </row>
    <row r="3063">
      <c r="A3063" t="n">
        <v>3063</v>
      </c>
      <c r="B3063">
        <f>IF(INDEX('Data Entry'!$H$5:$BE$10004,3063-4,'Visual SPC'!$B$3)="",0,IF(AND(OR('Visual SPC'!$C$4="",'Data Entry'!$C3063&gt;='Visual SPC'!$C$4),OR('Visual SPC'!$E$4="",'Data Entry'!$C3063&lt;='Visual SPC'!$E$4),OR('Visual SPC'!$G$4="",'Data Entry'!$D3063='Visual SPC'!$G$4),OR('Visual SPC'!$I$4="",'Data Entry'!$E3063='Visual SPC'!$I$4),OR('Visual SPC'!$K$4="",'Data Entry'!$F3063='Visual SPC'!$K$4)),1,0))</f>
        <v/>
      </c>
      <c r="C3063">
        <f>C3062+B3063</f>
        <v/>
      </c>
      <c r="D3063">
        <f>IF(B3063=1,INDEX('Data Entry'!$H$5:$BE$10004,3063-4,'Visual SPC'!$B$3),"")</f>
        <v/>
      </c>
      <c r="E3063">
        <f>IF(B3063=1,D3063,E3062)</f>
        <v/>
      </c>
      <c r="F3063">
        <f>IF(AND(B3063=1,C3063&gt;1,E3062&lt;&gt;""),ABS(D3063-E3062),"")</f>
        <v/>
      </c>
    </row>
    <row r="3064">
      <c r="A3064" t="n">
        <v>3064</v>
      </c>
      <c r="B3064">
        <f>IF(INDEX('Data Entry'!$H$5:$BE$10004,3064-4,'Visual SPC'!$B$3)="",0,IF(AND(OR('Visual SPC'!$C$4="",'Data Entry'!$C3064&gt;='Visual SPC'!$C$4),OR('Visual SPC'!$E$4="",'Data Entry'!$C3064&lt;='Visual SPC'!$E$4),OR('Visual SPC'!$G$4="",'Data Entry'!$D3064='Visual SPC'!$G$4),OR('Visual SPC'!$I$4="",'Data Entry'!$E3064='Visual SPC'!$I$4),OR('Visual SPC'!$K$4="",'Data Entry'!$F3064='Visual SPC'!$K$4)),1,0))</f>
        <v/>
      </c>
      <c r="C3064">
        <f>C3063+B3064</f>
        <v/>
      </c>
      <c r="D3064">
        <f>IF(B3064=1,INDEX('Data Entry'!$H$5:$BE$10004,3064-4,'Visual SPC'!$B$3),"")</f>
        <v/>
      </c>
      <c r="E3064">
        <f>IF(B3064=1,D3064,E3063)</f>
        <v/>
      </c>
      <c r="F3064">
        <f>IF(AND(B3064=1,C3064&gt;1,E3063&lt;&gt;""),ABS(D3064-E3063),"")</f>
        <v/>
      </c>
    </row>
    <row r="3065">
      <c r="A3065" t="n">
        <v>3065</v>
      </c>
      <c r="B3065">
        <f>IF(INDEX('Data Entry'!$H$5:$BE$10004,3065-4,'Visual SPC'!$B$3)="",0,IF(AND(OR('Visual SPC'!$C$4="",'Data Entry'!$C3065&gt;='Visual SPC'!$C$4),OR('Visual SPC'!$E$4="",'Data Entry'!$C3065&lt;='Visual SPC'!$E$4),OR('Visual SPC'!$G$4="",'Data Entry'!$D3065='Visual SPC'!$G$4),OR('Visual SPC'!$I$4="",'Data Entry'!$E3065='Visual SPC'!$I$4),OR('Visual SPC'!$K$4="",'Data Entry'!$F3065='Visual SPC'!$K$4)),1,0))</f>
        <v/>
      </c>
      <c r="C3065">
        <f>C3064+B3065</f>
        <v/>
      </c>
      <c r="D3065">
        <f>IF(B3065=1,INDEX('Data Entry'!$H$5:$BE$10004,3065-4,'Visual SPC'!$B$3),"")</f>
        <v/>
      </c>
      <c r="E3065">
        <f>IF(B3065=1,D3065,E3064)</f>
        <v/>
      </c>
      <c r="F3065">
        <f>IF(AND(B3065=1,C3065&gt;1,E3064&lt;&gt;""),ABS(D3065-E3064),"")</f>
        <v/>
      </c>
    </row>
    <row r="3066">
      <c r="A3066" t="n">
        <v>3066</v>
      </c>
      <c r="B3066">
        <f>IF(INDEX('Data Entry'!$H$5:$BE$10004,3066-4,'Visual SPC'!$B$3)="",0,IF(AND(OR('Visual SPC'!$C$4="",'Data Entry'!$C3066&gt;='Visual SPC'!$C$4),OR('Visual SPC'!$E$4="",'Data Entry'!$C3066&lt;='Visual SPC'!$E$4),OR('Visual SPC'!$G$4="",'Data Entry'!$D3066='Visual SPC'!$G$4),OR('Visual SPC'!$I$4="",'Data Entry'!$E3066='Visual SPC'!$I$4),OR('Visual SPC'!$K$4="",'Data Entry'!$F3066='Visual SPC'!$K$4)),1,0))</f>
        <v/>
      </c>
      <c r="C3066">
        <f>C3065+B3066</f>
        <v/>
      </c>
      <c r="D3066">
        <f>IF(B3066=1,INDEX('Data Entry'!$H$5:$BE$10004,3066-4,'Visual SPC'!$B$3),"")</f>
        <v/>
      </c>
      <c r="E3066">
        <f>IF(B3066=1,D3066,E3065)</f>
        <v/>
      </c>
      <c r="F3066">
        <f>IF(AND(B3066=1,C3066&gt;1,E3065&lt;&gt;""),ABS(D3066-E3065),"")</f>
        <v/>
      </c>
    </row>
    <row r="3067">
      <c r="A3067" t="n">
        <v>3067</v>
      </c>
      <c r="B3067">
        <f>IF(INDEX('Data Entry'!$H$5:$BE$10004,3067-4,'Visual SPC'!$B$3)="",0,IF(AND(OR('Visual SPC'!$C$4="",'Data Entry'!$C3067&gt;='Visual SPC'!$C$4),OR('Visual SPC'!$E$4="",'Data Entry'!$C3067&lt;='Visual SPC'!$E$4),OR('Visual SPC'!$G$4="",'Data Entry'!$D3067='Visual SPC'!$G$4),OR('Visual SPC'!$I$4="",'Data Entry'!$E3067='Visual SPC'!$I$4),OR('Visual SPC'!$K$4="",'Data Entry'!$F3067='Visual SPC'!$K$4)),1,0))</f>
        <v/>
      </c>
      <c r="C3067">
        <f>C3066+B3067</f>
        <v/>
      </c>
      <c r="D3067">
        <f>IF(B3067=1,INDEX('Data Entry'!$H$5:$BE$10004,3067-4,'Visual SPC'!$B$3),"")</f>
        <v/>
      </c>
      <c r="E3067">
        <f>IF(B3067=1,D3067,E3066)</f>
        <v/>
      </c>
      <c r="F3067">
        <f>IF(AND(B3067=1,C3067&gt;1,E3066&lt;&gt;""),ABS(D3067-E3066),"")</f>
        <v/>
      </c>
    </row>
    <row r="3068">
      <c r="A3068" t="n">
        <v>3068</v>
      </c>
      <c r="B3068">
        <f>IF(INDEX('Data Entry'!$H$5:$BE$10004,3068-4,'Visual SPC'!$B$3)="",0,IF(AND(OR('Visual SPC'!$C$4="",'Data Entry'!$C3068&gt;='Visual SPC'!$C$4),OR('Visual SPC'!$E$4="",'Data Entry'!$C3068&lt;='Visual SPC'!$E$4),OR('Visual SPC'!$G$4="",'Data Entry'!$D3068='Visual SPC'!$G$4),OR('Visual SPC'!$I$4="",'Data Entry'!$E3068='Visual SPC'!$I$4),OR('Visual SPC'!$K$4="",'Data Entry'!$F3068='Visual SPC'!$K$4)),1,0))</f>
        <v/>
      </c>
      <c r="C3068">
        <f>C3067+B3068</f>
        <v/>
      </c>
      <c r="D3068">
        <f>IF(B3068=1,INDEX('Data Entry'!$H$5:$BE$10004,3068-4,'Visual SPC'!$B$3),"")</f>
        <v/>
      </c>
      <c r="E3068">
        <f>IF(B3068=1,D3068,E3067)</f>
        <v/>
      </c>
      <c r="F3068">
        <f>IF(AND(B3068=1,C3068&gt;1,E3067&lt;&gt;""),ABS(D3068-E3067),"")</f>
        <v/>
      </c>
    </row>
    <row r="3069">
      <c r="A3069" t="n">
        <v>3069</v>
      </c>
      <c r="B3069">
        <f>IF(INDEX('Data Entry'!$H$5:$BE$10004,3069-4,'Visual SPC'!$B$3)="",0,IF(AND(OR('Visual SPC'!$C$4="",'Data Entry'!$C3069&gt;='Visual SPC'!$C$4),OR('Visual SPC'!$E$4="",'Data Entry'!$C3069&lt;='Visual SPC'!$E$4),OR('Visual SPC'!$G$4="",'Data Entry'!$D3069='Visual SPC'!$G$4),OR('Visual SPC'!$I$4="",'Data Entry'!$E3069='Visual SPC'!$I$4),OR('Visual SPC'!$K$4="",'Data Entry'!$F3069='Visual SPC'!$K$4)),1,0))</f>
        <v/>
      </c>
      <c r="C3069">
        <f>C3068+B3069</f>
        <v/>
      </c>
      <c r="D3069">
        <f>IF(B3069=1,INDEX('Data Entry'!$H$5:$BE$10004,3069-4,'Visual SPC'!$B$3),"")</f>
        <v/>
      </c>
      <c r="E3069">
        <f>IF(B3069=1,D3069,E3068)</f>
        <v/>
      </c>
      <c r="F3069">
        <f>IF(AND(B3069=1,C3069&gt;1,E3068&lt;&gt;""),ABS(D3069-E3068),"")</f>
        <v/>
      </c>
    </row>
    <row r="3070">
      <c r="A3070" t="n">
        <v>3070</v>
      </c>
      <c r="B3070">
        <f>IF(INDEX('Data Entry'!$H$5:$BE$10004,3070-4,'Visual SPC'!$B$3)="",0,IF(AND(OR('Visual SPC'!$C$4="",'Data Entry'!$C3070&gt;='Visual SPC'!$C$4),OR('Visual SPC'!$E$4="",'Data Entry'!$C3070&lt;='Visual SPC'!$E$4),OR('Visual SPC'!$G$4="",'Data Entry'!$D3070='Visual SPC'!$G$4),OR('Visual SPC'!$I$4="",'Data Entry'!$E3070='Visual SPC'!$I$4),OR('Visual SPC'!$K$4="",'Data Entry'!$F3070='Visual SPC'!$K$4)),1,0))</f>
        <v/>
      </c>
      <c r="C3070">
        <f>C3069+B3070</f>
        <v/>
      </c>
      <c r="D3070">
        <f>IF(B3070=1,INDEX('Data Entry'!$H$5:$BE$10004,3070-4,'Visual SPC'!$B$3),"")</f>
        <v/>
      </c>
      <c r="E3070">
        <f>IF(B3070=1,D3070,E3069)</f>
        <v/>
      </c>
      <c r="F3070">
        <f>IF(AND(B3070=1,C3070&gt;1,E3069&lt;&gt;""),ABS(D3070-E3069),"")</f>
        <v/>
      </c>
    </row>
    <row r="3071">
      <c r="A3071" t="n">
        <v>3071</v>
      </c>
      <c r="B3071">
        <f>IF(INDEX('Data Entry'!$H$5:$BE$10004,3071-4,'Visual SPC'!$B$3)="",0,IF(AND(OR('Visual SPC'!$C$4="",'Data Entry'!$C3071&gt;='Visual SPC'!$C$4),OR('Visual SPC'!$E$4="",'Data Entry'!$C3071&lt;='Visual SPC'!$E$4),OR('Visual SPC'!$G$4="",'Data Entry'!$D3071='Visual SPC'!$G$4),OR('Visual SPC'!$I$4="",'Data Entry'!$E3071='Visual SPC'!$I$4),OR('Visual SPC'!$K$4="",'Data Entry'!$F3071='Visual SPC'!$K$4)),1,0))</f>
        <v/>
      </c>
      <c r="C3071">
        <f>C3070+B3071</f>
        <v/>
      </c>
      <c r="D3071">
        <f>IF(B3071=1,INDEX('Data Entry'!$H$5:$BE$10004,3071-4,'Visual SPC'!$B$3),"")</f>
        <v/>
      </c>
      <c r="E3071">
        <f>IF(B3071=1,D3071,E3070)</f>
        <v/>
      </c>
      <c r="F3071">
        <f>IF(AND(B3071=1,C3071&gt;1,E3070&lt;&gt;""),ABS(D3071-E3070),"")</f>
        <v/>
      </c>
    </row>
    <row r="3072">
      <c r="A3072" t="n">
        <v>3072</v>
      </c>
      <c r="B3072">
        <f>IF(INDEX('Data Entry'!$H$5:$BE$10004,3072-4,'Visual SPC'!$B$3)="",0,IF(AND(OR('Visual SPC'!$C$4="",'Data Entry'!$C3072&gt;='Visual SPC'!$C$4),OR('Visual SPC'!$E$4="",'Data Entry'!$C3072&lt;='Visual SPC'!$E$4),OR('Visual SPC'!$G$4="",'Data Entry'!$D3072='Visual SPC'!$G$4),OR('Visual SPC'!$I$4="",'Data Entry'!$E3072='Visual SPC'!$I$4),OR('Visual SPC'!$K$4="",'Data Entry'!$F3072='Visual SPC'!$K$4)),1,0))</f>
        <v/>
      </c>
      <c r="C3072">
        <f>C3071+B3072</f>
        <v/>
      </c>
      <c r="D3072">
        <f>IF(B3072=1,INDEX('Data Entry'!$H$5:$BE$10004,3072-4,'Visual SPC'!$B$3),"")</f>
        <v/>
      </c>
      <c r="E3072">
        <f>IF(B3072=1,D3072,E3071)</f>
        <v/>
      </c>
      <c r="F3072">
        <f>IF(AND(B3072=1,C3072&gt;1,E3071&lt;&gt;""),ABS(D3072-E3071),"")</f>
        <v/>
      </c>
    </row>
    <row r="3073">
      <c r="A3073" t="n">
        <v>3073</v>
      </c>
      <c r="B3073">
        <f>IF(INDEX('Data Entry'!$H$5:$BE$10004,3073-4,'Visual SPC'!$B$3)="",0,IF(AND(OR('Visual SPC'!$C$4="",'Data Entry'!$C3073&gt;='Visual SPC'!$C$4),OR('Visual SPC'!$E$4="",'Data Entry'!$C3073&lt;='Visual SPC'!$E$4),OR('Visual SPC'!$G$4="",'Data Entry'!$D3073='Visual SPC'!$G$4),OR('Visual SPC'!$I$4="",'Data Entry'!$E3073='Visual SPC'!$I$4),OR('Visual SPC'!$K$4="",'Data Entry'!$F3073='Visual SPC'!$K$4)),1,0))</f>
        <v/>
      </c>
      <c r="C3073">
        <f>C3072+B3073</f>
        <v/>
      </c>
      <c r="D3073">
        <f>IF(B3073=1,INDEX('Data Entry'!$H$5:$BE$10004,3073-4,'Visual SPC'!$B$3),"")</f>
        <v/>
      </c>
      <c r="E3073">
        <f>IF(B3073=1,D3073,E3072)</f>
        <v/>
      </c>
      <c r="F3073">
        <f>IF(AND(B3073=1,C3073&gt;1,E3072&lt;&gt;""),ABS(D3073-E3072),"")</f>
        <v/>
      </c>
    </row>
    <row r="3074">
      <c r="A3074" t="n">
        <v>3074</v>
      </c>
      <c r="B3074">
        <f>IF(INDEX('Data Entry'!$H$5:$BE$10004,3074-4,'Visual SPC'!$B$3)="",0,IF(AND(OR('Visual SPC'!$C$4="",'Data Entry'!$C3074&gt;='Visual SPC'!$C$4),OR('Visual SPC'!$E$4="",'Data Entry'!$C3074&lt;='Visual SPC'!$E$4),OR('Visual SPC'!$G$4="",'Data Entry'!$D3074='Visual SPC'!$G$4),OR('Visual SPC'!$I$4="",'Data Entry'!$E3074='Visual SPC'!$I$4),OR('Visual SPC'!$K$4="",'Data Entry'!$F3074='Visual SPC'!$K$4)),1,0))</f>
        <v/>
      </c>
      <c r="C3074">
        <f>C3073+B3074</f>
        <v/>
      </c>
      <c r="D3074">
        <f>IF(B3074=1,INDEX('Data Entry'!$H$5:$BE$10004,3074-4,'Visual SPC'!$B$3),"")</f>
        <v/>
      </c>
      <c r="E3074">
        <f>IF(B3074=1,D3074,E3073)</f>
        <v/>
      </c>
      <c r="F3074">
        <f>IF(AND(B3074=1,C3074&gt;1,E3073&lt;&gt;""),ABS(D3074-E3073),"")</f>
        <v/>
      </c>
    </row>
    <row r="3075">
      <c r="A3075" t="n">
        <v>3075</v>
      </c>
      <c r="B3075">
        <f>IF(INDEX('Data Entry'!$H$5:$BE$10004,3075-4,'Visual SPC'!$B$3)="",0,IF(AND(OR('Visual SPC'!$C$4="",'Data Entry'!$C3075&gt;='Visual SPC'!$C$4),OR('Visual SPC'!$E$4="",'Data Entry'!$C3075&lt;='Visual SPC'!$E$4),OR('Visual SPC'!$G$4="",'Data Entry'!$D3075='Visual SPC'!$G$4),OR('Visual SPC'!$I$4="",'Data Entry'!$E3075='Visual SPC'!$I$4),OR('Visual SPC'!$K$4="",'Data Entry'!$F3075='Visual SPC'!$K$4)),1,0))</f>
        <v/>
      </c>
      <c r="C3075">
        <f>C3074+B3075</f>
        <v/>
      </c>
      <c r="D3075">
        <f>IF(B3075=1,INDEX('Data Entry'!$H$5:$BE$10004,3075-4,'Visual SPC'!$B$3),"")</f>
        <v/>
      </c>
      <c r="E3075">
        <f>IF(B3075=1,D3075,E3074)</f>
        <v/>
      </c>
      <c r="F3075">
        <f>IF(AND(B3075=1,C3075&gt;1,E3074&lt;&gt;""),ABS(D3075-E3074),"")</f>
        <v/>
      </c>
    </row>
    <row r="3076">
      <c r="A3076" t="n">
        <v>3076</v>
      </c>
      <c r="B3076">
        <f>IF(INDEX('Data Entry'!$H$5:$BE$10004,3076-4,'Visual SPC'!$B$3)="",0,IF(AND(OR('Visual SPC'!$C$4="",'Data Entry'!$C3076&gt;='Visual SPC'!$C$4),OR('Visual SPC'!$E$4="",'Data Entry'!$C3076&lt;='Visual SPC'!$E$4),OR('Visual SPC'!$G$4="",'Data Entry'!$D3076='Visual SPC'!$G$4),OR('Visual SPC'!$I$4="",'Data Entry'!$E3076='Visual SPC'!$I$4),OR('Visual SPC'!$K$4="",'Data Entry'!$F3076='Visual SPC'!$K$4)),1,0))</f>
        <v/>
      </c>
      <c r="C3076">
        <f>C3075+B3076</f>
        <v/>
      </c>
      <c r="D3076">
        <f>IF(B3076=1,INDEX('Data Entry'!$H$5:$BE$10004,3076-4,'Visual SPC'!$B$3),"")</f>
        <v/>
      </c>
      <c r="E3076">
        <f>IF(B3076=1,D3076,E3075)</f>
        <v/>
      </c>
      <c r="F3076">
        <f>IF(AND(B3076=1,C3076&gt;1,E3075&lt;&gt;""),ABS(D3076-E3075),"")</f>
        <v/>
      </c>
    </row>
    <row r="3077">
      <c r="A3077" t="n">
        <v>3077</v>
      </c>
      <c r="B3077">
        <f>IF(INDEX('Data Entry'!$H$5:$BE$10004,3077-4,'Visual SPC'!$B$3)="",0,IF(AND(OR('Visual SPC'!$C$4="",'Data Entry'!$C3077&gt;='Visual SPC'!$C$4),OR('Visual SPC'!$E$4="",'Data Entry'!$C3077&lt;='Visual SPC'!$E$4),OR('Visual SPC'!$G$4="",'Data Entry'!$D3077='Visual SPC'!$G$4),OR('Visual SPC'!$I$4="",'Data Entry'!$E3077='Visual SPC'!$I$4),OR('Visual SPC'!$K$4="",'Data Entry'!$F3077='Visual SPC'!$K$4)),1,0))</f>
        <v/>
      </c>
      <c r="C3077">
        <f>C3076+B3077</f>
        <v/>
      </c>
      <c r="D3077">
        <f>IF(B3077=1,INDEX('Data Entry'!$H$5:$BE$10004,3077-4,'Visual SPC'!$B$3),"")</f>
        <v/>
      </c>
      <c r="E3077">
        <f>IF(B3077=1,D3077,E3076)</f>
        <v/>
      </c>
      <c r="F3077">
        <f>IF(AND(B3077=1,C3077&gt;1,E3076&lt;&gt;""),ABS(D3077-E3076),"")</f>
        <v/>
      </c>
    </row>
    <row r="3078">
      <c r="A3078" t="n">
        <v>3078</v>
      </c>
      <c r="B3078">
        <f>IF(INDEX('Data Entry'!$H$5:$BE$10004,3078-4,'Visual SPC'!$B$3)="",0,IF(AND(OR('Visual SPC'!$C$4="",'Data Entry'!$C3078&gt;='Visual SPC'!$C$4),OR('Visual SPC'!$E$4="",'Data Entry'!$C3078&lt;='Visual SPC'!$E$4),OR('Visual SPC'!$G$4="",'Data Entry'!$D3078='Visual SPC'!$G$4),OR('Visual SPC'!$I$4="",'Data Entry'!$E3078='Visual SPC'!$I$4),OR('Visual SPC'!$K$4="",'Data Entry'!$F3078='Visual SPC'!$K$4)),1,0))</f>
        <v/>
      </c>
      <c r="C3078">
        <f>C3077+B3078</f>
        <v/>
      </c>
      <c r="D3078">
        <f>IF(B3078=1,INDEX('Data Entry'!$H$5:$BE$10004,3078-4,'Visual SPC'!$B$3),"")</f>
        <v/>
      </c>
      <c r="E3078">
        <f>IF(B3078=1,D3078,E3077)</f>
        <v/>
      </c>
      <c r="F3078">
        <f>IF(AND(B3078=1,C3078&gt;1,E3077&lt;&gt;""),ABS(D3078-E3077),"")</f>
        <v/>
      </c>
    </row>
    <row r="3079">
      <c r="A3079" t="n">
        <v>3079</v>
      </c>
      <c r="B3079">
        <f>IF(INDEX('Data Entry'!$H$5:$BE$10004,3079-4,'Visual SPC'!$B$3)="",0,IF(AND(OR('Visual SPC'!$C$4="",'Data Entry'!$C3079&gt;='Visual SPC'!$C$4),OR('Visual SPC'!$E$4="",'Data Entry'!$C3079&lt;='Visual SPC'!$E$4),OR('Visual SPC'!$G$4="",'Data Entry'!$D3079='Visual SPC'!$G$4),OR('Visual SPC'!$I$4="",'Data Entry'!$E3079='Visual SPC'!$I$4),OR('Visual SPC'!$K$4="",'Data Entry'!$F3079='Visual SPC'!$K$4)),1,0))</f>
        <v/>
      </c>
      <c r="C3079">
        <f>C3078+B3079</f>
        <v/>
      </c>
      <c r="D3079">
        <f>IF(B3079=1,INDEX('Data Entry'!$H$5:$BE$10004,3079-4,'Visual SPC'!$B$3),"")</f>
        <v/>
      </c>
      <c r="E3079">
        <f>IF(B3079=1,D3079,E3078)</f>
        <v/>
      </c>
      <c r="F3079">
        <f>IF(AND(B3079=1,C3079&gt;1,E3078&lt;&gt;""),ABS(D3079-E3078),"")</f>
        <v/>
      </c>
    </row>
    <row r="3080">
      <c r="A3080" t="n">
        <v>3080</v>
      </c>
      <c r="B3080">
        <f>IF(INDEX('Data Entry'!$H$5:$BE$10004,3080-4,'Visual SPC'!$B$3)="",0,IF(AND(OR('Visual SPC'!$C$4="",'Data Entry'!$C3080&gt;='Visual SPC'!$C$4),OR('Visual SPC'!$E$4="",'Data Entry'!$C3080&lt;='Visual SPC'!$E$4),OR('Visual SPC'!$G$4="",'Data Entry'!$D3080='Visual SPC'!$G$4),OR('Visual SPC'!$I$4="",'Data Entry'!$E3080='Visual SPC'!$I$4),OR('Visual SPC'!$K$4="",'Data Entry'!$F3080='Visual SPC'!$K$4)),1,0))</f>
        <v/>
      </c>
      <c r="C3080">
        <f>C3079+B3080</f>
        <v/>
      </c>
      <c r="D3080">
        <f>IF(B3080=1,INDEX('Data Entry'!$H$5:$BE$10004,3080-4,'Visual SPC'!$B$3),"")</f>
        <v/>
      </c>
      <c r="E3080">
        <f>IF(B3080=1,D3080,E3079)</f>
        <v/>
      </c>
      <c r="F3080">
        <f>IF(AND(B3080=1,C3080&gt;1,E3079&lt;&gt;""),ABS(D3080-E3079),"")</f>
        <v/>
      </c>
    </row>
    <row r="3081">
      <c r="A3081" t="n">
        <v>3081</v>
      </c>
      <c r="B3081">
        <f>IF(INDEX('Data Entry'!$H$5:$BE$10004,3081-4,'Visual SPC'!$B$3)="",0,IF(AND(OR('Visual SPC'!$C$4="",'Data Entry'!$C3081&gt;='Visual SPC'!$C$4),OR('Visual SPC'!$E$4="",'Data Entry'!$C3081&lt;='Visual SPC'!$E$4),OR('Visual SPC'!$G$4="",'Data Entry'!$D3081='Visual SPC'!$G$4),OR('Visual SPC'!$I$4="",'Data Entry'!$E3081='Visual SPC'!$I$4),OR('Visual SPC'!$K$4="",'Data Entry'!$F3081='Visual SPC'!$K$4)),1,0))</f>
        <v/>
      </c>
      <c r="C3081">
        <f>C3080+B3081</f>
        <v/>
      </c>
      <c r="D3081">
        <f>IF(B3081=1,INDEX('Data Entry'!$H$5:$BE$10004,3081-4,'Visual SPC'!$B$3),"")</f>
        <v/>
      </c>
      <c r="E3081">
        <f>IF(B3081=1,D3081,E3080)</f>
        <v/>
      </c>
      <c r="F3081">
        <f>IF(AND(B3081=1,C3081&gt;1,E3080&lt;&gt;""),ABS(D3081-E3080),"")</f>
        <v/>
      </c>
    </row>
    <row r="3082">
      <c r="A3082" t="n">
        <v>3082</v>
      </c>
      <c r="B3082">
        <f>IF(INDEX('Data Entry'!$H$5:$BE$10004,3082-4,'Visual SPC'!$B$3)="",0,IF(AND(OR('Visual SPC'!$C$4="",'Data Entry'!$C3082&gt;='Visual SPC'!$C$4),OR('Visual SPC'!$E$4="",'Data Entry'!$C3082&lt;='Visual SPC'!$E$4),OR('Visual SPC'!$G$4="",'Data Entry'!$D3082='Visual SPC'!$G$4),OR('Visual SPC'!$I$4="",'Data Entry'!$E3082='Visual SPC'!$I$4),OR('Visual SPC'!$K$4="",'Data Entry'!$F3082='Visual SPC'!$K$4)),1,0))</f>
        <v/>
      </c>
      <c r="C3082">
        <f>C3081+B3082</f>
        <v/>
      </c>
      <c r="D3082">
        <f>IF(B3082=1,INDEX('Data Entry'!$H$5:$BE$10004,3082-4,'Visual SPC'!$B$3),"")</f>
        <v/>
      </c>
      <c r="E3082">
        <f>IF(B3082=1,D3082,E3081)</f>
        <v/>
      </c>
      <c r="F3082">
        <f>IF(AND(B3082=1,C3082&gt;1,E3081&lt;&gt;""),ABS(D3082-E3081),"")</f>
        <v/>
      </c>
    </row>
    <row r="3083">
      <c r="A3083" t="n">
        <v>3083</v>
      </c>
      <c r="B3083">
        <f>IF(INDEX('Data Entry'!$H$5:$BE$10004,3083-4,'Visual SPC'!$B$3)="",0,IF(AND(OR('Visual SPC'!$C$4="",'Data Entry'!$C3083&gt;='Visual SPC'!$C$4),OR('Visual SPC'!$E$4="",'Data Entry'!$C3083&lt;='Visual SPC'!$E$4),OR('Visual SPC'!$G$4="",'Data Entry'!$D3083='Visual SPC'!$G$4),OR('Visual SPC'!$I$4="",'Data Entry'!$E3083='Visual SPC'!$I$4),OR('Visual SPC'!$K$4="",'Data Entry'!$F3083='Visual SPC'!$K$4)),1,0))</f>
        <v/>
      </c>
      <c r="C3083">
        <f>C3082+B3083</f>
        <v/>
      </c>
      <c r="D3083">
        <f>IF(B3083=1,INDEX('Data Entry'!$H$5:$BE$10004,3083-4,'Visual SPC'!$B$3),"")</f>
        <v/>
      </c>
      <c r="E3083">
        <f>IF(B3083=1,D3083,E3082)</f>
        <v/>
      </c>
      <c r="F3083">
        <f>IF(AND(B3083=1,C3083&gt;1,E3082&lt;&gt;""),ABS(D3083-E3082),"")</f>
        <v/>
      </c>
    </row>
    <row r="3084">
      <c r="A3084" t="n">
        <v>3084</v>
      </c>
      <c r="B3084">
        <f>IF(INDEX('Data Entry'!$H$5:$BE$10004,3084-4,'Visual SPC'!$B$3)="",0,IF(AND(OR('Visual SPC'!$C$4="",'Data Entry'!$C3084&gt;='Visual SPC'!$C$4),OR('Visual SPC'!$E$4="",'Data Entry'!$C3084&lt;='Visual SPC'!$E$4),OR('Visual SPC'!$G$4="",'Data Entry'!$D3084='Visual SPC'!$G$4),OR('Visual SPC'!$I$4="",'Data Entry'!$E3084='Visual SPC'!$I$4),OR('Visual SPC'!$K$4="",'Data Entry'!$F3084='Visual SPC'!$K$4)),1,0))</f>
        <v/>
      </c>
      <c r="C3084">
        <f>C3083+B3084</f>
        <v/>
      </c>
      <c r="D3084">
        <f>IF(B3084=1,INDEX('Data Entry'!$H$5:$BE$10004,3084-4,'Visual SPC'!$B$3),"")</f>
        <v/>
      </c>
      <c r="E3084">
        <f>IF(B3084=1,D3084,E3083)</f>
        <v/>
      </c>
      <c r="F3084">
        <f>IF(AND(B3084=1,C3084&gt;1,E3083&lt;&gt;""),ABS(D3084-E3083),"")</f>
        <v/>
      </c>
    </row>
    <row r="3085">
      <c r="A3085" t="n">
        <v>3085</v>
      </c>
      <c r="B3085">
        <f>IF(INDEX('Data Entry'!$H$5:$BE$10004,3085-4,'Visual SPC'!$B$3)="",0,IF(AND(OR('Visual SPC'!$C$4="",'Data Entry'!$C3085&gt;='Visual SPC'!$C$4),OR('Visual SPC'!$E$4="",'Data Entry'!$C3085&lt;='Visual SPC'!$E$4),OR('Visual SPC'!$G$4="",'Data Entry'!$D3085='Visual SPC'!$G$4),OR('Visual SPC'!$I$4="",'Data Entry'!$E3085='Visual SPC'!$I$4),OR('Visual SPC'!$K$4="",'Data Entry'!$F3085='Visual SPC'!$K$4)),1,0))</f>
        <v/>
      </c>
      <c r="C3085">
        <f>C3084+B3085</f>
        <v/>
      </c>
      <c r="D3085">
        <f>IF(B3085=1,INDEX('Data Entry'!$H$5:$BE$10004,3085-4,'Visual SPC'!$B$3),"")</f>
        <v/>
      </c>
      <c r="E3085">
        <f>IF(B3085=1,D3085,E3084)</f>
        <v/>
      </c>
      <c r="F3085">
        <f>IF(AND(B3085=1,C3085&gt;1,E3084&lt;&gt;""),ABS(D3085-E3084),"")</f>
        <v/>
      </c>
    </row>
    <row r="3086">
      <c r="A3086" t="n">
        <v>3086</v>
      </c>
      <c r="B3086">
        <f>IF(INDEX('Data Entry'!$H$5:$BE$10004,3086-4,'Visual SPC'!$B$3)="",0,IF(AND(OR('Visual SPC'!$C$4="",'Data Entry'!$C3086&gt;='Visual SPC'!$C$4),OR('Visual SPC'!$E$4="",'Data Entry'!$C3086&lt;='Visual SPC'!$E$4),OR('Visual SPC'!$G$4="",'Data Entry'!$D3086='Visual SPC'!$G$4),OR('Visual SPC'!$I$4="",'Data Entry'!$E3086='Visual SPC'!$I$4),OR('Visual SPC'!$K$4="",'Data Entry'!$F3086='Visual SPC'!$K$4)),1,0))</f>
        <v/>
      </c>
      <c r="C3086">
        <f>C3085+B3086</f>
        <v/>
      </c>
      <c r="D3086">
        <f>IF(B3086=1,INDEX('Data Entry'!$H$5:$BE$10004,3086-4,'Visual SPC'!$B$3),"")</f>
        <v/>
      </c>
      <c r="E3086">
        <f>IF(B3086=1,D3086,E3085)</f>
        <v/>
      </c>
      <c r="F3086">
        <f>IF(AND(B3086=1,C3086&gt;1,E3085&lt;&gt;""),ABS(D3086-E3085),"")</f>
        <v/>
      </c>
    </row>
    <row r="3087">
      <c r="A3087" t="n">
        <v>3087</v>
      </c>
      <c r="B3087">
        <f>IF(INDEX('Data Entry'!$H$5:$BE$10004,3087-4,'Visual SPC'!$B$3)="",0,IF(AND(OR('Visual SPC'!$C$4="",'Data Entry'!$C3087&gt;='Visual SPC'!$C$4),OR('Visual SPC'!$E$4="",'Data Entry'!$C3087&lt;='Visual SPC'!$E$4),OR('Visual SPC'!$G$4="",'Data Entry'!$D3087='Visual SPC'!$G$4),OR('Visual SPC'!$I$4="",'Data Entry'!$E3087='Visual SPC'!$I$4),OR('Visual SPC'!$K$4="",'Data Entry'!$F3087='Visual SPC'!$K$4)),1,0))</f>
        <v/>
      </c>
      <c r="C3087">
        <f>C3086+B3087</f>
        <v/>
      </c>
      <c r="D3087">
        <f>IF(B3087=1,INDEX('Data Entry'!$H$5:$BE$10004,3087-4,'Visual SPC'!$B$3),"")</f>
        <v/>
      </c>
      <c r="E3087">
        <f>IF(B3087=1,D3087,E3086)</f>
        <v/>
      </c>
      <c r="F3087">
        <f>IF(AND(B3087=1,C3087&gt;1,E3086&lt;&gt;""),ABS(D3087-E3086),"")</f>
        <v/>
      </c>
    </row>
    <row r="3088">
      <c r="A3088" t="n">
        <v>3088</v>
      </c>
      <c r="B3088">
        <f>IF(INDEX('Data Entry'!$H$5:$BE$10004,3088-4,'Visual SPC'!$B$3)="",0,IF(AND(OR('Visual SPC'!$C$4="",'Data Entry'!$C3088&gt;='Visual SPC'!$C$4),OR('Visual SPC'!$E$4="",'Data Entry'!$C3088&lt;='Visual SPC'!$E$4),OR('Visual SPC'!$G$4="",'Data Entry'!$D3088='Visual SPC'!$G$4),OR('Visual SPC'!$I$4="",'Data Entry'!$E3088='Visual SPC'!$I$4),OR('Visual SPC'!$K$4="",'Data Entry'!$F3088='Visual SPC'!$K$4)),1,0))</f>
        <v/>
      </c>
      <c r="C3088">
        <f>C3087+B3088</f>
        <v/>
      </c>
      <c r="D3088">
        <f>IF(B3088=1,INDEX('Data Entry'!$H$5:$BE$10004,3088-4,'Visual SPC'!$B$3),"")</f>
        <v/>
      </c>
      <c r="E3088">
        <f>IF(B3088=1,D3088,E3087)</f>
        <v/>
      </c>
      <c r="F3088">
        <f>IF(AND(B3088=1,C3088&gt;1,E3087&lt;&gt;""),ABS(D3088-E3087),"")</f>
        <v/>
      </c>
    </row>
    <row r="3089">
      <c r="A3089" t="n">
        <v>3089</v>
      </c>
      <c r="B3089">
        <f>IF(INDEX('Data Entry'!$H$5:$BE$10004,3089-4,'Visual SPC'!$B$3)="",0,IF(AND(OR('Visual SPC'!$C$4="",'Data Entry'!$C3089&gt;='Visual SPC'!$C$4),OR('Visual SPC'!$E$4="",'Data Entry'!$C3089&lt;='Visual SPC'!$E$4),OR('Visual SPC'!$G$4="",'Data Entry'!$D3089='Visual SPC'!$G$4),OR('Visual SPC'!$I$4="",'Data Entry'!$E3089='Visual SPC'!$I$4),OR('Visual SPC'!$K$4="",'Data Entry'!$F3089='Visual SPC'!$K$4)),1,0))</f>
        <v/>
      </c>
      <c r="C3089">
        <f>C3088+B3089</f>
        <v/>
      </c>
      <c r="D3089">
        <f>IF(B3089=1,INDEX('Data Entry'!$H$5:$BE$10004,3089-4,'Visual SPC'!$B$3),"")</f>
        <v/>
      </c>
      <c r="E3089">
        <f>IF(B3089=1,D3089,E3088)</f>
        <v/>
      </c>
      <c r="F3089">
        <f>IF(AND(B3089=1,C3089&gt;1,E3088&lt;&gt;""),ABS(D3089-E3088),"")</f>
        <v/>
      </c>
    </row>
    <row r="3090">
      <c r="A3090" t="n">
        <v>3090</v>
      </c>
      <c r="B3090">
        <f>IF(INDEX('Data Entry'!$H$5:$BE$10004,3090-4,'Visual SPC'!$B$3)="",0,IF(AND(OR('Visual SPC'!$C$4="",'Data Entry'!$C3090&gt;='Visual SPC'!$C$4),OR('Visual SPC'!$E$4="",'Data Entry'!$C3090&lt;='Visual SPC'!$E$4),OR('Visual SPC'!$G$4="",'Data Entry'!$D3090='Visual SPC'!$G$4),OR('Visual SPC'!$I$4="",'Data Entry'!$E3090='Visual SPC'!$I$4),OR('Visual SPC'!$K$4="",'Data Entry'!$F3090='Visual SPC'!$K$4)),1,0))</f>
        <v/>
      </c>
      <c r="C3090">
        <f>C3089+B3090</f>
        <v/>
      </c>
      <c r="D3090">
        <f>IF(B3090=1,INDEX('Data Entry'!$H$5:$BE$10004,3090-4,'Visual SPC'!$B$3),"")</f>
        <v/>
      </c>
      <c r="E3090">
        <f>IF(B3090=1,D3090,E3089)</f>
        <v/>
      </c>
      <c r="F3090">
        <f>IF(AND(B3090=1,C3090&gt;1,E3089&lt;&gt;""),ABS(D3090-E3089),"")</f>
        <v/>
      </c>
    </row>
    <row r="3091">
      <c r="A3091" t="n">
        <v>3091</v>
      </c>
      <c r="B3091">
        <f>IF(INDEX('Data Entry'!$H$5:$BE$10004,3091-4,'Visual SPC'!$B$3)="",0,IF(AND(OR('Visual SPC'!$C$4="",'Data Entry'!$C3091&gt;='Visual SPC'!$C$4),OR('Visual SPC'!$E$4="",'Data Entry'!$C3091&lt;='Visual SPC'!$E$4),OR('Visual SPC'!$G$4="",'Data Entry'!$D3091='Visual SPC'!$G$4),OR('Visual SPC'!$I$4="",'Data Entry'!$E3091='Visual SPC'!$I$4),OR('Visual SPC'!$K$4="",'Data Entry'!$F3091='Visual SPC'!$K$4)),1,0))</f>
        <v/>
      </c>
      <c r="C3091">
        <f>C3090+B3091</f>
        <v/>
      </c>
      <c r="D3091">
        <f>IF(B3091=1,INDEX('Data Entry'!$H$5:$BE$10004,3091-4,'Visual SPC'!$B$3),"")</f>
        <v/>
      </c>
      <c r="E3091">
        <f>IF(B3091=1,D3091,E3090)</f>
        <v/>
      </c>
      <c r="F3091">
        <f>IF(AND(B3091=1,C3091&gt;1,E3090&lt;&gt;""),ABS(D3091-E3090),"")</f>
        <v/>
      </c>
    </row>
    <row r="3092">
      <c r="A3092" t="n">
        <v>3092</v>
      </c>
      <c r="B3092">
        <f>IF(INDEX('Data Entry'!$H$5:$BE$10004,3092-4,'Visual SPC'!$B$3)="",0,IF(AND(OR('Visual SPC'!$C$4="",'Data Entry'!$C3092&gt;='Visual SPC'!$C$4),OR('Visual SPC'!$E$4="",'Data Entry'!$C3092&lt;='Visual SPC'!$E$4),OR('Visual SPC'!$G$4="",'Data Entry'!$D3092='Visual SPC'!$G$4),OR('Visual SPC'!$I$4="",'Data Entry'!$E3092='Visual SPC'!$I$4),OR('Visual SPC'!$K$4="",'Data Entry'!$F3092='Visual SPC'!$K$4)),1,0))</f>
        <v/>
      </c>
      <c r="C3092">
        <f>C3091+B3092</f>
        <v/>
      </c>
      <c r="D3092">
        <f>IF(B3092=1,INDEX('Data Entry'!$H$5:$BE$10004,3092-4,'Visual SPC'!$B$3),"")</f>
        <v/>
      </c>
      <c r="E3092">
        <f>IF(B3092=1,D3092,E3091)</f>
        <v/>
      </c>
      <c r="F3092">
        <f>IF(AND(B3092=1,C3092&gt;1,E3091&lt;&gt;""),ABS(D3092-E3091),"")</f>
        <v/>
      </c>
    </row>
    <row r="3093">
      <c r="A3093" t="n">
        <v>3093</v>
      </c>
      <c r="B3093">
        <f>IF(INDEX('Data Entry'!$H$5:$BE$10004,3093-4,'Visual SPC'!$B$3)="",0,IF(AND(OR('Visual SPC'!$C$4="",'Data Entry'!$C3093&gt;='Visual SPC'!$C$4),OR('Visual SPC'!$E$4="",'Data Entry'!$C3093&lt;='Visual SPC'!$E$4),OR('Visual SPC'!$G$4="",'Data Entry'!$D3093='Visual SPC'!$G$4),OR('Visual SPC'!$I$4="",'Data Entry'!$E3093='Visual SPC'!$I$4),OR('Visual SPC'!$K$4="",'Data Entry'!$F3093='Visual SPC'!$K$4)),1,0))</f>
        <v/>
      </c>
      <c r="C3093">
        <f>C3092+B3093</f>
        <v/>
      </c>
      <c r="D3093">
        <f>IF(B3093=1,INDEX('Data Entry'!$H$5:$BE$10004,3093-4,'Visual SPC'!$B$3),"")</f>
        <v/>
      </c>
      <c r="E3093">
        <f>IF(B3093=1,D3093,E3092)</f>
        <v/>
      </c>
      <c r="F3093">
        <f>IF(AND(B3093=1,C3093&gt;1,E3092&lt;&gt;""),ABS(D3093-E3092),"")</f>
        <v/>
      </c>
    </row>
    <row r="3094">
      <c r="A3094" t="n">
        <v>3094</v>
      </c>
      <c r="B3094">
        <f>IF(INDEX('Data Entry'!$H$5:$BE$10004,3094-4,'Visual SPC'!$B$3)="",0,IF(AND(OR('Visual SPC'!$C$4="",'Data Entry'!$C3094&gt;='Visual SPC'!$C$4),OR('Visual SPC'!$E$4="",'Data Entry'!$C3094&lt;='Visual SPC'!$E$4),OR('Visual SPC'!$G$4="",'Data Entry'!$D3094='Visual SPC'!$G$4),OR('Visual SPC'!$I$4="",'Data Entry'!$E3094='Visual SPC'!$I$4),OR('Visual SPC'!$K$4="",'Data Entry'!$F3094='Visual SPC'!$K$4)),1,0))</f>
        <v/>
      </c>
      <c r="C3094">
        <f>C3093+B3094</f>
        <v/>
      </c>
      <c r="D3094">
        <f>IF(B3094=1,INDEX('Data Entry'!$H$5:$BE$10004,3094-4,'Visual SPC'!$B$3),"")</f>
        <v/>
      </c>
      <c r="E3094">
        <f>IF(B3094=1,D3094,E3093)</f>
        <v/>
      </c>
      <c r="F3094">
        <f>IF(AND(B3094=1,C3094&gt;1,E3093&lt;&gt;""),ABS(D3094-E3093),"")</f>
        <v/>
      </c>
    </row>
    <row r="3095">
      <c r="A3095" t="n">
        <v>3095</v>
      </c>
      <c r="B3095">
        <f>IF(INDEX('Data Entry'!$H$5:$BE$10004,3095-4,'Visual SPC'!$B$3)="",0,IF(AND(OR('Visual SPC'!$C$4="",'Data Entry'!$C3095&gt;='Visual SPC'!$C$4),OR('Visual SPC'!$E$4="",'Data Entry'!$C3095&lt;='Visual SPC'!$E$4),OR('Visual SPC'!$G$4="",'Data Entry'!$D3095='Visual SPC'!$G$4),OR('Visual SPC'!$I$4="",'Data Entry'!$E3095='Visual SPC'!$I$4),OR('Visual SPC'!$K$4="",'Data Entry'!$F3095='Visual SPC'!$K$4)),1,0))</f>
        <v/>
      </c>
      <c r="C3095">
        <f>C3094+B3095</f>
        <v/>
      </c>
      <c r="D3095">
        <f>IF(B3095=1,INDEX('Data Entry'!$H$5:$BE$10004,3095-4,'Visual SPC'!$B$3),"")</f>
        <v/>
      </c>
      <c r="E3095">
        <f>IF(B3095=1,D3095,E3094)</f>
        <v/>
      </c>
      <c r="F3095">
        <f>IF(AND(B3095=1,C3095&gt;1,E3094&lt;&gt;""),ABS(D3095-E3094),"")</f>
        <v/>
      </c>
    </row>
    <row r="3096">
      <c r="A3096" t="n">
        <v>3096</v>
      </c>
      <c r="B3096">
        <f>IF(INDEX('Data Entry'!$H$5:$BE$10004,3096-4,'Visual SPC'!$B$3)="",0,IF(AND(OR('Visual SPC'!$C$4="",'Data Entry'!$C3096&gt;='Visual SPC'!$C$4),OR('Visual SPC'!$E$4="",'Data Entry'!$C3096&lt;='Visual SPC'!$E$4),OR('Visual SPC'!$G$4="",'Data Entry'!$D3096='Visual SPC'!$G$4),OR('Visual SPC'!$I$4="",'Data Entry'!$E3096='Visual SPC'!$I$4),OR('Visual SPC'!$K$4="",'Data Entry'!$F3096='Visual SPC'!$K$4)),1,0))</f>
        <v/>
      </c>
      <c r="C3096">
        <f>C3095+B3096</f>
        <v/>
      </c>
      <c r="D3096">
        <f>IF(B3096=1,INDEX('Data Entry'!$H$5:$BE$10004,3096-4,'Visual SPC'!$B$3),"")</f>
        <v/>
      </c>
      <c r="E3096">
        <f>IF(B3096=1,D3096,E3095)</f>
        <v/>
      </c>
      <c r="F3096">
        <f>IF(AND(B3096=1,C3096&gt;1,E3095&lt;&gt;""),ABS(D3096-E3095),"")</f>
        <v/>
      </c>
    </row>
    <row r="3097">
      <c r="A3097" t="n">
        <v>3097</v>
      </c>
      <c r="B3097">
        <f>IF(INDEX('Data Entry'!$H$5:$BE$10004,3097-4,'Visual SPC'!$B$3)="",0,IF(AND(OR('Visual SPC'!$C$4="",'Data Entry'!$C3097&gt;='Visual SPC'!$C$4),OR('Visual SPC'!$E$4="",'Data Entry'!$C3097&lt;='Visual SPC'!$E$4),OR('Visual SPC'!$G$4="",'Data Entry'!$D3097='Visual SPC'!$G$4),OR('Visual SPC'!$I$4="",'Data Entry'!$E3097='Visual SPC'!$I$4),OR('Visual SPC'!$K$4="",'Data Entry'!$F3097='Visual SPC'!$K$4)),1,0))</f>
        <v/>
      </c>
      <c r="C3097">
        <f>C3096+B3097</f>
        <v/>
      </c>
      <c r="D3097">
        <f>IF(B3097=1,INDEX('Data Entry'!$H$5:$BE$10004,3097-4,'Visual SPC'!$B$3),"")</f>
        <v/>
      </c>
      <c r="E3097">
        <f>IF(B3097=1,D3097,E3096)</f>
        <v/>
      </c>
      <c r="F3097">
        <f>IF(AND(B3097=1,C3097&gt;1,E3096&lt;&gt;""),ABS(D3097-E3096),"")</f>
        <v/>
      </c>
    </row>
    <row r="3098">
      <c r="A3098" t="n">
        <v>3098</v>
      </c>
      <c r="B3098">
        <f>IF(INDEX('Data Entry'!$H$5:$BE$10004,3098-4,'Visual SPC'!$B$3)="",0,IF(AND(OR('Visual SPC'!$C$4="",'Data Entry'!$C3098&gt;='Visual SPC'!$C$4),OR('Visual SPC'!$E$4="",'Data Entry'!$C3098&lt;='Visual SPC'!$E$4),OR('Visual SPC'!$G$4="",'Data Entry'!$D3098='Visual SPC'!$G$4),OR('Visual SPC'!$I$4="",'Data Entry'!$E3098='Visual SPC'!$I$4),OR('Visual SPC'!$K$4="",'Data Entry'!$F3098='Visual SPC'!$K$4)),1,0))</f>
        <v/>
      </c>
      <c r="C3098">
        <f>C3097+B3098</f>
        <v/>
      </c>
      <c r="D3098">
        <f>IF(B3098=1,INDEX('Data Entry'!$H$5:$BE$10004,3098-4,'Visual SPC'!$B$3),"")</f>
        <v/>
      </c>
      <c r="E3098">
        <f>IF(B3098=1,D3098,E3097)</f>
        <v/>
      </c>
      <c r="F3098">
        <f>IF(AND(B3098=1,C3098&gt;1,E3097&lt;&gt;""),ABS(D3098-E3097),"")</f>
        <v/>
      </c>
    </row>
    <row r="3099">
      <c r="A3099" t="n">
        <v>3099</v>
      </c>
      <c r="B3099">
        <f>IF(INDEX('Data Entry'!$H$5:$BE$10004,3099-4,'Visual SPC'!$B$3)="",0,IF(AND(OR('Visual SPC'!$C$4="",'Data Entry'!$C3099&gt;='Visual SPC'!$C$4),OR('Visual SPC'!$E$4="",'Data Entry'!$C3099&lt;='Visual SPC'!$E$4),OR('Visual SPC'!$G$4="",'Data Entry'!$D3099='Visual SPC'!$G$4),OR('Visual SPC'!$I$4="",'Data Entry'!$E3099='Visual SPC'!$I$4),OR('Visual SPC'!$K$4="",'Data Entry'!$F3099='Visual SPC'!$K$4)),1,0))</f>
        <v/>
      </c>
      <c r="C3099">
        <f>C3098+B3099</f>
        <v/>
      </c>
      <c r="D3099">
        <f>IF(B3099=1,INDEX('Data Entry'!$H$5:$BE$10004,3099-4,'Visual SPC'!$B$3),"")</f>
        <v/>
      </c>
      <c r="E3099">
        <f>IF(B3099=1,D3099,E3098)</f>
        <v/>
      </c>
      <c r="F3099">
        <f>IF(AND(B3099=1,C3099&gt;1,E3098&lt;&gt;""),ABS(D3099-E3098),"")</f>
        <v/>
      </c>
    </row>
    <row r="3100">
      <c r="A3100" t="n">
        <v>3100</v>
      </c>
      <c r="B3100">
        <f>IF(INDEX('Data Entry'!$H$5:$BE$10004,3100-4,'Visual SPC'!$B$3)="",0,IF(AND(OR('Visual SPC'!$C$4="",'Data Entry'!$C3100&gt;='Visual SPC'!$C$4),OR('Visual SPC'!$E$4="",'Data Entry'!$C3100&lt;='Visual SPC'!$E$4),OR('Visual SPC'!$G$4="",'Data Entry'!$D3100='Visual SPC'!$G$4),OR('Visual SPC'!$I$4="",'Data Entry'!$E3100='Visual SPC'!$I$4),OR('Visual SPC'!$K$4="",'Data Entry'!$F3100='Visual SPC'!$K$4)),1,0))</f>
        <v/>
      </c>
      <c r="C3100">
        <f>C3099+B3100</f>
        <v/>
      </c>
      <c r="D3100">
        <f>IF(B3100=1,INDEX('Data Entry'!$H$5:$BE$10004,3100-4,'Visual SPC'!$B$3),"")</f>
        <v/>
      </c>
      <c r="E3100">
        <f>IF(B3100=1,D3100,E3099)</f>
        <v/>
      </c>
      <c r="F3100">
        <f>IF(AND(B3100=1,C3100&gt;1,E3099&lt;&gt;""),ABS(D3100-E3099),"")</f>
        <v/>
      </c>
    </row>
    <row r="3101">
      <c r="A3101" t="n">
        <v>3101</v>
      </c>
      <c r="B3101">
        <f>IF(INDEX('Data Entry'!$H$5:$BE$10004,3101-4,'Visual SPC'!$B$3)="",0,IF(AND(OR('Visual SPC'!$C$4="",'Data Entry'!$C3101&gt;='Visual SPC'!$C$4),OR('Visual SPC'!$E$4="",'Data Entry'!$C3101&lt;='Visual SPC'!$E$4),OR('Visual SPC'!$G$4="",'Data Entry'!$D3101='Visual SPC'!$G$4),OR('Visual SPC'!$I$4="",'Data Entry'!$E3101='Visual SPC'!$I$4),OR('Visual SPC'!$K$4="",'Data Entry'!$F3101='Visual SPC'!$K$4)),1,0))</f>
        <v/>
      </c>
      <c r="C3101">
        <f>C3100+B3101</f>
        <v/>
      </c>
      <c r="D3101">
        <f>IF(B3101=1,INDEX('Data Entry'!$H$5:$BE$10004,3101-4,'Visual SPC'!$B$3),"")</f>
        <v/>
      </c>
      <c r="E3101">
        <f>IF(B3101=1,D3101,E3100)</f>
        <v/>
      </c>
      <c r="F3101">
        <f>IF(AND(B3101=1,C3101&gt;1,E3100&lt;&gt;""),ABS(D3101-E3100),"")</f>
        <v/>
      </c>
    </row>
    <row r="3102">
      <c r="A3102" t="n">
        <v>3102</v>
      </c>
      <c r="B3102">
        <f>IF(INDEX('Data Entry'!$H$5:$BE$10004,3102-4,'Visual SPC'!$B$3)="",0,IF(AND(OR('Visual SPC'!$C$4="",'Data Entry'!$C3102&gt;='Visual SPC'!$C$4),OR('Visual SPC'!$E$4="",'Data Entry'!$C3102&lt;='Visual SPC'!$E$4),OR('Visual SPC'!$G$4="",'Data Entry'!$D3102='Visual SPC'!$G$4),OR('Visual SPC'!$I$4="",'Data Entry'!$E3102='Visual SPC'!$I$4),OR('Visual SPC'!$K$4="",'Data Entry'!$F3102='Visual SPC'!$K$4)),1,0))</f>
        <v/>
      </c>
      <c r="C3102">
        <f>C3101+B3102</f>
        <v/>
      </c>
      <c r="D3102">
        <f>IF(B3102=1,INDEX('Data Entry'!$H$5:$BE$10004,3102-4,'Visual SPC'!$B$3),"")</f>
        <v/>
      </c>
      <c r="E3102">
        <f>IF(B3102=1,D3102,E3101)</f>
        <v/>
      </c>
      <c r="F3102">
        <f>IF(AND(B3102=1,C3102&gt;1,E3101&lt;&gt;""),ABS(D3102-E3101),"")</f>
        <v/>
      </c>
    </row>
    <row r="3103">
      <c r="A3103" t="n">
        <v>3103</v>
      </c>
      <c r="B3103">
        <f>IF(INDEX('Data Entry'!$H$5:$BE$10004,3103-4,'Visual SPC'!$B$3)="",0,IF(AND(OR('Visual SPC'!$C$4="",'Data Entry'!$C3103&gt;='Visual SPC'!$C$4),OR('Visual SPC'!$E$4="",'Data Entry'!$C3103&lt;='Visual SPC'!$E$4),OR('Visual SPC'!$G$4="",'Data Entry'!$D3103='Visual SPC'!$G$4),OR('Visual SPC'!$I$4="",'Data Entry'!$E3103='Visual SPC'!$I$4),OR('Visual SPC'!$K$4="",'Data Entry'!$F3103='Visual SPC'!$K$4)),1,0))</f>
        <v/>
      </c>
      <c r="C3103">
        <f>C3102+B3103</f>
        <v/>
      </c>
      <c r="D3103">
        <f>IF(B3103=1,INDEX('Data Entry'!$H$5:$BE$10004,3103-4,'Visual SPC'!$B$3),"")</f>
        <v/>
      </c>
      <c r="E3103">
        <f>IF(B3103=1,D3103,E3102)</f>
        <v/>
      </c>
      <c r="F3103">
        <f>IF(AND(B3103=1,C3103&gt;1,E3102&lt;&gt;""),ABS(D3103-E3102),"")</f>
        <v/>
      </c>
    </row>
    <row r="3104">
      <c r="A3104" t="n">
        <v>3104</v>
      </c>
      <c r="B3104">
        <f>IF(INDEX('Data Entry'!$H$5:$BE$10004,3104-4,'Visual SPC'!$B$3)="",0,IF(AND(OR('Visual SPC'!$C$4="",'Data Entry'!$C3104&gt;='Visual SPC'!$C$4),OR('Visual SPC'!$E$4="",'Data Entry'!$C3104&lt;='Visual SPC'!$E$4),OR('Visual SPC'!$G$4="",'Data Entry'!$D3104='Visual SPC'!$G$4),OR('Visual SPC'!$I$4="",'Data Entry'!$E3104='Visual SPC'!$I$4),OR('Visual SPC'!$K$4="",'Data Entry'!$F3104='Visual SPC'!$K$4)),1,0))</f>
        <v/>
      </c>
      <c r="C3104">
        <f>C3103+B3104</f>
        <v/>
      </c>
      <c r="D3104">
        <f>IF(B3104=1,INDEX('Data Entry'!$H$5:$BE$10004,3104-4,'Visual SPC'!$B$3),"")</f>
        <v/>
      </c>
      <c r="E3104">
        <f>IF(B3104=1,D3104,E3103)</f>
        <v/>
      </c>
      <c r="F3104">
        <f>IF(AND(B3104=1,C3104&gt;1,E3103&lt;&gt;""),ABS(D3104-E3103),"")</f>
        <v/>
      </c>
    </row>
    <row r="3105">
      <c r="A3105" t="n">
        <v>3105</v>
      </c>
      <c r="B3105">
        <f>IF(INDEX('Data Entry'!$H$5:$BE$10004,3105-4,'Visual SPC'!$B$3)="",0,IF(AND(OR('Visual SPC'!$C$4="",'Data Entry'!$C3105&gt;='Visual SPC'!$C$4),OR('Visual SPC'!$E$4="",'Data Entry'!$C3105&lt;='Visual SPC'!$E$4),OR('Visual SPC'!$G$4="",'Data Entry'!$D3105='Visual SPC'!$G$4),OR('Visual SPC'!$I$4="",'Data Entry'!$E3105='Visual SPC'!$I$4),OR('Visual SPC'!$K$4="",'Data Entry'!$F3105='Visual SPC'!$K$4)),1,0))</f>
        <v/>
      </c>
      <c r="C3105">
        <f>C3104+B3105</f>
        <v/>
      </c>
      <c r="D3105">
        <f>IF(B3105=1,INDEX('Data Entry'!$H$5:$BE$10004,3105-4,'Visual SPC'!$B$3),"")</f>
        <v/>
      </c>
      <c r="E3105">
        <f>IF(B3105=1,D3105,E3104)</f>
        <v/>
      </c>
      <c r="F3105">
        <f>IF(AND(B3105=1,C3105&gt;1,E3104&lt;&gt;""),ABS(D3105-E3104),"")</f>
        <v/>
      </c>
    </row>
    <row r="3106">
      <c r="A3106" t="n">
        <v>3106</v>
      </c>
      <c r="B3106">
        <f>IF(INDEX('Data Entry'!$H$5:$BE$10004,3106-4,'Visual SPC'!$B$3)="",0,IF(AND(OR('Visual SPC'!$C$4="",'Data Entry'!$C3106&gt;='Visual SPC'!$C$4),OR('Visual SPC'!$E$4="",'Data Entry'!$C3106&lt;='Visual SPC'!$E$4),OR('Visual SPC'!$G$4="",'Data Entry'!$D3106='Visual SPC'!$G$4),OR('Visual SPC'!$I$4="",'Data Entry'!$E3106='Visual SPC'!$I$4),OR('Visual SPC'!$K$4="",'Data Entry'!$F3106='Visual SPC'!$K$4)),1,0))</f>
        <v/>
      </c>
      <c r="C3106">
        <f>C3105+B3106</f>
        <v/>
      </c>
      <c r="D3106">
        <f>IF(B3106=1,INDEX('Data Entry'!$H$5:$BE$10004,3106-4,'Visual SPC'!$B$3),"")</f>
        <v/>
      </c>
      <c r="E3106">
        <f>IF(B3106=1,D3106,E3105)</f>
        <v/>
      </c>
      <c r="F3106">
        <f>IF(AND(B3106=1,C3106&gt;1,E3105&lt;&gt;""),ABS(D3106-E3105),"")</f>
        <v/>
      </c>
    </row>
    <row r="3107">
      <c r="A3107" t="n">
        <v>3107</v>
      </c>
      <c r="B3107">
        <f>IF(INDEX('Data Entry'!$H$5:$BE$10004,3107-4,'Visual SPC'!$B$3)="",0,IF(AND(OR('Visual SPC'!$C$4="",'Data Entry'!$C3107&gt;='Visual SPC'!$C$4),OR('Visual SPC'!$E$4="",'Data Entry'!$C3107&lt;='Visual SPC'!$E$4),OR('Visual SPC'!$G$4="",'Data Entry'!$D3107='Visual SPC'!$G$4),OR('Visual SPC'!$I$4="",'Data Entry'!$E3107='Visual SPC'!$I$4),OR('Visual SPC'!$K$4="",'Data Entry'!$F3107='Visual SPC'!$K$4)),1,0))</f>
        <v/>
      </c>
      <c r="C3107">
        <f>C3106+B3107</f>
        <v/>
      </c>
      <c r="D3107">
        <f>IF(B3107=1,INDEX('Data Entry'!$H$5:$BE$10004,3107-4,'Visual SPC'!$B$3),"")</f>
        <v/>
      </c>
      <c r="E3107">
        <f>IF(B3107=1,D3107,E3106)</f>
        <v/>
      </c>
      <c r="F3107">
        <f>IF(AND(B3107=1,C3107&gt;1,E3106&lt;&gt;""),ABS(D3107-E3106),"")</f>
        <v/>
      </c>
    </row>
    <row r="3108">
      <c r="A3108" t="n">
        <v>3108</v>
      </c>
      <c r="B3108">
        <f>IF(INDEX('Data Entry'!$H$5:$BE$10004,3108-4,'Visual SPC'!$B$3)="",0,IF(AND(OR('Visual SPC'!$C$4="",'Data Entry'!$C3108&gt;='Visual SPC'!$C$4),OR('Visual SPC'!$E$4="",'Data Entry'!$C3108&lt;='Visual SPC'!$E$4),OR('Visual SPC'!$G$4="",'Data Entry'!$D3108='Visual SPC'!$G$4),OR('Visual SPC'!$I$4="",'Data Entry'!$E3108='Visual SPC'!$I$4),OR('Visual SPC'!$K$4="",'Data Entry'!$F3108='Visual SPC'!$K$4)),1,0))</f>
        <v/>
      </c>
      <c r="C3108">
        <f>C3107+B3108</f>
        <v/>
      </c>
      <c r="D3108">
        <f>IF(B3108=1,INDEX('Data Entry'!$H$5:$BE$10004,3108-4,'Visual SPC'!$B$3),"")</f>
        <v/>
      </c>
      <c r="E3108">
        <f>IF(B3108=1,D3108,E3107)</f>
        <v/>
      </c>
      <c r="F3108">
        <f>IF(AND(B3108=1,C3108&gt;1,E3107&lt;&gt;""),ABS(D3108-E3107),"")</f>
        <v/>
      </c>
    </row>
    <row r="3109">
      <c r="A3109" t="n">
        <v>3109</v>
      </c>
      <c r="B3109">
        <f>IF(INDEX('Data Entry'!$H$5:$BE$10004,3109-4,'Visual SPC'!$B$3)="",0,IF(AND(OR('Visual SPC'!$C$4="",'Data Entry'!$C3109&gt;='Visual SPC'!$C$4),OR('Visual SPC'!$E$4="",'Data Entry'!$C3109&lt;='Visual SPC'!$E$4),OR('Visual SPC'!$G$4="",'Data Entry'!$D3109='Visual SPC'!$G$4),OR('Visual SPC'!$I$4="",'Data Entry'!$E3109='Visual SPC'!$I$4),OR('Visual SPC'!$K$4="",'Data Entry'!$F3109='Visual SPC'!$K$4)),1,0))</f>
        <v/>
      </c>
      <c r="C3109">
        <f>C3108+B3109</f>
        <v/>
      </c>
      <c r="D3109">
        <f>IF(B3109=1,INDEX('Data Entry'!$H$5:$BE$10004,3109-4,'Visual SPC'!$B$3),"")</f>
        <v/>
      </c>
      <c r="E3109">
        <f>IF(B3109=1,D3109,E3108)</f>
        <v/>
      </c>
      <c r="F3109">
        <f>IF(AND(B3109=1,C3109&gt;1,E3108&lt;&gt;""),ABS(D3109-E3108),"")</f>
        <v/>
      </c>
    </row>
    <row r="3110">
      <c r="A3110" t="n">
        <v>3110</v>
      </c>
      <c r="B3110">
        <f>IF(INDEX('Data Entry'!$H$5:$BE$10004,3110-4,'Visual SPC'!$B$3)="",0,IF(AND(OR('Visual SPC'!$C$4="",'Data Entry'!$C3110&gt;='Visual SPC'!$C$4),OR('Visual SPC'!$E$4="",'Data Entry'!$C3110&lt;='Visual SPC'!$E$4),OR('Visual SPC'!$G$4="",'Data Entry'!$D3110='Visual SPC'!$G$4),OR('Visual SPC'!$I$4="",'Data Entry'!$E3110='Visual SPC'!$I$4),OR('Visual SPC'!$K$4="",'Data Entry'!$F3110='Visual SPC'!$K$4)),1,0))</f>
        <v/>
      </c>
      <c r="C3110">
        <f>C3109+B3110</f>
        <v/>
      </c>
      <c r="D3110">
        <f>IF(B3110=1,INDEX('Data Entry'!$H$5:$BE$10004,3110-4,'Visual SPC'!$B$3),"")</f>
        <v/>
      </c>
      <c r="E3110">
        <f>IF(B3110=1,D3110,E3109)</f>
        <v/>
      </c>
      <c r="F3110">
        <f>IF(AND(B3110=1,C3110&gt;1,E3109&lt;&gt;""),ABS(D3110-E3109),"")</f>
        <v/>
      </c>
    </row>
    <row r="3111">
      <c r="A3111" t="n">
        <v>3111</v>
      </c>
      <c r="B3111">
        <f>IF(INDEX('Data Entry'!$H$5:$BE$10004,3111-4,'Visual SPC'!$B$3)="",0,IF(AND(OR('Visual SPC'!$C$4="",'Data Entry'!$C3111&gt;='Visual SPC'!$C$4),OR('Visual SPC'!$E$4="",'Data Entry'!$C3111&lt;='Visual SPC'!$E$4),OR('Visual SPC'!$G$4="",'Data Entry'!$D3111='Visual SPC'!$G$4),OR('Visual SPC'!$I$4="",'Data Entry'!$E3111='Visual SPC'!$I$4),OR('Visual SPC'!$K$4="",'Data Entry'!$F3111='Visual SPC'!$K$4)),1,0))</f>
        <v/>
      </c>
      <c r="C3111">
        <f>C3110+B3111</f>
        <v/>
      </c>
      <c r="D3111">
        <f>IF(B3111=1,INDEX('Data Entry'!$H$5:$BE$10004,3111-4,'Visual SPC'!$B$3),"")</f>
        <v/>
      </c>
      <c r="E3111">
        <f>IF(B3111=1,D3111,E3110)</f>
        <v/>
      </c>
      <c r="F3111">
        <f>IF(AND(B3111=1,C3111&gt;1,E3110&lt;&gt;""),ABS(D3111-E3110),"")</f>
        <v/>
      </c>
    </row>
    <row r="3112">
      <c r="A3112" t="n">
        <v>3112</v>
      </c>
      <c r="B3112">
        <f>IF(INDEX('Data Entry'!$H$5:$BE$10004,3112-4,'Visual SPC'!$B$3)="",0,IF(AND(OR('Visual SPC'!$C$4="",'Data Entry'!$C3112&gt;='Visual SPC'!$C$4),OR('Visual SPC'!$E$4="",'Data Entry'!$C3112&lt;='Visual SPC'!$E$4),OR('Visual SPC'!$G$4="",'Data Entry'!$D3112='Visual SPC'!$G$4),OR('Visual SPC'!$I$4="",'Data Entry'!$E3112='Visual SPC'!$I$4),OR('Visual SPC'!$K$4="",'Data Entry'!$F3112='Visual SPC'!$K$4)),1,0))</f>
        <v/>
      </c>
      <c r="C3112">
        <f>C3111+B3112</f>
        <v/>
      </c>
      <c r="D3112">
        <f>IF(B3112=1,INDEX('Data Entry'!$H$5:$BE$10004,3112-4,'Visual SPC'!$B$3),"")</f>
        <v/>
      </c>
      <c r="E3112">
        <f>IF(B3112=1,D3112,E3111)</f>
        <v/>
      </c>
      <c r="F3112">
        <f>IF(AND(B3112=1,C3112&gt;1,E3111&lt;&gt;""),ABS(D3112-E3111),"")</f>
        <v/>
      </c>
    </row>
    <row r="3113">
      <c r="A3113" t="n">
        <v>3113</v>
      </c>
      <c r="B3113">
        <f>IF(INDEX('Data Entry'!$H$5:$BE$10004,3113-4,'Visual SPC'!$B$3)="",0,IF(AND(OR('Visual SPC'!$C$4="",'Data Entry'!$C3113&gt;='Visual SPC'!$C$4),OR('Visual SPC'!$E$4="",'Data Entry'!$C3113&lt;='Visual SPC'!$E$4),OR('Visual SPC'!$G$4="",'Data Entry'!$D3113='Visual SPC'!$G$4),OR('Visual SPC'!$I$4="",'Data Entry'!$E3113='Visual SPC'!$I$4),OR('Visual SPC'!$K$4="",'Data Entry'!$F3113='Visual SPC'!$K$4)),1,0))</f>
        <v/>
      </c>
      <c r="C3113">
        <f>C3112+B3113</f>
        <v/>
      </c>
      <c r="D3113">
        <f>IF(B3113=1,INDEX('Data Entry'!$H$5:$BE$10004,3113-4,'Visual SPC'!$B$3),"")</f>
        <v/>
      </c>
      <c r="E3113">
        <f>IF(B3113=1,D3113,E3112)</f>
        <v/>
      </c>
      <c r="F3113">
        <f>IF(AND(B3113=1,C3113&gt;1,E3112&lt;&gt;""),ABS(D3113-E3112),"")</f>
        <v/>
      </c>
    </row>
    <row r="3114">
      <c r="A3114" t="n">
        <v>3114</v>
      </c>
      <c r="B3114">
        <f>IF(INDEX('Data Entry'!$H$5:$BE$10004,3114-4,'Visual SPC'!$B$3)="",0,IF(AND(OR('Visual SPC'!$C$4="",'Data Entry'!$C3114&gt;='Visual SPC'!$C$4),OR('Visual SPC'!$E$4="",'Data Entry'!$C3114&lt;='Visual SPC'!$E$4),OR('Visual SPC'!$G$4="",'Data Entry'!$D3114='Visual SPC'!$G$4),OR('Visual SPC'!$I$4="",'Data Entry'!$E3114='Visual SPC'!$I$4),OR('Visual SPC'!$K$4="",'Data Entry'!$F3114='Visual SPC'!$K$4)),1,0))</f>
        <v/>
      </c>
      <c r="C3114">
        <f>C3113+B3114</f>
        <v/>
      </c>
      <c r="D3114">
        <f>IF(B3114=1,INDEX('Data Entry'!$H$5:$BE$10004,3114-4,'Visual SPC'!$B$3),"")</f>
        <v/>
      </c>
      <c r="E3114">
        <f>IF(B3114=1,D3114,E3113)</f>
        <v/>
      </c>
      <c r="F3114">
        <f>IF(AND(B3114=1,C3114&gt;1,E3113&lt;&gt;""),ABS(D3114-E3113),"")</f>
        <v/>
      </c>
    </row>
    <row r="3115">
      <c r="A3115" t="n">
        <v>3115</v>
      </c>
      <c r="B3115">
        <f>IF(INDEX('Data Entry'!$H$5:$BE$10004,3115-4,'Visual SPC'!$B$3)="",0,IF(AND(OR('Visual SPC'!$C$4="",'Data Entry'!$C3115&gt;='Visual SPC'!$C$4),OR('Visual SPC'!$E$4="",'Data Entry'!$C3115&lt;='Visual SPC'!$E$4),OR('Visual SPC'!$G$4="",'Data Entry'!$D3115='Visual SPC'!$G$4),OR('Visual SPC'!$I$4="",'Data Entry'!$E3115='Visual SPC'!$I$4),OR('Visual SPC'!$K$4="",'Data Entry'!$F3115='Visual SPC'!$K$4)),1,0))</f>
        <v/>
      </c>
      <c r="C3115">
        <f>C3114+B3115</f>
        <v/>
      </c>
      <c r="D3115">
        <f>IF(B3115=1,INDEX('Data Entry'!$H$5:$BE$10004,3115-4,'Visual SPC'!$B$3),"")</f>
        <v/>
      </c>
      <c r="E3115">
        <f>IF(B3115=1,D3115,E3114)</f>
        <v/>
      </c>
      <c r="F3115">
        <f>IF(AND(B3115=1,C3115&gt;1,E3114&lt;&gt;""),ABS(D3115-E3114),"")</f>
        <v/>
      </c>
    </row>
    <row r="3116">
      <c r="A3116" t="n">
        <v>3116</v>
      </c>
      <c r="B3116">
        <f>IF(INDEX('Data Entry'!$H$5:$BE$10004,3116-4,'Visual SPC'!$B$3)="",0,IF(AND(OR('Visual SPC'!$C$4="",'Data Entry'!$C3116&gt;='Visual SPC'!$C$4),OR('Visual SPC'!$E$4="",'Data Entry'!$C3116&lt;='Visual SPC'!$E$4),OR('Visual SPC'!$G$4="",'Data Entry'!$D3116='Visual SPC'!$G$4),OR('Visual SPC'!$I$4="",'Data Entry'!$E3116='Visual SPC'!$I$4),OR('Visual SPC'!$K$4="",'Data Entry'!$F3116='Visual SPC'!$K$4)),1,0))</f>
        <v/>
      </c>
      <c r="C3116">
        <f>C3115+B3116</f>
        <v/>
      </c>
      <c r="D3116">
        <f>IF(B3116=1,INDEX('Data Entry'!$H$5:$BE$10004,3116-4,'Visual SPC'!$B$3),"")</f>
        <v/>
      </c>
      <c r="E3116">
        <f>IF(B3116=1,D3116,E3115)</f>
        <v/>
      </c>
      <c r="F3116">
        <f>IF(AND(B3116=1,C3116&gt;1,E3115&lt;&gt;""),ABS(D3116-E3115),"")</f>
        <v/>
      </c>
    </row>
    <row r="3117">
      <c r="A3117" t="n">
        <v>3117</v>
      </c>
      <c r="B3117">
        <f>IF(INDEX('Data Entry'!$H$5:$BE$10004,3117-4,'Visual SPC'!$B$3)="",0,IF(AND(OR('Visual SPC'!$C$4="",'Data Entry'!$C3117&gt;='Visual SPC'!$C$4),OR('Visual SPC'!$E$4="",'Data Entry'!$C3117&lt;='Visual SPC'!$E$4),OR('Visual SPC'!$G$4="",'Data Entry'!$D3117='Visual SPC'!$G$4),OR('Visual SPC'!$I$4="",'Data Entry'!$E3117='Visual SPC'!$I$4),OR('Visual SPC'!$K$4="",'Data Entry'!$F3117='Visual SPC'!$K$4)),1,0))</f>
        <v/>
      </c>
      <c r="C3117">
        <f>C3116+B3117</f>
        <v/>
      </c>
      <c r="D3117">
        <f>IF(B3117=1,INDEX('Data Entry'!$H$5:$BE$10004,3117-4,'Visual SPC'!$B$3),"")</f>
        <v/>
      </c>
      <c r="E3117">
        <f>IF(B3117=1,D3117,E3116)</f>
        <v/>
      </c>
      <c r="F3117">
        <f>IF(AND(B3117=1,C3117&gt;1,E3116&lt;&gt;""),ABS(D3117-E3116),"")</f>
        <v/>
      </c>
    </row>
    <row r="3118">
      <c r="A3118" t="n">
        <v>3118</v>
      </c>
      <c r="B3118">
        <f>IF(INDEX('Data Entry'!$H$5:$BE$10004,3118-4,'Visual SPC'!$B$3)="",0,IF(AND(OR('Visual SPC'!$C$4="",'Data Entry'!$C3118&gt;='Visual SPC'!$C$4),OR('Visual SPC'!$E$4="",'Data Entry'!$C3118&lt;='Visual SPC'!$E$4),OR('Visual SPC'!$G$4="",'Data Entry'!$D3118='Visual SPC'!$G$4),OR('Visual SPC'!$I$4="",'Data Entry'!$E3118='Visual SPC'!$I$4),OR('Visual SPC'!$K$4="",'Data Entry'!$F3118='Visual SPC'!$K$4)),1,0))</f>
        <v/>
      </c>
      <c r="C3118">
        <f>C3117+B3118</f>
        <v/>
      </c>
      <c r="D3118">
        <f>IF(B3118=1,INDEX('Data Entry'!$H$5:$BE$10004,3118-4,'Visual SPC'!$B$3),"")</f>
        <v/>
      </c>
      <c r="E3118">
        <f>IF(B3118=1,D3118,E3117)</f>
        <v/>
      </c>
      <c r="F3118">
        <f>IF(AND(B3118=1,C3118&gt;1,E3117&lt;&gt;""),ABS(D3118-E3117),"")</f>
        <v/>
      </c>
    </row>
    <row r="3119">
      <c r="A3119" t="n">
        <v>3119</v>
      </c>
      <c r="B3119">
        <f>IF(INDEX('Data Entry'!$H$5:$BE$10004,3119-4,'Visual SPC'!$B$3)="",0,IF(AND(OR('Visual SPC'!$C$4="",'Data Entry'!$C3119&gt;='Visual SPC'!$C$4),OR('Visual SPC'!$E$4="",'Data Entry'!$C3119&lt;='Visual SPC'!$E$4),OR('Visual SPC'!$G$4="",'Data Entry'!$D3119='Visual SPC'!$G$4),OR('Visual SPC'!$I$4="",'Data Entry'!$E3119='Visual SPC'!$I$4),OR('Visual SPC'!$K$4="",'Data Entry'!$F3119='Visual SPC'!$K$4)),1,0))</f>
        <v/>
      </c>
      <c r="C3119">
        <f>C3118+B3119</f>
        <v/>
      </c>
      <c r="D3119">
        <f>IF(B3119=1,INDEX('Data Entry'!$H$5:$BE$10004,3119-4,'Visual SPC'!$B$3),"")</f>
        <v/>
      </c>
      <c r="E3119">
        <f>IF(B3119=1,D3119,E3118)</f>
        <v/>
      </c>
      <c r="F3119">
        <f>IF(AND(B3119=1,C3119&gt;1,E3118&lt;&gt;""),ABS(D3119-E3118),"")</f>
        <v/>
      </c>
    </row>
    <row r="3120">
      <c r="A3120" t="n">
        <v>3120</v>
      </c>
      <c r="B3120">
        <f>IF(INDEX('Data Entry'!$H$5:$BE$10004,3120-4,'Visual SPC'!$B$3)="",0,IF(AND(OR('Visual SPC'!$C$4="",'Data Entry'!$C3120&gt;='Visual SPC'!$C$4),OR('Visual SPC'!$E$4="",'Data Entry'!$C3120&lt;='Visual SPC'!$E$4),OR('Visual SPC'!$G$4="",'Data Entry'!$D3120='Visual SPC'!$G$4),OR('Visual SPC'!$I$4="",'Data Entry'!$E3120='Visual SPC'!$I$4),OR('Visual SPC'!$K$4="",'Data Entry'!$F3120='Visual SPC'!$K$4)),1,0))</f>
        <v/>
      </c>
      <c r="C3120">
        <f>C3119+B3120</f>
        <v/>
      </c>
      <c r="D3120">
        <f>IF(B3120=1,INDEX('Data Entry'!$H$5:$BE$10004,3120-4,'Visual SPC'!$B$3),"")</f>
        <v/>
      </c>
      <c r="E3120">
        <f>IF(B3120=1,D3120,E3119)</f>
        <v/>
      </c>
      <c r="F3120">
        <f>IF(AND(B3120=1,C3120&gt;1,E3119&lt;&gt;""),ABS(D3120-E3119),"")</f>
        <v/>
      </c>
    </row>
    <row r="3121">
      <c r="A3121" t="n">
        <v>3121</v>
      </c>
      <c r="B3121">
        <f>IF(INDEX('Data Entry'!$H$5:$BE$10004,3121-4,'Visual SPC'!$B$3)="",0,IF(AND(OR('Visual SPC'!$C$4="",'Data Entry'!$C3121&gt;='Visual SPC'!$C$4),OR('Visual SPC'!$E$4="",'Data Entry'!$C3121&lt;='Visual SPC'!$E$4),OR('Visual SPC'!$G$4="",'Data Entry'!$D3121='Visual SPC'!$G$4),OR('Visual SPC'!$I$4="",'Data Entry'!$E3121='Visual SPC'!$I$4),OR('Visual SPC'!$K$4="",'Data Entry'!$F3121='Visual SPC'!$K$4)),1,0))</f>
        <v/>
      </c>
      <c r="C3121">
        <f>C3120+B3121</f>
        <v/>
      </c>
      <c r="D3121">
        <f>IF(B3121=1,INDEX('Data Entry'!$H$5:$BE$10004,3121-4,'Visual SPC'!$B$3),"")</f>
        <v/>
      </c>
      <c r="E3121">
        <f>IF(B3121=1,D3121,E3120)</f>
        <v/>
      </c>
      <c r="F3121">
        <f>IF(AND(B3121=1,C3121&gt;1,E3120&lt;&gt;""),ABS(D3121-E3120),"")</f>
        <v/>
      </c>
    </row>
    <row r="3122">
      <c r="A3122" t="n">
        <v>3122</v>
      </c>
      <c r="B3122">
        <f>IF(INDEX('Data Entry'!$H$5:$BE$10004,3122-4,'Visual SPC'!$B$3)="",0,IF(AND(OR('Visual SPC'!$C$4="",'Data Entry'!$C3122&gt;='Visual SPC'!$C$4),OR('Visual SPC'!$E$4="",'Data Entry'!$C3122&lt;='Visual SPC'!$E$4),OR('Visual SPC'!$G$4="",'Data Entry'!$D3122='Visual SPC'!$G$4),OR('Visual SPC'!$I$4="",'Data Entry'!$E3122='Visual SPC'!$I$4),OR('Visual SPC'!$K$4="",'Data Entry'!$F3122='Visual SPC'!$K$4)),1,0))</f>
        <v/>
      </c>
      <c r="C3122">
        <f>C3121+B3122</f>
        <v/>
      </c>
      <c r="D3122">
        <f>IF(B3122=1,INDEX('Data Entry'!$H$5:$BE$10004,3122-4,'Visual SPC'!$B$3),"")</f>
        <v/>
      </c>
      <c r="E3122">
        <f>IF(B3122=1,D3122,E3121)</f>
        <v/>
      </c>
      <c r="F3122">
        <f>IF(AND(B3122=1,C3122&gt;1,E3121&lt;&gt;""),ABS(D3122-E3121),"")</f>
        <v/>
      </c>
    </row>
    <row r="3123">
      <c r="A3123" t="n">
        <v>3123</v>
      </c>
      <c r="B3123">
        <f>IF(INDEX('Data Entry'!$H$5:$BE$10004,3123-4,'Visual SPC'!$B$3)="",0,IF(AND(OR('Visual SPC'!$C$4="",'Data Entry'!$C3123&gt;='Visual SPC'!$C$4),OR('Visual SPC'!$E$4="",'Data Entry'!$C3123&lt;='Visual SPC'!$E$4),OR('Visual SPC'!$G$4="",'Data Entry'!$D3123='Visual SPC'!$G$4),OR('Visual SPC'!$I$4="",'Data Entry'!$E3123='Visual SPC'!$I$4),OR('Visual SPC'!$K$4="",'Data Entry'!$F3123='Visual SPC'!$K$4)),1,0))</f>
        <v/>
      </c>
      <c r="C3123">
        <f>C3122+B3123</f>
        <v/>
      </c>
      <c r="D3123">
        <f>IF(B3123=1,INDEX('Data Entry'!$H$5:$BE$10004,3123-4,'Visual SPC'!$B$3),"")</f>
        <v/>
      </c>
      <c r="E3123">
        <f>IF(B3123=1,D3123,E3122)</f>
        <v/>
      </c>
      <c r="F3123">
        <f>IF(AND(B3123=1,C3123&gt;1,E3122&lt;&gt;""),ABS(D3123-E3122),"")</f>
        <v/>
      </c>
    </row>
    <row r="3124">
      <c r="A3124" t="n">
        <v>3124</v>
      </c>
      <c r="B3124">
        <f>IF(INDEX('Data Entry'!$H$5:$BE$10004,3124-4,'Visual SPC'!$B$3)="",0,IF(AND(OR('Visual SPC'!$C$4="",'Data Entry'!$C3124&gt;='Visual SPC'!$C$4),OR('Visual SPC'!$E$4="",'Data Entry'!$C3124&lt;='Visual SPC'!$E$4),OR('Visual SPC'!$G$4="",'Data Entry'!$D3124='Visual SPC'!$G$4),OR('Visual SPC'!$I$4="",'Data Entry'!$E3124='Visual SPC'!$I$4),OR('Visual SPC'!$K$4="",'Data Entry'!$F3124='Visual SPC'!$K$4)),1,0))</f>
        <v/>
      </c>
      <c r="C3124">
        <f>C3123+B3124</f>
        <v/>
      </c>
      <c r="D3124">
        <f>IF(B3124=1,INDEX('Data Entry'!$H$5:$BE$10004,3124-4,'Visual SPC'!$B$3),"")</f>
        <v/>
      </c>
      <c r="E3124">
        <f>IF(B3124=1,D3124,E3123)</f>
        <v/>
      </c>
      <c r="F3124">
        <f>IF(AND(B3124=1,C3124&gt;1,E3123&lt;&gt;""),ABS(D3124-E3123),"")</f>
        <v/>
      </c>
    </row>
    <row r="3125">
      <c r="A3125" t="n">
        <v>3125</v>
      </c>
      <c r="B3125">
        <f>IF(INDEX('Data Entry'!$H$5:$BE$10004,3125-4,'Visual SPC'!$B$3)="",0,IF(AND(OR('Visual SPC'!$C$4="",'Data Entry'!$C3125&gt;='Visual SPC'!$C$4),OR('Visual SPC'!$E$4="",'Data Entry'!$C3125&lt;='Visual SPC'!$E$4),OR('Visual SPC'!$G$4="",'Data Entry'!$D3125='Visual SPC'!$G$4),OR('Visual SPC'!$I$4="",'Data Entry'!$E3125='Visual SPC'!$I$4),OR('Visual SPC'!$K$4="",'Data Entry'!$F3125='Visual SPC'!$K$4)),1,0))</f>
        <v/>
      </c>
      <c r="C3125">
        <f>C3124+B3125</f>
        <v/>
      </c>
      <c r="D3125">
        <f>IF(B3125=1,INDEX('Data Entry'!$H$5:$BE$10004,3125-4,'Visual SPC'!$B$3),"")</f>
        <v/>
      </c>
      <c r="E3125">
        <f>IF(B3125=1,D3125,E3124)</f>
        <v/>
      </c>
      <c r="F3125">
        <f>IF(AND(B3125=1,C3125&gt;1,E3124&lt;&gt;""),ABS(D3125-E3124),"")</f>
        <v/>
      </c>
    </row>
    <row r="3126">
      <c r="A3126" t="n">
        <v>3126</v>
      </c>
      <c r="B3126">
        <f>IF(INDEX('Data Entry'!$H$5:$BE$10004,3126-4,'Visual SPC'!$B$3)="",0,IF(AND(OR('Visual SPC'!$C$4="",'Data Entry'!$C3126&gt;='Visual SPC'!$C$4),OR('Visual SPC'!$E$4="",'Data Entry'!$C3126&lt;='Visual SPC'!$E$4),OR('Visual SPC'!$G$4="",'Data Entry'!$D3126='Visual SPC'!$G$4),OR('Visual SPC'!$I$4="",'Data Entry'!$E3126='Visual SPC'!$I$4),OR('Visual SPC'!$K$4="",'Data Entry'!$F3126='Visual SPC'!$K$4)),1,0))</f>
        <v/>
      </c>
      <c r="C3126">
        <f>C3125+B3126</f>
        <v/>
      </c>
      <c r="D3126">
        <f>IF(B3126=1,INDEX('Data Entry'!$H$5:$BE$10004,3126-4,'Visual SPC'!$B$3),"")</f>
        <v/>
      </c>
      <c r="E3126">
        <f>IF(B3126=1,D3126,E3125)</f>
        <v/>
      </c>
      <c r="F3126">
        <f>IF(AND(B3126=1,C3126&gt;1,E3125&lt;&gt;""),ABS(D3126-E3125),"")</f>
        <v/>
      </c>
    </row>
    <row r="3127">
      <c r="A3127" t="n">
        <v>3127</v>
      </c>
      <c r="B3127">
        <f>IF(INDEX('Data Entry'!$H$5:$BE$10004,3127-4,'Visual SPC'!$B$3)="",0,IF(AND(OR('Visual SPC'!$C$4="",'Data Entry'!$C3127&gt;='Visual SPC'!$C$4),OR('Visual SPC'!$E$4="",'Data Entry'!$C3127&lt;='Visual SPC'!$E$4),OR('Visual SPC'!$G$4="",'Data Entry'!$D3127='Visual SPC'!$G$4),OR('Visual SPC'!$I$4="",'Data Entry'!$E3127='Visual SPC'!$I$4),OR('Visual SPC'!$K$4="",'Data Entry'!$F3127='Visual SPC'!$K$4)),1,0))</f>
        <v/>
      </c>
      <c r="C3127">
        <f>C3126+B3127</f>
        <v/>
      </c>
      <c r="D3127">
        <f>IF(B3127=1,INDEX('Data Entry'!$H$5:$BE$10004,3127-4,'Visual SPC'!$B$3),"")</f>
        <v/>
      </c>
      <c r="E3127">
        <f>IF(B3127=1,D3127,E3126)</f>
        <v/>
      </c>
      <c r="F3127">
        <f>IF(AND(B3127=1,C3127&gt;1,E3126&lt;&gt;""),ABS(D3127-E3126),"")</f>
        <v/>
      </c>
    </row>
    <row r="3128">
      <c r="A3128" t="n">
        <v>3128</v>
      </c>
      <c r="B3128">
        <f>IF(INDEX('Data Entry'!$H$5:$BE$10004,3128-4,'Visual SPC'!$B$3)="",0,IF(AND(OR('Visual SPC'!$C$4="",'Data Entry'!$C3128&gt;='Visual SPC'!$C$4),OR('Visual SPC'!$E$4="",'Data Entry'!$C3128&lt;='Visual SPC'!$E$4),OR('Visual SPC'!$G$4="",'Data Entry'!$D3128='Visual SPC'!$G$4),OR('Visual SPC'!$I$4="",'Data Entry'!$E3128='Visual SPC'!$I$4),OR('Visual SPC'!$K$4="",'Data Entry'!$F3128='Visual SPC'!$K$4)),1,0))</f>
        <v/>
      </c>
      <c r="C3128">
        <f>C3127+B3128</f>
        <v/>
      </c>
      <c r="D3128">
        <f>IF(B3128=1,INDEX('Data Entry'!$H$5:$BE$10004,3128-4,'Visual SPC'!$B$3),"")</f>
        <v/>
      </c>
      <c r="E3128">
        <f>IF(B3128=1,D3128,E3127)</f>
        <v/>
      </c>
      <c r="F3128">
        <f>IF(AND(B3128=1,C3128&gt;1,E3127&lt;&gt;""),ABS(D3128-E3127),"")</f>
        <v/>
      </c>
    </row>
    <row r="3129">
      <c r="A3129" t="n">
        <v>3129</v>
      </c>
      <c r="B3129">
        <f>IF(INDEX('Data Entry'!$H$5:$BE$10004,3129-4,'Visual SPC'!$B$3)="",0,IF(AND(OR('Visual SPC'!$C$4="",'Data Entry'!$C3129&gt;='Visual SPC'!$C$4),OR('Visual SPC'!$E$4="",'Data Entry'!$C3129&lt;='Visual SPC'!$E$4),OR('Visual SPC'!$G$4="",'Data Entry'!$D3129='Visual SPC'!$G$4),OR('Visual SPC'!$I$4="",'Data Entry'!$E3129='Visual SPC'!$I$4),OR('Visual SPC'!$K$4="",'Data Entry'!$F3129='Visual SPC'!$K$4)),1,0))</f>
        <v/>
      </c>
      <c r="C3129">
        <f>C3128+B3129</f>
        <v/>
      </c>
      <c r="D3129">
        <f>IF(B3129=1,INDEX('Data Entry'!$H$5:$BE$10004,3129-4,'Visual SPC'!$B$3),"")</f>
        <v/>
      </c>
      <c r="E3129">
        <f>IF(B3129=1,D3129,E3128)</f>
        <v/>
      </c>
      <c r="F3129">
        <f>IF(AND(B3129=1,C3129&gt;1,E3128&lt;&gt;""),ABS(D3129-E3128),"")</f>
        <v/>
      </c>
    </row>
    <row r="3130">
      <c r="A3130" t="n">
        <v>3130</v>
      </c>
      <c r="B3130">
        <f>IF(INDEX('Data Entry'!$H$5:$BE$10004,3130-4,'Visual SPC'!$B$3)="",0,IF(AND(OR('Visual SPC'!$C$4="",'Data Entry'!$C3130&gt;='Visual SPC'!$C$4),OR('Visual SPC'!$E$4="",'Data Entry'!$C3130&lt;='Visual SPC'!$E$4),OR('Visual SPC'!$G$4="",'Data Entry'!$D3130='Visual SPC'!$G$4),OR('Visual SPC'!$I$4="",'Data Entry'!$E3130='Visual SPC'!$I$4),OR('Visual SPC'!$K$4="",'Data Entry'!$F3130='Visual SPC'!$K$4)),1,0))</f>
        <v/>
      </c>
      <c r="C3130">
        <f>C3129+B3130</f>
        <v/>
      </c>
      <c r="D3130">
        <f>IF(B3130=1,INDEX('Data Entry'!$H$5:$BE$10004,3130-4,'Visual SPC'!$B$3),"")</f>
        <v/>
      </c>
      <c r="E3130">
        <f>IF(B3130=1,D3130,E3129)</f>
        <v/>
      </c>
      <c r="F3130">
        <f>IF(AND(B3130=1,C3130&gt;1,E3129&lt;&gt;""),ABS(D3130-E3129),"")</f>
        <v/>
      </c>
    </row>
    <row r="3131">
      <c r="A3131" t="n">
        <v>3131</v>
      </c>
      <c r="B3131">
        <f>IF(INDEX('Data Entry'!$H$5:$BE$10004,3131-4,'Visual SPC'!$B$3)="",0,IF(AND(OR('Visual SPC'!$C$4="",'Data Entry'!$C3131&gt;='Visual SPC'!$C$4),OR('Visual SPC'!$E$4="",'Data Entry'!$C3131&lt;='Visual SPC'!$E$4),OR('Visual SPC'!$G$4="",'Data Entry'!$D3131='Visual SPC'!$G$4),OR('Visual SPC'!$I$4="",'Data Entry'!$E3131='Visual SPC'!$I$4),OR('Visual SPC'!$K$4="",'Data Entry'!$F3131='Visual SPC'!$K$4)),1,0))</f>
        <v/>
      </c>
      <c r="C3131">
        <f>C3130+B3131</f>
        <v/>
      </c>
      <c r="D3131">
        <f>IF(B3131=1,INDEX('Data Entry'!$H$5:$BE$10004,3131-4,'Visual SPC'!$B$3),"")</f>
        <v/>
      </c>
      <c r="E3131">
        <f>IF(B3131=1,D3131,E3130)</f>
        <v/>
      </c>
      <c r="F3131">
        <f>IF(AND(B3131=1,C3131&gt;1,E3130&lt;&gt;""),ABS(D3131-E3130),"")</f>
        <v/>
      </c>
    </row>
    <row r="3132">
      <c r="A3132" t="n">
        <v>3132</v>
      </c>
      <c r="B3132">
        <f>IF(INDEX('Data Entry'!$H$5:$BE$10004,3132-4,'Visual SPC'!$B$3)="",0,IF(AND(OR('Visual SPC'!$C$4="",'Data Entry'!$C3132&gt;='Visual SPC'!$C$4),OR('Visual SPC'!$E$4="",'Data Entry'!$C3132&lt;='Visual SPC'!$E$4),OR('Visual SPC'!$G$4="",'Data Entry'!$D3132='Visual SPC'!$G$4),OR('Visual SPC'!$I$4="",'Data Entry'!$E3132='Visual SPC'!$I$4),OR('Visual SPC'!$K$4="",'Data Entry'!$F3132='Visual SPC'!$K$4)),1,0))</f>
        <v/>
      </c>
      <c r="C3132">
        <f>C3131+B3132</f>
        <v/>
      </c>
      <c r="D3132">
        <f>IF(B3132=1,INDEX('Data Entry'!$H$5:$BE$10004,3132-4,'Visual SPC'!$B$3),"")</f>
        <v/>
      </c>
      <c r="E3132">
        <f>IF(B3132=1,D3132,E3131)</f>
        <v/>
      </c>
      <c r="F3132">
        <f>IF(AND(B3132=1,C3132&gt;1,E3131&lt;&gt;""),ABS(D3132-E3131),"")</f>
        <v/>
      </c>
    </row>
    <row r="3133">
      <c r="A3133" t="n">
        <v>3133</v>
      </c>
      <c r="B3133">
        <f>IF(INDEX('Data Entry'!$H$5:$BE$10004,3133-4,'Visual SPC'!$B$3)="",0,IF(AND(OR('Visual SPC'!$C$4="",'Data Entry'!$C3133&gt;='Visual SPC'!$C$4),OR('Visual SPC'!$E$4="",'Data Entry'!$C3133&lt;='Visual SPC'!$E$4),OR('Visual SPC'!$G$4="",'Data Entry'!$D3133='Visual SPC'!$G$4),OR('Visual SPC'!$I$4="",'Data Entry'!$E3133='Visual SPC'!$I$4),OR('Visual SPC'!$K$4="",'Data Entry'!$F3133='Visual SPC'!$K$4)),1,0))</f>
        <v/>
      </c>
      <c r="C3133">
        <f>C3132+B3133</f>
        <v/>
      </c>
      <c r="D3133">
        <f>IF(B3133=1,INDEX('Data Entry'!$H$5:$BE$10004,3133-4,'Visual SPC'!$B$3),"")</f>
        <v/>
      </c>
      <c r="E3133">
        <f>IF(B3133=1,D3133,E3132)</f>
        <v/>
      </c>
      <c r="F3133">
        <f>IF(AND(B3133=1,C3133&gt;1,E3132&lt;&gt;""),ABS(D3133-E3132),"")</f>
        <v/>
      </c>
    </row>
    <row r="3134">
      <c r="A3134" t="n">
        <v>3134</v>
      </c>
      <c r="B3134">
        <f>IF(INDEX('Data Entry'!$H$5:$BE$10004,3134-4,'Visual SPC'!$B$3)="",0,IF(AND(OR('Visual SPC'!$C$4="",'Data Entry'!$C3134&gt;='Visual SPC'!$C$4),OR('Visual SPC'!$E$4="",'Data Entry'!$C3134&lt;='Visual SPC'!$E$4),OR('Visual SPC'!$G$4="",'Data Entry'!$D3134='Visual SPC'!$G$4),OR('Visual SPC'!$I$4="",'Data Entry'!$E3134='Visual SPC'!$I$4),OR('Visual SPC'!$K$4="",'Data Entry'!$F3134='Visual SPC'!$K$4)),1,0))</f>
        <v/>
      </c>
      <c r="C3134">
        <f>C3133+B3134</f>
        <v/>
      </c>
      <c r="D3134">
        <f>IF(B3134=1,INDEX('Data Entry'!$H$5:$BE$10004,3134-4,'Visual SPC'!$B$3),"")</f>
        <v/>
      </c>
      <c r="E3134">
        <f>IF(B3134=1,D3134,E3133)</f>
        <v/>
      </c>
      <c r="F3134">
        <f>IF(AND(B3134=1,C3134&gt;1,E3133&lt;&gt;""),ABS(D3134-E3133),"")</f>
        <v/>
      </c>
    </row>
    <row r="3135">
      <c r="A3135" t="n">
        <v>3135</v>
      </c>
      <c r="B3135">
        <f>IF(INDEX('Data Entry'!$H$5:$BE$10004,3135-4,'Visual SPC'!$B$3)="",0,IF(AND(OR('Visual SPC'!$C$4="",'Data Entry'!$C3135&gt;='Visual SPC'!$C$4),OR('Visual SPC'!$E$4="",'Data Entry'!$C3135&lt;='Visual SPC'!$E$4),OR('Visual SPC'!$G$4="",'Data Entry'!$D3135='Visual SPC'!$G$4),OR('Visual SPC'!$I$4="",'Data Entry'!$E3135='Visual SPC'!$I$4),OR('Visual SPC'!$K$4="",'Data Entry'!$F3135='Visual SPC'!$K$4)),1,0))</f>
        <v/>
      </c>
      <c r="C3135">
        <f>C3134+B3135</f>
        <v/>
      </c>
      <c r="D3135">
        <f>IF(B3135=1,INDEX('Data Entry'!$H$5:$BE$10004,3135-4,'Visual SPC'!$B$3),"")</f>
        <v/>
      </c>
      <c r="E3135">
        <f>IF(B3135=1,D3135,E3134)</f>
        <v/>
      </c>
      <c r="F3135">
        <f>IF(AND(B3135=1,C3135&gt;1,E3134&lt;&gt;""),ABS(D3135-E3134),"")</f>
        <v/>
      </c>
    </row>
    <row r="3136">
      <c r="A3136" t="n">
        <v>3136</v>
      </c>
      <c r="B3136">
        <f>IF(INDEX('Data Entry'!$H$5:$BE$10004,3136-4,'Visual SPC'!$B$3)="",0,IF(AND(OR('Visual SPC'!$C$4="",'Data Entry'!$C3136&gt;='Visual SPC'!$C$4),OR('Visual SPC'!$E$4="",'Data Entry'!$C3136&lt;='Visual SPC'!$E$4),OR('Visual SPC'!$G$4="",'Data Entry'!$D3136='Visual SPC'!$G$4),OR('Visual SPC'!$I$4="",'Data Entry'!$E3136='Visual SPC'!$I$4),OR('Visual SPC'!$K$4="",'Data Entry'!$F3136='Visual SPC'!$K$4)),1,0))</f>
        <v/>
      </c>
      <c r="C3136">
        <f>C3135+B3136</f>
        <v/>
      </c>
      <c r="D3136">
        <f>IF(B3136=1,INDEX('Data Entry'!$H$5:$BE$10004,3136-4,'Visual SPC'!$B$3),"")</f>
        <v/>
      </c>
      <c r="E3136">
        <f>IF(B3136=1,D3136,E3135)</f>
        <v/>
      </c>
      <c r="F3136">
        <f>IF(AND(B3136=1,C3136&gt;1,E3135&lt;&gt;""),ABS(D3136-E3135),"")</f>
        <v/>
      </c>
    </row>
    <row r="3137">
      <c r="A3137" t="n">
        <v>3137</v>
      </c>
      <c r="B3137">
        <f>IF(INDEX('Data Entry'!$H$5:$BE$10004,3137-4,'Visual SPC'!$B$3)="",0,IF(AND(OR('Visual SPC'!$C$4="",'Data Entry'!$C3137&gt;='Visual SPC'!$C$4),OR('Visual SPC'!$E$4="",'Data Entry'!$C3137&lt;='Visual SPC'!$E$4),OR('Visual SPC'!$G$4="",'Data Entry'!$D3137='Visual SPC'!$G$4),OR('Visual SPC'!$I$4="",'Data Entry'!$E3137='Visual SPC'!$I$4),OR('Visual SPC'!$K$4="",'Data Entry'!$F3137='Visual SPC'!$K$4)),1,0))</f>
        <v/>
      </c>
      <c r="C3137">
        <f>C3136+B3137</f>
        <v/>
      </c>
      <c r="D3137">
        <f>IF(B3137=1,INDEX('Data Entry'!$H$5:$BE$10004,3137-4,'Visual SPC'!$B$3),"")</f>
        <v/>
      </c>
      <c r="E3137">
        <f>IF(B3137=1,D3137,E3136)</f>
        <v/>
      </c>
      <c r="F3137">
        <f>IF(AND(B3137=1,C3137&gt;1,E3136&lt;&gt;""),ABS(D3137-E3136),"")</f>
        <v/>
      </c>
    </row>
    <row r="3138">
      <c r="A3138" t="n">
        <v>3138</v>
      </c>
      <c r="B3138">
        <f>IF(INDEX('Data Entry'!$H$5:$BE$10004,3138-4,'Visual SPC'!$B$3)="",0,IF(AND(OR('Visual SPC'!$C$4="",'Data Entry'!$C3138&gt;='Visual SPC'!$C$4),OR('Visual SPC'!$E$4="",'Data Entry'!$C3138&lt;='Visual SPC'!$E$4),OR('Visual SPC'!$G$4="",'Data Entry'!$D3138='Visual SPC'!$G$4),OR('Visual SPC'!$I$4="",'Data Entry'!$E3138='Visual SPC'!$I$4),OR('Visual SPC'!$K$4="",'Data Entry'!$F3138='Visual SPC'!$K$4)),1,0))</f>
        <v/>
      </c>
      <c r="C3138">
        <f>C3137+B3138</f>
        <v/>
      </c>
      <c r="D3138">
        <f>IF(B3138=1,INDEX('Data Entry'!$H$5:$BE$10004,3138-4,'Visual SPC'!$B$3),"")</f>
        <v/>
      </c>
      <c r="E3138">
        <f>IF(B3138=1,D3138,E3137)</f>
        <v/>
      </c>
      <c r="F3138">
        <f>IF(AND(B3138=1,C3138&gt;1,E3137&lt;&gt;""),ABS(D3138-E3137),"")</f>
        <v/>
      </c>
    </row>
    <row r="3139">
      <c r="A3139" t="n">
        <v>3139</v>
      </c>
      <c r="B3139">
        <f>IF(INDEX('Data Entry'!$H$5:$BE$10004,3139-4,'Visual SPC'!$B$3)="",0,IF(AND(OR('Visual SPC'!$C$4="",'Data Entry'!$C3139&gt;='Visual SPC'!$C$4),OR('Visual SPC'!$E$4="",'Data Entry'!$C3139&lt;='Visual SPC'!$E$4),OR('Visual SPC'!$G$4="",'Data Entry'!$D3139='Visual SPC'!$G$4),OR('Visual SPC'!$I$4="",'Data Entry'!$E3139='Visual SPC'!$I$4),OR('Visual SPC'!$K$4="",'Data Entry'!$F3139='Visual SPC'!$K$4)),1,0))</f>
        <v/>
      </c>
      <c r="C3139">
        <f>C3138+B3139</f>
        <v/>
      </c>
      <c r="D3139">
        <f>IF(B3139=1,INDEX('Data Entry'!$H$5:$BE$10004,3139-4,'Visual SPC'!$B$3),"")</f>
        <v/>
      </c>
      <c r="E3139">
        <f>IF(B3139=1,D3139,E3138)</f>
        <v/>
      </c>
      <c r="F3139">
        <f>IF(AND(B3139=1,C3139&gt;1,E3138&lt;&gt;""),ABS(D3139-E3138),"")</f>
        <v/>
      </c>
    </row>
    <row r="3140">
      <c r="A3140" t="n">
        <v>3140</v>
      </c>
      <c r="B3140">
        <f>IF(INDEX('Data Entry'!$H$5:$BE$10004,3140-4,'Visual SPC'!$B$3)="",0,IF(AND(OR('Visual SPC'!$C$4="",'Data Entry'!$C3140&gt;='Visual SPC'!$C$4),OR('Visual SPC'!$E$4="",'Data Entry'!$C3140&lt;='Visual SPC'!$E$4),OR('Visual SPC'!$G$4="",'Data Entry'!$D3140='Visual SPC'!$G$4),OR('Visual SPC'!$I$4="",'Data Entry'!$E3140='Visual SPC'!$I$4),OR('Visual SPC'!$K$4="",'Data Entry'!$F3140='Visual SPC'!$K$4)),1,0))</f>
        <v/>
      </c>
      <c r="C3140">
        <f>C3139+B3140</f>
        <v/>
      </c>
      <c r="D3140">
        <f>IF(B3140=1,INDEX('Data Entry'!$H$5:$BE$10004,3140-4,'Visual SPC'!$B$3),"")</f>
        <v/>
      </c>
      <c r="E3140">
        <f>IF(B3140=1,D3140,E3139)</f>
        <v/>
      </c>
      <c r="F3140">
        <f>IF(AND(B3140=1,C3140&gt;1,E3139&lt;&gt;""),ABS(D3140-E3139),"")</f>
        <v/>
      </c>
    </row>
    <row r="3141">
      <c r="A3141" t="n">
        <v>3141</v>
      </c>
      <c r="B3141">
        <f>IF(INDEX('Data Entry'!$H$5:$BE$10004,3141-4,'Visual SPC'!$B$3)="",0,IF(AND(OR('Visual SPC'!$C$4="",'Data Entry'!$C3141&gt;='Visual SPC'!$C$4),OR('Visual SPC'!$E$4="",'Data Entry'!$C3141&lt;='Visual SPC'!$E$4),OR('Visual SPC'!$G$4="",'Data Entry'!$D3141='Visual SPC'!$G$4),OR('Visual SPC'!$I$4="",'Data Entry'!$E3141='Visual SPC'!$I$4),OR('Visual SPC'!$K$4="",'Data Entry'!$F3141='Visual SPC'!$K$4)),1,0))</f>
        <v/>
      </c>
      <c r="C3141">
        <f>C3140+B3141</f>
        <v/>
      </c>
      <c r="D3141">
        <f>IF(B3141=1,INDEX('Data Entry'!$H$5:$BE$10004,3141-4,'Visual SPC'!$B$3),"")</f>
        <v/>
      </c>
      <c r="E3141">
        <f>IF(B3141=1,D3141,E3140)</f>
        <v/>
      </c>
      <c r="F3141">
        <f>IF(AND(B3141=1,C3141&gt;1,E3140&lt;&gt;""),ABS(D3141-E3140),"")</f>
        <v/>
      </c>
    </row>
    <row r="3142">
      <c r="A3142" t="n">
        <v>3142</v>
      </c>
      <c r="B3142">
        <f>IF(INDEX('Data Entry'!$H$5:$BE$10004,3142-4,'Visual SPC'!$B$3)="",0,IF(AND(OR('Visual SPC'!$C$4="",'Data Entry'!$C3142&gt;='Visual SPC'!$C$4),OR('Visual SPC'!$E$4="",'Data Entry'!$C3142&lt;='Visual SPC'!$E$4),OR('Visual SPC'!$G$4="",'Data Entry'!$D3142='Visual SPC'!$G$4),OR('Visual SPC'!$I$4="",'Data Entry'!$E3142='Visual SPC'!$I$4),OR('Visual SPC'!$K$4="",'Data Entry'!$F3142='Visual SPC'!$K$4)),1,0))</f>
        <v/>
      </c>
      <c r="C3142">
        <f>C3141+B3142</f>
        <v/>
      </c>
      <c r="D3142">
        <f>IF(B3142=1,INDEX('Data Entry'!$H$5:$BE$10004,3142-4,'Visual SPC'!$B$3),"")</f>
        <v/>
      </c>
      <c r="E3142">
        <f>IF(B3142=1,D3142,E3141)</f>
        <v/>
      </c>
      <c r="F3142">
        <f>IF(AND(B3142=1,C3142&gt;1,E3141&lt;&gt;""),ABS(D3142-E3141),"")</f>
        <v/>
      </c>
    </row>
    <row r="3143">
      <c r="A3143" t="n">
        <v>3143</v>
      </c>
      <c r="B3143">
        <f>IF(INDEX('Data Entry'!$H$5:$BE$10004,3143-4,'Visual SPC'!$B$3)="",0,IF(AND(OR('Visual SPC'!$C$4="",'Data Entry'!$C3143&gt;='Visual SPC'!$C$4),OR('Visual SPC'!$E$4="",'Data Entry'!$C3143&lt;='Visual SPC'!$E$4),OR('Visual SPC'!$G$4="",'Data Entry'!$D3143='Visual SPC'!$G$4),OR('Visual SPC'!$I$4="",'Data Entry'!$E3143='Visual SPC'!$I$4),OR('Visual SPC'!$K$4="",'Data Entry'!$F3143='Visual SPC'!$K$4)),1,0))</f>
        <v/>
      </c>
      <c r="C3143">
        <f>C3142+B3143</f>
        <v/>
      </c>
      <c r="D3143">
        <f>IF(B3143=1,INDEX('Data Entry'!$H$5:$BE$10004,3143-4,'Visual SPC'!$B$3),"")</f>
        <v/>
      </c>
      <c r="E3143">
        <f>IF(B3143=1,D3143,E3142)</f>
        <v/>
      </c>
      <c r="F3143">
        <f>IF(AND(B3143=1,C3143&gt;1,E3142&lt;&gt;""),ABS(D3143-E3142),"")</f>
        <v/>
      </c>
    </row>
    <row r="3144">
      <c r="A3144" t="n">
        <v>3144</v>
      </c>
      <c r="B3144">
        <f>IF(INDEX('Data Entry'!$H$5:$BE$10004,3144-4,'Visual SPC'!$B$3)="",0,IF(AND(OR('Visual SPC'!$C$4="",'Data Entry'!$C3144&gt;='Visual SPC'!$C$4),OR('Visual SPC'!$E$4="",'Data Entry'!$C3144&lt;='Visual SPC'!$E$4),OR('Visual SPC'!$G$4="",'Data Entry'!$D3144='Visual SPC'!$G$4),OR('Visual SPC'!$I$4="",'Data Entry'!$E3144='Visual SPC'!$I$4),OR('Visual SPC'!$K$4="",'Data Entry'!$F3144='Visual SPC'!$K$4)),1,0))</f>
        <v/>
      </c>
      <c r="C3144">
        <f>C3143+B3144</f>
        <v/>
      </c>
      <c r="D3144">
        <f>IF(B3144=1,INDEX('Data Entry'!$H$5:$BE$10004,3144-4,'Visual SPC'!$B$3),"")</f>
        <v/>
      </c>
      <c r="E3144">
        <f>IF(B3144=1,D3144,E3143)</f>
        <v/>
      </c>
      <c r="F3144">
        <f>IF(AND(B3144=1,C3144&gt;1,E3143&lt;&gt;""),ABS(D3144-E3143),"")</f>
        <v/>
      </c>
    </row>
    <row r="3145">
      <c r="A3145" t="n">
        <v>3145</v>
      </c>
      <c r="B3145">
        <f>IF(INDEX('Data Entry'!$H$5:$BE$10004,3145-4,'Visual SPC'!$B$3)="",0,IF(AND(OR('Visual SPC'!$C$4="",'Data Entry'!$C3145&gt;='Visual SPC'!$C$4),OR('Visual SPC'!$E$4="",'Data Entry'!$C3145&lt;='Visual SPC'!$E$4),OR('Visual SPC'!$G$4="",'Data Entry'!$D3145='Visual SPC'!$G$4),OR('Visual SPC'!$I$4="",'Data Entry'!$E3145='Visual SPC'!$I$4),OR('Visual SPC'!$K$4="",'Data Entry'!$F3145='Visual SPC'!$K$4)),1,0))</f>
        <v/>
      </c>
      <c r="C3145">
        <f>C3144+B3145</f>
        <v/>
      </c>
      <c r="D3145">
        <f>IF(B3145=1,INDEX('Data Entry'!$H$5:$BE$10004,3145-4,'Visual SPC'!$B$3),"")</f>
        <v/>
      </c>
      <c r="E3145">
        <f>IF(B3145=1,D3145,E3144)</f>
        <v/>
      </c>
      <c r="F3145">
        <f>IF(AND(B3145=1,C3145&gt;1,E3144&lt;&gt;""),ABS(D3145-E3144),"")</f>
        <v/>
      </c>
    </row>
    <row r="3146">
      <c r="A3146" t="n">
        <v>3146</v>
      </c>
      <c r="B3146">
        <f>IF(INDEX('Data Entry'!$H$5:$BE$10004,3146-4,'Visual SPC'!$B$3)="",0,IF(AND(OR('Visual SPC'!$C$4="",'Data Entry'!$C3146&gt;='Visual SPC'!$C$4),OR('Visual SPC'!$E$4="",'Data Entry'!$C3146&lt;='Visual SPC'!$E$4),OR('Visual SPC'!$G$4="",'Data Entry'!$D3146='Visual SPC'!$G$4),OR('Visual SPC'!$I$4="",'Data Entry'!$E3146='Visual SPC'!$I$4),OR('Visual SPC'!$K$4="",'Data Entry'!$F3146='Visual SPC'!$K$4)),1,0))</f>
        <v/>
      </c>
      <c r="C3146">
        <f>C3145+B3146</f>
        <v/>
      </c>
      <c r="D3146">
        <f>IF(B3146=1,INDEX('Data Entry'!$H$5:$BE$10004,3146-4,'Visual SPC'!$B$3),"")</f>
        <v/>
      </c>
      <c r="E3146">
        <f>IF(B3146=1,D3146,E3145)</f>
        <v/>
      </c>
      <c r="F3146">
        <f>IF(AND(B3146=1,C3146&gt;1,E3145&lt;&gt;""),ABS(D3146-E3145),"")</f>
        <v/>
      </c>
    </row>
    <row r="3147">
      <c r="A3147" t="n">
        <v>3147</v>
      </c>
      <c r="B3147">
        <f>IF(INDEX('Data Entry'!$H$5:$BE$10004,3147-4,'Visual SPC'!$B$3)="",0,IF(AND(OR('Visual SPC'!$C$4="",'Data Entry'!$C3147&gt;='Visual SPC'!$C$4),OR('Visual SPC'!$E$4="",'Data Entry'!$C3147&lt;='Visual SPC'!$E$4),OR('Visual SPC'!$G$4="",'Data Entry'!$D3147='Visual SPC'!$G$4),OR('Visual SPC'!$I$4="",'Data Entry'!$E3147='Visual SPC'!$I$4),OR('Visual SPC'!$K$4="",'Data Entry'!$F3147='Visual SPC'!$K$4)),1,0))</f>
        <v/>
      </c>
      <c r="C3147">
        <f>C3146+B3147</f>
        <v/>
      </c>
      <c r="D3147">
        <f>IF(B3147=1,INDEX('Data Entry'!$H$5:$BE$10004,3147-4,'Visual SPC'!$B$3),"")</f>
        <v/>
      </c>
      <c r="E3147">
        <f>IF(B3147=1,D3147,E3146)</f>
        <v/>
      </c>
      <c r="F3147">
        <f>IF(AND(B3147=1,C3147&gt;1,E3146&lt;&gt;""),ABS(D3147-E3146),"")</f>
        <v/>
      </c>
    </row>
    <row r="3148">
      <c r="A3148" t="n">
        <v>3148</v>
      </c>
      <c r="B3148">
        <f>IF(INDEX('Data Entry'!$H$5:$BE$10004,3148-4,'Visual SPC'!$B$3)="",0,IF(AND(OR('Visual SPC'!$C$4="",'Data Entry'!$C3148&gt;='Visual SPC'!$C$4),OR('Visual SPC'!$E$4="",'Data Entry'!$C3148&lt;='Visual SPC'!$E$4),OR('Visual SPC'!$G$4="",'Data Entry'!$D3148='Visual SPC'!$G$4),OR('Visual SPC'!$I$4="",'Data Entry'!$E3148='Visual SPC'!$I$4),OR('Visual SPC'!$K$4="",'Data Entry'!$F3148='Visual SPC'!$K$4)),1,0))</f>
        <v/>
      </c>
      <c r="C3148">
        <f>C3147+B3148</f>
        <v/>
      </c>
      <c r="D3148">
        <f>IF(B3148=1,INDEX('Data Entry'!$H$5:$BE$10004,3148-4,'Visual SPC'!$B$3),"")</f>
        <v/>
      </c>
      <c r="E3148">
        <f>IF(B3148=1,D3148,E3147)</f>
        <v/>
      </c>
      <c r="F3148">
        <f>IF(AND(B3148=1,C3148&gt;1,E3147&lt;&gt;""),ABS(D3148-E3147),"")</f>
        <v/>
      </c>
    </row>
    <row r="3149">
      <c r="A3149" t="n">
        <v>3149</v>
      </c>
      <c r="B3149">
        <f>IF(INDEX('Data Entry'!$H$5:$BE$10004,3149-4,'Visual SPC'!$B$3)="",0,IF(AND(OR('Visual SPC'!$C$4="",'Data Entry'!$C3149&gt;='Visual SPC'!$C$4),OR('Visual SPC'!$E$4="",'Data Entry'!$C3149&lt;='Visual SPC'!$E$4),OR('Visual SPC'!$G$4="",'Data Entry'!$D3149='Visual SPC'!$G$4),OR('Visual SPC'!$I$4="",'Data Entry'!$E3149='Visual SPC'!$I$4),OR('Visual SPC'!$K$4="",'Data Entry'!$F3149='Visual SPC'!$K$4)),1,0))</f>
        <v/>
      </c>
      <c r="C3149">
        <f>C3148+B3149</f>
        <v/>
      </c>
      <c r="D3149">
        <f>IF(B3149=1,INDEX('Data Entry'!$H$5:$BE$10004,3149-4,'Visual SPC'!$B$3),"")</f>
        <v/>
      </c>
      <c r="E3149">
        <f>IF(B3149=1,D3149,E3148)</f>
        <v/>
      </c>
      <c r="F3149">
        <f>IF(AND(B3149=1,C3149&gt;1,E3148&lt;&gt;""),ABS(D3149-E3148),"")</f>
        <v/>
      </c>
    </row>
    <row r="3150">
      <c r="A3150" t="n">
        <v>3150</v>
      </c>
      <c r="B3150">
        <f>IF(INDEX('Data Entry'!$H$5:$BE$10004,3150-4,'Visual SPC'!$B$3)="",0,IF(AND(OR('Visual SPC'!$C$4="",'Data Entry'!$C3150&gt;='Visual SPC'!$C$4),OR('Visual SPC'!$E$4="",'Data Entry'!$C3150&lt;='Visual SPC'!$E$4),OR('Visual SPC'!$G$4="",'Data Entry'!$D3150='Visual SPC'!$G$4),OR('Visual SPC'!$I$4="",'Data Entry'!$E3150='Visual SPC'!$I$4),OR('Visual SPC'!$K$4="",'Data Entry'!$F3150='Visual SPC'!$K$4)),1,0))</f>
        <v/>
      </c>
      <c r="C3150">
        <f>C3149+B3150</f>
        <v/>
      </c>
      <c r="D3150">
        <f>IF(B3150=1,INDEX('Data Entry'!$H$5:$BE$10004,3150-4,'Visual SPC'!$B$3),"")</f>
        <v/>
      </c>
      <c r="E3150">
        <f>IF(B3150=1,D3150,E3149)</f>
        <v/>
      </c>
      <c r="F3150">
        <f>IF(AND(B3150=1,C3150&gt;1,E3149&lt;&gt;""),ABS(D3150-E3149),"")</f>
        <v/>
      </c>
    </row>
    <row r="3151">
      <c r="A3151" t="n">
        <v>3151</v>
      </c>
      <c r="B3151">
        <f>IF(INDEX('Data Entry'!$H$5:$BE$10004,3151-4,'Visual SPC'!$B$3)="",0,IF(AND(OR('Visual SPC'!$C$4="",'Data Entry'!$C3151&gt;='Visual SPC'!$C$4),OR('Visual SPC'!$E$4="",'Data Entry'!$C3151&lt;='Visual SPC'!$E$4),OR('Visual SPC'!$G$4="",'Data Entry'!$D3151='Visual SPC'!$G$4),OR('Visual SPC'!$I$4="",'Data Entry'!$E3151='Visual SPC'!$I$4),OR('Visual SPC'!$K$4="",'Data Entry'!$F3151='Visual SPC'!$K$4)),1,0))</f>
        <v/>
      </c>
      <c r="C3151">
        <f>C3150+B3151</f>
        <v/>
      </c>
      <c r="D3151">
        <f>IF(B3151=1,INDEX('Data Entry'!$H$5:$BE$10004,3151-4,'Visual SPC'!$B$3),"")</f>
        <v/>
      </c>
      <c r="E3151">
        <f>IF(B3151=1,D3151,E3150)</f>
        <v/>
      </c>
      <c r="F3151">
        <f>IF(AND(B3151=1,C3151&gt;1,E3150&lt;&gt;""),ABS(D3151-E3150),"")</f>
        <v/>
      </c>
    </row>
    <row r="3152">
      <c r="A3152" t="n">
        <v>3152</v>
      </c>
      <c r="B3152">
        <f>IF(INDEX('Data Entry'!$H$5:$BE$10004,3152-4,'Visual SPC'!$B$3)="",0,IF(AND(OR('Visual SPC'!$C$4="",'Data Entry'!$C3152&gt;='Visual SPC'!$C$4),OR('Visual SPC'!$E$4="",'Data Entry'!$C3152&lt;='Visual SPC'!$E$4),OR('Visual SPC'!$G$4="",'Data Entry'!$D3152='Visual SPC'!$G$4),OR('Visual SPC'!$I$4="",'Data Entry'!$E3152='Visual SPC'!$I$4),OR('Visual SPC'!$K$4="",'Data Entry'!$F3152='Visual SPC'!$K$4)),1,0))</f>
        <v/>
      </c>
      <c r="C3152">
        <f>C3151+B3152</f>
        <v/>
      </c>
      <c r="D3152">
        <f>IF(B3152=1,INDEX('Data Entry'!$H$5:$BE$10004,3152-4,'Visual SPC'!$B$3),"")</f>
        <v/>
      </c>
      <c r="E3152">
        <f>IF(B3152=1,D3152,E3151)</f>
        <v/>
      </c>
      <c r="F3152">
        <f>IF(AND(B3152=1,C3152&gt;1,E3151&lt;&gt;""),ABS(D3152-E3151),"")</f>
        <v/>
      </c>
    </row>
    <row r="3153">
      <c r="A3153" t="n">
        <v>3153</v>
      </c>
      <c r="B3153">
        <f>IF(INDEX('Data Entry'!$H$5:$BE$10004,3153-4,'Visual SPC'!$B$3)="",0,IF(AND(OR('Visual SPC'!$C$4="",'Data Entry'!$C3153&gt;='Visual SPC'!$C$4),OR('Visual SPC'!$E$4="",'Data Entry'!$C3153&lt;='Visual SPC'!$E$4),OR('Visual SPC'!$G$4="",'Data Entry'!$D3153='Visual SPC'!$G$4),OR('Visual SPC'!$I$4="",'Data Entry'!$E3153='Visual SPC'!$I$4),OR('Visual SPC'!$K$4="",'Data Entry'!$F3153='Visual SPC'!$K$4)),1,0))</f>
        <v/>
      </c>
      <c r="C3153">
        <f>C3152+B3153</f>
        <v/>
      </c>
      <c r="D3153">
        <f>IF(B3153=1,INDEX('Data Entry'!$H$5:$BE$10004,3153-4,'Visual SPC'!$B$3),"")</f>
        <v/>
      </c>
      <c r="E3153">
        <f>IF(B3153=1,D3153,E3152)</f>
        <v/>
      </c>
      <c r="F3153">
        <f>IF(AND(B3153=1,C3153&gt;1,E3152&lt;&gt;""),ABS(D3153-E3152),"")</f>
        <v/>
      </c>
    </row>
    <row r="3154">
      <c r="A3154" t="n">
        <v>3154</v>
      </c>
      <c r="B3154">
        <f>IF(INDEX('Data Entry'!$H$5:$BE$10004,3154-4,'Visual SPC'!$B$3)="",0,IF(AND(OR('Visual SPC'!$C$4="",'Data Entry'!$C3154&gt;='Visual SPC'!$C$4),OR('Visual SPC'!$E$4="",'Data Entry'!$C3154&lt;='Visual SPC'!$E$4),OR('Visual SPC'!$G$4="",'Data Entry'!$D3154='Visual SPC'!$G$4),OR('Visual SPC'!$I$4="",'Data Entry'!$E3154='Visual SPC'!$I$4),OR('Visual SPC'!$K$4="",'Data Entry'!$F3154='Visual SPC'!$K$4)),1,0))</f>
        <v/>
      </c>
      <c r="C3154">
        <f>C3153+B3154</f>
        <v/>
      </c>
      <c r="D3154">
        <f>IF(B3154=1,INDEX('Data Entry'!$H$5:$BE$10004,3154-4,'Visual SPC'!$B$3),"")</f>
        <v/>
      </c>
      <c r="E3154">
        <f>IF(B3154=1,D3154,E3153)</f>
        <v/>
      </c>
      <c r="F3154">
        <f>IF(AND(B3154=1,C3154&gt;1,E3153&lt;&gt;""),ABS(D3154-E3153),"")</f>
        <v/>
      </c>
    </row>
    <row r="3155">
      <c r="A3155" t="n">
        <v>3155</v>
      </c>
      <c r="B3155">
        <f>IF(INDEX('Data Entry'!$H$5:$BE$10004,3155-4,'Visual SPC'!$B$3)="",0,IF(AND(OR('Visual SPC'!$C$4="",'Data Entry'!$C3155&gt;='Visual SPC'!$C$4),OR('Visual SPC'!$E$4="",'Data Entry'!$C3155&lt;='Visual SPC'!$E$4),OR('Visual SPC'!$G$4="",'Data Entry'!$D3155='Visual SPC'!$G$4),OR('Visual SPC'!$I$4="",'Data Entry'!$E3155='Visual SPC'!$I$4),OR('Visual SPC'!$K$4="",'Data Entry'!$F3155='Visual SPC'!$K$4)),1,0))</f>
        <v/>
      </c>
      <c r="C3155">
        <f>C3154+B3155</f>
        <v/>
      </c>
      <c r="D3155">
        <f>IF(B3155=1,INDEX('Data Entry'!$H$5:$BE$10004,3155-4,'Visual SPC'!$B$3),"")</f>
        <v/>
      </c>
      <c r="E3155">
        <f>IF(B3155=1,D3155,E3154)</f>
        <v/>
      </c>
      <c r="F3155">
        <f>IF(AND(B3155=1,C3155&gt;1,E3154&lt;&gt;""),ABS(D3155-E3154),"")</f>
        <v/>
      </c>
    </row>
    <row r="3156">
      <c r="A3156" t="n">
        <v>3156</v>
      </c>
      <c r="B3156">
        <f>IF(INDEX('Data Entry'!$H$5:$BE$10004,3156-4,'Visual SPC'!$B$3)="",0,IF(AND(OR('Visual SPC'!$C$4="",'Data Entry'!$C3156&gt;='Visual SPC'!$C$4),OR('Visual SPC'!$E$4="",'Data Entry'!$C3156&lt;='Visual SPC'!$E$4),OR('Visual SPC'!$G$4="",'Data Entry'!$D3156='Visual SPC'!$G$4),OR('Visual SPC'!$I$4="",'Data Entry'!$E3156='Visual SPC'!$I$4),OR('Visual SPC'!$K$4="",'Data Entry'!$F3156='Visual SPC'!$K$4)),1,0))</f>
        <v/>
      </c>
      <c r="C3156">
        <f>C3155+B3156</f>
        <v/>
      </c>
      <c r="D3156">
        <f>IF(B3156=1,INDEX('Data Entry'!$H$5:$BE$10004,3156-4,'Visual SPC'!$B$3),"")</f>
        <v/>
      </c>
      <c r="E3156">
        <f>IF(B3156=1,D3156,E3155)</f>
        <v/>
      </c>
      <c r="F3156">
        <f>IF(AND(B3156=1,C3156&gt;1,E3155&lt;&gt;""),ABS(D3156-E3155),"")</f>
        <v/>
      </c>
    </row>
    <row r="3157">
      <c r="A3157" t="n">
        <v>3157</v>
      </c>
      <c r="B3157">
        <f>IF(INDEX('Data Entry'!$H$5:$BE$10004,3157-4,'Visual SPC'!$B$3)="",0,IF(AND(OR('Visual SPC'!$C$4="",'Data Entry'!$C3157&gt;='Visual SPC'!$C$4),OR('Visual SPC'!$E$4="",'Data Entry'!$C3157&lt;='Visual SPC'!$E$4),OR('Visual SPC'!$G$4="",'Data Entry'!$D3157='Visual SPC'!$G$4),OR('Visual SPC'!$I$4="",'Data Entry'!$E3157='Visual SPC'!$I$4),OR('Visual SPC'!$K$4="",'Data Entry'!$F3157='Visual SPC'!$K$4)),1,0))</f>
        <v/>
      </c>
      <c r="C3157">
        <f>C3156+B3157</f>
        <v/>
      </c>
      <c r="D3157">
        <f>IF(B3157=1,INDEX('Data Entry'!$H$5:$BE$10004,3157-4,'Visual SPC'!$B$3),"")</f>
        <v/>
      </c>
      <c r="E3157">
        <f>IF(B3157=1,D3157,E3156)</f>
        <v/>
      </c>
      <c r="F3157">
        <f>IF(AND(B3157=1,C3157&gt;1,E3156&lt;&gt;""),ABS(D3157-E3156),"")</f>
        <v/>
      </c>
    </row>
    <row r="3158">
      <c r="A3158" t="n">
        <v>3158</v>
      </c>
      <c r="B3158">
        <f>IF(INDEX('Data Entry'!$H$5:$BE$10004,3158-4,'Visual SPC'!$B$3)="",0,IF(AND(OR('Visual SPC'!$C$4="",'Data Entry'!$C3158&gt;='Visual SPC'!$C$4),OR('Visual SPC'!$E$4="",'Data Entry'!$C3158&lt;='Visual SPC'!$E$4),OR('Visual SPC'!$G$4="",'Data Entry'!$D3158='Visual SPC'!$G$4),OR('Visual SPC'!$I$4="",'Data Entry'!$E3158='Visual SPC'!$I$4),OR('Visual SPC'!$K$4="",'Data Entry'!$F3158='Visual SPC'!$K$4)),1,0))</f>
        <v/>
      </c>
      <c r="C3158">
        <f>C3157+B3158</f>
        <v/>
      </c>
      <c r="D3158">
        <f>IF(B3158=1,INDEX('Data Entry'!$H$5:$BE$10004,3158-4,'Visual SPC'!$B$3),"")</f>
        <v/>
      </c>
      <c r="E3158">
        <f>IF(B3158=1,D3158,E3157)</f>
        <v/>
      </c>
      <c r="F3158">
        <f>IF(AND(B3158=1,C3158&gt;1,E3157&lt;&gt;""),ABS(D3158-E3157),"")</f>
        <v/>
      </c>
    </row>
    <row r="3159">
      <c r="A3159" t="n">
        <v>3159</v>
      </c>
      <c r="B3159">
        <f>IF(INDEX('Data Entry'!$H$5:$BE$10004,3159-4,'Visual SPC'!$B$3)="",0,IF(AND(OR('Visual SPC'!$C$4="",'Data Entry'!$C3159&gt;='Visual SPC'!$C$4),OR('Visual SPC'!$E$4="",'Data Entry'!$C3159&lt;='Visual SPC'!$E$4),OR('Visual SPC'!$G$4="",'Data Entry'!$D3159='Visual SPC'!$G$4),OR('Visual SPC'!$I$4="",'Data Entry'!$E3159='Visual SPC'!$I$4),OR('Visual SPC'!$K$4="",'Data Entry'!$F3159='Visual SPC'!$K$4)),1,0))</f>
        <v/>
      </c>
      <c r="C3159">
        <f>C3158+B3159</f>
        <v/>
      </c>
      <c r="D3159">
        <f>IF(B3159=1,INDEX('Data Entry'!$H$5:$BE$10004,3159-4,'Visual SPC'!$B$3),"")</f>
        <v/>
      </c>
      <c r="E3159">
        <f>IF(B3159=1,D3159,E3158)</f>
        <v/>
      </c>
      <c r="F3159">
        <f>IF(AND(B3159=1,C3159&gt;1,E3158&lt;&gt;""),ABS(D3159-E3158),"")</f>
        <v/>
      </c>
    </row>
    <row r="3160">
      <c r="A3160" t="n">
        <v>3160</v>
      </c>
      <c r="B3160">
        <f>IF(INDEX('Data Entry'!$H$5:$BE$10004,3160-4,'Visual SPC'!$B$3)="",0,IF(AND(OR('Visual SPC'!$C$4="",'Data Entry'!$C3160&gt;='Visual SPC'!$C$4),OR('Visual SPC'!$E$4="",'Data Entry'!$C3160&lt;='Visual SPC'!$E$4),OR('Visual SPC'!$G$4="",'Data Entry'!$D3160='Visual SPC'!$G$4),OR('Visual SPC'!$I$4="",'Data Entry'!$E3160='Visual SPC'!$I$4),OR('Visual SPC'!$K$4="",'Data Entry'!$F3160='Visual SPC'!$K$4)),1,0))</f>
        <v/>
      </c>
      <c r="C3160">
        <f>C3159+B3160</f>
        <v/>
      </c>
      <c r="D3160">
        <f>IF(B3160=1,INDEX('Data Entry'!$H$5:$BE$10004,3160-4,'Visual SPC'!$B$3),"")</f>
        <v/>
      </c>
      <c r="E3160">
        <f>IF(B3160=1,D3160,E3159)</f>
        <v/>
      </c>
      <c r="F3160">
        <f>IF(AND(B3160=1,C3160&gt;1,E3159&lt;&gt;""),ABS(D3160-E3159),"")</f>
        <v/>
      </c>
    </row>
    <row r="3161">
      <c r="A3161" t="n">
        <v>3161</v>
      </c>
      <c r="B3161">
        <f>IF(INDEX('Data Entry'!$H$5:$BE$10004,3161-4,'Visual SPC'!$B$3)="",0,IF(AND(OR('Visual SPC'!$C$4="",'Data Entry'!$C3161&gt;='Visual SPC'!$C$4),OR('Visual SPC'!$E$4="",'Data Entry'!$C3161&lt;='Visual SPC'!$E$4),OR('Visual SPC'!$G$4="",'Data Entry'!$D3161='Visual SPC'!$G$4),OR('Visual SPC'!$I$4="",'Data Entry'!$E3161='Visual SPC'!$I$4),OR('Visual SPC'!$K$4="",'Data Entry'!$F3161='Visual SPC'!$K$4)),1,0))</f>
        <v/>
      </c>
      <c r="C3161">
        <f>C3160+B3161</f>
        <v/>
      </c>
      <c r="D3161">
        <f>IF(B3161=1,INDEX('Data Entry'!$H$5:$BE$10004,3161-4,'Visual SPC'!$B$3),"")</f>
        <v/>
      </c>
      <c r="E3161">
        <f>IF(B3161=1,D3161,E3160)</f>
        <v/>
      </c>
      <c r="F3161">
        <f>IF(AND(B3161=1,C3161&gt;1,E3160&lt;&gt;""),ABS(D3161-E3160),"")</f>
        <v/>
      </c>
    </row>
    <row r="3162">
      <c r="A3162" t="n">
        <v>3162</v>
      </c>
      <c r="B3162">
        <f>IF(INDEX('Data Entry'!$H$5:$BE$10004,3162-4,'Visual SPC'!$B$3)="",0,IF(AND(OR('Visual SPC'!$C$4="",'Data Entry'!$C3162&gt;='Visual SPC'!$C$4),OR('Visual SPC'!$E$4="",'Data Entry'!$C3162&lt;='Visual SPC'!$E$4),OR('Visual SPC'!$G$4="",'Data Entry'!$D3162='Visual SPC'!$G$4),OR('Visual SPC'!$I$4="",'Data Entry'!$E3162='Visual SPC'!$I$4),OR('Visual SPC'!$K$4="",'Data Entry'!$F3162='Visual SPC'!$K$4)),1,0))</f>
        <v/>
      </c>
      <c r="C3162">
        <f>C3161+B3162</f>
        <v/>
      </c>
      <c r="D3162">
        <f>IF(B3162=1,INDEX('Data Entry'!$H$5:$BE$10004,3162-4,'Visual SPC'!$B$3),"")</f>
        <v/>
      </c>
      <c r="E3162">
        <f>IF(B3162=1,D3162,E3161)</f>
        <v/>
      </c>
      <c r="F3162">
        <f>IF(AND(B3162=1,C3162&gt;1,E3161&lt;&gt;""),ABS(D3162-E3161),"")</f>
        <v/>
      </c>
    </row>
    <row r="3163">
      <c r="A3163" t="n">
        <v>3163</v>
      </c>
      <c r="B3163">
        <f>IF(INDEX('Data Entry'!$H$5:$BE$10004,3163-4,'Visual SPC'!$B$3)="",0,IF(AND(OR('Visual SPC'!$C$4="",'Data Entry'!$C3163&gt;='Visual SPC'!$C$4),OR('Visual SPC'!$E$4="",'Data Entry'!$C3163&lt;='Visual SPC'!$E$4),OR('Visual SPC'!$G$4="",'Data Entry'!$D3163='Visual SPC'!$G$4),OR('Visual SPC'!$I$4="",'Data Entry'!$E3163='Visual SPC'!$I$4),OR('Visual SPC'!$K$4="",'Data Entry'!$F3163='Visual SPC'!$K$4)),1,0))</f>
        <v/>
      </c>
      <c r="C3163">
        <f>C3162+B3163</f>
        <v/>
      </c>
      <c r="D3163">
        <f>IF(B3163=1,INDEX('Data Entry'!$H$5:$BE$10004,3163-4,'Visual SPC'!$B$3),"")</f>
        <v/>
      </c>
      <c r="E3163">
        <f>IF(B3163=1,D3163,E3162)</f>
        <v/>
      </c>
      <c r="F3163">
        <f>IF(AND(B3163=1,C3163&gt;1,E3162&lt;&gt;""),ABS(D3163-E3162),"")</f>
        <v/>
      </c>
    </row>
    <row r="3164">
      <c r="A3164" t="n">
        <v>3164</v>
      </c>
      <c r="B3164">
        <f>IF(INDEX('Data Entry'!$H$5:$BE$10004,3164-4,'Visual SPC'!$B$3)="",0,IF(AND(OR('Visual SPC'!$C$4="",'Data Entry'!$C3164&gt;='Visual SPC'!$C$4),OR('Visual SPC'!$E$4="",'Data Entry'!$C3164&lt;='Visual SPC'!$E$4),OR('Visual SPC'!$G$4="",'Data Entry'!$D3164='Visual SPC'!$G$4),OR('Visual SPC'!$I$4="",'Data Entry'!$E3164='Visual SPC'!$I$4),OR('Visual SPC'!$K$4="",'Data Entry'!$F3164='Visual SPC'!$K$4)),1,0))</f>
        <v/>
      </c>
      <c r="C3164">
        <f>C3163+B3164</f>
        <v/>
      </c>
      <c r="D3164">
        <f>IF(B3164=1,INDEX('Data Entry'!$H$5:$BE$10004,3164-4,'Visual SPC'!$B$3),"")</f>
        <v/>
      </c>
      <c r="E3164">
        <f>IF(B3164=1,D3164,E3163)</f>
        <v/>
      </c>
      <c r="F3164">
        <f>IF(AND(B3164=1,C3164&gt;1,E3163&lt;&gt;""),ABS(D3164-E3163),"")</f>
        <v/>
      </c>
    </row>
    <row r="3165">
      <c r="A3165" t="n">
        <v>3165</v>
      </c>
      <c r="B3165">
        <f>IF(INDEX('Data Entry'!$H$5:$BE$10004,3165-4,'Visual SPC'!$B$3)="",0,IF(AND(OR('Visual SPC'!$C$4="",'Data Entry'!$C3165&gt;='Visual SPC'!$C$4),OR('Visual SPC'!$E$4="",'Data Entry'!$C3165&lt;='Visual SPC'!$E$4),OR('Visual SPC'!$G$4="",'Data Entry'!$D3165='Visual SPC'!$G$4),OR('Visual SPC'!$I$4="",'Data Entry'!$E3165='Visual SPC'!$I$4),OR('Visual SPC'!$K$4="",'Data Entry'!$F3165='Visual SPC'!$K$4)),1,0))</f>
        <v/>
      </c>
      <c r="C3165">
        <f>C3164+B3165</f>
        <v/>
      </c>
      <c r="D3165">
        <f>IF(B3165=1,INDEX('Data Entry'!$H$5:$BE$10004,3165-4,'Visual SPC'!$B$3),"")</f>
        <v/>
      </c>
      <c r="E3165">
        <f>IF(B3165=1,D3165,E3164)</f>
        <v/>
      </c>
      <c r="F3165">
        <f>IF(AND(B3165=1,C3165&gt;1,E3164&lt;&gt;""),ABS(D3165-E3164),"")</f>
        <v/>
      </c>
    </row>
    <row r="3166">
      <c r="A3166" t="n">
        <v>3166</v>
      </c>
      <c r="B3166">
        <f>IF(INDEX('Data Entry'!$H$5:$BE$10004,3166-4,'Visual SPC'!$B$3)="",0,IF(AND(OR('Visual SPC'!$C$4="",'Data Entry'!$C3166&gt;='Visual SPC'!$C$4),OR('Visual SPC'!$E$4="",'Data Entry'!$C3166&lt;='Visual SPC'!$E$4),OR('Visual SPC'!$G$4="",'Data Entry'!$D3166='Visual SPC'!$G$4),OR('Visual SPC'!$I$4="",'Data Entry'!$E3166='Visual SPC'!$I$4),OR('Visual SPC'!$K$4="",'Data Entry'!$F3166='Visual SPC'!$K$4)),1,0))</f>
        <v/>
      </c>
      <c r="C3166">
        <f>C3165+B3166</f>
        <v/>
      </c>
      <c r="D3166">
        <f>IF(B3166=1,INDEX('Data Entry'!$H$5:$BE$10004,3166-4,'Visual SPC'!$B$3),"")</f>
        <v/>
      </c>
      <c r="E3166">
        <f>IF(B3166=1,D3166,E3165)</f>
        <v/>
      </c>
      <c r="F3166">
        <f>IF(AND(B3166=1,C3166&gt;1,E3165&lt;&gt;""),ABS(D3166-E3165),"")</f>
        <v/>
      </c>
    </row>
    <row r="3167">
      <c r="A3167" t="n">
        <v>3167</v>
      </c>
      <c r="B3167">
        <f>IF(INDEX('Data Entry'!$H$5:$BE$10004,3167-4,'Visual SPC'!$B$3)="",0,IF(AND(OR('Visual SPC'!$C$4="",'Data Entry'!$C3167&gt;='Visual SPC'!$C$4),OR('Visual SPC'!$E$4="",'Data Entry'!$C3167&lt;='Visual SPC'!$E$4),OR('Visual SPC'!$G$4="",'Data Entry'!$D3167='Visual SPC'!$G$4),OR('Visual SPC'!$I$4="",'Data Entry'!$E3167='Visual SPC'!$I$4),OR('Visual SPC'!$K$4="",'Data Entry'!$F3167='Visual SPC'!$K$4)),1,0))</f>
        <v/>
      </c>
      <c r="C3167">
        <f>C3166+B3167</f>
        <v/>
      </c>
      <c r="D3167">
        <f>IF(B3167=1,INDEX('Data Entry'!$H$5:$BE$10004,3167-4,'Visual SPC'!$B$3),"")</f>
        <v/>
      </c>
      <c r="E3167">
        <f>IF(B3167=1,D3167,E3166)</f>
        <v/>
      </c>
      <c r="F3167">
        <f>IF(AND(B3167=1,C3167&gt;1,E3166&lt;&gt;""),ABS(D3167-E3166),"")</f>
        <v/>
      </c>
    </row>
    <row r="3168">
      <c r="A3168" t="n">
        <v>3168</v>
      </c>
      <c r="B3168">
        <f>IF(INDEX('Data Entry'!$H$5:$BE$10004,3168-4,'Visual SPC'!$B$3)="",0,IF(AND(OR('Visual SPC'!$C$4="",'Data Entry'!$C3168&gt;='Visual SPC'!$C$4),OR('Visual SPC'!$E$4="",'Data Entry'!$C3168&lt;='Visual SPC'!$E$4),OR('Visual SPC'!$G$4="",'Data Entry'!$D3168='Visual SPC'!$G$4),OR('Visual SPC'!$I$4="",'Data Entry'!$E3168='Visual SPC'!$I$4),OR('Visual SPC'!$K$4="",'Data Entry'!$F3168='Visual SPC'!$K$4)),1,0))</f>
        <v/>
      </c>
      <c r="C3168">
        <f>C3167+B3168</f>
        <v/>
      </c>
      <c r="D3168">
        <f>IF(B3168=1,INDEX('Data Entry'!$H$5:$BE$10004,3168-4,'Visual SPC'!$B$3),"")</f>
        <v/>
      </c>
      <c r="E3168">
        <f>IF(B3168=1,D3168,E3167)</f>
        <v/>
      </c>
      <c r="F3168">
        <f>IF(AND(B3168=1,C3168&gt;1,E3167&lt;&gt;""),ABS(D3168-E3167),"")</f>
        <v/>
      </c>
    </row>
    <row r="3169">
      <c r="A3169" t="n">
        <v>3169</v>
      </c>
      <c r="B3169">
        <f>IF(INDEX('Data Entry'!$H$5:$BE$10004,3169-4,'Visual SPC'!$B$3)="",0,IF(AND(OR('Visual SPC'!$C$4="",'Data Entry'!$C3169&gt;='Visual SPC'!$C$4),OR('Visual SPC'!$E$4="",'Data Entry'!$C3169&lt;='Visual SPC'!$E$4),OR('Visual SPC'!$G$4="",'Data Entry'!$D3169='Visual SPC'!$G$4),OR('Visual SPC'!$I$4="",'Data Entry'!$E3169='Visual SPC'!$I$4),OR('Visual SPC'!$K$4="",'Data Entry'!$F3169='Visual SPC'!$K$4)),1,0))</f>
        <v/>
      </c>
      <c r="C3169">
        <f>C3168+B3169</f>
        <v/>
      </c>
      <c r="D3169">
        <f>IF(B3169=1,INDEX('Data Entry'!$H$5:$BE$10004,3169-4,'Visual SPC'!$B$3),"")</f>
        <v/>
      </c>
      <c r="E3169">
        <f>IF(B3169=1,D3169,E3168)</f>
        <v/>
      </c>
      <c r="F3169">
        <f>IF(AND(B3169=1,C3169&gt;1,E3168&lt;&gt;""),ABS(D3169-E3168),"")</f>
        <v/>
      </c>
    </row>
    <row r="3170">
      <c r="A3170" t="n">
        <v>3170</v>
      </c>
      <c r="B3170">
        <f>IF(INDEX('Data Entry'!$H$5:$BE$10004,3170-4,'Visual SPC'!$B$3)="",0,IF(AND(OR('Visual SPC'!$C$4="",'Data Entry'!$C3170&gt;='Visual SPC'!$C$4),OR('Visual SPC'!$E$4="",'Data Entry'!$C3170&lt;='Visual SPC'!$E$4),OR('Visual SPC'!$G$4="",'Data Entry'!$D3170='Visual SPC'!$G$4),OR('Visual SPC'!$I$4="",'Data Entry'!$E3170='Visual SPC'!$I$4),OR('Visual SPC'!$K$4="",'Data Entry'!$F3170='Visual SPC'!$K$4)),1,0))</f>
        <v/>
      </c>
      <c r="C3170">
        <f>C3169+B3170</f>
        <v/>
      </c>
      <c r="D3170">
        <f>IF(B3170=1,INDEX('Data Entry'!$H$5:$BE$10004,3170-4,'Visual SPC'!$B$3),"")</f>
        <v/>
      </c>
      <c r="E3170">
        <f>IF(B3170=1,D3170,E3169)</f>
        <v/>
      </c>
      <c r="F3170">
        <f>IF(AND(B3170=1,C3170&gt;1,E3169&lt;&gt;""),ABS(D3170-E3169),"")</f>
        <v/>
      </c>
    </row>
    <row r="3171">
      <c r="A3171" t="n">
        <v>3171</v>
      </c>
      <c r="B3171">
        <f>IF(INDEX('Data Entry'!$H$5:$BE$10004,3171-4,'Visual SPC'!$B$3)="",0,IF(AND(OR('Visual SPC'!$C$4="",'Data Entry'!$C3171&gt;='Visual SPC'!$C$4),OR('Visual SPC'!$E$4="",'Data Entry'!$C3171&lt;='Visual SPC'!$E$4),OR('Visual SPC'!$G$4="",'Data Entry'!$D3171='Visual SPC'!$G$4),OR('Visual SPC'!$I$4="",'Data Entry'!$E3171='Visual SPC'!$I$4),OR('Visual SPC'!$K$4="",'Data Entry'!$F3171='Visual SPC'!$K$4)),1,0))</f>
        <v/>
      </c>
      <c r="C3171">
        <f>C3170+B3171</f>
        <v/>
      </c>
      <c r="D3171">
        <f>IF(B3171=1,INDEX('Data Entry'!$H$5:$BE$10004,3171-4,'Visual SPC'!$B$3),"")</f>
        <v/>
      </c>
      <c r="E3171">
        <f>IF(B3171=1,D3171,E3170)</f>
        <v/>
      </c>
      <c r="F3171">
        <f>IF(AND(B3171=1,C3171&gt;1,E3170&lt;&gt;""),ABS(D3171-E3170),"")</f>
        <v/>
      </c>
    </row>
    <row r="3172">
      <c r="A3172" t="n">
        <v>3172</v>
      </c>
      <c r="B3172">
        <f>IF(INDEX('Data Entry'!$H$5:$BE$10004,3172-4,'Visual SPC'!$B$3)="",0,IF(AND(OR('Visual SPC'!$C$4="",'Data Entry'!$C3172&gt;='Visual SPC'!$C$4),OR('Visual SPC'!$E$4="",'Data Entry'!$C3172&lt;='Visual SPC'!$E$4),OR('Visual SPC'!$G$4="",'Data Entry'!$D3172='Visual SPC'!$G$4),OR('Visual SPC'!$I$4="",'Data Entry'!$E3172='Visual SPC'!$I$4),OR('Visual SPC'!$K$4="",'Data Entry'!$F3172='Visual SPC'!$K$4)),1,0))</f>
        <v/>
      </c>
      <c r="C3172">
        <f>C3171+B3172</f>
        <v/>
      </c>
      <c r="D3172">
        <f>IF(B3172=1,INDEX('Data Entry'!$H$5:$BE$10004,3172-4,'Visual SPC'!$B$3),"")</f>
        <v/>
      </c>
      <c r="E3172">
        <f>IF(B3172=1,D3172,E3171)</f>
        <v/>
      </c>
      <c r="F3172">
        <f>IF(AND(B3172=1,C3172&gt;1,E3171&lt;&gt;""),ABS(D3172-E3171),"")</f>
        <v/>
      </c>
    </row>
    <row r="3173">
      <c r="A3173" t="n">
        <v>3173</v>
      </c>
      <c r="B3173">
        <f>IF(INDEX('Data Entry'!$H$5:$BE$10004,3173-4,'Visual SPC'!$B$3)="",0,IF(AND(OR('Visual SPC'!$C$4="",'Data Entry'!$C3173&gt;='Visual SPC'!$C$4),OR('Visual SPC'!$E$4="",'Data Entry'!$C3173&lt;='Visual SPC'!$E$4),OR('Visual SPC'!$G$4="",'Data Entry'!$D3173='Visual SPC'!$G$4),OR('Visual SPC'!$I$4="",'Data Entry'!$E3173='Visual SPC'!$I$4),OR('Visual SPC'!$K$4="",'Data Entry'!$F3173='Visual SPC'!$K$4)),1,0))</f>
        <v/>
      </c>
      <c r="C3173">
        <f>C3172+B3173</f>
        <v/>
      </c>
      <c r="D3173">
        <f>IF(B3173=1,INDEX('Data Entry'!$H$5:$BE$10004,3173-4,'Visual SPC'!$B$3),"")</f>
        <v/>
      </c>
      <c r="E3173">
        <f>IF(B3173=1,D3173,E3172)</f>
        <v/>
      </c>
      <c r="F3173">
        <f>IF(AND(B3173=1,C3173&gt;1,E3172&lt;&gt;""),ABS(D3173-E3172),"")</f>
        <v/>
      </c>
    </row>
    <row r="3174">
      <c r="A3174" t="n">
        <v>3174</v>
      </c>
      <c r="B3174">
        <f>IF(INDEX('Data Entry'!$H$5:$BE$10004,3174-4,'Visual SPC'!$B$3)="",0,IF(AND(OR('Visual SPC'!$C$4="",'Data Entry'!$C3174&gt;='Visual SPC'!$C$4),OR('Visual SPC'!$E$4="",'Data Entry'!$C3174&lt;='Visual SPC'!$E$4),OR('Visual SPC'!$G$4="",'Data Entry'!$D3174='Visual SPC'!$G$4),OR('Visual SPC'!$I$4="",'Data Entry'!$E3174='Visual SPC'!$I$4),OR('Visual SPC'!$K$4="",'Data Entry'!$F3174='Visual SPC'!$K$4)),1,0))</f>
        <v/>
      </c>
      <c r="C3174">
        <f>C3173+B3174</f>
        <v/>
      </c>
      <c r="D3174">
        <f>IF(B3174=1,INDEX('Data Entry'!$H$5:$BE$10004,3174-4,'Visual SPC'!$B$3),"")</f>
        <v/>
      </c>
      <c r="E3174">
        <f>IF(B3174=1,D3174,E3173)</f>
        <v/>
      </c>
      <c r="F3174">
        <f>IF(AND(B3174=1,C3174&gt;1,E3173&lt;&gt;""),ABS(D3174-E3173),"")</f>
        <v/>
      </c>
    </row>
    <row r="3175">
      <c r="A3175" t="n">
        <v>3175</v>
      </c>
      <c r="B3175">
        <f>IF(INDEX('Data Entry'!$H$5:$BE$10004,3175-4,'Visual SPC'!$B$3)="",0,IF(AND(OR('Visual SPC'!$C$4="",'Data Entry'!$C3175&gt;='Visual SPC'!$C$4),OR('Visual SPC'!$E$4="",'Data Entry'!$C3175&lt;='Visual SPC'!$E$4),OR('Visual SPC'!$G$4="",'Data Entry'!$D3175='Visual SPC'!$G$4),OR('Visual SPC'!$I$4="",'Data Entry'!$E3175='Visual SPC'!$I$4),OR('Visual SPC'!$K$4="",'Data Entry'!$F3175='Visual SPC'!$K$4)),1,0))</f>
        <v/>
      </c>
      <c r="C3175">
        <f>C3174+B3175</f>
        <v/>
      </c>
      <c r="D3175">
        <f>IF(B3175=1,INDEX('Data Entry'!$H$5:$BE$10004,3175-4,'Visual SPC'!$B$3),"")</f>
        <v/>
      </c>
      <c r="E3175">
        <f>IF(B3175=1,D3175,E3174)</f>
        <v/>
      </c>
      <c r="F3175">
        <f>IF(AND(B3175=1,C3175&gt;1,E3174&lt;&gt;""),ABS(D3175-E3174),"")</f>
        <v/>
      </c>
    </row>
    <row r="3176">
      <c r="A3176" t="n">
        <v>3176</v>
      </c>
      <c r="B3176">
        <f>IF(INDEX('Data Entry'!$H$5:$BE$10004,3176-4,'Visual SPC'!$B$3)="",0,IF(AND(OR('Visual SPC'!$C$4="",'Data Entry'!$C3176&gt;='Visual SPC'!$C$4),OR('Visual SPC'!$E$4="",'Data Entry'!$C3176&lt;='Visual SPC'!$E$4),OR('Visual SPC'!$G$4="",'Data Entry'!$D3176='Visual SPC'!$G$4),OR('Visual SPC'!$I$4="",'Data Entry'!$E3176='Visual SPC'!$I$4),OR('Visual SPC'!$K$4="",'Data Entry'!$F3176='Visual SPC'!$K$4)),1,0))</f>
        <v/>
      </c>
      <c r="C3176">
        <f>C3175+B3176</f>
        <v/>
      </c>
      <c r="D3176">
        <f>IF(B3176=1,INDEX('Data Entry'!$H$5:$BE$10004,3176-4,'Visual SPC'!$B$3),"")</f>
        <v/>
      </c>
      <c r="E3176">
        <f>IF(B3176=1,D3176,E3175)</f>
        <v/>
      </c>
      <c r="F3176">
        <f>IF(AND(B3176=1,C3176&gt;1,E3175&lt;&gt;""),ABS(D3176-E3175),"")</f>
        <v/>
      </c>
    </row>
    <row r="3177">
      <c r="A3177" t="n">
        <v>3177</v>
      </c>
      <c r="B3177">
        <f>IF(INDEX('Data Entry'!$H$5:$BE$10004,3177-4,'Visual SPC'!$B$3)="",0,IF(AND(OR('Visual SPC'!$C$4="",'Data Entry'!$C3177&gt;='Visual SPC'!$C$4),OR('Visual SPC'!$E$4="",'Data Entry'!$C3177&lt;='Visual SPC'!$E$4),OR('Visual SPC'!$G$4="",'Data Entry'!$D3177='Visual SPC'!$G$4),OR('Visual SPC'!$I$4="",'Data Entry'!$E3177='Visual SPC'!$I$4),OR('Visual SPC'!$K$4="",'Data Entry'!$F3177='Visual SPC'!$K$4)),1,0))</f>
        <v/>
      </c>
      <c r="C3177">
        <f>C3176+B3177</f>
        <v/>
      </c>
      <c r="D3177">
        <f>IF(B3177=1,INDEX('Data Entry'!$H$5:$BE$10004,3177-4,'Visual SPC'!$B$3),"")</f>
        <v/>
      </c>
      <c r="E3177">
        <f>IF(B3177=1,D3177,E3176)</f>
        <v/>
      </c>
      <c r="F3177">
        <f>IF(AND(B3177=1,C3177&gt;1,E3176&lt;&gt;""),ABS(D3177-E3176),"")</f>
        <v/>
      </c>
    </row>
    <row r="3178">
      <c r="A3178" t="n">
        <v>3178</v>
      </c>
      <c r="B3178">
        <f>IF(INDEX('Data Entry'!$H$5:$BE$10004,3178-4,'Visual SPC'!$B$3)="",0,IF(AND(OR('Visual SPC'!$C$4="",'Data Entry'!$C3178&gt;='Visual SPC'!$C$4),OR('Visual SPC'!$E$4="",'Data Entry'!$C3178&lt;='Visual SPC'!$E$4),OR('Visual SPC'!$G$4="",'Data Entry'!$D3178='Visual SPC'!$G$4),OR('Visual SPC'!$I$4="",'Data Entry'!$E3178='Visual SPC'!$I$4),OR('Visual SPC'!$K$4="",'Data Entry'!$F3178='Visual SPC'!$K$4)),1,0))</f>
        <v/>
      </c>
      <c r="C3178">
        <f>C3177+B3178</f>
        <v/>
      </c>
      <c r="D3178">
        <f>IF(B3178=1,INDEX('Data Entry'!$H$5:$BE$10004,3178-4,'Visual SPC'!$B$3),"")</f>
        <v/>
      </c>
      <c r="E3178">
        <f>IF(B3178=1,D3178,E3177)</f>
        <v/>
      </c>
      <c r="F3178">
        <f>IF(AND(B3178=1,C3178&gt;1,E3177&lt;&gt;""),ABS(D3178-E3177),"")</f>
        <v/>
      </c>
    </row>
    <row r="3179">
      <c r="A3179" t="n">
        <v>3179</v>
      </c>
      <c r="B3179">
        <f>IF(INDEX('Data Entry'!$H$5:$BE$10004,3179-4,'Visual SPC'!$B$3)="",0,IF(AND(OR('Visual SPC'!$C$4="",'Data Entry'!$C3179&gt;='Visual SPC'!$C$4),OR('Visual SPC'!$E$4="",'Data Entry'!$C3179&lt;='Visual SPC'!$E$4),OR('Visual SPC'!$G$4="",'Data Entry'!$D3179='Visual SPC'!$G$4),OR('Visual SPC'!$I$4="",'Data Entry'!$E3179='Visual SPC'!$I$4),OR('Visual SPC'!$K$4="",'Data Entry'!$F3179='Visual SPC'!$K$4)),1,0))</f>
        <v/>
      </c>
      <c r="C3179">
        <f>C3178+B3179</f>
        <v/>
      </c>
      <c r="D3179">
        <f>IF(B3179=1,INDEX('Data Entry'!$H$5:$BE$10004,3179-4,'Visual SPC'!$B$3),"")</f>
        <v/>
      </c>
      <c r="E3179">
        <f>IF(B3179=1,D3179,E3178)</f>
        <v/>
      </c>
      <c r="F3179">
        <f>IF(AND(B3179=1,C3179&gt;1,E3178&lt;&gt;""),ABS(D3179-E3178),"")</f>
        <v/>
      </c>
    </row>
    <row r="3180">
      <c r="A3180" t="n">
        <v>3180</v>
      </c>
      <c r="B3180">
        <f>IF(INDEX('Data Entry'!$H$5:$BE$10004,3180-4,'Visual SPC'!$B$3)="",0,IF(AND(OR('Visual SPC'!$C$4="",'Data Entry'!$C3180&gt;='Visual SPC'!$C$4),OR('Visual SPC'!$E$4="",'Data Entry'!$C3180&lt;='Visual SPC'!$E$4),OR('Visual SPC'!$G$4="",'Data Entry'!$D3180='Visual SPC'!$G$4),OR('Visual SPC'!$I$4="",'Data Entry'!$E3180='Visual SPC'!$I$4),OR('Visual SPC'!$K$4="",'Data Entry'!$F3180='Visual SPC'!$K$4)),1,0))</f>
        <v/>
      </c>
      <c r="C3180">
        <f>C3179+B3180</f>
        <v/>
      </c>
      <c r="D3180">
        <f>IF(B3180=1,INDEX('Data Entry'!$H$5:$BE$10004,3180-4,'Visual SPC'!$B$3),"")</f>
        <v/>
      </c>
      <c r="E3180">
        <f>IF(B3180=1,D3180,E3179)</f>
        <v/>
      </c>
      <c r="F3180">
        <f>IF(AND(B3180=1,C3180&gt;1,E3179&lt;&gt;""),ABS(D3180-E3179),"")</f>
        <v/>
      </c>
    </row>
    <row r="3181">
      <c r="A3181" t="n">
        <v>3181</v>
      </c>
      <c r="B3181">
        <f>IF(INDEX('Data Entry'!$H$5:$BE$10004,3181-4,'Visual SPC'!$B$3)="",0,IF(AND(OR('Visual SPC'!$C$4="",'Data Entry'!$C3181&gt;='Visual SPC'!$C$4),OR('Visual SPC'!$E$4="",'Data Entry'!$C3181&lt;='Visual SPC'!$E$4),OR('Visual SPC'!$G$4="",'Data Entry'!$D3181='Visual SPC'!$G$4),OR('Visual SPC'!$I$4="",'Data Entry'!$E3181='Visual SPC'!$I$4),OR('Visual SPC'!$K$4="",'Data Entry'!$F3181='Visual SPC'!$K$4)),1,0))</f>
        <v/>
      </c>
      <c r="C3181">
        <f>C3180+B3181</f>
        <v/>
      </c>
      <c r="D3181">
        <f>IF(B3181=1,INDEX('Data Entry'!$H$5:$BE$10004,3181-4,'Visual SPC'!$B$3),"")</f>
        <v/>
      </c>
      <c r="E3181">
        <f>IF(B3181=1,D3181,E3180)</f>
        <v/>
      </c>
      <c r="F3181">
        <f>IF(AND(B3181=1,C3181&gt;1,E3180&lt;&gt;""),ABS(D3181-E3180),"")</f>
        <v/>
      </c>
    </row>
    <row r="3182">
      <c r="A3182" t="n">
        <v>3182</v>
      </c>
      <c r="B3182">
        <f>IF(INDEX('Data Entry'!$H$5:$BE$10004,3182-4,'Visual SPC'!$B$3)="",0,IF(AND(OR('Visual SPC'!$C$4="",'Data Entry'!$C3182&gt;='Visual SPC'!$C$4),OR('Visual SPC'!$E$4="",'Data Entry'!$C3182&lt;='Visual SPC'!$E$4),OR('Visual SPC'!$G$4="",'Data Entry'!$D3182='Visual SPC'!$G$4),OR('Visual SPC'!$I$4="",'Data Entry'!$E3182='Visual SPC'!$I$4),OR('Visual SPC'!$K$4="",'Data Entry'!$F3182='Visual SPC'!$K$4)),1,0))</f>
        <v/>
      </c>
      <c r="C3182">
        <f>C3181+B3182</f>
        <v/>
      </c>
      <c r="D3182">
        <f>IF(B3182=1,INDEX('Data Entry'!$H$5:$BE$10004,3182-4,'Visual SPC'!$B$3),"")</f>
        <v/>
      </c>
      <c r="E3182">
        <f>IF(B3182=1,D3182,E3181)</f>
        <v/>
      </c>
      <c r="F3182">
        <f>IF(AND(B3182=1,C3182&gt;1,E3181&lt;&gt;""),ABS(D3182-E3181),"")</f>
        <v/>
      </c>
    </row>
    <row r="3183">
      <c r="A3183" t="n">
        <v>3183</v>
      </c>
      <c r="B3183">
        <f>IF(INDEX('Data Entry'!$H$5:$BE$10004,3183-4,'Visual SPC'!$B$3)="",0,IF(AND(OR('Visual SPC'!$C$4="",'Data Entry'!$C3183&gt;='Visual SPC'!$C$4),OR('Visual SPC'!$E$4="",'Data Entry'!$C3183&lt;='Visual SPC'!$E$4),OR('Visual SPC'!$G$4="",'Data Entry'!$D3183='Visual SPC'!$G$4),OR('Visual SPC'!$I$4="",'Data Entry'!$E3183='Visual SPC'!$I$4),OR('Visual SPC'!$K$4="",'Data Entry'!$F3183='Visual SPC'!$K$4)),1,0))</f>
        <v/>
      </c>
      <c r="C3183">
        <f>C3182+B3183</f>
        <v/>
      </c>
      <c r="D3183">
        <f>IF(B3183=1,INDEX('Data Entry'!$H$5:$BE$10004,3183-4,'Visual SPC'!$B$3),"")</f>
        <v/>
      </c>
      <c r="E3183">
        <f>IF(B3183=1,D3183,E3182)</f>
        <v/>
      </c>
      <c r="F3183">
        <f>IF(AND(B3183=1,C3183&gt;1,E3182&lt;&gt;""),ABS(D3183-E3182),"")</f>
        <v/>
      </c>
    </row>
    <row r="3184">
      <c r="A3184" t="n">
        <v>3184</v>
      </c>
      <c r="B3184">
        <f>IF(INDEX('Data Entry'!$H$5:$BE$10004,3184-4,'Visual SPC'!$B$3)="",0,IF(AND(OR('Visual SPC'!$C$4="",'Data Entry'!$C3184&gt;='Visual SPC'!$C$4),OR('Visual SPC'!$E$4="",'Data Entry'!$C3184&lt;='Visual SPC'!$E$4),OR('Visual SPC'!$G$4="",'Data Entry'!$D3184='Visual SPC'!$G$4),OR('Visual SPC'!$I$4="",'Data Entry'!$E3184='Visual SPC'!$I$4),OR('Visual SPC'!$K$4="",'Data Entry'!$F3184='Visual SPC'!$K$4)),1,0))</f>
        <v/>
      </c>
      <c r="C3184">
        <f>C3183+B3184</f>
        <v/>
      </c>
      <c r="D3184">
        <f>IF(B3184=1,INDEX('Data Entry'!$H$5:$BE$10004,3184-4,'Visual SPC'!$B$3),"")</f>
        <v/>
      </c>
      <c r="E3184">
        <f>IF(B3184=1,D3184,E3183)</f>
        <v/>
      </c>
      <c r="F3184">
        <f>IF(AND(B3184=1,C3184&gt;1,E3183&lt;&gt;""),ABS(D3184-E3183),"")</f>
        <v/>
      </c>
    </row>
    <row r="3185">
      <c r="A3185" t="n">
        <v>3185</v>
      </c>
      <c r="B3185">
        <f>IF(INDEX('Data Entry'!$H$5:$BE$10004,3185-4,'Visual SPC'!$B$3)="",0,IF(AND(OR('Visual SPC'!$C$4="",'Data Entry'!$C3185&gt;='Visual SPC'!$C$4),OR('Visual SPC'!$E$4="",'Data Entry'!$C3185&lt;='Visual SPC'!$E$4),OR('Visual SPC'!$G$4="",'Data Entry'!$D3185='Visual SPC'!$G$4),OR('Visual SPC'!$I$4="",'Data Entry'!$E3185='Visual SPC'!$I$4),OR('Visual SPC'!$K$4="",'Data Entry'!$F3185='Visual SPC'!$K$4)),1,0))</f>
        <v/>
      </c>
      <c r="C3185">
        <f>C3184+B3185</f>
        <v/>
      </c>
      <c r="D3185">
        <f>IF(B3185=1,INDEX('Data Entry'!$H$5:$BE$10004,3185-4,'Visual SPC'!$B$3),"")</f>
        <v/>
      </c>
      <c r="E3185">
        <f>IF(B3185=1,D3185,E3184)</f>
        <v/>
      </c>
      <c r="F3185">
        <f>IF(AND(B3185=1,C3185&gt;1,E3184&lt;&gt;""),ABS(D3185-E3184),"")</f>
        <v/>
      </c>
    </row>
    <row r="3186">
      <c r="A3186" t="n">
        <v>3186</v>
      </c>
      <c r="B3186">
        <f>IF(INDEX('Data Entry'!$H$5:$BE$10004,3186-4,'Visual SPC'!$B$3)="",0,IF(AND(OR('Visual SPC'!$C$4="",'Data Entry'!$C3186&gt;='Visual SPC'!$C$4),OR('Visual SPC'!$E$4="",'Data Entry'!$C3186&lt;='Visual SPC'!$E$4),OR('Visual SPC'!$G$4="",'Data Entry'!$D3186='Visual SPC'!$G$4),OR('Visual SPC'!$I$4="",'Data Entry'!$E3186='Visual SPC'!$I$4),OR('Visual SPC'!$K$4="",'Data Entry'!$F3186='Visual SPC'!$K$4)),1,0))</f>
        <v/>
      </c>
      <c r="C3186">
        <f>C3185+B3186</f>
        <v/>
      </c>
      <c r="D3186">
        <f>IF(B3186=1,INDEX('Data Entry'!$H$5:$BE$10004,3186-4,'Visual SPC'!$B$3),"")</f>
        <v/>
      </c>
      <c r="E3186">
        <f>IF(B3186=1,D3186,E3185)</f>
        <v/>
      </c>
      <c r="F3186">
        <f>IF(AND(B3186=1,C3186&gt;1,E3185&lt;&gt;""),ABS(D3186-E3185),"")</f>
        <v/>
      </c>
    </row>
    <row r="3187">
      <c r="A3187" t="n">
        <v>3187</v>
      </c>
      <c r="B3187">
        <f>IF(INDEX('Data Entry'!$H$5:$BE$10004,3187-4,'Visual SPC'!$B$3)="",0,IF(AND(OR('Visual SPC'!$C$4="",'Data Entry'!$C3187&gt;='Visual SPC'!$C$4),OR('Visual SPC'!$E$4="",'Data Entry'!$C3187&lt;='Visual SPC'!$E$4),OR('Visual SPC'!$G$4="",'Data Entry'!$D3187='Visual SPC'!$G$4),OR('Visual SPC'!$I$4="",'Data Entry'!$E3187='Visual SPC'!$I$4),OR('Visual SPC'!$K$4="",'Data Entry'!$F3187='Visual SPC'!$K$4)),1,0))</f>
        <v/>
      </c>
      <c r="C3187">
        <f>C3186+B3187</f>
        <v/>
      </c>
      <c r="D3187">
        <f>IF(B3187=1,INDEX('Data Entry'!$H$5:$BE$10004,3187-4,'Visual SPC'!$B$3),"")</f>
        <v/>
      </c>
      <c r="E3187">
        <f>IF(B3187=1,D3187,E3186)</f>
        <v/>
      </c>
      <c r="F3187">
        <f>IF(AND(B3187=1,C3187&gt;1,E3186&lt;&gt;""),ABS(D3187-E3186),"")</f>
        <v/>
      </c>
    </row>
    <row r="3188">
      <c r="A3188" t="n">
        <v>3188</v>
      </c>
      <c r="B3188">
        <f>IF(INDEX('Data Entry'!$H$5:$BE$10004,3188-4,'Visual SPC'!$B$3)="",0,IF(AND(OR('Visual SPC'!$C$4="",'Data Entry'!$C3188&gt;='Visual SPC'!$C$4),OR('Visual SPC'!$E$4="",'Data Entry'!$C3188&lt;='Visual SPC'!$E$4),OR('Visual SPC'!$G$4="",'Data Entry'!$D3188='Visual SPC'!$G$4),OR('Visual SPC'!$I$4="",'Data Entry'!$E3188='Visual SPC'!$I$4),OR('Visual SPC'!$K$4="",'Data Entry'!$F3188='Visual SPC'!$K$4)),1,0))</f>
        <v/>
      </c>
      <c r="C3188">
        <f>C3187+B3188</f>
        <v/>
      </c>
      <c r="D3188">
        <f>IF(B3188=1,INDEX('Data Entry'!$H$5:$BE$10004,3188-4,'Visual SPC'!$B$3),"")</f>
        <v/>
      </c>
      <c r="E3188">
        <f>IF(B3188=1,D3188,E3187)</f>
        <v/>
      </c>
      <c r="F3188">
        <f>IF(AND(B3188=1,C3188&gt;1,E3187&lt;&gt;""),ABS(D3188-E3187),"")</f>
        <v/>
      </c>
    </row>
    <row r="3189">
      <c r="A3189" t="n">
        <v>3189</v>
      </c>
      <c r="B3189">
        <f>IF(INDEX('Data Entry'!$H$5:$BE$10004,3189-4,'Visual SPC'!$B$3)="",0,IF(AND(OR('Visual SPC'!$C$4="",'Data Entry'!$C3189&gt;='Visual SPC'!$C$4),OR('Visual SPC'!$E$4="",'Data Entry'!$C3189&lt;='Visual SPC'!$E$4),OR('Visual SPC'!$G$4="",'Data Entry'!$D3189='Visual SPC'!$G$4),OR('Visual SPC'!$I$4="",'Data Entry'!$E3189='Visual SPC'!$I$4),OR('Visual SPC'!$K$4="",'Data Entry'!$F3189='Visual SPC'!$K$4)),1,0))</f>
        <v/>
      </c>
      <c r="C3189">
        <f>C3188+B3189</f>
        <v/>
      </c>
      <c r="D3189">
        <f>IF(B3189=1,INDEX('Data Entry'!$H$5:$BE$10004,3189-4,'Visual SPC'!$B$3),"")</f>
        <v/>
      </c>
      <c r="E3189">
        <f>IF(B3189=1,D3189,E3188)</f>
        <v/>
      </c>
      <c r="F3189">
        <f>IF(AND(B3189=1,C3189&gt;1,E3188&lt;&gt;""),ABS(D3189-E3188),"")</f>
        <v/>
      </c>
    </row>
    <row r="3190">
      <c r="A3190" t="n">
        <v>3190</v>
      </c>
      <c r="B3190">
        <f>IF(INDEX('Data Entry'!$H$5:$BE$10004,3190-4,'Visual SPC'!$B$3)="",0,IF(AND(OR('Visual SPC'!$C$4="",'Data Entry'!$C3190&gt;='Visual SPC'!$C$4),OR('Visual SPC'!$E$4="",'Data Entry'!$C3190&lt;='Visual SPC'!$E$4),OR('Visual SPC'!$G$4="",'Data Entry'!$D3190='Visual SPC'!$G$4),OR('Visual SPC'!$I$4="",'Data Entry'!$E3190='Visual SPC'!$I$4),OR('Visual SPC'!$K$4="",'Data Entry'!$F3190='Visual SPC'!$K$4)),1,0))</f>
        <v/>
      </c>
      <c r="C3190">
        <f>C3189+B3190</f>
        <v/>
      </c>
      <c r="D3190">
        <f>IF(B3190=1,INDEX('Data Entry'!$H$5:$BE$10004,3190-4,'Visual SPC'!$B$3),"")</f>
        <v/>
      </c>
      <c r="E3190">
        <f>IF(B3190=1,D3190,E3189)</f>
        <v/>
      </c>
      <c r="F3190">
        <f>IF(AND(B3190=1,C3190&gt;1,E3189&lt;&gt;""),ABS(D3190-E3189),"")</f>
        <v/>
      </c>
    </row>
    <row r="3191">
      <c r="A3191" t="n">
        <v>3191</v>
      </c>
      <c r="B3191">
        <f>IF(INDEX('Data Entry'!$H$5:$BE$10004,3191-4,'Visual SPC'!$B$3)="",0,IF(AND(OR('Visual SPC'!$C$4="",'Data Entry'!$C3191&gt;='Visual SPC'!$C$4),OR('Visual SPC'!$E$4="",'Data Entry'!$C3191&lt;='Visual SPC'!$E$4),OR('Visual SPC'!$G$4="",'Data Entry'!$D3191='Visual SPC'!$G$4),OR('Visual SPC'!$I$4="",'Data Entry'!$E3191='Visual SPC'!$I$4),OR('Visual SPC'!$K$4="",'Data Entry'!$F3191='Visual SPC'!$K$4)),1,0))</f>
        <v/>
      </c>
      <c r="C3191">
        <f>C3190+B3191</f>
        <v/>
      </c>
      <c r="D3191">
        <f>IF(B3191=1,INDEX('Data Entry'!$H$5:$BE$10004,3191-4,'Visual SPC'!$B$3),"")</f>
        <v/>
      </c>
      <c r="E3191">
        <f>IF(B3191=1,D3191,E3190)</f>
        <v/>
      </c>
      <c r="F3191">
        <f>IF(AND(B3191=1,C3191&gt;1,E3190&lt;&gt;""),ABS(D3191-E3190),"")</f>
        <v/>
      </c>
    </row>
    <row r="3192">
      <c r="A3192" t="n">
        <v>3192</v>
      </c>
      <c r="B3192">
        <f>IF(INDEX('Data Entry'!$H$5:$BE$10004,3192-4,'Visual SPC'!$B$3)="",0,IF(AND(OR('Visual SPC'!$C$4="",'Data Entry'!$C3192&gt;='Visual SPC'!$C$4),OR('Visual SPC'!$E$4="",'Data Entry'!$C3192&lt;='Visual SPC'!$E$4),OR('Visual SPC'!$G$4="",'Data Entry'!$D3192='Visual SPC'!$G$4),OR('Visual SPC'!$I$4="",'Data Entry'!$E3192='Visual SPC'!$I$4),OR('Visual SPC'!$K$4="",'Data Entry'!$F3192='Visual SPC'!$K$4)),1,0))</f>
        <v/>
      </c>
      <c r="C3192">
        <f>C3191+B3192</f>
        <v/>
      </c>
      <c r="D3192">
        <f>IF(B3192=1,INDEX('Data Entry'!$H$5:$BE$10004,3192-4,'Visual SPC'!$B$3),"")</f>
        <v/>
      </c>
      <c r="E3192">
        <f>IF(B3192=1,D3192,E3191)</f>
        <v/>
      </c>
      <c r="F3192">
        <f>IF(AND(B3192=1,C3192&gt;1,E3191&lt;&gt;""),ABS(D3192-E3191),"")</f>
        <v/>
      </c>
    </row>
    <row r="3193">
      <c r="A3193" t="n">
        <v>3193</v>
      </c>
      <c r="B3193">
        <f>IF(INDEX('Data Entry'!$H$5:$BE$10004,3193-4,'Visual SPC'!$B$3)="",0,IF(AND(OR('Visual SPC'!$C$4="",'Data Entry'!$C3193&gt;='Visual SPC'!$C$4),OR('Visual SPC'!$E$4="",'Data Entry'!$C3193&lt;='Visual SPC'!$E$4),OR('Visual SPC'!$G$4="",'Data Entry'!$D3193='Visual SPC'!$G$4),OR('Visual SPC'!$I$4="",'Data Entry'!$E3193='Visual SPC'!$I$4),OR('Visual SPC'!$K$4="",'Data Entry'!$F3193='Visual SPC'!$K$4)),1,0))</f>
        <v/>
      </c>
      <c r="C3193">
        <f>C3192+B3193</f>
        <v/>
      </c>
      <c r="D3193">
        <f>IF(B3193=1,INDEX('Data Entry'!$H$5:$BE$10004,3193-4,'Visual SPC'!$B$3),"")</f>
        <v/>
      </c>
      <c r="E3193">
        <f>IF(B3193=1,D3193,E3192)</f>
        <v/>
      </c>
      <c r="F3193">
        <f>IF(AND(B3193=1,C3193&gt;1,E3192&lt;&gt;""),ABS(D3193-E3192),"")</f>
        <v/>
      </c>
    </row>
    <row r="3194">
      <c r="A3194" t="n">
        <v>3194</v>
      </c>
      <c r="B3194">
        <f>IF(INDEX('Data Entry'!$H$5:$BE$10004,3194-4,'Visual SPC'!$B$3)="",0,IF(AND(OR('Visual SPC'!$C$4="",'Data Entry'!$C3194&gt;='Visual SPC'!$C$4),OR('Visual SPC'!$E$4="",'Data Entry'!$C3194&lt;='Visual SPC'!$E$4),OR('Visual SPC'!$G$4="",'Data Entry'!$D3194='Visual SPC'!$G$4),OR('Visual SPC'!$I$4="",'Data Entry'!$E3194='Visual SPC'!$I$4),OR('Visual SPC'!$K$4="",'Data Entry'!$F3194='Visual SPC'!$K$4)),1,0))</f>
        <v/>
      </c>
      <c r="C3194">
        <f>C3193+B3194</f>
        <v/>
      </c>
      <c r="D3194">
        <f>IF(B3194=1,INDEX('Data Entry'!$H$5:$BE$10004,3194-4,'Visual SPC'!$B$3),"")</f>
        <v/>
      </c>
      <c r="E3194">
        <f>IF(B3194=1,D3194,E3193)</f>
        <v/>
      </c>
      <c r="F3194">
        <f>IF(AND(B3194=1,C3194&gt;1,E3193&lt;&gt;""),ABS(D3194-E3193),"")</f>
        <v/>
      </c>
    </row>
    <row r="3195">
      <c r="A3195" t="n">
        <v>3195</v>
      </c>
      <c r="B3195">
        <f>IF(INDEX('Data Entry'!$H$5:$BE$10004,3195-4,'Visual SPC'!$B$3)="",0,IF(AND(OR('Visual SPC'!$C$4="",'Data Entry'!$C3195&gt;='Visual SPC'!$C$4),OR('Visual SPC'!$E$4="",'Data Entry'!$C3195&lt;='Visual SPC'!$E$4),OR('Visual SPC'!$G$4="",'Data Entry'!$D3195='Visual SPC'!$G$4),OR('Visual SPC'!$I$4="",'Data Entry'!$E3195='Visual SPC'!$I$4),OR('Visual SPC'!$K$4="",'Data Entry'!$F3195='Visual SPC'!$K$4)),1,0))</f>
        <v/>
      </c>
      <c r="C3195">
        <f>C3194+B3195</f>
        <v/>
      </c>
      <c r="D3195">
        <f>IF(B3195=1,INDEX('Data Entry'!$H$5:$BE$10004,3195-4,'Visual SPC'!$B$3),"")</f>
        <v/>
      </c>
      <c r="E3195">
        <f>IF(B3195=1,D3195,E3194)</f>
        <v/>
      </c>
      <c r="F3195">
        <f>IF(AND(B3195=1,C3195&gt;1,E3194&lt;&gt;""),ABS(D3195-E3194),"")</f>
        <v/>
      </c>
    </row>
    <row r="3196">
      <c r="A3196" t="n">
        <v>3196</v>
      </c>
      <c r="B3196">
        <f>IF(INDEX('Data Entry'!$H$5:$BE$10004,3196-4,'Visual SPC'!$B$3)="",0,IF(AND(OR('Visual SPC'!$C$4="",'Data Entry'!$C3196&gt;='Visual SPC'!$C$4),OR('Visual SPC'!$E$4="",'Data Entry'!$C3196&lt;='Visual SPC'!$E$4),OR('Visual SPC'!$G$4="",'Data Entry'!$D3196='Visual SPC'!$G$4),OR('Visual SPC'!$I$4="",'Data Entry'!$E3196='Visual SPC'!$I$4),OR('Visual SPC'!$K$4="",'Data Entry'!$F3196='Visual SPC'!$K$4)),1,0))</f>
        <v/>
      </c>
      <c r="C3196">
        <f>C3195+B3196</f>
        <v/>
      </c>
      <c r="D3196">
        <f>IF(B3196=1,INDEX('Data Entry'!$H$5:$BE$10004,3196-4,'Visual SPC'!$B$3),"")</f>
        <v/>
      </c>
      <c r="E3196">
        <f>IF(B3196=1,D3196,E3195)</f>
        <v/>
      </c>
      <c r="F3196">
        <f>IF(AND(B3196=1,C3196&gt;1,E3195&lt;&gt;""),ABS(D3196-E3195),"")</f>
        <v/>
      </c>
    </row>
    <row r="3197">
      <c r="A3197" t="n">
        <v>3197</v>
      </c>
      <c r="B3197">
        <f>IF(INDEX('Data Entry'!$H$5:$BE$10004,3197-4,'Visual SPC'!$B$3)="",0,IF(AND(OR('Visual SPC'!$C$4="",'Data Entry'!$C3197&gt;='Visual SPC'!$C$4),OR('Visual SPC'!$E$4="",'Data Entry'!$C3197&lt;='Visual SPC'!$E$4),OR('Visual SPC'!$G$4="",'Data Entry'!$D3197='Visual SPC'!$G$4),OR('Visual SPC'!$I$4="",'Data Entry'!$E3197='Visual SPC'!$I$4),OR('Visual SPC'!$K$4="",'Data Entry'!$F3197='Visual SPC'!$K$4)),1,0))</f>
        <v/>
      </c>
      <c r="C3197">
        <f>C3196+B3197</f>
        <v/>
      </c>
      <c r="D3197">
        <f>IF(B3197=1,INDEX('Data Entry'!$H$5:$BE$10004,3197-4,'Visual SPC'!$B$3),"")</f>
        <v/>
      </c>
      <c r="E3197">
        <f>IF(B3197=1,D3197,E3196)</f>
        <v/>
      </c>
      <c r="F3197">
        <f>IF(AND(B3197=1,C3197&gt;1,E3196&lt;&gt;""),ABS(D3197-E3196),"")</f>
        <v/>
      </c>
    </row>
    <row r="3198">
      <c r="A3198" t="n">
        <v>3198</v>
      </c>
      <c r="B3198">
        <f>IF(INDEX('Data Entry'!$H$5:$BE$10004,3198-4,'Visual SPC'!$B$3)="",0,IF(AND(OR('Visual SPC'!$C$4="",'Data Entry'!$C3198&gt;='Visual SPC'!$C$4),OR('Visual SPC'!$E$4="",'Data Entry'!$C3198&lt;='Visual SPC'!$E$4),OR('Visual SPC'!$G$4="",'Data Entry'!$D3198='Visual SPC'!$G$4),OR('Visual SPC'!$I$4="",'Data Entry'!$E3198='Visual SPC'!$I$4),OR('Visual SPC'!$K$4="",'Data Entry'!$F3198='Visual SPC'!$K$4)),1,0))</f>
        <v/>
      </c>
      <c r="C3198">
        <f>C3197+B3198</f>
        <v/>
      </c>
      <c r="D3198">
        <f>IF(B3198=1,INDEX('Data Entry'!$H$5:$BE$10004,3198-4,'Visual SPC'!$B$3),"")</f>
        <v/>
      </c>
      <c r="E3198">
        <f>IF(B3198=1,D3198,E3197)</f>
        <v/>
      </c>
      <c r="F3198">
        <f>IF(AND(B3198=1,C3198&gt;1,E3197&lt;&gt;""),ABS(D3198-E3197),"")</f>
        <v/>
      </c>
    </row>
    <row r="3199">
      <c r="A3199" t="n">
        <v>3199</v>
      </c>
      <c r="B3199">
        <f>IF(INDEX('Data Entry'!$H$5:$BE$10004,3199-4,'Visual SPC'!$B$3)="",0,IF(AND(OR('Visual SPC'!$C$4="",'Data Entry'!$C3199&gt;='Visual SPC'!$C$4),OR('Visual SPC'!$E$4="",'Data Entry'!$C3199&lt;='Visual SPC'!$E$4),OR('Visual SPC'!$G$4="",'Data Entry'!$D3199='Visual SPC'!$G$4),OR('Visual SPC'!$I$4="",'Data Entry'!$E3199='Visual SPC'!$I$4),OR('Visual SPC'!$K$4="",'Data Entry'!$F3199='Visual SPC'!$K$4)),1,0))</f>
        <v/>
      </c>
      <c r="C3199">
        <f>C3198+B3199</f>
        <v/>
      </c>
      <c r="D3199">
        <f>IF(B3199=1,INDEX('Data Entry'!$H$5:$BE$10004,3199-4,'Visual SPC'!$B$3),"")</f>
        <v/>
      </c>
      <c r="E3199">
        <f>IF(B3199=1,D3199,E3198)</f>
        <v/>
      </c>
      <c r="F3199">
        <f>IF(AND(B3199=1,C3199&gt;1,E3198&lt;&gt;""),ABS(D3199-E3198),"")</f>
        <v/>
      </c>
    </row>
    <row r="3200">
      <c r="A3200" t="n">
        <v>3200</v>
      </c>
      <c r="B3200">
        <f>IF(INDEX('Data Entry'!$H$5:$BE$10004,3200-4,'Visual SPC'!$B$3)="",0,IF(AND(OR('Visual SPC'!$C$4="",'Data Entry'!$C3200&gt;='Visual SPC'!$C$4),OR('Visual SPC'!$E$4="",'Data Entry'!$C3200&lt;='Visual SPC'!$E$4),OR('Visual SPC'!$G$4="",'Data Entry'!$D3200='Visual SPC'!$G$4),OR('Visual SPC'!$I$4="",'Data Entry'!$E3200='Visual SPC'!$I$4),OR('Visual SPC'!$K$4="",'Data Entry'!$F3200='Visual SPC'!$K$4)),1,0))</f>
        <v/>
      </c>
      <c r="C3200">
        <f>C3199+B3200</f>
        <v/>
      </c>
      <c r="D3200">
        <f>IF(B3200=1,INDEX('Data Entry'!$H$5:$BE$10004,3200-4,'Visual SPC'!$B$3),"")</f>
        <v/>
      </c>
      <c r="E3200">
        <f>IF(B3200=1,D3200,E3199)</f>
        <v/>
      </c>
      <c r="F3200">
        <f>IF(AND(B3200=1,C3200&gt;1,E3199&lt;&gt;""),ABS(D3200-E3199),"")</f>
        <v/>
      </c>
    </row>
    <row r="3201">
      <c r="A3201" t="n">
        <v>3201</v>
      </c>
      <c r="B3201">
        <f>IF(INDEX('Data Entry'!$H$5:$BE$10004,3201-4,'Visual SPC'!$B$3)="",0,IF(AND(OR('Visual SPC'!$C$4="",'Data Entry'!$C3201&gt;='Visual SPC'!$C$4),OR('Visual SPC'!$E$4="",'Data Entry'!$C3201&lt;='Visual SPC'!$E$4),OR('Visual SPC'!$G$4="",'Data Entry'!$D3201='Visual SPC'!$G$4),OR('Visual SPC'!$I$4="",'Data Entry'!$E3201='Visual SPC'!$I$4),OR('Visual SPC'!$K$4="",'Data Entry'!$F3201='Visual SPC'!$K$4)),1,0))</f>
        <v/>
      </c>
      <c r="C3201">
        <f>C3200+B3201</f>
        <v/>
      </c>
      <c r="D3201">
        <f>IF(B3201=1,INDEX('Data Entry'!$H$5:$BE$10004,3201-4,'Visual SPC'!$B$3),"")</f>
        <v/>
      </c>
      <c r="E3201">
        <f>IF(B3201=1,D3201,E3200)</f>
        <v/>
      </c>
      <c r="F3201">
        <f>IF(AND(B3201=1,C3201&gt;1,E3200&lt;&gt;""),ABS(D3201-E3200),"")</f>
        <v/>
      </c>
    </row>
    <row r="3202">
      <c r="A3202" t="n">
        <v>3202</v>
      </c>
      <c r="B3202">
        <f>IF(INDEX('Data Entry'!$H$5:$BE$10004,3202-4,'Visual SPC'!$B$3)="",0,IF(AND(OR('Visual SPC'!$C$4="",'Data Entry'!$C3202&gt;='Visual SPC'!$C$4),OR('Visual SPC'!$E$4="",'Data Entry'!$C3202&lt;='Visual SPC'!$E$4),OR('Visual SPC'!$G$4="",'Data Entry'!$D3202='Visual SPC'!$G$4),OR('Visual SPC'!$I$4="",'Data Entry'!$E3202='Visual SPC'!$I$4),OR('Visual SPC'!$K$4="",'Data Entry'!$F3202='Visual SPC'!$K$4)),1,0))</f>
        <v/>
      </c>
      <c r="C3202">
        <f>C3201+B3202</f>
        <v/>
      </c>
      <c r="D3202">
        <f>IF(B3202=1,INDEX('Data Entry'!$H$5:$BE$10004,3202-4,'Visual SPC'!$B$3),"")</f>
        <v/>
      </c>
      <c r="E3202">
        <f>IF(B3202=1,D3202,E3201)</f>
        <v/>
      </c>
      <c r="F3202">
        <f>IF(AND(B3202=1,C3202&gt;1,E3201&lt;&gt;""),ABS(D3202-E3201),"")</f>
        <v/>
      </c>
    </row>
    <row r="3203">
      <c r="A3203" t="n">
        <v>3203</v>
      </c>
      <c r="B3203">
        <f>IF(INDEX('Data Entry'!$H$5:$BE$10004,3203-4,'Visual SPC'!$B$3)="",0,IF(AND(OR('Visual SPC'!$C$4="",'Data Entry'!$C3203&gt;='Visual SPC'!$C$4),OR('Visual SPC'!$E$4="",'Data Entry'!$C3203&lt;='Visual SPC'!$E$4),OR('Visual SPC'!$G$4="",'Data Entry'!$D3203='Visual SPC'!$G$4),OR('Visual SPC'!$I$4="",'Data Entry'!$E3203='Visual SPC'!$I$4),OR('Visual SPC'!$K$4="",'Data Entry'!$F3203='Visual SPC'!$K$4)),1,0))</f>
        <v/>
      </c>
      <c r="C3203">
        <f>C3202+B3203</f>
        <v/>
      </c>
      <c r="D3203">
        <f>IF(B3203=1,INDEX('Data Entry'!$H$5:$BE$10004,3203-4,'Visual SPC'!$B$3),"")</f>
        <v/>
      </c>
      <c r="E3203">
        <f>IF(B3203=1,D3203,E3202)</f>
        <v/>
      </c>
      <c r="F3203">
        <f>IF(AND(B3203=1,C3203&gt;1,E3202&lt;&gt;""),ABS(D3203-E3202),"")</f>
        <v/>
      </c>
    </row>
    <row r="3204">
      <c r="A3204" t="n">
        <v>3204</v>
      </c>
      <c r="B3204">
        <f>IF(INDEX('Data Entry'!$H$5:$BE$10004,3204-4,'Visual SPC'!$B$3)="",0,IF(AND(OR('Visual SPC'!$C$4="",'Data Entry'!$C3204&gt;='Visual SPC'!$C$4),OR('Visual SPC'!$E$4="",'Data Entry'!$C3204&lt;='Visual SPC'!$E$4),OR('Visual SPC'!$G$4="",'Data Entry'!$D3204='Visual SPC'!$G$4),OR('Visual SPC'!$I$4="",'Data Entry'!$E3204='Visual SPC'!$I$4),OR('Visual SPC'!$K$4="",'Data Entry'!$F3204='Visual SPC'!$K$4)),1,0))</f>
        <v/>
      </c>
      <c r="C3204">
        <f>C3203+B3204</f>
        <v/>
      </c>
      <c r="D3204">
        <f>IF(B3204=1,INDEX('Data Entry'!$H$5:$BE$10004,3204-4,'Visual SPC'!$B$3),"")</f>
        <v/>
      </c>
      <c r="E3204">
        <f>IF(B3204=1,D3204,E3203)</f>
        <v/>
      </c>
      <c r="F3204">
        <f>IF(AND(B3204=1,C3204&gt;1,E3203&lt;&gt;""),ABS(D3204-E3203),"")</f>
        <v/>
      </c>
    </row>
    <row r="3205">
      <c r="A3205" t="n">
        <v>3205</v>
      </c>
      <c r="B3205">
        <f>IF(INDEX('Data Entry'!$H$5:$BE$10004,3205-4,'Visual SPC'!$B$3)="",0,IF(AND(OR('Visual SPC'!$C$4="",'Data Entry'!$C3205&gt;='Visual SPC'!$C$4),OR('Visual SPC'!$E$4="",'Data Entry'!$C3205&lt;='Visual SPC'!$E$4),OR('Visual SPC'!$G$4="",'Data Entry'!$D3205='Visual SPC'!$G$4),OR('Visual SPC'!$I$4="",'Data Entry'!$E3205='Visual SPC'!$I$4),OR('Visual SPC'!$K$4="",'Data Entry'!$F3205='Visual SPC'!$K$4)),1,0))</f>
        <v/>
      </c>
      <c r="C3205">
        <f>C3204+B3205</f>
        <v/>
      </c>
      <c r="D3205">
        <f>IF(B3205=1,INDEX('Data Entry'!$H$5:$BE$10004,3205-4,'Visual SPC'!$B$3),"")</f>
        <v/>
      </c>
      <c r="E3205">
        <f>IF(B3205=1,D3205,E3204)</f>
        <v/>
      </c>
      <c r="F3205">
        <f>IF(AND(B3205=1,C3205&gt;1,E3204&lt;&gt;""),ABS(D3205-E3204),"")</f>
        <v/>
      </c>
    </row>
    <row r="3206">
      <c r="A3206" t="n">
        <v>3206</v>
      </c>
      <c r="B3206">
        <f>IF(INDEX('Data Entry'!$H$5:$BE$10004,3206-4,'Visual SPC'!$B$3)="",0,IF(AND(OR('Visual SPC'!$C$4="",'Data Entry'!$C3206&gt;='Visual SPC'!$C$4),OR('Visual SPC'!$E$4="",'Data Entry'!$C3206&lt;='Visual SPC'!$E$4),OR('Visual SPC'!$G$4="",'Data Entry'!$D3206='Visual SPC'!$G$4),OR('Visual SPC'!$I$4="",'Data Entry'!$E3206='Visual SPC'!$I$4),OR('Visual SPC'!$K$4="",'Data Entry'!$F3206='Visual SPC'!$K$4)),1,0))</f>
        <v/>
      </c>
      <c r="C3206">
        <f>C3205+B3206</f>
        <v/>
      </c>
      <c r="D3206">
        <f>IF(B3206=1,INDEX('Data Entry'!$H$5:$BE$10004,3206-4,'Visual SPC'!$B$3),"")</f>
        <v/>
      </c>
      <c r="E3206">
        <f>IF(B3206=1,D3206,E3205)</f>
        <v/>
      </c>
      <c r="F3206">
        <f>IF(AND(B3206=1,C3206&gt;1,E3205&lt;&gt;""),ABS(D3206-E3205),"")</f>
        <v/>
      </c>
    </row>
    <row r="3207">
      <c r="A3207" t="n">
        <v>3207</v>
      </c>
      <c r="B3207">
        <f>IF(INDEX('Data Entry'!$H$5:$BE$10004,3207-4,'Visual SPC'!$B$3)="",0,IF(AND(OR('Visual SPC'!$C$4="",'Data Entry'!$C3207&gt;='Visual SPC'!$C$4),OR('Visual SPC'!$E$4="",'Data Entry'!$C3207&lt;='Visual SPC'!$E$4),OR('Visual SPC'!$G$4="",'Data Entry'!$D3207='Visual SPC'!$G$4),OR('Visual SPC'!$I$4="",'Data Entry'!$E3207='Visual SPC'!$I$4),OR('Visual SPC'!$K$4="",'Data Entry'!$F3207='Visual SPC'!$K$4)),1,0))</f>
        <v/>
      </c>
      <c r="C3207">
        <f>C3206+B3207</f>
        <v/>
      </c>
      <c r="D3207">
        <f>IF(B3207=1,INDEX('Data Entry'!$H$5:$BE$10004,3207-4,'Visual SPC'!$B$3),"")</f>
        <v/>
      </c>
      <c r="E3207">
        <f>IF(B3207=1,D3207,E3206)</f>
        <v/>
      </c>
      <c r="F3207">
        <f>IF(AND(B3207=1,C3207&gt;1,E3206&lt;&gt;""),ABS(D3207-E3206),"")</f>
        <v/>
      </c>
    </row>
    <row r="3208">
      <c r="A3208" t="n">
        <v>3208</v>
      </c>
      <c r="B3208">
        <f>IF(INDEX('Data Entry'!$H$5:$BE$10004,3208-4,'Visual SPC'!$B$3)="",0,IF(AND(OR('Visual SPC'!$C$4="",'Data Entry'!$C3208&gt;='Visual SPC'!$C$4),OR('Visual SPC'!$E$4="",'Data Entry'!$C3208&lt;='Visual SPC'!$E$4),OR('Visual SPC'!$G$4="",'Data Entry'!$D3208='Visual SPC'!$G$4),OR('Visual SPC'!$I$4="",'Data Entry'!$E3208='Visual SPC'!$I$4),OR('Visual SPC'!$K$4="",'Data Entry'!$F3208='Visual SPC'!$K$4)),1,0))</f>
        <v/>
      </c>
      <c r="C3208">
        <f>C3207+B3208</f>
        <v/>
      </c>
      <c r="D3208">
        <f>IF(B3208=1,INDEX('Data Entry'!$H$5:$BE$10004,3208-4,'Visual SPC'!$B$3),"")</f>
        <v/>
      </c>
      <c r="E3208">
        <f>IF(B3208=1,D3208,E3207)</f>
        <v/>
      </c>
      <c r="F3208">
        <f>IF(AND(B3208=1,C3208&gt;1,E3207&lt;&gt;""),ABS(D3208-E3207),"")</f>
        <v/>
      </c>
    </row>
    <row r="3209">
      <c r="A3209" t="n">
        <v>3209</v>
      </c>
      <c r="B3209">
        <f>IF(INDEX('Data Entry'!$H$5:$BE$10004,3209-4,'Visual SPC'!$B$3)="",0,IF(AND(OR('Visual SPC'!$C$4="",'Data Entry'!$C3209&gt;='Visual SPC'!$C$4),OR('Visual SPC'!$E$4="",'Data Entry'!$C3209&lt;='Visual SPC'!$E$4),OR('Visual SPC'!$G$4="",'Data Entry'!$D3209='Visual SPC'!$G$4),OR('Visual SPC'!$I$4="",'Data Entry'!$E3209='Visual SPC'!$I$4),OR('Visual SPC'!$K$4="",'Data Entry'!$F3209='Visual SPC'!$K$4)),1,0))</f>
        <v/>
      </c>
      <c r="C3209">
        <f>C3208+B3209</f>
        <v/>
      </c>
      <c r="D3209">
        <f>IF(B3209=1,INDEX('Data Entry'!$H$5:$BE$10004,3209-4,'Visual SPC'!$B$3),"")</f>
        <v/>
      </c>
      <c r="E3209">
        <f>IF(B3209=1,D3209,E3208)</f>
        <v/>
      </c>
      <c r="F3209">
        <f>IF(AND(B3209=1,C3209&gt;1,E3208&lt;&gt;""),ABS(D3209-E3208),"")</f>
        <v/>
      </c>
    </row>
    <row r="3210">
      <c r="A3210" t="n">
        <v>3210</v>
      </c>
      <c r="B3210">
        <f>IF(INDEX('Data Entry'!$H$5:$BE$10004,3210-4,'Visual SPC'!$B$3)="",0,IF(AND(OR('Visual SPC'!$C$4="",'Data Entry'!$C3210&gt;='Visual SPC'!$C$4),OR('Visual SPC'!$E$4="",'Data Entry'!$C3210&lt;='Visual SPC'!$E$4),OR('Visual SPC'!$G$4="",'Data Entry'!$D3210='Visual SPC'!$G$4),OR('Visual SPC'!$I$4="",'Data Entry'!$E3210='Visual SPC'!$I$4),OR('Visual SPC'!$K$4="",'Data Entry'!$F3210='Visual SPC'!$K$4)),1,0))</f>
        <v/>
      </c>
      <c r="C3210">
        <f>C3209+B3210</f>
        <v/>
      </c>
      <c r="D3210">
        <f>IF(B3210=1,INDEX('Data Entry'!$H$5:$BE$10004,3210-4,'Visual SPC'!$B$3),"")</f>
        <v/>
      </c>
      <c r="E3210">
        <f>IF(B3210=1,D3210,E3209)</f>
        <v/>
      </c>
      <c r="F3210">
        <f>IF(AND(B3210=1,C3210&gt;1,E3209&lt;&gt;""),ABS(D3210-E3209),"")</f>
        <v/>
      </c>
    </row>
    <row r="3211">
      <c r="A3211" t="n">
        <v>3211</v>
      </c>
      <c r="B3211">
        <f>IF(INDEX('Data Entry'!$H$5:$BE$10004,3211-4,'Visual SPC'!$B$3)="",0,IF(AND(OR('Visual SPC'!$C$4="",'Data Entry'!$C3211&gt;='Visual SPC'!$C$4),OR('Visual SPC'!$E$4="",'Data Entry'!$C3211&lt;='Visual SPC'!$E$4),OR('Visual SPC'!$G$4="",'Data Entry'!$D3211='Visual SPC'!$G$4),OR('Visual SPC'!$I$4="",'Data Entry'!$E3211='Visual SPC'!$I$4),OR('Visual SPC'!$K$4="",'Data Entry'!$F3211='Visual SPC'!$K$4)),1,0))</f>
        <v/>
      </c>
      <c r="C3211">
        <f>C3210+B3211</f>
        <v/>
      </c>
      <c r="D3211">
        <f>IF(B3211=1,INDEX('Data Entry'!$H$5:$BE$10004,3211-4,'Visual SPC'!$B$3),"")</f>
        <v/>
      </c>
      <c r="E3211">
        <f>IF(B3211=1,D3211,E3210)</f>
        <v/>
      </c>
      <c r="F3211">
        <f>IF(AND(B3211=1,C3211&gt;1,E3210&lt;&gt;""),ABS(D3211-E3210),"")</f>
        <v/>
      </c>
    </row>
    <row r="3212">
      <c r="A3212" t="n">
        <v>3212</v>
      </c>
      <c r="B3212">
        <f>IF(INDEX('Data Entry'!$H$5:$BE$10004,3212-4,'Visual SPC'!$B$3)="",0,IF(AND(OR('Visual SPC'!$C$4="",'Data Entry'!$C3212&gt;='Visual SPC'!$C$4),OR('Visual SPC'!$E$4="",'Data Entry'!$C3212&lt;='Visual SPC'!$E$4),OR('Visual SPC'!$G$4="",'Data Entry'!$D3212='Visual SPC'!$G$4),OR('Visual SPC'!$I$4="",'Data Entry'!$E3212='Visual SPC'!$I$4),OR('Visual SPC'!$K$4="",'Data Entry'!$F3212='Visual SPC'!$K$4)),1,0))</f>
        <v/>
      </c>
      <c r="C3212">
        <f>C3211+B3212</f>
        <v/>
      </c>
      <c r="D3212">
        <f>IF(B3212=1,INDEX('Data Entry'!$H$5:$BE$10004,3212-4,'Visual SPC'!$B$3),"")</f>
        <v/>
      </c>
      <c r="E3212">
        <f>IF(B3212=1,D3212,E3211)</f>
        <v/>
      </c>
      <c r="F3212">
        <f>IF(AND(B3212=1,C3212&gt;1,E3211&lt;&gt;""),ABS(D3212-E3211),"")</f>
        <v/>
      </c>
    </row>
    <row r="3213">
      <c r="A3213" t="n">
        <v>3213</v>
      </c>
      <c r="B3213">
        <f>IF(INDEX('Data Entry'!$H$5:$BE$10004,3213-4,'Visual SPC'!$B$3)="",0,IF(AND(OR('Visual SPC'!$C$4="",'Data Entry'!$C3213&gt;='Visual SPC'!$C$4),OR('Visual SPC'!$E$4="",'Data Entry'!$C3213&lt;='Visual SPC'!$E$4),OR('Visual SPC'!$G$4="",'Data Entry'!$D3213='Visual SPC'!$G$4),OR('Visual SPC'!$I$4="",'Data Entry'!$E3213='Visual SPC'!$I$4),OR('Visual SPC'!$K$4="",'Data Entry'!$F3213='Visual SPC'!$K$4)),1,0))</f>
        <v/>
      </c>
      <c r="C3213">
        <f>C3212+B3213</f>
        <v/>
      </c>
      <c r="D3213">
        <f>IF(B3213=1,INDEX('Data Entry'!$H$5:$BE$10004,3213-4,'Visual SPC'!$B$3),"")</f>
        <v/>
      </c>
      <c r="E3213">
        <f>IF(B3213=1,D3213,E3212)</f>
        <v/>
      </c>
      <c r="F3213">
        <f>IF(AND(B3213=1,C3213&gt;1,E3212&lt;&gt;""),ABS(D3213-E3212),"")</f>
        <v/>
      </c>
    </row>
    <row r="3214">
      <c r="A3214" t="n">
        <v>3214</v>
      </c>
      <c r="B3214">
        <f>IF(INDEX('Data Entry'!$H$5:$BE$10004,3214-4,'Visual SPC'!$B$3)="",0,IF(AND(OR('Visual SPC'!$C$4="",'Data Entry'!$C3214&gt;='Visual SPC'!$C$4),OR('Visual SPC'!$E$4="",'Data Entry'!$C3214&lt;='Visual SPC'!$E$4),OR('Visual SPC'!$G$4="",'Data Entry'!$D3214='Visual SPC'!$G$4),OR('Visual SPC'!$I$4="",'Data Entry'!$E3214='Visual SPC'!$I$4),OR('Visual SPC'!$K$4="",'Data Entry'!$F3214='Visual SPC'!$K$4)),1,0))</f>
        <v/>
      </c>
      <c r="C3214">
        <f>C3213+B3214</f>
        <v/>
      </c>
      <c r="D3214">
        <f>IF(B3214=1,INDEX('Data Entry'!$H$5:$BE$10004,3214-4,'Visual SPC'!$B$3),"")</f>
        <v/>
      </c>
      <c r="E3214">
        <f>IF(B3214=1,D3214,E3213)</f>
        <v/>
      </c>
      <c r="F3214">
        <f>IF(AND(B3214=1,C3214&gt;1,E3213&lt;&gt;""),ABS(D3214-E3213),"")</f>
        <v/>
      </c>
    </row>
    <row r="3215">
      <c r="A3215" t="n">
        <v>3215</v>
      </c>
      <c r="B3215">
        <f>IF(INDEX('Data Entry'!$H$5:$BE$10004,3215-4,'Visual SPC'!$B$3)="",0,IF(AND(OR('Visual SPC'!$C$4="",'Data Entry'!$C3215&gt;='Visual SPC'!$C$4),OR('Visual SPC'!$E$4="",'Data Entry'!$C3215&lt;='Visual SPC'!$E$4),OR('Visual SPC'!$G$4="",'Data Entry'!$D3215='Visual SPC'!$G$4),OR('Visual SPC'!$I$4="",'Data Entry'!$E3215='Visual SPC'!$I$4),OR('Visual SPC'!$K$4="",'Data Entry'!$F3215='Visual SPC'!$K$4)),1,0))</f>
        <v/>
      </c>
      <c r="C3215">
        <f>C3214+B3215</f>
        <v/>
      </c>
      <c r="D3215">
        <f>IF(B3215=1,INDEX('Data Entry'!$H$5:$BE$10004,3215-4,'Visual SPC'!$B$3),"")</f>
        <v/>
      </c>
      <c r="E3215">
        <f>IF(B3215=1,D3215,E3214)</f>
        <v/>
      </c>
      <c r="F3215">
        <f>IF(AND(B3215=1,C3215&gt;1,E3214&lt;&gt;""),ABS(D3215-E3214),"")</f>
        <v/>
      </c>
    </row>
    <row r="3216">
      <c r="A3216" t="n">
        <v>3216</v>
      </c>
      <c r="B3216">
        <f>IF(INDEX('Data Entry'!$H$5:$BE$10004,3216-4,'Visual SPC'!$B$3)="",0,IF(AND(OR('Visual SPC'!$C$4="",'Data Entry'!$C3216&gt;='Visual SPC'!$C$4),OR('Visual SPC'!$E$4="",'Data Entry'!$C3216&lt;='Visual SPC'!$E$4),OR('Visual SPC'!$G$4="",'Data Entry'!$D3216='Visual SPC'!$G$4),OR('Visual SPC'!$I$4="",'Data Entry'!$E3216='Visual SPC'!$I$4),OR('Visual SPC'!$K$4="",'Data Entry'!$F3216='Visual SPC'!$K$4)),1,0))</f>
        <v/>
      </c>
      <c r="C3216">
        <f>C3215+B3216</f>
        <v/>
      </c>
      <c r="D3216">
        <f>IF(B3216=1,INDEX('Data Entry'!$H$5:$BE$10004,3216-4,'Visual SPC'!$B$3),"")</f>
        <v/>
      </c>
      <c r="E3216">
        <f>IF(B3216=1,D3216,E3215)</f>
        <v/>
      </c>
      <c r="F3216">
        <f>IF(AND(B3216=1,C3216&gt;1,E3215&lt;&gt;""),ABS(D3216-E3215),"")</f>
        <v/>
      </c>
    </row>
    <row r="3217">
      <c r="A3217" t="n">
        <v>3217</v>
      </c>
      <c r="B3217">
        <f>IF(INDEX('Data Entry'!$H$5:$BE$10004,3217-4,'Visual SPC'!$B$3)="",0,IF(AND(OR('Visual SPC'!$C$4="",'Data Entry'!$C3217&gt;='Visual SPC'!$C$4),OR('Visual SPC'!$E$4="",'Data Entry'!$C3217&lt;='Visual SPC'!$E$4),OR('Visual SPC'!$G$4="",'Data Entry'!$D3217='Visual SPC'!$G$4),OR('Visual SPC'!$I$4="",'Data Entry'!$E3217='Visual SPC'!$I$4),OR('Visual SPC'!$K$4="",'Data Entry'!$F3217='Visual SPC'!$K$4)),1,0))</f>
        <v/>
      </c>
      <c r="C3217">
        <f>C3216+B3217</f>
        <v/>
      </c>
      <c r="D3217">
        <f>IF(B3217=1,INDEX('Data Entry'!$H$5:$BE$10004,3217-4,'Visual SPC'!$B$3),"")</f>
        <v/>
      </c>
      <c r="E3217">
        <f>IF(B3217=1,D3217,E3216)</f>
        <v/>
      </c>
      <c r="F3217">
        <f>IF(AND(B3217=1,C3217&gt;1,E3216&lt;&gt;""),ABS(D3217-E3216),"")</f>
        <v/>
      </c>
    </row>
    <row r="3218">
      <c r="A3218" t="n">
        <v>3218</v>
      </c>
      <c r="B3218">
        <f>IF(INDEX('Data Entry'!$H$5:$BE$10004,3218-4,'Visual SPC'!$B$3)="",0,IF(AND(OR('Visual SPC'!$C$4="",'Data Entry'!$C3218&gt;='Visual SPC'!$C$4),OR('Visual SPC'!$E$4="",'Data Entry'!$C3218&lt;='Visual SPC'!$E$4),OR('Visual SPC'!$G$4="",'Data Entry'!$D3218='Visual SPC'!$G$4),OR('Visual SPC'!$I$4="",'Data Entry'!$E3218='Visual SPC'!$I$4),OR('Visual SPC'!$K$4="",'Data Entry'!$F3218='Visual SPC'!$K$4)),1,0))</f>
        <v/>
      </c>
      <c r="C3218">
        <f>C3217+B3218</f>
        <v/>
      </c>
      <c r="D3218">
        <f>IF(B3218=1,INDEX('Data Entry'!$H$5:$BE$10004,3218-4,'Visual SPC'!$B$3),"")</f>
        <v/>
      </c>
      <c r="E3218">
        <f>IF(B3218=1,D3218,E3217)</f>
        <v/>
      </c>
      <c r="F3218">
        <f>IF(AND(B3218=1,C3218&gt;1,E3217&lt;&gt;""),ABS(D3218-E3217),"")</f>
        <v/>
      </c>
    </row>
    <row r="3219">
      <c r="A3219" t="n">
        <v>3219</v>
      </c>
      <c r="B3219">
        <f>IF(INDEX('Data Entry'!$H$5:$BE$10004,3219-4,'Visual SPC'!$B$3)="",0,IF(AND(OR('Visual SPC'!$C$4="",'Data Entry'!$C3219&gt;='Visual SPC'!$C$4),OR('Visual SPC'!$E$4="",'Data Entry'!$C3219&lt;='Visual SPC'!$E$4),OR('Visual SPC'!$G$4="",'Data Entry'!$D3219='Visual SPC'!$G$4),OR('Visual SPC'!$I$4="",'Data Entry'!$E3219='Visual SPC'!$I$4),OR('Visual SPC'!$K$4="",'Data Entry'!$F3219='Visual SPC'!$K$4)),1,0))</f>
        <v/>
      </c>
      <c r="C3219">
        <f>C3218+B3219</f>
        <v/>
      </c>
      <c r="D3219">
        <f>IF(B3219=1,INDEX('Data Entry'!$H$5:$BE$10004,3219-4,'Visual SPC'!$B$3),"")</f>
        <v/>
      </c>
      <c r="E3219">
        <f>IF(B3219=1,D3219,E3218)</f>
        <v/>
      </c>
      <c r="F3219">
        <f>IF(AND(B3219=1,C3219&gt;1,E3218&lt;&gt;""),ABS(D3219-E3218),"")</f>
        <v/>
      </c>
    </row>
    <row r="3220">
      <c r="A3220" t="n">
        <v>3220</v>
      </c>
      <c r="B3220">
        <f>IF(INDEX('Data Entry'!$H$5:$BE$10004,3220-4,'Visual SPC'!$B$3)="",0,IF(AND(OR('Visual SPC'!$C$4="",'Data Entry'!$C3220&gt;='Visual SPC'!$C$4),OR('Visual SPC'!$E$4="",'Data Entry'!$C3220&lt;='Visual SPC'!$E$4),OR('Visual SPC'!$G$4="",'Data Entry'!$D3220='Visual SPC'!$G$4),OR('Visual SPC'!$I$4="",'Data Entry'!$E3220='Visual SPC'!$I$4),OR('Visual SPC'!$K$4="",'Data Entry'!$F3220='Visual SPC'!$K$4)),1,0))</f>
        <v/>
      </c>
      <c r="C3220">
        <f>C3219+B3220</f>
        <v/>
      </c>
      <c r="D3220">
        <f>IF(B3220=1,INDEX('Data Entry'!$H$5:$BE$10004,3220-4,'Visual SPC'!$B$3),"")</f>
        <v/>
      </c>
      <c r="E3220">
        <f>IF(B3220=1,D3220,E3219)</f>
        <v/>
      </c>
      <c r="F3220">
        <f>IF(AND(B3220=1,C3220&gt;1,E3219&lt;&gt;""),ABS(D3220-E3219),"")</f>
        <v/>
      </c>
    </row>
    <row r="3221">
      <c r="A3221" t="n">
        <v>3221</v>
      </c>
      <c r="B3221">
        <f>IF(INDEX('Data Entry'!$H$5:$BE$10004,3221-4,'Visual SPC'!$B$3)="",0,IF(AND(OR('Visual SPC'!$C$4="",'Data Entry'!$C3221&gt;='Visual SPC'!$C$4),OR('Visual SPC'!$E$4="",'Data Entry'!$C3221&lt;='Visual SPC'!$E$4),OR('Visual SPC'!$G$4="",'Data Entry'!$D3221='Visual SPC'!$G$4),OR('Visual SPC'!$I$4="",'Data Entry'!$E3221='Visual SPC'!$I$4),OR('Visual SPC'!$K$4="",'Data Entry'!$F3221='Visual SPC'!$K$4)),1,0))</f>
        <v/>
      </c>
      <c r="C3221">
        <f>C3220+B3221</f>
        <v/>
      </c>
      <c r="D3221">
        <f>IF(B3221=1,INDEX('Data Entry'!$H$5:$BE$10004,3221-4,'Visual SPC'!$B$3),"")</f>
        <v/>
      </c>
      <c r="E3221">
        <f>IF(B3221=1,D3221,E3220)</f>
        <v/>
      </c>
      <c r="F3221">
        <f>IF(AND(B3221=1,C3221&gt;1,E3220&lt;&gt;""),ABS(D3221-E3220),"")</f>
        <v/>
      </c>
    </row>
    <row r="3222">
      <c r="A3222" t="n">
        <v>3222</v>
      </c>
      <c r="B3222">
        <f>IF(INDEX('Data Entry'!$H$5:$BE$10004,3222-4,'Visual SPC'!$B$3)="",0,IF(AND(OR('Visual SPC'!$C$4="",'Data Entry'!$C3222&gt;='Visual SPC'!$C$4),OR('Visual SPC'!$E$4="",'Data Entry'!$C3222&lt;='Visual SPC'!$E$4),OR('Visual SPC'!$G$4="",'Data Entry'!$D3222='Visual SPC'!$G$4),OR('Visual SPC'!$I$4="",'Data Entry'!$E3222='Visual SPC'!$I$4),OR('Visual SPC'!$K$4="",'Data Entry'!$F3222='Visual SPC'!$K$4)),1,0))</f>
        <v/>
      </c>
      <c r="C3222">
        <f>C3221+B3222</f>
        <v/>
      </c>
      <c r="D3222">
        <f>IF(B3222=1,INDEX('Data Entry'!$H$5:$BE$10004,3222-4,'Visual SPC'!$B$3),"")</f>
        <v/>
      </c>
      <c r="E3222">
        <f>IF(B3222=1,D3222,E3221)</f>
        <v/>
      </c>
      <c r="F3222">
        <f>IF(AND(B3222=1,C3222&gt;1,E3221&lt;&gt;""),ABS(D3222-E3221),"")</f>
        <v/>
      </c>
    </row>
    <row r="3223">
      <c r="A3223" t="n">
        <v>3223</v>
      </c>
      <c r="B3223">
        <f>IF(INDEX('Data Entry'!$H$5:$BE$10004,3223-4,'Visual SPC'!$B$3)="",0,IF(AND(OR('Visual SPC'!$C$4="",'Data Entry'!$C3223&gt;='Visual SPC'!$C$4),OR('Visual SPC'!$E$4="",'Data Entry'!$C3223&lt;='Visual SPC'!$E$4),OR('Visual SPC'!$G$4="",'Data Entry'!$D3223='Visual SPC'!$G$4),OR('Visual SPC'!$I$4="",'Data Entry'!$E3223='Visual SPC'!$I$4),OR('Visual SPC'!$K$4="",'Data Entry'!$F3223='Visual SPC'!$K$4)),1,0))</f>
        <v/>
      </c>
      <c r="C3223">
        <f>C3222+B3223</f>
        <v/>
      </c>
      <c r="D3223">
        <f>IF(B3223=1,INDEX('Data Entry'!$H$5:$BE$10004,3223-4,'Visual SPC'!$B$3),"")</f>
        <v/>
      </c>
      <c r="E3223">
        <f>IF(B3223=1,D3223,E3222)</f>
        <v/>
      </c>
      <c r="F3223">
        <f>IF(AND(B3223=1,C3223&gt;1,E3222&lt;&gt;""),ABS(D3223-E3222),"")</f>
        <v/>
      </c>
    </row>
    <row r="3224">
      <c r="A3224" t="n">
        <v>3224</v>
      </c>
      <c r="B3224">
        <f>IF(INDEX('Data Entry'!$H$5:$BE$10004,3224-4,'Visual SPC'!$B$3)="",0,IF(AND(OR('Visual SPC'!$C$4="",'Data Entry'!$C3224&gt;='Visual SPC'!$C$4),OR('Visual SPC'!$E$4="",'Data Entry'!$C3224&lt;='Visual SPC'!$E$4),OR('Visual SPC'!$G$4="",'Data Entry'!$D3224='Visual SPC'!$G$4),OR('Visual SPC'!$I$4="",'Data Entry'!$E3224='Visual SPC'!$I$4),OR('Visual SPC'!$K$4="",'Data Entry'!$F3224='Visual SPC'!$K$4)),1,0))</f>
        <v/>
      </c>
      <c r="C3224">
        <f>C3223+B3224</f>
        <v/>
      </c>
      <c r="D3224">
        <f>IF(B3224=1,INDEX('Data Entry'!$H$5:$BE$10004,3224-4,'Visual SPC'!$B$3),"")</f>
        <v/>
      </c>
      <c r="E3224">
        <f>IF(B3224=1,D3224,E3223)</f>
        <v/>
      </c>
      <c r="F3224">
        <f>IF(AND(B3224=1,C3224&gt;1,E3223&lt;&gt;""),ABS(D3224-E3223),"")</f>
        <v/>
      </c>
    </row>
    <row r="3225">
      <c r="A3225" t="n">
        <v>3225</v>
      </c>
      <c r="B3225">
        <f>IF(INDEX('Data Entry'!$H$5:$BE$10004,3225-4,'Visual SPC'!$B$3)="",0,IF(AND(OR('Visual SPC'!$C$4="",'Data Entry'!$C3225&gt;='Visual SPC'!$C$4),OR('Visual SPC'!$E$4="",'Data Entry'!$C3225&lt;='Visual SPC'!$E$4),OR('Visual SPC'!$G$4="",'Data Entry'!$D3225='Visual SPC'!$G$4),OR('Visual SPC'!$I$4="",'Data Entry'!$E3225='Visual SPC'!$I$4),OR('Visual SPC'!$K$4="",'Data Entry'!$F3225='Visual SPC'!$K$4)),1,0))</f>
        <v/>
      </c>
      <c r="C3225">
        <f>C3224+B3225</f>
        <v/>
      </c>
      <c r="D3225">
        <f>IF(B3225=1,INDEX('Data Entry'!$H$5:$BE$10004,3225-4,'Visual SPC'!$B$3),"")</f>
        <v/>
      </c>
      <c r="E3225">
        <f>IF(B3225=1,D3225,E3224)</f>
        <v/>
      </c>
      <c r="F3225">
        <f>IF(AND(B3225=1,C3225&gt;1,E3224&lt;&gt;""),ABS(D3225-E3224),"")</f>
        <v/>
      </c>
    </row>
    <row r="3226">
      <c r="A3226" t="n">
        <v>3226</v>
      </c>
      <c r="B3226">
        <f>IF(INDEX('Data Entry'!$H$5:$BE$10004,3226-4,'Visual SPC'!$B$3)="",0,IF(AND(OR('Visual SPC'!$C$4="",'Data Entry'!$C3226&gt;='Visual SPC'!$C$4),OR('Visual SPC'!$E$4="",'Data Entry'!$C3226&lt;='Visual SPC'!$E$4),OR('Visual SPC'!$G$4="",'Data Entry'!$D3226='Visual SPC'!$G$4),OR('Visual SPC'!$I$4="",'Data Entry'!$E3226='Visual SPC'!$I$4),OR('Visual SPC'!$K$4="",'Data Entry'!$F3226='Visual SPC'!$K$4)),1,0))</f>
        <v/>
      </c>
      <c r="C3226">
        <f>C3225+B3226</f>
        <v/>
      </c>
      <c r="D3226">
        <f>IF(B3226=1,INDEX('Data Entry'!$H$5:$BE$10004,3226-4,'Visual SPC'!$B$3),"")</f>
        <v/>
      </c>
      <c r="E3226">
        <f>IF(B3226=1,D3226,E3225)</f>
        <v/>
      </c>
      <c r="F3226">
        <f>IF(AND(B3226=1,C3226&gt;1,E3225&lt;&gt;""),ABS(D3226-E3225),"")</f>
        <v/>
      </c>
    </row>
    <row r="3227">
      <c r="A3227" t="n">
        <v>3227</v>
      </c>
      <c r="B3227">
        <f>IF(INDEX('Data Entry'!$H$5:$BE$10004,3227-4,'Visual SPC'!$B$3)="",0,IF(AND(OR('Visual SPC'!$C$4="",'Data Entry'!$C3227&gt;='Visual SPC'!$C$4),OR('Visual SPC'!$E$4="",'Data Entry'!$C3227&lt;='Visual SPC'!$E$4),OR('Visual SPC'!$G$4="",'Data Entry'!$D3227='Visual SPC'!$G$4),OR('Visual SPC'!$I$4="",'Data Entry'!$E3227='Visual SPC'!$I$4),OR('Visual SPC'!$K$4="",'Data Entry'!$F3227='Visual SPC'!$K$4)),1,0))</f>
        <v/>
      </c>
      <c r="C3227">
        <f>C3226+B3227</f>
        <v/>
      </c>
      <c r="D3227">
        <f>IF(B3227=1,INDEX('Data Entry'!$H$5:$BE$10004,3227-4,'Visual SPC'!$B$3),"")</f>
        <v/>
      </c>
      <c r="E3227">
        <f>IF(B3227=1,D3227,E3226)</f>
        <v/>
      </c>
      <c r="F3227">
        <f>IF(AND(B3227=1,C3227&gt;1,E3226&lt;&gt;""),ABS(D3227-E3226),"")</f>
        <v/>
      </c>
    </row>
    <row r="3228">
      <c r="A3228" t="n">
        <v>3228</v>
      </c>
      <c r="B3228">
        <f>IF(INDEX('Data Entry'!$H$5:$BE$10004,3228-4,'Visual SPC'!$B$3)="",0,IF(AND(OR('Visual SPC'!$C$4="",'Data Entry'!$C3228&gt;='Visual SPC'!$C$4),OR('Visual SPC'!$E$4="",'Data Entry'!$C3228&lt;='Visual SPC'!$E$4),OR('Visual SPC'!$G$4="",'Data Entry'!$D3228='Visual SPC'!$G$4),OR('Visual SPC'!$I$4="",'Data Entry'!$E3228='Visual SPC'!$I$4),OR('Visual SPC'!$K$4="",'Data Entry'!$F3228='Visual SPC'!$K$4)),1,0))</f>
        <v/>
      </c>
      <c r="C3228">
        <f>C3227+B3228</f>
        <v/>
      </c>
      <c r="D3228">
        <f>IF(B3228=1,INDEX('Data Entry'!$H$5:$BE$10004,3228-4,'Visual SPC'!$B$3),"")</f>
        <v/>
      </c>
      <c r="E3228">
        <f>IF(B3228=1,D3228,E3227)</f>
        <v/>
      </c>
      <c r="F3228">
        <f>IF(AND(B3228=1,C3228&gt;1,E3227&lt;&gt;""),ABS(D3228-E3227),"")</f>
        <v/>
      </c>
    </row>
    <row r="3229">
      <c r="A3229" t="n">
        <v>3229</v>
      </c>
      <c r="B3229">
        <f>IF(INDEX('Data Entry'!$H$5:$BE$10004,3229-4,'Visual SPC'!$B$3)="",0,IF(AND(OR('Visual SPC'!$C$4="",'Data Entry'!$C3229&gt;='Visual SPC'!$C$4),OR('Visual SPC'!$E$4="",'Data Entry'!$C3229&lt;='Visual SPC'!$E$4),OR('Visual SPC'!$G$4="",'Data Entry'!$D3229='Visual SPC'!$G$4),OR('Visual SPC'!$I$4="",'Data Entry'!$E3229='Visual SPC'!$I$4),OR('Visual SPC'!$K$4="",'Data Entry'!$F3229='Visual SPC'!$K$4)),1,0))</f>
        <v/>
      </c>
      <c r="C3229">
        <f>C3228+B3229</f>
        <v/>
      </c>
      <c r="D3229">
        <f>IF(B3229=1,INDEX('Data Entry'!$H$5:$BE$10004,3229-4,'Visual SPC'!$B$3),"")</f>
        <v/>
      </c>
      <c r="E3229">
        <f>IF(B3229=1,D3229,E3228)</f>
        <v/>
      </c>
      <c r="F3229">
        <f>IF(AND(B3229=1,C3229&gt;1,E3228&lt;&gt;""),ABS(D3229-E3228),"")</f>
        <v/>
      </c>
    </row>
    <row r="3230">
      <c r="A3230" t="n">
        <v>3230</v>
      </c>
      <c r="B3230">
        <f>IF(INDEX('Data Entry'!$H$5:$BE$10004,3230-4,'Visual SPC'!$B$3)="",0,IF(AND(OR('Visual SPC'!$C$4="",'Data Entry'!$C3230&gt;='Visual SPC'!$C$4),OR('Visual SPC'!$E$4="",'Data Entry'!$C3230&lt;='Visual SPC'!$E$4),OR('Visual SPC'!$G$4="",'Data Entry'!$D3230='Visual SPC'!$G$4),OR('Visual SPC'!$I$4="",'Data Entry'!$E3230='Visual SPC'!$I$4),OR('Visual SPC'!$K$4="",'Data Entry'!$F3230='Visual SPC'!$K$4)),1,0))</f>
        <v/>
      </c>
      <c r="C3230">
        <f>C3229+B3230</f>
        <v/>
      </c>
      <c r="D3230">
        <f>IF(B3230=1,INDEX('Data Entry'!$H$5:$BE$10004,3230-4,'Visual SPC'!$B$3),"")</f>
        <v/>
      </c>
      <c r="E3230">
        <f>IF(B3230=1,D3230,E3229)</f>
        <v/>
      </c>
      <c r="F3230">
        <f>IF(AND(B3230=1,C3230&gt;1,E3229&lt;&gt;""),ABS(D3230-E3229),"")</f>
        <v/>
      </c>
    </row>
    <row r="3231">
      <c r="A3231" t="n">
        <v>3231</v>
      </c>
      <c r="B3231">
        <f>IF(INDEX('Data Entry'!$H$5:$BE$10004,3231-4,'Visual SPC'!$B$3)="",0,IF(AND(OR('Visual SPC'!$C$4="",'Data Entry'!$C3231&gt;='Visual SPC'!$C$4),OR('Visual SPC'!$E$4="",'Data Entry'!$C3231&lt;='Visual SPC'!$E$4),OR('Visual SPC'!$G$4="",'Data Entry'!$D3231='Visual SPC'!$G$4),OR('Visual SPC'!$I$4="",'Data Entry'!$E3231='Visual SPC'!$I$4),OR('Visual SPC'!$K$4="",'Data Entry'!$F3231='Visual SPC'!$K$4)),1,0))</f>
        <v/>
      </c>
      <c r="C3231">
        <f>C3230+B3231</f>
        <v/>
      </c>
      <c r="D3231">
        <f>IF(B3231=1,INDEX('Data Entry'!$H$5:$BE$10004,3231-4,'Visual SPC'!$B$3),"")</f>
        <v/>
      </c>
      <c r="E3231">
        <f>IF(B3231=1,D3231,E3230)</f>
        <v/>
      </c>
      <c r="F3231">
        <f>IF(AND(B3231=1,C3231&gt;1,E3230&lt;&gt;""),ABS(D3231-E3230),"")</f>
        <v/>
      </c>
    </row>
    <row r="3232">
      <c r="A3232" t="n">
        <v>3232</v>
      </c>
      <c r="B3232">
        <f>IF(INDEX('Data Entry'!$H$5:$BE$10004,3232-4,'Visual SPC'!$B$3)="",0,IF(AND(OR('Visual SPC'!$C$4="",'Data Entry'!$C3232&gt;='Visual SPC'!$C$4),OR('Visual SPC'!$E$4="",'Data Entry'!$C3232&lt;='Visual SPC'!$E$4),OR('Visual SPC'!$G$4="",'Data Entry'!$D3232='Visual SPC'!$G$4),OR('Visual SPC'!$I$4="",'Data Entry'!$E3232='Visual SPC'!$I$4),OR('Visual SPC'!$K$4="",'Data Entry'!$F3232='Visual SPC'!$K$4)),1,0))</f>
        <v/>
      </c>
      <c r="C3232">
        <f>C3231+B3232</f>
        <v/>
      </c>
      <c r="D3232">
        <f>IF(B3232=1,INDEX('Data Entry'!$H$5:$BE$10004,3232-4,'Visual SPC'!$B$3),"")</f>
        <v/>
      </c>
      <c r="E3232">
        <f>IF(B3232=1,D3232,E3231)</f>
        <v/>
      </c>
      <c r="F3232">
        <f>IF(AND(B3232=1,C3232&gt;1,E3231&lt;&gt;""),ABS(D3232-E3231),"")</f>
        <v/>
      </c>
    </row>
    <row r="3233">
      <c r="A3233" t="n">
        <v>3233</v>
      </c>
      <c r="B3233">
        <f>IF(INDEX('Data Entry'!$H$5:$BE$10004,3233-4,'Visual SPC'!$B$3)="",0,IF(AND(OR('Visual SPC'!$C$4="",'Data Entry'!$C3233&gt;='Visual SPC'!$C$4),OR('Visual SPC'!$E$4="",'Data Entry'!$C3233&lt;='Visual SPC'!$E$4),OR('Visual SPC'!$G$4="",'Data Entry'!$D3233='Visual SPC'!$G$4),OR('Visual SPC'!$I$4="",'Data Entry'!$E3233='Visual SPC'!$I$4),OR('Visual SPC'!$K$4="",'Data Entry'!$F3233='Visual SPC'!$K$4)),1,0))</f>
        <v/>
      </c>
      <c r="C3233">
        <f>C3232+B3233</f>
        <v/>
      </c>
      <c r="D3233">
        <f>IF(B3233=1,INDEX('Data Entry'!$H$5:$BE$10004,3233-4,'Visual SPC'!$B$3),"")</f>
        <v/>
      </c>
      <c r="E3233">
        <f>IF(B3233=1,D3233,E3232)</f>
        <v/>
      </c>
      <c r="F3233">
        <f>IF(AND(B3233=1,C3233&gt;1,E3232&lt;&gt;""),ABS(D3233-E3232),"")</f>
        <v/>
      </c>
    </row>
    <row r="3234">
      <c r="A3234" t="n">
        <v>3234</v>
      </c>
      <c r="B3234">
        <f>IF(INDEX('Data Entry'!$H$5:$BE$10004,3234-4,'Visual SPC'!$B$3)="",0,IF(AND(OR('Visual SPC'!$C$4="",'Data Entry'!$C3234&gt;='Visual SPC'!$C$4),OR('Visual SPC'!$E$4="",'Data Entry'!$C3234&lt;='Visual SPC'!$E$4),OR('Visual SPC'!$G$4="",'Data Entry'!$D3234='Visual SPC'!$G$4),OR('Visual SPC'!$I$4="",'Data Entry'!$E3234='Visual SPC'!$I$4),OR('Visual SPC'!$K$4="",'Data Entry'!$F3234='Visual SPC'!$K$4)),1,0))</f>
        <v/>
      </c>
      <c r="C3234">
        <f>C3233+B3234</f>
        <v/>
      </c>
      <c r="D3234">
        <f>IF(B3234=1,INDEX('Data Entry'!$H$5:$BE$10004,3234-4,'Visual SPC'!$B$3),"")</f>
        <v/>
      </c>
      <c r="E3234">
        <f>IF(B3234=1,D3234,E3233)</f>
        <v/>
      </c>
      <c r="F3234">
        <f>IF(AND(B3234=1,C3234&gt;1,E3233&lt;&gt;""),ABS(D3234-E3233),"")</f>
        <v/>
      </c>
    </row>
    <row r="3235">
      <c r="A3235" t="n">
        <v>3235</v>
      </c>
      <c r="B3235">
        <f>IF(INDEX('Data Entry'!$H$5:$BE$10004,3235-4,'Visual SPC'!$B$3)="",0,IF(AND(OR('Visual SPC'!$C$4="",'Data Entry'!$C3235&gt;='Visual SPC'!$C$4),OR('Visual SPC'!$E$4="",'Data Entry'!$C3235&lt;='Visual SPC'!$E$4),OR('Visual SPC'!$G$4="",'Data Entry'!$D3235='Visual SPC'!$G$4),OR('Visual SPC'!$I$4="",'Data Entry'!$E3235='Visual SPC'!$I$4),OR('Visual SPC'!$K$4="",'Data Entry'!$F3235='Visual SPC'!$K$4)),1,0))</f>
        <v/>
      </c>
      <c r="C3235">
        <f>C3234+B3235</f>
        <v/>
      </c>
      <c r="D3235">
        <f>IF(B3235=1,INDEX('Data Entry'!$H$5:$BE$10004,3235-4,'Visual SPC'!$B$3),"")</f>
        <v/>
      </c>
      <c r="E3235">
        <f>IF(B3235=1,D3235,E3234)</f>
        <v/>
      </c>
      <c r="F3235">
        <f>IF(AND(B3235=1,C3235&gt;1,E3234&lt;&gt;""),ABS(D3235-E3234),"")</f>
        <v/>
      </c>
    </row>
    <row r="3236">
      <c r="A3236" t="n">
        <v>3236</v>
      </c>
      <c r="B3236">
        <f>IF(INDEX('Data Entry'!$H$5:$BE$10004,3236-4,'Visual SPC'!$B$3)="",0,IF(AND(OR('Visual SPC'!$C$4="",'Data Entry'!$C3236&gt;='Visual SPC'!$C$4),OR('Visual SPC'!$E$4="",'Data Entry'!$C3236&lt;='Visual SPC'!$E$4),OR('Visual SPC'!$G$4="",'Data Entry'!$D3236='Visual SPC'!$G$4),OR('Visual SPC'!$I$4="",'Data Entry'!$E3236='Visual SPC'!$I$4),OR('Visual SPC'!$K$4="",'Data Entry'!$F3236='Visual SPC'!$K$4)),1,0))</f>
        <v/>
      </c>
      <c r="C3236">
        <f>C3235+B3236</f>
        <v/>
      </c>
      <c r="D3236">
        <f>IF(B3236=1,INDEX('Data Entry'!$H$5:$BE$10004,3236-4,'Visual SPC'!$B$3),"")</f>
        <v/>
      </c>
      <c r="E3236">
        <f>IF(B3236=1,D3236,E3235)</f>
        <v/>
      </c>
      <c r="F3236">
        <f>IF(AND(B3236=1,C3236&gt;1,E3235&lt;&gt;""),ABS(D3236-E3235),"")</f>
        <v/>
      </c>
    </row>
    <row r="3237">
      <c r="A3237" t="n">
        <v>3237</v>
      </c>
      <c r="B3237">
        <f>IF(INDEX('Data Entry'!$H$5:$BE$10004,3237-4,'Visual SPC'!$B$3)="",0,IF(AND(OR('Visual SPC'!$C$4="",'Data Entry'!$C3237&gt;='Visual SPC'!$C$4),OR('Visual SPC'!$E$4="",'Data Entry'!$C3237&lt;='Visual SPC'!$E$4),OR('Visual SPC'!$G$4="",'Data Entry'!$D3237='Visual SPC'!$G$4),OR('Visual SPC'!$I$4="",'Data Entry'!$E3237='Visual SPC'!$I$4),OR('Visual SPC'!$K$4="",'Data Entry'!$F3237='Visual SPC'!$K$4)),1,0))</f>
        <v/>
      </c>
      <c r="C3237">
        <f>C3236+B3237</f>
        <v/>
      </c>
      <c r="D3237">
        <f>IF(B3237=1,INDEX('Data Entry'!$H$5:$BE$10004,3237-4,'Visual SPC'!$B$3),"")</f>
        <v/>
      </c>
      <c r="E3237">
        <f>IF(B3237=1,D3237,E3236)</f>
        <v/>
      </c>
      <c r="F3237">
        <f>IF(AND(B3237=1,C3237&gt;1,E3236&lt;&gt;""),ABS(D3237-E3236),"")</f>
        <v/>
      </c>
    </row>
    <row r="3238">
      <c r="A3238" t="n">
        <v>3238</v>
      </c>
      <c r="B3238">
        <f>IF(INDEX('Data Entry'!$H$5:$BE$10004,3238-4,'Visual SPC'!$B$3)="",0,IF(AND(OR('Visual SPC'!$C$4="",'Data Entry'!$C3238&gt;='Visual SPC'!$C$4),OR('Visual SPC'!$E$4="",'Data Entry'!$C3238&lt;='Visual SPC'!$E$4),OR('Visual SPC'!$G$4="",'Data Entry'!$D3238='Visual SPC'!$G$4),OR('Visual SPC'!$I$4="",'Data Entry'!$E3238='Visual SPC'!$I$4),OR('Visual SPC'!$K$4="",'Data Entry'!$F3238='Visual SPC'!$K$4)),1,0))</f>
        <v/>
      </c>
      <c r="C3238">
        <f>C3237+B3238</f>
        <v/>
      </c>
      <c r="D3238">
        <f>IF(B3238=1,INDEX('Data Entry'!$H$5:$BE$10004,3238-4,'Visual SPC'!$B$3),"")</f>
        <v/>
      </c>
      <c r="E3238">
        <f>IF(B3238=1,D3238,E3237)</f>
        <v/>
      </c>
      <c r="F3238">
        <f>IF(AND(B3238=1,C3238&gt;1,E3237&lt;&gt;""),ABS(D3238-E3237),"")</f>
        <v/>
      </c>
    </row>
    <row r="3239">
      <c r="A3239" t="n">
        <v>3239</v>
      </c>
      <c r="B3239">
        <f>IF(INDEX('Data Entry'!$H$5:$BE$10004,3239-4,'Visual SPC'!$B$3)="",0,IF(AND(OR('Visual SPC'!$C$4="",'Data Entry'!$C3239&gt;='Visual SPC'!$C$4),OR('Visual SPC'!$E$4="",'Data Entry'!$C3239&lt;='Visual SPC'!$E$4),OR('Visual SPC'!$G$4="",'Data Entry'!$D3239='Visual SPC'!$G$4),OR('Visual SPC'!$I$4="",'Data Entry'!$E3239='Visual SPC'!$I$4),OR('Visual SPC'!$K$4="",'Data Entry'!$F3239='Visual SPC'!$K$4)),1,0))</f>
        <v/>
      </c>
      <c r="C3239">
        <f>C3238+B3239</f>
        <v/>
      </c>
      <c r="D3239">
        <f>IF(B3239=1,INDEX('Data Entry'!$H$5:$BE$10004,3239-4,'Visual SPC'!$B$3),"")</f>
        <v/>
      </c>
      <c r="E3239">
        <f>IF(B3239=1,D3239,E3238)</f>
        <v/>
      </c>
      <c r="F3239">
        <f>IF(AND(B3239=1,C3239&gt;1,E3238&lt;&gt;""),ABS(D3239-E3238),"")</f>
        <v/>
      </c>
    </row>
    <row r="3240">
      <c r="A3240" t="n">
        <v>3240</v>
      </c>
      <c r="B3240">
        <f>IF(INDEX('Data Entry'!$H$5:$BE$10004,3240-4,'Visual SPC'!$B$3)="",0,IF(AND(OR('Visual SPC'!$C$4="",'Data Entry'!$C3240&gt;='Visual SPC'!$C$4),OR('Visual SPC'!$E$4="",'Data Entry'!$C3240&lt;='Visual SPC'!$E$4),OR('Visual SPC'!$G$4="",'Data Entry'!$D3240='Visual SPC'!$G$4),OR('Visual SPC'!$I$4="",'Data Entry'!$E3240='Visual SPC'!$I$4),OR('Visual SPC'!$K$4="",'Data Entry'!$F3240='Visual SPC'!$K$4)),1,0))</f>
        <v/>
      </c>
      <c r="C3240">
        <f>C3239+B3240</f>
        <v/>
      </c>
      <c r="D3240">
        <f>IF(B3240=1,INDEX('Data Entry'!$H$5:$BE$10004,3240-4,'Visual SPC'!$B$3),"")</f>
        <v/>
      </c>
      <c r="E3240">
        <f>IF(B3240=1,D3240,E3239)</f>
        <v/>
      </c>
      <c r="F3240">
        <f>IF(AND(B3240=1,C3240&gt;1,E3239&lt;&gt;""),ABS(D3240-E3239),"")</f>
        <v/>
      </c>
    </row>
    <row r="3241">
      <c r="A3241" t="n">
        <v>3241</v>
      </c>
      <c r="B3241">
        <f>IF(INDEX('Data Entry'!$H$5:$BE$10004,3241-4,'Visual SPC'!$B$3)="",0,IF(AND(OR('Visual SPC'!$C$4="",'Data Entry'!$C3241&gt;='Visual SPC'!$C$4),OR('Visual SPC'!$E$4="",'Data Entry'!$C3241&lt;='Visual SPC'!$E$4),OR('Visual SPC'!$G$4="",'Data Entry'!$D3241='Visual SPC'!$G$4),OR('Visual SPC'!$I$4="",'Data Entry'!$E3241='Visual SPC'!$I$4),OR('Visual SPC'!$K$4="",'Data Entry'!$F3241='Visual SPC'!$K$4)),1,0))</f>
        <v/>
      </c>
      <c r="C3241">
        <f>C3240+B3241</f>
        <v/>
      </c>
      <c r="D3241">
        <f>IF(B3241=1,INDEX('Data Entry'!$H$5:$BE$10004,3241-4,'Visual SPC'!$B$3),"")</f>
        <v/>
      </c>
      <c r="E3241">
        <f>IF(B3241=1,D3241,E3240)</f>
        <v/>
      </c>
      <c r="F3241">
        <f>IF(AND(B3241=1,C3241&gt;1,E3240&lt;&gt;""),ABS(D3241-E3240),"")</f>
        <v/>
      </c>
    </row>
    <row r="3242">
      <c r="A3242" t="n">
        <v>3242</v>
      </c>
      <c r="B3242">
        <f>IF(INDEX('Data Entry'!$H$5:$BE$10004,3242-4,'Visual SPC'!$B$3)="",0,IF(AND(OR('Visual SPC'!$C$4="",'Data Entry'!$C3242&gt;='Visual SPC'!$C$4),OR('Visual SPC'!$E$4="",'Data Entry'!$C3242&lt;='Visual SPC'!$E$4),OR('Visual SPC'!$G$4="",'Data Entry'!$D3242='Visual SPC'!$G$4),OR('Visual SPC'!$I$4="",'Data Entry'!$E3242='Visual SPC'!$I$4),OR('Visual SPC'!$K$4="",'Data Entry'!$F3242='Visual SPC'!$K$4)),1,0))</f>
        <v/>
      </c>
      <c r="C3242">
        <f>C3241+B3242</f>
        <v/>
      </c>
      <c r="D3242">
        <f>IF(B3242=1,INDEX('Data Entry'!$H$5:$BE$10004,3242-4,'Visual SPC'!$B$3),"")</f>
        <v/>
      </c>
      <c r="E3242">
        <f>IF(B3242=1,D3242,E3241)</f>
        <v/>
      </c>
      <c r="F3242">
        <f>IF(AND(B3242=1,C3242&gt;1,E3241&lt;&gt;""),ABS(D3242-E3241),"")</f>
        <v/>
      </c>
    </row>
    <row r="3243">
      <c r="A3243" t="n">
        <v>3243</v>
      </c>
      <c r="B3243">
        <f>IF(INDEX('Data Entry'!$H$5:$BE$10004,3243-4,'Visual SPC'!$B$3)="",0,IF(AND(OR('Visual SPC'!$C$4="",'Data Entry'!$C3243&gt;='Visual SPC'!$C$4),OR('Visual SPC'!$E$4="",'Data Entry'!$C3243&lt;='Visual SPC'!$E$4),OR('Visual SPC'!$G$4="",'Data Entry'!$D3243='Visual SPC'!$G$4),OR('Visual SPC'!$I$4="",'Data Entry'!$E3243='Visual SPC'!$I$4),OR('Visual SPC'!$K$4="",'Data Entry'!$F3243='Visual SPC'!$K$4)),1,0))</f>
        <v/>
      </c>
      <c r="C3243">
        <f>C3242+B3243</f>
        <v/>
      </c>
      <c r="D3243">
        <f>IF(B3243=1,INDEX('Data Entry'!$H$5:$BE$10004,3243-4,'Visual SPC'!$B$3),"")</f>
        <v/>
      </c>
      <c r="E3243">
        <f>IF(B3243=1,D3243,E3242)</f>
        <v/>
      </c>
      <c r="F3243">
        <f>IF(AND(B3243=1,C3243&gt;1,E3242&lt;&gt;""),ABS(D3243-E3242),"")</f>
        <v/>
      </c>
    </row>
    <row r="3244">
      <c r="A3244" t="n">
        <v>3244</v>
      </c>
      <c r="B3244">
        <f>IF(INDEX('Data Entry'!$H$5:$BE$10004,3244-4,'Visual SPC'!$B$3)="",0,IF(AND(OR('Visual SPC'!$C$4="",'Data Entry'!$C3244&gt;='Visual SPC'!$C$4),OR('Visual SPC'!$E$4="",'Data Entry'!$C3244&lt;='Visual SPC'!$E$4),OR('Visual SPC'!$G$4="",'Data Entry'!$D3244='Visual SPC'!$G$4),OR('Visual SPC'!$I$4="",'Data Entry'!$E3244='Visual SPC'!$I$4),OR('Visual SPC'!$K$4="",'Data Entry'!$F3244='Visual SPC'!$K$4)),1,0))</f>
        <v/>
      </c>
      <c r="C3244">
        <f>C3243+B3244</f>
        <v/>
      </c>
      <c r="D3244">
        <f>IF(B3244=1,INDEX('Data Entry'!$H$5:$BE$10004,3244-4,'Visual SPC'!$B$3),"")</f>
        <v/>
      </c>
      <c r="E3244">
        <f>IF(B3244=1,D3244,E3243)</f>
        <v/>
      </c>
      <c r="F3244">
        <f>IF(AND(B3244=1,C3244&gt;1,E3243&lt;&gt;""),ABS(D3244-E3243),"")</f>
        <v/>
      </c>
    </row>
    <row r="3245">
      <c r="A3245" t="n">
        <v>3245</v>
      </c>
      <c r="B3245">
        <f>IF(INDEX('Data Entry'!$H$5:$BE$10004,3245-4,'Visual SPC'!$B$3)="",0,IF(AND(OR('Visual SPC'!$C$4="",'Data Entry'!$C3245&gt;='Visual SPC'!$C$4),OR('Visual SPC'!$E$4="",'Data Entry'!$C3245&lt;='Visual SPC'!$E$4),OR('Visual SPC'!$G$4="",'Data Entry'!$D3245='Visual SPC'!$G$4),OR('Visual SPC'!$I$4="",'Data Entry'!$E3245='Visual SPC'!$I$4),OR('Visual SPC'!$K$4="",'Data Entry'!$F3245='Visual SPC'!$K$4)),1,0))</f>
        <v/>
      </c>
      <c r="C3245">
        <f>C3244+B3245</f>
        <v/>
      </c>
      <c r="D3245">
        <f>IF(B3245=1,INDEX('Data Entry'!$H$5:$BE$10004,3245-4,'Visual SPC'!$B$3),"")</f>
        <v/>
      </c>
      <c r="E3245">
        <f>IF(B3245=1,D3245,E3244)</f>
        <v/>
      </c>
      <c r="F3245">
        <f>IF(AND(B3245=1,C3245&gt;1,E3244&lt;&gt;""),ABS(D3245-E3244),"")</f>
        <v/>
      </c>
    </row>
    <row r="3246">
      <c r="A3246" t="n">
        <v>3246</v>
      </c>
      <c r="B3246">
        <f>IF(INDEX('Data Entry'!$H$5:$BE$10004,3246-4,'Visual SPC'!$B$3)="",0,IF(AND(OR('Visual SPC'!$C$4="",'Data Entry'!$C3246&gt;='Visual SPC'!$C$4),OR('Visual SPC'!$E$4="",'Data Entry'!$C3246&lt;='Visual SPC'!$E$4),OR('Visual SPC'!$G$4="",'Data Entry'!$D3246='Visual SPC'!$G$4),OR('Visual SPC'!$I$4="",'Data Entry'!$E3246='Visual SPC'!$I$4),OR('Visual SPC'!$K$4="",'Data Entry'!$F3246='Visual SPC'!$K$4)),1,0))</f>
        <v/>
      </c>
      <c r="C3246">
        <f>C3245+B3246</f>
        <v/>
      </c>
      <c r="D3246">
        <f>IF(B3246=1,INDEX('Data Entry'!$H$5:$BE$10004,3246-4,'Visual SPC'!$B$3),"")</f>
        <v/>
      </c>
      <c r="E3246">
        <f>IF(B3246=1,D3246,E3245)</f>
        <v/>
      </c>
      <c r="F3246">
        <f>IF(AND(B3246=1,C3246&gt;1,E3245&lt;&gt;""),ABS(D3246-E3245),"")</f>
        <v/>
      </c>
    </row>
    <row r="3247">
      <c r="A3247" t="n">
        <v>3247</v>
      </c>
      <c r="B3247">
        <f>IF(INDEX('Data Entry'!$H$5:$BE$10004,3247-4,'Visual SPC'!$B$3)="",0,IF(AND(OR('Visual SPC'!$C$4="",'Data Entry'!$C3247&gt;='Visual SPC'!$C$4),OR('Visual SPC'!$E$4="",'Data Entry'!$C3247&lt;='Visual SPC'!$E$4),OR('Visual SPC'!$G$4="",'Data Entry'!$D3247='Visual SPC'!$G$4),OR('Visual SPC'!$I$4="",'Data Entry'!$E3247='Visual SPC'!$I$4),OR('Visual SPC'!$K$4="",'Data Entry'!$F3247='Visual SPC'!$K$4)),1,0))</f>
        <v/>
      </c>
      <c r="C3247">
        <f>C3246+B3247</f>
        <v/>
      </c>
      <c r="D3247">
        <f>IF(B3247=1,INDEX('Data Entry'!$H$5:$BE$10004,3247-4,'Visual SPC'!$B$3),"")</f>
        <v/>
      </c>
      <c r="E3247">
        <f>IF(B3247=1,D3247,E3246)</f>
        <v/>
      </c>
      <c r="F3247">
        <f>IF(AND(B3247=1,C3247&gt;1,E3246&lt;&gt;""),ABS(D3247-E3246),"")</f>
        <v/>
      </c>
    </row>
    <row r="3248">
      <c r="A3248" t="n">
        <v>3248</v>
      </c>
      <c r="B3248">
        <f>IF(INDEX('Data Entry'!$H$5:$BE$10004,3248-4,'Visual SPC'!$B$3)="",0,IF(AND(OR('Visual SPC'!$C$4="",'Data Entry'!$C3248&gt;='Visual SPC'!$C$4),OR('Visual SPC'!$E$4="",'Data Entry'!$C3248&lt;='Visual SPC'!$E$4),OR('Visual SPC'!$G$4="",'Data Entry'!$D3248='Visual SPC'!$G$4),OR('Visual SPC'!$I$4="",'Data Entry'!$E3248='Visual SPC'!$I$4),OR('Visual SPC'!$K$4="",'Data Entry'!$F3248='Visual SPC'!$K$4)),1,0))</f>
        <v/>
      </c>
      <c r="C3248">
        <f>C3247+B3248</f>
        <v/>
      </c>
      <c r="D3248">
        <f>IF(B3248=1,INDEX('Data Entry'!$H$5:$BE$10004,3248-4,'Visual SPC'!$B$3),"")</f>
        <v/>
      </c>
      <c r="E3248">
        <f>IF(B3248=1,D3248,E3247)</f>
        <v/>
      </c>
      <c r="F3248">
        <f>IF(AND(B3248=1,C3248&gt;1,E3247&lt;&gt;""),ABS(D3248-E3247),"")</f>
        <v/>
      </c>
    </row>
    <row r="3249">
      <c r="A3249" t="n">
        <v>3249</v>
      </c>
      <c r="B3249">
        <f>IF(INDEX('Data Entry'!$H$5:$BE$10004,3249-4,'Visual SPC'!$B$3)="",0,IF(AND(OR('Visual SPC'!$C$4="",'Data Entry'!$C3249&gt;='Visual SPC'!$C$4),OR('Visual SPC'!$E$4="",'Data Entry'!$C3249&lt;='Visual SPC'!$E$4),OR('Visual SPC'!$G$4="",'Data Entry'!$D3249='Visual SPC'!$G$4),OR('Visual SPC'!$I$4="",'Data Entry'!$E3249='Visual SPC'!$I$4),OR('Visual SPC'!$K$4="",'Data Entry'!$F3249='Visual SPC'!$K$4)),1,0))</f>
        <v/>
      </c>
      <c r="C3249">
        <f>C3248+B3249</f>
        <v/>
      </c>
      <c r="D3249">
        <f>IF(B3249=1,INDEX('Data Entry'!$H$5:$BE$10004,3249-4,'Visual SPC'!$B$3),"")</f>
        <v/>
      </c>
      <c r="E3249">
        <f>IF(B3249=1,D3249,E3248)</f>
        <v/>
      </c>
      <c r="F3249">
        <f>IF(AND(B3249=1,C3249&gt;1,E3248&lt;&gt;""),ABS(D3249-E3248),"")</f>
        <v/>
      </c>
    </row>
    <row r="3250">
      <c r="A3250" t="n">
        <v>3250</v>
      </c>
      <c r="B3250">
        <f>IF(INDEX('Data Entry'!$H$5:$BE$10004,3250-4,'Visual SPC'!$B$3)="",0,IF(AND(OR('Visual SPC'!$C$4="",'Data Entry'!$C3250&gt;='Visual SPC'!$C$4),OR('Visual SPC'!$E$4="",'Data Entry'!$C3250&lt;='Visual SPC'!$E$4),OR('Visual SPC'!$G$4="",'Data Entry'!$D3250='Visual SPC'!$G$4),OR('Visual SPC'!$I$4="",'Data Entry'!$E3250='Visual SPC'!$I$4),OR('Visual SPC'!$K$4="",'Data Entry'!$F3250='Visual SPC'!$K$4)),1,0))</f>
        <v/>
      </c>
      <c r="C3250">
        <f>C3249+B3250</f>
        <v/>
      </c>
      <c r="D3250">
        <f>IF(B3250=1,INDEX('Data Entry'!$H$5:$BE$10004,3250-4,'Visual SPC'!$B$3),"")</f>
        <v/>
      </c>
      <c r="E3250">
        <f>IF(B3250=1,D3250,E3249)</f>
        <v/>
      </c>
      <c r="F3250">
        <f>IF(AND(B3250=1,C3250&gt;1,E3249&lt;&gt;""),ABS(D3250-E3249),"")</f>
        <v/>
      </c>
    </row>
    <row r="3251">
      <c r="A3251" t="n">
        <v>3251</v>
      </c>
      <c r="B3251">
        <f>IF(INDEX('Data Entry'!$H$5:$BE$10004,3251-4,'Visual SPC'!$B$3)="",0,IF(AND(OR('Visual SPC'!$C$4="",'Data Entry'!$C3251&gt;='Visual SPC'!$C$4),OR('Visual SPC'!$E$4="",'Data Entry'!$C3251&lt;='Visual SPC'!$E$4),OR('Visual SPC'!$G$4="",'Data Entry'!$D3251='Visual SPC'!$G$4),OR('Visual SPC'!$I$4="",'Data Entry'!$E3251='Visual SPC'!$I$4),OR('Visual SPC'!$K$4="",'Data Entry'!$F3251='Visual SPC'!$K$4)),1,0))</f>
        <v/>
      </c>
      <c r="C3251">
        <f>C3250+B3251</f>
        <v/>
      </c>
      <c r="D3251">
        <f>IF(B3251=1,INDEX('Data Entry'!$H$5:$BE$10004,3251-4,'Visual SPC'!$B$3),"")</f>
        <v/>
      </c>
      <c r="E3251">
        <f>IF(B3251=1,D3251,E3250)</f>
        <v/>
      </c>
      <c r="F3251">
        <f>IF(AND(B3251=1,C3251&gt;1,E3250&lt;&gt;""),ABS(D3251-E3250),"")</f>
        <v/>
      </c>
    </row>
    <row r="3252">
      <c r="A3252" t="n">
        <v>3252</v>
      </c>
      <c r="B3252">
        <f>IF(INDEX('Data Entry'!$H$5:$BE$10004,3252-4,'Visual SPC'!$B$3)="",0,IF(AND(OR('Visual SPC'!$C$4="",'Data Entry'!$C3252&gt;='Visual SPC'!$C$4),OR('Visual SPC'!$E$4="",'Data Entry'!$C3252&lt;='Visual SPC'!$E$4),OR('Visual SPC'!$G$4="",'Data Entry'!$D3252='Visual SPC'!$G$4),OR('Visual SPC'!$I$4="",'Data Entry'!$E3252='Visual SPC'!$I$4),OR('Visual SPC'!$K$4="",'Data Entry'!$F3252='Visual SPC'!$K$4)),1,0))</f>
        <v/>
      </c>
      <c r="C3252">
        <f>C3251+B3252</f>
        <v/>
      </c>
      <c r="D3252">
        <f>IF(B3252=1,INDEX('Data Entry'!$H$5:$BE$10004,3252-4,'Visual SPC'!$B$3),"")</f>
        <v/>
      </c>
      <c r="E3252">
        <f>IF(B3252=1,D3252,E3251)</f>
        <v/>
      </c>
      <c r="F3252">
        <f>IF(AND(B3252=1,C3252&gt;1,E3251&lt;&gt;""),ABS(D3252-E3251),"")</f>
        <v/>
      </c>
    </row>
    <row r="3253">
      <c r="A3253" t="n">
        <v>3253</v>
      </c>
      <c r="B3253">
        <f>IF(INDEX('Data Entry'!$H$5:$BE$10004,3253-4,'Visual SPC'!$B$3)="",0,IF(AND(OR('Visual SPC'!$C$4="",'Data Entry'!$C3253&gt;='Visual SPC'!$C$4),OR('Visual SPC'!$E$4="",'Data Entry'!$C3253&lt;='Visual SPC'!$E$4),OR('Visual SPC'!$G$4="",'Data Entry'!$D3253='Visual SPC'!$G$4),OR('Visual SPC'!$I$4="",'Data Entry'!$E3253='Visual SPC'!$I$4),OR('Visual SPC'!$K$4="",'Data Entry'!$F3253='Visual SPC'!$K$4)),1,0))</f>
        <v/>
      </c>
      <c r="C3253">
        <f>C3252+B3253</f>
        <v/>
      </c>
      <c r="D3253">
        <f>IF(B3253=1,INDEX('Data Entry'!$H$5:$BE$10004,3253-4,'Visual SPC'!$B$3),"")</f>
        <v/>
      </c>
      <c r="E3253">
        <f>IF(B3253=1,D3253,E3252)</f>
        <v/>
      </c>
      <c r="F3253">
        <f>IF(AND(B3253=1,C3253&gt;1,E3252&lt;&gt;""),ABS(D3253-E3252),"")</f>
        <v/>
      </c>
    </row>
    <row r="3254">
      <c r="A3254" t="n">
        <v>3254</v>
      </c>
      <c r="B3254">
        <f>IF(INDEX('Data Entry'!$H$5:$BE$10004,3254-4,'Visual SPC'!$B$3)="",0,IF(AND(OR('Visual SPC'!$C$4="",'Data Entry'!$C3254&gt;='Visual SPC'!$C$4),OR('Visual SPC'!$E$4="",'Data Entry'!$C3254&lt;='Visual SPC'!$E$4),OR('Visual SPC'!$G$4="",'Data Entry'!$D3254='Visual SPC'!$G$4),OR('Visual SPC'!$I$4="",'Data Entry'!$E3254='Visual SPC'!$I$4),OR('Visual SPC'!$K$4="",'Data Entry'!$F3254='Visual SPC'!$K$4)),1,0))</f>
        <v/>
      </c>
      <c r="C3254">
        <f>C3253+B3254</f>
        <v/>
      </c>
      <c r="D3254">
        <f>IF(B3254=1,INDEX('Data Entry'!$H$5:$BE$10004,3254-4,'Visual SPC'!$B$3),"")</f>
        <v/>
      </c>
      <c r="E3254">
        <f>IF(B3254=1,D3254,E3253)</f>
        <v/>
      </c>
      <c r="F3254">
        <f>IF(AND(B3254=1,C3254&gt;1,E3253&lt;&gt;""),ABS(D3254-E3253),"")</f>
        <v/>
      </c>
    </row>
    <row r="3255">
      <c r="A3255" t="n">
        <v>3255</v>
      </c>
      <c r="B3255">
        <f>IF(INDEX('Data Entry'!$H$5:$BE$10004,3255-4,'Visual SPC'!$B$3)="",0,IF(AND(OR('Visual SPC'!$C$4="",'Data Entry'!$C3255&gt;='Visual SPC'!$C$4),OR('Visual SPC'!$E$4="",'Data Entry'!$C3255&lt;='Visual SPC'!$E$4),OR('Visual SPC'!$G$4="",'Data Entry'!$D3255='Visual SPC'!$G$4),OR('Visual SPC'!$I$4="",'Data Entry'!$E3255='Visual SPC'!$I$4),OR('Visual SPC'!$K$4="",'Data Entry'!$F3255='Visual SPC'!$K$4)),1,0))</f>
        <v/>
      </c>
      <c r="C3255">
        <f>C3254+B3255</f>
        <v/>
      </c>
      <c r="D3255">
        <f>IF(B3255=1,INDEX('Data Entry'!$H$5:$BE$10004,3255-4,'Visual SPC'!$B$3),"")</f>
        <v/>
      </c>
      <c r="E3255">
        <f>IF(B3255=1,D3255,E3254)</f>
        <v/>
      </c>
      <c r="F3255">
        <f>IF(AND(B3255=1,C3255&gt;1,E3254&lt;&gt;""),ABS(D3255-E3254),"")</f>
        <v/>
      </c>
    </row>
    <row r="3256">
      <c r="A3256" t="n">
        <v>3256</v>
      </c>
      <c r="B3256">
        <f>IF(INDEX('Data Entry'!$H$5:$BE$10004,3256-4,'Visual SPC'!$B$3)="",0,IF(AND(OR('Visual SPC'!$C$4="",'Data Entry'!$C3256&gt;='Visual SPC'!$C$4),OR('Visual SPC'!$E$4="",'Data Entry'!$C3256&lt;='Visual SPC'!$E$4),OR('Visual SPC'!$G$4="",'Data Entry'!$D3256='Visual SPC'!$G$4),OR('Visual SPC'!$I$4="",'Data Entry'!$E3256='Visual SPC'!$I$4),OR('Visual SPC'!$K$4="",'Data Entry'!$F3256='Visual SPC'!$K$4)),1,0))</f>
        <v/>
      </c>
      <c r="C3256">
        <f>C3255+B3256</f>
        <v/>
      </c>
      <c r="D3256">
        <f>IF(B3256=1,INDEX('Data Entry'!$H$5:$BE$10004,3256-4,'Visual SPC'!$B$3),"")</f>
        <v/>
      </c>
      <c r="E3256">
        <f>IF(B3256=1,D3256,E3255)</f>
        <v/>
      </c>
      <c r="F3256">
        <f>IF(AND(B3256=1,C3256&gt;1,E3255&lt;&gt;""),ABS(D3256-E3255),"")</f>
        <v/>
      </c>
    </row>
    <row r="3257">
      <c r="A3257" t="n">
        <v>3257</v>
      </c>
      <c r="B3257">
        <f>IF(INDEX('Data Entry'!$H$5:$BE$10004,3257-4,'Visual SPC'!$B$3)="",0,IF(AND(OR('Visual SPC'!$C$4="",'Data Entry'!$C3257&gt;='Visual SPC'!$C$4),OR('Visual SPC'!$E$4="",'Data Entry'!$C3257&lt;='Visual SPC'!$E$4),OR('Visual SPC'!$G$4="",'Data Entry'!$D3257='Visual SPC'!$G$4),OR('Visual SPC'!$I$4="",'Data Entry'!$E3257='Visual SPC'!$I$4),OR('Visual SPC'!$K$4="",'Data Entry'!$F3257='Visual SPC'!$K$4)),1,0))</f>
        <v/>
      </c>
      <c r="C3257">
        <f>C3256+B3257</f>
        <v/>
      </c>
      <c r="D3257">
        <f>IF(B3257=1,INDEX('Data Entry'!$H$5:$BE$10004,3257-4,'Visual SPC'!$B$3),"")</f>
        <v/>
      </c>
      <c r="E3257">
        <f>IF(B3257=1,D3257,E3256)</f>
        <v/>
      </c>
      <c r="F3257">
        <f>IF(AND(B3257=1,C3257&gt;1,E3256&lt;&gt;""),ABS(D3257-E3256),"")</f>
        <v/>
      </c>
    </row>
    <row r="3258">
      <c r="A3258" t="n">
        <v>3258</v>
      </c>
      <c r="B3258">
        <f>IF(INDEX('Data Entry'!$H$5:$BE$10004,3258-4,'Visual SPC'!$B$3)="",0,IF(AND(OR('Visual SPC'!$C$4="",'Data Entry'!$C3258&gt;='Visual SPC'!$C$4),OR('Visual SPC'!$E$4="",'Data Entry'!$C3258&lt;='Visual SPC'!$E$4),OR('Visual SPC'!$G$4="",'Data Entry'!$D3258='Visual SPC'!$G$4),OR('Visual SPC'!$I$4="",'Data Entry'!$E3258='Visual SPC'!$I$4),OR('Visual SPC'!$K$4="",'Data Entry'!$F3258='Visual SPC'!$K$4)),1,0))</f>
        <v/>
      </c>
      <c r="C3258">
        <f>C3257+B3258</f>
        <v/>
      </c>
      <c r="D3258">
        <f>IF(B3258=1,INDEX('Data Entry'!$H$5:$BE$10004,3258-4,'Visual SPC'!$B$3),"")</f>
        <v/>
      </c>
      <c r="E3258">
        <f>IF(B3258=1,D3258,E3257)</f>
        <v/>
      </c>
      <c r="F3258">
        <f>IF(AND(B3258=1,C3258&gt;1,E3257&lt;&gt;""),ABS(D3258-E3257),"")</f>
        <v/>
      </c>
    </row>
    <row r="3259">
      <c r="A3259" t="n">
        <v>3259</v>
      </c>
      <c r="B3259">
        <f>IF(INDEX('Data Entry'!$H$5:$BE$10004,3259-4,'Visual SPC'!$B$3)="",0,IF(AND(OR('Visual SPC'!$C$4="",'Data Entry'!$C3259&gt;='Visual SPC'!$C$4),OR('Visual SPC'!$E$4="",'Data Entry'!$C3259&lt;='Visual SPC'!$E$4),OR('Visual SPC'!$G$4="",'Data Entry'!$D3259='Visual SPC'!$G$4),OR('Visual SPC'!$I$4="",'Data Entry'!$E3259='Visual SPC'!$I$4),OR('Visual SPC'!$K$4="",'Data Entry'!$F3259='Visual SPC'!$K$4)),1,0))</f>
        <v/>
      </c>
      <c r="C3259">
        <f>C3258+B3259</f>
        <v/>
      </c>
      <c r="D3259">
        <f>IF(B3259=1,INDEX('Data Entry'!$H$5:$BE$10004,3259-4,'Visual SPC'!$B$3),"")</f>
        <v/>
      </c>
      <c r="E3259">
        <f>IF(B3259=1,D3259,E3258)</f>
        <v/>
      </c>
      <c r="F3259">
        <f>IF(AND(B3259=1,C3259&gt;1,E3258&lt;&gt;""),ABS(D3259-E3258),"")</f>
        <v/>
      </c>
    </row>
    <row r="3260">
      <c r="A3260" t="n">
        <v>3260</v>
      </c>
      <c r="B3260">
        <f>IF(INDEX('Data Entry'!$H$5:$BE$10004,3260-4,'Visual SPC'!$B$3)="",0,IF(AND(OR('Visual SPC'!$C$4="",'Data Entry'!$C3260&gt;='Visual SPC'!$C$4),OR('Visual SPC'!$E$4="",'Data Entry'!$C3260&lt;='Visual SPC'!$E$4),OR('Visual SPC'!$G$4="",'Data Entry'!$D3260='Visual SPC'!$G$4),OR('Visual SPC'!$I$4="",'Data Entry'!$E3260='Visual SPC'!$I$4),OR('Visual SPC'!$K$4="",'Data Entry'!$F3260='Visual SPC'!$K$4)),1,0))</f>
        <v/>
      </c>
      <c r="C3260">
        <f>C3259+B3260</f>
        <v/>
      </c>
      <c r="D3260">
        <f>IF(B3260=1,INDEX('Data Entry'!$H$5:$BE$10004,3260-4,'Visual SPC'!$B$3),"")</f>
        <v/>
      </c>
      <c r="E3260">
        <f>IF(B3260=1,D3260,E3259)</f>
        <v/>
      </c>
      <c r="F3260">
        <f>IF(AND(B3260=1,C3260&gt;1,E3259&lt;&gt;""),ABS(D3260-E3259),"")</f>
        <v/>
      </c>
    </row>
    <row r="3261">
      <c r="A3261" t="n">
        <v>3261</v>
      </c>
      <c r="B3261">
        <f>IF(INDEX('Data Entry'!$H$5:$BE$10004,3261-4,'Visual SPC'!$B$3)="",0,IF(AND(OR('Visual SPC'!$C$4="",'Data Entry'!$C3261&gt;='Visual SPC'!$C$4),OR('Visual SPC'!$E$4="",'Data Entry'!$C3261&lt;='Visual SPC'!$E$4),OR('Visual SPC'!$G$4="",'Data Entry'!$D3261='Visual SPC'!$G$4),OR('Visual SPC'!$I$4="",'Data Entry'!$E3261='Visual SPC'!$I$4),OR('Visual SPC'!$K$4="",'Data Entry'!$F3261='Visual SPC'!$K$4)),1,0))</f>
        <v/>
      </c>
      <c r="C3261">
        <f>C3260+B3261</f>
        <v/>
      </c>
      <c r="D3261">
        <f>IF(B3261=1,INDEX('Data Entry'!$H$5:$BE$10004,3261-4,'Visual SPC'!$B$3),"")</f>
        <v/>
      </c>
      <c r="E3261">
        <f>IF(B3261=1,D3261,E3260)</f>
        <v/>
      </c>
      <c r="F3261">
        <f>IF(AND(B3261=1,C3261&gt;1,E3260&lt;&gt;""),ABS(D3261-E3260),"")</f>
        <v/>
      </c>
    </row>
    <row r="3262">
      <c r="A3262" t="n">
        <v>3262</v>
      </c>
      <c r="B3262">
        <f>IF(INDEX('Data Entry'!$H$5:$BE$10004,3262-4,'Visual SPC'!$B$3)="",0,IF(AND(OR('Visual SPC'!$C$4="",'Data Entry'!$C3262&gt;='Visual SPC'!$C$4),OR('Visual SPC'!$E$4="",'Data Entry'!$C3262&lt;='Visual SPC'!$E$4),OR('Visual SPC'!$G$4="",'Data Entry'!$D3262='Visual SPC'!$G$4),OR('Visual SPC'!$I$4="",'Data Entry'!$E3262='Visual SPC'!$I$4),OR('Visual SPC'!$K$4="",'Data Entry'!$F3262='Visual SPC'!$K$4)),1,0))</f>
        <v/>
      </c>
      <c r="C3262">
        <f>C3261+B3262</f>
        <v/>
      </c>
      <c r="D3262">
        <f>IF(B3262=1,INDEX('Data Entry'!$H$5:$BE$10004,3262-4,'Visual SPC'!$B$3),"")</f>
        <v/>
      </c>
      <c r="E3262">
        <f>IF(B3262=1,D3262,E3261)</f>
        <v/>
      </c>
      <c r="F3262">
        <f>IF(AND(B3262=1,C3262&gt;1,E3261&lt;&gt;""),ABS(D3262-E3261),"")</f>
        <v/>
      </c>
    </row>
    <row r="3263">
      <c r="A3263" t="n">
        <v>3263</v>
      </c>
      <c r="B3263">
        <f>IF(INDEX('Data Entry'!$H$5:$BE$10004,3263-4,'Visual SPC'!$B$3)="",0,IF(AND(OR('Visual SPC'!$C$4="",'Data Entry'!$C3263&gt;='Visual SPC'!$C$4),OR('Visual SPC'!$E$4="",'Data Entry'!$C3263&lt;='Visual SPC'!$E$4),OR('Visual SPC'!$G$4="",'Data Entry'!$D3263='Visual SPC'!$G$4),OR('Visual SPC'!$I$4="",'Data Entry'!$E3263='Visual SPC'!$I$4),OR('Visual SPC'!$K$4="",'Data Entry'!$F3263='Visual SPC'!$K$4)),1,0))</f>
        <v/>
      </c>
      <c r="C3263">
        <f>C3262+B3263</f>
        <v/>
      </c>
      <c r="D3263">
        <f>IF(B3263=1,INDEX('Data Entry'!$H$5:$BE$10004,3263-4,'Visual SPC'!$B$3),"")</f>
        <v/>
      </c>
      <c r="E3263">
        <f>IF(B3263=1,D3263,E3262)</f>
        <v/>
      </c>
      <c r="F3263">
        <f>IF(AND(B3263=1,C3263&gt;1,E3262&lt;&gt;""),ABS(D3263-E3262),"")</f>
        <v/>
      </c>
    </row>
    <row r="3264">
      <c r="A3264" t="n">
        <v>3264</v>
      </c>
      <c r="B3264">
        <f>IF(INDEX('Data Entry'!$H$5:$BE$10004,3264-4,'Visual SPC'!$B$3)="",0,IF(AND(OR('Visual SPC'!$C$4="",'Data Entry'!$C3264&gt;='Visual SPC'!$C$4),OR('Visual SPC'!$E$4="",'Data Entry'!$C3264&lt;='Visual SPC'!$E$4),OR('Visual SPC'!$G$4="",'Data Entry'!$D3264='Visual SPC'!$G$4),OR('Visual SPC'!$I$4="",'Data Entry'!$E3264='Visual SPC'!$I$4),OR('Visual SPC'!$K$4="",'Data Entry'!$F3264='Visual SPC'!$K$4)),1,0))</f>
        <v/>
      </c>
      <c r="C3264">
        <f>C3263+B3264</f>
        <v/>
      </c>
      <c r="D3264">
        <f>IF(B3264=1,INDEX('Data Entry'!$H$5:$BE$10004,3264-4,'Visual SPC'!$B$3),"")</f>
        <v/>
      </c>
      <c r="E3264">
        <f>IF(B3264=1,D3264,E3263)</f>
        <v/>
      </c>
      <c r="F3264">
        <f>IF(AND(B3264=1,C3264&gt;1,E3263&lt;&gt;""),ABS(D3264-E3263),"")</f>
        <v/>
      </c>
    </row>
    <row r="3265">
      <c r="A3265" t="n">
        <v>3265</v>
      </c>
      <c r="B3265">
        <f>IF(INDEX('Data Entry'!$H$5:$BE$10004,3265-4,'Visual SPC'!$B$3)="",0,IF(AND(OR('Visual SPC'!$C$4="",'Data Entry'!$C3265&gt;='Visual SPC'!$C$4),OR('Visual SPC'!$E$4="",'Data Entry'!$C3265&lt;='Visual SPC'!$E$4),OR('Visual SPC'!$G$4="",'Data Entry'!$D3265='Visual SPC'!$G$4),OR('Visual SPC'!$I$4="",'Data Entry'!$E3265='Visual SPC'!$I$4),OR('Visual SPC'!$K$4="",'Data Entry'!$F3265='Visual SPC'!$K$4)),1,0))</f>
        <v/>
      </c>
      <c r="C3265">
        <f>C3264+B3265</f>
        <v/>
      </c>
      <c r="D3265">
        <f>IF(B3265=1,INDEX('Data Entry'!$H$5:$BE$10004,3265-4,'Visual SPC'!$B$3),"")</f>
        <v/>
      </c>
      <c r="E3265">
        <f>IF(B3265=1,D3265,E3264)</f>
        <v/>
      </c>
      <c r="F3265">
        <f>IF(AND(B3265=1,C3265&gt;1,E3264&lt;&gt;""),ABS(D3265-E3264),"")</f>
        <v/>
      </c>
    </row>
    <row r="3266">
      <c r="A3266" t="n">
        <v>3266</v>
      </c>
      <c r="B3266">
        <f>IF(INDEX('Data Entry'!$H$5:$BE$10004,3266-4,'Visual SPC'!$B$3)="",0,IF(AND(OR('Visual SPC'!$C$4="",'Data Entry'!$C3266&gt;='Visual SPC'!$C$4),OR('Visual SPC'!$E$4="",'Data Entry'!$C3266&lt;='Visual SPC'!$E$4),OR('Visual SPC'!$G$4="",'Data Entry'!$D3266='Visual SPC'!$G$4),OR('Visual SPC'!$I$4="",'Data Entry'!$E3266='Visual SPC'!$I$4),OR('Visual SPC'!$K$4="",'Data Entry'!$F3266='Visual SPC'!$K$4)),1,0))</f>
        <v/>
      </c>
      <c r="C3266">
        <f>C3265+B3266</f>
        <v/>
      </c>
      <c r="D3266">
        <f>IF(B3266=1,INDEX('Data Entry'!$H$5:$BE$10004,3266-4,'Visual SPC'!$B$3),"")</f>
        <v/>
      </c>
      <c r="E3266">
        <f>IF(B3266=1,D3266,E3265)</f>
        <v/>
      </c>
      <c r="F3266">
        <f>IF(AND(B3266=1,C3266&gt;1,E3265&lt;&gt;""),ABS(D3266-E3265),"")</f>
        <v/>
      </c>
    </row>
    <row r="3267">
      <c r="A3267" t="n">
        <v>3267</v>
      </c>
      <c r="B3267">
        <f>IF(INDEX('Data Entry'!$H$5:$BE$10004,3267-4,'Visual SPC'!$B$3)="",0,IF(AND(OR('Visual SPC'!$C$4="",'Data Entry'!$C3267&gt;='Visual SPC'!$C$4),OR('Visual SPC'!$E$4="",'Data Entry'!$C3267&lt;='Visual SPC'!$E$4),OR('Visual SPC'!$G$4="",'Data Entry'!$D3267='Visual SPC'!$G$4),OR('Visual SPC'!$I$4="",'Data Entry'!$E3267='Visual SPC'!$I$4),OR('Visual SPC'!$K$4="",'Data Entry'!$F3267='Visual SPC'!$K$4)),1,0))</f>
        <v/>
      </c>
      <c r="C3267">
        <f>C3266+B3267</f>
        <v/>
      </c>
      <c r="D3267">
        <f>IF(B3267=1,INDEX('Data Entry'!$H$5:$BE$10004,3267-4,'Visual SPC'!$B$3),"")</f>
        <v/>
      </c>
      <c r="E3267">
        <f>IF(B3267=1,D3267,E3266)</f>
        <v/>
      </c>
      <c r="F3267">
        <f>IF(AND(B3267=1,C3267&gt;1,E3266&lt;&gt;""),ABS(D3267-E3266),"")</f>
        <v/>
      </c>
    </row>
    <row r="3268">
      <c r="A3268" t="n">
        <v>3268</v>
      </c>
      <c r="B3268">
        <f>IF(INDEX('Data Entry'!$H$5:$BE$10004,3268-4,'Visual SPC'!$B$3)="",0,IF(AND(OR('Visual SPC'!$C$4="",'Data Entry'!$C3268&gt;='Visual SPC'!$C$4),OR('Visual SPC'!$E$4="",'Data Entry'!$C3268&lt;='Visual SPC'!$E$4),OR('Visual SPC'!$G$4="",'Data Entry'!$D3268='Visual SPC'!$G$4),OR('Visual SPC'!$I$4="",'Data Entry'!$E3268='Visual SPC'!$I$4),OR('Visual SPC'!$K$4="",'Data Entry'!$F3268='Visual SPC'!$K$4)),1,0))</f>
        <v/>
      </c>
      <c r="C3268">
        <f>C3267+B3268</f>
        <v/>
      </c>
      <c r="D3268">
        <f>IF(B3268=1,INDEX('Data Entry'!$H$5:$BE$10004,3268-4,'Visual SPC'!$B$3),"")</f>
        <v/>
      </c>
      <c r="E3268">
        <f>IF(B3268=1,D3268,E3267)</f>
        <v/>
      </c>
      <c r="F3268">
        <f>IF(AND(B3268=1,C3268&gt;1,E3267&lt;&gt;""),ABS(D3268-E3267),"")</f>
        <v/>
      </c>
    </row>
    <row r="3269">
      <c r="A3269" t="n">
        <v>3269</v>
      </c>
      <c r="B3269">
        <f>IF(INDEX('Data Entry'!$H$5:$BE$10004,3269-4,'Visual SPC'!$B$3)="",0,IF(AND(OR('Visual SPC'!$C$4="",'Data Entry'!$C3269&gt;='Visual SPC'!$C$4),OR('Visual SPC'!$E$4="",'Data Entry'!$C3269&lt;='Visual SPC'!$E$4),OR('Visual SPC'!$G$4="",'Data Entry'!$D3269='Visual SPC'!$G$4),OR('Visual SPC'!$I$4="",'Data Entry'!$E3269='Visual SPC'!$I$4),OR('Visual SPC'!$K$4="",'Data Entry'!$F3269='Visual SPC'!$K$4)),1,0))</f>
        <v/>
      </c>
      <c r="C3269">
        <f>C3268+B3269</f>
        <v/>
      </c>
      <c r="D3269">
        <f>IF(B3269=1,INDEX('Data Entry'!$H$5:$BE$10004,3269-4,'Visual SPC'!$B$3),"")</f>
        <v/>
      </c>
      <c r="E3269">
        <f>IF(B3269=1,D3269,E3268)</f>
        <v/>
      </c>
      <c r="F3269">
        <f>IF(AND(B3269=1,C3269&gt;1,E3268&lt;&gt;""),ABS(D3269-E3268),"")</f>
        <v/>
      </c>
    </row>
    <row r="3270">
      <c r="A3270" t="n">
        <v>3270</v>
      </c>
      <c r="B3270">
        <f>IF(INDEX('Data Entry'!$H$5:$BE$10004,3270-4,'Visual SPC'!$B$3)="",0,IF(AND(OR('Visual SPC'!$C$4="",'Data Entry'!$C3270&gt;='Visual SPC'!$C$4),OR('Visual SPC'!$E$4="",'Data Entry'!$C3270&lt;='Visual SPC'!$E$4),OR('Visual SPC'!$G$4="",'Data Entry'!$D3270='Visual SPC'!$G$4),OR('Visual SPC'!$I$4="",'Data Entry'!$E3270='Visual SPC'!$I$4),OR('Visual SPC'!$K$4="",'Data Entry'!$F3270='Visual SPC'!$K$4)),1,0))</f>
        <v/>
      </c>
      <c r="C3270">
        <f>C3269+B3270</f>
        <v/>
      </c>
      <c r="D3270">
        <f>IF(B3270=1,INDEX('Data Entry'!$H$5:$BE$10004,3270-4,'Visual SPC'!$B$3),"")</f>
        <v/>
      </c>
      <c r="E3270">
        <f>IF(B3270=1,D3270,E3269)</f>
        <v/>
      </c>
      <c r="F3270">
        <f>IF(AND(B3270=1,C3270&gt;1,E3269&lt;&gt;""),ABS(D3270-E3269),"")</f>
        <v/>
      </c>
    </row>
    <row r="3271">
      <c r="A3271" t="n">
        <v>3271</v>
      </c>
      <c r="B3271">
        <f>IF(INDEX('Data Entry'!$H$5:$BE$10004,3271-4,'Visual SPC'!$B$3)="",0,IF(AND(OR('Visual SPC'!$C$4="",'Data Entry'!$C3271&gt;='Visual SPC'!$C$4),OR('Visual SPC'!$E$4="",'Data Entry'!$C3271&lt;='Visual SPC'!$E$4),OR('Visual SPC'!$G$4="",'Data Entry'!$D3271='Visual SPC'!$G$4),OR('Visual SPC'!$I$4="",'Data Entry'!$E3271='Visual SPC'!$I$4),OR('Visual SPC'!$K$4="",'Data Entry'!$F3271='Visual SPC'!$K$4)),1,0))</f>
        <v/>
      </c>
      <c r="C3271">
        <f>C3270+B3271</f>
        <v/>
      </c>
      <c r="D3271">
        <f>IF(B3271=1,INDEX('Data Entry'!$H$5:$BE$10004,3271-4,'Visual SPC'!$B$3),"")</f>
        <v/>
      </c>
      <c r="E3271">
        <f>IF(B3271=1,D3271,E3270)</f>
        <v/>
      </c>
      <c r="F3271">
        <f>IF(AND(B3271=1,C3271&gt;1,E3270&lt;&gt;""),ABS(D3271-E3270),"")</f>
        <v/>
      </c>
    </row>
    <row r="3272">
      <c r="A3272" t="n">
        <v>3272</v>
      </c>
      <c r="B3272">
        <f>IF(INDEX('Data Entry'!$H$5:$BE$10004,3272-4,'Visual SPC'!$B$3)="",0,IF(AND(OR('Visual SPC'!$C$4="",'Data Entry'!$C3272&gt;='Visual SPC'!$C$4),OR('Visual SPC'!$E$4="",'Data Entry'!$C3272&lt;='Visual SPC'!$E$4),OR('Visual SPC'!$G$4="",'Data Entry'!$D3272='Visual SPC'!$G$4),OR('Visual SPC'!$I$4="",'Data Entry'!$E3272='Visual SPC'!$I$4),OR('Visual SPC'!$K$4="",'Data Entry'!$F3272='Visual SPC'!$K$4)),1,0))</f>
        <v/>
      </c>
      <c r="C3272">
        <f>C3271+B3272</f>
        <v/>
      </c>
      <c r="D3272">
        <f>IF(B3272=1,INDEX('Data Entry'!$H$5:$BE$10004,3272-4,'Visual SPC'!$B$3),"")</f>
        <v/>
      </c>
      <c r="E3272">
        <f>IF(B3272=1,D3272,E3271)</f>
        <v/>
      </c>
      <c r="F3272">
        <f>IF(AND(B3272=1,C3272&gt;1,E3271&lt;&gt;""),ABS(D3272-E3271),"")</f>
        <v/>
      </c>
    </row>
    <row r="3273">
      <c r="A3273" t="n">
        <v>3273</v>
      </c>
      <c r="B3273">
        <f>IF(INDEX('Data Entry'!$H$5:$BE$10004,3273-4,'Visual SPC'!$B$3)="",0,IF(AND(OR('Visual SPC'!$C$4="",'Data Entry'!$C3273&gt;='Visual SPC'!$C$4),OR('Visual SPC'!$E$4="",'Data Entry'!$C3273&lt;='Visual SPC'!$E$4),OR('Visual SPC'!$G$4="",'Data Entry'!$D3273='Visual SPC'!$G$4),OR('Visual SPC'!$I$4="",'Data Entry'!$E3273='Visual SPC'!$I$4),OR('Visual SPC'!$K$4="",'Data Entry'!$F3273='Visual SPC'!$K$4)),1,0))</f>
        <v/>
      </c>
      <c r="C3273">
        <f>C3272+B3273</f>
        <v/>
      </c>
      <c r="D3273">
        <f>IF(B3273=1,INDEX('Data Entry'!$H$5:$BE$10004,3273-4,'Visual SPC'!$B$3),"")</f>
        <v/>
      </c>
      <c r="E3273">
        <f>IF(B3273=1,D3273,E3272)</f>
        <v/>
      </c>
      <c r="F3273">
        <f>IF(AND(B3273=1,C3273&gt;1,E3272&lt;&gt;""),ABS(D3273-E3272),"")</f>
        <v/>
      </c>
    </row>
    <row r="3274">
      <c r="A3274" t="n">
        <v>3274</v>
      </c>
      <c r="B3274">
        <f>IF(INDEX('Data Entry'!$H$5:$BE$10004,3274-4,'Visual SPC'!$B$3)="",0,IF(AND(OR('Visual SPC'!$C$4="",'Data Entry'!$C3274&gt;='Visual SPC'!$C$4),OR('Visual SPC'!$E$4="",'Data Entry'!$C3274&lt;='Visual SPC'!$E$4),OR('Visual SPC'!$G$4="",'Data Entry'!$D3274='Visual SPC'!$G$4),OR('Visual SPC'!$I$4="",'Data Entry'!$E3274='Visual SPC'!$I$4),OR('Visual SPC'!$K$4="",'Data Entry'!$F3274='Visual SPC'!$K$4)),1,0))</f>
        <v/>
      </c>
      <c r="C3274">
        <f>C3273+B3274</f>
        <v/>
      </c>
      <c r="D3274">
        <f>IF(B3274=1,INDEX('Data Entry'!$H$5:$BE$10004,3274-4,'Visual SPC'!$B$3),"")</f>
        <v/>
      </c>
      <c r="E3274">
        <f>IF(B3274=1,D3274,E3273)</f>
        <v/>
      </c>
      <c r="F3274">
        <f>IF(AND(B3274=1,C3274&gt;1,E3273&lt;&gt;""),ABS(D3274-E3273),"")</f>
        <v/>
      </c>
    </row>
    <row r="3275">
      <c r="A3275" t="n">
        <v>3275</v>
      </c>
      <c r="B3275">
        <f>IF(INDEX('Data Entry'!$H$5:$BE$10004,3275-4,'Visual SPC'!$B$3)="",0,IF(AND(OR('Visual SPC'!$C$4="",'Data Entry'!$C3275&gt;='Visual SPC'!$C$4),OR('Visual SPC'!$E$4="",'Data Entry'!$C3275&lt;='Visual SPC'!$E$4),OR('Visual SPC'!$G$4="",'Data Entry'!$D3275='Visual SPC'!$G$4),OR('Visual SPC'!$I$4="",'Data Entry'!$E3275='Visual SPC'!$I$4),OR('Visual SPC'!$K$4="",'Data Entry'!$F3275='Visual SPC'!$K$4)),1,0))</f>
        <v/>
      </c>
      <c r="C3275">
        <f>C3274+B3275</f>
        <v/>
      </c>
      <c r="D3275">
        <f>IF(B3275=1,INDEX('Data Entry'!$H$5:$BE$10004,3275-4,'Visual SPC'!$B$3),"")</f>
        <v/>
      </c>
      <c r="E3275">
        <f>IF(B3275=1,D3275,E3274)</f>
        <v/>
      </c>
      <c r="F3275">
        <f>IF(AND(B3275=1,C3275&gt;1,E3274&lt;&gt;""),ABS(D3275-E3274),"")</f>
        <v/>
      </c>
    </row>
    <row r="3276">
      <c r="A3276" t="n">
        <v>3276</v>
      </c>
      <c r="B3276">
        <f>IF(INDEX('Data Entry'!$H$5:$BE$10004,3276-4,'Visual SPC'!$B$3)="",0,IF(AND(OR('Visual SPC'!$C$4="",'Data Entry'!$C3276&gt;='Visual SPC'!$C$4),OR('Visual SPC'!$E$4="",'Data Entry'!$C3276&lt;='Visual SPC'!$E$4),OR('Visual SPC'!$G$4="",'Data Entry'!$D3276='Visual SPC'!$G$4),OR('Visual SPC'!$I$4="",'Data Entry'!$E3276='Visual SPC'!$I$4),OR('Visual SPC'!$K$4="",'Data Entry'!$F3276='Visual SPC'!$K$4)),1,0))</f>
        <v/>
      </c>
      <c r="C3276">
        <f>C3275+B3276</f>
        <v/>
      </c>
      <c r="D3276">
        <f>IF(B3276=1,INDEX('Data Entry'!$H$5:$BE$10004,3276-4,'Visual SPC'!$B$3),"")</f>
        <v/>
      </c>
      <c r="E3276">
        <f>IF(B3276=1,D3276,E3275)</f>
        <v/>
      </c>
      <c r="F3276">
        <f>IF(AND(B3276=1,C3276&gt;1,E3275&lt;&gt;""),ABS(D3276-E3275),"")</f>
        <v/>
      </c>
    </row>
    <row r="3277">
      <c r="A3277" t="n">
        <v>3277</v>
      </c>
      <c r="B3277">
        <f>IF(INDEX('Data Entry'!$H$5:$BE$10004,3277-4,'Visual SPC'!$B$3)="",0,IF(AND(OR('Visual SPC'!$C$4="",'Data Entry'!$C3277&gt;='Visual SPC'!$C$4),OR('Visual SPC'!$E$4="",'Data Entry'!$C3277&lt;='Visual SPC'!$E$4),OR('Visual SPC'!$G$4="",'Data Entry'!$D3277='Visual SPC'!$G$4),OR('Visual SPC'!$I$4="",'Data Entry'!$E3277='Visual SPC'!$I$4),OR('Visual SPC'!$K$4="",'Data Entry'!$F3277='Visual SPC'!$K$4)),1,0))</f>
        <v/>
      </c>
      <c r="C3277">
        <f>C3276+B3277</f>
        <v/>
      </c>
      <c r="D3277">
        <f>IF(B3277=1,INDEX('Data Entry'!$H$5:$BE$10004,3277-4,'Visual SPC'!$B$3),"")</f>
        <v/>
      </c>
      <c r="E3277">
        <f>IF(B3277=1,D3277,E3276)</f>
        <v/>
      </c>
      <c r="F3277">
        <f>IF(AND(B3277=1,C3277&gt;1,E3276&lt;&gt;""),ABS(D3277-E3276),"")</f>
        <v/>
      </c>
    </row>
    <row r="3278">
      <c r="A3278" t="n">
        <v>3278</v>
      </c>
      <c r="B3278">
        <f>IF(INDEX('Data Entry'!$H$5:$BE$10004,3278-4,'Visual SPC'!$B$3)="",0,IF(AND(OR('Visual SPC'!$C$4="",'Data Entry'!$C3278&gt;='Visual SPC'!$C$4),OR('Visual SPC'!$E$4="",'Data Entry'!$C3278&lt;='Visual SPC'!$E$4),OR('Visual SPC'!$G$4="",'Data Entry'!$D3278='Visual SPC'!$G$4),OR('Visual SPC'!$I$4="",'Data Entry'!$E3278='Visual SPC'!$I$4),OR('Visual SPC'!$K$4="",'Data Entry'!$F3278='Visual SPC'!$K$4)),1,0))</f>
        <v/>
      </c>
      <c r="C3278">
        <f>C3277+B3278</f>
        <v/>
      </c>
      <c r="D3278">
        <f>IF(B3278=1,INDEX('Data Entry'!$H$5:$BE$10004,3278-4,'Visual SPC'!$B$3),"")</f>
        <v/>
      </c>
      <c r="E3278">
        <f>IF(B3278=1,D3278,E3277)</f>
        <v/>
      </c>
      <c r="F3278">
        <f>IF(AND(B3278=1,C3278&gt;1,E3277&lt;&gt;""),ABS(D3278-E3277),"")</f>
        <v/>
      </c>
    </row>
    <row r="3279">
      <c r="A3279" t="n">
        <v>3279</v>
      </c>
      <c r="B3279">
        <f>IF(INDEX('Data Entry'!$H$5:$BE$10004,3279-4,'Visual SPC'!$B$3)="",0,IF(AND(OR('Visual SPC'!$C$4="",'Data Entry'!$C3279&gt;='Visual SPC'!$C$4),OR('Visual SPC'!$E$4="",'Data Entry'!$C3279&lt;='Visual SPC'!$E$4),OR('Visual SPC'!$G$4="",'Data Entry'!$D3279='Visual SPC'!$G$4),OR('Visual SPC'!$I$4="",'Data Entry'!$E3279='Visual SPC'!$I$4),OR('Visual SPC'!$K$4="",'Data Entry'!$F3279='Visual SPC'!$K$4)),1,0))</f>
        <v/>
      </c>
      <c r="C3279">
        <f>C3278+B3279</f>
        <v/>
      </c>
      <c r="D3279">
        <f>IF(B3279=1,INDEX('Data Entry'!$H$5:$BE$10004,3279-4,'Visual SPC'!$B$3),"")</f>
        <v/>
      </c>
      <c r="E3279">
        <f>IF(B3279=1,D3279,E3278)</f>
        <v/>
      </c>
      <c r="F3279">
        <f>IF(AND(B3279=1,C3279&gt;1,E3278&lt;&gt;""),ABS(D3279-E3278),"")</f>
        <v/>
      </c>
    </row>
    <row r="3280">
      <c r="A3280" t="n">
        <v>3280</v>
      </c>
      <c r="B3280">
        <f>IF(INDEX('Data Entry'!$H$5:$BE$10004,3280-4,'Visual SPC'!$B$3)="",0,IF(AND(OR('Visual SPC'!$C$4="",'Data Entry'!$C3280&gt;='Visual SPC'!$C$4),OR('Visual SPC'!$E$4="",'Data Entry'!$C3280&lt;='Visual SPC'!$E$4),OR('Visual SPC'!$G$4="",'Data Entry'!$D3280='Visual SPC'!$G$4),OR('Visual SPC'!$I$4="",'Data Entry'!$E3280='Visual SPC'!$I$4),OR('Visual SPC'!$K$4="",'Data Entry'!$F3280='Visual SPC'!$K$4)),1,0))</f>
        <v/>
      </c>
      <c r="C3280">
        <f>C3279+B3280</f>
        <v/>
      </c>
      <c r="D3280">
        <f>IF(B3280=1,INDEX('Data Entry'!$H$5:$BE$10004,3280-4,'Visual SPC'!$B$3),"")</f>
        <v/>
      </c>
      <c r="E3280">
        <f>IF(B3280=1,D3280,E3279)</f>
        <v/>
      </c>
      <c r="F3280">
        <f>IF(AND(B3280=1,C3280&gt;1,E3279&lt;&gt;""),ABS(D3280-E3279),"")</f>
        <v/>
      </c>
    </row>
    <row r="3281">
      <c r="A3281" t="n">
        <v>3281</v>
      </c>
      <c r="B3281">
        <f>IF(INDEX('Data Entry'!$H$5:$BE$10004,3281-4,'Visual SPC'!$B$3)="",0,IF(AND(OR('Visual SPC'!$C$4="",'Data Entry'!$C3281&gt;='Visual SPC'!$C$4),OR('Visual SPC'!$E$4="",'Data Entry'!$C3281&lt;='Visual SPC'!$E$4),OR('Visual SPC'!$G$4="",'Data Entry'!$D3281='Visual SPC'!$G$4),OR('Visual SPC'!$I$4="",'Data Entry'!$E3281='Visual SPC'!$I$4),OR('Visual SPC'!$K$4="",'Data Entry'!$F3281='Visual SPC'!$K$4)),1,0))</f>
        <v/>
      </c>
      <c r="C3281">
        <f>C3280+B3281</f>
        <v/>
      </c>
      <c r="D3281">
        <f>IF(B3281=1,INDEX('Data Entry'!$H$5:$BE$10004,3281-4,'Visual SPC'!$B$3),"")</f>
        <v/>
      </c>
      <c r="E3281">
        <f>IF(B3281=1,D3281,E3280)</f>
        <v/>
      </c>
      <c r="F3281">
        <f>IF(AND(B3281=1,C3281&gt;1,E3280&lt;&gt;""),ABS(D3281-E3280),"")</f>
        <v/>
      </c>
    </row>
    <row r="3282">
      <c r="A3282" t="n">
        <v>3282</v>
      </c>
      <c r="B3282">
        <f>IF(INDEX('Data Entry'!$H$5:$BE$10004,3282-4,'Visual SPC'!$B$3)="",0,IF(AND(OR('Visual SPC'!$C$4="",'Data Entry'!$C3282&gt;='Visual SPC'!$C$4),OR('Visual SPC'!$E$4="",'Data Entry'!$C3282&lt;='Visual SPC'!$E$4),OR('Visual SPC'!$G$4="",'Data Entry'!$D3282='Visual SPC'!$G$4),OR('Visual SPC'!$I$4="",'Data Entry'!$E3282='Visual SPC'!$I$4),OR('Visual SPC'!$K$4="",'Data Entry'!$F3282='Visual SPC'!$K$4)),1,0))</f>
        <v/>
      </c>
      <c r="C3282">
        <f>C3281+B3282</f>
        <v/>
      </c>
      <c r="D3282">
        <f>IF(B3282=1,INDEX('Data Entry'!$H$5:$BE$10004,3282-4,'Visual SPC'!$B$3),"")</f>
        <v/>
      </c>
      <c r="E3282">
        <f>IF(B3282=1,D3282,E3281)</f>
        <v/>
      </c>
      <c r="F3282">
        <f>IF(AND(B3282=1,C3282&gt;1,E3281&lt;&gt;""),ABS(D3282-E3281),"")</f>
        <v/>
      </c>
    </row>
    <row r="3283">
      <c r="A3283" t="n">
        <v>3283</v>
      </c>
      <c r="B3283">
        <f>IF(INDEX('Data Entry'!$H$5:$BE$10004,3283-4,'Visual SPC'!$B$3)="",0,IF(AND(OR('Visual SPC'!$C$4="",'Data Entry'!$C3283&gt;='Visual SPC'!$C$4),OR('Visual SPC'!$E$4="",'Data Entry'!$C3283&lt;='Visual SPC'!$E$4),OR('Visual SPC'!$G$4="",'Data Entry'!$D3283='Visual SPC'!$G$4),OR('Visual SPC'!$I$4="",'Data Entry'!$E3283='Visual SPC'!$I$4),OR('Visual SPC'!$K$4="",'Data Entry'!$F3283='Visual SPC'!$K$4)),1,0))</f>
        <v/>
      </c>
      <c r="C3283">
        <f>C3282+B3283</f>
        <v/>
      </c>
      <c r="D3283">
        <f>IF(B3283=1,INDEX('Data Entry'!$H$5:$BE$10004,3283-4,'Visual SPC'!$B$3),"")</f>
        <v/>
      </c>
      <c r="E3283">
        <f>IF(B3283=1,D3283,E3282)</f>
        <v/>
      </c>
      <c r="F3283">
        <f>IF(AND(B3283=1,C3283&gt;1,E3282&lt;&gt;""),ABS(D3283-E3282),"")</f>
        <v/>
      </c>
    </row>
    <row r="3284">
      <c r="A3284" t="n">
        <v>3284</v>
      </c>
      <c r="B3284">
        <f>IF(INDEX('Data Entry'!$H$5:$BE$10004,3284-4,'Visual SPC'!$B$3)="",0,IF(AND(OR('Visual SPC'!$C$4="",'Data Entry'!$C3284&gt;='Visual SPC'!$C$4),OR('Visual SPC'!$E$4="",'Data Entry'!$C3284&lt;='Visual SPC'!$E$4),OR('Visual SPC'!$G$4="",'Data Entry'!$D3284='Visual SPC'!$G$4),OR('Visual SPC'!$I$4="",'Data Entry'!$E3284='Visual SPC'!$I$4),OR('Visual SPC'!$K$4="",'Data Entry'!$F3284='Visual SPC'!$K$4)),1,0))</f>
        <v/>
      </c>
      <c r="C3284">
        <f>C3283+B3284</f>
        <v/>
      </c>
      <c r="D3284">
        <f>IF(B3284=1,INDEX('Data Entry'!$H$5:$BE$10004,3284-4,'Visual SPC'!$B$3),"")</f>
        <v/>
      </c>
      <c r="E3284">
        <f>IF(B3284=1,D3284,E3283)</f>
        <v/>
      </c>
      <c r="F3284">
        <f>IF(AND(B3284=1,C3284&gt;1,E3283&lt;&gt;""),ABS(D3284-E3283),"")</f>
        <v/>
      </c>
    </row>
    <row r="3285">
      <c r="A3285" t="n">
        <v>3285</v>
      </c>
      <c r="B3285">
        <f>IF(INDEX('Data Entry'!$H$5:$BE$10004,3285-4,'Visual SPC'!$B$3)="",0,IF(AND(OR('Visual SPC'!$C$4="",'Data Entry'!$C3285&gt;='Visual SPC'!$C$4),OR('Visual SPC'!$E$4="",'Data Entry'!$C3285&lt;='Visual SPC'!$E$4),OR('Visual SPC'!$G$4="",'Data Entry'!$D3285='Visual SPC'!$G$4),OR('Visual SPC'!$I$4="",'Data Entry'!$E3285='Visual SPC'!$I$4),OR('Visual SPC'!$K$4="",'Data Entry'!$F3285='Visual SPC'!$K$4)),1,0))</f>
        <v/>
      </c>
      <c r="C3285">
        <f>C3284+B3285</f>
        <v/>
      </c>
      <c r="D3285">
        <f>IF(B3285=1,INDEX('Data Entry'!$H$5:$BE$10004,3285-4,'Visual SPC'!$B$3),"")</f>
        <v/>
      </c>
      <c r="E3285">
        <f>IF(B3285=1,D3285,E3284)</f>
        <v/>
      </c>
      <c r="F3285">
        <f>IF(AND(B3285=1,C3285&gt;1,E3284&lt;&gt;""),ABS(D3285-E3284),"")</f>
        <v/>
      </c>
    </row>
    <row r="3286">
      <c r="A3286" t="n">
        <v>3286</v>
      </c>
      <c r="B3286">
        <f>IF(INDEX('Data Entry'!$H$5:$BE$10004,3286-4,'Visual SPC'!$B$3)="",0,IF(AND(OR('Visual SPC'!$C$4="",'Data Entry'!$C3286&gt;='Visual SPC'!$C$4),OR('Visual SPC'!$E$4="",'Data Entry'!$C3286&lt;='Visual SPC'!$E$4),OR('Visual SPC'!$G$4="",'Data Entry'!$D3286='Visual SPC'!$G$4),OR('Visual SPC'!$I$4="",'Data Entry'!$E3286='Visual SPC'!$I$4),OR('Visual SPC'!$K$4="",'Data Entry'!$F3286='Visual SPC'!$K$4)),1,0))</f>
        <v/>
      </c>
      <c r="C3286">
        <f>C3285+B3286</f>
        <v/>
      </c>
      <c r="D3286">
        <f>IF(B3286=1,INDEX('Data Entry'!$H$5:$BE$10004,3286-4,'Visual SPC'!$B$3),"")</f>
        <v/>
      </c>
      <c r="E3286">
        <f>IF(B3286=1,D3286,E3285)</f>
        <v/>
      </c>
      <c r="F3286">
        <f>IF(AND(B3286=1,C3286&gt;1,E3285&lt;&gt;""),ABS(D3286-E3285),"")</f>
        <v/>
      </c>
    </row>
    <row r="3287">
      <c r="A3287" t="n">
        <v>3287</v>
      </c>
      <c r="B3287">
        <f>IF(INDEX('Data Entry'!$H$5:$BE$10004,3287-4,'Visual SPC'!$B$3)="",0,IF(AND(OR('Visual SPC'!$C$4="",'Data Entry'!$C3287&gt;='Visual SPC'!$C$4),OR('Visual SPC'!$E$4="",'Data Entry'!$C3287&lt;='Visual SPC'!$E$4),OR('Visual SPC'!$G$4="",'Data Entry'!$D3287='Visual SPC'!$G$4),OR('Visual SPC'!$I$4="",'Data Entry'!$E3287='Visual SPC'!$I$4),OR('Visual SPC'!$K$4="",'Data Entry'!$F3287='Visual SPC'!$K$4)),1,0))</f>
        <v/>
      </c>
      <c r="C3287">
        <f>C3286+B3287</f>
        <v/>
      </c>
      <c r="D3287">
        <f>IF(B3287=1,INDEX('Data Entry'!$H$5:$BE$10004,3287-4,'Visual SPC'!$B$3),"")</f>
        <v/>
      </c>
      <c r="E3287">
        <f>IF(B3287=1,D3287,E3286)</f>
        <v/>
      </c>
      <c r="F3287">
        <f>IF(AND(B3287=1,C3287&gt;1,E3286&lt;&gt;""),ABS(D3287-E3286),"")</f>
        <v/>
      </c>
    </row>
    <row r="3288">
      <c r="A3288" t="n">
        <v>3288</v>
      </c>
      <c r="B3288">
        <f>IF(INDEX('Data Entry'!$H$5:$BE$10004,3288-4,'Visual SPC'!$B$3)="",0,IF(AND(OR('Visual SPC'!$C$4="",'Data Entry'!$C3288&gt;='Visual SPC'!$C$4),OR('Visual SPC'!$E$4="",'Data Entry'!$C3288&lt;='Visual SPC'!$E$4),OR('Visual SPC'!$G$4="",'Data Entry'!$D3288='Visual SPC'!$G$4),OR('Visual SPC'!$I$4="",'Data Entry'!$E3288='Visual SPC'!$I$4),OR('Visual SPC'!$K$4="",'Data Entry'!$F3288='Visual SPC'!$K$4)),1,0))</f>
        <v/>
      </c>
      <c r="C3288">
        <f>C3287+B3288</f>
        <v/>
      </c>
      <c r="D3288">
        <f>IF(B3288=1,INDEX('Data Entry'!$H$5:$BE$10004,3288-4,'Visual SPC'!$B$3),"")</f>
        <v/>
      </c>
      <c r="E3288">
        <f>IF(B3288=1,D3288,E3287)</f>
        <v/>
      </c>
      <c r="F3288">
        <f>IF(AND(B3288=1,C3288&gt;1,E3287&lt;&gt;""),ABS(D3288-E3287),"")</f>
        <v/>
      </c>
    </row>
    <row r="3289">
      <c r="A3289" t="n">
        <v>3289</v>
      </c>
      <c r="B3289">
        <f>IF(INDEX('Data Entry'!$H$5:$BE$10004,3289-4,'Visual SPC'!$B$3)="",0,IF(AND(OR('Visual SPC'!$C$4="",'Data Entry'!$C3289&gt;='Visual SPC'!$C$4),OR('Visual SPC'!$E$4="",'Data Entry'!$C3289&lt;='Visual SPC'!$E$4),OR('Visual SPC'!$G$4="",'Data Entry'!$D3289='Visual SPC'!$G$4),OR('Visual SPC'!$I$4="",'Data Entry'!$E3289='Visual SPC'!$I$4),OR('Visual SPC'!$K$4="",'Data Entry'!$F3289='Visual SPC'!$K$4)),1,0))</f>
        <v/>
      </c>
      <c r="C3289">
        <f>C3288+B3289</f>
        <v/>
      </c>
      <c r="D3289">
        <f>IF(B3289=1,INDEX('Data Entry'!$H$5:$BE$10004,3289-4,'Visual SPC'!$B$3),"")</f>
        <v/>
      </c>
      <c r="E3289">
        <f>IF(B3289=1,D3289,E3288)</f>
        <v/>
      </c>
      <c r="F3289">
        <f>IF(AND(B3289=1,C3289&gt;1,E3288&lt;&gt;""),ABS(D3289-E3288),"")</f>
        <v/>
      </c>
    </row>
    <row r="3290">
      <c r="A3290" t="n">
        <v>3290</v>
      </c>
      <c r="B3290">
        <f>IF(INDEX('Data Entry'!$H$5:$BE$10004,3290-4,'Visual SPC'!$B$3)="",0,IF(AND(OR('Visual SPC'!$C$4="",'Data Entry'!$C3290&gt;='Visual SPC'!$C$4),OR('Visual SPC'!$E$4="",'Data Entry'!$C3290&lt;='Visual SPC'!$E$4),OR('Visual SPC'!$G$4="",'Data Entry'!$D3290='Visual SPC'!$G$4),OR('Visual SPC'!$I$4="",'Data Entry'!$E3290='Visual SPC'!$I$4),OR('Visual SPC'!$K$4="",'Data Entry'!$F3290='Visual SPC'!$K$4)),1,0))</f>
        <v/>
      </c>
      <c r="C3290">
        <f>C3289+B3290</f>
        <v/>
      </c>
      <c r="D3290">
        <f>IF(B3290=1,INDEX('Data Entry'!$H$5:$BE$10004,3290-4,'Visual SPC'!$B$3),"")</f>
        <v/>
      </c>
      <c r="E3290">
        <f>IF(B3290=1,D3290,E3289)</f>
        <v/>
      </c>
      <c r="F3290">
        <f>IF(AND(B3290=1,C3290&gt;1,E3289&lt;&gt;""),ABS(D3290-E3289),"")</f>
        <v/>
      </c>
    </row>
    <row r="3291">
      <c r="A3291" t="n">
        <v>3291</v>
      </c>
      <c r="B3291">
        <f>IF(INDEX('Data Entry'!$H$5:$BE$10004,3291-4,'Visual SPC'!$B$3)="",0,IF(AND(OR('Visual SPC'!$C$4="",'Data Entry'!$C3291&gt;='Visual SPC'!$C$4),OR('Visual SPC'!$E$4="",'Data Entry'!$C3291&lt;='Visual SPC'!$E$4),OR('Visual SPC'!$G$4="",'Data Entry'!$D3291='Visual SPC'!$G$4),OR('Visual SPC'!$I$4="",'Data Entry'!$E3291='Visual SPC'!$I$4),OR('Visual SPC'!$K$4="",'Data Entry'!$F3291='Visual SPC'!$K$4)),1,0))</f>
        <v/>
      </c>
      <c r="C3291">
        <f>C3290+B3291</f>
        <v/>
      </c>
      <c r="D3291">
        <f>IF(B3291=1,INDEX('Data Entry'!$H$5:$BE$10004,3291-4,'Visual SPC'!$B$3),"")</f>
        <v/>
      </c>
      <c r="E3291">
        <f>IF(B3291=1,D3291,E3290)</f>
        <v/>
      </c>
      <c r="F3291">
        <f>IF(AND(B3291=1,C3291&gt;1,E3290&lt;&gt;""),ABS(D3291-E3290),"")</f>
        <v/>
      </c>
    </row>
    <row r="3292">
      <c r="A3292" t="n">
        <v>3292</v>
      </c>
      <c r="B3292">
        <f>IF(INDEX('Data Entry'!$H$5:$BE$10004,3292-4,'Visual SPC'!$B$3)="",0,IF(AND(OR('Visual SPC'!$C$4="",'Data Entry'!$C3292&gt;='Visual SPC'!$C$4),OR('Visual SPC'!$E$4="",'Data Entry'!$C3292&lt;='Visual SPC'!$E$4),OR('Visual SPC'!$G$4="",'Data Entry'!$D3292='Visual SPC'!$G$4),OR('Visual SPC'!$I$4="",'Data Entry'!$E3292='Visual SPC'!$I$4),OR('Visual SPC'!$K$4="",'Data Entry'!$F3292='Visual SPC'!$K$4)),1,0))</f>
        <v/>
      </c>
      <c r="C3292">
        <f>C3291+B3292</f>
        <v/>
      </c>
      <c r="D3292">
        <f>IF(B3292=1,INDEX('Data Entry'!$H$5:$BE$10004,3292-4,'Visual SPC'!$B$3),"")</f>
        <v/>
      </c>
      <c r="E3292">
        <f>IF(B3292=1,D3292,E3291)</f>
        <v/>
      </c>
      <c r="F3292">
        <f>IF(AND(B3292=1,C3292&gt;1,E3291&lt;&gt;""),ABS(D3292-E3291),"")</f>
        <v/>
      </c>
    </row>
    <row r="3293">
      <c r="A3293" t="n">
        <v>3293</v>
      </c>
      <c r="B3293">
        <f>IF(INDEX('Data Entry'!$H$5:$BE$10004,3293-4,'Visual SPC'!$B$3)="",0,IF(AND(OR('Visual SPC'!$C$4="",'Data Entry'!$C3293&gt;='Visual SPC'!$C$4),OR('Visual SPC'!$E$4="",'Data Entry'!$C3293&lt;='Visual SPC'!$E$4),OR('Visual SPC'!$G$4="",'Data Entry'!$D3293='Visual SPC'!$G$4),OR('Visual SPC'!$I$4="",'Data Entry'!$E3293='Visual SPC'!$I$4),OR('Visual SPC'!$K$4="",'Data Entry'!$F3293='Visual SPC'!$K$4)),1,0))</f>
        <v/>
      </c>
      <c r="C3293">
        <f>C3292+B3293</f>
        <v/>
      </c>
      <c r="D3293">
        <f>IF(B3293=1,INDEX('Data Entry'!$H$5:$BE$10004,3293-4,'Visual SPC'!$B$3),"")</f>
        <v/>
      </c>
      <c r="E3293">
        <f>IF(B3293=1,D3293,E3292)</f>
        <v/>
      </c>
      <c r="F3293">
        <f>IF(AND(B3293=1,C3293&gt;1,E3292&lt;&gt;""),ABS(D3293-E3292),"")</f>
        <v/>
      </c>
    </row>
    <row r="3294">
      <c r="A3294" t="n">
        <v>3294</v>
      </c>
      <c r="B3294">
        <f>IF(INDEX('Data Entry'!$H$5:$BE$10004,3294-4,'Visual SPC'!$B$3)="",0,IF(AND(OR('Visual SPC'!$C$4="",'Data Entry'!$C3294&gt;='Visual SPC'!$C$4),OR('Visual SPC'!$E$4="",'Data Entry'!$C3294&lt;='Visual SPC'!$E$4),OR('Visual SPC'!$G$4="",'Data Entry'!$D3294='Visual SPC'!$G$4),OR('Visual SPC'!$I$4="",'Data Entry'!$E3294='Visual SPC'!$I$4),OR('Visual SPC'!$K$4="",'Data Entry'!$F3294='Visual SPC'!$K$4)),1,0))</f>
        <v/>
      </c>
      <c r="C3294">
        <f>C3293+B3294</f>
        <v/>
      </c>
      <c r="D3294">
        <f>IF(B3294=1,INDEX('Data Entry'!$H$5:$BE$10004,3294-4,'Visual SPC'!$B$3),"")</f>
        <v/>
      </c>
      <c r="E3294">
        <f>IF(B3294=1,D3294,E3293)</f>
        <v/>
      </c>
      <c r="F3294">
        <f>IF(AND(B3294=1,C3294&gt;1,E3293&lt;&gt;""),ABS(D3294-E3293),"")</f>
        <v/>
      </c>
    </row>
    <row r="3295">
      <c r="A3295" t="n">
        <v>3295</v>
      </c>
      <c r="B3295">
        <f>IF(INDEX('Data Entry'!$H$5:$BE$10004,3295-4,'Visual SPC'!$B$3)="",0,IF(AND(OR('Visual SPC'!$C$4="",'Data Entry'!$C3295&gt;='Visual SPC'!$C$4),OR('Visual SPC'!$E$4="",'Data Entry'!$C3295&lt;='Visual SPC'!$E$4),OR('Visual SPC'!$G$4="",'Data Entry'!$D3295='Visual SPC'!$G$4),OR('Visual SPC'!$I$4="",'Data Entry'!$E3295='Visual SPC'!$I$4),OR('Visual SPC'!$K$4="",'Data Entry'!$F3295='Visual SPC'!$K$4)),1,0))</f>
        <v/>
      </c>
      <c r="C3295">
        <f>C3294+B3295</f>
        <v/>
      </c>
      <c r="D3295">
        <f>IF(B3295=1,INDEX('Data Entry'!$H$5:$BE$10004,3295-4,'Visual SPC'!$B$3),"")</f>
        <v/>
      </c>
      <c r="E3295">
        <f>IF(B3295=1,D3295,E3294)</f>
        <v/>
      </c>
      <c r="F3295">
        <f>IF(AND(B3295=1,C3295&gt;1,E3294&lt;&gt;""),ABS(D3295-E3294),"")</f>
        <v/>
      </c>
    </row>
    <row r="3296">
      <c r="A3296" t="n">
        <v>3296</v>
      </c>
      <c r="B3296">
        <f>IF(INDEX('Data Entry'!$H$5:$BE$10004,3296-4,'Visual SPC'!$B$3)="",0,IF(AND(OR('Visual SPC'!$C$4="",'Data Entry'!$C3296&gt;='Visual SPC'!$C$4),OR('Visual SPC'!$E$4="",'Data Entry'!$C3296&lt;='Visual SPC'!$E$4),OR('Visual SPC'!$G$4="",'Data Entry'!$D3296='Visual SPC'!$G$4),OR('Visual SPC'!$I$4="",'Data Entry'!$E3296='Visual SPC'!$I$4),OR('Visual SPC'!$K$4="",'Data Entry'!$F3296='Visual SPC'!$K$4)),1,0))</f>
        <v/>
      </c>
      <c r="C3296">
        <f>C3295+B3296</f>
        <v/>
      </c>
      <c r="D3296">
        <f>IF(B3296=1,INDEX('Data Entry'!$H$5:$BE$10004,3296-4,'Visual SPC'!$B$3),"")</f>
        <v/>
      </c>
      <c r="E3296">
        <f>IF(B3296=1,D3296,E3295)</f>
        <v/>
      </c>
      <c r="F3296">
        <f>IF(AND(B3296=1,C3296&gt;1,E3295&lt;&gt;""),ABS(D3296-E3295),"")</f>
        <v/>
      </c>
    </row>
    <row r="3297">
      <c r="A3297" t="n">
        <v>3297</v>
      </c>
      <c r="B3297">
        <f>IF(INDEX('Data Entry'!$H$5:$BE$10004,3297-4,'Visual SPC'!$B$3)="",0,IF(AND(OR('Visual SPC'!$C$4="",'Data Entry'!$C3297&gt;='Visual SPC'!$C$4),OR('Visual SPC'!$E$4="",'Data Entry'!$C3297&lt;='Visual SPC'!$E$4),OR('Visual SPC'!$G$4="",'Data Entry'!$D3297='Visual SPC'!$G$4),OR('Visual SPC'!$I$4="",'Data Entry'!$E3297='Visual SPC'!$I$4),OR('Visual SPC'!$K$4="",'Data Entry'!$F3297='Visual SPC'!$K$4)),1,0))</f>
        <v/>
      </c>
      <c r="C3297">
        <f>C3296+B3297</f>
        <v/>
      </c>
      <c r="D3297">
        <f>IF(B3297=1,INDEX('Data Entry'!$H$5:$BE$10004,3297-4,'Visual SPC'!$B$3),"")</f>
        <v/>
      </c>
      <c r="E3297">
        <f>IF(B3297=1,D3297,E3296)</f>
        <v/>
      </c>
      <c r="F3297">
        <f>IF(AND(B3297=1,C3297&gt;1,E3296&lt;&gt;""),ABS(D3297-E3296),"")</f>
        <v/>
      </c>
    </row>
    <row r="3298">
      <c r="A3298" t="n">
        <v>3298</v>
      </c>
      <c r="B3298">
        <f>IF(INDEX('Data Entry'!$H$5:$BE$10004,3298-4,'Visual SPC'!$B$3)="",0,IF(AND(OR('Visual SPC'!$C$4="",'Data Entry'!$C3298&gt;='Visual SPC'!$C$4),OR('Visual SPC'!$E$4="",'Data Entry'!$C3298&lt;='Visual SPC'!$E$4),OR('Visual SPC'!$G$4="",'Data Entry'!$D3298='Visual SPC'!$G$4),OR('Visual SPC'!$I$4="",'Data Entry'!$E3298='Visual SPC'!$I$4),OR('Visual SPC'!$K$4="",'Data Entry'!$F3298='Visual SPC'!$K$4)),1,0))</f>
        <v/>
      </c>
      <c r="C3298">
        <f>C3297+B3298</f>
        <v/>
      </c>
      <c r="D3298">
        <f>IF(B3298=1,INDEX('Data Entry'!$H$5:$BE$10004,3298-4,'Visual SPC'!$B$3),"")</f>
        <v/>
      </c>
      <c r="E3298">
        <f>IF(B3298=1,D3298,E3297)</f>
        <v/>
      </c>
      <c r="F3298">
        <f>IF(AND(B3298=1,C3298&gt;1,E3297&lt;&gt;""),ABS(D3298-E3297),"")</f>
        <v/>
      </c>
    </row>
    <row r="3299">
      <c r="A3299" t="n">
        <v>3299</v>
      </c>
      <c r="B3299">
        <f>IF(INDEX('Data Entry'!$H$5:$BE$10004,3299-4,'Visual SPC'!$B$3)="",0,IF(AND(OR('Visual SPC'!$C$4="",'Data Entry'!$C3299&gt;='Visual SPC'!$C$4),OR('Visual SPC'!$E$4="",'Data Entry'!$C3299&lt;='Visual SPC'!$E$4),OR('Visual SPC'!$G$4="",'Data Entry'!$D3299='Visual SPC'!$G$4),OR('Visual SPC'!$I$4="",'Data Entry'!$E3299='Visual SPC'!$I$4),OR('Visual SPC'!$K$4="",'Data Entry'!$F3299='Visual SPC'!$K$4)),1,0))</f>
        <v/>
      </c>
      <c r="C3299">
        <f>C3298+B3299</f>
        <v/>
      </c>
      <c r="D3299">
        <f>IF(B3299=1,INDEX('Data Entry'!$H$5:$BE$10004,3299-4,'Visual SPC'!$B$3),"")</f>
        <v/>
      </c>
      <c r="E3299">
        <f>IF(B3299=1,D3299,E3298)</f>
        <v/>
      </c>
      <c r="F3299">
        <f>IF(AND(B3299=1,C3299&gt;1,E3298&lt;&gt;""),ABS(D3299-E3298),"")</f>
        <v/>
      </c>
    </row>
    <row r="3300">
      <c r="A3300" t="n">
        <v>3300</v>
      </c>
      <c r="B3300">
        <f>IF(INDEX('Data Entry'!$H$5:$BE$10004,3300-4,'Visual SPC'!$B$3)="",0,IF(AND(OR('Visual SPC'!$C$4="",'Data Entry'!$C3300&gt;='Visual SPC'!$C$4),OR('Visual SPC'!$E$4="",'Data Entry'!$C3300&lt;='Visual SPC'!$E$4),OR('Visual SPC'!$G$4="",'Data Entry'!$D3300='Visual SPC'!$G$4),OR('Visual SPC'!$I$4="",'Data Entry'!$E3300='Visual SPC'!$I$4),OR('Visual SPC'!$K$4="",'Data Entry'!$F3300='Visual SPC'!$K$4)),1,0))</f>
        <v/>
      </c>
      <c r="C3300">
        <f>C3299+B3300</f>
        <v/>
      </c>
      <c r="D3300">
        <f>IF(B3300=1,INDEX('Data Entry'!$H$5:$BE$10004,3300-4,'Visual SPC'!$B$3),"")</f>
        <v/>
      </c>
      <c r="E3300">
        <f>IF(B3300=1,D3300,E3299)</f>
        <v/>
      </c>
      <c r="F3300">
        <f>IF(AND(B3300=1,C3300&gt;1,E3299&lt;&gt;""),ABS(D3300-E3299),"")</f>
        <v/>
      </c>
    </row>
    <row r="3301">
      <c r="A3301" t="n">
        <v>3301</v>
      </c>
      <c r="B3301">
        <f>IF(INDEX('Data Entry'!$H$5:$BE$10004,3301-4,'Visual SPC'!$B$3)="",0,IF(AND(OR('Visual SPC'!$C$4="",'Data Entry'!$C3301&gt;='Visual SPC'!$C$4),OR('Visual SPC'!$E$4="",'Data Entry'!$C3301&lt;='Visual SPC'!$E$4),OR('Visual SPC'!$G$4="",'Data Entry'!$D3301='Visual SPC'!$G$4),OR('Visual SPC'!$I$4="",'Data Entry'!$E3301='Visual SPC'!$I$4),OR('Visual SPC'!$K$4="",'Data Entry'!$F3301='Visual SPC'!$K$4)),1,0))</f>
        <v/>
      </c>
      <c r="C3301">
        <f>C3300+B3301</f>
        <v/>
      </c>
      <c r="D3301">
        <f>IF(B3301=1,INDEX('Data Entry'!$H$5:$BE$10004,3301-4,'Visual SPC'!$B$3),"")</f>
        <v/>
      </c>
      <c r="E3301">
        <f>IF(B3301=1,D3301,E3300)</f>
        <v/>
      </c>
      <c r="F3301">
        <f>IF(AND(B3301=1,C3301&gt;1,E3300&lt;&gt;""),ABS(D3301-E3300),"")</f>
        <v/>
      </c>
    </row>
    <row r="3302">
      <c r="A3302" t="n">
        <v>3302</v>
      </c>
      <c r="B3302">
        <f>IF(INDEX('Data Entry'!$H$5:$BE$10004,3302-4,'Visual SPC'!$B$3)="",0,IF(AND(OR('Visual SPC'!$C$4="",'Data Entry'!$C3302&gt;='Visual SPC'!$C$4),OR('Visual SPC'!$E$4="",'Data Entry'!$C3302&lt;='Visual SPC'!$E$4),OR('Visual SPC'!$G$4="",'Data Entry'!$D3302='Visual SPC'!$G$4),OR('Visual SPC'!$I$4="",'Data Entry'!$E3302='Visual SPC'!$I$4),OR('Visual SPC'!$K$4="",'Data Entry'!$F3302='Visual SPC'!$K$4)),1,0))</f>
        <v/>
      </c>
      <c r="C3302">
        <f>C3301+B3302</f>
        <v/>
      </c>
      <c r="D3302">
        <f>IF(B3302=1,INDEX('Data Entry'!$H$5:$BE$10004,3302-4,'Visual SPC'!$B$3),"")</f>
        <v/>
      </c>
      <c r="E3302">
        <f>IF(B3302=1,D3302,E3301)</f>
        <v/>
      </c>
      <c r="F3302">
        <f>IF(AND(B3302=1,C3302&gt;1,E3301&lt;&gt;""),ABS(D3302-E3301),"")</f>
        <v/>
      </c>
    </row>
    <row r="3303">
      <c r="A3303" t="n">
        <v>3303</v>
      </c>
      <c r="B3303">
        <f>IF(INDEX('Data Entry'!$H$5:$BE$10004,3303-4,'Visual SPC'!$B$3)="",0,IF(AND(OR('Visual SPC'!$C$4="",'Data Entry'!$C3303&gt;='Visual SPC'!$C$4),OR('Visual SPC'!$E$4="",'Data Entry'!$C3303&lt;='Visual SPC'!$E$4),OR('Visual SPC'!$G$4="",'Data Entry'!$D3303='Visual SPC'!$G$4),OR('Visual SPC'!$I$4="",'Data Entry'!$E3303='Visual SPC'!$I$4),OR('Visual SPC'!$K$4="",'Data Entry'!$F3303='Visual SPC'!$K$4)),1,0))</f>
        <v/>
      </c>
      <c r="C3303">
        <f>C3302+B3303</f>
        <v/>
      </c>
      <c r="D3303">
        <f>IF(B3303=1,INDEX('Data Entry'!$H$5:$BE$10004,3303-4,'Visual SPC'!$B$3),"")</f>
        <v/>
      </c>
      <c r="E3303">
        <f>IF(B3303=1,D3303,E3302)</f>
        <v/>
      </c>
      <c r="F3303">
        <f>IF(AND(B3303=1,C3303&gt;1,E3302&lt;&gt;""),ABS(D3303-E3302),"")</f>
        <v/>
      </c>
    </row>
    <row r="3304">
      <c r="A3304" t="n">
        <v>3304</v>
      </c>
      <c r="B3304">
        <f>IF(INDEX('Data Entry'!$H$5:$BE$10004,3304-4,'Visual SPC'!$B$3)="",0,IF(AND(OR('Visual SPC'!$C$4="",'Data Entry'!$C3304&gt;='Visual SPC'!$C$4),OR('Visual SPC'!$E$4="",'Data Entry'!$C3304&lt;='Visual SPC'!$E$4),OR('Visual SPC'!$G$4="",'Data Entry'!$D3304='Visual SPC'!$G$4),OR('Visual SPC'!$I$4="",'Data Entry'!$E3304='Visual SPC'!$I$4),OR('Visual SPC'!$K$4="",'Data Entry'!$F3304='Visual SPC'!$K$4)),1,0))</f>
        <v/>
      </c>
      <c r="C3304">
        <f>C3303+B3304</f>
        <v/>
      </c>
      <c r="D3304">
        <f>IF(B3304=1,INDEX('Data Entry'!$H$5:$BE$10004,3304-4,'Visual SPC'!$B$3),"")</f>
        <v/>
      </c>
      <c r="E3304">
        <f>IF(B3304=1,D3304,E3303)</f>
        <v/>
      </c>
      <c r="F3304">
        <f>IF(AND(B3304=1,C3304&gt;1,E3303&lt;&gt;""),ABS(D3304-E3303),"")</f>
        <v/>
      </c>
    </row>
    <row r="3305">
      <c r="A3305" t="n">
        <v>3305</v>
      </c>
      <c r="B3305">
        <f>IF(INDEX('Data Entry'!$H$5:$BE$10004,3305-4,'Visual SPC'!$B$3)="",0,IF(AND(OR('Visual SPC'!$C$4="",'Data Entry'!$C3305&gt;='Visual SPC'!$C$4),OR('Visual SPC'!$E$4="",'Data Entry'!$C3305&lt;='Visual SPC'!$E$4),OR('Visual SPC'!$G$4="",'Data Entry'!$D3305='Visual SPC'!$G$4),OR('Visual SPC'!$I$4="",'Data Entry'!$E3305='Visual SPC'!$I$4),OR('Visual SPC'!$K$4="",'Data Entry'!$F3305='Visual SPC'!$K$4)),1,0))</f>
        <v/>
      </c>
      <c r="C3305">
        <f>C3304+B3305</f>
        <v/>
      </c>
      <c r="D3305">
        <f>IF(B3305=1,INDEX('Data Entry'!$H$5:$BE$10004,3305-4,'Visual SPC'!$B$3),"")</f>
        <v/>
      </c>
      <c r="E3305">
        <f>IF(B3305=1,D3305,E3304)</f>
        <v/>
      </c>
      <c r="F3305">
        <f>IF(AND(B3305=1,C3305&gt;1,E3304&lt;&gt;""),ABS(D3305-E3304),"")</f>
        <v/>
      </c>
    </row>
    <row r="3306">
      <c r="A3306" t="n">
        <v>3306</v>
      </c>
      <c r="B3306">
        <f>IF(INDEX('Data Entry'!$H$5:$BE$10004,3306-4,'Visual SPC'!$B$3)="",0,IF(AND(OR('Visual SPC'!$C$4="",'Data Entry'!$C3306&gt;='Visual SPC'!$C$4),OR('Visual SPC'!$E$4="",'Data Entry'!$C3306&lt;='Visual SPC'!$E$4),OR('Visual SPC'!$G$4="",'Data Entry'!$D3306='Visual SPC'!$G$4),OR('Visual SPC'!$I$4="",'Data Entry'!$E3306='Visual SPC'!$I$4),OR('Visual SPC'!$K$4="",'Data Entry'!$F3306='Visual SPC'!$K$4)),1,0))</f>
        <v/>
      </c>
      <c r="C3306">
        <f>C3305+B3306</f>
        <v/>
      </c>
      <c r="D3306">
        <f>IF(B3306=1,INDEX('Data Entry'!$H$5:$BE$10004,3306-4,'Visual SPC'!$B$3),"")</f>
        <v/>
      </c>
      <c r="E3306">
        <f>IF(B3306=1,D3306,E3305)</f>
        <v/>
      </c>
      <c r="F3306">
        <f>IF(AND(B3306=1,C3306&gt;1,E3305&lt;&gt;""),ABS(D3306-E3305),"")</f>
        <v/>
      </c>
    </row>
    <row r="3307">
      <c r="A3307" t="n">
        <v>3307</v>
      </c>
      <c r="B3307">
        <f>IF(INDEX('Data Entry'!$H$5:$BE$10004,3307-4,'Visual SPC'!$B$3)="",0,IF(AND(OR('Visual SPC'!$C$4="",'Data Entry'!$C3307&gt;='Visual SPC'!$C$4),OR('Visual SPC'!$E$4="",'Data Entry'!$C3307&lt;='Visual SPC'!$E$4),OR('Visual SPC'!$G$4="",'Data Entry'!$D3307='Visual SPC'!$G$4),OR('Visual SPC'!$I$4="",'Data Entry'!$E3307='Visual SPC'!$I$4),OR('Visual SPC'!$K$4="",'Data Entry'!$F3307='Visual SPC'!$K$4)),1,0))</f>
        <v/>
      </c>
      <c r="C3307">
        <f>C3306+B3307</f>
        <v/>
      </c>
      <c r="D3307">
        <f>IF(B3307=1,INDEX('Data Entry'!$H$5:$BE$10004,3307-4,'Visual SPC'!$B$3),"")</f>
        <v/>
      </c>
      <c r="E3307">
        <f>IF(B3307=1,D3307,E3306)</f>
        <v/>
      </c>
      <c r="F3307">
        <f>IF(AND(B3307=1,C3307&gt;1,E3306&lt;&gt;""),ABS(D3307-E3306),"")</f>
        <v/>
      </c>
    </row>
    <row r="3308">
      <c r="A3308" t="n">
        <v>3308</v>
      </c>
      <c r="B3308">
        <f>IF(INDEX('Data Entry'!$H$5:$BE$10004,3308-4,'Visual SPC'!$B$3)="",0,IF(AND(OR('Visual SPC'!$C$4="",'Data Entry'!$C3308&gt;='Visual SPC'!$C$4),OR('Visual SPC'!$E$4="",'Data Entry'!$C3308&lt;='Visual SPC'!$E$4),OR('Visual SPC'!$G$4="",'Data Entry'!$D3308='Visual SPC'!$G$4),OR('Visual SPC'!$I$4="",'Data Entry'!$E3308='Visual SPC'!$I$4),OR('Visual SPC'!$K$4="",'Data Entry'!$F3308='Visual SPC'!$K$4)),1,0))</f>
        <v/>
      </c>
      <c r="C3308">
        <f>C3307+B3308</f>
        <v/>
      </c>
      <c r="D3308">
        <f>IF(B3308=1,INDEX('Data Entry'!$H$5:$BE$10004,3308-4,'Visual SPC'!$B$3),"")</f>
        <v/>
      </c>
      <c r="E3308">
        <f>IF(B3308=1,D3308,E3307)</f>
        <v/>
      </c>
      <c r="F3308">
        <f>IF(AND(B3308=1,C3308&gt;1,E3307&lt;&gt;""),ABS(D3308-E3307),"")</f>
        <v/>
      </c>
    </row>
    <row r="3309">
      <c r="A3309" t="n">
        <v>3309</v>
      </c>
      <c r="B3309">
        <f>IF(INDEX('Data Entry'!$H$5:$BE$10004,3309-4,'Visual SPC'!$B$3)="",0,IF(AND(OR('Visual SPC'!$C$4="",'Data Entry'!$C3309&gt;='Visual SPC'!$C$4),OR('Visual SPC'!$E$4="",'Data Entry'!$C3309&lt;='Visual SPC'!$E$4),OR('Visual SPC'!$G$4="",'Data Entry'!$D3309='Visual SPC'!$G$4),OR('Visual SPC'!$I$4="",'Data Entry'!$E3309='Visual SPC'!$I$4),OR('Visual SPC'!$K$4="",'Data Entry'!$F3309='Visual SPC'!$K$4)),1,0))</f>
        <v/>
      </c>
      <c r="C3309">
        <f>C3308+B3309</f>
        <v/>
      </c>
      <c r="D3309">
        <f>IF(B3309=1,INDEX('Data Entry'!$H$5:$BE$10004,3309-4,'Visual SPC'!$B$3),"")</f>
        <v/>
      </c>
      <c r="E3309">
        <f>IF(B3309=1,D3309,E3308)</f>
        <v/>
      </c>
      <c r="F3309">
        <f>IF(AND(B3309=1,C3309&gt;1,E3308&lt;&gt;""),ABS(D3309-E3308),"")</f>
        <v/>
      </c>
    </row>
    <row r="3310">
      <c r="A3310" t="n">
        <v>3310</v>
      </c>
      <c r="B3310">
        <f>IF(INDEX('Data Entry'!$H$5:$BE$10004,3310-4,'Visual SPC'!$B$3)="",0,IF(AND(OR('Visual SPC'!$C$4="",'Data Entry'!$C3310&gt;='Visual SPC'!$C$4),OR('Visual SPC'!$E$4="",'Data Entry'!$C3310&lt;='Visual SPC'!$E$4),OR('Visual SPC'!$G$4="",'Data Entry'!$D3310='Visual SPC'!$G$4),OR('Visual SPC'!$I$4="",'Data Entry'!$E3310='Visual SPC'!$I$4),OR('Visual SPC'!$K$4="",'Data Entry'!$F3310='Visual SPC'!$K$4)),1,0))</f>
        <v/>
      </c>
      <c r="C3310">
        <f>C3309+B3310</f>
        <v/>
      </c>
      <c r="D3310">
        <f>IF(B3310=1,INDEX('Data Entry'!$H$5:$BE$10004,3310-4,'Visual SPC'!$B$3),"")</f>
        <v/>
      </c>
      <c r="E3310">
        <f>IF(B3310=1,D3310,E3309)</f>
        <v/>
      </c>
      <c r="F3310">
        <f>IF(AND(B3310=1,C3310&gt;1,E3309&lt;&gt;""),ABS(D3310-E3309),"")</f>
        <v/>
      </c>
    </row>
    <row r="3311">
      <c r="A3311" t="n">
        <v>3311</v>
      </c>
      <c r="B3311">
        <f>IF(INDEX('Data Entry'!$H$5:$BE$10004,3311-4,'Visual SPC'!$B$3)="",0,IF(AND(OR('Visual SPC'!$C$4="",'Data Entry'!$C3311&gt;='Visual SPC'!$C$4),OR('Visual SPC'!$E$4="",'Data Entry'!$C3311&lt;='Visual SPC'!$E$4),OR('Visual SPC'!$G$4="",'Data Entry'!$D3311='Visual SPC'!$G$4),OR('Visual SPC'!$I$4="",'Data Entry'!$E3311='Visual SPC'!$I$4),OR('Visual SPC'!$K$4="",'Data Entry'!$F3311='Visual SPC'!$K$4)),1,0))</f>
        <v/>
      </c>
      <c r="C3311">
        <f>C3310+B3311</f>
        <v/>
      </c>
      <c r="D3311">
        <f>IF(B3311=1,INDEX('Data Entry'!$H$5:$BE$10004,3311-4,'Visual SPC'!$B$3),"")</f>
        <v/>
      </c>
      <c r="E3311">
        <f>IF(B3311=1,D3311,E3310)</f>
        <v/>
      </c>
      <c r="F3311">
        <f>IF(AND(B3311=1,C3311&gt;1,E3310&lt;&gt;""),ABS(D3311-E3310),"")</f>
        <v/>
      </c>
    </row>
    <row r="3312">
      <c r="A3312" t="n">
        <v>3312</v>
      </c>
      <c r="B3312">
        <f>IF(INDEX('Data Entry'!$H$5:$BE$10004,3312-4,'Visual SPC'!$B$3)="",0,IF(AND(OR('Visual SPC'!$C$4="",'Data Entry'!$C3312&gt;='Visual SPC'!$C$4),OR('Visual SPC'!$E$4="",'Data Entry'!$C3312&lt;='Visual SPC'!$E$4),OR('Visual SPC'!$G$4="",'Data Entry'!$D3312='Visual SPC'!$G$4),OR('Visual SPC'!$I$4="",'Data Entry'!$E3312='Visual SPC'!$I$4),OR('Visual SPC'!$K$4="",'Data Entry'!$F3312='Visual SPC'!$K$4)),1,0))</f>
        <v/>
      </c>
      <c r="C3312">
        <f>C3311+B3312</f>
        <v/>
      </c>
      <c r="D3312">
        <f>IF(B3312=1,INDEX('Data Entry'!$H$5:$BE$10004,3312-4,'Visual SPC'!$B$3),"")</f>
        <v/>
      </c>
      <c r="E3312">
        <f>IF(B3312=1,D3312,E3311)</f>
        <v/>
      </c>
      <c r="F3312">
        <f>IF(AND(B3312=1,C3312&gt;1,E3311&lt;&gt;""),ABS(D3312-E3311),"")</f>
        <v/>
      </c>
    </row>
    <row r="3313">
      <c r="A3313" t="n">
        <v>3313</v>
      </c>
      <c r="B3313">
        <f>IF(INDEX('Data Entry'!$H$5:$BE$10004,3313-4,'Visual SPC'!$B$3)="",0,IF(AND(OR('Visual SPC'!$C$4="",'Data Entry'!$C3313&gt;='Visual SPC'!$C$4),OR('Visual SPC'!$E$4="",'Data Entry'!$C3313&lt;='Visual SPC'!$E$4),OR('Visual SPC'!$G$4="",'Data Entry'!$D3313='Visual SPC'!$G$4),OR('Visual SPC'!$I$4="",'Data Entry'!$E3313='Visual SPC'!$I$4),OR('Visual SPC'!$K$4="",'Data Entry'!$F3313='Visual SPC'!$K$4)),1,0))</f>
        <v/>
      </c>
      <c r="C3313">
        <f>C3312+B3313</f>
        <v/>
      </c>
      <c r="D3313">
        <f>IF(B3313=1,INDEX('Data Entry'!$H$5:$BE$10004,3313-4,'Visual SPC'!$B$3),"")</f>
        <v/>
      </c>
      <c r="E3313">
        <f>IF(B3313=1,D3313,E3312)</f>
        <v/>
      </c>
      <c r="F3313">
        <f>IF(AND(B3313=1,C3313&gt;1,E3312&lt;&gt;""),ABS(D3313-E3312),"")</f>
        <v/>
      </c>
    </row>
    <row r="3314">
      <c r="A3314" t="n">
        <v>3314</v>
      </c>
      <c r="B3314">
        <f>IF(INDEX('Data Entry'!$H$5:$BE$10004,3314-4,'Visual SPC'!$B$3)="",0,IF(AND(OR('Visual SPC'!$C$4="",'Data Entry'!$C3314&gt;='Visual SPC'!$C$4),OR('Visual SPC'!$E$4="",'Data Entry'!$C3314&lt;='Visual SPC'!$E$4),OR('Visual SPC'!$G$4="",'Data Entry'!$D3314='Visual SPC'!$G$4),OR('Visual SPC'!$I$4="",'Data Entry'!$E3314='Visual SPC'!$I$4),OR('Visual SPC'!$K$4="",'Data Entry'!$F3314='Visual SPC'!$K$4)),1,0))</f>
        <v/>
      </c>
      <c r="C3314">
        <f>C3313+B3314</f>
        <v/>
      </c>
      <c r="D3314">
        <f>IF(B3314=1,INDEX('Data Entry'!$H$5:$BE$10004,3314-4,'Visual SPC'!$B$3),"")</f>
        <v/>
      </c>
      <c r="E3314">
        <f>IF(B3314=1,D3314,E3313)</f>
        <v/>
      </c>
      <c r="F3314">
        <f>IF(AND(B3314=1,C3314&gt;1,E3313&lt;&gt;""),ABS(D3314-E3313),"")</f>
        <v/>
      </c>
    </row>
    <row r="3315">
      <c r="A3315" t="n">
        <v>3315</v>
      </c>
      <c r="B3315">
        <f>IF(INDEX('Data Entry'!$H$5:$BE$10004,3315-4,'Visual SPC'!$B$3)="",0,IF(AND(OR('Visual SPC'!$C$4="",'Data Entry'!$C3315&gt;='Visual SPC'!$C$4),OR('Visual SPC'!$E$4="",'Data Entry'!$C3315&lt;='Visual SPC'!$E$4),OR('Visual SPC'!$G$4="",'Data Entry'!$D3315='Visual SPC'!$G$4),OR('Visual SPC'!$I$4="",'Data Entry'!$E3315='Visual SPC'!$I$4),OR('Visual SPC'!$K$4="",'Data Entry'!$F3315='Visual SPC'!$K$4)),1,0))</f>
        <v/>
      </c>
      <c r="C3315">
        <f>C3314+B3315</f>
        <v/>
      </c>
      <c r="D3315">
        <f>IF(B3315=1,INDEX('Data Entry'!$H$5:$BE$10004,3315-4,'Visual SPC'!$B$3),"")</f>
        <v/>
      </c>
      <c r="E3315">
        <f>IF(B3315=1,D3315,E3314)</f>
        <v/>
      </c>
      <c r="F3315">
        <f>IF(AND(B3315=1,C3315&gt;1,E3314&lt;&gt;""),ABS(D3315-E3314),"")</f>
        <v/>
      </c>
    </row>
    <row r="3316">
      <c r="A3316" t="n">
        <v>3316</v>
      </c>
      <c r="B3316">
        <f>IF(INDEX('Data Entry'!$H$5:$BE$10004,3316-4,'Visual SPC'!$B$3)="",0,IF(AND(OR('Visual SPC'!$C$4="",'Data Entry'!$C3316&gt;='Visual SPC'!$C$4),OR('Visual SPC'!$E$4="",'Data Entry'!$C3316&lt;='Visual SPC'!$E$4),OR('Visual SPC'!$G$4="",'Data Entry'!$D3316='Visual SPC'!$G$4),OR('Visual SPC'!$I$4="",'Data Entry'!$E3316='Visual SPC'!$I$4),OR('Visual SPC'!$K$4="",'Data Entry'!$F3316='Visual SPC'!$K$4)),1,0))</f>
        <v/>
      </c>
      <c r="C3316">
        <f>C3315+B3316</f>
        <v/>
      </c>
      <c r="D3316">
        <f>IF(B3316=1,INDEX('Data Entry'!$H$5:$BE$10004,3316-4,'Visual SPC'!$B$3),"")</f>
        <v/>
      </c>
      <c r="E3316">
        <f>IF(B3316=1,D3316,E3315)</f>
        <v/>
      </c>
      <c r="F3316">
        <f>IF(AND(B3316=1,C3316&gt;1,E3315&lt;&gt;""),ABS(D3316-E3315),"")</f>
        <v/>
      </c>
    </row>
    <row r="3317">
      <c r="A3317" t="n">
        <v>3317</v>
      </c>
      <c r="B3317">
        <f>IF(INDEX('Data Entry'!$H$5:$BE$10004,3317-4,'Visual SPC'!$B$3)="",0,IF(AND(OR('Visual SPC'!$C$4="",'Data Entry'!$C3317&gt;='Visual SPC'!$C$4),OR('Visual SPC'!$E$4="",'Data Entry'!$C3317&lt;='Visual SPC'!$E$4),OR('Visual SPC'!$G$4="",'Data Entry'!$D3317='Visual SPC'!$G$4),OR('Visual SPC'!$I$4="",'Data Entry'!$E3317='Visual SPC'!$I$4),OR('Visual SPC'!$K$4="",'Data Entry'!$F3317='Visual SPC'!$K$4)),1,0))</f>
        <v/>
      </c>
      <c r="C3317">
        <f>C3316+B3317</f>
        <v/>
      </c>
      <c r="D3317">
        <f>IF(B3317=1,INDEX('Data Entry'!$H$5:$BE$10004,3317-4,'Visual SPC'!$B$3),"")</f>
        <v/>
      </c>
      <c r="E3317">
        <f>IF(B3317=1,D3317,E3316)</f>
        <v/>
      </c>
      <c r="F3317">
        <f>IF(AND(B3317=1,C3317&gt;1,E3316&lt;&gt;""),ABS(D3317-E3316),"")</f>
        <v/>
      </c>
    </row>
    <row r="3318">
      <c r="A3318" t="n">
        <v>3318</v>
      </c>
      <c r="B3318">
        <f>IF(INDEX('Data Entry'!$H$5:$BE$10004,3318-4,'Visual SPC'!$B$3)="",0,IF(AND(OR('Visual SPC'!$C$4="",'Data Entry'!$C3318&gt;='Visual SPC'!$C$4),OR('Visual SPC'!$E$4="",'Data Entry'!$C3318&lt;='Visual SPC'!$E$4),OR('Visual SPC'!$G$4="",'Data Entry'!$D3318='Visual SPC'!$G$4),OR('Visual SPC'!$I$4="",'Data Entry'!$E3318='Visual SPC'!$I$4),OR('Visual SPC'!$K$4="",'Data Entry'!$F3318='Visual SPC'!$K$4)),1,0))</f>
        <v/>
      </c>
      <c r="C3318">
        <f>C3317+B3318</f>
        <v/>
      </c>
      <c r="D3318">
        <f>IF(B3318=1,INDEX('Data Entry'!$H$5:$BE$10004,3318-4,'Visual SPC'!$B$3),"")</f>
        <v/>
      </c>
      <c r="E3318">
        <f>IF(B3318=1,D3318,E3317)</f>
        <v/>
      </c>
      <c r="F3318">
        <f>IF(AND(B3318=1,C3318&gt;1,E3317&lt;&gt;""),ABS(D3318-E3317),"")</f>
        <v/>
      </c>
    </row>
    <row r="3319">
      <c r="A3319" t="n">
        <v>3319</v>
      </c>
      <c r="B3319">
        <f>IF(INDEX('Data Entry'!$H$5:$BE$10004,3319-4,'Visual SPC'!$B$3)="",0,IF(AND(OR('Visual SPC'!$C$4="",'Data Entry'!$C3319&gt;='Visual SPC'!$C$4),OR('Visual SPC'!$E$4="",'Data Entry'!$C3319&lt;='Visual SPC'!$E$4),OR('Visual SPC'!$G$4="",'Data Entry'!$D3319='Visual SPC'!$G$4),OR('Visual SPC'!$I$4="",'Data Entry'!$E3319='Visual SPC'!$I$4),OR('Visual SPC'!$K$4="",'Data Entry'!$F3319='Visual SPC'!$K$4)),1,0))</f>
        <v/>
      </c>
      <c r="C3319">
        <f>C3318+B3319</f>
        <v/>
      </c>
      <c r="D3319">
        <f>IF(B3319=1,INDEX('Data Entry'!$H$5:$BE$10004,3319-4,'Visual SPC'!$B$3),"")</f>
        <v/>
      </c>
      <c r="E3319">
        <f>IF(B3319=1,D3319,E3318)</f>
        <v/>
      </c>
      <c r="F3319">
        <f>IF(AND(B3319=1,C3319&gt;1,E3318&lt;&gt;""),ABS(D3319-E3318),"")</f>
        <v/>
      </c>
    </row>
    <row r="3320">
      <c r="A3320" t="n">
        <v>3320</v>
      </c>
      <c r="B3320">
        <f>IF(INDEX('Data Entry'!$H$5:$BE$10004,3320-4,'Visual SPC'!$B$3)="",0,IF(AND(OR('Visual SPC'!$C$4="",'Data Entry'!$C3320&gt;='Visual SPC'!$C$4),OR('Visual SPC'!$E$4="",'Data Entry'!$C3320&lt;='Visual SPC'!$E$4),OR('Visual SPC'!$G$4="",'Data Entry'!$D3320='Visual SPC'!$G$4),OR('Visual SPC'!$I$4="",'Data Entry'!$E3320='Visual SPC'!$I$4),OR('Visual SPC'!$K$4="",'Data Entry'!$F3320='Visual SPC'!$K$4)),1,0))</f>
        <v/>
      </c>
      <c r="C3320">
        <f>C3319+B3320</f>
        <v/>
      </c>
      <c r="D3320">
        <f>IF(B3320=1,INDEX('Data Entry'!$H$5:$BE$10004,3320-4,'Visual SPC'!$B$3),"")</f>
        <v/>
      </c>
      <c r="E3320">
        <f>IF(B3320=1,D3320,E3319)</f>
        <v/>
      </c>
      <c r="F3320">
        <f>IF(AND(B3320=1,C3320&gt;1,E3319&lt;&gt;""),ABS(D3320-E3319),"")</f>
        <v/>
      </c>
    </row>
    <row r="3321">
      <c r="A3321" t="n">
        <v>3321</v>
      </c>
      <c r="B3321">
        <f>IF(INDEX('Data Entry'!$H$5:$BE$10004,3321-4,'Visual SPC'!$B$3)="",0,IF(AND(OR('Visual SPC'!$C$4="",'Data Entry'!$C3321&gt;='Visual SPC'!$C$4),OR('Visual SPC'!$E$4="",'Data Entry'!$C3321&lt;='Visual SPC'!$E$4),OR('Visual SPC'!$G$4="",'Data Entry'!$D3321='Visual SPC'!$G$4),OR('Visual SPC'!$I$4="",'Data Entry'!$E3321='Visual SPC'!$I$4),OR('Visual SPC'!$K$4="",'Data Entry'!$F3321='Visual SPC'!$K$4)),1,0))</f>
        <v/>
      </c>
      <c r="C3321">
        <f>C3320+B3321</f>
        <v/>
      </c>
      <c r="D3321">
        <f>IF(B3321=1,INDEX('Data Entry'!$H$5:$BE$10004,3321-4,'Visual SPC'!$B$3),"")</f>
        <v/>
      </c>
      <c r="E3321">
        <f>IF(B3321=1,D3321,E3320)</f>
        <v/>
      </c>
      <c r="F3321">
        <f>IF(AND(B3321=1,C3321&gt;1,E3320&lt;&gt;""),ABS(D3321-E3320),"")</f>
        <v/>
      </c>
    </row>
    <row r="3322">
      <c r="A3322" t="n">
        <v>3322</v>
      </c>
      <c r="B3322">
        <f>IF(INDEX('Data Entry'!$H$5:$BE$10004,3322-4,'Visual SPC'!$B$3)="",0,IF(AND(OR('Visual SPC'!$C$4="",'Data Entry'!$C3322&gt;='Visual SPC'!$C$4),OR('Visual SPC'!$E$4="",'Data Entry'!$C3322&lt;='Visual SPC'!$E$4),OR('Visual SPC'!$G$4="",'Data Entry'!$D3322='Visual SPC'!$G$4),OR('Visual SPC'!$I$4="",'Data Entry'!$E3322='Visual SPC'!$I$4),OR('Visual SPC'!$K$4="",'Data Entry'!$F3322='Visual SPC'!$K$4)),1,0))</f>
        <v/>
      </c>
      <c r="C3322">
        <f>C3321+B3322</f>
        <v/>
      </c>
      <c r="D3322">
        <f>IF(B3322=1,INDEX('Data Entry'!$H$5:$BE$10004,3322-4,'Visual SPC'!$B$3),"")</f>
        <v/>
      </c>
      <c r="E3322">
        <f>IF(B3322=1,D3322,E3321)</f>
        <v/>
      </c>
      <c r="F3322">
        <f>IF(AND(B3322=1,C3322&gt;1,E3321&lt;&gt;""),ABS(D3322-E3321),"")</f>
        <v/>
      </c>
    </row>
    <row r="3323">
      <c r="A3323" t="n">
        <v>3323</v>
      </c>
      <c r="B3323">
        <f>IF(INDEX('Data Entry'!$H$5:$BE$10004,3323-4,'Visual SPC'!$B$3)="",0,IF(AND(OR('Visual SPC'!$C$4="",'Data Entry'!$C3323&gt;='Visual SPC'!$C$4),OR('Visual SPC'!$E$4="",'Data Entry'!$C3323&lt;='Visual SPC'!$E$4),OR('Visual SPC'!$G$4="",'Data Entry'!$D3323='Visual SPC'!$G$4),OR('Visual SPC'!$I$4="",'Data Entry'!$E3323='Visual SPC'!$I$4),OR('Visual SPC'!$K$4="",'Data Entry'!$F3323='Visual SPC'!$K$4)),1,0))</f>
        <v/>
      </c>
      <c r="C3323">
        <f>C3322+B3323</f>
        <v/>
      </c>
      <c r="D3323">
        <f>IF(B3323=1,INDEX('Data Entry'!$H$5:$BE$10004,3323-4,'Visual SPC'!$B$3),"")</f>
        <v/>
      </c>
      <c r="E3323">
        <f>IF(B3323=1,D3323,E3322)</f>
        <v/>
      </c>
      <c r="F3323">
        <f>IF(AND(B3323=1,C3323&gt;1,E3322&lt;&gt;""),ABS(D3323-E3322),"")</f>
        <v/>
      </c>
    </row>
    <row r="3324">
      <c r="A3324" t="n">
        <v>3324</v>
      </c>
      <c r="B3324">
        <f>IF(INDEX('Data Entry'!$H$5:$BE$10004,3324-4,'Visual SPC'!$B$3)="",0,IF(AND(OR('Visual SPC'!$C$4="",'Data Entry'!$C3324&gt;='Visual SPC'!$C$4),OR('Visual SPC'!$E$4="",'Data Entry'!$C3324&lt;='Visual SPC'!$E$4),OR('Visual SPC'!$G$4="",'Data Entry'!$D3324='Visual SPC'!$G$4),OR('Visual SPC'!$I$4="",'Data Entry'!$E3324='Visual SPC'!$I$4),OR('Visual SPC'!$K$4="",'Data Entry'!$F3324='Visual SPC'!$K$4)),1,0))</f>
        <v/>
      </c>
      <c r="C3324">
        <f>C3323+B3324</f>
        <v/>
      </c>
      <c r="D3324">
        <f>IF(B3324=1,INDEX('Data Entry'!$H$5:$BE$10004,3324-4,'Visual SPC'!$B$3),"")</f>
        <v/>
      </c>
      <c r="E3324">
        <f>IF(B3324=1,D3324,E3323)</f>
        <v/>
      </c>
      <c r="F3324">
        <f>IF(AND(B3324=1,C3324&gt;1,E3323&lt;&gt;""),ABS(D3324-E3323),"")</f>
        <v/>
      </c>
    </row>
    <row r="3325">
      <c r="A3325" t="n">
        <v>3325</v>
      </c>
      <c r="B3325">
        <f>IF(INDEX('Data Entry'!$H$5:$BE$10004,3325-4,'Visual SPC'!$B$3)="",0,IF(AND(OR('Visual SPC'!$C$4="",'Data Entry'!$C3325&gt;='Visual SPC'!$C$4),OR('Visual SPC'!$E$4="",'Data Entry'!$C3325&lt;='Visual SPC'!$E$4),OR('Visual SPC'!$G$4="",'Data Entry'!$D3325='Visual SPC'!$G$4),OR('Visual SPC'!$I$4="",'Data Entry'!$E3325='Visual SPC'!$I$4),OR('Visual SPC'!$K$4="",'Data Entry'!$F3325='Visual SPC'!$K$4)),1,0))</f>
        <v/>
      </c>
      <c r="C3325">
        <f>C3324+B3325</f>
        <v/>
      </c>
      <c r="D3325">
        <f>IF(B3325=1,INDEX('Data Entry'!$H$5:$BE$10004,3325-4,'Visual SPC'!$B$3),"")</f>
        <v/>
      </c>
      <c r="E3325">
        <f>IF(B3325=1,D3325,E3324)</f>
        <v/>
      </c>
      <c r="F3325">
        <f>IF(AND(B3325=1,C3325&gt;1,E3324&lt;&gt;""),ABS(D3325-E3324),"")</f>
        <v/>
      </c>
    </row>
    <row r="3326">
      <c r="A3326" t="n">
        <v>3326</v>
      </c>
      <c r="B3326">
        <f>IF(INDEX('Data Entry'!$H$5:$BE$10004,3326-4,'Visual SPC'!$B$3)="",0,IF(AND(OR('Visual SPC'!$C$4="",'Data Entry'!$C3326&gt;='Visual SPC'!$C$4),OR('Visual SPC'!$E$4="",'Data Entry'!$C3326&lt;='Visual SPC'!$E$4),OR('Visual SPC'!$G$4="",'Data Entry'!$D3326='Visual SPC'!$G$4),OR('Visual SPC'!$I$4="",'Data Entry'!$E3326='Visual SPC'!$I$4),OR('Visual SPC'!$K$4="",'Data Entry'!$F3326='Visual SPC'!$K$4)),1,0))</f>
        <v/>
      </c>
      <c r="C3326">
        <f>C3325+B3326</f>
        <v/>
      </c>
      <c r="D3326">
        <f>IF(B3326=1,INDEX('Data Entry'!$H$5:$BE$10004,3326-4,'Visual SPC'!$B$3),"")</f>
        <v/>
      </c>
      <c r="E3326">
        <f>IF(B3326=1,D3326,E3325)</f>
        <v/>
      </c>
      <c r="F3326">
        <f>IF(AND(B3326=1,C3326&gt;1,E3325&lt;&gt;""),ABS(D3326-E3325),"")</f>
        <v/>
      </c>
    </row>
    <row r="3327">
      <c r="A3327" t="n">
        <v>3327</v>
      </c>
      <c r="B3327">
        <f>IF(INDEX('Data Entry'!$H$5:$BE$10004,3327-4,'Visual SPC'!$B$3)="",0,IF(AND(OR('Visual SPC'!$C$4="",'Data Entry'!$C3327&gt;='Visual SPC'!$C$4),OR('Visual SPC'!$E$4="",'Data Entry'!$C3327&lt;='Visual SPC'!$E$4),OR('Visual SPC'!$G$4="",'Data Entry'!$D3327='Visual SPC'!$G$4),OR('Visual SPC'!$I$4="",'Data Entry'!$E3327='Visual SPC'!$I$4),OR('Visual SPC'!$K$4="",'Data Entry'!$F3327='Visual SPC'!$K$4)),1,0))</f>
        <v/>
      </c>
      <c r="C3327">
        <f>C3326+B3327</f>
        <v/>
      </c>
      <c r="D3327">
        <f>IF(B3327=1,INDEX('Data Entry'!$H$5:$BE$10004,3327-4,'Visual SPC'!$B$3),"")</f>
        <v/>
      </c>
      <c r="E3327">
        <f>IF(B3327=1,D3327,E3326)</f>
        <v/>
      </c>
      <c r="F3327">
        <f>IF(AND(B3327=1,C3327&gt;1,E3326&lt;&gt;""),ABS(D3327-E3326),"")</f>
        <v/>
      </c>
    </row>
    <row r="3328">
      <c r="A3328" t="n">
        <v>3328</v>
      </c>
      <c r="B3328">
        <f>IF(INDEX('Data Entry'!$H$5:$BE$10004,3328-4,'Visual SPC'!$B$3)="",0,IF(AND(OR('Visual SPC'!$C$4="",'Data Entry'!$C3328&gt;='Visual SPC'!$C$4),OR('Visual SPC'!$E$4="",'Data Entry'!$C3328&lt;='Visual SPC'!$E$4),OR('Visual SPC'!$G$4="",'Data Entry'!$D3328='Visual SPC'!$G$4),OR('Visual SPC'!$I$4="",'Data Entry'!$E3328='Visual SPC'!$I$4),OR('Visual SPC'!$K$4="",'Data Entry'!$F3328='Visual SPC'!$K$4)),1,0))</f>
        <v/>
      </c>
      <c r="C3328">
        <f>C3327+B3328</f>
        <v/>
      </c>
      <c r="D3328">
        <f>IF(B3328=1,INDEX('Data Entry'!$H$5:$BE$10004,3328-4,'Visual SPC'!$B$3),"")</f>
        <v/>
      </c>
      <c r="E3328">
        <f>IF(B3328=1,D3328,E3327)</f>
        <v/>
      </c>
      <c r="F3328">
        <f>IF(AND(B3328=1,C3328&gt;1,E3327&lt;&gt;""),ABS(D3328-E3327),"")</f>
        <v/>
      </c>
    </row>
    <row r="3329">
      <c r="A3329" t="n">
        <v>3329</v>
      </c>
      <c r="B3329">
        <f>IF(INDEX('Data Entry'!$H$5:$BE$10004,3329-4,'Visual SPC'!$B$3)="",0,IF(AND(OR('Visual SPC'!$C$4="",'Data Entry'!$C3329&gt;='Visual SPC'!$C$4),OR('Visual SPC'!$E$4="",'Data Entry'!$C3329&lt;='Visual SPC'!$E$4),OR('Visual SPC'!$G$4="",'Data Entry'!$D3329='Visual SPC'!$G$4),OR('Visual SPC'!$I$4="",'Data Entry'!$E3329='Visual SPC'!$I$4),OR('Visual SPC'!$K$4="",'Data Entry'!$F3329='Visual SPC'!$K$4)),1,0))</f>
        <v/>
      </c>
      <c r="C3329">
        <f>C3328+B3329</f>
        <v/>
      </c>
      <c r="D3329">
        <f>IF(B3329=1,INDEX('Data Entry'!$H$5:$BE$10004,3329-4,'Visual SPC'!$B$3),"")</f>
        <v/>
      </c>
      <c r="E3329">
        <f>IF(B3329=1,D3329,E3328)</f>
        <v/>
      </c>
      <c r="F3329">
        <f>IF(AND(B3329=1,C3329&gt;1,E3328&lt;&gt;""),ABS(D3329-E3328),"")</f>
        <v/>
      </c>
    </row>
    <row r="3330">
      <c r="A3330" t="n">
        <v>3330</v>
      </c>
      <c r="B3330">
        <f>IF(INDEX('Data Entry'!$H$5:$BE$10004,3330-4,'Visual SPC'!$B$3)="",0,IF(AND(OR('Visual SPC'!$C$4="",'Data Entry'!$C3330&gt;='Visual SPC'!$C$4),OR('Visual SPC'!$E$4="",'Data Entry'!$C3330&lt;='Visual SPC'!$E$4),OR('Visual SPC'!$G$4="",'Data Entry'!$D3330='Visual SPC'!$G$4),OR('Visual SPC'!$I$4="",'Data Entry'!$E3330='Visual SPC'!$I$4),OR('Visual SPC'!$K$4="",'Data Entry'!$F3330='Visual SPC'!$K$4)),1,0))</f>
        <v/>
      </c>
      <c r="C3330">
        <f>C3329+B3330</f>
        <v/>
      </c>
      <c r="D3330">
        <f>IF(B3330=1,INDEX('Data Entry'!$H$5:$BE$10004,3330-4,'Visual SPC'!$B$3),"")</f>
        <v/>
      </c>
      <c r="E3330">
        <f>IF(B3330=1,D3330,E3329)</f>
        <v/>
      </c>
      <c r="F3330">
        <f>IF(AND(B3330=1,C3330&gt;1,E3329&lt;&gt;""),ABS(D3330-E3329),"")</f>
        <v/>
      </c>
    </row>
    <row r="3331">
      <c r="A3331" t="n">
        <v>3331</v>
      </c>
      <c r="B3331">
        <f>IF(INDEX('Data Entry'!$H$5:$BE$10004,3331-4,'Visual SPC'!$B$3)="",0,IF(AND(OR('Visual SPC'!$C$4="",'Data Entry'!$C3331&gt;='Visual SPC'!$C$4),OR('Visual SPC'!$E$4="",'Data Entry'!$C3331&lt;='Visual SPC'!$E$4),OR('Visual SPC'!$G$4="",'Data Entry'!$D3331='Visual SPC'!$G$4),OR('Visual SPC'!$I$4="",'Data Entry'!$E3331='Visual SPC'!$I$4),OR('Visual SPC'!$K$4="",'Data Entry'!$F3331='Visual SPC'!$K$4)),1,0))</f>
        <v/>
      </c>
      <c r="C3331">
        <f>C3330+B3331</f>
        <v/>
      </c>
      <c r="D3331">
        <f>IF(B3331=1,INDEX('Data Entry'!$H$5:$BE$10004,3331-4,'Visual SPC'!$B$3),"")</f>
        <v/>
      </c>
      <c r="E3331">
        <f>IF(B3331=1,D3331,E3330)</f>
        <v/>
      </c>
      <c r="F3331">
        <f>IF(AND(B3331=1,C3331&gt;1,E3330&lt;&gt;""),ABS(D3331-E3330),"")</f>
        <v/>
      </c>
    </row>
    <row r="3332">
      <c r="A3332" t="n">
        <v>3332</v>
      </c>
      <c r="B3332">
        <f>IF(INDEX('Data Entry'!$H$5:$BE$10004,3332-4,'Visual SPC'!$B$3)="",0,IF(AND(OR('Visual SPC'!$C$4="",'Data Entry'!$C3332&gt;='Visual SPC'!$C$4),OR('Visual SPC'!$E$4="",'Data Entry'!$C3332&lt;='Visual SPC'!$E$4),OR('Visual SPC'!$G$4="",'Data Entry'!$D3332='Visual SPC'!$G$4),OR('Visual SPC'!$I$4="",'Data Entry'!$E3332='Visual SPC'!$I$4),OR('Visual SPC'!$K$4="",'Data Entry'!$F3332='Visual SPC'!$K$4)),1,0))</f>
        <v/>
      </c>
      <c r="C3332">
        <f>C3331+B3332</f>
        <v/>
      </c>
      <c r="D3332">
        <f>IF(B3332=1,INDEX('Data Entry'!$H$5:$BE$10004,3332-4,'Visual SPC'!$B$3),"")</f>
        <v/>
      </c>
      <c r="E3332">
        <f>IF(B3332=1,D3332,E3331)</f>
        <v/>
      </c>
      <c r="F3332">
        <f>IF(AND(B3332=1,C3332&gt;1,E3331&lt;&gt;""),ABS(D3332-E3331),"")</f>
        <v/>
      </c>
    </row>
    <row r="3333">
      <c r="A3333" t="n">
        <v>3333</v>
      </c>
      <c r="B3333">
        <f>IF(INDEX('Data Entry'!$H$5:$BE$10004,3333-4,'Visual SPC'!$B$3)="",0,IF(AND(OR('Visual SPC'!$C$4="",'Data Entry'!$C3333&gt;='Visual SPC'!$C$4),OR('Visual SPC'!$E$4="",'Data Entry'!$C3333&lt;='Visual SPC'!$E$4),OR('Visual SPC'!$G$4="",'Data Entry'!$D3333='Visual SPC'!$G$4),OR('Visual SPC'!$I$4="",'Data Entry'!$E3333='Visual SPC'!$I$4),OR('Visual SPC'!$K$4="",'Data Entry'!$F3333='Visual SPC'!$K$4)),1,0))</f>
        <v/>
      </c>
      <c r="C3333">
        <f>C3332+B3333</f>
        <v/>
      </c>
      <c r="D3333">
        <f>IF(B3333=1,INDEX('Data Entry'!$H$5:$BE$10004,3333-4,'Visual SPC'!$B$3),"")</f>
        <v/>
      </c>
      <c r="E3333">
        <f>IF(B3333=1,D3333,E3332)</f>
        <v/>
      </c>
      <c r="F3333">
        <f>IF(AND(B3333=1,C3333&gt;1,E3332&lt;&gt;""),ABS(D3333-E3332),"")</f>
        <v/>
      </c>
    </row>
    <row r="3334">
      <c r="A3334" t="n">
        <v>3334</v>
      </c>
      <c r="B3334">
        <f>IF(INDEX('Data Entry'!$H$5:$BE$10004,3334-4,'Visual SPC'!$B$3)="",0,IF(AND(OR('Visual SPC'!$C$4="",'Data Entry'!$C3334&gt;='Visual SPC'!$C$4),OR('Visual SPC'!$E$4="",'Data Entry'!$C3334&lt;='Visual SPC'!$E$4),OR('Visual SPC'!$G$4="",'Data Entry'!$D3334='Visual SPC'!$G$4),OR('Visual SPC'!$I$4="",'Data Entry'!$E3334='Visual SPC'!$I$4),OR('Visual SPC'!$K$4="",'Data Entry'!$F3334='Visual SPC'!$K$4)),1,0))</f>
        <v/>
      </c>
      <c r="C3334">
        <f>C3333+B3334</f>
        <v/>
      </c>
      <c r="D3334">
        <f>IF(B3334=1,INDEX('Data Entry'!$H$5:$BE$10004,3334-4,'Visual SPC'!$B$3),"")</f>
        <v/>
      </c>
      <c r="E3334">
        <f>IF(B3334=1,D3334,E3333)</f>
        <v/>
      </c>
      <c r="F3334">
        <f>IF(AND(B3334=1,C3334&gt;1,E3333&lt;&gt;""),ABS(D3334-E3333),"")</f>
        <v/>
      </c>
    </row>
    <row r="3335">
      <c r="A3335" t="n">
        <v>3335</v>
      </c>
      <c r="B3335">
        <f>IF(INDEX('Data Entry'!$H$5:$BE$10004,3335-4,'Visual SPC'!$B$3)="",0,IF(AND(OR('Visual SPC'!$C$4="",'Data Entry'!$C3335&gt;='Visual SPC'!$C$4),OR('Visual SPC'!$E$4="",'Data Entry'!$C3335&lt;='Visual SPC'!$E$4),OR('Visual SPC'!$G$4="",'Data Entry'!$D3335='Visual SPC'!$G$4),OR('Visual SPC'!$I$4="",'Data Entry'!$E3335='Visual SPC'!$I$4),OR('Visual SPC'!$K$4="",'Data Entry'!$F3335='Visual SPC'!$K$4)),1,0))</f>
        <v/>
      </c>
      <c r="C3335">
        <f>C3334+B3335</f>
        <v/>
      </c>
      <c r="D3335">
        <f>IF(B3335=1,INDEX('Data Entry'!$H$5:$BE$10004,3335-4,'Visual SPC'!$B$3),"")</f>
        <v/>
      </c>
      <c r="E3335">
        <f>IF(B3335=1,D3335,E3334)</f>
        <v/>
      </c>
      <c r="F3335">
        <f>IF(AND(B3335=1,C3335&gt;1,E3334&lt;&gt;""),ABS(D3335-E3334),"")</f>
        <v/>
      </c>
    </row>
    <row r="3336">
      <c r="A3336" t="n">
        <v>3336</v>
      </c>
      <c r="B3336">
        <f>IF(INDEX('Data Entry'!$H$5:$BE$10004,3336-4,'Visual SPC'!$B$3)="",0,IF(AND(OR('Visual SPC'!$C$4="",'Data Entry'!$C3336&gt;='Visual SPC'!$C$4),OR('Visual SPC'!$E$4="",'Data Entry'!$C3336&lt;='Visual SPC'!$E$4),OR('Visual SPC'!$G$4="",'Data Entry'!$D3336='Visual SPC'!$G$4),OR('Visual SPC'!$I$4="",'Data Entry'!$E3336='Visual SPC'!$I$4),OR('Visual SPC'!$K$4="",'Data Entry'!$F3336='Visual SPC'!$K$4)),1,0))</f>
        <v/>
      </c>
      <c r="C3336">
        <f>C3335+B3336</f>
        <v/>
      </c>
      <c r="D3336">
        <f>IF(B3336=1,INDEX('Data Entry'!$H$5:$BE$10004,3336-4,'Visual SPC'!$B$3),"")</f>
        <v/>
      </c>
      <c r="E3336">
        <f>IF(B3336=1,D3336,E3335)</f>
        <v/>
      </c>
      <c r="F3336">
        <f>IF(AND(B3336=1,C3336&gt;1,E3335&lt;&gt;""),ABS(D3336-E3335),"")</f>
        <v/>
      </c>
    </row>
    <row r="3337">
      <c r="A3337" t="n">
        <v>3337</v>
      </c>
      <c r="B3337">
        <f>IF(INDEX('Data Entry'!$H$5:$BE$10004,3337-4,'Visual SPC'!$B$3)="",0,IF(AND(OR('Visual SPC'!$C$4="",'Data Entry'!$C3337&gt;='Visual SPC'!$C$4),OR('Visual SPC'!$E$4="",'Data Entry'!$C3337&lt;='Visual SPC'!$E$4),OR('Visual SPC'!$G$4="",'Data Entry'!$D3337='Visual SPC'!$G$4),OR('Visual SPC'!$I$4="",'Data Entry'!$E3337='Visual SPC'!$I$4),OR('Visual SPC'!$K$4="",'Data Entry'!$F3337='Visual SPC'!$K$4)),1,0))</f>
        <v/>
      </c>
      <c r="C3337">
        <f>C3336+B3337</f>
        <v/>
      </c>
      <c r="D3337">
        <f>IF(B3337=1,INDEX('Data Entry'!$H$5:$BE$10004,3337-4,'Visual SPC'!$B$3),"")</f>
        <v/>
      </c>
      <c r="E3337">
        <f>IF(B3337=1,D3337,E3336)</f>
        <v/>
      </c>
      <c r="F3337">
        <f>IF(AND(B3337=1,C3337&gt;1,E3336&lt;&gt;""),ABS(D3337-E3336),"")</f>
        <v/>
      </c>
    </row>
    <row r="3338">
      <c r="A3338" t="n">
        <v>3338</v>
      </c>
      <c r="B3338">
        <f>IF(INDEX('Data Entry'!$H$5:$BE$10004,3338-4,'Visual SPC'!$B$3)="",0,IF(AND(OR('Visual SPC'!$C$4="",'Data Entry'!$C3338&gt;='Visual SPC'!$C$4),OR('Visual SPC'!$E$4="",'Data Entry'!$C3338&lt;='Visual SPC'!$E$4),OR('Visual SPC'!$G$4="",'Data Entry'!$D3338='Visual SPC'!$G$4),OR('Visual SPC'!$I$4="",'Data Entry'!$E3338='Visual SPC'!$I$4),OR('Visual SPC'!$K$4="",'Data Entry'!$F3338='Visual SPC'!$K$4)),1,0))</f>
        <v/>
      </c>
      <c r="C3338">
        <f>C3337+B3338</f>
        <v/>
      </c>
      <c r="D3338">
        <f>IF(B3338=1,INDEX('Data Entry'!$H$5:$BE$10004,3338-4,'Visual SPC'!$B$3),"")</f>
        <v/>
      </c>
      <c r="E3338">
        <f>IF(B3338=1,D3338,E3337)</f>
        <v/>
      </c>
      <c r="F3338">
        <f>IF(AND(B3338=1,C3338&gt;1,E3337&lt;&gt;""),ABS(D3338-E3337),"")</f>
        <v/>
      </c>
    </row>
    <row r="3339">
      <c r="A3339" t="n">
        <v>3339</v>
      </c>
      <c r="B3339">
        <f>IF(INDEX('Data Entry'!$H$5:$BE$10004,3339-4,'Visual SPC'!$B$3)="",0,IF(AND(OR('Visual SPC'!$C$4="",'Data Entry'!$C3339&gt;='Visual SPC'!$C$4),OR('Visual SPC'!$E$4="",'Data Entry'!$C3339&lt;='Visual SPC'!$E$4),OR('Visual SPC'!$G$4="",'Data Entry'!$D3339='Visual SPC'!$G$4),OR('Visual SPC'!$I$4="",'Data Entry'!$E3339='Visual SPC'!$I$4),OR('Visual SPC'!$K$4="",'Data Entry'!$F3339='Visual SPC'!$K$4)),1,0))</f>
        <v/>
      </c>
      <c r="C3339">
        <f>C3338+B3339</f>
        <v/>
      </c>
      <c r="D3339">
        <f>IF(B3339=1,INDEX('Data Entry'!$H$5:$BE$10004,3339-4,'Visual SPC'!$B$3),"")</f>
        <v/>
      </c>
      <c r="E3339">
        <f>IF(B3339=1,D3339,E3338)</f>
        <v/>
      </c>
      <c r="F3339">
        <f>IF(AND(B3339=1,C3339&gt;1,E3338&lt;&gt;""),ABS(D3339-E3338),"")</f>
        <v/>
      </c>
    </row>
    <row r="3340">
      <c r="A3340" t="n">
        <v>3340</v>
      </c>
      <c r="B3340">
        <f>IF(INDEX('Data Entry'!$H$5:$BE$10004,3340-4,'Visual SPC'!$B$3)="",0,IF(AND(OR('Visual SPC'!$C$4="",'Data Entry'!$C3340&gt;='Visual SPC'!$C$4),OR('Visual SPC'!$E$4="",'Data Entry'!$C3340&lt;='Visual SPC'!$E$4),OR('Visual SPC'!$G$4="",'Data Entry'!$D3340='Visual SPC'!$G$4),OR('Visual SPC'!$I$4="",'Data Entry'!$E3340='Visual SPC'!$I$4),OR('Visual SPC'!$K$4="",'Data Entry'!$F3340='Visual SPC'!$K$4)),1,0))</f>
        <v/>
      </c>
      <c r="C3340">
        <f>C3339+B3340</f>
        <v/>
      </c>
      <c r="D3340">
        <f>IF(B3340=1,INDEX('Data Entry'!$H$5:$BE$10004,3340-4,'Visual SPC'!$B$3),"")</f>
        <v/>
      </c>
      <c r="E3340">
        <f>IF(B3340=1,D3340,E3339)</f>
        <v/>
      </c>
      <c r="F3340">
        <f>IF(AND(B3340=1,C3340&gt;1,E3339&lt;&gt;""),ABS(D3340-E3339),"")</f>
        <v/>
      </c>
    </row>
    <row r="3341">
      <c r="A3341" t="n">
        <v>3341</v>
      </c>
      <c r="B3341">
        <f>IF(INDEX('Data Entry'!$H$5:$BE$10004,3341-4,'Visual SPC'!$B$3)="",0,IF(AND(OR('Visual SPC'!$C$4="",'Data Entry'!$C3341&gt;='Visual SPC'!$C$4),OR('Visual SPC'!$E$4="",'Data Entry'!$C3341&lt;='Visual SPC'!$E$4),OR('Visual SPC'!$G$4="",'Data Entry'!$D3341='Visual SPC'!$G$4),OR('Visual SPC'!$I$4="",'Data Entry'!$E3341='Visual SPC'!$I$4),OR('Visual SPC'!$K$4="",'Data Entry'!$F3341='Visual SPC'!$K$4)),1,0))</f>
        <v/>
      </c>
      <c r="C3341">
        <f>C3340+B3341</f>
        <v/>
      </c>
      <c r="D3341">
        <f>IF(B3341=1,INDEX('Data Entry'!$H$5:$BE$10004,3341-4,'Visual SPC'!$B$3),"")</f>
        <v/>
      </c>
      <c r="E3341">
        <f>IF(B3341=1,D3341,E3340)</f>
        <v/>
      </c>
      <c r="F3341">
        <f>IF(AND(B3341=1,C3341&gt;1,E3340&lt;&gt;""),ABS(D3341-E3340),"")</f>
        <v/>
      </c>
    </row>
    <row r="3342">
      <c r="A3342" t="n">
        <v>3342</v>
      </c>
      <c r="B3342">
        <f>IF(INDEX('Data Entry'!$H$5:$BE$10004,3342-4,'Visual SPC'!$B$3)="",0,IF(AND(OR('Visual SPC'!$C$4="",'Data Entry'!$C3342&gt;='Visual SPC'!$C$4),OR('Visual SPC'!$E$4="",'Data Entry'!$C3342&lt;='Visual SPC'!$E$4),OR('Visual SPC'!$G$4="",'Data Entry'!$D3342='Visual SPC'!$G$4),OR('Visual SPC'!$I$4="",'Data Entry'!$E3342='Visual SPC'!$I$4),OR('Visual SPC'!$K$4="",'Data Entry'!$F3342='Visual SPC'!$K$4)),1,0))</f>
        <v/>
      </c>
      <c r="C3342">
        <f>C3341+B3342</f>
        <v/>
      </c>
      <c r="D3342">
        <f>IF(B3342=1,INDEX('Data Entry'!$H$5:$BE$10004,3342-4,'Visual SPC'!$B$3),"")</f>
        <v/>
      </c>
      <c r="E3342">
        <f>IF(B3342=1,D3342,E3341)</f>
        <v/>
      </c>
      <c r="F3342">
        <f>IF(AND(B3342=1,C3342&gt;1,E3341&lt;&gt;""),ABS(D3342-E3341),"")</f>
        <v/>
      </c>
    </row>
    <row r="3343">
      <c r="A3343" t="n">
        <v>3343</v>
      </c>
      <c r="B3343">
        <f>IF(INDEX('Data Entry'!$H$5:$BE$10004,3343-4,'Visual SPC'!$B$3)="",0,IF(AND(OR('Visual SPC'!$C$4="",'Data Entry'!$C3343&gt;='Visual SPC'!$C$4),OR('Visual SPC'!$E$4="",'Data Entry'!$C3343&lt;='Visual SPC'!$E$4),OR('Visual SPC'!$G$4="",'Data Entry'!$D3343='Visual SPC'!$G$4),OR('Visual SPC'!$I$4="",'Data Entry'!$E3343='Visual SPC'!$I$4),OR('Visual SPC'!$K$4="",'Data Entry'!$F3343='Visual SPC'!$K$4)),1,0))</f>
        <v/>
      </c>
      <c r="C3343">
        <f>C3342+B3343</f>
        <v/>
      </c>
      <c r="D3343">
        <f>IF(B3343=1,INDEX('Data Entry'!$H$5:$BE$10004,3343-4,'Visual SPC'!$B$3),"")</f>
        <v/>
      </c>
      <c r="E3343">
        <f>IF(B3343=1,D3343,E3342)</f>
        <v/>
      </c>
      <c r="F3343">
        <f>IF(AND(B3343=1,C3343&gt;1,E3342&lt;&gt;""),ABS(D3343-E3342),"")</f>
        <v/>
      </c>
    </row>
    <row r="3344">
      <c r="A3344" t="n">
        <v>3344</v>
      </c>
      <c r="B3344">
        <f>IF(INDEX('Data Entry'!$H$5:$BE$10004,3344-4,'Visual SPC'!$B$3)="",0,IF(AND(OR('Visual SPC'!$C$4="",'Data Entry'!$C3344&gt;='Visual SPC'!$C$4),OR('Visual SPC'!$E$4="",'Data Entry'!$C3344&lt;='Visual SPC'!$E$4),OR('Visual SPC'!$G$4="",'Data Entry'!$D3344='Visual SPC'!$G$4),OR('Visual SPC'!$I$4="",'Data Entry'!$E3344='Visual SPC'!$I$4),OR('Visual SPC'!$K$4="",'Data Entry'!$F3344='Visual SPC'!$K$4)),1,0))</f>
        <v/>
      </c>
      <c r="C3344">
        <f>C3343+B3344</f>
        <v/>
      </c>
      <c r="D3344">
        <f>IF(B3344=1,INDEX('Data Entry'!$H$5:$BE$10004,3344-4,'Visual SPC'!$B$3),"")</f>
        <v/>
      </c>
      <c r="E3344">
        <f>IF(B3344=1,D3344,E3343)</f>
        <v/>
      </c>
      <c r="F3344">
        <f>IF(AND(B3344=1,C3344&gt;1,E3343&lt;&gt;""),ABS(D3344-E3343),"")</f>
        <v/>
      </c>
    </row>
    <row r="3345">
      <c r="A3345" t="n">
        <v>3345</v>
      </c>
      <c r="B3345">
        <f>IF(INDEX('Data Entry'!$H$5:$BE$10004,3345-4,'Visual SPC'!$B$3)="",0,IF(AND(OR('Visual SPC'!$C$4="",'Data Entry'!$C3345&gt;='Visual SPC'!$C$4),OR('Visual SPC'!$E$4="",'Data Entry'!$C3345&lt;='Visual SPC'!$E$4),OR('Visual SPC'!$G$4="",'Data Entry'!$D3345='Visual SPC'!$G$4),OR('Visual SPC'!$I$4="",'Data Entry'!$E3345='Visual SPC'!$I$4),OR('Visual SPC'!$K$4="",'Data Entry'!$F3345='Visual SPC'!$K$4)),1,0))</f>
        <v/>
      </c>
      <c r="C3345">
        <f>C3344+B3345</f>
        <v/>
      </c>
      <c r="D3345">
        <f>IF(B3345=1,INDEX('Data Entry'!$H$5:$BE$10004,3345-4,'Visual SPC'!$B$3),"")</f>
        <v/>
      </c>
      <c r="E3345">
        <f>IF(B3345=1,D3345,E3344)</f>
        <v/>
      </c>
      <c r="F3345">
        <f>IF(AND(B3345=1,C3345&gt;1,E3344&lt;&gt;""),ABS(D3345-E3344),"")</f>
        <v/>
      </c>
    </row>
    <row r="3346">
      <c r="A3346" t="n">
        <v>3346</v>
      </c>
      <c r="B3346">
        <f>IF(INDEX('Data Entry'!$H$5:$BE$10004,3346-4,'Visual SPC'!$B$3)="",0,IF(AND(OR('Visual SPC'!$C$4="",'Data Entry'!$C3346&gt;='Visual SPC'!$C$4),OR('Visual SPC'!$E$4="",'Data Entry'!$C3346&lt;='Visual SPC'!$E$4),OR('Visual SPC'!$G$4="",'Data Entry'!$D3346='Visual SPC'!$G$4),OR('Visual SPC'!$I$4="",'Data Entry'!$E3346='Visual SPC'!$I$4),OR('Visual SPC'!$K$4="",'Data Entry'!$F3346='Visual SPC'!$K$4)),1,0))</f>
        <v/>
      </c>
      <c r="C3346">
        <f>C3345+B3346</f>
        <v/>
      </c>
      <c r="D3346">
        <f>IF(B3346=1,INDEX('Data Entry'!$H$5:$BE$10004,3346-4,'Visual SPC'!$B$3),"")</f>
        <v/>
      </c>
      <c r="E3346">
        <f>IF(B3346=1,D3346,E3345)</f>
        <v/>
      </c>
      <c r="F3346">
        <f>IF(AND(B3346=1,C3346&gt;1,E3345&lt;&gt;""),ABS(D3346-E3345),"")</f>
        <v/>
      </c>
    </row>
    <row r="3347">
      <c r="A3347" t="n">
        <v>3347</v>
      </c>
      <c r="B3347">
        <f>IF(INDEX('Data Entry'!$H$5:$BE$10004,3347-4,'Visual SPC'!$B$3)="",0,IF(AND(OR('Visual SPC'!$C$4="",'Data Entry'!$C3347&gt;='Visual SPC'!$C$4),OR('Visual SPC'!$E$4="",'Data Entry'!$C3347&lt;='Visual SPC'!$E$4),OR('Visual SPC'!$G$4="",'Data Entry'!$D3347='Visual SPC'!$G$4),OR('Visual SPC'!$I$4="",'Data Entry'!$E3347='Visual SPC'!$I$4),OR('Visual SPC'!$K$4="",'Data Entry'!$F3347='Visual SPC'!$K$4)),1,0))</f>
        <v/>
      </c>
      <c r="C3347">
        <f>C3346+B3347</f>
        <v/>
      </c>
      <c r="D3347">
        <f>IF(B3347=1,INDEX('Data Entry'!$H$5:$BE$10004,3347-4,'Visual SPC'!$B$3),"")</f>
        <v/>
      </c>
      <c r="E3347">
        <f>IF(B3347=1,D3347,E3346)</f>
        <v/>
      </c>
      <c r="F3347">
        <f>IF(AND(B3347=1,C3347&gt;1,E3346&lt;&gt;""),ABS(D3347-E3346),"")</f>
        <v/>
      </c>
    </row>
    <row r="3348">
      <c r="A3348" t="n">
        <v>3348</v>
      </c>
      <c r="B3348">
        <f>IF(INDEX('Data Entry'!$H$5:$BE$10004,3348-4,'Visual SPC'!$B$3)="",0,IF(AND(OR('Visual SPC'!$C$4="",'Data Entry'!$C3348&gt;='Visual SPC'!$C$4),OR('Visual SPC'!$E$4="",'Data Entry'!$C3348&lt;='Visual SPC'!$E$4),OR('Visual SPC'!$G$4="",'Data Entry'!$D3348='Visual SPC'!$G$4),OR('Visual SPC'!$I$4="",'Data Entry'!$E3348='Visual SPC'!$I$4),OR('Visual SPC'!$K$4="",'Data Entry'!$F3348='Visual SPC'!$K$4)),1,0))</f>
        <v/>
      </c>
      <c r="C3348">
        <f>C3347+B3348</f>
        <v/>
      </c>
      <c r="D3348">
        <f>IF(B3348=1,INDEX('Data Entry'!$H$5:$BE$10004,3348-4,'Visual SPC'!$B$3),"")</f>
        <v/>
      </c>
      <c r="E3348">
        <f>IF(B3348=1,D3348,E3347)</f>
        <v/>
      </c>
      <c r="F3348">
        <f>IF(AND(B3348=1,C3348&gt;1,E3347&lt;&gt;""),ABS(D3348-E3347),"")</f>
        <v/>
      </c>
    </row>
    <row r="3349">
      <c r="A3349" t="n">
        <v>3349</v>
      </c>
      <c r="B3349">
        <f>IF(INDEX('Data Entry'!$H$5:$BE$10004,3349-4,'Visual SPC'!$B$3)="",0,IF(AND(OR('Visual SPC'!$C$4="",'Data Entry'!$C3349&gt;='Visual SPC'!$C$4),OR('Visual SPC'!$E$4="",'Data Entry'!$C3349&lt;='Visual SPC'!$E$4),OR('Visual SPC'!$G$4="",'Data Entry'!$D3349='Visual SPC'!$G$4),OR('Visual SPC'!$I$4="",'Data Entry'!$E3349='Visual SPC'!$I$4),OR('Visual SPC'!$K$4="",'Data Entry'!$F3349='Visual SPC'!$K$4)),1,0))</f>
        <v/>
      </c>
      <c r="C3349">
        <f>C3348+B3349</f>
        <v/>
      </c>
      <c r="D3349">
        <f>IF(B3349=1,INDEX('Data Entry'!$H$5:$BE$10004,3349-4,'Visual SPC'!$B$3),"")</f>
        <v/>
      </c>
      <c r="E3349">
        <f>IF(B3349=1,D3349,E3348)</f>
        <v/>
      </c>
      <c r="F3349">
        <f>IF(AND(B3349=1,C3349&gt;1,E3348&lt;&gt;""),ABS(D3349-E3348),"")</f>
        <v/>
      </c>
    </row>
    <row r="3350">
      <c r="A3350" t="n">
        <v>3350</v>
      </c>
      <c r="B3350">
        <f>IF(INDEX('Data Entry'!$H$5:$BE$10004,3350-4,'Visual SPC'!$B$3)="",0,IF(AND(OR('Visual SPC'!$C$4="",'Data Entry'!$C3350&gt;='Visual SPC'!$C$4),OR('Visual SPC'!$E$4="",'Data Entry'!$C3350&lt;='Visual SPC'!$E$4),OR('Visual SPC'!$G$4="",'Data Entry'!$D3350='Visual SPC'!$G$4),OR('Visual SPC'!$I$4="",'Data Entry'!$E3350='Visual SPC'!$I$4),OR('Visual SPC'!$K$4="",'Data Entry'!$F3350='Visual SPC'!$K$4)),1,0))</f>
        <v/>
      </c>
      <c r="C3350">
        <f>C3349+B3350</f>
        <v/>
      </c>
      <c r="D3350">
        <f>IF(B3350=1,INDEX('Data Entry'!$H$5:$BE$10004,3350-4,'Visual SPC'!$B$3),"")</f>
        <v/>
      </c>
      <c r="E3350">
        <f>IF(B3350=1,D3350,E3349)</f>
        <v/>
      </c>
      <c r="F3350">
        <f>IF(AND(B3350=1,C3350&gt;1,E3349&lt;&gt;""),ABS(D3350-E3349),"")</f>
        <v/>
      </c>
    </row>
    <row r="3351">
      <c r="A3351" t="n">
        <v>3351</v>
      </c>
      <c r="B3351">
        <f>IF(INDEX('Data Entry'!$H$5:$BE$10004,3351-4,'Visual SPC'!$B$3)="",0,IF(AND(OR('Visual SPC'!$C$4="",'Data Entry'!$C3351&gt;='Visual SPC'!$C$4),OR('Visual SPC'!$E$4="",'Data Entry'!$C3351&lt;='Visual SPC'!$E$4),OR('Visual SPC'!$G$4="",'Data Entry'!$D3351='Visual SPC'!$G$4),OR('Visual SPC'!$I$4="",'Data Entry'!$E3351='Visual SPC'!$I$4),OR('Visual SPC'!$K$4="",'Data Entry'!$F3351='Visual SPC'!$K$4)),1,0))</f>
        <v/>
      </c>
      <c r="C3351">
        <f>C3350+B3351</f>
        <v/>
      </c>
      <c r="D3351">
        <f>IF(B3351=1,INDEX('Data Entry'!$H$5:$BE$10004,3351-4,'Visual SPC'!$B$3),"")</f>
        <v/>
      </c>
      <c r="E3351">
        <f>IF(B3351=1,D3351,E3350)</f>
        <v/>
      </c>
      <c r="F3351">
        <f>IF(AND(B3351=1,C3351&gt;1,E3350&lt;&gt;""),ABS(D3351-E3350),"")</f>
        <v/>
      </c>
    </row>
    <row r="3352">
      <c r="A3352" t="n">
        <v>3352</v>
      </c>
      <c r="B3352">
        <f>IF(INDEX('Data Entry'!$H$5:$BE$10004,3352-4,'Visual SPC'!$B$3)="",0,IF(AND(OR('Visual SPC'!$C$4="",'Data Entry'!$C3352&gt;='Visual SPC'!$C$4),OR('Visual SPC'!$E$4="",'Data Entry'!$C3352&lt;='Visual SPC'!$E$4),OR('Visual SPC'!$G$4="",'Data Entry'!$D3352='Visual SPC'!$G$4),OR('Visual SPC'!$I$4="",'Data Entry'!$E3352='Visual SPC'!$I$4),OR('Visual SPC'!$K$4="",'Data Entry'!$F3352='Visual SPC'!$K$4)),1,0))</f>
        <v/>
      </c>
      <c r="C3352">
        <f>C3351+B3352</f>
        <v/>
      </c>
      <c r="D3352">
        <f>IF(B3352=1,INDEX('Data Entry'!$H$5:$BE$10004,3352-4,'Visual SPC'!$B$3),"")</f>
        <v/>
      </c>
      <c r="E3352">
        <f>IF(B3352=1,D3352,E3351)</f>
        <v/>
      </c>
      <c r="F3352">
        <f>IF(AND(B3352=1,C3352&gt;1,E3351&lt;&gt;""),ABS(D3352-E3351),"")</f>
        <v/>
      </c>
    </row>
    <row r="3353">
      <c r="A3353" t="n">
        <v>3353</v>
      </c>
      <c r="B3353">
        <f>IF(INDEX('Data Entry'!$H$5:$BE$10004,3353-4,'Visual SPC'!$B$3)="",0,IF(AND(OR('Visual SPC'!$C$4="",'Data Entry'!$C3353&gt;='Visual SPC'!$C$4),OR('Visual SPC'!$E$4="",'Data Entry'!$C3353&lt;='Visual SPC'!$E$4),OR('Visual SPC'!$G$4="",'Data Entry'!$D3353='Visual SPC'!$G$4),OR('Visual SPC'!$I$4="",'Data Entry'!$E3353='Visual SPC'!$I$4),OR('Visual SPC'!$K$4="",'Data Entry'!$F3353='Visual SPC'!$K$4)),1,0))</f>
        <v/>
      </c>
      <c r="C3353">
        <f>C3352+B3353</f>
        <v/>
      </c>
      <c r="D3353">
        <f>IF(B3353=1,INDEX('Data Entry'!$H$5:$BE$10004,3353-4,'Visual SPC'!$B$3),"")</f>
        <v/>
      </c>
      <c r="E3353">
        <f>IF(B3353=1,D3353,E3352)</f>
        <v/>
      </c>
      <c r="F3353">
        <f>IF(AND(B3353=1,C3353&gt;1,E3352&lt;&gt;""),ABS(D3353-E3352),"")</f>
        <v/>
      </c>
    </row>
    <row r="3354">
      <c r="A3354" t="n">
        <v>3354</v>
      </c>
      <c r="B3354">
        <f>IF(INDEX('Data Entry'!$H$5:$BE$10004,3354-4,'Visual SPC'!$B$3)="",0,IF(AND(OR('Visual SPC'!$C$4="",'Data Entry'!$C3354&gt;='Visual SPC'!$C$4),OR('Visual SPC'!$E$4="",'Data Entry'!$C3354&lt;='Visual SPC'!$E$4),OR('Visual SPC'!$G$4="",'Data Entry'!$D3354='Visual SPC'!$G$4),OR('Visual SPC'!$I$4="",'Data Entry'!$E3354='Visual SPC'!$I$4),OR('Visual SPC'!$K$4="",'Data Entry'!$F3354='Visual SPC'!$K$4)),1,0))</f>
        <v/>
      </c>
      <c r="C3354">
        <f>C3353+B3354</f>
        <v/>
      </c>
      <c r="D3354">
        <f>IF(B3354=1,INDEX('Data Entry'!$H$5:$BE$10004,3354-4,'Visual SPC'!$B$3),"")</f>
        <v/>
      </c>
      <c r="E3354">
        <f>IF(B3354=1,D3354,E3353)</f>
        <v/>
      </c>
      <c r="F3354">
        <f>IF(AND(B3354=1,C3354&gt;1,E3353&lt;&gt;""),ABS(D3354-E3353),"")</f>
        <v/>
      </c>
    </row>
    <row r="3355">
      <c r="A3355" t="n">
        <v>3355</v>
      </c>
      <c r="B3355">
        <f>IF(INDEX('Data Entry'!$H$5:$BE$10004,3355-4,'Visual SPC'!$B$3)="",0,IF(AND(OR('Visual SPC'!$C$4="",'Data Entry'!$C3355&gt;='Visual SPC'!$C$4),OR('Visual SPC'!$E$4="",'Data Entry'!$C3355&lt;='Visual SPC'!$E$4),OR('Visual SPC'!$G$4="",'Data Entry'!$D3355='Visual SPC'!$G$4),OR('Visual SPC'!$I$4="",'Data Entry'!$E3355='Visual SPC'!$I$4),OR('Visual SPC'!$K$4="",'Data Entry'!$F3355='Visual SPC'!$K$4)),1,0))</f>
        <v/>
      </c>
      <c r="C3355">
        <f>C3354+B3355</f>
        <v/>
      </c>
      <c r="D3355">
        <f>IF(B3355=1,INDEX('Data Entry'!$H$5:$BE$10004,3355-4,'Visual SPC'!$B$3),"")</f>
        <v/>
      </c>
      <c r="E3355">
        <f>IF(B3355=1,D3355,E3354)</f>
        <v/>
      </c>
      <c r="F3355">
        <f>IF(AND(B3355=1,C3355&gt;1,E3354&lt;&gt;""),ABS(D3355-E3354),"")</f>
        <v/>
      </c>
    </row>
    <row r="3356">
      <c r="A3356" t="n">
        <v>3356</v>
      </c>
      <c r="B3356">
        <f>IF(INDEX('Data Entry'!$H$5:$BE$10004,3356-4,'Visual SPC'!$B$3)="",0,IF(AND(OR('Visual SPC'!$C$4="",'Data Entry'!$C3356&gt;='Visual SPC'!$C$4),OR('Visual SPC'!$E$4="",'Data Entry'!$C3356&lt;='Visual SPC'!$E$4),OR('Visual SPC'!$G$4="",'Data Entry'!$D3356='Visual SPC'!$G$4),OR('Visual SPC'!$I$4="",'Data Entry'!$E3356='Visual SPC'!$I$4),OR('Visual SPC'!$K$4="",'Data Entry'!$F3356='Visual SPC'!$K$4)),1,0))</f>
        <v/>
      </c>
      <c r="C3356">
        <f>C3355+B3356</f>
        <v/>
      </c>
      <c r="D3356">
        <f>IF(B3356=1,INDEX('Data Entry'!$H$5:$BE$10004,3356-4,'Visual SPC'!$B$3),"")</f>
        <v/>
      </c>
      <c r="E3356">
        <f>IF(B3356=1,D3356,E3355)</f>
        <v/>
      </c>
      <c r="F3356">
        <f>IF(AND(B3356=1,C3356&gt;1,E3355&lt;&gt;""),ABS(D3356-E3355),"")</f>
        <v/>
      </c>
    </row>
    <row r="3357">
      <c r="A3357" t="n">
        <v>3357</v>
      </c>
      <c r="B3357">
        <f>IF(INDEX('Data Entry'!$H$5:$BE$10004,3357-4,'Visual SPC'!$B$3)="",0,IF(AND(OR('Visual SPC'!$C$4="",'Data Entry'!$C3357&gt;='Visual SPC'!$C$4),OR('Visual SPC'!$E$4="",'Data Entry'!$C3357&lt;='Visual SPC'!$E$4),OR('Visual SPC'!$G$4="",'Data Entry'!$D3357='Visual SPC'!$G$4),OR('Visual SPC'!$I$4="",'Data Entry'!$E3357='Visual SPC'!$I$4),OR('Visual SPC'!$K$4="",'Data Entry'!$F3357='Visual SPC'!$K$4)),1,0))</f>
        <v/>
      </c>
      <c r="C3357">
        <f>C3356+B3357</f>
        <v/>
      </c>
      <c r="D3357">
        <f>IF(B3357=1,INDEX('Data Entry'!$H$5:$BE$10004,3357-4,'Visual SPC'!$B$3),"")</f>
        <v/>
      </c>
      <c r="E3357">
        <f>IF(B3357=1,D3357,E3356)</f>
        <v/>
      </c>
      <c r="F3357">
        <f>IF(AND(B3357=1,C3357&gt;1,E3356&lt;&gt;""),ABS(D3357-E3356),"")</f>
        <v/>
      </c>
    </row>
    <row r="3358">
      <c r="A3358" t="n">
        <v>3358</v>
      </c>
      <c r="B3358">
        <f>IF(INDEX('Data Entry'!$H$5:$BE$10004,3358-4,'Visual SPC'!$B$3)="",0,IF(AND(OR('Visual SPC'!$C$4="",'Data Entry'!$C3358&gt;='Visual SPC'!$C$4),OR('Visual SPC'!$E$4="",'Data Entry'!$C3358&lt;='Visual SPC'!$E$4),OR('Visual SPC'!$G$4="",'Data Entry'!$D3358='Visual SPC'!$G$4),OR('Visual SPC'!$I$4="",'Data Entry'!$E3358='Visual SPC'!$I$4),OR('Visual SPC'!$K$4="",'Data Entry'!$F3358='Visual SPC'!$K$4)),1,0))</f>
        <v/>
      </c>
      <c r="C3358">
        <f>C3357+B3358</f>
        <v/>
      </c>
      <c r="D3358">
        <f>IF(B3358=1,INDEX('Data Entry'!$H$5:$BE$10004,3358-4,'Visual SPC'!$B$3),"")</f>
        <v/>
      </c>
      <c r="E3358">
        <f>IF(B3358=1,D3358,E3357)</f>
        <v/>
      </c>
      <c r="F3358">
        <f>IF(AND(B3358=1,C3358&gt;1,E3357&lt;&gt;""),ABS(D3358-E3357),"")</f>
        <v/>
      </c>
    </row>
    <row r="3359">
      <c r="A3359" t="n">
        <v>3359</v>
      </c>
      <c r="B3359">
        <f>IF(INDEX('Data Entry'!$H$5:$BE$10004,3359-4,'Visual SPC'!$B$3)="",0,IF(AND(OR('Visual SPC'!$C$4="",'Data Entry'!$C3359&gt;='Visual SPC'!$C$4),OR('Visual SPC'!$E$4="",'Data Entry'!$C3359&lt;='Visual SPC'!$E$4),OR('Visual SPC'!$G$4="",'Data Entry'!$D3359='Visual SPC'!$G$4),OR('Visual SPC'!$I$4="",'Data Entry'!$E3359='Visual SPC'!$I$4),OR('Visual SPC'!$K$4="",'Data Entry'!$F3359='Visual SPC'!$K$4)),1,0))</f>
        <v/>
      </c>
      <c r="C3359">
        <f>C3358+B3359</f>
        <v/>
      </c>
      <c r="D3359">
        <f>IF(B3359=1,INDEX('Data Entry'!$H$5:$BE$10004,3359-4,'Visual SPC'!$B$3),"")</f>
        <v/>
      </c>
      <c r="E3359">
        <f>IF(B3359=1,D3359,E3358)</f>
        <v/>
      </c>
      <c r="F3359">
        <f>IF(AND(B3359=1,C3359&gt;1,E3358&lt;&gt;""),ABS(D3359-E3358),"")</f>
        <v/>
      </c>
    </row>
    <row r="3360">
      <c r="A3360" t="n">
        <v>3360</v>
      </c>
      <c r="B3360">
        <f>IF(INDEX('Data Entry'!$H$5:$BE$10004,3360-4,'Visual SPC'!$B$3)="",0,IF(AND(OR('Visual SPC'!$C$4="",'Data Entry'!$C3360&gt;='Visual SPC'!$C$4),OR('Visual SPC'!$E$4="",'Data Entry'!$C3360&lt;='Visual SPC'!$E$4),OR('Visual SPC'!$G$4="",'Data Entry'!$D3360='Visual SPC'!$G$4),OR('Visual SPC'!$I$4="",'Data Entry'!$E3360='Visual SPC'!$I$4),OR('Visual SPC'!$K$4="",'Data Entry'!$F3360='Visual SPC'!$K$4)),1,0))</f>
        <v/>
      </c>
      <c r="C3360">
        <f>C3359+B3360</f>
        <v/>
      </c>
      <c r="D3360">
        <f>IF(B3360=1,INDEX('Data Entry'!$H$5:$BE$10004,3360-4,'Visual SPC'!$B$3),"")</f>
        <v/>
      </c>
      <c r="E3360">
        <f>IF(B3360=1,D3360,E3359)</f>
        <v/>
      </c>
      <c r="F3360">
        <f>IF(AND(B3360=1,C3360&gt;1,E3359&lt;&gt;""),ABS(D3360-E3359),"")</f>
        <v/>
      </c>
    </row>
    <row r="3361">
      <c r="A3361" t="n">
        <v>3361</v>
      </c>
      <c r="B3361">
        <f>IF(INDEX('Data Entry'!$H$5:$BE$10004,3361-4,'Visual SPC'!$B$3)="",0,IF(AND(OR('Visual SPC'!$C$4="",'Data Entry'!$C3361&gt;='Visual SPC'!$C$4),OR('Visual SPC'!$E$4="",'Data Entry'!$C3361&lt;='Visual SPC'!$E$4),OR('Visual SPC'!$G$4="",'Data Entry'!$D3361='Visual SPC'!$G$4),OR('Visual SPC'!$I$4="",'Data Entry'!$E3361='Visual SPC'!$I$4),OR('Visual SPC'!$K$4="",'Data Entry'!$F3361='Visual SPC'!$K$4)),1,0))</f>
        <v/>
      </c>
      <c r="C3361">
        <f>C3360+B3361</f>
        <v/>
      </c>
      <c r="D3361">
        <f>IF(B3361=1,INDEX('Data Entry'!$H$5:$BE$10004,3361-4,'Visual SPC'!$B$3),"")</f>
        <v/>
      </c>
      <c r="E3361">
        <f>IF(B3361=1,D3361,E3360)</f>
        <v/>
      </c>
      <c r="F3361">
        <f>IF(AND(B3361=1,C3361&gt;1,E3360&lt;&gt;""),ABS(D3361-E3360),"")</f>
        <v/>
      </c>
    </row>
    <row r="3362">
      <c r="A3362" t="n">
        <v>3362</v>
      </c>
      <c r="B3362">
        <f>IF(INDEX('Data Entry'!$H$5:$BE$10004,3362-4,'Visual SPC'!$B$3)="",0,IF(AND(OR('Visual SPC'!$C$4="",'Data Entry'!$C3362&gt;='Visual SPC'!$C$4),OR('Visual SPC'!$E$4="",'Data Entry'!$C3362&lt;='Visual SPC'!$E$4),OR('Visual SPC'!$G$4="",'Data Entry'!$D3362='Visual SPC'!$G$4),OR('Visual SPC'!$I$4="",'Data Entry'!$E3362='Visual SPC'!$I$4),OR('Visual SPC'!$K$4="",'Data Entry'!$F3362='Visual SPC'!$K$4)),1,0))</f>
        <v/>
      </c>
      <c r="C3362">
        <f>C3361+B3362</f>
        <v/>
      </c>
      <c r="D3362">
        <f>IF(B3362=1,INDEX('Data Entry'!$H$5:$BE$10004,3362-4,'Visual SPC'!$B$3),"")</f>
        <v/>
      </c>
      <c r="E3362">
        <f>IF(B3362=1,D3362,E3361)</f>
        <v/>
      </c>
      <c r="F3362">
        <f>IF(AND(B3362=1,C3362&gt;1,E3361&lt;&gt;""),ABS(D3362-E3361),"")</f>
        <v/>
      </c>
    </row>
    <row r="3363">
      <c r="A3363" t="n">
        <v>3363</v>
      </c>
      <c r="B3363">
        <f>IF(INDEX('Data Entry'!$H$5:$BE$10004,3363-4,'Visual SPC'!$B$3)="",0,IF(AND(OR('Visual SPC'!$C$4="",'Data Entry'!$C3363&gt;='Visual SPC'!$C$4),OR('Visual SPC'!$E$4="",'Data Entry'!$C3363&lt;='Visual SPC'!$E$4),OR('Visual SPC'!$G$4="",'Data Entry'!$D3363='Visual SPC'!$G$4),OR('Visual SPC'!$I$4="",'Data Entry'!$E3363='Visual SPC'!$I$4),OR('Visual SPC'!$K$4="",'Data Entry'!$F3363='Visual SPC'!$K$4)),1,0))</f>
        <v/>
      </c>
      <c r="C3363">
        <f>C3362+B3363</f>
        <v/>
      </c>
      <c r="D3363">
        <f>IF(B3363=1,INDEX('Data Entry'!$H$5:$BE$10004,3363-4,'Visual SPC'!$B$3),"")</f>
        <v/>
      </c>
      <c r="E3363">
        <f>IF(B3363=1,D3363,E3362)</f>
        <v/>
      </c>
      <c r="F3363">
        <f>IF(AND(B3363=1,C3363&gt;1,E3362&lt;&gt;""),ABS(D3363-E3362),"")</f>
        <v/>
      </c>
    </row>
    <row r="3364">
      <c r="A3364" t="n">
        <v>3364</v>
      </c>
      <c r="B3364">
        <f>IF(INDEX('Data Entry'!$H$5:$BE$10004,3364-4,'Visual SPC'!$B$3)="",0,IF(AND(OR('Visual SPC'!$C$4="",'Data Entry'!$C3364&gt;='Visual SPC'!$C$4),OR('Visual SPC'!$E$4="",'Data Entry'!$C3364&lt;='Visual SPC'!$E$4),OR('Visual SPC'!$G$4="",'Data Entry'!$D3364='Visual SPC'!$G$4),OR('Visual SPC'!$I$4="",'Data Entry'!$E3364='Visual SPC'!$I$4),OR('Visual SPC'!$K$4="",'Data Entry'!$F3364='Visual SPC'!$K$4)),1,0))</f>
        <v/>
      </c>
      <c r="C3364">
        <f>C3363+B3364</f>
        <v/>
      </c>
      <c r="D3364">
        <f>IF(B3364=1,INDEX('Data Entry'!$H$5:$BE$10004,3364-4,'Visual SPC'!$B$3),"")</f>
        <v/>
      </c>
      <c r="E3364">
        <f>IF(B3364=1,D3364,E3363)</f>
        <v/>
      </c>
      <c r="F3364">
        <f>IF(AND(B3364=1,C3364&gt;1,E3363&lt;&gt;""),ABS(D3364-E3363),"")</f>
        <v/>
      </c>
    </row>
    <row r="3365">
      <c r="A3365" t="n">
        <v>3365</v>
      </c>
      <c r="B3365">
        <f>IF(INDEX('Data Entry'!$H$5:$BE$10004,3365-4,'Visual SPC'!$B$3)="",0,IF(AND(OR('Visual SPC'!$C$4="",'Data Entry'!$C3365&gt;='Visual SPC'!$C$4),OR('Visual SPC'!$E$4="",'Data Entry'!$C3365&lt;='Visual SPC'!$E$4),OR('Visual SPC'!$G$4="",'Data Entry'!$D3365='Visual SPC'!$G$4),OR('Visual SPC'!$I$4="",'Data Entry'!$E3365='Visual SPC'!$I$4),OR('Visual SPC'!$K$4="",'Data Entry'!$F3365='Visual SPC'!$K$4)),1,0))</f>
        <v/>
      </c>
      <c r="C3365">
        <f>C3364+B3365</f>
        <v/>
      </c>
      <c r="D3365">
        <f>IF(B3365=1,INDEX('Data Entry'!$H$5:$BE$10004,3365-4,'Visual SPC'!$B$3),"")</f>
        <v/>
      </c>
      <c r="E3365">
        <f>IF(B3365=1,D3365,E3364)</f>
        <v/>
      </c>
      <c r="F3365">
        <f>IF(AND(B3365=1,C3365&gt;1,E3364&lt;&gt;""),ABS(D3365-E3364),"")</f>
        <v/>
      </c>
    </row>
    <row r="3366">
      <c r="A3366" t="n">
        <v>3366</v>
      </c>
      <c r="B3366">
        <f>IF(INDEX('Data Entry'!$H$5:$BE$10004,3366-4,'Visual SPC'!$B$3)="",0,IF(AND(OR('Visual SPC'!$C$4="",'Data Entry'!$C3366&gt;='Visual SPC'!$C$4),OR('Visual SPC'!$E$4="",'Data Entry'!$C3366&lt;='Visual SPC'!$E$4),OR('Visual SPC'!$G$4="",'Data Entry'!$D3366='Visual SPC'!$G$4),OR('Visual SPC'!$I$4="",'Data Entry'!$E3366='Visual SPC'!$I$4),OR('Visual SPC'!$K$4="",'Data Entry'!$F3366='Visual SPC'!$K$4)),1,0))</f>
        <v/>
      </c>
      <c r="C3366">
        <f>C3365+B3366</f>
        <v/>
      </c>
      <c r="D3366">
        <f>IF(B3366=1,INDEX('Data Entry'!$H$5:$BE$10004,3366-4,'Visual SPC'!$B$3),"")</f>
        <v/>
      </c>
      <c r="E3366">
        <f>IF(B3366=1,D3366,E3365)</f>
        <v/>
      </c>
      <c r="F3366">
        <f>IF(AND(B3366=1,C3366&gt;1,E3365&lt;&gt;""),ABS(D3366-E3365),"")</f>
        <v/>
      </c>
    </row>
    <row r="3367">
      <c r="A3367" t="n">
        <v>3367</v>
      </c>
      <c r="B3367">
        <f>IF(INDEX('Data Entry'!$H$5:$BE$10004,3367-4,'Visual SPC'!$B$3)="",0,IF(AND(OR('Visual SPC'!$C$4="",'Data Entry'!$C3367&gt;='Visual SPC'!$C$4),OR('Visual SPC'!$E$4="",'Data Entry'!$C3367&lt;='Visual SPC'!$E$4),OR('Visual SPC'!$G$4="",'Data Entry'!$D3367='Visual SPC'!$G$4),OR('Visual SPC'!$I$4="",'Data Entry'!$E3367='Visual SPC'!$I$4),OR('Visual SPC'!$K$4="",'Data Entry'!$F3367='Visual SPC'!$K$4)),1,0))</f>
        <v/>
      </c>
      <c r="C3367">
        <f>C3366+B3367</f>
        <v/>
      </c>
      <c r="D3367">
        <f>IF(B3367=1,INDEX('Data Entry'!$H$5:$BE$10004,3367-4,'Visual SPC'!$B$3),"")</f>
        <v/>
      </c>
      <c r="E3367">
        <f>IF(B3367=1,D3367,E3366)</f>
        <v/>
      </c>
      <c r="F3367">
        <f>IF(AND(B3367=1,C3367&gt;1,E3366&lt;&gt;""),ABS(D3367-E3366),"")</f>
        <v/>
      </c>
    </row>
    <row r="3368">
      <c r="A3368" t="n">
        <v>3368</v>
      </c>
      <c r="B3368">
        <f>IF(INDEX('Data Entry'!$H$5:$BE$10004,3368-4,'Visual SPC'!$B$3)="",0,IF(AND(OR('Visual SPC'!$C$4="",'Data Entry'!$C3368&gt;='Visual SPC'!$C$4),OR('Visual SPC'!$E$4="",'Data Entry'!$C3368&lt;='Visual SPC'!$E$4),OR('Visual SPC'!$G$4="",'Data Entry'!$D3368='Visual SPC'!$G$4),OR('Visual SPC'!$I$4="",'Data Entry'!$E3368='Visual SPC'!$I$4),OR('Visual SPC'!$K$4="",'Data Entry'!$F3368='Visual SPC'!$K$4)),1,0))</f>
        <v/>
      </c>
      <c r="C3368">
        <f>C3367+B3368</f>
        <v/>
      </c>
      <c r="D3368">
        <f>IF(B3368=1,INDEX('Data Entry'!$H$5:$BE$10004,3368-4,'Visual SPC'!$B$3),"")</f>
        <v/>
      </c>
      <c r="E3368">
        <f>IF(B3368=1,D3368,E3367)</f>
        <v/>
      </c>
      <c r="F3368">
        <f>IF(AND(B3368=1,C3368&gt;1,E3367&lt;&gt;""),ABS(D3368-E3367),"")</f>
        <v/>
      </c>
    </row>
    <row r="3369">
      <c r="A3369" t="n">
        <v>3369</v>
      </c>
      <c r="B3369">
        <f>IF(INDEX('Data Entry'!$H$5:$BE$10004,3369-4,'Visual SPC'!$B$3)="",0,IF(AND(OR('Visual SPC'!$C$4="",'Data Entry'!$C3369&gt;='Visual SPC'!$C$4),OR('Visual SPC'!$E$4="",'Data Entry'!$C3369&lt;='Visual SPC'!$E$4),OR('Visual SPC'!$G$4="",'Data Entry'!$D3369='Visual SPC'!$G$4),OR('Visual SPC'!$I$4="",'Data Entry'!$E3369='Visual SPC'!$I$4),OR('Visual SPC'!$K$4="",'Data Entry'!$F3369='Visual SPC'!$K$4)),1,0))</f>
        <v/>
      </c>
      <c r="C3369">
        <f>C3368+B3369</f>
        <v/>
      </c>
      <c r="D3369">
        <f>IF(B3369=1,INDEX('Data Entry'!$H$5:$BE$10004,3369-4,'Visual SPC'!$B$3),"")</f>
        <v/>
      </c>
      <c r="E3369">
        <f>IF(B3369=1,D3369,E3368)</f>
        <v/>
      </c>
      <c r="F3369">
        <f>IF(AND(B3369=1,C3369&gt;1,E3368&lt;&gt;""),ABS(D3369-E3368),"")</f>
        <v/>
      </c>
    </row>
    <row r="3370">
      <c r="A3370" t="n">
        <v>3370</v>
      </c>
      <c r="B3370">
        <f>IF(INDEX('Data Entry'!$H$5:$BE$10004,3370-4,'Visual SPC'!$B$3)="",0,IF(AND(OR('Visual SPC'!$C$4="",'Data Entry'!$C3370&gt;='Visual SPC'!$C$4),OR('Visual SPC'!$E$4="",'Data Entry'!$C3370&lt;='Visual SPC'!$E$4),OR('Visual SPC'!$G$4="",'Data Entry'!$D3370='Visual SPC'!$G$4),OR('Visual SPC'!$I$4="",'Data Entry'!$E3370='Visual SPC'!$I$4),OR('Visual SPC'!$K$4="",'Data Entry'!$F3370='Visual SPC'!$K$4)),1,0))</f>
        <v/>
      </c>
      <c r="C3370">
        <f>C3369+B3370</f>
        <v/>
      </c>
      <c r="D3370">
        <f>IF(B3370=1,INDEX('Data Entry'!$H$5:$BE$10004,3370-4,'Visual SPC'!$B$3),"")</f>
        <v/>
      </c>
      <c r="E3370">
        <f>IF(B3370=1,D3370,E3369)</f>
        <v/>
      </c>
      <c r="F3370">
        <f>IF(AND(B3370=1,C3370&gt;1,E3369&lt;&gt;""),ABS(D3370-E3369),"")</f>
        <v/>
      </c>
    </row>
    <row r="3371">
      <c r="A3371" t="n">
        <v>3371</v>
      </c>
      <c r="B3371">
        <f>IF(INDEX('Data Entry'!$H$5:$BE$10004,3371-4,'Visual SPC'!$B$3)="",0,IF(AND(OR('Visual SPC'!$C$4="",'Data Entry'!$C3371&gt;='Visual SPC'!$C$4),OR('Visual SPC'!$E$4="",'Data Entry'!$C3371&lt;='Visual SPC'!$E$4),OR('Visual SPC'!$G$4="",'Data Entry'!$D3371='Visual SPC'!$G$4),OR('Visual SPC'!$I$4="",'Data Entry'!$E3371='Visual SPC'!$I$4),OR('Visual SPC'!$K$4="",'Data Entry'!$F3371='Visual SPC'!$K$4)),1,0))</f>
        <v/>
      </c>
      <c r="C3371">
        <f>C3370+B3371</f>
        <v/>
      </c>
      <c r="D3371">
        <f>IF(B3371=1,INDEX('Data Entry'!$H$5:$BE$10004,3371-4,'Visual SPC'!$B$3),"")</f>
        <v/>
      </c>
      <c r="E3371">
        <f>IF(B3371=1,D3371,E3370)</f>
        <v/>
      </c>
      <c r="F3371">
        <f>IF(AND(B3371=1,C3371&gt;1,E3370&lt;&gt;""),ABS(D3371-E3370),"")</f>
        <v/>
      </c>
    </row>
    <row r="3372">
      <c r="A3372" t="n">
        <v>3372</v>
      </c>
      <c r="B3372">
        <f>IF(INDEX('Data Entry'!$H$5:$BE$10004,3372-4,'Visual SPC'!$B$3)="",0,IF(AND(OR('Visual SPC'!$C$4="",'Data Entry'!$C3372&gt;='Visual SPC'!$C$4),OR('Visual SPC'!$E$4="",'Data Entry'!$C3372&lt;='Visual SPC'!$E$4),OR('Visual SPC'!$G$4="",'Data Entry'!$D3372='Visual SPC'!$G$4),OR('Visual SPC'!$I$4="",'Data Entry'!$E3372='Visual SPC'!$I$4),OR('Visual SPC'!$K$4="",'Data Entry'!$F3372='Visual SPC'!$K$4)),1,0))</f>
        <v/>
      </c>
      <c r="C3372">
        <f>C3371+B3372</f>
        <v/>
      </c>
      <c r="D3372">
        <f>IF(B3372=1,INDEX('Data Entry'!$H$5:$BE$10004,3372-4,'Visual SPC'!$B$3),"")</f>
        <v/>
      </c>
      <c r="E3372">
        <f>IF(B3372=1,D3372,E3371)</f>
        <v/>
      </c>
      <c r="F3372">
        <f>IF(AND(B3372=1,C3372&gt;1,E3371&lt;&gt;""),ABS(D3372-E3371),"")</f>
        <v/>
      </c>
    </row>
    <row r="3373">
      <c r="A3373" t="n">
        <v>3373</v>
      </c>
      <c r="B3373">
        <f>IF(INDEX('Data Entry'!$H$5:$BE$10004,3373-4,'Visual SPC'!$B$3)="",0,IF(AND(OR('Visual SPC'!$C$4="",'Data Entry'!$C3373&gt;='Visual SPC'!$C$4),OR('Visual SPC'!$E$4="",'Data Entry'!$C3373&lt;='Visual SPC'!$E$4),OR('Visual SPC'!$G$4="",'Data Entry'!$D3373='Visual SPC'!$G$4),OR('Visual SPC'!$I$4="",'Data Entry'!$E3373='Visual SPC'!$I$4),OR('Visual SPC'!$K$4="",'Data Entry'!$F3373='Visual SPC'!$K$4)),1,0))</f>
        <v/>
      </c>
      <c r="C3373">
        <f>C3372+B3373</f>
        <v/>
      </c>
      <c r="D3373">
        <f>IF(B3373=1,INDEX('Data Entry'!$H$5:$BE$10004,3373-4,'Visual SPC'!$B$3),"")</f>
        <v/>
      </c>
      <c r="E3373">
        <f>IF(B3373=1,D3373,E3372)</f>
        <v/>
      </c>
      <c r="F3373">
        <f>IF(AND(B3373=1,C3373&gt;1,E3372&lt;&gt;""),ABS(D3373-E3372),"")</f>
        <v/>
      </c>
    </row>
    <row r="3374">
      <c r="A3374" t="n">
        <v>3374</v>
      </c>
      <c r="B3374">
        <f>IF(INDEX('Data Entry'!$H$5:$BE$10004,3374-4,'Visual SPC'!$B$3)="",0,IF(AND(OR('Visual SPC'!$C$4="",'Data Entry'!$C3374&gt;='Visual SPC'!$C$4),OR('Visual SPC'!$E$4="",'Data Entry'!$C3374&lt;='Visual SPC'!$E$4),OR('Visual SPC'!$G$4="",'Data Entry'!$D3374='Visual SPC'!$G$4),OR('Visual SPC'!$I$4="",'Data Entry'!$E3374='Visual SPC'!$I$4),OR('Visual SPC'!$K$4="",'Data Entry'!$F3374='Visual SPC'!$K$4)),1,0))</f>
        <v/>
      </c>
      <c r="C3374">
        <f>C3373+B3374</f>
        <v/>
      </c>
      <c r="D3374">
        <f>IF(B3374=1,INDEX('Data Entry'!$H$5:$BE$10004,3374-4,'Visual SPC'!$B$3),"")</f>
        <v/>
      </c>
      <c r="E3374">
        <f>IF(B3374=1,D3374,E3373)</f>
        <v/>
      </c>
      <c r="F3374">
        <f>IF(AND(B3374=1,C3374&gt;1,E3373&lt;&gt;""),ABS(D3374-E3373),"")</f>
        <v/>
      </c>
    </row>
    <row r="3375">
      <c r="A3375" t="n">
        <v>3375</v>
      </c>
      <c r="B3375">
        <f>IF(INDEX('Data Entry'!$H$5:$BE$10004,3375-4,'Visual SPC'!$B$3)="",0,IF(AND(OR('Visual SPC'!$C$4="",'Data Entry'!$C3375&gt;='Visual SPC'!$C$4),OR('Visual SPC'!$E$4="",'Data Entry'!$C3375&lt;='Visual SPC'!$E$4),OR('Visual SPC'!$G$4="",'Data Entry'!$D3375='Visual SPC'!$G$4),OR('Visual SPC'!$I$4="",'Data Entry'!$E3375='Visual SPC'!$I$4),OR('Visual SPC'!$K$4="",'Data Entry'!$F3375='Visual SPC'!$K$4)),1,0))</f>
        <v/>
      </c>
      <c r="C3375">
        <f>C3374+B3375</f>
        <v/>
      </c>
      <c r="D3375">
        <f>IF(B3375=1,INDEX('Data Entry'!$H$5:$BE$10004,3375-4,'Visual SPC'!$B$3),"")</f>
        <v/>
      </c>
      <c r="E3375">
        <f>IF(B3375=1,D3375,E3374)</f>
        <v/>
      </c>
      <c r="F3375">
        <f>IF(AND(B3375=1,C3375&gt;1,E3374&lt;&gt;""),ABS(D3375-E3374),"")</f>
        <v/>
      </c>
    </row>
    <row r="3376">
      <c r="A3376" t="n">
        <v>3376</v>
      </c>
      <c r="B3376">
        <f>IF(INDEX('Data Entry'!$H$5:$BE$10004,3376-4,'Visual SPC'!$B$3)="",0,IF(AND(OR('Visual SPC'!$C$4="",'Data Entry'!$C3376&gt;='Visual SPC'!$C$4),OR('Visual SPC'!$E$4="",'Data Entry'!$C3376&lt;='Visual SPC'!$E$4),OR('Visual SPC'!$G$4="",'Data Entry'!$D3376='Visual SPC'!$G$4),OR('Visual SPC'!$I$4="",'Data Entry'!$E3376='Visual SPC'!$I$4),OR('Visual SPC'!$K$4="",'Data Entry'!$F3376='Visual SPC'!$K$4)),1,0))</f>
        <v/>
      </c>
      <c r="C3376">
        <f>C3375+B3376</f>
        <v/>
      </c>
      <c r="D3376">
        <f>IF(B3376=1,INDEX('Data Entry'!$H$5:$BE$10004,3376-4,'Visual SPC'!$B$3),"")</f>
        <v/>
      </c>
      <c r="E3376">
        <f>IF(B3376=1,D3376,E3375)</f>
        <v/>
      </c>
      <c r="F3376">
        <f>IF(AND(B3376=1,C3376&gt;1,E3375&lt;&gt;""),ABS(D3376-E3375),"")</f>
        <v/>
      </c>
    </row>
    <row r="3377">
      <c r="A3377" t="n">
        <v>3377</v>
      </c>
      <c r="B3377">
        <f>IF(INDEX('Data Entry'!$H$5:$BE$10004,3377-4,'Visual SPC'!$B$3)="",0,IF(AND(OR('Visual SPC'!$C$4="",'Data Entry'!$C3377&gt;='Visual SPC'!$C$4),OR('Visual SPC'!$E$4="",'Data Entry'!$C3377&lt;='Visual SPC'!$E$4),OR('Visual SPC'!$G$4="",'Data Entry'!$D3377='Visual SPC'!$G$4),OR('Visual SPC'!$I$4="",'Data Entry'!$E3377='Visual SPC'!$I$4),OR('Visual SPC'!$K$4="",'Data Entry'!$F3377='Visual SPC'!$K$4)),1,0))</f>
        <v/>
      </c>
      <c r="C3377">
        <f>C3376+B3377</f>
        <v/>
      </c>
      <c r="D3377">
        <f>IF(B3377=1,INDEX('Data Entry'!$H$5:$BE$10004,3377-4,'Visual SPC'!$B$3),"")</f>
        <v/>
      </c>
      <c r="E3377">
        <f>IF(B3377=1,D3377,E3376)</f>
        <v/>
      </c>
      <c r="F3377">
        <f>IF(AND(B3377=1,C3377&gt;1,E3376&lt;&gt;""),ABS(D3377-E3376),"")</f>
        <v/>
      </c>
    </row>
    <row r="3378">
      <c r="A3378" t="n">
        <v>3378</v>
      </c>
      <c r="B3378">
        <f>IF(INDEX('Data Entry'!$H$5:$BE$10004,3378-4,'Visual SPC'!$B$3)="",0,IF(AND(OR('Visual SPC'!$C$4="",'Data Entry'!$C3378&gt;='Visual SPC'!$C$4),OR('Visual SPC'!$E$4="",'Data Entry'!$C3378&lt;='Visual SPC'!$E$4),OR('Visual SPC'!$G$4="",'Data Entry'!$D3378='Visual SPC'!$G$4),OR('Visual SPC'!$I$4="",'Data Entry'!$E3378='Visual SPC'!$I$4),OR('Visual SPC'!$K$4="",'Data Entry'!$F3378='Visual SPC'!$K$4)),1,0))</f>
        <v/>
      </c>
      <c r="C3378">
        <f>C3377+B3378</f>
        <v/>
      </c>
      <c r="D3378">
        <f>IF(B3378=1,INDEX('Data Entry'!$H$5:$BE$10004,3378-4,'Visual SPC'!$B$3),"")</f>
        <v/>
      </c>
      <c r="E3378">
        <f>IF(B3378=1,D3378,E3377)</f>
        <v/>
      </c>
      <c r="F3378">
        <f>IF(AND(B3378=1,C3378&gt;1,E3377&lt;&gt;""),ABS(D3378-E3377),"")</f>
        <v/>
      </c>
    </row>
    <row r="3379">
      <c r="A3379" t="n">
        <v>3379</v>
      </c>
      <c r="B3379">
        <f>IF(INDEX('Data Entry'!$H$5:$BE$10004,3379-4,'Visual SPC'!$B$3)="",0,IF(AND(OR('Visual SPC'!$C$4="",'Data Entry'!$C3379&gt;='Visual SPC'!$C$4),OR('Visual SPC'!$E$4="",'Data Entry'!$C3379&lt;='Visual SPC'!$E$4),OR('Visual SPC'!$G$4="",'Data Entry'!$D3379='Visual SPC'!$G$4),OR('Visual SPC'!$I$4="",'Data Entry'!$E3379='Visual SPC'!$I$4),OR('Visual SPC'!$K$4="",'Data Entry'!$F3379='Visual SPC'!$K$4)),1,0))</f>
        <v/>
      </c>
      <c r="C3379">
        <f>C3378+B3379</f>
        <v/>
      </c>
      <c r="D3379">
        <f>IF(B3379=1,INDEX('Data Entry'!$H$5:$BE$10004,3379-4,'Visual SPC'!$B$3),"")</f>
        <v/>
      </c>
      <c r="E3379">
        <f>IF(B3379=1,D3379,E3378)</f>
        <v/>
      </c>
      <c r="F3379">
        <f>IF(AND(B3379=1,C3379&gt;1,E3378&lt;&gt;""),ABS(D3379-E3378),"")</f>
        <v/>
      </c>
    </row>
    <row r="3380">
      <c r="A3380" t="n">
        <v>3380</v>
      </c>
      <c r="B3380">
        <f>IF(INDEX('Data Entry'!$H$5:$BE$10004,3380-4,'Visual SPC'!$B$3)="",0,IF(AND(OR('Visual SPC'!$C$4="",'Data Entry'!$C3380&gt;='Visual SPC'!$C$4),OR('Visual SPC'!$E$4="",'Data Entry'!$C3380&lt;='Visual SPC'!$E$4),OR('Visual SPC'!$G$4="",'Data Entry'!$D3380='Visual SPC'!$G$4),OR('Visual SPC'!$I$4="",'Data Entry'!$E3380='Visual SPC'!$I$4),OR('Visual SPC'!$K$4="",'Data Entry'!$F3380='Visual SPC'!$K$4)),1,0))</f>
        <v/>
      </c>
      <c r="C3380">
        <f>C3379+B3380</f>
        <v/>
      </c>
      <c r="D3380">
        <f>IF(B3380=1,INDEX('Data Entry'!$H$5:$BE$10004,3380-4,'Visual SPC'!$B$3),"")</f>
        <v/>
      </c>
      <c r="E3380">
        <f>IF(B3380=1,D3380,E3379)</f>
        <v/>
      </c>
      <c r="F3380">
        <f>IF(AND(B3380=1,C3380&gt;1,E3379&lt;&gt;""),ABS(D3380-E3379),"")</f>
        <v/>
      </c>
    </row>
    <row r="3381">
      <c r="A3381" t="n">
        <v>3381</v>
      </c>
      <c r="B3381">
        <f>IF(INDEX('Data Entry'!$H$5:$BE$10004,3381-4,'Visual SPC'!$B$3)="",0,IF(AND(OR('Visual SPC'!$C$4="",'Data Entry'!$C3381&gt;='Visual SPC'!$C$4),OR('Visual SPC'!$E$4="",'Data Entry'!$C3381&lt;='Visual SPC'!$E$4),OR('Visual SPC'!$G$4="",'Data Entry'!$D3381='Visual SPC'!$G$4),OR('Visual SPC'!$I$4="",'Data Entry'!$E3381='Visual SPC'!$I$4),OR('Visual SPC'!$K$4="",'Data Entry'!$F3381='Visual SPC'!$K$4)),1,0))</f>
        <v/>
      </c>
      <c r="C3381">
        <f>C3380+B3381</f>
        <v/>
      </c>
      <c r="D3381">
        <f>IF(B3381=1,INDEX('Data Entry'!$H$5:$BE$10004,3381-4,'Visual SPC'!$B$3),"")</f>
        <v/>
      </c>
      <c r="E3381">
        <f>IF(B3381=1,D3381,E3380)</f>
        <v/>
      </c>
      <c r="F3381">
        <f>IF(AND(B3381=1,C3381&gt;1,E3380&lt;&gt;""),ABS(D3381-E3380),"")</f>
        <v/>
      </c>
    </row>
    <row r="3382">
      <c r="A3382" t="n">
        <v>3382</v>
      </c>
      <c r="B3382">
        <f>IF(INDEX('Data Entry'!$H$5:$BE$10004,3382-4,'Visual SPC'!$B$3)="",0,IF(AND(OR('Visual SPC'!$C$4="",'Data Entry'!$C3382&gt;='Visual SPC'!$C$4),OR('Visual SPC'!$E$4="",'Data Entry'!$C3382&lt;='Visual SPC'!$E$4),OR('Visual SPC'!$G$4="",'Data Entry'!$D3382='Visual SPC'!$G$4),OR('Visual SPC'!$I$4="",'Data Entry'!$E3382='Visual SPC'!$I$4),OR('Visual SPC'!$K$4="",'Data Entry'!$F3382='Visual SPC'!$K$4)),1,0))</f>
        <v/>
      </c>
      <c r="C3382">
        <f>C3381+B3382</f>
        <v/>
      </c>
      <c r="D3382">
        <f>IF(B3382=1,INDEX('Data Entry'!$H$5:$BE$10004,3382-4,'Visual SPC'!$B$3),"")</f>
        <v/>
      </c>
      <c r="E3382">
        <f>IF(B3382=1,D3382,E3381)</f>
        <v/>
      </c>
      <c r="F3382">
        <f>IF(AND(B3382=1,C3382&gt;1,E3381&lt;&gt;""),ABS(D3382-E3381),"")</f>
        <v/>
      </c>
    </row>
    <row r="3383">
      <c r="A3383" t="n">
        <v>3383</v>
      </c>
      <c r="B3383">
        <f>IF(INDEX('Data Entry'!$H$5:$BE$10004,3383-4,'Visual SPC'!$B$3)="",0,IF(AND(OR('Visual SPC'!$C$4="",'Data Entry'!$C3383&gt;='Visual SPC'!$C$4),OR('Visual SPC'!$E$4="",'Data Entry'!$C3383&lt;='Visual SPC'!$E$4),OR('Visual SPC'!$G$4="",'Data Entry'!$D3383='Visual SPC'!$G$4),OR('Visual SPC'!$I$4="",'Data Entry'!$E3383='Visual SPC'!$I$4),OR('Visual SPC'!$K$4="",'Data Entry'!$F3383='Visual SPC'!$K$4)),1,0))</f>
        <v/>
      </c>
      <c r="C3383">
        <f>C3382+B3383</f>
        <v/>
      </c>
      <c r="D3383">
        <f>IF(B3383=1,INDEX('Data Entry'!$H$5:$BE$10004,3383-4,'Visual SPC'!$B$3),"")</f>
        <v/>
      </c>
      <c r="E3383">
        <f>IF(B3383=1,D3383,E3382)</f>
        <v/>
      </c>
      <c r="F3383">
        <f>IF(AND(B3383=1,C3383&gt;1,E3382&lt;&gt;""),ABS(D3383-E3382),"")</f>
        <v/>
      </c>
    </row>
    <row r="3384">
      <c r="A3384" t="n">
        <v>3384</v>
      </c>
      <c r="B3384">
        <f>IF(INDEX('Data Entry'!$H$5:$BE$10004,3384-4,'Visual SPC'!$B$3)="",0,IF(AND(OR('Visual SPC'!$C$4="",'Data Entry'!$C3384&gt;='Visual SPC'!$C$4),OR('Visual SPC'!$E$4="",'Data Entry'!$C3384&lt;='Visual SPC'!$E$4),OR('Visual SPC'!$G$4="",'Data Entry'!$D3384='Visual SPC'!$G$4),OR('Visual SPC'!$I$4="",'Data Entry'!$E3384='Visual SPC'!$I$4),OR('Visual SPC'!$K$4="",'Data Entry'!$F3384='Visual SPC'!$K$4)),1,0))</f>
        <v/>
      </c>
      <c r="C3384">
        <f>C3383+B3384</f>
        <v/>
      </c>
      <c r="D3384">
        <f>IF(B3384=1,INDEX('Data Entry'!$H$5:$BE$10004,3384-4,'Visual SPC'!$B$3),"")</f>
        <v/>
      </c>
      <c r="E3384">
        <f>IF(B3384=1,D3384,E3383)</f>
        <v/>
      </c>
      <c r="F3384">
        <f>IF(AND(B3384=1,C3384&gt;1,E3383&lt;&gt;""),ABS(D3384-E3383),"")</f>
        <v/>
      </c>
    </row>
    <row r="3385">
      <c r="A3385" t="n">
        <v>3385</v>
      </c>
      <c r="B3385">
        <f>IF(INDEX('Data Entry'!$H$5:$BE$10004,3385-4,'Visual SPC'!$B$3)="",0,IF(AND(OR('Visual SPC'!$C$4="",'Data Entry'!$C3385&gt;='Visual SPC'!$C$4),OR('Visual SPC'!$E$4="",'Data Entry'!$C3385&lt;='Visual SPC'!$E$4),OR('Visual SPC'!$G$4="",'Data Entry'!$D3385='Visual SPC'!$G$4),OR('Visual SPC'!$I$4="",'Data Entry'!$E3385='Visual SPC'!$I$4),OR('Visual SPC'!$K$4="",'Data Entry'!$F3385='Visual SPC'!$K$4)),1,0))</f>
        <v/>
      </c>
      <c r="C3385">
        <f>C3384+B3385</f>
        <v/>
      </c>
      <c r="D3385">
        <f>IF(B3385=1,INDEX('Data Entry'!$H$5:$BE$10004,3385-4,'Visual SPC'!$B$3),"")</f>
        <v/>
      </c>
      <c r="E3385">
        <f>IF(B3385=1,D3385,E3384)</f>
        <v/>
      </c>
      <c r="F3385">
        <f>IF(AND(B3385=1,C3385&gt;1,E3384&lt;&gt;""),ABS(D3385-E3384),"")</f>
        <v/>
      </c>
    </row>
    <row r="3386">
      <c r="A3386" t="n">
        <v>3386</v>
      </c>
      <c r="B3386">
        <f>IF(INDEX('Data Entry'!$H$5:$BE$10004,3386-4,'Visual SPC'!$B$3)="",0,IF(AND(OR('Visual SPC'!$C$4="",'Data Entry'!$C3386&gt;='Visual SPC'!$C$4),OR('Visual SPC'!$E$4="",'Data Entry'!$C3386&lt;='Visual SPC'!$E$4),OR('Visual SPC'!$G$4="",'Data Entry'!$D3386='Visual SPC'!$G$4),OR('Visual SPC'!$I$4="",'Data Entry'!$E3386='Visual SPC'!$I$4),OR('Visual SPC'!$K$4="",'Data Entry'!$F3386='Visual SPC'!$K$4)),1,0))</f>
        <v/>
      </c>
      <c r="C3386">
        <f>C3385+B3386</f>
        <v/>
      </c>
      <c r="D3386">
        <f>IF(B3386=1,INDEX('Data Entry'!$H$5:$BE$10004,3386-4,'Visual SPC'!$B$3),"")</f>
        <v/>
      </c>
      <c r="E3386">
        <f>IF(B3386=1,D3386,E3385)</f>
        <v/>
      </c>
      <c r="F3386">
        <f>IF(AND(B3386=1,C3386&gt;1,E3385&lt;&gt;""),ABS(D3386-E3385),"")</f>
        <v/>
      </c>
    </row>
    <row r="3387">
      <c r="A3387" t="n">
        <v>3387</v>
      </c>
      <c r="B3387">
        <f>IF(INDEX('Data Entry'!$H$5:$BE$10004,3387-4,'Visual SPC'!$B$3)="",0,IF(AND(OR('Visual SPC'!$C$4="",'Data Entry'!$C3387&gt;='Visual SPC'!$C$4),OR('Visual SPC'!$E$4="",'Data Entry'!$C3387&lt;='Visual SPC'!$E$4),OR('Visual SPC'!$G$4="",'Data Entry'!$D3387='Visual SPC'!$G$4),OR('Visual SPC'!$I$4="",'Data Entry'!$E3387='Visual SPC'!$I$4),OR('Visual SPC'!$K$4="",'Data Entry'!$F3387='Visual SPC'!$K$4)),1,0))</f>
        <v/>
      </c>
      <c r="C3387">
        <f>C3386+B3387</f>
        <v/>
      </c>
      <c r="D3387">
        <f>IF(B3387=1,INDEX('Data Entry'!$H$5:$BE$10004,3387-4,'Visual SPC'!$B$3),"")</f>
        <v/>
      </c>
      <c r="E3387">
        <f>IF(B3387=1,D3387,E3386)</f>
        <v/>
      </c>
      <c r="F3387">
        <f>IF(AND(B3387=1,C3387&gt;1,E3386&lt;&gt;""),ABS(D3387-E3386),"")</f>
        <v/>
      </c>
    </row>
    <row r="3388">
      <c r="A3388" t="n">
        <v>3388</v>
      </c>
      <c r="B3388">
        <f>IF(INDEX('Data Entry'!$H$5:$BE$10004,3388-4,'Visual SPC'!$B$3)="",0,IF(AND(OR('Visual SPC'!$C$4="",'Data Entry'!$C3388&gt;='Visual SPC'!$C$4),OR('Visual SPC'!$E$4="",'Data Entry'!$C3388&lt;='Visual SPC'!$E$4),OR('Visual SPC'!$G$4="",'Data Entry'!$D3388='Visual SPC'!$G$4),OR('Visual SPC'!$I$4="",'Data Entry'!$E3388='Visual SPC'!$I$4),OR('Visual SPC'!$K$4="",'Data Entry'!$F3388='Visual SPC'!$K$4)),1,0))</f>
        <v/>
      </c>
      <c r="C3388">
        <f>C3387+B3388</f>
        <v/>
      </c>
      <c r="D3388">
        <f>IF(B3388=1,INDEX('Data Entry'!$H$5:$BE$10004,3388-4,'Visual SPC'!$B$3),"")</f>
        <v/>
      </c>
      <c r="E3388">
        <f>IF(B3388=1,D3388,E3387)</f>
        <v/>
      </c>
      <c r="F3388">
        <f>IF(AND(B3388=1,C3388&gt;1,E3387&lt;&gt;""),ABS(D3388-E3387),"")</f>
        <v/>
      </c>
    </row>
    <row r="3389">
      <c r="A3389" t="n">
        <v>3389</v>
      </c>
      <c r="B3389">
        <f>IF(INDEX('Data Entry'!$H$5:$BE$10004,3389-4,'Visual SPC'!$B$3)="",0,IF(AND(OR('Visual SPC'!$C$4="",'Data Entry'!$C3389&gt;='Visual SPC'!$C$4),OR('Visual SPC'!$E$4="",'Data Entry'!$C3389&lt;='Visual SPC'!$E$4),OR('Visual SPC'!$G$4="",'Data Entry'!$D3389='Visual SPC'!$G$4),OR('Visual SPC'!$I$4="",'Data Entry'!$E3389='Visual SPC'!$I$4),OR('Visual SPC'!$K$4="",'Data Entry'!$F3389='Visual SPC'!$K$4)),1,0))</f>
        <v/>
      </c>
      <c r="C3389">
        <f>C3388+B3389</f>
        <v/>
      </c>
      <c r="D3389">
        <f>IF(B3389=1,INDEX('Data Entry'!$H$5:$BE$10004,3389-4,'Visual SPC'!$B$3),"")</f>
        <v/>
      </c>
      <c r="E3389">
        <f>IF(B3389=1,D3389,E3388)</f>
        <v/>
      </c>
      <c r="F3389">
        <f>IF(AND(B3389=1,C3389&gt;1,E3388&lt;&gt;""),ABS(D3389-E3388),"")</f>
        <v/>
      </c>
    </row>
    <row r="3390">
      <c r="A3390" t="n">
        <v>3390</v>
      </c>
      <c r="B3390">
        <f>IF(INDEX('Data Entry'!$H$5:$BE$10004,3390-4,'Visual SPC'!$B$3)="",0,IF(AND(OR('Visual SPC'!$C$4="",'Data Entry'!$C3390&gt;='Visual SPC'!$C$4),OR('Visual SPC'!$E$4="",'Data Entry'!$C3390&lt;='Visual SPC'!$E$4),OR('Visual SPC'!$G$4="",'Data Entry'!$D3390='Visual SPC'!$G$4),OR('Visual SPC'!$I$4="",'Data Entry'!$E3390='Visual SPC'!$I$4),OR('Visual SPC'!$K$4="",'Data Entry'!$F3390='Visual SPC'!$K$4)),1,0))</f>
        <v/>
      </c>
      <c r="C3390">
        <f>C3389+B3390</f>
        <v/>
      </c>
      <c r="D3390">
        <f>IF(B3390=1,INDEX('Data Entry'!$H$5:$BE$10004,3390-4,'Visual SPC'!$B$3),"")</f>
        <v/>
      </c>
      <c r="E3390">
        <f>IF(B3390=1,D3390,E3389)</f>
        <v/>
      </c>
      <c r="F3390">
        <f>IF(AND(B3390=1,C3390&gt;1,E3389&lt;&gt;""),ABS(D3390-E3389),"")</f>
        <v/>
      </c>
    </row>
    <row r="3391">
      <c r="A3391" t="n">
        <v>3391</v>
      </c>
      <c r="B3391">
        <f>IF(INDEX('Data Entry'!$H$5:$BE$10004,3391-4,'Visual SPC'!$B$3)="",0,IF(AND(OR('Visual SPC'!$C$4="",'Data Entry'!$C3391&gt;='Visual SPC'!$C$4),OR('Visual SPC'!$E$4="",'Data Entry'!$C3391&lt;='Visual SPC'!$E$4),OR('Visual SPC'!$G$4="",'Data Entry'!$D3391='Visual SPC'!$G$4),OR('Visual SPC'!$I$4="",'Data Entry'!$E3391='Visual SPC'!$I$4),OR('Visual SPC'!$K$4="",'Data Entry'!$F3391='Visual SPC'!$K$4)),1,0))</f>
        <v/>
      </c>
      <c r="C3391">
        <f>C3390+B3391</f>
        <v/>
      </c>
      <c r="D3391">
        <f>IF(B3391=1,INDEX('Data Entry'!$H$5:$BE$10004,3391-4,'Visual SPC'!$B$3),"")</f>
        <v/>
      </c>
      <c r="E3391">
        <f>IF(B3391=1,D3391,E3390)</f>
        <v/>
      </c>
      <c r="F3391">
        <f>IF(AND(B3391=1,C3391&gt;1,E3390&lt;&gt;""),ABS(D3391-E3390),"")</f>
        <v/>
      </c>
    </row>
    <row r="3392">
      <c r="A3392" t="n">
        <v>3392</v>
      </c>
      <c r="B3392">
        <f>IF(INDEX('Data Entry'!$H$5:$BE$10004,3392-4,'Visual SPC'!$B$3)="",0,IF(AND(OR('Visual SPC'!$C$4="",'Data Entry'!$C3392&gt;='Visual SPC'!$C$4),OR('Visual SPC'!$E$4="",'Data Entry'!$C3392&lt;='Visual SPC'!$E$4),OR('Visual SPC'!$G$4="",'Data Entry'!$D3392='Visual SPC'!$G$4),OR('Visual SPC'!$I$4="",'Data Entry'!$E3392='Visual SPC'!$I$4),OR('Visual SPC'!$K$4="",'Data Entry'!$F3392='Visual SPC'!$K$4)),1,0))</f>
        <v/>
      </c>
      <c r="C3392">
        <f>C3391+B3392</f>
        <v/>
      </c>
      <c r="D3392">
        <f>IF(B3392=1,INDEX('Data Entry'!$H$5:$BE$10004,3392-4,'Visual SPC'!$B$3),"")</f>
        <v/>
      </c>
      <c r="E3392">
        <f>IF(B3392=1,D3392,E3391)</f>
        <v/>
      </c>
      <c r="F3392">
        <f>IF(AND(B3392=1,C3392&gt;1,E3391&lt;&gt;""),ABS(D3392-E3391),"")</f>
        <v/>
      </c>
    </row>
    <row r="3393">
      <c r="A3393" t="n">
        <v>3393</v>
      </c>
      <c r="B3393">
        <f>IF(INDEX('Data Entry'!$H$5:$BE$10004,3393-4,'Visual SPC'!$B$3)="",0,IF(AND(OR('Visual SPC'!$C$4="",'Data Entry'!$C3393&gt;='Visual SPC'!$C$4),OR('Visual SPC'!$E$4="",'Data Entry'!$C3393&lt;='Visual SPC'!$E$4),OR('Visual SPC'!$G$4="",'Data Entry'!$D3393='Visual SPC'!$G$4),OR('Visual SPC'!$I$4="",'Data Entry'!$E3393='Visual SPC'!$I$4),OR('Visual SPC'!$K$4="",'Data Entry'!$F3393='Visual SPC'!$K$4)),1,0))</f>
        <v/>
      </c>
      <c r="C3393">
        <f>C3392+B3393</f>
        <v/>
      </c>
      <c r="D3393">
        <f>IF(B3393=1,INDEX('Data Entry'!$H$5:$BE$10004,3393-4,'Visual SPC'!$B$3),"")</f>
        <v/>
      </c>
      <c r="E3393">
        <f>IF(B3393=1,D3393,E3392)</f>
        <v/>
      </c>
      <c r="F3393">
        <f>IF(AND(B3393=1,C3393&gt;1,E3392&lt;&gt;""),ABS(D3393-E3392),"")</f>
        <v/>
      </c>
    </row>
    <row r="3394">
      <c r="A3394" t="n">
        <v>3394</v>
      </c>
      <c r="B3394">
        <f>IF(INDEX('Data Entry'!$H$5:$BE$10004,3394-4,'Visual SPC'!$B$3)="",0,IF(AND(OR('Visual SPC'!$C$4="",'Data Entry'!$C3394&gt;='Visual SPC'!$C$4),OR('Visual SPC'!$E$4="",'Data Entry'!$C3394&lt;='Visual SPC'!$E$4),OR('Visual SPC'!$G$4="",'Data Entry'!$D3394='Visual SPC'!$G$4),OR('Visual SPC'!$I$4="",'Data Entry'!$E3394='Visual SPC'!$I$4),OR('Visual SPC'!$K$4="",'Data Entry'!$F3394='Visual SPC'!$K$4)),1,0))</f>
        <v/>
      </c>
      <c r="C3394">
        <f>C3393+B3394</f>
        <v/>
      </c>
      <c r="D3394">
        <f>IF(B3394=1,INDEX('Data Entry'!$H$5:$BE$10004,3394-4,'Visual SPC'!$B$3),"")</f>
        <v/>
      </c>
      <c r="E3394">
        <f>IF(B3394=1,D3394,E3393)</f>
        <v/>
      </c>
      <c r="F3394">
        <f>IF(AND(B3394=1,C3394&gt;1,E3393&lt;&gt;""),ABS(D3394-E3393),"")</f>
        <v/>
      </c>
    </row>
    <row r="3395">
      <c r="A3395" t="n">
        <v>3395</v>
      </c>
      <c r="B3395">
        <f>IF(INDEX('Data Entry'!$H$5:$BE$10004,3395-4,'Visual SPC'!$B$3)="",0,IF(AND(OR('Visual SPC'!$C$4="",'Data Entry'!$C3395&gt;='Visual SPC'!$C$4),OR('Visual SPC'!$E$4="",'Data Entry'!$C3395&lt;='Visual SPC'!$E$4),OR('Visual SPC'!$G$4="",'Data Entry'!$D3395='Visual SPC'!$G$4),OR('Visual SPC'!$I$4="",'Data Entry'!$E3395='Visual SPC'!$I$4),OR('Visual SPC'!$K$4="",'Data Entry'!$F3395='Visual SPC'!$K$4)),1,0))</f>
        <v/>
      </c>
      <c r="C3395">
        <f>C3394+B3395</f>
        <v/>
      </c>
      <c r="D3395">
        <f>IF(B3395=1,INDEX('Data Entry'!$H$5:$BE$10004,3395-4,'Visual SPC'!$B$3),"")</f>
        <v/>
      </c>
      <c r="E3395">
        <f>IF(B3395=1,D3395,E3394)</f>
        <v/>
      </c>
      <c r="F3395">
        <f>IF(AND(B3395=1,C3395&gt;1,E3394&lt;&gt;""),ABS(D3395-E3394),"")</f>
        <v/>
      </c>
    </row>
    <row r="3396">
      <c r="A3396" t="n">
        <v>3396</v>
      </c>
      <c r="B3396">
        <f>IF(INDEX('Data Entry'!$H$5:$BE$10004,3396-4,'Visual SPC'!$B$3)="",0,IF(AND(OR('Visual SPC'!$C$4="",'Data Entry'!$C3396&gt;='Visual SPC'!$C$4),OR('Visual SPC'!$E$4="",'Data Entry'!$C3396&lt;='Visual SPC'!$E$4),OR('Visual SPC'!$G$4="",'Data Entry'!$D3396='Visual SPC'!$G$4),OR('Visual SPC'!$I$4="",'Data Entry'!$E3396='Visual SPC'!$I$4),OR('Visual SPC'!$K$4="",'Data Entry'!$F3396='Visual SPC'!$K$4)),1,0))</f>
        <v/>
      </c>
      <c r="C3396">
        <f>C3395+B3396</f>
        <v/>
      </c>
      <c r="D3396">
        <f>IF(B3396=1,INDEX('Data Entry'!$H$5:$BE$10004,3396-4,'Visual SPC'!$B$3),"")</f>
        <v/>
      </c>
      <c r="E3396">
        <f>IF(B3396=1,D3396,E3395)</f>
        <v/>
      </c>
      <c r="F3396">
        <f>IF(AND(B3396=1,C3396&gt;1,E3395&lt;&gt;""),ABS(D3396-E3395),"")</f>
        <v/>
      </c>
    </row>
    <row r="3397">
      <c r="A3397" t="n">
        <v>3397</v>
      </c>
      <c r="B3397">
        <f>IF(INDEX('Data Entry'!$H$5:$BE$10004,3397-4,'Visual SPC'!$B$3)="",0,IF(AND(OR('Visual SPC'!$C$4="",'Data Entry'!$C3397&gt;='Visual SPC'!$C$4),OR('Visual SPC'!$E$4="",'Data Entry'!$C3397&lt;='Visual SPC'!$E$4),OR('Visual SPC'!$G$4="",'Data Entry'!$D3397='Visual SPC'!$G$4),OR('Visual SPC'!$I$4="",'Data Entry'!$E3397='Visual SPC'!$I$4),OR('Visual SPC'!$K$4="",'Data Entry'!$F3397='Visual SPC'!$K$4)),1,0))</f>
        <v/>
      </c>
      <c r="C3397">
        <f>C3396+B3397</f>
        <v/>
      </c>
      <c r="D3397">
        <f>IF(B3397=1,INDEX('Data Entry'!$H$5:$BE$10004,3397-4,'Visual SPC'!$B$3),"")</f>
        <v/>
      </c>
      <c r="E3397">
        <f>IF(B3397=1,D3397,E3396)</f>
        <v/>
      </c>
      <c r="F3397">
        <f>IF(AND(B3397=1,C3397&gt;1,E3396&lt;&gt;""),ABS(D3397-E3396),"")</f>
        <v/>
      </c>
    </row>
    <row r="3398">
      <c r="A3398" t="n">
        <v>3398</v>
      </c>
      <c r="B3398">
        <f>IF(INDEX('Data Entry'!$H$5:$BE$10004,3398-4,'Visual SPC'!$B$3)="",0,IF(AND(OR('Visual SPC'!$C$4="",'Data Entry'!$C3398&gt;='Visual SPC'!$C$4),OR('Visual SPC'!$E$4="",'Data Entry'!$C3398&lt;='Visual SPC'!$E$4),OR('Visual SPC'!$G$4="",'Data Entry'!$D3398='Visual SPC'!$G$4),OR('Visual SPC'!$I$4="",'Data Entry'!$E3398='Visual SPC'!$I$4),OR('Visual SPC'!$K$4="",'Data Entry'!$F3398='Visual SPC'!$K$4)),1,0))</f>
        <v/>
      </c>
      <c r="C3398">
        <f>C3397+B3398</f>
        <v/>
      </c>
      <c r="D3398">
        <f>IF(B3398=1,INDEX('Data Entry'!$H$5:$BE$10004,3398-4,'Visual SPC'!$B$3),"")</f>
        <v/>
      </c>
      <c r="E3398">
        <f>IF(B3398=1,D3398,E3397)</f>
        <v/>
      </c>
      <c r="F3398">
        <f>IF(AND(B3398=1,C3398&gt;1,E3397&lt;&gt;""),ABS(D3398-E3397),"")</f>
        <v/>
      </c>
    </row>
    <row r="3399">
      <c r="A3399" t="n">
        <v>3399</v>
      </c>
      <c r="B3399">
        <f>IF(INDEX('Data Entry'!$H$5:$BE$10004,3399-4,'Visual SPC'!$B$3)="",0,IF(AND(OR('Visual SPC'!$C$4="",'Data Entry'!$C3399&gt;='Visual SPC'!$C$4),OR('Visual SPC'!$E$4="",'Data Entry'!$C3399&lt;='Visual SPC'!$E$4),OR('Visual SPC'!$G$4="",'Data Entry'!$D3399='Visual SPC'!$G$4),OR('Visual SPC'!$I$4="",'Data Entry'!$E3399='Visual SPC'!$I$4),OR('Visual SPC'!$K$4="",'Data Entry'!$F3399='Visual SPC'!$K$4)),1,0))</f>
        <v/>
      </c>
      <c r="C3399">
        <f>C3398+B3399</f>
        <v/>
      </c>
      <c r="D3399">
        <f>IF(B3399=1,INDEX('Data Entry'!$H$5:$BE$10004,3399-4,'Visual SPC'!$B$3),"")</f>
        <v/>
      </c>
      <c r="E3399">
        <f>IF(B3399=1,D3399,E3398)</f>
        <v/>
      </c>
      <c r="F3399">
        <f>IF(AND(B3399=1,C3399&gt;1,E3398&lt;&gt;""),ABS(D3399-E3398),"")</f>
        <v/>
      </c>
    </row>
    <row r="3400">
      <c r="A3400" t="n">
        <v>3400</v>
      </c>
      <c r="B3400">
        <f>IF(INDEX('Data Entry'!$H$5:$BE$10004,3400-4,'Visual SPC'!$B$3)="",0,IF(AND(OR('Visual SPC'!$C$4="",'Data Entry'!$C3400&gt;='Visual SPC'!$C$4),OR('Visual SPC'!$E$4="",'Data Entry'!$C3400&lt;='Visual SPC'!$E$4),OR('Visual SPC'!$G$4="",'Data Entry'!$D3400='Visual SPC'!$G$4),OR('Visual SPC'!$I$4="",'Data Entry'!$E3400='Visual SPC'!$I$4),OR('Visual SPC'!$K$4="",'Data Entry'!$F3400='Visual SPC'!$K$4)),1,0))</f>
        <v/>
      </c>
      <c r="C3400">
        <f>C3399+B3400</f>
        <v/>
      </c>
      <c r="D3400">
        <f>IF(B3400=1,INDEX('Data Entry'!$H$5:$BE$10004,3400-4,'Visual SPC'!$B$3),"")</f>
        <v/>
      </c>
      <c r="E3400">
        <f>IF(B3400=1,D3400,E3399)</f>
        <v/>
      </c>
      <c r="F3400">
        <f>IF(AND(B3400=1,C3400&gt;1,E3399&lt;&gt;""),ABS(D3400-E3399),"")</f>
        <v/>
      </c>
    </row>
    <row r="3401">
      <c r="A3401" t="n">
        <v>3401</v>
      </c>
      <c r="B3401">
        <f>IF(INDEX('Data Entry'!$H$5:$BE$10004,3401-4,'Visual SPC'!$B$3)="",0,IF(AND(OR('Visual SPC'!$C$4="",'Data Entry'!$C3401&gt;='Visual SPC'!$C$4),OR('Visual SPC'!$E$4="",'Data Entry'!$C3401&lt;='Visual SPC'!$E$4),OR('Visual SPC'!$G$4="",'Data Entry'!$D3401='Visual SPC'!$G$4),OR('Visual SPC'!$I$4="",'Data Entry'!$E3401='Visual SPC'!$I$4),OR('Visual SPC'!$K$4="",'Data Entry'!$F3401='Visual SPC'!$K$4)),1,0))</f>
        <v/>
      </c>
      <c r="C3401">
        <f>C3400+B3401</f>
        <v/>
      </c>
      <c r="D3401">
        <f>IF(B3401=1,INDEX('Data Entry'!$H$5:$BE$10004,3401-4,'Visual SPC'!$B$3),"")</f>
        <v/>
      </c>
      <c r="E3401">
        <f>IF(B3401=1,D3401,E3400)</f>
        <v/>
      </c>
      <c r="F3401">
        <f>IF(AND(B3401=1,C3401&gt;1,E3400&lt;&gt;""),ABS(D3401-E3400),"")</f>
        <v/>
      </c>
    </row>
    <row r="3402">
      <c r="A3402" t="n">
        <v>3402</v>
      </c>
      <c r="B3402">
        <f>IF(INDEX('Data Entry'!$H$5:$BE$10004,3402-4,'Visual SPC'!$B$3)="",0,IF(AND(OR('Visual SPC'!$C$4="",'Data Entry'!$C3402&gt;='Visual SPC'!$C$4),OR('Visual SPC'!$E$4="",'Data Entry'!$C3402&lt;='Visual SPC'!$E$4),OR('Visual SPC'!$G$4="",'Data Entry'!$D3402='Visual SPC'!$G$4),OR('Visual SPC'!$I$4="",'Data Entry'!$E3402='Visual SPC'!$I$4),OR('Visual SPC'!$K$4="",'Data Entry'!$F3402='Visual SPC'!$K$4)),1,0))</f>
        <v/>
      </c>
      <c r="C3402">
        <f>C3401+B3402</f>
        <v/>
      </c>
      <c r="D3402">
        <f>IF(B3402=1,INDEX('Data Entry'!$H$5:$BE$10004,3402-4,'Visual SPC'!$B$3),"")</f>
        <v/>
      </c>
      <c r="E3402">
        <f>IF(B3402=1,D3402,E3401)</f>
        <v/>
      </c>
      <c r="F3402">
        <f>IF(AND(B3402=1,C3402&gt;1,E3401&lt;&gt;""),ABS(D3402-E3401),"")</f>
        <v/>
      </c>
    </row>
    <row r="3403">
      <c r="A3403" t="n">
        <v>3403</v>
      </c>
      <c r="B3403">
        <f>IF(INDEX('Data Entry'!$H$5:$BE$10004,3403-4,'Visual SPC'!$B$3)="",0,IF(AND(OR('Visual SPC'!$C$4="",'Data Entry'!$C3403&gt;='Visual SPC'!$C$4),OR('Visual SPC'!$E$4="",'Data Entry'!$C3403&lt;='Visual SPC'!$E$4),OR('Visual SPC'!$G$4="",'Data Entry'!$D3403='Visual SPC'!$G$4),OR('Visual SPC'!$I$4="",'Data Entry'!$E3403='Visual SPC'!$I$4),OR('Visual SPC'!$K$4="",'Data Entry'!$F3403='Visual SPC'!$K$4)),1,0))</f>
        <v/>
      </c>
      <c r="C3403">
        <f>C3402+B3403</f>
        <v/>
      </c>
      <c r="D3403">
        <f>IF(B3403=1,INDEX('Data Entry'!$H$5:$BE$10004,3403-4,'Visual SPC'!$B$3),"")</f>
        <v/>
      </c>
      <c r="E3403">
        <f>IF(B3403=1,D3403,E3402)</f>
        <v/>
      </c>
      <c r="F3403">
        <f>IF(AND(B3403=1,C3403&gt;1,E3402&lt;&gt;""),ABS(D3403-E3402),"")</f>
        <v/>
      </c>
    </row>
    <row r="3404">
      <c r="A3404" t="n">
        <v>3404</v>
      </c>
      <c r="B3404">
        <f>IF(INDEX('Data Entry'!$H$5:$BE$10004,3404-4,'Visual SPC'!$B$3)="",0,IF(AND(OR('Visual SPC'!$C$4="",'Data Entry'!$C3404&gt;='Visual SPC'!$C$4),OR('Visual SPC'!$E$4="",'Data Entry'!$C3404&lt;='Visual SPC'!$E$4),OR('Visual SPC'!$G$4="",'Data Entry'!$D3404='Visual SPC'!$G$4),OR('Visual SPC'!$I$4="",'Data Entry'!$E3404='Visual SPC'!$I$4),OR('Visual SPC'!$K$4="",'Data Entry'!$F3404='Visual SPC'!$K$4)),1,0))</f>
        <v/>
      </c>
      <c r="C3404">
        <f>C3403+B3404</f>
        <v/>
      </c>
      <c r="D3404">
        <f>IF(B3404=1,INDEX('Data Entry'!$H$5:$BE$10004,3404-4,'Visual SPC'!$B$3),"")</f>
        <v/>
      </c>
      <c r="E3404">
        <f>IF(B3404=1,D3404,E3403)</f>
        <v/>
      </c>
      <c r="F3404">
        <f>IF(AND(B3404=1,C3404&gt;1,E3403&lt;&gt;""),ABS(D3404-E3403),"")</f>
        <v/>
      </c>
    </row>
    <row r="3405">
      <c r="A3405" t="n">
        <v>3405</v>
      </c>
      <c r="B3405">
        <f>IF(INDEX('Data Entry'!$H$5:$BE$10004,3405-4,'Visual SPC'!$B$3)="",0,IF(AND(OR('Visual SPC'!$C$4="",'Data Entry'!$C3405&gt;='Visual SPC'!$C$4),OR('Visual SPC'!$E$4="",'Data Entry'!$C3405&lt;='Visual SPC'!$E$4),OR('Visual SPC'!$G$4="",'Data Entry'!$D3405='Visual SPC'!$G$4),OR('Visual SPC'!$I$4="",'Data Entry'!$E3405='Visual SPC'!$I$4),OR('Visual SPC'!$K$4="",'Data Entry'!$F3405='Visual SPC'!$K$4)),1,0))</f>
        <v/>
      </c>
      <c r="C3405">
        <f>C3404+B3405</f>
        <v/>
      </c>
      <c r="D3405">
        <f>IF(B3405=1,INDEX('Data Entry'!$H$5:$BE$10004,3405-4,'Visual SPC'!$B$3),"")</f>
        <v/>
      </c>
      <c r="E3405">
        <f>IF(B3405=1,D3405,E3404)</f>
        <v/>
      </c>
      <c r="F3405">
        <f>IF(AND(B3405=1,C3405&gt;1,E3404&lt;&gt;""),ABS(D3405-E3404),"")</f>
        <v/>
      </c>
    </row>
    <row r="3406">
      <c r="A3406" t="n">
        <v>3406</v>
      </c>
      <c r="B3406">
        <f>IF(INDEX('Data Entry'!$H$5:$BE$10004,3406-4,'Visual SPC'!$B$3)="",0,IF(AND(OR('Visual SPC'!$C$4="",'Data Entry'!$C3406&gt;='Visual SPC'!$C$4),OR('Visual SPC'!$E$4="",'Data Entry'!$C3406&lt;='Visual SPC'!$E$4),OR('Visual SPC'!$G$4="",'Data Entry'!$D3406='Visual SPC'!$G$4),OR('Visual SPC'!$I$4="",'Data Entry'!$E3406='Visual SPC'!$I$4),OR('Visual SPC'!$K$4="",'Data Entry'!$F3406='Visual SPC'!$K$4)),1,0))</f>
        <v/>
      </c>
      <c r="C3406">
        <f>C3405+B3406</f>
        <v/>
      </c>
      <c r="D3406">
        <f>IF(B3406=1,INDEX('Data Entry'!$H$5:$BE$10004,3406-4,'Visual SPC'!$B$3),"")</f>
        <v/>
      </c>
      <c r="E3406">
        <f>IF(B3406=1,D3406,E3405)</f>
        <v/>
      </c>
      <c r="F3406">
        <f>IF(AND(B3406=1,C3406&gt;1,E3405&lt;&gt;""),ABS(D3406-E3405),"")</f>
        <v/>
      </c>
    </row>
    <row r="3407">
      <c r="A3407" t="n">
        <v>3407</v>
      </c>
      <c r="B3407">
        <f>IF(INDEX('Data Entry'!$H$5:$BE$10004,3407-4,'Visual SPC'!$B$3)="",0,IF(AND(OR('Visual SPC'!$C$4="",'Data Entry'!$C3407&gt;='Visual SPC'!$C$4),OR('Visual SPC'!$E$4="",'Data Entry'!$C3407&lt;='Visual SPC'!$E$4),OR('Visual SPC'!$G$4="",'Data Entry'!$D3407='Visual SPC'!$G$4),OR('Visual SPC'!$I$4="",'Data Entry'!$E3407='Visual SPC'!$I$4),OR('Visual SPC'!$K$4="",'Data Entry'!$F3407='Visual SPC'!$K$4)),1,0))</f>
        <v/>
      </c>
      <c r="C3407">
        <f>C3406+B3407</f>
        <v/>
      </c>
      <c r="D3407">
        <f>IF(B3407=1,INDEX('Data Entry'!$H$5:$BE$10004,3407-4,'Visual SPC'!$B$3),"")</f>
        <v/>
      </c>
      <c r="E3407">
        <f>IF(B3407=1,D3407,E3406)</f>
        <v/>
      </c>
      <c r="F3407">
        <f>IF(AND(B3407=1,C3407&gt;1,E3406&lt;&gt;""),ABS(D3407-E3406),"")</f>
        <v/>
      </c>
    </row>
    <row r="3408">
      <c r="A3408" t="n">
        <v>3408</v>
      </c>
      <c r="B3408">
        <f>IF(INDEX('Data Entry'!$H$5:$BE$10004,3408-4,'Visual SPC'!$B$3)="",0,IF(AND(OR('Visual SPC'!$C$4="",'Data Entry'!$C3408&gt;='Visual SPC'!$C$4),OR('Visual SPC'!$E$4="",'Data Entry'!$C3408&lt;='Visual SPC'!$E$4),OR('Visual SPC'!$G$4="",'Data Entry'!$D3408='Visual SPC'!$G$4),OR('Visual SPC'!$I$4="",'Data Entry'!$E3408='Visual SPC'!$I$4),OR('Visual SPC'!$K$4="",'Data Entry'!$F3408='Visual SPC'!$K$4)),1,0))</f>
        <v/>
      </c>
      <c r="C3408">
        <f>C3407+B3408</f>
        <v/>
      </c>
      <c r="D3408">
        <f>IF(B3408=1,INDEX('Data Entry'!$H$5:$BE$10004,3408-4,'Visual SPC'!$B$3),"")</f>
        <v/>
      </c>
      <c r="E3408">
        <f>IF(B3408=1,D3408,E3407)</f>
        <v/>
      </c>
      <c r="F3408">
        <f>IF(AND(B3408=1,C3408&gt;1,E3407&lt;&gt;""),ABS(D3408-E3407),"")</f>
        <v/>
      </c>
    </row>
    <row r="3409">
      <c r="A3409" t="n">
        <v>3409</v>
      </c>
      <c r="B3409">
        <f>IF(INDEX('Data Entry'!$H$5:$BE$10004,3409-4,'Visual SPC'!$B$3)="",0,IF(AND(OR('Visual SPC'!$C$4="",'Data Entry'!$C3409&gt;='Visual SPC'!$C$4),OR('Visual SPC'!$E$4="",'Data Entry'!$C3409&lt;='Visual SPC'!$E$4),OR('Visual SPC'!$G$4="",'Data Entry'!$D3409='Visual SPC'!$G$4),OR('Visual SPC'!$I$4="",'Data Entry'!$E3409='Visual SPC'!$I$4),OR('Visual SPC'!$K$4="",'Data Entry'!$F3409='Visual SPC'!$K$4)),1,0))</f>
        <v/>
      </c>
      <c r="C3409">
        <f>C3408+B3409</f>
        <v/>
      </c>
      <c r="D3409">
        <f>IF(B3409=1,INDEX('Data Entry'!$H$5:$BE$10004,3409-4,'Visual SPC'!$B$3),"")</f>
        <v/>
      </c>
      <c r="E3409">
        <f>IF(B3409=1,D3409,E3408)</f>
        <v/>
      </c>
      <c r="F3409">
        <f>IF(AND(B3409=1,C3409&gt;1,E3408&lt;&gt;""),ABS(D3409-E3408),"")</f>
        <v/>
      </c>
    </row>
    <row r="3410">
      <c r="A3410" t="n">
        <v>3410</v>
      </c>
      <c r="B3410">
        <f>IF(INDEX('Data Entry'!$H$5:$BE$10004,3410-4,'Visual SPC'!$B$3)="",0,IF(AND(OR('Visual SPC'!$C$4="",'Data Entry'!$C3410&gt;='Visual SPC'!$C$4),OR('Visual SPC'!$E$4="",'Data Entry'!$C3410&lt;='Visual SPC'!$E$4),OR('Visual SPC'!$G$4="",'Data Entry'!$D3410='Visual SPC'!$G$4),OR('Visual SPC'!$I$4="",'Data Entry'!$E3410='Visual SPC'!$I$4),OR('Visual SPC'!$K$4="",'Data Entry'!$F3410='Visual SPC'!$K$4)),1,0))</f>
        <v/>
      </c>
      <c r="C3410">
        <f>C3409+B3410</f>
        <v/>
      </c>
      <c r="D3410">
        <f>IF(B3410=1,INDEX('Data Entry'!$H$5:$BE$10004,3410-4,'Visual SPC'!$B$3),"")</f>
        <v/>
      </c>
      <c r="E3410">
        <f>IF(B3410=1,D3410,E3409)</f>
        <v/>
      </c>
      <c r="F3410">
        <f>IF(AND(B3410=1,C3410&gt;1,E3409&lt;&gt;""),ABS(D3410-E3409),"")</f>
        <v/>
      </c>
    </row>
    <row r="3411">
      <c r="A3411" t="n">
        <v>3411</v>
      </c>
      <c r="B3411">
        <f>IF(INDEX('Data Entry'!$H$5:$BE$10004,3411-4,'Visual SPC'!$B$3)="",0,IF(AND(OR('Visual SPC'!$C$4="",'Data Entry'!$C3411&gt;='Visual SPC'!$C$4),OR('Visual SPC'!$E$4="",'Data Entry'!$C3411&lt;='Visual SPC'!$E$4),OR('Visual SPC'!$G$4="",'Data Entry'!$D3411='Visual SPC'!$G$4),OR('Visual SPC'!$I$4="",'Data Entry'!$E3411='Visual SPC'!$I$4),OR('Visual SPC'!$K$4="",'Data Entry'!$F3411='Visual SPC'!$K$4)),1,0))</f>
        <v/>
      </c>
      <c r="C3411">
        <f>C3410+B3411</f>
        <v/>
      </c>
      <c r="D3411">
        <f>IF(B3411=1,INDEX('Data Entry'!$H$5:$BE$10004,3411-4,'Visual SPC'!$B$3),"")</f>
        <v/>
      </c>
      <c r="E3411">
        <f>IF(B3411=1,D3411,E3410)</f>
        <v/>
      </c>
      <c r="F3411">
        <f>IF(AND(B3411=1,C3411&gt;1,E3410&lt;&gt;""),ABS(D3411-E3410),"")</f>
        <v/>
      </c>
    </row>
    <row r="3412">
      <c r="A3412" t="n">
        <v>3412</v>
      </c>
      <c r="B3412">
        <f>IF(INDEX('Data Entry'!$H$5:$BE$10004,3412-4,'Visual SPC'!$B$3)="",0,IF(AND(OR('Visual SPC'!$C$4="",'Data Entry'!$C3412&gt;='Visual SPC'!$C$4),OR('Visual SPC'!$E$4="",'Data Entry'!$C3412&lt;='Visual SPC'!$E$4),OR('Visual SPC'!$G$4="",'Data Entry'!$D3412='Visual SPC'!$G$4),OR('Visual SPC'!$I$4="",'Data Entry'!$E3412='Visual SPC'!$I$4),OR('Visual SPC'!$K$4="",'Data Entry'!$F3412='Visual SPC'!$K$4)),1,0))</f>
        <v/>
      </c>
      <c r="C3412">
        <f>C3411+B3412</f>
        <v/>
      </c>
      <c r="D3412">
        <f>IF(B3412=1,INDEX('Data Entry'!$H$5:$BE$10004,3412-4,'Visual SPC'!$B$3),"")</f>
        <v/>
      </c>
      <c r="E3412">
        <f>IF(B3412=1,D3412,E3411)</f>
        <v/>
      </c>
      <c r="F3412">
        <f>IF(AND(B3412=1,C3412&gt;1,E3411&lt;&gt;""),ABS(D3412-E3411),"")</f>
        <v/>
      </c>
    </row>
    <row r="3413">
      <c r="A3413" t="n">
        <v>3413</v>
      </c>
      <c r="B3413">
        <f>IF(INDEX('Data Entry'!$H$5:$BE$10004,3413-4,'Visual SPC'!$B$3)="",0,IF(AND(OR('Visual SPC'!$C$4="",'Data Entry'!$C3413&gt;='Visual SPC'!$C$4),OR('Visual SPC'!$E$4="",'Data Entry'!$C3413&lt;='Visual SPC'!$E$4),OR('Visual SPC'!$G$4="",'Data Entry'!$D3413='Visual SPC'!$G$4),OR('Visual SPC'!$I$4="",'Data Entry'!$E3413='Visual SPC'!$I$4),OR('Visual SPC'!$K$4="",'Data Entry'!$F3413='Visual SPC'!$K$4)),1,0))</f>
        <v/>
      </c>
      <c r="C3413">
        <f>C3412+B3413</f>
        <v/>
      </c>
      <c r="D3413">
        <f>IF(B3413=1,INDEX('Data Entry'!$H$5:$BE$10004,3413-4,'Visual SPC'!$B$3),"")</f>
        <v/>
      </c>
      <c r="E3413">
        <f>IF(B3413=1,D3413,E3412)</f>
        <v/>
      </c>
      <c r="F3413">
        <f>IF(AND(B3413=1,C3413&gt;1,E3412&lt;&gt;""),ABS(D3413-E3412),"")</f>
        <v/>
      </c>
    </row>
    <row r="3414">
      <c r="A3414" t="n">
        <v>3414</v>
      </c>
      <c r="B3414">
        <f>IF(INDEX('Data Entry'!$H$5:$BE$10004,3414-4,'Visual SPC'!$B$3)="",0,IF(AND(OR('Visual SPC'!$C$4="",'Data Entry'!$C3414&gt;='Visual SPC'!$C$4),OR('Visual SPC'!$E$4="",'Data Entry'!$C3414&lt;='Visual SPC'!$E$4),OR('Visual SPC'!$G$4="",'Data Entry'!$D3414='Visual SPC'!$G$4),OR('Visual SPC'!$I$4="",'Data Entry'!$E3414='Visual SPC'!$I$4),OR('Visual SPC'!$K$4="",'Data Entry'!$F3414='Visual SPC'!$K$4)),1,0))</f>
        <v/>
      </c>
      <c r="C3414">
        <f>C3413+B3414</f>
        <v/>
      </c>
      <c r="D3414">
        <f>IF(B3414=1,INDEX('Data Entry'!$H$5:$BE$10004,3414-4,'Visual SPC'!$B$3),"")</f>
        <v/>
      </c>
      <c r="E3414">
        <f>IF(B3414=1,D3414,E3413)</f>
        <v/>
      </c>
      <c r="F3414">
        <f>IF(AND(B3414=1,C3414&gt;1,E3413&lt;&gt;""),ABS(D3414-E3413),"")</f>
        <v/>
      </c>
    </row>
    <row r="3415">
      <c r="A3415" t="n">
        <v>3415</v>
      </c>
      <c r="B3415">
        <f>IF(INDEX('Data Entry'!$H$5:$BE$10004,3415-4,'Visual SPC'!$B$3)="",0,IF(AND(OR('Visual SPC'!$C$4="",'Data Entry'!$C3415&gt;='Visual SPC'!$C$4),OR('Visual SPC'!$E$4="",'Data Entry'!$C3415&lt;='Visual SPC'!$E$4),OR('Visual SPC'!$G$4="",'Data Entry'!$D3415='Visual SPC'!$G$4),OR('Visual SPC'!$I$4="",'Data Entry'!$E3415='Visual SPC'!$I$4),OR('Visual SPC'!$K$4="",'Data Entry'!$F3415='Visual SPC'!$K$4)),1,0))</f>
        <v/>
      </c>
      <c r="C3415">
        <f>C3414+B3415</f>
        <v/>
      </c>
      <c r="D3415">
        <f>IF(B3415=1,INDEX('Data Entry'!$H$5:$BE$10004,3415-4,'Visual SPC'!$B$3),"")</f>
        <v/>
      </c>
      <c r="E3415">
        <f>IF(B3415=1,D3415,E3414)</f>
        <v/>
      </c>
      <c r="F3415">
        <f>IF(AND(B3415=1,C3415&gt;1,E3414&lt;&gt;""),ABS(D3415-E3414),"")</f>
        <v/>
      </c>
    </row>
    <row r="3416">
      <c r="A3416" t="n">
        <v>3416</v>
      </c>
      <c r="B3416">
        <f>IF(INDEX('Data Entry'!$H$5:$BE$10004,3416-4,'Visual SPC'!$B$3)="",0,IF(AND(OR('Visual SPC'!$C$4="",'Data Entry'!$C3416&gt;='Visual SPC'!$C$4),OR('Visual SPC'!$E$4="",'Data Entry'!$C3416&lt;='Visual SPC'!$E$4),OR('Visual SPC'!$G$4="",'Data Entry'!$D3416='Visual SPC'!$G$4),OR('Visual SPC'!$I$4="",'Data Entry'!$E3416='Visual SPC'!$I$4),OR('Visual SPC'!$K$4="",'Data Entry'!$F3416='Visual SPC'!$K$4)),1,0))</f>
        <v/>
      </c>
      <c r="C3416">
        <f>C3415+B3416</f>
        <v/>
      </c>
      <c r="D3416">
        <f>IF(B3416=1,INDEX('Data Entry'!$H$5:$BE$10004,3416-4,'Visual SPC'!$B$3),"")</f>
        <v/>
      </c>
      <c r="E3416">
        <f>IF(B3416=1,D3416,E3415)</f>
        <v/>
      </c>
      <c r="F3416">
        <f>IF(AND(B3416=1,C3416&gt;1,E3415&lt;&gt;""),ABS(D3416-E3415),"")</f>
        <v/>
      </c>
    </row>
    <row r="3417">
      <c r="A3417" t="n">
        <v>3417</v>
      </c>
      <c r="B3417">
        <f>IF(INDEX('Data Entry'!$H$5:$BE$10004,3417-4,'Visual SPC'!$B$3)="",0,IF(AND(OR('Visual SPC'!$C$4="",'Data Entry'!$C3417&gt;='Visual SPC'!$C$4),OR('Visual SPC'!$E$4="",'Data Entry'!$C3417&lt;='Visual SPC'!$E$4),OR('Visual SPC'!$G$4="",'Data Entry'!$D3417='Visual SPC'!$G$4),OR('Visual SPC'!$I$4="",'Data Entry'!$E3417='Visual SPC'!$I$4),OR('Visual SPC'!$K$4="",'Data Entry'!$F3417='Visual SPC'!$K$4)),1,0))</f>
        <v/>
      </c>
      <c r="C3417">
        <f>C3416+B3417</f>
        <v/>
      </c>
      <c r="D3417">
        <f>IF(B3417=1,INDEX('Data Entry'!$H$5:$BE$10004,3417-4,'Visual SPC'!$B$3),"")</f>
        <v/>
      </c>
      <c r="E3417">
        <f>IF(B3417=1,D3417,E3416)</f>
        <v/>
      </c>
      <c r="F3417">
        <f>IF(AND(B3417=1,C3417&gt;1,E3416&lt;&gt;""),ABS(D3417-E3416),"")</f>
        <v/>
      </c>
    </row>
    <row r="3418">
      <c r="A3418" t="n">
        <v>3418</v>
      </c>
      <c r="B3418">
        <f>IF(INDEX('Data Entry'!$H$5:$BE$10004,3418-4,'Visual SPC'!$B$3)="",0,IF(AND(OR('Visual SPC'!$C$4="",'Data Entry'!$C3418&gt;='Visual SPC'!$C$4),OR('Visual SPC'!$E$4="",'Data Entry'!$C3418&lt;='Visual SPC'!$E$4),OR('Visual SPC'!$G$4="",'Data Entry'!$D3418='Visual SPC'!$G$4),OR('Visual SPC'!$I$4="",'Data Entry'!$E3418='Visual SPC'!$I$4),OR('Visual SPC'!$K$4="",'Data Entry'!$F3418='Visual SPC'!$K$4)),1,0))</f>
        <v/>
      </c>
      <c r="C3418">
        <f>C3417+B3418</f>
        <v/>
      </c>
      <c r="D3418">
        <f>IF(B3418=1,INDEX('Data Entry'!$H$5:$BE$10004,3418-4,'Visual SPC'!$B$3),"")</f>
        <v/>
      </c>
      <c r="E3418">
        <f>IF(B3418=1,D3418,E3417)</f>
        <v/>
      </c>
      <c r="F3418">
        <f>IF(AND(B3418=1,C3418&gt;1,E3417&lt;&gt;""),ABS(D3418-E3417),"")</f>
        <v/>
      </c>
    </row>
    <row r="3419">
      <c r="A3419" t="n">
        <v>3419</v>
      </c>
      <c r="B3419">
        <f>IF(INDEX('Data Entry'!$H$5:$BE$10004,3419-4,'Visual SPC'!$B$3)="",0,IF(AND(OR('Visual SPC'!$C$4="",'Data Entry'!$C3419&gt;='Visual SPC'!$C$4),OR('Visual SPC'!$E$4="",'Data Entry'!$C3419&lt;='Visual SPC'!$E$4),OR('Visual SPC'!$G$4="",'Data Entry'!$D3419='Visual SPC'!$G$4),OR('Visual SPC'!$I$4="",'Data Entry'!$E3419='Visual SPC'!$I$4),OR('Visual SPC'!$K$4="",'Data Entry'!$F3419='Visual SPC'!$K$4)),1,0))</f>
        <v/>
      </c>
      <c r="C3419">
        <f>C3418+B3419</f>
        <v/>
      </c>
      <c r="D3419">
        <f>IF(B3419=1,INDEX('Data Entry'!$H$5:$BE$10004,3419-4,'Visual SPC'!$B$3),"")</f>
        <v/>
      </c>
      <c r="E3419">
        <f>IF(B3419=1,D3419,E3418)</f>
        <v/>
      </c>
      <c r="F3419">
        <f>IF(AND(B3419=1,C3419&gt;1,E3418&lt;&gt;""),ABS(D3419-E3418),"")</f>
        <v/>
      </c>
    </row>
    <row r="3420">
      <c r="A3420" t="n">
        <v>3420</v>
      </c>
      <c r="B3420">
        <f>IF(INDEX('Data Entry'!$H$5:$BE$10004,3420-4,'Visual SPC'!$B$3)="",0,IF(AND(OR('Visual SPC'!$C$4="",'Data Entry'!$C3420&gt;='Visual SPC'!$C$4),OR('Visual SPC'!$E$4="",'Data Entry'!$C3420&lt;='Visual SPC'!$E$4),OR('Visual SPC'!$G$4="",'Data Entry'!$D3420='Visual SPC'!$G$4),OR('Visual SPC'!$I$4="",'Data Entry'!$E3420='Visual SPC'!$I$4),OR('Visual SPC'!$K$4="",'Data Entry'!$F3420='Visual SPC'!$K$4)),1,0))</f>
        <v/>
      </c>
      <c r="C3420">
        <f>C3419+B3420</f>
        <v/>
      </c>
      <c r="D3420">
        <f>IF(B3420=1,INDEX('Data Entry'!$H$5:$BE$10004,3420-4,'Visual SPC'!$B$3),"")</f>
        <v/>
      </c>
      <c r="E3420">
        <f>IF(B3420=1,D3420,E3419)</f>
        <v/>
      </c>
      <c r="F3420">
        <f>IF(AND(B3420=1,C3420&gt;1,E3419&lt;&gt;""),ABS(D3420-E3419),"")</f>
        <v/>
      </c>
    </row>
    <row r="3421">
      <c r="A3421" t="n">
        <v>3421</v>
      </c>
      <c r="B3421">
        <f>IF(INDEX('Data Entry'!$H$5:$BE$10004,3421-4,'Visual SPC'!$B$3)="",0,IF(AND(OR('Visual SPC'!$C$4="",'Data Entry'!$C3421&gt;='Visual SPC'!$C$4),OR('Visual SPC'!$E$4="",'Data Entry'!$C3421&lt;='Visual SPC'!$E$4),OR('Visual SPC'!$G$4="",'Data Entry'!$D3421='Visual SPC'!$G$4),OR('Visual SPC'!$I$4="",'Data Entry'!$E3421='Visual SPC'!$I$4),OR('Visual SPC'!$K$4="",'Data Entry'!$F3421='Visual SPC'!$K$4)),1,0))</f>
        <v/>
      </c>
      <c r="C3421">
        <f>C3420+B3421</f>
        <v/>
      </c>
      <c r="D3421">
        <f>IF(B3421=1,INDEX('Data Entry'!$H$5:$BE$10004,3421-4,'Visual SPC'!$B$3),"")</f>
        <v/>
      </c>
      <c r="E3421">
        <f>IF(B3421=1,D3421,E3420)</f>
        <v/>
      </c>
      <c r="F3421">
        <f>IF(AND(B3421=1,C3421&gt;1,E3420&lt;&gt;""),ABS(D3421-E3420),"")</f>
        <v/>
      </c>
    </row>
    <row r="3422">
      <c r="A3422" t="n">
        <v>3422</v>
      </c>
      <c r="B3422">
        <f>IF(INDEX('Data Entry'!$H$5:$BE$10004,3422-4,'Visual SPC'!$B$3)="",0,IF(AND(OR('Visual SPC'!$C$4="",'Data Entry'!$C3422&gt;='Visual SPC'!$C$4),OR('Visual SPC'!$E$4="",'Data Entry'!$C3422&lt;='Visual SPC'!$E$4),OR('Visual SPC'!$G$4="",'Data Entry'!$D3422='Visual SPC'!$G$4),OR('Visual SPC'!$I$4="",'Data Entry'!$E3422='Visual SPC'!$I$4),OR('Visual SPC'!$K$4="",'Data Entry'!$F3422='Visual SPC'!$K$4)),1,0))</f>
        <v/>
      </c>
      <c r="C3422">
        <f>C3421+B3422</f>
        <v/>
      </c>
      <c r="D3422">
        <f>IF(B3422=1,INDEX('Data Entry'!$H$5:$BE$10004,3422-4,'Visual SPC'!$B$3),"")</f>
        <v/>
      </c>
      <c r="E3422">
        <f>IF(B3422=1,D3422,E3421)</f>
        <v/>
      </c>
      <c r="F3422">
        <f>IF(AND(B3422=1,C3422&gt;1,E3421&lt;&gt;""),ABS(D3422-E3421),"")</f>
        <v/>
      </c>
    </row>
    <row r="3423">
      <c r="A3423" t="n">
        <v>3423</v>
      </c>
      <c r="B3423">
        <f>IF(INDEX('Data Entry'!$H$5:$BE$10004,3423-4,'Visual SPC'!$B$3)="",0,IF(AND(OR('Visual SPC'!$C$4="",'Data Entry'!$C3423&gt;='Visual SPC'!$C$4),OR('Visual SPC'!$E$4="",'Data Entry'!$C3423&lt;='Visual SPC'!$E$4),OR('Visual SPC'!$G$4="",'Data Entry'!$D3423='Visual SPC'!$G$4),OR('Visual SPC'!$I$4="",'Data Entry'!$E3423='Visual SPC'!$I$4),OR('Visual SPC'!$K$4="",'Data Entry'!$F3423='Visual SPC'!$K$4)),1,0))</f>
        <v/>
      </c>
      <c r="C3423">
        <f>C3422+B3423</f>
        <v/>
      </c>
      <c r="D3423">
        <f>IF(B3423=1,INDEX('Data Entry'!$H$5:$BE$10004,3423-4,'Visual SPC'!$B$3),"")</f>
        <v/>
      </c>
      <c r="E3423">
        <f>IF(B3423=1,D3423,E3422)</f>
        <v/>
      </c>
      <c r="F3423">
        <f>IF(AND(B3423=1,C3423&gt;1,E3422&lt;&gt;""),ABS(D3423-E3422),"")</f>
        <v/>
      </c>
    </row>
    <row r="3424">
      <c r="A3424" t="n">
        <v>3424</v>
      </c>
      <c r="B3424">
        <f>IF(INDEX('Data Entry'!$H$5:$BE$10004,3424-4,'Visual SPC'!$B$3)="",0,IF(AND(OR('Visual SPC'!$C$4="",'Data Entry'!$C3424&gt;='Visual SPC'!$C$4),OR('Visual SPC'!$E$4="",'Data Entry'!$C3424&lt;='Visual SPC'!$E$4),OR('Visual SPC'!$G$4="",'Data Entry'!$D3424='Visual SPC'!$G$4),OR('Visual SPC'!$I$4="",'Data Entry'!$E3424='Visual SPC'!$I$4),OR('Visual SPC'!$K$4="",'Data Entry'!$F3424='Visual SPC'!$K$4)),1,0))</f>
        <v/>
      </c>
      <c r="C3424">
        <f>C3423+B3424</f>
        <v/>
      </c>
      <c r="D3424">
        <f>IF(B3424=1,INDEX('Data Entry'!$H$5:$BE$10004,3424-4,'Visual SPC'!$B$3),"")</f>
        <v/>
      </c>
      <c r="E3424">
        <f>IF(B3424=1,D3424,E3423)</f>
        <v/>
      </c>
      <c r="F3424">
        <f>IF(AND(B3424=1,C3424&gt;1,E3423&lt;&gt;""),ABS(D3424-E3423),"")</f>
        <v/>
      </c>
    </row>
    <row r="3425">
      <c r="A3425" t="n">
        <v>3425</v>
      </c>
      <c r="B3425">
        <f>IF(INDEX('Data Entry'!$H$5:$BE$10004,3425-4,'Visual SPC'!$B$3)="",0,IF(AND(OR('Visual SPC'!$C$4="",'Data Entry'!$C3425&gt;='Visual SPC'!$C$4),OR('Visual SPC'!$E$4="",'Data Entry'!$C3425&lt;='Visual SPC'!$E$4),OR('Visual SPC'!$G$4="",'Data Entry'!$D3425='Visual SPC'!$G$4),OR('Visual SPC'!$I$4="",'Data Entry'!$E3425='Visual SPC'!$I$4),OR('Visual SPC'!$K$4="",'Data Entry'!$F3425='Visual SPC'!$K$4)),1,0))</f>
        <v/>
      </c>
      <c r="C3425">
        <f>C3424+B3425</f>
        <v/>
      </c>
      <c r="D3425">
        <f>IF(B3425=1,INDEX('Data Entry'!$H$5:$BE$10004,3425-4,'Visual SPC'!$B$3),"")</f>
        <v/>
      </c>
      <c r="E3425">
        <f>IF(B3425=1,D3425,E3424)</f>
        <v/>
      </c>
      <c r="F3425">
        <f>IF(AND(B3425=1,C3425&gt;1,E3424&lt;&gt;""),ABS(D3425-E3424),"")</f>
        <v/>
      </c>
    </row>
    <row r="3426">
      <c r="A3426" t="n">
        <v>3426</v>
      </c>
      <c r="B3426">
        <f>IF(INDEX('Data Entry'!$H$5:$BE$10004,3426-4,'Visual SPC'!$B$3)="",0,IF(AND(OR('Visual SPC'!$C$4="",'Data Entry'!$C3426&gt;='Visual SPC'!$C$4),OR('Visual SPC'!$E$4="",'Data Entry'!$C3426&lt;='Visual SPC'!$E$4),OR('Visual SPC'!$G$4="",'Data Entry'!$D3426='Visual SPC'!$G$4),OR('Visual SPC'!$I$4="",'Data Entry'!$E3426='Visual SPC'!$I$4),OR('Visual SPC'!$K$4="",'Data Entry'!$F3426='Visual SPC'!$K$4)),1,0))</f>
        <v/>
      </c>
      <c r="C3426">
        <f>C3425+B3426</f>
        <v/>
      </c>
      <c r="D3426">
        <f>IF(B3426=1,INDEX('Data Entry'!$H$5:$BE$10004,3426-4,'Visual SPC'!$B$3),"")</f>
        <v/>
      </c>
      <c r="E3426">
        <f>IF(B3426=1,D3426,E3425)</f>
        <v/>
      </c>
      <c r="F3426">
        <f>IF(AND(B3426=1,C3426&gt;1,E3425&lt;&gt;""),ABS(D3426-E3425),"")</f>
        <v/>
      </c>
    </row>
    <row r="3427">
      <c r="A3427" t="n">
        <v>3427</v>
      </c>
      <c r="B3427">
        <f>IF(INDEX('Data Entry'!$H$5:$BE$10004,3427-4,'Visual SPC'!$B$3)="",0,IF(AND(OR('Visual SPC'!$C$4="",'Data Entry'!$C3427&gt;='Visual SPC'!$C$4),OR('Visual SPC'!$E$4="",'Data Entry'!$C3427&lt;='Visual SPC'!$E$4),OR('Visual SPC'!$G$4="",'Data Entry'!$D3427='Visual SPC'!$G$4),OR('Visual SPC'!$I$4="",'Data Entry'!$E3427='Visual SPC'!$I$4),OR('Visual SPC'!$K$4="",'Data Entry'!$F3427='Visual SPC'!$K$4)),1,0))</f>
        <v/>
      </c>
      <c r="C3427">
        <f>C3426+B3427</f>
        <v/>
      </c>
      <c r="D3427">
        <f>IF(B3427=1,INDEX('Data Entry'!$H$5:$BE$10004,3427-4,'Visual SPC'!$B$3),"")</f>
        <v/>
      </c>
      <c r="E3427">
        <f>IF(B3427=1,D3427,E3426)</f>
        <v/>
      </c>
      <c r="F3427">
        <f>IF(AND(B3427=1,C3427&gt;1,E3426&lt;&gt;""),ABS(D3427-E3426),"")</f>
        <v/>
      </c>
    </row>
    <row r="3428">
      <c r="A3428" t="n">
        <v>3428</v>
      </c>
      <c r="B3428">
        <f>IF(INDEX('Data Entry'!$H$5:$BE$10004,3428-4,'Visual SPC'!$B$3)="",0,IF(AND(OR('Visual SPC'!$C$4="",'Data Entry'!$C3428&gt;='Visual SPC'!$C$4),OR('Visual SPC'!$E$4="",'Data Entry'!$C3428&lt;='Visual SPC'!$E$4),OR('Visual SPC'!$G$4="",'Data Entry'!$D3428='Visual SPC'!$G$4),OR('Visual SPC'!$I$4="",'Data Entry'!$E3428='Visual SPC'!$I$4),OR('Visual SPC'!$K$4="",'Data Entry'!$F3428='Visual SPC'!$K$4)),1,0))</f>
        <v/>
      </c>
      <c r="C3428">
        <f>C3427+B3428</f>
        <v/>
      </c>
      <c r="D3428">
        <f>IF(B3428=1,INDEX('Data Entry'!$H$5:$BE$10004,3428-4,'Visual SPC'!$B$3),"")</f>
        <v/>
      </c>
      <c r="E3428">
        <f>IF(B3428=1,D3428,E3427)</f>
        <v/>
      </c>
      <c r="F3428">
        <f>IF(AND(B3428=1,C3428&gt;1,E3427&lt;&gt;""),ABS(D3428-E3427),"")</f>
        <v/>
      </c>
    </row>
    <row r="3429">
      <c r="A3429" t="n">
        <v>3429</v>
      </c>
      <c r="B3429">
        <f>IF(INDEX('Data Entry'!$H$5:$BE$10004,3429-4,'Visual SPC'!$B$3)="",0,IF(AND(OR('Visual SPC'!$C$4="",'Data Entry'!$C3429&gt;='Visual SPC'!$C$4),OR('Visual SPC'!$E$4="",'Data Entry'!$C3429&lt;='Visual SPC'!$E$4),OR('Visual SPC'!$G$4="",'Data Entry'!$D3429='Visual SPC'!$G$4),OR('Visual SPC'!$I$4="",'Data Entry'!$E3429='Visual SPC'!$I$4),OR('Visual SPC'!$K$4="",'Data Entry'!$F3429='Visual SPC'!$K$4)),1,0))</f>
        <v/>
      </c>
      <c r="C3429">
        <f>C3428+B3429</f>
        <v/>
      </c>
      <c r="D3429">
        <f>IF(B3429=1,INDEX('Data Entry'!$H$5:$BE$10004,3429-4,'Visual SPC'!$B$3),"")</f>
        <v/>
      </c>
      <c r="E3429">
        <f>IF(B3429=1,D3429,E3428)</f>
        <v/>
      </c>
      <c r="F3429">
        <f>IF(AND(B3429=1,C3429&gt;1,E3428&lt;&gt;""),ABS(D3429-E3428),"")</f>
        <v/>
      </c>
    </row>
    <row r="3430">
      <c r="A3430" t="n">
        <v>3430</v>
      </c>
      <c r="B3430">
        <f>IF(INDEX('Data Entry'!$H$5:$BE$10004,3430-4,'Visual SPC'!$B$3)="",0,IF(AND(OR('Visual SPC'!$C$4="",'Data Entry'!$C3430&gt;='Visual SPC'!$C$4),OR('Visual SPC'!$E$4="",'Data Entry'!$C3430&lt;='Visual SPC'!$E$4),OR('Visual SPC'!$G$4="",'Data Entry'!$D3430='Visual SPC'!$G$4),OR('Visual SPC'!$I$4="",'Data Entry'!$E3430='Visual SPC'!$I$4),OR('Visual SPC'!$K$4="",'Data Entry'!$F3430='Visual SPC'!$K$4)),1,0))</f>
        <v/>
      </c>
      <c r="C3430">
        <f>C3429+B3430</f>
        <v/>
      </c>
      <c r="D3430">
        <f>IF(B3430=1,INDEX('Data Entry'!$H$5:$BE$10004,3430-4,'Visual SPC'!$B$3),"")</f>
        <v/>
      </c>
      <c r="E3430">
        <f>IF(B3430=1,D3430,E3429)</f>
        <v/>
      </c>
      <c r="F3430">
        <f>IF(AND(B3430=1,C3430&gt;1,E3429&lt;&gt;""),ABS(D3430-E3429),"")</f>
        <v/>
      </c>
    </row>
    <row r="3431">
      <c r="A3431" t="n">
        <v>3431</v>
      </c>
      <c r="B3431">
        <f>IF(INDEX('Data Entry'!$H$5:$BE$10004,3431-4,'Visual SPC'!$B$3)="",0,IF(AND(OR('Visual SPC'!$C$4="",'Data Entry'!$C3431&gt;='Visual SPC'!$C$4),OR('Visual SPC'!$E$4="",'Data Entry'!$C3431&lt;='Visual SPC'!$E$4),OR('Visual SPC'!$G$4="",'Data Entry'!$D3431='Visual SPC'!$G$4),OR('Visual SPC'!$I$4="",'Data Entry'!$E3431='Visual SPC'!$I$4),OR('Visual SPC'!$K$4="",'Data Entry'!$F3431='Visual SPC'!$K$4)),1,0))</f>
        <v/>
      </c>
      <c r="C3431">
        <f>C3430+B3431</f>
        <v/>
      </c>
      <c r="D3431">
        <f>IF(B3431=1,INDEX('Data Entry'!$H$5:$BE$10004,3431-4,'Visual SPC'!$B$3),"")</f>
        <v/>
      </c>
      <c r="E3431">
        <f>IF(B3431=1,D3431,E3430)</f>
        <v/>
      </c>
      <c r="F3431">
        <f>IF(AND(B3431=1,C3431&gt;1,E3430&lt;&gt;""),ABS(D3431-E3430),"")</f>
        <v/>
      </c>
    </row>
    <row r="3432">
      <c r="A3432" t="n">
        <v>3432</v>
      </c>
      <c r="B3432">
        <f>IF(INDEX('Data Entry'!$H$5:$BE$10004,3432-4,'Visual SPC'!$B$3)="",0,IF(AND(OR('Visual SPC'!$C$4="",'Data Entry'!$C3432&gt;='Visual SPC'!$C$4),OR('Visual SPC'!$E$4="",'Data Entry'!$C3432&lt;='Visual SPC'!$E$4),OR('Visual SPC'!$G$4="",'Data Entry'!$D3432='Visual SPC'!$G$4),OR('Visual SPC'!$I$4="",'Data Entry'!$E3432='Visual SPC'!$I$4),OR('Visual SPC'!$K$4="",'Data Entry'!$F3432='Visual SPC'!$K$4)),1,0))</f>
        <v/>
      </c>
      <c r="C3432">
        <f>C3431+B3432</f>
        <v/>
      </c>
      <c r="D3432">
        <f>IF(B3432=1,INDEX('Data Entry'!$H$5:$BE$10004,3432-4,'Visual SPC'!$B$3),"")</f>
        <v/>
      </c>
      <c r="E3432">
        <f>IF(B3432=1,D3432,E3431)</f>
        <v/>
      </c>
      <c r="F3432">
        <f>IF(AND(B3432=1,C3432&gt;1,E3431&lt;&gt;""),ABS(D3432-E3431),"")</f>
        <v/>
      </c>
    </row>
    <row r="3433">
      <c r="A3433" t="n">
        <v>3433</v>
      </c>
      <c r="B3433">
        <f>IF(INDEX('Data Entry'!$H$5:$BE$10004,3433-4,'Visual SPC'!$B$3)="",0,IF(AND(OR('Visual SPC'!$C$4="",'Data Entry'!$C3433&gt;='Visual SPC'!$C$4),OR('Visual SPC'!$E$4="",'Data Entry'!$C3433&lt;='Visual SPC'!$E$4),OR('Visual SPC'!$G$4="",'Data Entry'!$D3433='Visual SPC'!$G$4),OR('Visual SPC'!$I$4="",'Data Entry'!$E3433='Visual SPC'!$I$4),OR('Visual SPC'!$K$4="",'Data Entry'!$F3433='Visual SPC'!$K$4)),1,0))</f>
        <v/>
      </c>
      <c r="C3433">
        <f>C3432+B3433</f>
        <v/>
      </c>
      <c r="D3433">
        <f>IF(B3433=1,INDEX('Data Entry'!$H$5:$BE$10004,3433-4,'Visual SPC'!$B$3),"")</f>
        <v/>
      </c>
      <c r="E3433">
        <f>IF(B3433=1,D3433,E3432)</f>
        <v/>
      </c>
      <c r="F3433">
        <f>IF(AND(B3433=1,C3433&gt;1,E3432&lt;&gt;""),ABS(D3433-E3432),"")</f>
        <v/>
      </c>
    </row>
    <row r="3434">
      <c r="A3434" t="n">
        <v>3434</v>
      </c>
      <c r="B3434">
        <f>IF(INDEX('Data Entry'!$H$5:$BE$10004,3434-4,'Visual SPC'!$B$3)="",0,IF(AND(OR('Visual SPC'!$C$4="",'Data Entry'!$C3434&gt;='Visual SPC'!$C$4),OR('Visual SPC'!$E$4="",'Data Entry'!$C3434&lt;='Visual SPC'!$E$4),OR('Visual SPC'!$G$4="",'Data Entry'!$D3434='Visual SPC'!$G$4),OR('Visual SPC'!$I$4="",'Data Entry'!$E3434='Visual SPC'!$I$4),OR('Visual SPC'!$K$4="",'Data Entry'!$F3434='Visual SPC'!$K$4)),1,0))</f>
        <v/>
      </c>
      <c r="C3434">
        <f>C3433+B3434</f>
        <v/>
      </c>
      <c r="D3434">
        <f>IF(B3434=1,INDEX('Data Entry'!$H$5:$BE$10004,3434-4,'Visual SPC'!$B$3),"")</f>
        <v/>
      </c>
      <c r="E3434">
        <f>IF(B3434=1,D3434,E3433)</f>
        <v/>
      </c>
      <c r="F3434">
        <f>IF(AND(B3434=1,C3434&gt;1,E3433&lt;&gt;""),ABS(D3434-E3433),"")</f>
        <v/>
      </c>
    </row>
    <row r="3435">
      <c r="A3435" t="n">
        <v>3435</v>
      </c>
      <c r="B3435">
        <f>IF(INDEX('Data Entry'!$H$5:$BE$10004,3435-4,'Visual SPC'!$B$3)="",0,IF(AND(OR('Visual SPC'!$C$4="",'Data Entry'!$C3435&gt;='Visual SPC'!$C$4),OR('Visual SPC'!$E$4="",'Data Entry'!$C3435&lt;='Visual SPC'!$E$4),OR('Visual SPC'!$G$4="",'Data Entry'!$D3435='Visual SPC'!$G$4),OR('Visual SPC'!$I$4="",'Data Entry'!$E3435='Visual SPC'!$I$4),OR('Visual SPC'!$K$4="",'Data Entry'!$F3435='Visual SPC'!$K$4)),1,0))</f>
        <v/>
      </c>
      <c r="C3435">
        <f>C3434+B3435</f>
        <v/>
      </c>
      <c r="D3435">
        <f>IF(B3435=1,INDEX('Data Entry'!$H$5:$BE$10004,3435-4,'Visual SPC'!$B$3),"")</f>
        <v/>
      </c>
      <c r="E3435">
        <f>IF(B3435=1,D3435,E3434)</f>
        <v/>
      </c>
      <c r="F3435">
        <f>IF(AND(B3435=1,C3435&gt;1,E3434&lt;&gt;""),ABS(D3435-E3434),"")</f>
        <v/>
      </c>
    </row>
    <row r="3436">
      <c r="A3436" t="n">
        <v>3436</v>
      </c>
      <c r="B3436">
        <f>IF(INDEX('Data Entry'!$H$5:$BE$10004,3436-4,'Visual SPC'!$B$3)="",0,IF(AND(OR('Visual SPC'!$C$4="",'Data Entry'!$C3436&gt;='Visual SPC'!$C$4),OR('Visual SPC'!$E$4="",'Data Entry'!$C3436&lt;='Visual SPC'!$E$4),OR('Visual SPC'!$G$4="",'Data Entry'!$D3436='Visual SPC'!$G$4),OR('Visual SPC'!$I$4="",'Data Entry'!$E3436='Visual SPC'!$I$4),OR('Visual SPC'!$K$4="",'Data Entry'!$F3436='Visual SPC'!$K$4)),1,0))</f>
        <v/>
      </c>
      <c r="C3436">
        <f>C3435+B3436</f>
        <v/>
      </c>
      <c r="D3436">
        <f>IF(B3436=1,INDEX('Data Entry'!$H$5:$BE$10004,3436-4,'Visual SPC'!$B$3),"")</f>
        <v/>
      </c>
      <c r="E3436">
        <f>IF(B3436=1,D3436,E3435)</f>
        <v/>
      </c>
      <c r="F3436">
        <f>IF(AND(B3436=1,C3436&gt;1,E3435&lt;&gt;""),ABS(D3436-E3435),"")</f>
        <v/>
      </c>
    </row>
    <row r="3437">
      <c r="A3437" t="n">
        <v>3437</v>
      </c>
      <c r="B3437">
        <f>IF(INDEX('Data Entry'!$H$5:$BE$10004,3437-4,'Visual SPC'!$B$3)="",0,IF(AND(OR('Visual SPC'!$C$4="",'Data Entry'!$C3437&gt;='Visual SPC'!$C$4),OR('Visual SPC'!$E$4="",'Data Entry'!$C3437&lt;='Visual SPC'!$E$4),OR('Visual SPC'!$G$4="",'Data Entry'!$D3437='Visual SPC'!$G$4),OR('Visual SPC'!$I$4="",'Data Entry'!$E3437='Visual SPC'!$I$4),OR('Visual SPC'!$K$4="",'Data Entry'!$F3437='Visual SPC'!$K$4)),1,0))</f>
        <v/>
      </c>
      <c r="C3437">
        <f>C3436+B3437</f>
        <v/>
      </c>
      <c r="D3437">
        <f>IF(B3437=1,INDEX('Data Entry'!$H$5:$BE$10004,3437-4,'Visual SPC'!$B$3),"")</f>
        <v/>
      </c>
      <c r="E3437">
        <f>IF(B3437=1,D3437,E3436)</f>
        <v/>
      </c>
      <c r="F3437">
        <f>IF(AND(B3437=1,C3437&gt;1,E3436&lt;&gt;""),ABS(D3437-E3436),"")</f>
        <v/>
      </c>
    </row>
    <row r="3438">
      <c r="A3438" t="n">
        <v>3438</v>
      </c>
      <c r="B3438">
        <f>IF(INDEX('Data Entry'!$H$5:$BE$10004,3438-4,'Visual SPC'!$B$3)="",0,IF(AND(OR('Visual SPC'!$C$4="",'Data Entry'!$C3438&gt;='Visual SPC'!$C$4),OR('Visual SPC'!$E$4="",'Data Entry'!$C3438&lt;='Visual SPC'!$E$4),OR('Visual SPC'!$G$4="",'Data Entry'!$D3438='Visual SPC'!$G$4),OR('Visual SPC'!$I$4="",'Data Entry'!$E3438='Visual SPC'!$I$4),OR('Visual SPC'!$K$4="",'Data Entry'!$F3438='Visual SPC'!$K$4)),1,0))</f>
        <v/>
      </c>
      <c r="C3438">
        <f>C3437+B3438</f>
        <v/>
      </c>
      <c r="D3438">
        <f>IF(B3438=1,INDEX('Data Entry'!$H$5:$BE$10004,3438-4,'Visual SPC'!$B$3),"")</f>
        <v/>
      </c>
      <c r="E3438">
        <f>IF(B3438=1,D3438,E3437)</f>
        <v/>
      </c>
      <c r="F3438">
        <f>IF(AND(B3438=1,C3438&gt;1,E3437&lt;&gt;""),ABS(D3438-E3437),"")</f>
        <v/>
      </c>
    </row>
    <row r="3439">
      <c r="A3439" t="n">
        <v>3439</v>
      </c>
      <c r="B3439">
        <f>IF(INDEX('Data Entry'!$H$5:$BE$10004,3439-4,'Visual SPC'!$B$3)="",0,IF(AND(OR('Visual SPC'!$C$4="",'Data Entry'!$C3439&gt;='Visual SPC'!$C$4),OR('Visual SPC'!$E$4="",'Data Entry'!$C3439&lt;='Visual SPC'!$E$4),OR('Visual SPC'!$G$4="",'Data Entry'!$D3439='Visual SPC'!$G$4),OR('Visual SPC'!$I$4="",'Data Entry'!$E3439='Visual SPC'!$I$4),OR('Visual SPC'!$K$4="",'Data Entry'!$F3439='Visual SPC'!$K$4)),1,0))</f>
        <v/>
      </c>
      <c r="C3439">
        <f>C3438+B3439</f>
        <v/>
      </c>
      <c r="D3439">
        <f>IF(B3439=1,INDEX('Data Entry'!$H$5:$BE$10004,3439-4,'Visual SPC'!$B$3),"")</f>
        <v/>
      </c>
      <c r="E3439">
        <f>IF(B3439=1,D3439,E3438)</f>
        <v/>
      </c>
      <c r="F3439">
        <f>IF(AND(B3439=1,C3439&gt;1,E3438&lt;&gt;""),ABS(D3439-E3438),"")</f>
        <v/>
      </c>
    </row>
    <row r="3440">
      <c r="A3440" t="n">
        <v>3440</v>
      </c>
      <c r="B3440">
        <f>IF(INDEX('Data Entry'!$H$5:$BE$10004,3440-4,'Visual SPC'!$B$3)="",0,IF(AND(OR('Visual SPC'!$C$4="",'Data Entry'!$C3440&gt;='Visual SPC'!$C$4),OR('Visual SPC'!$E$4="",'Data Entry'!$C3440&lt;='Visual SPC'!$E$4),OR('Visual SPC'!$G$4="",'Data Entry'!$D3440='Visual SPC'!$G$4),OR('Visual SPC'!$I$4="",'Data Entry'!$E3440='Visual SPC'!$I$4),OR('Visual SPC'!$K$4="",'Data Entry'!$F3440='Visual SPC'!$K$4)),1,0))</f>
        <v/>
      </c>
      <c r="C3440">
        <f>C3439+B3440</f>
        <v/>
      </c>
      <c r="D3440">
        <f>IF(B3440=1,INDEX('Data Entry'!$H$5:$BE$10004,3440-4,'Visual SPC'!$B$3),"")</f>
        <v/>
      </c>
      <c r="E3440">
        <f>IF(B3440=1,D3440,E3439)</f>
        <v/>
      </c>
      <c r="F3440">
        <f>IF(AND(B3440=1,C3440&gt;1,E3439&lt;&gt;""),ABS(D3440-E3439),"")</f>
        <v/>
      </c>
    </row>
    <row r="3441">
      <c r="A3441" t="n">
        <v>3441</v>
      </c>
      <c r="B3441">
        <f>IF(INDEX('Data Entry'!$H$5:$BE$10004,3441-4,'Visual SPC'!$B$3)="",0,IF(AND(OR('Visual SPC'!$C$4="",'Data Entry'!$C3441&gt;='Visual SPC'!$C$4),OR('Visual SPC'!$E$4="",'Data Entry'!$C3441&lt;='Visual SPC'!$E$4),OR('Visual SPC'!$G$4="",'Data Entry'!$D3441='Visual SPC'!$G$4),OR('Visual SPC'!$I$4="",'Data Entry'!$E3441='Visual SPC'!$I$4),OR('Visual SPC'!$K$4="",'Data Entry'!$F3441='Visual SPC'!$K$4)),1,0))</f>
        <v/>
      </c>
      <c r="C3441">
        <f>C3440+B3441</f>
        <v/>
      </c>
      <c r="D3441">
        <f>IF(B3441=1,INDEX('Data Entry'!$H$5:$BE$10004,3441-4,'Visual SPC'!$B$3),"")</f>
        <v/>
      </c>
      <c r="E3441">
        <f>IF(B3441=1,D3441,E3440)</f>
        <v/>
      </c>
      <c r="F3441">
        <f>IF(AND(B3441=1,C3441&gt;1,E3440&lt;&gt;""),ABS(D3441-E3440),"")</f>
        <v/>
      </c>
    </row>
    <row r="3442">
      <c r="A3442" t="n">
        <v>3442</v>
      </c>
      <c r="B3442">
        <f>IF(INDEX('Data Entry'!$H$5:$BE$10004,3442-4,'Visual SPC'!$B$3)="",0,IF(AND(OR('Visual SPC'!$C$4="",'Data Entry'!$C3442&gt;='Visual SPC'!$C$4),OR('Visual SPC'!$E$4="",'Data Entry'!$C3442&lt;='Visual SPC'!$E$4),OR('Visual SPC'!$G$4="",'Data Entry'!$D3442='Visual SPC'!$G$4),OR('Visual SPC'!$I$4="",'Data Entry'!$E3442='Visual SPC'!$I$4),OR('Visual SPC'!$K$4="",'Data Entry'!$F3442='Visual SPC'!$K$4)),1,0))</f>
        <v/>
      </c>
      <c r="C3442">
        <f>C3441+B3442</f>
        <v/>
      </c>
      <c r="D3442">
        <f>IF(B3442=1,INDEX('Data Entry'!$H$5:$BE$10004,3442-4,'Visual SPC'!$B$3),"")</f>
        <v/>
      </c>
      <c r="E3442">
        <f>IF(B3442=1,D3442,E3441)</f>
        <v/>
      </c>
      <c r="F3442">
        <f>IF(AND(B3442=1,C3442&gt;1,E3441&lt;&gt;""),ABS(D3442-E3441),"")</f>
        <v/>
      </c>
    </row>
    <row r="3443">
      <c r="A3443" t="n">
        <v>3443</v>
      </c>
      <c r="B3443">
        <f>IF(INDEX('Data Entry'!$H$5:$BE$10004,3443-4,'Visual SPC'!$B$3)="",0,IF(AND(OR('Visual SPC'!$C$4="",'Data Entry'!$C3443&gt;='Visual SPC'!$C$4),OR('Visual SPC'!$E$4="",'Data Entry'!$C3443&lt;='Visual SPC'!$E$4),OR('Visual SPC'!$G$4="",'Data Entry'!$D3443='Visual SPC'!$G$4),OR('Visual SPC'!$I$4="",'Data Entry'!$E3443='Visual SPC'!$I$4),OR('Visual SPC'!$K$4="",'Data Entry'!$F3443='Visual SPC'!$K$4)),1,0))</f>
        <v/>
      </c>
      <c r="C3443">
        <f>C3442+B3443</f>
        <v/>
      </c>
      <c r="D3443">
        <f>IF(B3443=1,INDEX('Data Entry'!$H$5:$BE$10004,3443-4,'Visual SPC'!$B$3),"")</f>
        <v/>
      </c>
      <c r="E3443">
        <f>IF(B3443=1,D3443,E3442)</f>
        <v/>
      </c>
      <c r="F3443">
        <f>IF(AND(B3443=1,C3443&gt;1,E3442&lt;&gt;""),ABS(D3443-E3442),"")</f>
        <v/>
      </c>
    </row>
    <row r="3444">
      <c r="A3444" t="n">
        <v>3444</v>
      </c>
      <c r="B3444">
        <f>IF(INDEX('Data Entry'!$H$5:$BE$10004,3444-4,'Visual SPC'!$B$3)="",0,IF(AND(OR('Visual SPC'!$C$4="",'Data Entry'!$C3444&gt;='Visual SPC'!$C$4),OR('Visual SPC'!$E$4="",'Data Entry'!$C3444&lt;='Visual SPC'!$E$4),OR('Visual SPC'!$G$4="",'Data Entry'!$D3444='Visual SPC'!$G$4),OR('Visual SPC'!$I$4="",'Data Entry'!$E3444='Visual SPC'!$I$4),OR('Visual SPC'!$K$4="",'Data Entry'!$F3444='Visual SPC'!$K$4)),1,0))</f>
        <v/>
      </c>
      <c r="C3444">
        <f>C3443+B3444</f>
        <v/>
      </c>
      <c r="D3444">
        <f>IF(B3444=1,INDEX('Data Entry'!$H$5:$BE$10004,3444-4,'Visual SPC'!$B$3),"")</f>
        <v/>
      </c>
      <c r="E3444">
        <f>IF(B3444=1,D3444,E3443)</f>
        <v/>
      </c>
      <c r="F3444">
        <f>IF(AND(B3444=1,C3444&gt;1,E3443&lt;&gt;""),ABS(D3444-E3443),"")</f>
        <v/>
      </c>
    </row>
    <row r="3445">
      <c r="A3445" t="n">
        <v>3445</v>
      </c>
      <c r="B3445">
        <f>IF(INDEX('Data Entry'!$H$5:$BE$10004,3445-4,'Visual SPC'!$B$3)="",0,IF(AND(OR('Visual SPC'!$C$4="",'Data Entry'!$C3445&gt;='Visual SPC'!$C$4),OR('Visual SPC'!$E$4="",'Data Entry'!$C3445&lt;='Visual SPC'!$E$4),OR('Visual SPC'!$G$4="",'Data Entry'!$D3445='Visual SPC'!$G$4),OR('Visual SPC'!$I$4="",'Data Entry'!$E3445='Visual SPC'!$I$4),OR('Visual SPC'!$K$4="",'Data Entry'!$F3445='Visual SPC'!$K$4)),1,0))</f>
        <v/>
      </c>
      <c r="C3445">
        <f>C3444+B3445</f>
        <v/>
      </c>
      <c r="D3445">
        <f>IF(B3445=1,INDEX('Data Entry'!$H$5:$BE$10004,3445-4,'Visual SPC'!$B$3),"")</f>
        <v/>
      </c>
      <c r="E3445">
        <f>IF(B3445=1,D3445,E3444)</f>
        <v/>
      </c>
      <c r="F3445">
        <f>IF(AND(B3445=1,C3445&gt;1,E3444&lt;&gt;""),ABS(D3445-E3444),"")</f>
        <v/>
      </c>
    </row>
    <row r="3446">
      <c r="A3446" t="n">
        <v>3446</v>
      </c>
      <c r="B3446">
        <f>IF(INDEX('Data Entry'!$H$5:$BE$10004,3446-4,'Visual SPC'!$B$3)="",0,IF(AND(OR('Visual SPC'!$C$4="",'Data Entry'!$C3446&gt;='Visual SPC'!$C$4),OR('Visual SPC'!$E$4="",'Data Entry'!$C3446&lt;='Visual SPC'!$E$4),OR('Visual SPC'!$G$4="",'Data Entry'!$D3446='Visual SPC'!$G$4),OR('Visual SPC'!$I$4="",'Data Entry'!$E3446='Visual SPC'!$I$4),OR('Visual SPC'!$K$4="",'Data Entry'!$F3446='Visual SPC'!$K$4)),1,0))</f>
        <v/>
      </c>
      <c r="C3446">
        <f>C3445+B3446</f>
        <v/>
      </c>
      <c r="D3446">
        <f>IF(B3446=1,INDEX('Data Entry'!$H$5:$BE$10004,3446-4,'Visual SPC'!$B$3),"")</f>
        <v/>
      </c>
      <c r="E3446">
        <f>IF(B3446=1,D3446,E3445)</f>
        <v/>
      </c>
      <c r="F3446">
        <f>IF(AND(B3446=1,C3446&gt;1,E3445&lt;&gt;""),ABS(D3446-E3445),"")</f>
        <v/>
      </c>
    </row>
    <row r="3447">
      <c r="A3447" t="n">
        <v>3447</v>
      </c>
      <c r="B3447">
        <f>IF(INDEX('Data Entry'!$H$5:$BE$10004,3447-4,'Visual SPC'!$B$3)="",0,IF(AND(OR('Visual SPC'!$C$4="",'Data Entry'!$C3447&gt;='Visual SPC'!$C$4),OR('Visual SPC'!$E$4="",'Data Entry'!$C3447&lt;='Visual SPC'!$E$4),OR('Visual SPC'!$G$4="",'Data Entry'!$D3447='Visual SPC'!$G$4),OR('Visual SPC'!$I$4="",'Data Entry'!$E3447='Visual SPC'!$I$4),OR('Visual SPC'!$K$4="",'Data Entry'!$F3447='Visual SPC'!$K$4)),1,0))</f>
        <v/>
      </c>
      <c r="C3447">
        <f>C3446+B3447</f>
        <v/>
      </c>
      <c r="D3447">
        <f>IF(B3447=1,INDEX('Data Entry'!$H$5:$BE$10004,3447-4,'Visual SPC'!$B$3),"")</f>
        <v/>
      </c>
      <c r="E3447">
        <f>IF(B3447=1,D3447,E3446)</f>
        <v/>
      </c>
      <c r="F3447">
        <f>IF(AND(B3447=1,C3447&gt;1,E3446&lt;&gt;""),ABS(D3447-E3446),"")</f>
        <v/>
      </c>
    </row>
    <row r="3448">
      <c r="A3448" t="n">
        <v>3448</v>
      </c>
      <c r="B3448">
        <f>IF(INDEX('Data Entry'!$H$5:$BE$10004,3448-4,'Visual SPC'!$B$3)="",0,IF(AND(OR('Visual SPC'!$C$4="",'Data Entry'!$C3448&gt;='Visual SPC'!$C$4),OR('Visual SPC'!$E$4="",'Data Entry'!$C3448&lt;='Visual SPC'!$E$4),OR('Visual SPC'!$G$4="",'Data Entry'!$D3448='Visual SPC'!$G$4),OR('Visual SPC'!$I$4="",'Data Entry'!$E3448='Visual SPC'!$I$4),OR('Visual SPC'!$K$4="",'Data Entry'!$F3448='Visual SPC'!$K$4)),1,0))</f>
        <v/>
      </c>
      <c r="C3448">
        <f>C3447+B3448</f>
        <v/>
      </c>
      <c r="D3448">
        <f>IF(B3448=1,INDEX('Data Entry'!$H$5:$BE$10004,3448-4,'Visual SPC'!$B$3),"")</f>
        <v/>
      </c>
      <c r="E3448">
        <f>IF(B3448=1,D3448,E3447)</f>
        <v/>
      </c>
      <c r="F3448">
        <f>IF(AND(B3448=1,C3448&gt;1,E3447&lt;&gt;""),ABS(D3448-E3447),"")</f>
        <v/>
      </c>
    </row>
    <row r="3449">
      <c r="A3449" t="n">
        <v>3449</v>
      </c>
      <c r="B3449">
        <f>IF(INDEX('Data Entry'!$H$5:$BE$10004,3449-4,'Visual SPC'!$B$3)="",0,IF(AND(OR('Visual SPC'!$C$4="",'Data Entry'!$C3449&gt;='Visual SPC'!$C$4),OR('Visual SPC'!$E$4="",'Data Entry'!$C3449&lt;='Visual SPC'!$E$4),OR('Visual SPC'!$G$4="",'Data Entry'!$D3449='Visual SPC'!$G$4),OR('Visual SPC'!$I$4="",'Data Entry'!$E3449='Visual SPC'!$I$4),OR('Visual SPC'!$K$4="",'Data Entry'!$F3449='Visual SPC'!$K$4)),1,0))</f>
        <v/>
      </c>
      <c r="C3449">
        <f>C3448+B3449</f>
        <v/>
      </c>
      <c r="D3449">
        <f>IF(B3449=1,INDEX('Data Entry'!$H$5:$BE$10004,3449-4,'Visual SPC'!$B$3),"")</f>
        <v/>
      </c>
      <c r="E3449">
        <f>IF(B3449=1,D3449,E3448)</f>
        <v/>
      </c>
      <c r="F3449">
        <f>IF(AND(B3449=1,C3449&gt;1,E3448&lt;&gt;""),ABS(D3449-E3448),"")</f>
        <v/>
      </c>
    </row>
    <row r="3450">
      <c r="A3450" t="n">
        <v>3450</v>
      </c>
      <c r="B3450">
        <f>IF(INDEX('Data Entry'!$H$5:$BE$10004,3450-4,'Visual SPC'!$B$3)="",0,IF(AND(OR('Visual SPC'!$C$4="",'Data Entry'!$C3450&gt;='Visual SPC'!$C$4),OR('Visual SPC'!$E$4="",'Data Entry'!$C3450&lt;='Visual SPC'!$E$4),OR('Visual SPC'!$G$4="",'Data Entry'!$D3450='Visual SPC'!$G$4),OR('Visual SPC'!$I$4="",'Data Entry'!$E3450='Visual SPC'!$I$4),OR('Visual SPC'!$K$4="",'Data Entry'!$F3450='Visual SPC'!$K$4)),1,0))</f>
        <v/>
      </c>
      <c r="C3450">
        <f>C3449+B3450</f>
        <v/>
      </c>
      <c r="D3450">
        <f>IF(B3450=1,INDEX('Data Entry'!$H$5:$BE$10004,3450-4,'Visual SPC'!$B$3),"")</f>
        <v/>
      </c>
      <c r="E3450">
        <f>IF(B3450=1,D3450,E3449)</f>
        <v/>
      </c>
      <c r="F3450">
        <f>IF(AND(B3450=1,C3450&gt;1,E3449&lt;&gt;""),ABS(D3450-E3449),"")</f>
        <v/>
      </c>
    </row>
    <row r="3451">
      <c r="A3451" t="n">
        <v>3451</v>
      </c>
      <c r="B3451">
        <f>IF(INDEX('Data Entry'!$H$5:$BE$10004,3451-4,'Visual SPC'!$B$3)="",0,IF(AND(OR('Visual SPC'!$C$4="",'Data Entry'!$C3451&gt;='Visual SPC'!$C$4),OR('Visual SPC'!$E$4="",'Data Entry'!$C3451&lt;='Visual SPC'!$E$4),OR('Visual SPC'!$G$4="",'Data Entry'!$D3451='Visual SPC'!$G$4),OR('Visual SPC'!$I$4="",'Data Entry'!$E3451='Visual SPC'!$I$4),OR('Visual SPC'!$K$4="",'Data Entry'!$F3451='Visual SPC'!$K$4)),1,0))</f>
        <v/>
      </c>
      <c r="C3451">
        <f>C3450+B3451</f>
        <v/>
      </c>
      <c r="D3451">
        <f>IF(B3451=1,INDEX('Data Entry'!$H$5:$BE$10004,3451-4,'Visual SPC'!$B$3),"")</f>
        <v/>
      </c>
      <c r="E3451">
        <f>IF(B3451=1,D3451,E3450)</f>
        <v/>
      </c>
      <c r="F3451">
        <f>IF(AND(B3451=1,C3451&gt;1,E3450&lt;&gt;""),ABS(D3451-E3450),"")</f>
        <v/>
      </c>
    </row>
    <row r="3452">
      <c r="A3452" t="n">
        <v>3452</v>
      </c>
      <c r="B3452">
        <f>IF(INDEX('Data Entry'!$H$5:$BE$10004,3452-4,'Visual SPC'!$B$3)="",0,IF(AND(OR('Visual SPC'!$C$4="",'Data Entry'!$C3452&gt;='Visual SPC'!$C$4),OR('Visual SPC'!$E$4="",'Data Entry'!$C3452&lt;='Visual SPC'!$E$4),OR('Visual SPC'!$G$4="",'Data Entry'!$D3452='Visual SPC'!$G$4),OR('Visual SPC'!$I$4="",'Data Entry'!$E3452='Visual SPC'!$I$4),OR('Visual SPC'!$K$4="",'Data Entry'!$F3452='Visual SPC'!$K$4)),1,0))</f>
        <v/>
      </c>
      <c r="C3452">
        <f>C3451+B3452</f>
        <v/>
      </c>
      <c r="D3452">
        <f>IF(B3452=1,INDEX('Data Entry'!$H$5:$BE$10004,3452-4,'Visual SPC'!$B$3),"")</f>
        <v/>
      </c>
      <c r="E3452">
        <f>IF(B3452=1,D3452,E3451)</f>
        <v/>
      </c>
      <c r="F3452">
        <f>IF(AND(B3452=1,C3452&gt;1,E3451&lt;&gt;""),ABS(D3452-E3451),"")</f>
        <v/>
      </c>
    </row>
    <row r="3453">
      <c r="A3453" t="n">
        <v>3453</v>
      </c>
      <c r="B3453">
        <f>IF(INDEX('Data Entry'!$H$5:$BE$10004,3453-4,'Visual SPC'!$B$3)="",0,IF(AND(OR('Visual SPC'!$C$4="",'Data Entry'!$C3453&gt;='Visual SPC'!$C$4),OR('Visual SPC'!$E$4="",'Data Entry'!$C3453&lt;='Visual SPC'!$E$4),OR('Visual SPC'!$G$4="",'Data Entry'!$D3453='Visual SPC'!$G$4),OR('Visual SPC'!$I$4="",'Data Entry'!$E3453='Visual SPC'!$I$4),OR('Visual SPC'!$K$4="",'Data Entry'!$F3453='Visual SPC'!$K$4)),1,0))</f>
        <v/>
      </c>
      <c r="C3453">
        <f>C3452+B3453</f>
        <v/>
      </c>
      <c r="D3453">
        <f>IF(B3453=1,INDEX('Data Entry'!$H$5:$BE$10004,3453-4,'Visual SPC'!$B$3),"")</f>
        <v/>
      </c>
      <c r="E3453">
        <f>IF(B3453=1,D3453,E3452)</f>
        <v/>
      </c>
      <c r="F3453">
        <f>IF(AND(B3453=1,C3453&gt;1,E3452&lt;&gt;""),ABS(D3453-E3452),"")</f>
        <v/>
      </c>
    </row>
    <row r="3454">
      <c r="A3454" t="n">
        <v>3454</v>
      </c>
      <c r="B3454">
        <f>IF(INDEX('Data Entry'!$H$5:$BE$10004,3454-4,'Visual SPC'!$B$3)="",0,IF(AND(OR('Visual SPC'!$C$4="",'Data Entry'!$C3454&gt;='Visual SPC'!$C$4),OR('Visual SPC'!$E$4="",'Data Entry'!$C3454&lt;='Visual SPC'!$E$4),OR('Visual SPC'!$G$4="",'Data Entry'!$D3454='Visual SPC'!$G$4),OR('Visual SPC'!$I$4="",'Data Entry'!$E3454='Visual SPC'!$I$4),OR('Visual SPC'!$K$4="",'Data Entry'!$F3454='Visual SPC'!$K$4)),1,0))</f>
        <v/>
      </c>
      <c r="C3454">
        <f>C3453+B3454</f>
        <v/>
      </c>
      <c r="D3454">
        <f>IF(B3454=1,INDEX('Data Entry'!$H$5:$BE$10004,3454-4,'Visual SPC'!$B$3),"")</f>
        <v/>
      </c>
      <c r="E3454">
        <f>IF(B3454=1,D3454,E3453)</f>
        <v/>
      </c>
      <c r="F3454">
        <f>IF(AND(B3454=1,C3454&gt;1,E3453&lt;&gt;""),ABS(D3454-E3453),"")</f>
        <v/>
      </c>
    </row>
    <row r="3455">
      <c r="A3455" t="n">
        <v>3455</v>
      </c>
      <c r="B3455">
        <f>IF(INDEX('Data Entry'!$H$5:$BE$10004,3455-4,'Visual SPC'!$B$3)="",0,IF(AND(OR('Visual SPC'!$C$4="",'Data Entry'!$C3455&gt;='Visual SPC'!$C$4),OR('Visual SPC'!$E$4="",'Data Entry'!$C3455&lt;='Visual SPC'!$E$4),OR('Visual SPC'!$G$4="",'Data Entry'!$D3455='Visual SPC'!$G$4),OR('Visual SPC'!$I$4="",'Data Entry'!$E3455='Visual SPC'!$I$4),OR('Visual SPC'!$K$4="",'Data Entry'!$F3455='Visual SPC'!$K$4)),1,0))</f>
        <v/>
      </c>
      <c r="C3455">
        <f>C3454+B3455</f>
        <v/>
      </c>
      <c r="D3455">
        <f>IF(B3455=1,INDEX('Data Entry'!$H$5:$BE$10004,3455-4,'Visual SPC'!$B$3),"")</f>
        <v/>
      </c>
      <c r="E3455">
        <f>IF(B3455=1,D3455,E3454)</f>
        <v/>
      </c>
      <c r="F3455">
        <f>IF(AND(B3455=1,C3455&gt;1,E3454&lt;&gt;""),ABS(D3455-E3454),"")</f>
        <v/>
      </c>
    </row>
    <row r="3456">
      <c r="A3456" t="n">
        <v>3456</v>
      </c>
      <c r="B3456">
        <f>IF(INDEX('Data Entry'!$H$5:$BE$10004,3456-4,'Visual SPC'!$B$3)="",0,IF(AND(OR('Visual SPC'!$C$4="",'Data Entry'!$C3456&gt;='Visual SPC'!$C$4),OR('Visual SPC'!$E$4="",'Data Entry'!$C3456&lt;='Visual SPC'!$E$4),OR('Visual SPC'!$G$4="",'Data Entry'!$D3456='Visual SPC'!$G$4),OR('Visual SPC'!$I$4="",'Data Entry'!$E3456='Visual SPC'!$I$4),OR('Visual SPC'!$K$4="",'Data Entry'!$F3456='Visual SPC'!$K$4)),1,0))</f>
        <v/>
      </c>
      <c r="C3456">
        <f>C3455+B3456</f>
        <v/>
      </c>
      <c r="D3456">
        <f>IF(B3456=1,INDEX('Data Entry'!$H$5:$BE$10004,3456-4,'Visual SPC'!$B$3),"")</f>
        <v/>
      </c>
      <c r="E3456">
        <f>IF(B3456=1,D3456,E3455)</f>
        <v/>
      </c>
      <c r="F3456">
        <f>IF(AND(B3456=1,C3456&gt;1,E3455&lt;&gt;""),ABS(D3456-E3455),"")</f>
        <v/>
      </c>
    </row>
    <row r="3457">
      <c r="A3457" t="n">
        <v>3457</v>
      </c>
      <c r="B3457">
        <f>IF(INDEX('Data Entry'!$H$5:$BE$10004,3457-4,'Visual SPC'!$B$3)="",0,IF(AND(OR('Visual SPC'!$C$4="",'Data Entry'!$C3457&gt;='Visual SPC'!$C$4),OR('Visual SPC'!$E$4="",'Data Entry'!$C3457&lt;='Visual SPC'!$E$4),OR('Visual SPC'!$G$4="",'Data Entry'!$D3457='Visual SPC'!$G$4),OR('Visual SPC'!$I$4="",'Data Entry'!$E3457='Visual SPC'!$I$4),OR('Visual SPC'!$K$4="",'Data Entry'!$F3457='Visual SPC'!$K$4)),1,0))</f>
        <v/>
      </c>
      <c r="C3457">
        <f>C3456+B3457</f>
        <v/>
      </c>
      <c r="D3457">
        <f>IF(B3457=1,INDEX('Data Entry'!$H$5:$BE$10004,3457-4,'Visual SPC'!$B$3),"")</f>
        <v/>
      </c>
      <c r="E3457">
        <f>IF(B3457=1,D3457,E3456)</f>
        <v/>
      </c>
      <c r="F3457">
        <f>IF(AND(B3457=1,C3457&gt;1,E3456&lt;&gt;""),ABS(D3457-E3456),"")</f>
        <v/>
      </c>
    </row>
    <row r="3458">
      <c r="A3458" t="n">
        <v>3458</v>
      </c>
      <c r="B3458">
        <f>IF(INDEX('Data Entry'!$H$5:$BE$10004,3458-4,'Visual SPC'!$B$3)="",0,IF(AND(OR('Visual SPC'!$C$4="",'Data Entry'!$C3458&gt;='Visual SPC'!$C$4),OR('Visual SPC'!$E$4="",'Data Entry'!$C3458&lt;='Visual SPC'!$E$4),OR('Visual SPC'!$G$4="",'Data Entry'!$D3458='Visual SPC'!$G$4),OR('Visual SPC'!$I$4="",'Data Entry'!$E3458='Visual SPC'!$I$4),OR('Visual SPC'!$K$4="",'Data Entry'!$F3458='Visual SPC'!$K$4)),1,0))</f>
        <v/>
      </c>
      <c r="C3458">
        <f>C3457+B3458</f>
        <v/>
      </c>
      <c r="D3458">
        <f>IF(B3458=1,INDEX('Data Entry'!$H$5:$BE$10004,3458-4,'Visual SPC'!$B$3),"")</f>
        <v/>
      </c>
      <c r="E3458">
        <f>IF(B3458=1,D3458,E3457)</f>
        <v/>
      </c>
      <c r="F3458">
        <f>IF(AND(B3458=1,C3458&gt;1,E3457&lt;&gt;""),ABS(D3458-E3457),"")</f>
        <v/>
      </c>
    </row>
    <row r="3459">
      <c r="A3459" t="n">
        <v>3459</v>
      </c>
      <c r="B3459">
        <f>IF(INDEX('Data Entry'!$H$5:$BE$10004,3459-4,'Visual SPC'!$B$3)="",0,IF(AND(OR('Visual SPC'!$C$4="",'Data Entry'!$C3459&gt;='Visual SPC'!$C$4),OR('Visual SPC'!$E$4="",'Data Entry'!$C3459&lt;='Visual SPC'!$E$4),OR('Visual SPC'!$G$4="",'Data Entry'!$D3459='Visual SPC'!$G$4),OR('Visual SPC'!$I$4="",'Data Entry'!$E3459='Visual SPC'!$I$4),OR('Visual SPC'!$K$4="",'Data Entry'!$F3459='Visual SPC'!$K$4)),1,0))</f>
        <v/>
      </c>
      <c r="C3459">
        <f>C3458+B3459</f>
        <v/>
      </c>
      <c r="D3459">
        <f>IF(B3459=1,INDEX('Data Entry'!$H$5:$BE$10004,3459-4,'Visual SPC'!$B$3),"")</f>
        <v/>
      </c>
      <c r="E3459">
        <f>IF(B3459=1,D3459,E3458)</f>
        <v/>
      </c>
      <c r="F3459">
        <f>IF(AND(B3459=1,C3459&gt;1,E3458&lt;&gt;""),ABS(D3459-E3458),"")</f>
        <v/>
      </c>
    </row>
    <row r="3460">
      <c r="A3460" t="n">
        <v>3460</v>
      </c>
      <c r="B3460">
        <f>IF(INDEX('Data Entry'!$H$5:$BE$10004,3460-4,'Visual SPC'!$B$3)="",0,IF(AND(OR('Visual SPC'!$C$4="",'Data Entry'!$C3460&gt;='Visual SPC'!$C$4),OR('Visual SPC'!$E$4="",'Data Entry'!$C3460&lt;='Visual SPC'!$E$4),OR('Visual SPC'!$G$4="",'Data Entry'!$D3460='Visual SPC'!$G$4),OR('Visual SPC'!$I$4="",'Data Entry'!$E3460='Visual SPC'!$I$4),OR('Visual SPC'!$K$4="",'Data Entry'!$F3460='Visual SPC'!$K$4)),1,0))</f>
        <v/>
      </c>
      <c r="C3460">
        <f>C3459+B3460</f>
        <v/>
      </c>
      <c r="D3460">
        <f>IF(B3460=1,INDEX('Data Entry'!$H$5:$BE$10004,3460-4,'Visual SPC'!$B$3),"")</f>
        <v/>
      </c>
      <c r="E3460">
        <f>IF(B3460=1,D3460,E3459)</f>
        <v/>
      </c>
      <c r="F3460">
        <f>IF(AND(B3460=1,C3460&gt;1,E3459&lt;&gt;""),ABS(D3460-E3459),"")</f>
        <v/>
      </c>
    </row>
    <row r="3461">
      <c r="A3461" t="n">
        <v>3461</v>
      </c>
      <c r="B3461">
        <f>IF(INDEX('Data Entry'!$H$5:$BE$10004,3461-4,'Visual SPC'!$B$3)="",0,IF(AND(OR('Visual SPC'!$C$4="",'Data Entry'!$C3461&gt;='Visual SPC'!$C$4),OR('Visual SPC'!$E$4="",'Data Entry'!$C3461&lt;='Visual SPC'!$E$4),OR('Visual SPC'!$G$4="",'Data Entry'!$D3461='Visual SPC'!$G$4),OR('Visual SPC'!$I$4="",'Data Entry'!$E3461='Visual SPC'!$I$4),OR('Visual SPC'!$K$4="",'Data Entry'!$F3461='Visual SPC'!$K$4)),1,0))</f>
        <v/>
      </c>
      <c r="C3461">
        <f>C3460+B3461</f>
        <v/>
      </c>
      <c r="D3461">
        <f>IF(B3461=1,INDEX('Data Entry'!$H$5:$BE$10004,3461-4,'Visual SPC'!$B$3),"")</f>
        <v/>
      </c>
      <c r="E3461">
        <f>IF(B3461=1,D3461,E3460)</f>
        <v/>
      </c>
      <c r="F3461">
        <f>IF(AND(B3461=1,C3461&gt;1,E3460&lt;&gt;""),ABS(D3461-E3460),"")</f>
        <v/>
      </c>
    </row>
    <row r="3462">
      <c r="A3462" t="n">
        <v>3462</v>
      </c>
      <c r="B3462">
        <f>IF(INDEX('Data Entry'!$H$5:$BE$10004,3462-4,'Visual SPC'!$B$3)="",0,IF(AND(OR('Visual SPC'!$C$4="",'Data Entry'!$C3462&gt;='Visual SPC'!$C$4),OR('Visual SPC'!$E$4="",'Data Entry'!$C3462&lt;='Visual SPC'!$E$4),OR('Visual SPC'!$G$4="",'Data Entry'!$D3462='Visual SPC'!$G$4),OR('Visual SPC'!$I$4="",'Data Entry'!$E3462='Visual SPC'!$I$4),OR('Visual SPC'!$K$4="",'Data Entry'!$F3462='Visual SPC'!$K$4)),1,0))</f>
        <v/>
      </c>
      <c r="C3462">
        <f>C3461+B3462</f>
        <v/>
      </c>
      <c r="D3462">
        <f>IF(B3462=1,INDEX('Data Entry'!$H$5:$BE$10004,3462-4,'Visual SPC'!$B$3),"")</f>
        <v/>
      </c>
      <c r="E3462">
        <f>IF(B3462=1,D3462,E3461)</f>
        <v/>
      </c>
      <c r="F3462">
        <f>IF(AND(B3462=1,C3462&gt;1,E3461&lt;&gt;""),ABS(D3462-E3461),"")</f>
        <v/>
      </c>
    </row>
    <row r="3463">
      <c r="A3463" t="n">
        <v>3463</v>
      </c>
      <c r="B3463">
        <f>IF(INDEX('Data Entry'!$H$5:$BE$10004,3463-4,'Visual SPC'!$B$3)="",0,IF(AND(OR('Visual SPC'!$C$4="",'Data Entry'!$C3463&gt;='Visual SPC'!$C$4),OR('Visual SPC'!$E$4="",'Data Entry'!$C3463&lt;='Visual SPC'!$E$4),OR('Visual SPC'!$G$4="",'Data Entry'!$D3463='Visual SPC'!$G$4),OR('Visual SPC'!$I$4="",'Data Entry'!$E3463='Visual SPC'!$I$4),OR('Visual SPC'!$K$4="",'Data Entry'!$F3463='Visual SPC'!$K$4)),1,0))</f>
        <v/>
      </c>
      <c r="C3463">
        <f>C3462+B3463</f>
        <v/>
      </c>
      <c r="D3463">
        <f>IF(B3463=1,INDEX('Data Entry'!$H$5:$BE$10004,3463-4,'Visual SPC'!$B$3),"")</f>
        <v/>
      </c>
      <c r="E3463">
        <f>IF(B3463=1,D3463,E3462)</f>
        <v/>
      </c>
      <c r="F3463">
        <f>IF(AND(B3463=1,C3463&gt;1,E3462&lt;&gt;""),ABS(D3463-E3462),"")</f>
        <v/>
      </c>
    </row>
    <row r="3464">
      <c r="A3464" t="n">
        <v>3464</v>
      </c>
      <c r="B3464">
        <f>IF(INDEX('Data Entry'!$H$5:$BE$10004,3464-4,'Visual SPC'!$B$3)="",0,IF(AND(OR('Visual SPC'!$C$4="",'Data Entry'!$C3464&gt;='Visual SPC'!$C$4),OR('Visual SPC'!$E$4="",'Data Entry'!$C3464&lt;='Visual SPC'!$E$4),OR('Visual SPC'!$G$4="",'Data Entry'!$D3464='Visual SPC'!$G$4),OR('Visual SPC'!$I$4="",'Data Entry'!$E3464='Visual SPC'!$I$4),OR('Visual SPC'!$K$4="",'Data Entry'!$F3464='Visual SPC'!$K$4)),1,0))</f>
        <v/>
      </c>
      <c r="C3464">
        <f>C3463+B3464</f>
        <v/>
      </c>
      <c r="D3464">
        <f>IF(B3464=1,INDEX('Data Entry'!$H$5:$BE$10004,3464-4,'Visual SPC'!$B$3),"")</f>
        <v/>
      </c>
      <c r="E3464">
        <f>IF(B3464=1,D3464,E3463)</f>
        <v/>
      </c>
      <c r="F3464">
        <f>IF(AND(B3464=1,C3464&gt;1,E3463&lt;&gt;""),ABS(D3464-E3463),"")</f>
        <v/>
      </c>
    </row>
    <row r="3465">
      <c r="A3465" t="n">
        <v>3465</v>
      </c>
      <c r="B3465">
        <f>IF(INDEX('Data Entry'!$H$5:$BE$10004,3465-4,'Visual SPC'!$B$3)="",0,IF(AND(OR('Visual SPC'!$C$4="",'Data Entry'!$C3465&gt;='Visual SPC'!$C$4),OR('Visual SPC'!$E$4="",'Data Entry'!$C3465&lt;='Visual SPC'!$E$4),OR('Visual SPC'!$G$4="",'Data Entry'!$D3465='Visual SPC'!$G$4),OR('Visual SPC'!$I$4="",'Data Entry'!$E3465='Visual SPC'!$I$4),OR('Visual SPC'!$K$4="",'Data Entry'!$F3465='Visual SPC'!$K$4)),1,0))</f>
        <v/>
      </c>
      <c r="C3465">
        <f>C3464+B3465</f>
        <v/>
      </c>
      <c r="D3465">
        <f>IF(B3465=1,INDEX('Data Entry'!$H$5:$BE$10004,3465-4,'Visual SPC'!$B$3),"")</f>
        <v/>
      </c>
      <c r="E3465">
        <f>IF(B3465=1,D3465,E3464)</f>
        <v/>
      </c>
      <c r="F3465">
        <f>IF(AND(B3465=1,C3465&gt;1,E3464&lt;&gt;""),ABS(D3465-E3464),"")</f>
        <v/>
      </c>
    </row>
    <row r="3466">
      <c r="A3466" t="n">
        <v>3466</v>
      </c>
      <c r="B3466">
        <f>IF(INDEX('Data Entry'!$H$5:$BE$10004,3466-4,'Visual SPC'!$B$3)="",0,IF(AND(OR('Visual SPC'!$C$4="",'Data Entry'!$C3466&gt;='Visual SPC'!$C$4),OR('Visual SPC'!$E$4="",'Data Entry'!$C3466&lt;='Visual SPC'!$E$4),OR('Visual SPC'!$G$4="",'Data Entry'!$D3466='Visual SPC'!$G$4),OR('Visual SPC'!$I$4="",'Data Entry'!$E3466='Visual SPC'!$I$4),OR('Visual SPC'!$K$4="",'Data Entry'!$F3466='Visual SPC'!$K$4)),1,0))</f>
        <v/>
      </c>
      <c r="C3466">
        <f>C3465+B3466</f>
        <v/>
      </c>
      <c r="D3466">
        <f>IF(B3466=1,INDEX('Data Entry'!$H$5:$BE$10004,3466-4,'Visual SPC'!$B$3),"")</f>
        <v/>
      </c>
      <c r="E3466">
        <f>IF(B3466=1,D3466,E3465)</f>
        <v/>
      </c>
      <c r="F3466">
        <f>IF(AND(B3466=1,C3466&gt;1,E3465&lt;&gt;""),ABS(D3466-E3465),"")</f>
        <v/>
      </c>
    </row>
    <row r="3467">
      <c r="A3467" t="n">
        <v>3467</v>
      </c>
      <c r="B3467">
        <f>IF(INDEX('Data Entry'!$H$5:$BE$10004,3467-4,'Visual SPC'!$B$3)="",0,IF(AND(OR('Visual SPC'!$C$4="",'Data Entry'!$C3467&gt;='Visual SPC'!$C$4),OR('Visual SPC'!$E$4="",'Data Entry'!$C3467&lt;='Visual SPC'!$E$4),OR('Visual SPC'!$G$4="",'Data Entry'!$D3467='Visual SPC'!$G$4),OR('Visual SPC'!$I$4="",'Data Entry'!$E3467='Visual SPC'!$I$4),OR('Visual SPC'!$K$4="",'Data Entry'!$F3467='Visual SPC'!$K$4)),1,0))</f>
        <v/>
      </c>
      <c r="C3467">
        <f>C3466+B3467</f>
        <v/>
      </c>
      <c r="D3467">
        <f>IF(B3467=1,INDEX('Data Entry'!$H$5:$BE$10004,3467-4,'Visual SPC'!$B$3),"")</f>
        <v/>
      </c>
      <c r="E3467">
        <f>IF(B3467=1,D3467,E3466)</f>
        <v/>
      </c>
      <c r="F3467">
        <f>IF(AND(B3467=1,C3467&gt;1,E3466&lt;&gt;""),ABS(D3467-E3466),"")</f>
        <v/>
      </c>
    </row>
    <row r="3468">
      <c r="A3468" t="n">
        <v>3468</v>
      </c>
      <c r="B3468">
        <f>IF(INDEX('Data Entry'!$H$5:$BE$10004,3468-4,'Visual SPC'!$B$3)="",0,IF(AND(OR('Visual SPC'!$C$4="",'Data Entry'!$C3468&gt;='Visual SPC'!$C$4),OR('Visual SPC'!$E$4="",'Data Entry'!$C3468&lt;='Visual SPC'!$E$4),OR('Visual SPC'!$G$4="",'Data Entry'!$D3468='Visual SPC'!$G$4),OR('Visual SPC'!$I$4="",'Data Entry'!$E3468='Visual SPC'!$I$4),OR('Visual SPC'!$K$4="",'Data Entry'!$F3468='Visual SPC'!$K$4)),1,0))</f>
        <v/>
      </c>
      <c r="C3468">
        <f>C3467+B3468</f>
        <v/>
      </c>
      <c r="D3468">
        <f>IF(B3468=1,INDEX('Data Entry'!$H$5:$BE$10004,3468-4,'Visual SPC'!$B$3),"")</f>
        <v/>
      </c>
      <c r="E3468">
        <f>IF(B3468=1,D3468,E3467)</f>
        <v/>
      </c>
      <c r="F3468">
        <f>IF(AND(B3468=1,C3468&gt;1,E3467&lt;&gt;""),ABS(D3468-E3467),"")</f>
        <v/>
      </c>
    </row>
    <row r="3469">
      <c r="A3469" t="n">
        <v>3469</v>
      </c>
      <c r="B3469">
        <f>IF(INDEX('Data Entry'!$H$5:$BE$10004,3469-4,'Visual SPC'!$B$3)="",0,IF(AND(OR('Visual SPC'!$C$4="",'Data Entry'!$C3469&gt;='Visual SPC'!$C$4),OR('Visual SPC'!$E$4="",'Data Entry'!$C3469&lt;='Visual SPC'!$E$4),OR('Visual SPC'!$G$4="",'Data Entry'!$D3469='Visual SPC'!$G$4),OR('Visual SPC'!$I$4="",'Data Entry'!$E3469='Visual SPC'!$I$4),OR('Visual SPC'!$K$4="",'Data Entry'!$F3469='Visual SPC'!$K$4)),1,0))</f>
        <v/>
      </c>
      <c r="C3469">
        <f>C3468+B3469</f>
        <v/>
      </c>
      <c r="D3469">
        <f>IF(B3469=1,INDEX('Data Entry'!$H$5:$BE$10004,3469-4,'Visual SPC'!$B$3),"")</f>
        <v/>
      </c>
      <c r="E3469">
        <f>IF(B3469=1,D3469,E3468)</f>
        <v/>
      </c>
      <c r="F3469">
        <f>IF(AND(B3469=1,C3469&gt;1,E3468&lt;&gt;""),ABS(D3469-E3468),"")</f>
        <v/>
      </c>
    </row>
    <row r="3470">
      <c r="A3470" t="n">
        <v>3470</v>
      </c>
      <c r="B3470">
        <f>IF(INDEX('Data Entry'!$H$5:$BE$10004,3470-4,'Visual SPC'!$B$3)="",0,IF(AND(OR('Visual SPC'!$C$4="",'Data Entry'!$C3470&gt;='Visual SPC'!$C$4),OR('Visual SPC'!$E$4="",'Data Entry'!$C3470&lt;='Visual SPC'!$E$4),OR('Visual SPC'!$G$4="",'Data Entry'!$D3470='Visual SPC'!$G$4),OR('Visual SPC'!$I$4="",'Data Entry'!$E3470='Visual SPC'!$I$4),OR('Visual SPC'!$K$4="",'Data Entry'!$F3470='Visual SPC'!$K$4)),1,0))</f>
        <v/>
      </c>
      <c r="C3470">
        <f>C3469+B3470</f>
        <v/>
      </c>
      <c r="D3470">
        <f>IF(B3470=1,INDEX('Data Entry'!$H$5:$BE$10004,3470-4,'Visual SPC'!$B$3),"")</f>
        <v/>
      </c>
      <c r="E3470">
        <f>IF(B3470=1,D3470,E3469)</f>
        <v/>
      </c>
      <c r="F3470">
        <f>IF(AND(B3470=1,C3470&gt;1,E3469&lt;&gt;""),ABS(D3470-E3469),"")</f>
        <v/>
      </c>
    </row>
    <row r="3471">
      <c r="A3471" t="n">
        <v>3471</v>
      </c>
      <c r="B3471">
        <f>IF(INDEX('Data Entry'!$H$5:$BE$10004,3471-4,'Visual SPC'!$B$3)="",0,IF(AND(OR('Visual SPC'!$C$4="",'Data Entry'!$C3471&gt;='Visual SPC'!$C$4),OR('Visual SPC'!$E$4="",'Data Entry'!$C3471&lt;='Visual SPC'!$E$4),OR('Visual SPC'!$G$4="",'Data Entry'!$D3471='Visual SPC'!$G$4),OR('Visual SPC'!$I$4="",'Data Entry'!$E3471='Visual SPC'!$I$4),OR('Visual SPC'!$K$4="",'Data Entry'!$F3471='Visual SPC'!$K$4)),1,0))</f>
        <v/>
      </c>
      <c r="C3471">
        <f>C3470+B3471</f>
        <v/>
      </c>
      <c r="D3471">
        <f>IF(B3471=1,INDEX('Data Entry'!$H$5:$BE$10004,3471-4,'Visual SPC'!$B$3),"")</f>
        <v/>
      </c>
      <c r="E3471">
        <f>IF(B3471=1,D3471,E3470)</f>
        <v/>
      </c>
      <c r="F3471">
        <f>IF(AND(B3471=1,C3471&gt;1,E3470&lt;&gt;""),ABS(D3471-E3470),"")</f>
        <v/>
      </c>
    </row>
    <row r="3472">
      <c r="A3472" t="n">
        <v>3472</v>
      </c>
      <c r="B3472">
        <f>IF(INDEX('Data Entry'!$H$5:$BE$10004,3472-4,'Visual SPC'!$B$3)="",0,IF(AND(OR('Visual SPC'!$C$4="",'Data Entry'!$C3472&gt;='Visual SPC'!$C$4),OR('Visual SPC'!$E$4="",'Data Entry'!$C3472&lt;='Visual SPC'!$E$4),OR('Visual SPC'!$G$4="",'Data Entry'!$D3472='Visual SPC'!$G$4),OR('Visual SPC'!$I$4="",'Data Entry'!$E3472='Visual SPC'!$I$4),OR('Visual SPC'!$K$4="",'Data Entry'!$F3472='Visual SPC'!$K$4)),1,0))</f>
        <v/>
      </c>
      <c r="C3472">
        <f>C3471+B3472</f>
        <v/>
      </c>
      <c r="D3472">
        <f>IF(B3472=1,INDEX('Data Entry'!$H$5:$BE$10004,3472-4,'Visual SPC'!$B$3),"")</f>
        <v/>
      </c>
      <c r="E3472">
        <f>IF(B3472=1,D3472,E3471)</f>
        <v/>
      </c>
      <c r="F3472">
        <f>IF(AND(B3472=1,C3472&gt;1,E3471&lt;&gt;""),ABS(D3472-E3471),"")</f>
        <v/>
      </c>
    </row>
    <row r="3473">
      <c r="A3473" t="n">
        <v>3473</v>
      </c>
      <c r="B3473">
        <f>IF(INDEX('Data Entry'!$H$5:$BE$10004,3473-4,'Visual SPC'!$B$3)="",0,IF(AND(OR('Visual SPC'!$C$4="",'Data Entry'!$C3473&gt;='Visual SPC'!$C$4),OR('Visual SPC'!$E$4="",'Data Entry'!$C3473&lt;='Visual SPC'!$E$4),OR('Visual SPC'!$G$4="",'Data Entry'!$D3473='Visual SPC'!$G$4),OR('Visual SPC'!$I$4="",'Data Entry'!$E3473='Visual SPC'!$I$4),OR('Visual SPC'!$K$4="",'Data Entry'!$F3473='Visual SPC'!$K$4)),1,0))</f>
        <v/>
      </c>
      <c r="C3473">
        <f>C3472+B3473</f>
        <v/>
      </c>
      <c r="D3473">
        <f>IF(B3473=1,INDEX('Data Entry'!$H$5:$BE$10004,3473-4,'Visual SPC'!$B$3),"")</f>
        <v/>
      </c>
      <c r="E3473">
        <f>IF(B3473=1,D3473,E3472)</f>
        <v/>
      </c>
      <c r="F3473">
        <f>IF(AND(B3473=1,C3473&gt;1,E3472&lt;&gt;""),ABS(D3473-E3472),"")</f>
        <v/>
      </c>
    </row>
    <row r="3474">
      <c r="A3474" t="n">
        <v>3474</v>
      </c>
      <c r="B3474">
        <f>IF(INDEX('Data Entry'!$H$5:$BE$10004,3474-4,'Visual SPC'!$B$3)="",0,IF(AND(OR('Visual SPC'!$C$4="",'Data Entry'!$C3474&gt;='Visual SPC'!$C$4),OR('Visual SPC'!$E$4="",'Data Entry'!$C3474&lt;='Visual SPC'!$E$4),OR('Visual SPC'!$G$4="",'Data Entry'!$D3474='Visual SPC'!$G$4),OR('Visual SPC'!$I$4="",'Data Entry'!$E3474='Visual SPC'!$I$4),OR('Visual SPC'!$K$4="",'Data Entry'!$F3474='Visual SPC'!$K$4)),1,0))</f>
        <v/>
      </c>
      <c r="C3474">
        <f>C3473+B3474</f>
        <v/>
      </c>
      <c r="D3474">
        <f>IF(B3474=1,INDEX('Data Entry'!$H$5:$BE$10004,3474-4,'Visual SPC'!$B$3),"")</f>
        <v/>
      </c>
      <c r="E3474">
        <f>IF(B3474=1,D3474,E3473)</f>
        <v/>
      </c>
      <c r="F3474">
        <f>IF(AND(B3474=1,C3474&gt;1,E3473&lt;&gt;""),ABS(D3474-E3473),"")</f>
        <v/>
      </c>
    </row>
    <row r="3475">
      <c r="A3475" t="n">
        <v>3475</v>
      </c>
      <c r="B3475">
        <f>IF(INDEX('Data Entry'!$H$5:$BE$10004,3475-4,'Visual SPC'!$B$3)="",0,IF(AND(OR('Visual SPC'!$C$4="",'Data Entry'!$C3475&gt;='Visual SPC'!$C$4),OR('Visual SPC'!$E$4="",'Data Entry'!$C3475&lt;='Visual SPC'!$E$4),OR('Visual SPC'!$G$4="",'Data Entry'!$D3475='Visual SPC'!$G$4),OR('Visual SPC'!$I$4="",'Data Entry'!$E3475='Visual SPC'!$I$4),OR('Visual SPC'!$K$4="",'Data Entry'!$F3475='Visual SPC'!$K$4)),1,0))</f>
        <v/>
      </c>
      <c r="C3475">
        <f>C3474+B3475</f>
        <v/>
      </c>
      <c r="D3475">
        <f>IF(B3475=1,INDEX('Data Entry'!$H$5:$BE$10004,3475-4,'Visual SPC'!$B$3),"")</f>
        <v/>
      </c>
      <c r="E3475">
        <f>IF(B3475=1,D3475,E3474)</f>
        <v/>
      </c>
      <c r="F3475">
        <f>IF(AND(B3475=1,C3475&gt;1,E3474&lt;&gt;""),ABS(D3475-E3474),"")</f>
        <v/>
      </c>
    </row>
    <row r="3476">
      <c r="A3476" t="n">
        <v>3476</v>
      </c>
      <c r="B3476">
        <f>IF(INDEX('Data Entry'!$H$5:$BE$10004,3476-4,'Visual SPC'!$B$3)="",0,IF(AND(OR('Visual SPC'!$C$4="",'Data Entry'!$C3476&gt;='Visual SPC'!$C$4),OR('Visual SPC'!$E$4="",'Data Entry'!$C3476&lt;='Visual SPC'!$E$4),OR('Visual SPC'!$G$4="",'Data Entry'!$D3476='Visual SPC'!$G$4),OR('Visual SPC'!$I$4="",'Data Entry'!$E3476='Visual SPC'!$I$4),OR('Visual SPC'!$K$4="",'Data Entry'!$F3476='Visual SPC'!$K$4)),1,0))</f>
        <v/>
      </c>
      <c r="C3476">
        <f>C3475+B3476</f>
        <v/>
      </c>
      <c r="D3476">
        <f>IF(B3476=1,INDEX('Data Entry'!$H$5:$BE$10004,3476-4,'Visual SPC'!$B$3),"")</f>
        <v/>
      </c>
      <c r="E3476">
        <f>IF(B3476=1,D3476,E3475)</f>
        <v/>
      </c>
      <c r="F3476">
        <f>IF(AND(B3476=1,C3476&gt;1,E3475&lt;&gt;""),ABS(D3476-E3475),"")</f>
        <v/>
      </c>
    </row>
    <row r="3477">
      <c r="A3477" t="n">
        <v>3477</v>
      </c>
      <c r="B3477">
        <f>IF(INDEX('Data Entry'!$H$5:$BE$10004,3477-4,'Visual SPC'!$B$3)="",0,IF(AND(OR('Visual SPC'!$C$4="",'Data Entry'!$C3477&gt;='Visual SPC'!$C$4),OR('Visual SPC'!$E$4="",'Data Entry'!$C3477&lt;='Visual SPC'!$E$4),OR('Visual SPC'!$G$4="",'Data Entry'!$D3477='Visual SPC'!$G$4),OR('Visual SPC'!$I$4="",'Data Entry'!$E3477='Visual SPC'!$I$4),OR('Visual SPC'!$K$4="",'Data Entry'!$F3477='Visual SPC'!$K$4)),1,0))</f>
        <v/>
      </c>
      <c r="C3477">
        <f>C3476+B3477</f>
        <v/>
      </c>
      <c r="D3477">
        <f>IF(B3477=1,INDEX('Data Entry'!$H$5:$BE$10004,3477-4,'Visual SPC'!$B$3),"")</f>
        <v/>
      </c>
      <c r="E3477">
        <f>IF(B3477=1,D3477,E3476)</f>
        <v/>
      </c>
      <c r="F3477">
        <f>IF(AND(B3477=1,C3477&gt;1,E3476&lt;&gt;""),ABS(D3477-E3476),"")</f>
        <v/>
      </c>
    </row>
    <row r="3478">
      <c r="A3478" t="n">
        <v>3478</v>
      </c>
      <c r="B3478">
        <f>IF(INDEX('Data Entry'!$H$5:$BE$10004,3478-4,'Visual SPC'!$B$3)="",0,IF(AND(OR('Visual SPC'!$C$4="",'Data Entry'!$C3478&gt;='Visual SPC'!$C$4),OR('Visual SPC'!$E$4="",'Data Entry'!$C3478&lt;='Visual SPC'!$E$4),OR('Visual SPC'!$G$4="",'Data Entry'!$D3478='Visual SPC'!$G$4),OR('Visual SPC'!$I$4="",'Data Entry'!$E3478='Visual SPC'!$I$4),OR('Visual SPC'!$K$4="",'Data Entry'!$F3478='Visual SPC'!$K$4)),1,0))</f>
        <v/>
      </c>
      <c r="C3478">
        <f>C3477+B3478</f>
        <v/>
      </c>
      <c r="D3478">
        <f>IF(B3478=1,INDEX('Data Entry'!$H$5:$BE$10004,3478-4,'Visual SPC'!$B$3),"")</f>
        <v/>
      </c>
      <c r="E3478">
        <f>IF(B3478=1,D3478,E3477)</f>
        <v/>
      </c>
      <c r="F3478">
        <f>IF(AND(B3478=1,C3478&gt;1,E3477&lt;&gt;""),ABS(D3478-E3477),"")</f>
        <v/>
      </c>
    </row>
    <row r="3479">
      <c r="A3479" t="n">
        <v>3479</v>
      </c>
      <c r="B3479">
        <f>IF(INDEX('Data Entry'!$H$5:$BE$10004,3479-4,'Visual SPC'!$B$3)="",0,IF(AND(OR('Visual SPC'!$C$4="",'Data Entry'!$C3479&gt;='Visual SPC'!$C$4),OR('Visual SPC'!$E$4="",'Data Entry'!$C3479&lt;='Visual SPC'!$E$4),OR('Visual SPC'!$G$4="",'Data Entry'!$D3479='Visual SPC'!$G$4),OR('Visual SPC'!$I$4="",'Data Entry'!$E3479='Visual SPC'!$I$4),OR('Visual SPC'!$K$4="",'Data Entry'!$F3479='Visual SPC'!$K$4)),1,0))</f>
        <v/>
      </c>
      <c r="C3479">
        <f>C3478+B3479</f>
        <v/>
      </c>
      <c r="D3479">
        <f>IF(B3479=1,INDEX('Data Entry'!$H$5:$BE$10004,3479-4,'Visual SPC'!$B$3),"")</f>
        <v/>
      </c>
      <c r="E3479">
        <f>IF(B3479=1,D3479,E3478)</f>
        <v/>
      </c>
      <c r="F3479">
        <f>IF(AND(B3479=1,C3479&gt;1,E3478&lt;&gt;""),ABS(D3479-E3478),"")</f>
        <v/>
      </c>
    </row>
    <row r="3480">
      <c r="A3480" t="n">
        <v>3480</v>
      </c>
      <c r="B3480">
        <f>IF(INDEX('Data Entry'!$H$5:$BE$10004,3480-4,'Visual SPC'!$B$3)="",0,IF(AND(OR('Visual SPC'!$C$4="",'Data Entry'!$C3480&gt;='Visual SPC'!$C$4),OR('Visual SPC'!$E$4="",'Data Entry'!$C3480&lt;='Visual SPC'!$E$4),OR('Visual SPC'!$G$4="",'Data Entry'!$D3480='Visual SPC'!$G$4),OR('Visual SPC'!$I$4="",'Data Entry'!$E3480='Visual SPC'!$I$4),OR('Visual SPC'!$K$4="",'Data Entry'!$F3480='Visual SPC'!$K$4)),1,0))</f>
        <v/>
      </c>
      <c r="C3480">
        <f>C3479+B3480</f>
        <v/>
      </c>
      <c r="D3480">
        <f>IF(B3480=1,INDEX('Data Entry'!$H$5:$BE$10004,3480-4,'Visual SPC'!$B$3),"")</f>
        <v/>
      </c>
      <c r="E3480">
        <f>IF(B3480=1,D3480,E3479)</f>
        <v/>
      </c>
      <c r="F3480">
        <f>IF(AND(B3480=1,C3480&gt;1,E3479&lt;&gt;""),ABS(D3480-E3479),"")</f>
        <v/>
      </c>
    </row>
    <row r="3481">
      <c r="A3481" t="n">
        <v>3481</v>
      </c>
      <c r="B3481">
        <f>IF(INDEX('Data Entry'!$H$5:$BE$10004,3481-4,'Visual SPC'!$B$3)="",0,IF(AND(OR('Visual SPC'!$C$4="",'Data Entry'!$C3481&gt;='Visual SPC'!$C$4),OR('Visual SPC'!$E$4="",'Data Entry'!$C3481&lt;='Visual SPC'!$E$4),OR('Visual SPC'!$G$4="",'Data Entry'!$D3481='Visual SPC'!$G$4),OR('Visual SPC'!$I$4="",'Data Entry'!$E3481='Visual SPC'!$I$4),OR('Visual SPC'!$K$4="",'Data Entry'!$F3481='Visual SPC'!$K$4)),1,0))</f>
        <v/>
      </c>
      <c r="C3481">
        <f>C3480+B3481</f>
        <v/>
      </c>
      <c r="D3481">
        <f>IF(B3481=1,INDEX('Data Entry'!$H$5:$BE$10004,3481-4,'Visual SPC'!$B$3),"")</f>
        <v/>
      </c>
      <c r="E3481">
        <f>IF(B3481=1,D3481,E3480)</f>
        <v/>
      </c>
      <c r="F3481">
        <f>IF(AND(B3481=1,C3481&gt;1,E3480&lt;&gt;""),ABS(D3481-E3480),"")</f>
        <v/>
      </c>
    </row>
    <row r="3482">
      <c r="A3482" t="n">
        <v>3482</v>
      </c>
      <c r="B3482">
        <f>IF(INDEX('Data Entry'!$H$5:$BE$10004,3482-4,'Visual SPC'!$B$3)="",0,IF(AND(OR('Visual SPC'!$C$4="",'Data Entry'!$C3482&gt;='Visual SPC'!$C$4),OR('Visual SPC'!$E$4="",'Data Entry'!$C3482&lt;='Visual SPC'!$E$4),OR('Visual SPC'!$G$4="",'Data Entry'!$D3482='Visual SPC'!$G$4),OR('Visual SPC'!$I$4="",'Data Entry'!$E3482='Visual SPC'!$I$4),OR('Visual SPC'!$K$4="",'Data Entry'!$F3482='Visual SPC'!$K$4)),1,0))</f>
        <v/>
      </c>
      <c r="C3482">
        <f>C3481+B3482</f>
        <v/>
      </c>
      <c r="D3482">
        <f>IF(B3482=1,INDEX('Data Entry'!$H$5:$BE$10004,3482-4,'Visual SPC'!$B$3),"")</f>
        <v/>
      </c>
      <c r="E3482">
        <f>IF(B3482=1,D3482,E3481)</f>
        <v/>
      </c>
      <c r="F3482">
        <f>IF(AND(B3482=1,C3482&gt;1,E3481&lt;&gt;""),ABS(D3482-E3481),"")</f>
        <v/>
      </c>
    </row>
    <row r="3483">
      <c r="A3483" t="n">
        <v>3483</v>
      </c>
      <c r="B3483">
        <f>IF(INDEX('Data Entry'!$H$5:$BE$10004,3483-4,'Visual SPC'!$B$3)="",0,IF(AND(OR('Visual SPC'!$C$4="",'Data Entry'!$C3483&gt;='Visual SPC'!$C$4),OR('Visual SPC'!$E$4="",'Data Entry'!$C3483&lt;='Visual SPC'!$E$4),OR('Visual SPC'!$G$4="",'Data Entry'!$D3483='Visual SPC'!$G$4),OR('Visual SPC'!$I$4="",'Data Entry'!$E3483='Visual SPC'!$I$4),OR('Visual SPC'!$K$4="",'Data Entry'!$F3483='Visual SPC'!$K$4)),1,0))</f>
        <v/>
      </c>
      <c r="C3483">
        <f>C3482+B3483</f>
        <v/>
      </c>
      <c r="D3483">
        <f>IF(B3483=1,INDEX('Data Entry'!$H$5:$BE$10004,3483-4,'Visual SPC'!$B$3),"")</f>
        <v/>
      </c>
      <c r="E3483">
        <f>IF(B3483=1,D3483,E3482)</f>
        <v/>
      </c>
      <c r="F3483">
        <f>IF(AND(B3483=1,C3483&gt;1,E3482&lt;&gt;""),ABS(D3483-E3482),"")</f>
        <v/>
      </c>
    </row>
    <row r="3484">
      <c r="A3484" t="n">
        <v>3484</v>
      </c>
      <c r="B3484">
        <f>IF(INDEX('Data Entry'!$H$5:$BE$10004,3484-4,'Visual SPC'!$B$3)="",0,IF(AND(OR('Visual SPC'!$C$4="",'Data Entry'!$C3484&gt;='Visual SPC'!$C$4),OR('Visual SPC'!$E$4="",'Data Entry'!$C3484&lt;='Visual SPC'!$E$4),OR('Visual SPC'!$G$4="",'Data Entry'!$D3484='Visual SPC'!$G$4),OR('Visual SPC'!$I$4="",'Data Entry'!$E3484='Visual SPC'!$I$4),OR('Visual SPC'!$K$4="",'Data Entry'!$F3484='Visual SPC'!$K$4)),1,0))</f>
        <v/>
      </c>
      <c r="C3484">
        <f>C3483+B3484</f>
        <v/>
      </c>
      <c r="D3484">
        <f>IF(B3484=1,INDEX('Data Entry'!$H$5:$BE$10004,3484-4,'Visual SPC'!$B$3),"")</f>
        <v/>
      </c>
      <c r="E3484">
        <f>IF(B3484=1,D3484,E3483)</f>
        <v/>
      </c>
      <c r="F3484">
        <f>IF(AND(B3484=1,C3484&gt;1,E3483&lt;&gt;""),ABS(D3484-E3483),"")</f>
        <v/>
      </c>
    </row>
    <row r="3485">
      <c r="A3485" t="n">
        <v>3485</v>
      </c>
      <c r="B3485">
        <f>IF(INDEX('Data Entry'!$H$5:$BE$10004,3485-4,'Visual SPC'!$B$3)="",0,IF(AND(OR('Visual SPC'!$C$4="",'Data Entry'!$C3485&gt;='Visual SPC'!$C$4),OR('Visual SPC'!$E$4="",'Data Entry'!$C3485&lt;='Visual SPC'!$E$4),OR('Visual SPC'!$G$4="",'Data Entry'!$D3485='Visual SPC'!$G$4),OR('Visual SPC'!$I$4="",'Data Entry'!$E3485='Visual SPC'!$I$4),OR('Visual SPC'!$K$4="",'Data Entry'!$F3485='Visual SPC'!$K$4)),1,0))</f>
        <v/>
      </c>
      <c r="C3485">
        <f>C3484+B3485</f>
        <v/>
      </c>
      <c r="D3485">
        <f>IF(B3485=1,INDEX('Data Entry'!$H$5:$BE$10004,3485-4,'Visual SPC'!$B$3),"")</f>
        <v/>
      </c>
      <c r="E3485">
        <f>IF(B3485=1,D3485,E3484)</f>
        <v/>
      </c>
      <c r="F3485">
        <f>IF(AND(B3485=1,C3485&gt;1,E3484&lt;&gt;""),ABS(D3485-E3484),"")</f>
        <v/>
      </c>
    </row>
    <row r="3486">
      <c r="A3486" t="n">
        <v>3486</v>
      </c>
      <c r="B3486">
        <f>IF(INDEX('Data Entry'!$H$5:$BE$10004,3486-4,'Visual SPC'!$B$3)="",0,IF(AND(OR('Visual SPC'!$C$4="",'Data Entry'!$C3486&gt;='Visual SPC'!$C$4),OR('Visual SPC'!$E$4="",'Data Entry'!$C3486&lt;='Visual SPC'!$E$4),OR('Visual SPC'!$G$4="",'Data Entry'!$D3486='Visual SPC'!$G$4),OR('Visual SPC'!$I$4="",'Data Entry'!$E3486='Visual SPC'!$I$4),OR('Visual SPC'!$K$4="",'Data Entry'!$F3486='Visual SPC'!$K$4)),1,0))</f>
        <v/>
      </c>
      <c r="C3486">
        <f>C3485+B3486</f>
        <v/>
      </c>
      <c r="D3486">
        <f>IF(B3486=1,INDEX('Data Entry'!$H$5:$BE$10004,3486-4,'Visual SPC'!$B$3),"")</f>
        <v/>
      </c>
      <c r="E3486">
        <f>IF(B3486=1,D3486,E3485)</f>
        <v/>
      </c>
      <c r="F3486">
        <f>IF(AND(B3486=1,C3486&gt;1,E3485&lt;&gt;""),ABS(D3486-E3485),"")</f>
        <v/>
      </c>
    </row>
    <row r="3487">
      <c r="A3487" t="n">
        <v>3487</v>
      </c>
      <c r="B3487">
        <f>IF(INDEX('Data Entry'!$H$5:$BE$10004,3487-4,'Visual SPC'!$B$3)="",0,IF(AND(OR('Visual SPC'!$C$4="",'Data Entry'!$C3487&gt;='Visual SPC'!$C$4),OR('Visual SPC'!$E$4="",'Data Entry'!$C3487&lt;='Visual SPC'!$E$4),OR('Visual SPC'!$G$4="",'Data Entry'!$D3487='Visual SPC'!$G$4),OR('Visual SPC'!$I$4="",'Data Entry'!$E3487='Visual SPC'!$I$4),OR('Visual SPC'!$K$4="",'Data Entry'!$F3487='Visual SPC'!$K$4)),1,0))</f>
        <v/>
      </c>
      <c r="C3487">
        <f>C3486+B3487</f>
        <v/>
      </c>
      <c r="D3487">
        <f>IF(B3487=1,INDEX('Data Entry'!$H$5:$BE$10004,3487-4,'Visual SPC'!$B$3),"")</f>
        <v/>
      </c>
      <c r="E3487">
        <f>IF(B3487=1,D3487,E3486)</f>
        <v/>
      </c>
      <c r="F3487">
        <f>IF(AND(B3487=1,C3487&gt;1,E3486&lt;&gt;""),ABS(D3487-E3486),"")</f>
        <v/>
      </c>
    </row>
    <row r="3488">
      <c r="A3488" t="n">
        <v>3488</v>
      </c>
      <c r="B3488">
        <f>IF(INDEX('Data Entry'!$H$5:$BE$10004,3488-4,'Visual SPC'!$B$3)="",0,IF(AND(OR('Visual SPC'!$C$4="",'Data Entry'!$C3488&gt;='Visual SPC'!$C$4),OR('Visual SPC'!$E$4="",'Data Entry'!$C3488&lt;='Visual SPC'!$E$4),OR('Visual SPC'!$G$4="",'Data Entry'!$D3488='Visual SPC'!$G$4),OR('Visual SPC'!$I$4="",'Data Entry'!$E3488='Visual SPC'!$I$4),OR('Visual SPC'!$K$4="",'Data Entry'!$F3488='Visual SPC'!$K$4)),1,0))</f>
        <v/>
      </c>
      <c r="C3488">
        <f>C3487+B3488</f>
        <v/>
      </c>
      <c r="D3488">
        <f>IF(B3488=1,INDEX('Data Entry'!$H$5:$BE$10004,3488-4,'Visual SPC'!$B$3),"")</f>
        <v/>
      </c>
      <c r="E3488">
        <f>IF(B3488=1,D3488,E3487)</f>
        <v/>
      </c>
      <c r="F3488">
        <f>IF(AND(B3488=1,C3488&gt;1,E3487&lt;&gt;""),ABS(D3488-E3487),"")</f>
        <v/>
      </c>
    </row>
    <row r="3489">
      <c r="A3489" t="n">
        <v>3489</v>
      </c>
      <c r="B3489">
        <f>IF(INDEX('Data Entry'!$H$5:$BE$10004,3489-4,'Visual SPC'!$B$3)="",0,IF(AND(OR('Visual SPC'!$C$4="",'Data Entry'!$C3489&gt;='Visual SPC'!$C$4),OR('Visual SPC'!$E$4="",'Data Entry'!$C3489&lt;='Visual SPC'!$E$4),OR('Visual SPC'!$G$4="",'Data Entry'!$D3489='Visual SPC'!$G$4),OR('Visual SPC'!$I$4="",'Data Entry'!$E3489='Visual SPC'!$I$4),OR('Visual SPC'!$K$4="",'Data Entry'!$F3489='Visual SPC'!$K$4)),1,0))</f>
        <v/>
      </c>
      <c r="C3489">
        <f>C3488+B3489</f>
        <v/>
      </c>
      <c r="D3489">
        <f>IF(B3489=1,INDEX('Data Entry'!$H$5:$BE$10004,3489-4,'Visual SPC'!$B$3),"")</f>
        <v/>
      </c>
      <c r="E3489">
        <f>IF(B3489=1,D3489,E3488)</f>
        <v/>
      </c>
      <c r="F3489">
        <f>IF(AND(B3489=1,C3489&gt;1,E3488&lt;&gt;""),ABS(D3489-E3488),"")</f>
        <v/>
      </c>
    </row>
    <row r="3490">
      <c r="A3490" t="n">
        <v>3490</v>
      </c>
      <c r="B3490">
        <f>IF(INDEX('Data Entry'!$H$5:$BE$10004,3490-4,'Visual SPC'!$B$3)="",0,IF(AND(OR('Visual SPC'!$C$4="",'Data Entry'!$C3490&gt;='Visual SPC'!$C$4),OR('Visual SPC'!$E$4="",'Data Entry'!$C3490&lt;='Visual SPC'!$E$4),OR('Visual SPC'!$G$4="",'Data Entry'!$D3490='Visual SPC'!$G$4),OR('Visual SPC'!$I$4="",'Data Entry'!$E3490='Visual SPC'!$I$4),OR('Visual SPC'!$K$4="",'Data Entry'!$F3490='Visual SPC'!$K$4)),1,0))</f>
        <v/>
      </c>
      <c r="C3490">
        <f>C3489+B3490</f>
        <v/>
      </c>
      <c r="D3490">
        <f>IF(B3490=1,INDEX('Data Entry'!$H$5:$BE$10004,3490-4,'Visual SPC'!$B$3),"")</f>
        <v/>
      </c>
      <c r="E3490">
        <f>IF(B3490=1,D3490,E3489)</f>
        <v/>
      </c>
      <c r="F3490">
        <f>IF(AND(B3490=1,C3490&gt;1,E3489&lt;&gt;""),ABS(D3490-E3489),"")</f>
        <v/>
      </c>
    </row>
    <row r="3491">
      <c r="A3491" t="n">
        <v>3491</v>
      </c>
      <c r="B3491">
        <f>IF(INDEX('Data Entry'!$H$5:$BE$10004,3491-4,'Visual SPC'!$B$3)="",0,IF(AND(OR('Visual SPC'!$C$4="",'Data Entry'!$C3491&gt;='Visual SPC'!$C$4),OR('Visual SPC'!$E$4="",'Data Entry'!$C3491&lt;='Visual SPC'!$E$4),OR('Visual SPC'!$G$4="",'Data Entry'!$D3491='Visual SPC'!$G$4),OR('Visual SPC'!$I$4="",'Data Entry'!$E3491='Visual SPC'!$I$4),OR('Visual SPC'!$K$4="",'Data Entry'!$F3491='Visual SPC'!$K$4)),1,0))</f>
        <v/>
      </c>
      <c r="C3491">
        <f>C3490+B3491</f>
        <v/>
      </c>
      <c r="D3491">
        <f>IF(B3491=1,INDEX('Data Entry'!$H$5:$BE$10004,3491-4,'Visual SPC'!$B$3),"")</f>
        <v/>
      </c>
      <c r="E3491">
        <f>IF(B3491=1,D3491,E3490)</f>
        <v/>
      </c>
      <c r="F3491">
        <f>IF(AND(B3491=1,C3491&gt;1,E3490&lt;&gt;""),ABS(D3491-E3490),"")</f>
        <v/>
      </c>
    </row>
    <row r="3492">
      <c r="A3492" t="n">
        <v>3492</v>
      </c>
      <c r="B3492">
        <f>IF(INDEX('Data Entry'!$H$5:$BE$10004,3492-4,'Visual SPC'!$B$3)="",0,IF(AND(OR('Visual SPC'!$C$4="",'Data Entry'!$C3492&gt;='Visual SPC'!$C$4),OR('Visual SPC'!$E$4="",'Data Entry'!$C3492&lt;='Visual SPC'!$E$4),OR('Visual SPC'!$G$4="",'Data Entry'!$D3492='Visual SPC'!$G$4),OR('Visual SPC'!$I$4="",'Data Entry'!$E3492='Visual SPC'!$I$4),OR('Visual SPC'!$K$4="",'Data Entry'!$F3492='Visual SPC'!$K$4)),1,0))</f>
        <v/>
      </c>
      <c r="C3492">
        <f>C3491+B3492</f>
        <v/>
      </c>
      <c r="D3492">
        <f>IF(B3492=1,INDEX('Data Entry'!$H$5:$BE$10004,3492-4,'Visual SPC'!$B$3),"")</f>
        <v/>
      </c>
      <c r="E3492">
        <f>IF(B3492=1,D3492,E3491)</f>
        <v/>
      </c>
      <c r="F3492">
        <f>IF(AND(B3492=1,C3492&gt;1,E3491&lt;&gt;""),ABS(D3492-E3491),"")</f>
        <v/>
      </c>
    </row>
    <row r="3493">
      <c r="A3493" t="n">
        <v>3493</v>
      </c>
      <c r="B3493">
        <f>IF(INDEX('Data Entry'!$H$5:$BE$10004,3493-4,'Visual SPC'!$B$3)="",0,IF(AND(OR('Visual SPC'!$C$4="",'Data Entry'!$C3493&gt;='Visual SPC'!$C$4),OR('Visual SPC'!$E$4="",'Data Entry'!$C3493&lt;='Visual SPC'!$E$4),OR('Visual SPC'!$G$4="",'Data Entry'!$D3493='Visual SPC'!$G$4),OR('Visual SPC'!$I$4="",'Data Entry'!$E3493='Visual SPC'!$I$4),OR('Visual SPC'!$K$4="",'Data Entry'!$F3493='Visual SPC'!$K$4)),1,0))</f>
        <v/>
      </c>
      <c r="C3493">
        <f>C3492+B3493</f>
        <v/>
      </c>
      <c r="D3493">
        <f>IF(B3493=1,INDEX('Data Entry'!$H$5:$BE$10004,3493-4,'Visual SPC'!$B$3),"")</f>
        <v/>
      </c>
      <c r="E3493">
        <f>IF(B3493=1,D3493,E3492)</f>
        <v/>
      </c>
      <c r="F3493">
        <f>IF(AND(B3493=1,C3493&gt;1,E3492&lt;&gt;""),ABS(D3493-E3492),"")</f>
        <v/>
      </c>
    </row>
    <row r="3494">
      <c r="A3494" t="n">
        <v>3494</v>
      </c>
      <c r="B3494">
        <f>IF(INDEX('Data Entry'!$H$5:$BE$10004,3494-4,'Visual SPC'!$B$3)="",0,IF(AND(OR('Visual SPC'!$C$4="",'Data Entry'!$C3494&gt;='Visual SPC'!$C$4),OR('Visual SPC'!$E$4="",'Data Entry'!$C3494&lt;='Visual SPC'!$E$4),OR('Visual SPC'!$G$4="",'Data Entry'!$D3494='Visual SPC'!$G$4),OR('Visual SPC'!$I$4="",'Data Entry'!$E3494='Visual SPC'!$I$4),OR('Visual SPC'!$K$4="",'Data Entry'!$F3494='Visual SPC'!$K$4)),1,0))</f>
        <v/>
      </c>
      <c r="C3494">
        <f>C3493+B3494</f>
        <v/>
      </c>
      <c r="D3494">
        <f>IF(B3494=1,INDEX('Data Entry'!$H$5:$BE$10004,3494-4,'Visual SPC'!$B$3),"")</f>
        <v/>
      </c>
      <c r="E3494">
        <f>IF(B3494=1,D3494,E3493)</f>
        <v/>
      </c>
      <c r="F3494">
        <f>IF(AND(B3494=1,C3494&gt;1,E3493&lt;&gt;""),ABS(D3494-E3493),"")</f>
        <v/>
      </c>
    </row>
    <row r="3495">
      <c r="A3495" t="n">
        <v>3495</v>
      </c>
      <c r="B3495">
        <f>IF(INDEX('Data Entry'!$H$5:$BE$10004,3495-4,'Visual SPC'!$B$3)="",0,IF(AND(OR('Visual SPC'!$C$4="",'Data Entry'!$C3495&gt;='Visual SPC'!$C$4),OR('Visual SPC'!$E$4="",'Data Entry'!$C3495&lt;='Visual SPC'!$E$4),OR('Visual SPC'!$G$4="",'Data Entry'!$D3495='Visual SPC'!$G$4),OR('Visual SPC'!$I$4="",'Data Entry'!$E3495='Visual SPC'!$I$4),OR('Visual SPC'!$K$4="",'Data Entry'!$F3495='Visual SPC'!$K$4)),1,0))</f>
        <v/>
      </c>
      <c r="C3495">
        <f>C3494+B3495</f>
        <v/>
      </c>
      <c r="D3495">
        <f>IF(B3495=1,INDEX('Data Entry'!$H$5:$BE$10004,3495-4,'Visual SPC'!$B$3),"")</f>
        <v/>
      </c>
      <c r="E3495">
        <f>IF(B3495=1,D3495,E3494)</f>
        <v/>
      </c>
      <c r="F3495">
        <f>IF(AND(B3495=1,C3495&gt;1,E3494&lt;&gt;""),ABS(D3495-E3494),"")</f>
        <v/>
      </c>
    </row>
    <row r="3496">
      <c r="A3496" t="n">
        <v>3496</v>
      </c>
      <c r="B3496">
        <f>IF(INDEX('Data Entry'!$H$5:$BE$10004,3496-4,'Visual SPC'!$B$3)="",0,IF(AND(OR('Visual SPC'!$C$4="",'Data Entry'!$C3496&gt;='Visual SPC'!$C$4),OR('Visual SPC'!$E$4="",'Data Entry'!$C3496&lt;='Visual SPC'!$E$4),OR('Visual SPC'!$G$4="",'Data Entry'!$D3496='Visual SPC'!$G$4),OR('Visual SPC'!$I$4="",'Data Entry'!$E3496='Visual SPC'!$I$4),OR('Visual SPC'!$K$4="",'Data Entry'!$F3496='Visual SPC'!$K$4)),1,0))</f>
        <v/>
      </c>
      <c r="C3496">
        <f>C3495+B3496</f>
        <v/>
      </c>
      <c r="D3496">
        <f>IF(B3496=1,INDEX('Data Entry'!$H$5:$BE$10004,3496-4,'Visual SPC'!$B$3),"")</f>
        <v/>
      </c>
      <c r="E3496">
        <f>IF(B3496=1,D3496,E3495)</f>
        <v/>
      </c>
      <c r="F3496">
        <f>IF(AND(B3496=1,C3496&gt;1,E3495&lt;&gt;""),ABS(D3496-E3495),"")</f>
        <v/>
      </c>
    </row>
    <row r="3497">
      <c r="A3497" t="n">
        <v>3497</v>
      </c>
      <c r="B3497">
        <f>IF(INDEX('Data Entry'!$H$5:$BE$10004,3497-4,'Visual SPC'!$B$3)="",0,IF(AND(OR('Visual SPC'!$C$4="",'Data Entry'!$C3497&gt;='Visual SPC'!$C$4),OR('Visual SPC'!$E$4="",'Data Entry'!$C3497&lt;='Visual SPC'!$E$4),OR('Visual SPC'!$G$4="",'Data Entry'!$D3497='Visual SPC'!$G$4),OR('Visual SPC'!$I$4="",'Data Entry'!$E3497='Visual SPC'!$I$4),OR('Visual SPC'!$K$4="",'Data Entry'!$F3497='Visual SPC'!$K$4)),1,0))</f>
        <v/>
      </c>
      <c r="C3497">
        <f>C3496+B3497</f>
        <v/>
      </c>
      <c r="D3497">
        <f>IF(B3497=1,INDEX('Data Entry'!$H$5:$BE$10004,3497-4,'Visual SPC'!$B$3),"")</f>
        <v/>
      </c>
      <c r="E3497">
        <f>IF(B3497=1,D3497,E3496)</f>
        <v/>
      </c>
      <c r="F3497">
        <f>IF(AND(B3497=1,C3497&gt;1,E3496&lt;&gt;""),ABS(D3497-E3496),"")</f>
        <v/>
      </c>
    </row>
    <row r="3498">
      <c r="A3498" t="n">
        <v>3498</v>
      </c>
      <c r="B3498">
        <f>IF(INDEX('Data Entry'!$H$5:$BE$10004,3498-4,'Visual SPC'!$B$3)="",0,IF(AND(OR('Visual SPC'!$C$4="",'Data Entry'!$C3498&gt;='Visual SPC'!$C$4),OR('Visual SPC'!$E$4="",'Data Entry'!$C3498&lt;='Visual SPC'!$E$4),OR('Visual SPC'!$G$4="",'Data Entry'!$D3498='Visual SPC'!$G$4),OR('Visual SPC'!$I$4="",'Data Entry'!$E3498='Visual SPC'!$I$4),OR('Visual SPC'!$K$4="",'Data Entry'!$F3498='Visual SPC'!$K$4)),1,0))</f>
        <v/>
      </c>
      <c r="C3498">
        <f>C3497+B3498</f>
        <v/>
      </c>
      <c r="D3498">
        <f>IF(B3498=1,INDEX('Data Entry'!$H$5:$BE$10004,3498-4,'Visual SPC'!$B$3),"")</f>
        <v/>
      </c>
      <c r="E3498">
        <f>IF(B3498=1,D3498,E3497)</f>
        <v/>
      </c>
      <c r="F3498">
        <f>IF(AND(B3498=1,C3498&gt;1,E3497&lt;&gt;""),ABS(D3498-E3497),"")</f>
        <v/>
      </c>
    </row>
    <row r="3499">
      <c r="A3499" t="n">
        <v>3499</v>
      </c>
      <c r="B3499">
        <f>IF(INDEX('Data Entry'!$H$5:$BE$10004,3499-4,'Visual SPC'!$B$3)="",0,IF(AND(OR('Visual SPC'!$C$4="",'Data Entry'!$C3499&gt;='Visual SPC'!$C$4),OR('Visual SPC'!$E$4="",'Data Entry'!$C3499&lt;='Visual SPC'!$E$4),OR('Visual SPC'!$G$4="",'Data Entry'!$D3499='Visual SPC'!$G$4),OR('Visual SPC'!$I$4="",'Data Entry'!$E3499='Visual SPC'!$I$4),OR('Visual SPC'!$K$4="",'Data Entry'!$F3499='Visual SPC'!$K$4)),1,0))</f>
        <v/>
      </c>
      <c r="C3499">
        <f>C3498+B3499</f>
        <v/>
      </c>
      <c r="D3499">
        <f>IF(B3499=1,INDEX('Data Entry'!$H$5:$BE$10004,3499-4,'Visual SPC'!$B$3),"")</f>
        <v/>
      </c>
      <c r="E3499">
        <f>IF(B3499=1,D3499,E3498)</f>
        <v/>
      </c>
      <c r="F3499">
        <f>IF(AND(B3499=1,C3499&gt;1,E3498&lt;&gt;""),ABS(D3499-E3498),"")</f>
        <v/>
      </c>
    </row>
    <row r="3500">
      <c r="A3500" t="n">
        <v>3500</v>
      </c>
      <c r="B3500">
        <f>IF(INDEX('Data Entry'!$H$5:$BE$10004,3500-4,'Visual SPC'!$B$3)="",0,IF(AND(OR('Visual SPC'!$C$4="",'Data Entry'!$C3500&gt;='Visual SPC'!$C$4),OR('Visual SPC'!$E$4="",'Data Entry'!$C3500&lt;='Visual SPC'!$E$4),OR('Visual SPC'!$G$4="",'Data Entry'!$D3500='Visual SPC'!$G$4),OR('Visual SPC'!$I$4="",'Data Entry'!$E3500='Visual SPC'!$I$4),OR('Visual SPC'!$K$4="",'Data Entry'!$F3500='Visual SPC'!$K$4)),1,0))</f>
        <v/>
      </c>
      <c r="C3500">
        <f>C3499+B3500</f>
        <v/>
      </c>
      <c r="D3500">
        <f>IF(B3500=1,INDEX('Data Entry'!$H$5:$BE$10004,3500-4,'Visual SPC'!$B$3),"")</f>
        <v/>
      </c>
      <c r="E3500">
        <f>IF(B3500=1,D3500,E3499)</f>
        <v/>
      </c>
      <c r="F3500">
        <f>IF(AND(B3500=1,C3500&gt;1,E3499&lt;&gt;""),ABS(D3500-E3499),"")</f>
        <v/>
      </c>
    </row>
    <row r="3501">
      <c r="A3501" t="n">
        <v>3501</v>
      </c>
      <c r="B3501">
        <f>IF(INDEX('Data Entry'!$H$5:$BE$10004,3501-4,'Visual SPC'!$B$3)="",0,IF(AND(OR('Visual SPC'!$C$4="",'Data Entry'!$C3501&gt;='Visual SPC'!$C$4),OR('Visual SPC'!$E$4="",'Data Entry'!$C3501&lt;='Visual SPC'!$E$4),OR('Visual SPC'!$G$4="",'Data Entry'!$D3501='Visual SPC'!$G$4),OR('Visual SPC'!$I$4="",'Data Entry'!$E3501='Visual SPC'!$I$4),OR('Visual SPC'!$K$4="",'Data Entry'!$F3501='Visual SPC'!$K$4)),1,0))</f>
        <v/>
      </c>
      <c r="C3501">
        <f>C3500+B3501</f>
        <v/>
      </c>
      <c r="D3501">
        <f>IF(B3501=1,INDEX('Data Entry'!$H$5:$BE$10004,3501-4,'Visual SPC'!$B$3),"")</f>
        <v/>
      </c>
      <c r="E3501">
        <f>IF(B3501=1,D3501,E3500)</f>
        <v/>
      </c>
      <c r="F3501">
        <f>IF(AND(B3501=1,C3501&gt;1,E3500&lt;&gt;""),ABS(D3501-E3500),"")</f>
        <v/>
      </c>
    </row>
    <row r="3502">
      <c r="A3502" t="n">
        <v>3502</v>
      </c>
      <c r="B3502">
        <f>IF(INDEX('Data Entry'!$H$5:$BE$10004,3502-4,'Visual SPC'!$B$3)="",0,IF(AND(OR('Visual SPC'!$C$4="",'Data Entry'!$C3502&gt;='Visual SPC'!$C$4),OR('Visual SPC'!$E$4="",'Data Entry'!$C3502&lt;='Visual SPC'!$E$4),OR('Visual SPC'!$G$4="",'Data Entry'!$D3502='Visual SPC'!$G$4),OR('Visual SPC'!$I$4="",'Data Entry'!$E3502='Visual SPC'!$I$4),OR('Visual SPC'!$K$4="",'Data Entry'!$F3502='Visual SPC'!$K$4)),1,0))</f>
        <v/>
      </c>
      <c r="C3502">
        <f>C3501+B3502</f>
        <v/>
      </c>
      <c r="D3502">
        <f>IF(B3502=1,INDEX('Data Entry'!$H$5:$BE$10004,3502-4,'Visual SPC'!$B$3),"")</f>
        <v/>
      </c>
      <c r="E3502">
        <f>IF(B3502=1,D3502,E3501)</f>
        <v/>
      </c>
      <c r="F3502">
        <f>IF(AND(B3502=1,C3502&gt;1,E3501&lt;&gt;""),ABS(D3502-E3501),"")</f>
        <v/>
      </c>
    </row>
    <row r="3503">
      <c r="A3503" t="n">
        <v>3503</v>
      </c>
      <c r="B3503">
        <f>IF(INDEX('Data Entry'!$H$5:$BE$10004,3503-4,'Visual SPC'!$B$3)="",0,IF(AND(OR('Visual SPC'!$C$4="",'Data Entry'!$C3503&gt;='Visual SPC'!$C$4),OR('Visual SPC'!$E$4="",'Data Entry'!$C3503&lt;='Visual SPC'!$E$4),OR('Visual SPC'!$G$4="",'Data Entry'!$D3503='Visual SPC'!$G$4),OR('Visual SPC'!$I$4="",'Data Entry'!$E3503='Visual SPC'!$I$4),OR('Visual SPC'!$K$4="",'Data Entry'!$F3503='Visual SPC'!$K$4)),1,0))</f>
        <v/>
      </c>
      <c r="C3503">
        <f>C3502+B3503</f>
        <v/>
      </c>
      <c r="D3503">
        <f>IF(B3503=1,INDEX('Data Entry'!$H$5:$BE$10004,3503-4,'Visual SPC'!$B$3),"")</f>
        <v/>
      </c>
      <c r="E3503">
        <f>IF(B3503=1,D3503,E3502)</f>
        <v/>
      </c>
      <c r="F3503">
        <f>IF(AND(B3503=1,C3503&gt;1,E3502&lt;&gt;""),ABS(D3503-E3502),"")</f>
        <v/>
      </c>
    </row>
    <row r="3504">
      <c r="A3504" t="n">
        <v>3504</v>
      </c>
      <c r="B3504">
        <f>IF(INDEX('Data Entry'!$H$5:$BE$10004,3504-4,'Visual SPC'!$B$3)="",0,IF(AND(OR('Visual SPC'!$C$4="",'Data Entry'!$C3504&gt;='Visual SPC'!$C$4),OR('Visual SPC'!$E$4="",'Data Entry'!$C3504&lt;='Visual SPC'!$E$4),OR('Visual SPC'!$G$4="",'Data Entry'!$D3504='Visual SPC'!$G$4),OR('Visual SPC'!$I$4="",'Data Entry'!$E3504='Visual SPC'!$I$4),OR('Visual SPC'!$K$4="",'Data Entry'!$F3504='Visual SPC'!$K$4)),1,0))</f>
        <v/>
      </c>
      <c r="C3504">
        <f>C3503+B3504</f>
        <v/>
      </c>
      <c r="D3504">
        <f>IF(B3504=1,INDEX('Data Entry'!$H$5:$BE$10004,3504-4,'Visual SPC'!$B$3),"")</f>
        <v/>
      </c>
      <c r="E3504">
        <f>IF(B3504=1,D3504,E3503)</f>
        <v/>
      </c>
      <c r="F3504">
        <f>IF(AND(B3504=1,C3504&gt;1,E3503&lt;&gt;""),ABS(D3504-E3503),"")</f>
        <v/>
      </c>
    </row>
    <row r="3505">
      <c r="A3505" t="n">
        <v>3505</v>
      </c>
      <c r="B3505">
        <f>IF(INDEX('Data Entry'!$H$5:$BE$10004,3505-4,'Visual SPC'!$B$3)="",0,IF(AND(OR('Visual SPC'!$C$4="",'Data Entry'!$C3505&gt;='Visual SPC'!$C$4),OR('Visual SPC'!$E$4="",'Data Entry'!$C3505&lt;='Visual SPC'!$E$4),OR('Visual SPC'!$G$4="",'Data Entry'!$D3505='Visual SPC'!$G$4),OR('Visual SPC'!$I$4="",'Data Entry'!$E3505='Visual SPC'!$I$4),OR('Visual SPC'!$K$4="",'Data Entry'!$F3505='Visual SPC'!$K$4)),1,0))</f>
        <v/>
      </c>
      <c r="C3505">
        <f>C3504+B3505</f>
        <v/>
      </c>
      <c r="D3505">
        <f>IF(B3505=1,INDEX('Data Entry'!$H$5:$BE$10004,3505-4,'Visual SPC'!$B$3),"")</f>
        <v/>
      </c>
      <c r="E3505">
        <f>IF(B3505=1,D3505,E3504)</f>
        <v/>
      </c>
      <c r="F3505">
        <f>IF(AND(B3505=1,C3505&gt;1,E3504&lt;&gt;""),ABS(D3505-E3504),"")</f>
        <v/>
      </c>
    </row>
    <row r="3506">
      <c r="A3506" t="n">
        <v>3506</v>
      </c>
      <c r="B3506">
        <f>IF(INDEX('Data Entry'!$H$5:$BE$10004,3506-4,'Visual SPC'!$B$3)="",0,IF(AND(OR('Visual SPC'!$C$4="",'Data Entry'!$C3506&gt;='Visual SPC'!$C$4),OR('Visual SPC'!$E$4="",'Data Entry'!$C3506&lt;='Visual SPC'!$E$4),OR('Visual SPC'!$G$4="",'Data Entry'!$D3506='Visual SPC'!$G$4),OR('Visual SPC'!$I$4="",'Data Entry'!$E3506='Visual SPC'!$I$4),OR('Visual SPC'!$K$4="",'Data Entry'!$F3506='Visual SPC'!$K$4)),1,0))</f>
        <v/>
      </c>
      <c r="C3506">
        <f>C3505+B3506</f>
        <v/>
      </c>
      <c r="D3506">
        <f>IF(B3506=1,INDEX('Data Entry'!$H$5:$BE$10004,3506-4,'Visual SPC'!$B$3),"")</f>
        <v/>
      </c>
      <c r="E3506">
        <f>IF(B3506=1,D3506,E3505)</f>
        <v/>
      </c>
      <c r="F3506">
        <f>IF(AND(B3506=1,C3506&gt;1,E3505&lt;&gt;""),ABS(D3506-E3505),"")</f>
        <v/>
      </c>
    </row>
    <row r="3507">
      <c r="A3507" t="n">
        <v>3507</v>
      </c>
      <c r="B3507">
        <f>IF(INDEX('Data Entry'!$H$5:$BE$10004,3507-4,'Visual SPC'!$B$3)="",0,IF(AND(OR('Visual SPC'!$C$4="",'Data Entry'!$C3507&gt;='Visual SPC'!$C$4),OR('Visual SPC'!$E$4="",'Data Entry'!$C3507&lt;='Visual SPC'!$E$4),OR('Visual SPC'!$G$4="",'Data Entry'!$D3507='Visual SPC'!$G$4),OR('Visual SPC'!$I$4="",'Data Entry'!$E3507='Visual SPC'!$I$4),OR('Visual SPC'!$K$4="",'Data Entry'!$F3507='Visual SPC'!$K$4)),1,0))</f>
        <v/>
      </c>
      <c r="C3507">
        <f>C3506+B3507</f>
        <v/>
      </c>
      <c r="D3507">
        <f>IF(B3507=1,INDEX('Data Entry'!$H$5:$BE$10004,3507-4,'Visual SPC'!$B$3),"")</f>
        <v/>
      </c>
      <c r="E3507">
        <f>IF(B3507=1,D3507,E3506)</f>
        <v/>
      </c>
      <c r="F3507">
        <f>IF(AND(B3507=1,C3507&gt;1,E3506&lt;&gt;""),ABS(D3507-E3506),"")</f>
        <v/>
      </c>
    </row>
    <row r="3508">
      <c r="A3508" t="n">
        <v>3508</v>
      </c>
      <c r="B3508">
        <f>IF(INDEX('Data Entry'!$H$5:$BE$10004,3508-4,'Visual SPC'!$B$3)="",0,IF(AND(OR('Visual SPC'!$C$4="",'Data Entry'!$C3508&gt;='Visual SPC'!$C$4),OR('Visual SPC'!$E$4="",'Data Entry'!$C3508&lt;='Visual SPC'!$E$4),OR('Visual SPC'!$G$4="",'Data Entry'!$D3508='Visual SPC'!$G$4),OR('Visual SPC'!$I$4="",'Data Entry'!$E3508='Visual SPC'!$I$4),OR('Visual SPC'!$K$4="",'Data Entry'!$F3508='Visual SPC'!$K$4)),1,0))</f>
        <v/>
      </c>
      <c r="C3508">
        <f>C3507+B3508</f>
        <v/>
      </c>
      <c r="D3508">
        <f>IF(B3508=1,INDEX('Data Entry'!$H$5:$BE$10004,3508-4,'Visual SPC'!$B$3),"")</f>
        <v/>
      </c>
      <c r="E3508">
        <f>IF(B3508=1,D3508,E3507)</f>
        <v/>
      </c>
      <c r="F3508">
        <f>IF(AND(B3508=1,C3508&gt;1,E3507&lt;&gt;""),ABS(D3508-E3507),"")</f>
        <v/>
      </c>
    </row>
    <row r="3509">
      <c r="A3509" t="n">
        <v>3509</v>
      </c>
      <c r="B3509">
        <f>IF(INDEX('Data Entry'!$H$5:$BE$10004,3509-4,'Visual SPC'!$B$3)="",0,IF(AND(OR('Visual SPC'!$C$4="",'Data Entry'!$C3509&gt;='Visual SPC'!$C$4),OR('Visual SPC'!$E$4="",'Data Entry'!$C3509&lt;='Visual SPC'!$E$4),OR('Visual SPC'!$G$4="",'Data Entry'!$D3509='Visual SPC'!$G$4),OR('Visual SPC'!$I$4="",'Data Entry'!$E3509='Visual SPC'!$I$4),OR('Visual SPC'!$K$4="",'Data Entry'!$F3509='Visual SPC'!$K$4)),1,0))</f>
        <v/>
      </c>
      <c r="C3509">
        <f>C3508+B3509</f>
        <v/>
      </c>
      <c r="D3509">
        <f>IF(B3509=1,INDEX('Data Entry'!$H$5:$BE$10004,3509-4,'Visual SPC'!$B$3),"")</f>
        <v/>
      </c>
      <c r="E3509">
        <f>IF(B3509=1,D3509,E3508)</f>
        <v/>
      </c>
      <c r="F3509">
        <f>IF(AND(B3509=1,C3509&gt;1,E3508&lt;&gt;""),ABS(D3509-E3508),"")</f>
        <v/>
      </c>
    </row>
    <row r="3510">
      <c r="A3510" t="n">
        <v>3510</v>
      </c>
      <c r="B3510">
        <f>IF(INDEX('Data Entry'!$H$5:$BE$10004,3510-4,'Visual SPC'!$B$3)="",0,IF(AND(OR('Visual SPC'!$C$4="",'Data Entry'!$C3510&gt;='Visual SPC'!$C$4),OR('Visual SPC'!$E$4="",'Data Entry'!$C3510&lt;='Visual SPC'!$E$4),OR('Visual SPC'!$G$4="",'Data Entry'!$D3510='Visual SPC'!$G$4),OR('Visual SPC'!$I$4="",'Data Entry'!$E3510='Visual SPC'!$I$4),OR('Visual SPC'!$K$4="",'Data Entry'!$F3510='Visual SPC'!$K$4)),1,0))</f>
        <v/>
      </c>
      <c r="C3510">
        <f>C3509+B3510</f>
        <v/>
      </c>
      <c r="D3510">
        <f>IF(B3510=1,INDEX('Data Entry'!$H$5:$BE$10004,3510-4,'Visual SPC'!$B$3),"")</f>
        <v/>
      </c>
      <c r="E3510">
        <f>IF(B3510=1,D3510,E3509)</f>
        <v/>
      </c>
      <c r="F3510">
        <f>IF(AND(B3510=1,C3510&gt;1,E3509&lt;&gt;""),ABS(D3510-E3509),"")</f>
        <v/>
      </c>
    </row>
    <row r="3511">
      <c r="A3511" t="n">
        <v>3511</v>
      </c>
      <c r="B3511">
        <f>IF(INDEX('Data Entry'!$H$5:$BE$10004,3511-4,'Visual SPC'!$B$3)="",0,IF(AND(OR('Visual SPC'!$C$4="",'Data Entry'!$C3511&gt;='Visual SPC'!$C$4),OR('Visual SPC'!$E$4="",'Data Entry'!$C3511&lt;='Visual SPC'!$E$4),OR('Visual SPC'!$G$4="",'Data Entry'!$D3511='Visual SPC'!$G$4),OR('Visual SPC'!$I$4="",'Data Entry'!$E3511='Visual SPC'!$I$4),OR('Visual SPC'!$K$4="",'Data Entry'!$F3511='Visual SPC'!$K$4)),1,0))</f>
        <v/>
      </c>
      <c r="C3511">
        <f>C3510+B3511</f>
        <v/>
      </c>
      <c r="D3511">
        <f>IF(B3511=1,INDEX('Data Entry'!$H$5:$BE$10004,3511-4,'Visual SPC'!$B$3),"")</f>
        <v/>
      </c>
      <c r="E3511">
        <f>IF(B3511=1,D3511,E3510)</f>
        <v/>
      </c>
      <c r="F3511">
        <f>IF(AND(B3511=1,C3511&gt;1,E3510&lt;&gt;""),ABS(D3511-E3510),"")</f>
        <v/>
      </c>
    </row>
    <row r="3512">
      <c r="A3512" t="n">
        <v>3512</v>
      </c>
      <c r="B3512">
        <f>IF(INDEX('Data Entry'!$H$5:$BE$10004,3512-4,'Visual SPC'!$B$3)="",0,IF(AND(OR('Visual SPC'!$C$4="",'Data Entry'!$C3512&gt;='Visual SPC'!$C$4),OR('Visual SPC'!$E$4="",'Data Entry'!$C3512&lt;='Visual SPC'!$E$4),OR('Visual SPC'!$G$4="",'Data Entry'!$D3512='Visual SPC'!$G$4),OR('Visual SPC'!$I$4="",'Data Entry'!$E3512='Visual SPC'!$I$4),OR('Visual SPC'!$K$4="",'Data Entry'!$F3512='Visual SPC'!$K$4)),1,0))</f>
        <v/>
      </c>
      <c r="C3512">
        <f>C3511+B3512</f>
        <v/>
      </c>
      <c r="D3512">
        <f>IF(B3512=1,INDEX('Data Entry'!$H$5:$BE$10004,3512-4,'Visual SPC'!$B$3),"")</f>
        <v/>
      </c>
      <c r="E3512">
        <f>IF(B3512=1,D3512,E3511)</f>
        <v/>
      </c>
      <c r="F3512">
        <f>IF(AND(B3512=1,C3512&gt;1,E3511&lt;&gt;""),ABS(D3512-E3511),"")</f>
        <v/>
      </c>
    </row>
    <row r="3513">
      <c r="A3513" t="n">
        <v>3513</v>
      </c>
      <c r="B3513">
        <f>IF(INDEX('Data Entry'!$H$5:$BE$10004,3513-4,'Visual SPC'!$B$3)="",0,IF(AND(OR('Visual SPC'!$C$4="",'Data Entry'!$C3513&gt;='Visual SPC'!$C$4),OR('Visual SPC'!$E$4="",'Data Entry'!$C3513&lt;='Visual SPC'!$E$4),OR('Visual SPC'!$G$4="",'Data Entry'!$D3513='Visual SPC'!$G$4),OR('Visual SPC'!$I$4="",'Data Entry'!$E3513='Visual SPC'!$I$4),OR('Visual SPC'!$K$4="",'Data Entry'!$F3513='Visual SPC'!$K$4)),1,0))</f>
        <v/>
      </c>
      <c r="C3513">
        <f>C3512+B3513</f>
        <v/>
      </c>
      <c r="D3513">
        <f>IF(B3513=1,INDEX('Data Entry'!$H$5:$BE$10004,3513-4,'Visual SPC'!$B$3),"")</f>
        <v/>
      </c>
      <c r="E3513">
        <f>IF(B3513=1,D3513,E3512)</f>
        <v/>
      </c>
      <c r="F3513">
        <f>IF(AND(B3513=1,C3513&gt;1,E3512&lt;&gt;""),ABS(D3513-E3512),"")</f>
        <v/>
      </c>
    </row>
    <row r="3514">
      <c r="A3514" t="n">
        <v>3514</v>
      </c>
      <c r="B3514">
        <f>IF(INDEX('Data Entry'!$H$5:$BE$10004,3514-4,'Visual SPC'!$B$3)="",0,IF(AND(OR('Visual SPC'!$C$4="",'Data Entry'!$C3514&gt;='Visual SPC'!$C$4),OR('Visual SPC'!$E$4="",'Data Entry'!$C3514&lt;='Visual SPC'!$E$4),OR('Visual SPC'!$G$4="",'Data Entry'!$D3514='Visual SPC'!$G$4),OR('Visual SPC'!$I$4="",'Data Entry'!$E3514='Visual SPC'!$I$4),OR('Visual SPC'!$K$4="",'Data Entry'!$F3514='Visual SPC'!$K$4)),1,0))</f>
        <v/>
      </c>
      <c r="C3514">
        <f>C3513+B3514</f>
        <v/>
      </c>
      <c r="D3514">
        <f>IF(B3514=1,INDEX('Data Entry'!$H$5:$BE$10004,3514-4,'Visual SPC'!$B$3),"")</f>
        <v/>
      </c>
      <c r="E3514">
        <f>IF(B3514=1,D3514,E3513)</f>
        <v/>
      </c>
      <c r="F3514">
        <f>IF(AND(B3514=1,C3514&gt;1,E3513&lt;&gt;""),ABS(D3514-E3513),"")</f>
        <v/>
      </c>
    </row>
    <row r="3515">
      <c r="A3515" t="n">
        <v>3515</v>
      </c>
      <c r="B3515">
        <f>IF(INDEX('Data Entry'!$H$5:$BE$10004,3515-4,'Visual SPC'!$B$3)="",0,IF(AND(OR('Visual SPC'!$C$4="",'Data Entry'!$C3515&gt;='Visual SPC'!$C$4),OR('Visual SPC'!$E$4="",'Data Entry'!$C3515&lt;='Visual SPC'!$E$4),OR('Visual SPC'!$G$4="",'Data Entry'!$D3515='Visual SPC'!$G$4),OR('Visual SPC'!$I$4="",'Data Entry'!$E3515='Visual SPC'!$I$4),OR('Visual SPC'!$K$4="",'Data Entry'!$F3515='Visual SPC'!$K$4)),1,0))</f>
        <v/>
      </c>
      <c r="C3515">
        <f>C3514+B3515</f>
        <v/>
      </c>
      <c r="D3515">
        <f>IF(B3515=1,INDEX('Data Entry'!$H$5:$BE$10004,3515-4,'Visual SPC'!$B$3),"")</f>
        <v/>
      </c>
      <c r="E3515">
        <f>IF(B3515=1,D3515,E3514)</f>
        <v/>
      </c>
      <c r="F3515">
        <f>IF(AND(B3515=1,C3515&gt;1,E3514&lt;&gt;""),ABS(D3515-E3514),"")</f>
        <v/>
      </c>
    </row>
    <row r="3516">
      <c r="A3516" t="n">
        <v>3516</v>
      </c>
      <c r="B3516">
        <f>IF(INDEX('Data Entry'!$H$5:$BE$10004,3516-4,'Visual SPC'!$B$3)="",0,IF(AND(OR('Visual SPC'!$C$4="",'Data Entry'!$C3516&gt;='Visual SPC'!$C$4),OR('Visual SPC'!$E$4="",'Data Entry'!$C3516&lt;='Visual SPC'!$E$4),OR('Visual SPC'!$G$4="",'Data Entry'!$D3516='Visual SPC'!$G$4),OR('Visual SPC'!$I$4="",'Data Entry'!$E3516='Visual SPC'!$I$4),OR('Visual SPC'!$K$4="",'Data Entry'!$F3516='Visual SPC'!$K$4)),1,0))</f>
        <v/>
      </c>
      <c r="C3516">
        <f>C3515+B3516</f>
        <v/>
      </c>
      <c r="D3516">
        <f>IF(B3516=1,INDEX('Data Entry'!$H$5:$BE$10004,3516-4,'Visual SPC'!$B$3),"")</f>
        <v/>
      </c>
      <c r="E3516">
        <f>IF(B3516=1,D3516,E3515)</f>
        <v/>
      </c>
      <c r="F3516">
        <f>IF(AND(B3516=1,C3516&gt;1,E3515&lt;&gt;""),ABS(D3516-E3515),"")</f>
        <v/>
      </c>
    </row>
    <row r="3517">
      <c r="A3517" t="n">
        <v>3517</v>
      </c>
      <c r="B3517">
        <f>IF(INDEX('Data Entry'!$H$5:$BE$10004,3517-4,'Visual SPC'!$B$3)="",0,IF(AND(OR('Visual SPC'!$C$4="",'Data Entry'!$C3517&gt;='Visual SPC'!$C$4),OR('Visual SPC'!$E$4="",'Data Entry'!$C3517&lt;='Visual SPC'!$E$4),OR('Visual SPC'!$G$4="",'Data Entry'!$D3517='Visual SPC'!$G$4),OR('Visual SPC'!$I$4="",'Data Entry'!$E3517='Visual SPC'!$I$4),OR('Visual SPC'!$K$4="",'Data Entry'!$F3517='Visual SPC'!$K$4)),1,0))</f>
        <v/>
      </c>
      <c r="C3517">
        <f>C3516+B3517</f>
        <v/>
      </c>
      <c r="D3517">
        <f>IF(B3517=1,INDEX('Data Entry'!$H$5:$BE$10004,3517-4,'Visual SPC'!$B$3),"")</f>
        <v/>
      </c>
      <c r="E3517">
        <f>IF(B3517=1,D3517,E3516)</f>
        <v/>
      </c>
      <c r="F3517">
        <f>IF(AND(B3517=1,C3517&gt;1,E3516&lt;&gt;""),ABS(D3517-E3516),"")</f>
        <v/>
      </c>
    </row>
    <row r="3518">
      <c r="A3518" t="n">
        <v>3518</v>
      </c>
      <c r="B3518">
        <f>IF(INDEX('Data Entry'!$H$5:$BE$10004,3518-4,'Visual SPC'!$B$3)="",0,IF(AND(OR('Visual SPC'!$C$4="",'Data Entry'!$C3518&gt;='Visual SPC'!$C$4),OR('Visual SPC'!$E$4="",'Data Entry'!$C3518&lt;='Visual SPC'!$E$4),OR('Visual SPC'!$G$4="",'Data Entry'!$D3518='Visual SPC'!$G$4),OR('Visual SPC'!$I$4="",'Data Entry'!$E3518='Visual SPC'!$I$4),OR('Visual SPC'!$K$4="",'Data Entry'!$F3518='Visual SPC'!$K$4)),1,0))</f>
        <v/>
      </c>
      <c r="C3518">
        <f>C3517+B3518</f>
        <v/>
      </c>
      <c r="D3518">
        <f>IF(B3518=1,INDEX('Data Entry'!$H$5:$BE$10004,3518-4,'Visual SPC'!$B$3),"")</f>
        <v/>
      </c>
      <c r="E3518">
        <f>IF(B3518=1,D3518,E3517)</f>
        <v/>
      </c>
      <c r="F3518">
        <f>IF(AND(B3518=1,C3518&gt;1,E3517&lt;&gt;""),ABS(D3518-E3517),"")</f>
        <v/>
      </c>
    </row>
    <row r="3519">
      <c r="A3519" t="n">
        <v>3519</v>
      </c>
      <c r="B3519">
        <f>IF(INDEX('Data Entry'!$H$5:$BE$10004,3519-4,'Visual SPC'!$B$3)="",0,IF(AND(OR('Visual SPC'!$C$4="",'Data Entry'!$C3519&gt;='Visual SPC'!$C$4),OR('Visual SPC'!$E$4="",'Data Entry'!$C3519&lt;='Visual SPC'!$E$4),OR('Visual SPC'!$G$4="",'Data Entry'!$D3519='Visual SPC'!$G$4),OR('Visual SPC'!$I$4="",'Data Entry'!$E3519='Visual SPC'!$I$4),OR('Visual SPC'!$K$4="",'Data Entry'!$F3519='Visual SPC'!$K$4)),1,0))</f>
        <v/>
      </c>
      <c r="C3519">
        <f>C3518+B3519</f>
        <v/>
      </c>
      <c r="D3519">
        <f>IF(B3519=1,INDEX('Data Entry'!$H$5:$BE$10004,3519-4,'Visual SPC'!$B$3),"")</f>
        <v/>
      </c>
      <c r="E3519">
        <f>IF(B3519=1,D3519,E3518)</f>
        <v/>
      </c>
      <c r="F3519">
        <f>IF(AND(B3519=1,C3519&gt;1,E3518&lt;&gt;""),ABS(D3519-E3518),"")</f>
        <v/>
      </c>
    </row>
    <row r="3520">
      <c r="A3520" t="n">
        <v>3520</v>
      </c>
      <c r="B3520">
        <f>IF(INDEX('Data Entry'!$H$5:$BE$10004,3520-4,'Visual SPC'!$B$3)="",0,IF(AND(OR('Visual SPC'!$C$4="",'Data Entry'!$C3520&gt;='Visual SPC'!$C$4),OR('Visual SPC'!$E$4="",'Data Entry'!$C3520&lt;='Visual SPC'!$E$4),OR('Visual SPC'!$G$4="",'Data Entry'!$D3520='Visual SPC'!$G$4),OR('Visual SPC'!$I$4="",'Data Entry'!$E3520='Visual SPC'!$I$4),OR('Visual SPC'!$K$4="",'Data Entry'!$F3520='Visual SPC'!$K$4)),1,0))</f>
        <v/>
      </c>
      <c r="C3520">
        <f>C3519+B3520</f>
        <v/>
      </c>
      <c r="D3520">
        <f>IF(B3520=1,INDEX('Data Entry'!$H$5:$BE$10004,3520-4,'Visual SPC'!$B$3),"")</f>
        <v/>
      </c>
      <c r="E3520">
        <f>IF(B3520=1,D3520,E3519)</f>
        <v/>
      </c>
      <c r="F3520">
        <f>IF(AND(B3520=1,C3520&gt;1,E3519&lt;&gt;""),ABS(D3520-E3519),"")</f>
        <v/>
      </c>
    </row>
    <row r="3521">
      <c r="A3521" t="n">
        <v>3521</v>
      </c>
      <c r="B3521">
        <f>IF(INDEX('Data Entry'!$H$5:$BE$10004,3521-4,'Visual SPC'!$B$3)="",0,IF(AND(OR('Visual SPC'!$C$4="",'Data Entry'!$C3521&gt;='Visual SPC'!$C$4),OR('Visual SPC'!$E$4="",'Data Entry'!$C3521&lt;='Visual SPC'!$E$4),OR('Visual SPC'!$G$4="",'Data Entry'!$D3521='Visual SPC'!$G$4),OR('Visual SPC'!$I$4="",'Data Entry'!$E3521='Visual SPC'!$I$4),OR('Visual SPC'!$K$4="",'Data Entry'!$F3521='Visual SPC'!$K$4)),1,0))</f>
        <v/>
      </c>
      <c r="C3521">
        <f>C3520+B3521</f>
        <v/>
      </c>
      <c r="D3521">
        <f>IF(B3521=1,INDEX('Data Entry'!$H$5:$BE$10004,3521-4,'Visual SPC'!$B$3),"")</f>
        <v/>
      </c>
      <c r="E3521">
        <f>IF(B3521=1,D3521,E3520)</f>
        <v/>
      </c>
      <c r="F3521">
        <f>IF(AND(B3521=1,C3521&gt;1,E3520&lt;&gt;""),ABS(D3521-E3520),"")</f>
        <v/>
      </c>
    </row>
    <row r="3522">
      <c r="A3522" t="n">
        <v>3522</v>
      </c>
      <c r="B3522">
        <f>IF(INDEX('Data Entry'!$H$5:$BE$10004,3522-4,'Visual SPC'!$B$3)="",0,IF(AND(OR('Visual SPC'!$C$4="",'Data Entry'!$C3522&gt;='Visual SPC'!$C$4),OR('Visual SPC'!$E$4="",'Data Entry'!$C3522&lt;='Visual SPC'!$E$4),OR('Visual SPC'!$G$4="",'Data Entry'!$D3522='Visual SPC'!$G$4),OR('Visual SPC'!$I$4="",'Data Entry'!$E3522='Visual SPC'!$I$4),OR('Visual SPC'!$K$4="",'Data Entry'!$F3522='Visual SPC'!$K$4)),1,0))</f>
        <v/>
      </c>
      <c r="C3522">
        <f>C3521+B3522</f>
        <v/>
      </c>
      <c r="D3522">
        <f>IF(B3522=1,INDEX('Data Entry'!$H$5:$BE$10004,3522-4,'Visual SPC'!$B$3),"")</f>
        <v/>
      </c>
      <c r="E3522">
        <f>IF(B3522=1,D3522,E3521)</f>
        <v/>
      </c>
      <c r="F3522">
        <f>IF(AND(B3522=1,C3522&gt;1,E3521&lt;&gt;""),ABS(D3522-E3521),"")</f>
        <v/>
      </c>
    </row>
    <row r="3523">
      <c r="A3523" t="n">
        <v>3523</v>
      </c>
      <c r="B3523">
        <f>IF(INDEX('Data Entry'!$H$5:$BE$10004,3523-4,'Visual SPC'!$B$3)="",0,IF(AND(OR('Visual SPC'!$C$4="",'Data Entry'!$C3523&gt;='Visual SPC'!$C$4),OR('Visual SPC'!$E$4="",'Data Entry'!$C3523&lt;='Visual SPC'!$E$4),OR('Visual SPC'!$G$4="",'Data Entry'!$D3523='Visual SPC'!$G$4),OR('Visual SPC'!$I$4="",'Data Entry'!$E3523='Visual SPC'!$I$4),OR('Visual SPC'!$K$4="",'Data Entry'!$F3523='Visual SPC'!$K$4)),1,0))</f>
        <v/>
      </c>
      <c r="C3523">
        <f>C3522+B3523</f>
        <v/>
      </c>
      <c r="D3523">
        <f>IF(B3523=1,INDEX('Data Entry'!$H$5:$BE$10004,3523-4,'Visual SPC'!$B$3),"")</f>
        <v/>
      </c>
      <c r="E3523">
        <f>IF(B3523=1,D3523,E3522)</f>
        <v/>
      </c>
      <c r="F3523">
        <f>IF(AND(B3523=1,C3523&gt;1,E3522&lt;&gt;""),ABS(D3523-E3522),"")</f>
        <v/>
      </c>
    </row>
    <row r="3524">
      <c r="A3524" t="n">
        <v>3524</v>
      </c>
      <c r="B3524">
        <f>IF(INDEX('Data Entry'!$H$5:$BE$10004,3524-4,'Visual SPC'!$B$3)="",0,IF(AND(OR('Visual SPC'!$C$4="",'Data Entry'!$C3524&gt;='Visual SPC'!$C$4),OR('Visual SPC'!$E$4="",'Data Entry'!$C3524&lt;='Visual SPC'!$E$4),OR('Visual SPC'!$G$4="",'Data Entry'!$D3524='Visual SPC'!$G$4),OR('Visual SPC'!$I$4="",'Data Entry'!$E3524='Visual SPC'!$I$4),OR('Visual SPC'!$K$4="",'Data Entry'!$F3524='Visual SPC'!$K$4)),1,0))</f>
        <v/>
      </c>
      <c r="C3524">
        <f>C3523+B3524</f>
        <v/>
      </c>
      <c r="D3524">
        <f>IF(B3524=1,INDEX('Data Entry'!$H$5:$BE$10004,3524-4,'Visual SPC'!$B$3),"")</f>
        <v/>
      </c>
      <c r="E3524">
        <f>IF(B3524=1,D3524,E3523)</f>
        <v/>
      </c>
      <c r="F3524">
        <f>IF(AND(B3524=1,C3524&gt;1,E3523&lt;&gt;""),ABS(D3524-E3523),"")</f>
        <v/>
      </c>
    </row>
    <row r="3525">
      <c r="A3525" t="n">
        <v>3525</v>
      </c>
      <c r="B3525">
        <f>IF(INDEX('Data Entry'!$H$5:$BE$10004,3525-4,'Visual SPC'!$B$3)="",0,IF(AND(OR('Visual SPC'!$C$4="",'Data Entry'!$C3525&gt;='Visual SPC'!$C$4),OR('Visual SPC'!$E$4="",'Data Entry'!$C3525&lt;='Visual SPC'!$E$4),OR('Visual SPC'!$G$4="",'Data Entry'!$D3525='Visual SPC'!$G$4),OR('Visual SPC'!$I$4="",'Data Entry'!$E3525='Visual SPC'!$I$4),OR('Visual SPC'!$K$4="",'Data Entry'!$F3525='Visual SPC'!$K$4)),1,0))</f>
        <v/>
      </c>
      <c r="C3525">
        <f>C3524+B3525</f>
        <v/>
      </c>
      <c r="D3525">
        <f>IF(B3525=1,INDEX('Data Entry'!$H$5:$BE$10004,3525-4,'Visual SPC'!$B$3),"")</f>
        <v/>
      </c>
      <c r="E3525">
        <f>IF(B3525=1,D3525,E3524)</f>
        <v/>
      </c>
      <c r="F3525">
        <f>IF(AND(B3525=1,C3525&gt;1,E3524&lt;&gt;""),ABS(D3525-E3524),"")</f>
        <v/>
      </c>
    </row>
    <row r="3526">
      <c r="A3526" t="n">
        <v>3526</v>
      </c>
      <c r="B3526">
        <f>IF(INDEX('Data Entry'!$H$5:$BE$10004,3526-4,'Visual SPC'!$B$3)="",0,IF(AND(OR('Visual SPC'!$C$4="",'Data Entry'!$C3526&gt;='Visual SPC'!$C$4),OR('Visual SPC'!$E$4="",'Data Entry'!$C3526&lt;='Visual SPC'!$E$4),OR('Visual SPC'!$G$4="",'Data Entry'!$D3526='Visual SPC'!$G$4),OR('Visual SPC'!$I$4="",'Data Entry'!$E3526='Visual SPC'!$I$4),OR('Visual SPC'!$K$4="",'Data Entry'!$F3526='Visual SPC'!$K$4)),1,0))</f>
        <v/>
      </c>
      <c r="C3526">
        <f>C3525+B3526</f>
        <v/>
      </c>
      <c r="D3526">
        <f>IF(B3526=1,INDEX('Data Entry'!$H$5:$BE$10004,3526-4,'Visual SPC'!$B$3),"")</f>
        <v/>
      </c>
      <c r="E3526">
        <f>IF(B3526=1,D3526,E3525)</f>
        <v/>
      </c>
      <c r="F3526">
        <f>IF(AND(B3526=1,C3526&gt;1,E3525&lt;&gt;""),ABS(D3526-E3525),"")</f>
        <v/>
      </c>
    </row>
    <row r="3527">
      <c r="A3527" t="n">
        <v>3527</v>
      </c>
      <c r="B3527">
        <f>IF(INDEX('Data Entry'!$H$5:$BE$10004,3527-4,'Visual SPC'!$B$3)="",0,IF(AND(OR('Visual SPC'!$C$4="",'Data Entry'!$C3527&gt;='Visual SPC'!$C$4),OR('Visual SPC'!$E$4="",'Data Entry'!$C3527&lt;='Visual SPC'!$E$4),OR('Visual SPC'!$G$4="",'Data Entry'!$D3527='Visual SPC'!$G$4),OR('Visual SPC'!$I$4="",'Data Entry'!$E3527='Visual SPC'!$I$4),OR('Visual SPC'!$K$4="",'Data Entry'!$F3527='Visual SPC'!$K$4)),1,0))</f>
        <v/>
      </c>
      <c r="C3527">
        <f>C3526+B3527</f>
        <v/>
      </c>
      <c r="D3527">
        <f>IF(B3527=1,INDEX('Data Entry'!$H$5:$BE$10004,3527-4,'Visual SPC'!$B$3),"")</f>
        <v/>
      </c>
      <c r="E3527">
        <f>IF(B3527=1,D3527,E3526)</f>
        <v/>
      </c>
      <c r="F3527">
        <f>IF(AND(B3527=1,C3527&gt;1,E3526&lt;&gt;""),ABS(D3527-E3526),"")</f>
        <v/>
      </c>
    </row>
    <row r="3528">
      <c r="A3528" t="n">
        <v>3528</v>
      </c>
      <c r="B3528">
        <f>IF(INDEX('Data Entry'!$H$5:$BE$10004,3528-4,'Visual SPC'!$B$3)="",0,IF(AND(OR('Visual SPC'!$C$4="",'Data Entry'!$C3528&gt;='Visual SPC'!$C$4),OR('Visual SPC'!$E$4="",'Data Entry'!$C3528&lt;='Visual SPC'!$E$4),OR('Visual SPC'!$G$4="",'Data Entry'!$D3528='Visual SPC'!$G$4),OR('Visual SPC'!$I$4="",'Data Entry'!$E3528='Visual SPC'!$I$4),OR('Visual SPC'!$K$4="",'Data Entry'!$F3528='Visual SPC'!$K$4)),1,0))</f>
        <v/>
      </c>
      <c r="C3528">
        <f>C3527+B3528</f>
        <v/>
      </c>
      <c r="D3528">
        <f>IF(B3528=1,INDEX('Data Entry'!$H$5:$BE$10004,3528-4,'Visual SPC'!$B$3),"")</f>
        <v/>
      </c>
      <c r="E3528">
        <f>IF(B3528=1,D3528,E3527)</f>
        <v/>
      </c>
      <c r="F3528">
        <f>IF(AND(B3528=1,C3528&gt;1,E3527&lt;&gt;""),ABS(D3528-E3527),"")</f>
        <v/>
      </c>
    </row>
    <row r="3529">
      <c r="A3529" t="n">
        <v>3529</v>
      </c>
      <c r="B3529">
        <f>IF(INDEX('Data Entry'!$H$5:$BE$10004,3529-4,'Visual SPC'!$B$3)="",0,IF(AND(OR('Visual SPC'!$C$4="",'Data Entry'!$C3529&gt;='Visual SPC'!$C$4),OR('Visual SPC'!$E$4="",'Data Entry'!$C3529&lt;='Visual SPC'!$E$4),OR('Visual SPC'!$G$4="",'Data Entry'!$D3529='Visual SPC'!$G$4),OR('Visual SPC'!$I$4="",'Data Entry'!$E3529='Visual SPC'!$I$4),OR('Visual SPC'!$K$4="",'Data Entry'!$F3529='Visual SPC'!$K$4)),1,0))</f>
        <v/>
      </c>
      <c r="C3529">
        <f>C3528+B3529</f>
        <v/>
      </c>
      <c r="D3529">
        <f>IF(B3529=1,INDEX('Data Entry'!$H$5:$BE$10004,3529-4,'Visual SPC'!$B$3),"")</f>
        <v/>
      </c>
      <c r="E3529">
        <f>IF(B3529=1,D3529,E3528)</f>
        <v/>
      </c>
      <c r="F3529">
        <f>IF(AND(B3529=1,C3529&gt;1,E3528&lt;&gt;""),ABS(D3529-E3528),"")</f>
        <v/>
      </c>
    </row>
    <row r="3530">
      <c r="A3530" t="n">
        <v>3530</v>
      </c>
      <c r="B3530">
        <f>IF(INDEX('Data Entry'!$H$5:$BE$10004,3530-4,'Visual SPC'!$B$3)="",0,IF(AND(OR('Visual SPC'!$C$4="",'Data Entry'!$C3530&gt;='Visual SPC'!$C$4),OR('Visual SPC'!$E$4="",'Data Entry'!$C3530&lt;='Visual SPC'!$E$4),OR('Visual SPC'!$G$4="",'Data Entry'!$D3530='Visual SPC'!$G$4),OR('Visual SPC'!$I$4="",'Data Entry'!$E3530='Visual SPC'!$I$4),OR('Visual SPC'!$K$4="",'Data Entry'!$F3530='Visual SPC'!$K$4)),1,0))</f>
        <v/>
      </c>
      <c r="C3530">
        <f>C3529+B3530</f>
        <v/>
      </c>
      <c r="D3530">
        <f>IF(B3530=1,INDEX('Data Entry'!$H$5:$BE$10004,3530-4,'Visual SPC'!$B$3),"")</f>
        <v/>
      </c>
      <c r="E3530">
        <f>IF(B3530=1,D3530,E3529)</f>
        <v/>
      </c>
      <c r="F3530">
        <f>IF(AND(B3530=1,C3530&gt;1,E3529&lt;&gt;""),ABS(D3530-E3529),"")</f>
        <v/>
      </c>
    </row>
    <row r="3531">
      <c r="A3531" t="n">
        <v>3531</v>
      </c>
      <c r="B3531">
        <f>IF(INDEX('Data Entry'!$H$5:$BE$10004,3531-4,'Visual SPC'!$B$3)="",0,IF(AND(OR('Visual SPC'!$C$4="",'Data Entry'!$C3531&gt;='Visual SPC'!$C$4),OR('Visual SPC'!$E$4="",'Data Entry'!$C3531&lt;='Visual SPC'!$E$4),OR('Visual SPC'!$G$4="",'Data Entry'!$D3531='Visual SPC'!$G$4),OR('Visual SPC'!$I$4="",'Data Entry'!$E3531='Visual SPC'!$I$4),OR('Visual SPC'!$K$4="",'Data Entry'!$F3531='Visual SPC'!$K$4)),1,0))</f>
        <v/>
      </c>
      <c r="C3531">
        <f>C3530+B3531</f>
        <v/>
      </c>
      <c r="D3531">
        <f>IF(B3531=1,INDEX('Data Entry'!$H$5:$BE$10004,3531-4,'Visual SPC'!$B$3),"")</f>
        <v/>
      </c>
      <c r="E3531">
        <f>IF(B3531=1,D3531,E3530)</f>
        <v/>
      </c>
      <c r="F3531">
        <f>IF(AND(B3531=1,C3531&gt;1,E3530&lt;&gt;""),ABS(D3531-E3530),"")</f>
        <v/>
      </c>
    </row>
    <row r="3532">
      <c r="A3532" t="n">
        <v>3532</v>
      </c>
      <c r="B3532">
        <f>IF(INDEX('Data Entry'!$H$5:$BE$10004,3532-4,'Visual SPC'!$B$3)="",0,IF(AND(OR('Visual SPC'!$C$4="",'Data Entry'!$C3532&gt;='Visual SPC'!$C$4),OR('Visual SPC'!$E$4="",'Data Entry'!$C3532&lt;='Visual SPC'!$E$4),OR('Visual SPC'!$G$4="",'Data Entry'!$D3532='Visual SPC'!$G$4),OR('Visual SPC'!$I$4="",'Data Entry'!$E3532='Visual SPC'!$I$4),OR('Visual SPC'!$K$4="",'Data Entry'!$F3532='Visual SPC'!$K$4)),1,0))</f>
        <v/>
      </c>
      <c r="C3532">
        <f>C3531+B3532</f>
        <v/>
      </c>
      <c r="D3532">
        <f>IF(B3532=1,INDEX('Data Entry'!$H$5:$BE$10004,3532-4,'Visual SPC'!$B$3),"")</f>
        <v/>
      </c>
      <c r="E3532">
        <f>IF(B3532=1,D3532,E3531)</f>
        <v/>
      </c>
      <c r="F3532">
        <f>IF(AND(B3532=1,C3532&gt;1,E3531&lt;&gt;""),ABS(D3532-E3531),"")</f>
        <v/>
      </c>
    </row>
    <row r="3533">
      <c r="A3533" t="n">
        <v>3533</v>
      </c>
      <c r="B3533">
        <f>IF(INDEX('Data Entry'!$H$5:$BE$10004,3533-4,'Visual SPC'!$B$3)="",0,IF(AND(OR('Visual SPC'!$C$4="",'Data Entry'!$C3533&gt;='Visual SPC'!$C$4),OR('Visual SPC'!$E$4="",'Data Entry'!$C3533&lt;='Visual SPC'!$E$4),OR('Visual SPC'!$G$4="",'Data Entry'!$D3533='Visual SPC'!$G$4),OR('Visual SPC'!$I$4="",'Data Entry'!$E3533='Visual SPC'!$I$4),OR('Visual SPC'!$K$4="",'Data Entry'!$F3533='Visual SPC'!$K$4)),1,0))</f>
        <v/>
      </c>
      <c r="C3533">
        <f>C3532+B3533</f>
        <v/>
      </c>
      <c r="D3533">
        <f>IF(B3533=1,INDEX('Data Entry'!$H$5:$BE$10004,3533-4,'Visual SPC'!$B$3),"")</f>
        <v/>
      </c>
      <c r="E3533">
        <f>IF(B3533=1,D3533,E3532)</f>
        <v/>
      </c>
      <c r="F3533">
        <f>IF(AND(B3533=1,C3533&gt;1,E3532&lt;&gt;""),ABS(D3533-E3532),"")</f>
        <v/>
      </c>
    </row>
    <row r="3534">
      <c r="A3534" t="n">
        <v>3534</v>
      </c>
      <c r="B3534">
        <f>IF(INDEX('Data Entry'!$H$5:$BE$10004,3534-4,'Visual SPC'!$B$3)="",0,IF(AND(OR('Visual SPC'!$C$4="",'Data Entry'!$C3534&gt;='Visual SPC'!$C$4),OR('Visual SPC'!$E$4="",'Data Entry'!$C3534&lt;='Visual SPC'!$E$4),OR('Visual SPC'!$G$4="",'Data Entry'!$D3534='Visual SPC'!$G$4),OR('Visual SPC'!$I$4="",'Data Entry'!$E3534='Visual SPC'!$I$4),OR('Visual SPC'!$K$4="",'Data Entry'!$F3534='Visual SPC'!$K$4)),1,0))</f>
        <v/>
      </c>
      <c r="C3534">
        <f>C3533+B3534</f>
        <v/>
      </c>
      <c r="D3534">
        <f>IF(B3534=1,INDEX('Data Entry'!$H$5:$BE$10004,3534-4,'Visual SPC'!$B$3),"")</f>
        <v/>
      </c>
      <c r="E3534">
        <f>IF(B3534=1,D3534,E3533)</f>
        <v/>
      </c>
      <c r="F3534">
        <f>IF(AND(B3534=1,C3534&gt;1,E3533&lt;&gt;""),ABS(D3534-E3533),"")</f>
        <v/>
      </c>
    </row>
    <row r="3535">
      <c r="A3535" t="n">
        <v>3535</v>
      </c>
      <c r="B3535">
        <f>IF(INDEX('Data Entry'!$H$5:$BE$10004,3535-4,'Visual SPC'!$B$3)="",0,IF(AND(OR('Visual SPC'!$C$4="",'Data Entry'!$C3535&gt;='Visual SPC'!$C$4),OR('Visual SPC'!$E$4="",'Data Entry'!$C3535&lt;='Visual SPC'!$E$4),OR('Visual SPC'!$G$4="",'Data Entry'!$D3535='Visual SPC'!$G$4),OR('Visual SPC'!$I$4="",'Data Entry'!$E3535='Visual SPC'!$I$4),OR('Visual SPC'!$K$4="",'Data Entry'!$F3535='Visual SPC'!$K$4)),1,0))</f>
        <v/>
      </c>
      <c r="C3535">
        <f>C3534+B3535</f>
        <v/>
      </c>
      <c r="D3535">
        <f>IF(B3535=1,INDEX('Data Entry'!$H$5:$BE$10004,3535-4,'Visual SPC'!$B$3),"")</f>
        <v/>
      </c>
      <c r="E3535">
        <f>IF(B3535=1,D3535,E3534)</f>
        <v/>
      </c>
      <c r="F3535">
        <f>IF(AND(B3535=1,C3535&gt;1,E3534&lt;&gt;""),ABS(D3535-E3534),"")</f>
        <v/>
      </c>
    </row>
    <row r="3536">
      <c r="A3536" t="n">
        <v>3536</v>
      </c>
      <c r="B3536">
        <f>IF(INDEX('Data Entry'!$H$5:$BE$10004,3536-4,'Visual SPC'!$B$3)="",0,IF(AND(OR('Visual SPC'!$C$4="",'Data Entry'!$C3536&gt;='Visual SPC'!$C$4),OR('Visual SPC'!$E$4="",'Data Entry'!$C3536&lt;='Visual SPC'!$E$4),OR('Visual SPC'!$G$4="",'Data Entry'!$D3536='Visual SPC'!$G$4),OR('Visual SPC'!$I$4="",'Data Entry'!$E3536='Visual SPC'!$I$4),OR('Visual SPC'!$K$4="",'Data Entry'!$F3536='Visual SPC'!$K$4)),1,0))</f>
        <v/>
      </c>
      <c r="C3536">
        <f>C3535+B3536</f>
        <v/>
      </c>
      <c r="D3536">
        <f>IF(B3536=1,INDEX('Data Entry'!$H$5:$BE$10004,3536-4,'Visual SPC'!$B$3),"")</f>
        <v/>
      </c>
      <c r="E3536">
        <f>IF(B3536=1,D3536,E3535)</f>
        <v/>
      </c>
      <c r="F3536">
        <f>IF(AND(B3536=1,C3536&gt;1,E3535&lt;&gt;""),ABS(D3536-E3535),"")</f>
        <v/>
      </c>
    </row>
    <row r="3537">
      <c r="A3537" t="n">
        <v>3537</v>
      </c>
      <c r="B3537">
        <f>IF(INDEX('Data Entry'!$H$5:$BE$10004,3537-4,'Visual SPC'!$B$3)="",0,IF(AND(OR('Visual SPC'!$C$4="",'Data Entry'!$C3537&gt;='Visual SPC'!$C$4),OR('Visual SPC'!$E$4="",'Data Entry'!$C3537&lt;='Visual SPC'!$E$4),OR('Visual SPC'!$G$4="",'Data Entry'!$D3537='Visual SPC'!$G$4),OR('Visual SPC'!$I$4="",'Data Entry'!$E3537='Visual SPC'!$I$4),OR('Visual SPC'!$K$4="",'Data Entry'!$F3537='Visual SPC'!$K$4)),1,0))</f>
        <v/>
      </c>
      <c r="C3537">
        <f>C3536+B3537</f>
        <v/>
      </c>
      <c r="D3537">
        <f>IF(B3537=1,INDEX('Data Entry'!$H$5:$BE$10004,3537-4,'Visual SPC'!$B$3),"")</f>
        <v/>
      </c>
      <c r="E3537">
        <f>IF(B3537=1,D3537,E3536)</f>
        <v/>
      </c>
      <c r="F3537">
        <f>IF(AND(B3537=1,C3537&gt;1,E3536&lt;&gt;""),ABS(D3537-E3536),"")</f>
        <v/>
      </c>
    </row>
    <row r="3538">
      <c r="A3538" t="n">
        <v>3538</v>
      </c>
      <c r="B3538">
        <f>IF(INDEX('Data Entry'!$H$5:$BE$10004,3538-4,'Visual SPC'!$B$3)="",0,IF(AND(OR('Visual SPC'!$C$4="",'Data Entry'!$C3538&gt;='Visual SPC'!$C$4),OR('Visual SPC'!$E$4="",'Data Entry'!$C3538&lt;='Visual SPC'!$E$4),OR('Visual SPC'!$G$4="",'Data Entry'!$D3538='Visual SPC'!$G$4),OR('Visual SPC'!$I$4="",'Data Entry'!$E3538='Visual SPC'!$I$4),OR('Visual SPC'!$K$4="",'Data Entry'!$F3538='Visual SPC'!$K$4)),1,0))</f>
        <v/>
      </c>
      <c r="C3538">
        <f>C3537+B3538</f>
        <v/>
      </c>
      <c r="D3538">
        <f>IF(B3538=1,INDEX('Data Entry'!$H$5:$BE$10004,3538-4,'Visual SPC'!$B$3),"")</f>
        <v/>
      </c>
      <c r="E3538">
        <f>IF(B3538=1,D3538,E3537)</f>
        <v/>
      </c>
      <c r="F3538">
        <f>IF(AND(B3538=1,C3538&gt;1,E3537&lt;&gt;""),ABS(D3538-E3537),"")</f>
        <v/>
      </c>
    </row>
    <row r="3539">
      <c r="A3539" t="n">
        <v>3539</v>
      </c>
      <c r="B3539">
        <f>IF(INDEX('Data Entry'!$H$5:$BE$10004,3539-4,'Visual SPC'!$B$3)="",0,IF(AND(OR('Visual SPC'!$C$4="",'Data Entry'!$C3539&gt;='Visual SPC'!$C$4),OR('Visual SPC'!$E$4="",'Data Entry'!$C3539&lt;='Visual SPC'!$E$4),OR('Visual SPC'!$G$4="",'Data Entry'!$D3539='Visual SPC'!$G$4),OR('Visual SPC'!$I$4="",'Data Entry'!$E3539='Visual SPC'!$I$4),OR('Visual SPC'!$K$4="",'Data Entry'!$F3539='Visual SPC'!$K$4)),1,0))</f>
        <v/>
      </c>
      <c r="C3539">
        <f>C3538+B3539</f>
        <v/>
      </c>
      <c r="D3539">
        <f>IF(B3539=1,INDEX('Data Entry'!$H$5:$BE$10004,3539-4,'Visual SPC'!$B$3),"")</f>
        <v/>
      </c>
      <c r="E3539">
        <f>IF(B3539=1,D3539,E3538)</f>
        <v/>
      </c>
      <c r="F3539">
        <f>IF(AND(B3539=1,C3539&gt;1,E3538&lt;&gt;""),ABS(D3539-E3538),"")</f>
        <v/>
      </c>
    </row>
    <row r="3540">
      <c r="A3540" t="n">
        <v>3540</v>
      </c>
      <c r="B3540">
        <f>IF(INDEX('Data Entry'!$H$5:$BE$10004,3540-4,'Visual SPC'!$B$3)="",0,IF(AND(OR('Visual SPC'!$C$4="",'Data Entry'!$C3540&gt;='Visual SPC'!$C$4),OR('Visual SPC'!$E$4="",'Data Entry'!$C3540&lt;='Visual SPC'!$E$4),OR('Visual SPC'!$G$4="",'Data Entry'!$D3540='Visual SPC'!$G$4),OR('Visual SPC'!$I$4="",'Data Entry'!$E3540='Visual SPC'!$I$4),OR('Visual SPC'!$K$4="",'Data Entry'!$F3540='Visual SPC'!$K$4)),1,0))</f>
        <v/>
      </c>
      <c r="C3540">
        <f>C3539+B3540</f>
        <v/>
      </c>
      <c r="D3540">
        <f>IF(B3540=1,INDEX('Data Entry'!$H$5:$BE$10004,3540-4,'Visual SPC'!$B$3),"")</f>
        <v/>
      </c>
      <c r="E3540">
        <f>IF(B3540=1,D3540,E3539)</f>
        <v/>
      </c>
      <c r="F3540">
        <f>IF(AND(B3540=1,C3540&gt;1,E3539&lt;&gt;""),ABS(D3540-E3539),"")</f>
        <v/>
      </c>
    </row>
    <row r="3541">
      <c r="A3541" t="n">
        <v>3541</v>
      </c>
      <c r="B3541">
        <f>IF(INDEX('Data Entry'!$H$5:$BE$10004,3541-4,'Visual SPC'!$B$3)="",0,IF(AND(OR('Visual SPC'!$C$4="",'Data Entry'!$C3541&gt;='Visual SPC'!$C$4),OR('Visual SPC'!$E$4="",'Data Entry'!$C3541&lt;='Visual SPC'!$E$4),OR('Visual SPC'!$G$4="",'Data Entry'!$D3541='Visual SPC'!$G$4),OR('Visual SPC'!$I$4="",'Data Entry'!$E3541='Visual SPC'!$I$4),OR('Visual SPC'!$K$4="",'Data Entry'!$F3541='Visual SPC'!$K$4)),1,0))</f>
        <v/>
      </c>
      <c r="C3541">
        <f>C3540+B3541</f>
        <v/>
      </c>
      <c r="D3541">
        <f>IF(B3541=1,INDEX('Data Entry'!$H$5:$BE$10004,3541-4,'Visual SPC'!$B$3),"")</f>
        <v/>
      </c>
      <c r="E3541">
        <f>IF(B3541=1,D3541,E3540)</f>
        <v/>
      </c>
      <c r="F3541">
        <f>IF(AND(B3541=1,C3541&gt;1,E3540&lt;&gt;""),ABS(D3541-E3540),"")</f>
        <v/>
      </c>
    </row>
    <row r="3542">
      <c r="A3542" t="n">
        <v>3542</v>
      </c>
      <c r="B3542">
        <f>IF(INDEX('Data Entry'!$H$5:$BE$10004,3542-4,'Visual SPC'!$B$3)="",0,IF(AND(OR('Visual SPC'!$C$4="",'Data Entry'!$C3542&gt;='Visual SPC'!$C$4),OR('Visual SPC'!$E$4="",'Data Entry'!$C3542&lt;='Visual SPC'!$E$4),OR('Visual SPC'!$G$4="",'Data Entry'!$D3542='Visual SPC'!$G$4),OR('Visual SPC'!$I$4="",'Data Entry'!$E3542='Visual SPC'!$I$4),OR('Visual SPC'!$K$4="",'Data Entry'!$F3542='Visual SPC'!$K$4)),1,0))</f>
        <v/>
      </c>
      <c r="C3542">
        <f>C3541+B3542</f>
        <v/>
      </c>
      <c r="D3542">
        <f>IF(B3542=1,INDEX('Data Entry'!$H$5:$BE$10004,3542-4,'Visual SPC'!$B$3),"")</f>
        <v/>
      </c>
      <c r="E3542">
        <f>IF(B3542=1,D3542,E3541)</f>
        <v/>
      </c>
      <c r="F3542">
        <f>IF(AND(B3542=1,C3542&gt;1,E3541&lt;&gt;""),ABS(D3542-E3541),"")</f>
        <v/>
      </c>
    </row>
    <row r="3543">
      <c r="A3543" t="n">
        <v>3543</v>
      </c>
      <c r="B3543">
        <f>IF(INDEX('Data Entry'!$H$5:$BE$10004,3543-4,'Visual SPC'!$B$3)="",0,IF(AND(OR('Visual SPC'!$C$4="",'Data Entry'!$C3543&gt;='Visual SPC'!$C$4),OR('Visual SPC'!$E$4="",'Data Entry'!$C3543&lt;='Visual SPC'!$E$4),OR('Visual SPC'!$G$4="",'Data Entry'!$D3543='Visual SPC'!$G$4),OR('Visual SPC'!$I$4="",'Data Entry'!$E3543='Visual SPC'!$I$4),OR('Visual SPC'!$K$4="",'Data Entry'!$F3543='Visual SPC'!$K$4)),1,0))</f>
        <v/>
      </c>
      <c r="C3543">
        <f>C3542+B3543</f>
        <v/>
      </c>
      <c r="D3543">
        <f>IF(B3543=1,INDEX('Data Entry'!$H$5:$BE$10004,3543-4,'Visual SPC'!$B$3),"")</f>
        <v/>
      </c>
      <c r="E3543">
        <f>IF(B3543=1,D3543,E3542)</f>
        <v/>
      </c>
      <c r="F3543">
        <f>IF(AND(B3543=1,C3543&gt;1,E3542&lt;&gt;""),ABS(D3543-E3542),"")</f>
        <v/>
      </c>
    </row>
    <row r="3544">
      <c r="A3544" t="n">
        <v>3544</v>
      </c>
      <c r="B3544">
        <f>IF(INDEX('Data Entry'!$H$5:$BE$10004,3544-4,'Visual SPC'!$B$3)="",0,IF(AND(OR('Visual SPC'!$C$4="",'Data Entry'!$C3544&gt;='Visual SPC'!$C$4),OR('Visual SPC'!$E$4="",'Data Entry'!$C3544&lt;='Visual SPC'!$E$4),OR('Visual SPC'!$G$4="",'Data Entry'!$D3544='Visual SPC'!$G$4),OR('Visual SPC'!$I$4="",'Data Entry'!$E3544='Visual SPC'!$I$4),OR('Visual SPC'!$K$4="",'Data Entry'!$F3544='Visual SPC'!$K$4)),1,0))</f>
        <v/>
      </c>
      <c r="C3544">
        <f>C3543+B3544</f>
        <v/>
      </c>
      <c r="D3544">
        <f>IF(B3544=1,INDEX('Data Entry'!$H$5:$BE$10004,3544-4,'Visual SPC'!$B$3),"")</f>
        <v/>
      </c>
      <c r="E3544">
        <f>IF(B3544=1,D3544,E3543)</f>
        <v/>
      </c>
      <c r="F3544">
        <f>IF(AND(B3544=1,C3544&gt;1,E3543&lt;&gt;""),ABS(D3544-E3543),"")</f>
        <v/>
      </c>
    </row>
    <row r="3545">
      <c r="A3545" t="n">
        <v>3545</v>
      </c>
      <c r="B3545">
        <f>IF(INDEX('Data Entry'!$H$5:$BE$10004,3545-4,'Visual SPC'!$B$3)="",0,IF(AND(OR('Visual SPC'!$C$4="",'Data Entry'!$C3545&gt;='Visual SPC'!$C$4),OR('Visual SPC'!$E$4="",'Data Entry'!$C3545&lt;='Visual SPC'!$E$4),OR('Visual SPC'!$G$4="",'Data Entry'!$D3545='Visual SPC'!$G$4),OR('Visual SPC'!$I$4="",'Data Entry'!$E3545='Visual SPC'!$I$4),OR('Visual SPC'!$K$4="",'Data Entry'!$F3545='Visual SPC'!$K$4)),1,0))</f>
        <v/>
      </c>
      <c r="C3545">
        <f>C3544+B3545</f>
        <v/>
      </c>
      <c r="D3545">
        <f>IF(B3545=1,INDEX('Data Entry'!$H$5:$BE$10004,3545-4,'Visual SPC'!$B$3),"")</f>
        <v/>
      </c>
      <c r="E3545">
        <f>IF(B3545=1,D3545,E3544)</f>
        <v/>
      </c>
      <c r="F3545">
        <f>IF(AND(B3545=1,C3545&gt;1,E3544&lt;&gt;""),ABS(D3545-E3544),"")</f>
        <v/>
      </c>
    </row>
    <row r="3546">
      <c r="A3546" t="n">
        <v>3546</v>
      </c>
      <c r="B3546">
        <f>IF(INDEX('Data Entry'!$H$5:$BE$10004,3546-4,'Visual SPC'!$B$3)="",0,IF(AND(OR('Visual SPC'!$C$4="",'Data Entry'!$C3546&gt;='Visual SPC'!$C$4),OR('Visual SPC'!$E$4="",'Data Entry'!$C3546&lt;='Visual SPC'!$E$4),OR('Visual SPC'!$G$4="",'Data Entry'!$D3546='Visual SPC'!$G$4),OR('Visual SPC'!$I$4="",'Data Entry'!$E3546='Visual SPC'!$I$4),OR('Visual SPC'!$K$4="",'Data Entry'!$F3546='Visual SPC'!$K$4)),1,0))</f>
        <v/>
      </c>
      <c r="C3546">
        <f>C3545+B3546</f>
        <v/>
      </c>
      <c r="D3546">
        <f>IF(B3546=1,INDEX('Data Entry'!$H$5:$BE$10004,3546-4,'Visual SPC'!$B$3),"")</f>
        <v/>
      </c>
      <c r="E3546">
        <f>IF(B3546=1,D3546,E3545)</f>
        <v/>
      </c>
      <c r="F3546">
        <f>IF(AND(B3546=1,C3546&gt;1,E3545&lt;&gt;""),ABS(D3546-E3545),"")</f>
        <v/>
      </c>
    </row>
    <row r="3547">
      <c r="A3547" t="n">
        <v>3547</v>
      </c>
      <c r="B3547">
        <f>IF(INDEX('Data Entry'!$H$5:$BE$10004,3547-4,'Visual SPC'!$B$3)="",0,IF(AND(OR('Visual SPC'!$C$4="",'Data Entry'!$C3547&gt;='Visual SPC'!$C$4),OR('Visual SPC'!$E$4="",'Data Entry'!$C3547&lt;='Visual SPC'!$E$4),OR('Visual SPC'!$G$4="",'Data Entry'!$D3547='Visual SPC'!$G$4),OR('Visual SPC'!$I$4="",'Data Entry'!$E3547='Visual SPC'!$I$4),OR('Visual SPC'!$K$4="",'Data Entry'!$F3547='Visual SPC'!$K$4)),1,0))</f>
        <v/>
      </c>
      <c r="C3547">
        <f>C3546+B3547</f>
        <v/>
      </c>
      <c r="D3547">
        <f>IF(B3547=1,INDEX('Data Entry'!$H$5:$BE$10004,3547-4,'Visual SPC'!$B$3),"")</f>
        <v/>
      </c>
      <c r="E3547">
        <f>IF(B3547=1,D3547,E3546)</f>
        <v/>
      </c>
      <c r="F3547">
        <f>IF(AND(B3547=1,C3547&gt;1,E3546&lt;&gt;""),ABS(D3547-E3546),"")</f>
        <v/>
      </c>
    </row>
    <row r="3548">
      <c r="A3548" t="n">
        <v>3548</v>
      </c>
      <c r="B3548">
        <f>IF(INDEX('Data Entry'!$H$5:$BE$10004,3548-4,'Visual SPC'!$B$3)="",0,IF(AND(OR('Visual SPC'!$C$4="",'Data Entry'!$C3548&gt;='Visual SPC'!$C$4),OR('Visual SPC'!$E$4="",'Data Entry'!$C3548&lt;='Visual SPC'!$E$4),OR('Visual SPC'!$G$4="",'Data Entry'!$D3548='Visual SPC'!$G$4),OR('Visual SPC'!$I$4="",'Data Entry'!$E3548='Visual SPC'!$I$4),OR('Visual SPC'!$K$4="",'Data Entry'!$F3548='Visual SPC'!$K$4)),1,0))</f>
        <v/>
      </c>
      <c r="C3548">
        <f>C3547+B3548</f>
        <v/>
      </c>
      <c r="D3548">
        <f>IF(B3548=1,INDEX('Data Entry'!$H$5:$BE$10004,3548-4,'Visual SPC'!$B$3),"")</f>
        <v/>
      </c>
      <c r="E3548">
        <f>IF(B3548=1,D3548,E3547)</f>
        <v/>
      </c>
      <c r="F3548">
        <f>IF(AND(B3548=1,C3548&gt;1,E3547&lt;&gt;""),ABS(D3548-E3547),"")</f>
        <v/>
      </c>
    </row>
    <row r="3549">
      <c r="A3549" t="n">
        <v>3549</v>
      </c>
      <c r="B3549">
        <f>IF(INDEX('Data Entry'!$H$5:$BE$10004,3549-4,'Visual SPC'!$B$3)="",0,IF(AND(OR('Visual SPC'!$C$4="",'Data Entry'!$C3549&gt;='Visual SPC'!$C$4),OR('Visual SPC'!$E$4="",'Data Entry'!$C3549&lt;='Visual SPC'!$E$4),OR('Visual SPC'!$G$4="",'Data Entry'!$D3549='Visual SPC'!$G$4),OR('Visual SPC'!$I$4="",'Data Entry'!$E3549='Visual SPC'!$I$4),OR('Visual SPC'!$K$4="",'Data Entry'!$F3549='Visual SPC'!$K$4)),1,0))</f>
        <v/>
      </c>
      <c r="C3549">
        <f>C3548+B3549</f>
        <v/>
      </c>
      <c r="D3549">
        <f>IF(B3549=1,INDEX('Data Entry'!$H$5:$BE$10004,3549-4,'Visual SPC'!$B$3),"")</f>
        <v/>
      </c>
      <c r="E3549">
        <f>IF(B3549=1,D3549,E3548)</f>
        <v/>
      </c>
      <c r="F3549">
        <f>IF(AND(B3549=1,C3549&gt;1,E3548&lt;&gt;""),ABS(D3549-E3548),"")</f>
        <v/>
      </c>
    </row>
    <row r="3550">
      <c r="A3550" t="n">
        <v>3550</v>
      </c>
      <c r="B3550">
        <f>IF(INDEX('Data Entry'!$H$5:$BE$10004,3550-4,'Visual SPC'!$B$3)="",0,IF(AND(OR('Visual SPC'!$C$4="",'Data Entry'!$C3550&gt;='Visual SPC'!$C$4),OR('Visual SPC'!$E$4="",'Data Entry'!$C3550&lt;='Visual SPC'!$E$4),OR('Visual SPC'!$G$4="",'Data Entry'!$D3550='Visual SPC'!$G$4),OR('Visual SPC'!$I$4="",'Data Entry'!$E3550='Visual SPC'!$I$4),OR('Visual SPC'!$K$4="",'Data Entry'!$F3550='Visual SPC'!$K$4)),1,0))</f>
        <v/>
      </c>
      <c r="C3550">
        <f>C3549+B3550</f>
        <v/>
      </c>
      <c r="D3550">
        <f>IF(B3550=1,INDEX('Data Entry'!$H$5:$BE$10004,3550-4,'Visual SPC'!$B$3),"")</f>
        <v/>
      </c>
      <c r="E3550">
        <f>IF(B3550=1,D3550,E3549)</f>
        <v/>
      </c>
      <c r="F3550">
        <f>IF(AND(B3550=1,C3550&gt;1,E3549&lt;&gt;""),ABS(D3550-E3549),"")</f>
        <v/>
      </c>
    </row>
    <row r="3551">
      <c r="A3551" t="n">
        <v>3551</v>
      </c>
      <c r="B3551">
        <f>IF(INDEX('Data Entry'!$H$5:$BE$10004,3551-4,'Visual SPC'!$B$3)="",0,IF(AND(OR('Visual SPC'!$C$4="",'Data Entry'!$C3551&gt;='Visual SPC'!$C$4),OR('Visual SPC'!$E$4="",'Data Entry'!$C3551&lt;='Visual SPC'!$E$4),OR('Visual SPC'!$G$4="",'Data Entry'!$D3551='Visual SPC'!$G$4),OR('Visual SPC'!$I$4="",'Data Entry'!$E3551='Visual SPC'!$I$4),OR('Visual SPC'!$K$4="",'Data Entry'!$F3551='Visual SPC'!$K$4)),1,0))</f>
        <v/>
      </c>
      <c r="C3551">
        <f>C3550+B3551</f>
        <v/>
      </c>
      <c r="D3551">
        <f>IF(B3551=1,INDEX('Data Entry'!$H$5:$BE$10004,3551-4,'Visual SPC'!$B$3),"")</f>
        <v/>
      </c>
      <c r="E3551">
        <f>IF(B3551=1,D3551,E3550)</f>
        <v/>
      </c>
      <c r="F3551">
        <f>IF(AND(B3551=1,C3551&gt;1,E3550&lt;&gt;""),ABS(D3551-E3550),"")</f>
        <v/>
      </c>
    </row>
    <row r="3552">
      <c r="A3552" t="n">
        <v>3552</v>
      </c>
      <c r="B3552">
        <f>IF(INDEX('Data Entry'!$H$5:$BE$10004,3552-4,'Visual SPC'!$B$3)="",0,IF(AND(OR('Visual SPC'!$C$4="",'Data Entry'!$C3552&gt;='Visual SPC'!$C$4),OR('Visual SPC'!$E$4="",'Data Entry'!$C3552&lt;='Visual SPC'!$E$4),OR('Visual SPC'!$G$4="",'Data Entry'!$D3552='Visual SPC'!$G$4),OR('Visual SPC'!$I$4="",'Data Entry'!$E3552='Visual SPC'!$I$4),OR('Visual SPC'!$K$4="",'Data Entry'!$F3552='Visual SPC'!$K$4)),1,0))</f>
        <v/>
      </c>
      <c r="C3552">
        <f>C3551+B3552</f>
        <v/>
      </c>
      <c r="D3552">
        <f>IF(B3552=1,INDEX('Data Entry'!$H$5:$BE$10004,3552-4,'Visual SPC'!$B$3),"")</f>
        <v/>
      </c>
      <c r="E3552">
        <f>IF(B3552=1,D3552,E3551)</f>
        <v/>
      </c>
      <c r="F3552">
        <f>IF(AND(B3552=1,C3552&gt;1,E3551&lt;&gt;""),ABS(D3552-E3551),"")</f>
        <v/>
      </c>
    </row>
    <row r="3553">
      <c r="A3553" t="n">
        <v>3553</v>
      </c>
      <c r="B3553">
        <f>IF(INDEX('Data Entry'!$H$5:$BE$10004,3553-4,'Visual SPC'!$B$3)="",0,IF(AND(OR('Visual SPC'!$C$4="",'Data Entry'!$C3553&gt;='Visual SPC'!$C$4),OR('Visual SPC'!$E$4="",'Data Entry'!$C3553&lt;='Visual SPC'!$E$4),OR('Visual SPC'!$G$4="",'Data Entry'!$D3553='Visual SPC'!$G$4),OR('Visual SPC'!$I$4="",'Data Entry'!$E3553='Visual SPC'!$I$4),OR('Visual SPC'!$K$4="",'Data Entry'!$F3553='Visual SPC'!$K$4)),1,0))</f>
        <v/>
      </c>
      <c r="C3553">
        <f>C3552+B3553</f>
        <v/>
      </c>
      <c r="D3553">
        <f>IF(B3553=1,INDEX('Data Entry'!$H$5:$BE$10004,3553-4,'Visual SPC'!$B$3),"")</f>
        <v/>
      </c>
      <c r="E3553">
        <f>IF(B3553=1,D3553,E3552)</f>
        <v/>
      </c>
      <c r="F3553">
        <f>IF(AND(B3553=1,C3553&gt;1,E3552&lt;&gt;""),ABS(D3553-E3552),"")</f>
        <v/>
      </c>
    </row>
    <row r="3554">
      <c r="A3554" t="n">
        <v>3554</v>
      </c>
      <c r="B3554">
        <f>IF(INDEX('Data Entry'!$H$5:$BE$10004,3554-4,'Visual SPC'!$B$3)="",0,IF(AND(OR('Visual SPC'!$C$4="",'Data Entry'!$C3554&gt;='Visual SPC'!$C$4),OR('Visual SPC'!$E$4="",'Data Entry'!$C3554&lt;='Visual SPC'!$E$4),OR('Visual SPC'!$G$4="",'Data Entry'!$D3554='Visual SPC'!$G$4),OR('Visual SPC'!$I$4="",'Data Entry'!$E3554='Visual SPC'!$I$4),OR('Visual SPC'!$K$4="",'Data Entry'!$F3554='Visual SPC'!$K$4)),1,0))</f>
        <v/>
      </c>
      <c r="C3554">
        <f>C3553+B3554</f>
        <v/>
      </c>
      <c r="D3554">
        <f>IF(B3554=1,INDEX('Data Entry'!$H$5:$BE$10004,3554-4,'Visual SPC'!$B$3),"")</f>
        <v/>
      </c>
      <c r="E3554">
        <f>IF(B3554=1,D3554,E3553)</f>
        <v/>
      </c>
      <c r="F3554">
        <f>IF(AND(B3554=1,C3554&gt;1,E3553&lt;&gt;""),ABS(D3554-E3553),"")</f>
        <v/>
      </c>
    </row>
    <row r="3555">
      <c r="A3555" t="n">
        <v>3555</v>
      </c>
      <c r="B3555">
        <f>IF(INDEX('Data Entry'!$H$5:$BE$10004,3555-4,'Visual SPC'!$B$3)="",0,IF(AND(OR('Visual SPC'!$C$4="",'Data Entry'!$C3555&gt;='Visual SPC'!$C$4),OR('Visual SPC'!$E$4="",'Data Entry'!$C3555&lt;='Visual SPC'!$E$4),OR('Visual SPC'!$G$4="",'Data Entry'!$D3555='Visual SPC'!$G$4),OR('Visual SPC'!$I$4="",'Data Entry'!$E3555='Visual SPC'!$I$4),OR('Visual SPC'!$K$4="",'Data Entry'!$F3555='Visual SPC'!$K$4)),1,0))</f>
        <v/>
      </c>
      <c r="C3555">
        <f>C3554+B3555</f>
        <v/>
      </c>
      <c r="D3555">
        <f>IF(B3555=1,INDEX('Data Entry'!$H$5:$BE$10004,3555-4,'Visual SPC'!$B$3),"")</f>
        <v/>
      </c>
      <c r="E3555">
        <f>IF(B3555=1,D3555,E3554)</f>
        <v/>
      </c>
      <c r="F3555">
        <f>IF(AND(B3555=1,C3555&gt;1,E3554&lt;&gt;""),ABS(D3555-E3554),"")</f>
        <v/>
      </c>
    </row>
    <row r="3556">
      <c r="A3556" t="n">
        <v>3556</v>
      </c>
      <c r="B3556">
        <f>IF(INDEX('Data Entry'!$H$5:$BE$10004,3556-4,'Visual SPC'!$B$3)="",0,IF(AND(OR('Visual SPC'!$C$4="",'Data Entry'!$C3556&gt;='Visual SPC'!$C$4),OR('Visual SPC'!$E$4="",'Data Entry'!$C3556&lt;='Visual SPC'!$E$4),OR('Visual SPC'!$G$4="",'Data Entry'!$D3556='Visual SPC'!$G$4),OR('Visual SPC'!$I$4="",'Data Entry'!$E3556='Visual SPC'!$I$4),OR('Visual SPC'!$K$4="",'Data Entry'!$F3556='Visual SPC'!$K$4)),1,0))</f>
        <v/>
      </c>
      <c r="C3556">
        <f>C3555+B3556</f>
        <v/>
      </c>
      <c r="D3556">
        <f>IF(B3556=1,INDEX('Data Entry'!$H$5:$BE$10004,3556-4,'Visual SPC'!$B$3),"")</f>
        <v/>
      </c>
      <c r="E3556">
        <f>IF(B3556=1,D3556,E3555)</f>
        <v/>
      </c>
      <c r="F3556">
        <f>IF(AND(B3556=1,C3556&gt;1,E3555&lt;&gt;""),ABS(D3556-E3555),"")</f>
        <v/>
      </c>
    </row>
    <row r="3557">
      <c r="A3557" t="n">
        <v>3557</v>
      </c>
      <c r="B3557">
        <f>IF(INDEX('Data Entry'!$H$5:$BE$10004,3557-4,'Visual SPC'!$B$3)="",0,IF(AND(OR('Visual SPC'!$C$4="",'Data Entry'!$C3557&gt;='Visual SPC'!$C$4),OR('Visual SPC'!$E$4="",'Data Entry'!$C3557&lt;='Visual SPC'!$E$4),OR('Visual SPC'!$G$4="",'Data Entry'!$D3557='Visual SPC'!$G$4),OR('Visual SPC'!$I$4="",'Data Entry'!$E3557='Visual SPC'!$I$4),OR('Visual SPC'!$K$4="",'Data Entry'!$F3557='Visual SPC'!$K$4)),1,0))</f>
        <v/>
      </c>
      <c r="C3557">
        <f>C3556+B3557</f>
        <v/>
      </c>
      <c r="D3557">
        <f>IF(B3557=1,INDEX('Data Entry'!$H$5:$BE$10004,3557-4,'Visual SPC'!$B$3),"")</f>
        <v/>
      </c>
      <c r="E3557">
        <f>IF(B3557=1,D3557,E3556)</f>
        <v/>
      </c>
      <c r="F3557">
        <f>IF(AND(B3557=1,C3557&gt;1,E3556&lt;&gt;""),ABS(D3557-E3556),"")</f>
        <v/>
      </c>
    </row>
    <row r="3558">
      <c r="A3558" t="n">
        <v>3558</v>
      </c>
      <c r="B3558">
        <f>IF(INDEX('Data Entry'!$H$5:$BE$10004,3558-4,'Visual SPC'!$B$3)="",0,IF(AND(OR('Visual SPC'!$C$4="",'Data Entry'!$C3558&gt;='Visual SPC'!$C$4),OR('Visual SPC'!$E$4="",'Data Entry'!$C3558&lt;='Visual SPC'!$E$4),OR('Visual SPC'!$G$4="",'Data Entry'!$D3558='Visual SPC'!$G$4),OR('Visual SPC'!$I$4="",'Data Entry'!$E3558='Visual SPC'!$I$4),OR('Visual SPC'!$K$4="",'Data Entry'!$F3558='Visual SPC'!$K$4)),1,0))</f>
        <v/>
      </c>
      <c r="C3558">
        <f>C3557+B3558</f>
        <v/>
      </c>
      <c r="D3558">
        <f>IF(B3558=1,INDEX('Data Entry'!$H$5:$BE$10004,3558-4,'Visual SPC'!$B$3),"")</f>
        <v/>
      </c>
      <c r="E3558">
        <f>IF(B3558=1,D3558,E3557)</f>
        <v/>
      </c>
      <c r="F3558">
        <f>IF(AND(B3558=1,C3558&gt;1,E3557&lt;&gt;""),ABS(D3558-E3557),"")</f>
        <v/>
      </c>
    </row>
    <row r="3559">
      <c r="A3559" t="n">
        <v>3559</v>
      </c>
      <c r="B3559">
        <f>IF(INDEX('Data Entry'!$H$5:$BE$10004,3559-4,'Visual SPC'!$B$3)="",0,IF(AND(OR('Visual SPC'!$C$4="",'Data Entry'!$C3559&gt;='Visual SPC'!$C$4),OR('Visual SPC'!$E$4="",'Data Entry'!$C3559&lt;='Visual SPC'!$E$4),OR('Visual SPC'!$G$4="",'Data Entry'!$D3559='Visual SPC'!$G$4),OR('Visual SPC'!$I$4="",'Data Entry'!$E3559='Visual SPC'!$I$4),OR('Visual SPC'!$K$4="",'Data Entry'!$F3559='Visual SPC'!$K$4)),1,0))</f>
        <v/>
      </c>
      <c r="C3559">
        <f>C3558+B3559</f>
        <v/>
      </c>
      <c r="D3559">
        <f>IF(B3559=1,INDEX('Data Entry'!$H$5:$BE$10004,3559-4,'Visual SPC'!$B$3),"")</f>
        <v/>
      </c>
      <c r="E3559">
        <f>IF(B3559=1,D3559,E3558)</f>
        <v/>
      </c>
      <c r="F3559">
        <f>IF(AND(B3559=1,C3559&gt;1,E3558&lt;&gt;""),ABS(D3559-E3558),"")</f>
        <v/>
      </c>
    </row>
    <row r="3560">
      <c r="A3560" t="n">
        <v>3560</v>
      </c>
      <c r="B3560">
        <f>IF(INDEX('Data Entry'!$H$5:$BE$10004,3560-4,'Visual SPC'!$B$3)="",0,IF(AND(OR('Visual SPC'!$C$4="",'Data Entry'!$C3560&gt;='Visual SPC'!$C$4),OR('Visual SPC'!$E$4="",'Data Entry'!$C3560&lt;='Visual SPC'!$E$4),OR('Visual SPC'!$G$4="",'Data Entry'!$D3560='Visual SPC'!$G$4),OR('Visual SPC'!$I$4="",'Data Entry'!$E3560='Visual SPC'!$I$4),OR('Visual SPC'!$K$4="",'Data Entry'!$F3560='Visual SPC'!$K$4)),1,0))</f>
        <v/>
      </c>
      <c r="C3560">
        <f>C3559+B3560</f>
        <v/>
      </c>
      <c r="D3560">
        <f>IF(B3560=1,INDEX('Data Entry'!$H$5:$BE$10004,3560-4,'Visual SPC'!$B$3),"")</f>
        <v/>
      </c>
      <c r="E3560">
        <f>IF(B3560=1,D3560,E3559)</f>
        <v/>
      </c>
      <c r="F3560">
        <f>IF(AND(B3560=1,C3560&gt;1,E3559&lt;&gt;""),ABS(D3560-E3559),"")</f>
        <v/>
      </c>
    </row>
    <row r="3561">
      <c r="A3561" t="n">
        <v>3561</v>
      </c>
      <c r="B3561">
        <f>IF(INDEX('Data Entry'!$H$5:$BE$10004,3561-4,'Visual SPC'!$B$3)="",0,IF(AND(OR('Visual SPC'!$C$4="",'Data Entry'!$C3561&gt;='Visual SPC'!$C$4),OR('Visual SPC'!$E$4="",'Data Entry'!$C3561&lt;='Visual SPC'!$E$4),OR('Visual SPC'!$G$4="",'Data Entry'!$D3561='Visual SPC'!$G$4),OR('Visual SPC'!$I$4="",'Data Entry'!$E3561='Visual SPC'!$I$4),OR('Visual SPC'!$K$4="",'Data Entry'!$F3561='Visual SPC'!$K$4)),1,0))</f>
        <v/>
      </c>
      <c r="C3561">
        <f>C3560+B3561</f>
        <v/>
      </c>
      <c r="D3561">
        <f>IF(B3561=1,INDEX('Data Entry'!$H$5:$BE$10004,3561-4,'Visual SPC'!$B$3),"")</f>
        <v/>
      </c>
      <c r="E3561">
        <f>IF(B3561=1,D3561,E3560)</f>
        <v/>
      </c>
      <c r="F3561">
        <f>IF(AND(B3561=1,C3561&gt;1,E3560&lt;&gt;""),ABS(D3561-E3560),"")</f>
        <v/>
      </c>
    </row>
    <row r="3562">
      <c r="A3562" t="n">
        <v>3562</v>
      </c>
      <c r="B3562">
        <f>IF(INDEX('Data Entry'!$H$5:$BE$10004,3562-4,'Visual SPC'!$B$3)="",0,IF(AND(OR('Visual SPC'!$C$4="",'Data Entry'!$C3562&gt;='Visual SPC'!$C$4),OR('Visual SPC'!$E$4="",'Data Entry'!$C3562&lt;='Visual SPC'!$E$4),OR('Visual SPC'!$G$4="",'Data Entry'!$D3562='Visual SPC'!$G$4),OR('Visual SPC'!$I$4="",'Data Entry'!$E3562='Visual SPC'!$I$4),OR('Visual SPC'!$K$4="",'Data Entry'!$F3562='Visual SPC'!$K$4)),1,0))</f>
        <v/>
      </c>
      <c r="C3562">
        <f>C3561+B3562</f>
        <v/>
      </c>
      <c r="D3562">
        <f>IF(B3562=1,INDEX('Data Entry'!$H$5:$BE$10004,3562-4,'Visual SPC'!$B$3),"")</f>
        <v/>
      </c>
      <c r="E3562">
        <f>IF(B3562=1,D3562,E3561)</f>
        <v/>
      </c>
      <c r="F3562">
        <f>IF(AND(B3562=1,C3562&gt;1,E3561&lt;&gt;""),ABS(D3562-E3561),"")</f>
        <v/>
      </c>
    </row>
    <row r="3563">
      <c r="A3563" t="n">
        <v>3563</v>
      </c>
      <c r="B3563">
        <f>IF(INDEX('Data Entry'!$H$5:$BE$10004,3563-4,'Visual SPC'!$B$3)="",0,IF(AND(OR('Visual SPC'!$C$4="",'Data Entry'!$C3563&gt;='Visual SPC'!$C$4),OR('Visual SPC'!$E$4="",'Data Entry'!$C3563&lt;='Visual SPC'!$E$4),OR('Visual SPC'!$G$4="",'Data Entry'!$D3563='Visual SPC'!$G$4),OR('Visual SPC'!$I$4="",'Data Entry'!$E3563='Visual SPC'!$I$4),OR('Visual SPC'!$K$4="",'Data Entry'!$F3563='Visual SPC'!$K$4)),1,0))</f>
        <v/>
      </c>
      <c r="C3563">
        <f>C3562+B3563</f>
        <v/>
      </c>
      <c r="D3563">
        <f>IF(B3563=1,INDEX('Data Entry'!$H$5:$BE$10004,3563-4,'Visual SPC'!$B$3),"")</f>
        <v/>
      </c>
      <c r="E3563">
        <f>IF(B3563=1,D3563,E3562)</f>
        <v/>
      </c>
      <c r="F3563">
        <f>IF(AND(B3563=1,C3563&gt;1,E3562&lt;&gt;""),ABS(D3563-E3562),"")</f>
        <v/>
      </c>
    </row>
    <row r="3564">
      <c r="A3564" t="n">
        <v>3564</v>
      </c>
      <c r="B3564">
        <f>IF(INDEX('Data Entry'!$H$5:$BE$10004,3564-4,'Visual SPC'!$B$3)="",0,IF(AND(OR('Visual SPC'!$C$4="",'Data Entry'!$C3564&gt;='Visual SPC'!$C$4),OR('Visual SPC'!$E$4="",'Data Entry'!$C3564&lt;='Visual SPC'!$E$4),OR('Visual SPC'!$G$4="",'Data Entry'!$D3564='Visual SPC'!$G$4),OR('Visual SPC'!$I$4="",'Data Entry'!$E3564='Visual SPC'!$I$4),OR('Visual SPC'!$K$4="",'Data Entry'!$F3564='Visual SPC'!$K$4)),1,0))</f>
        <v/>
      </c>
      <c r="C3564">
        <f>C3563+B3564</f>
        <v/>
      </c>
      <c r="D3564">
        <f>IF(B3564=1,INDEX('Data Entry'!$H$5:$BE$10004,3564-4,'Visual SPC'!$B$3),"")</f>
        <v/>
      </c>
      <c r="E3564">
        <f>IF(B3564=1,D3564,E3563)</f>
        <v/>
      </c>
      <c r="F3564">
        <f>IF(AND(B3564=1,C3564&gt;1,E3563&lt;&gt;""),ABS(D3564-E3563),"")</f>
        <v/>
      </c>
    </row>
    <row r="3565">
      <c r="A3565" t="n">
        <v>3565</v>
      </c>
      <c r="B3565">
        <f>IF(INDEX('Data Entry'!$H$5:$BE$10004,3565-4,'Visual SPC'!$B$3)="",0,IF(AND(OR('Visual SPC'!$C$4="",'Data Entry'!$C3565&gt;='Visual SPC'!$C$4),OR('Visual SPC'!$E$4="",'Data Entry'!$C3565&lt;='Visual SPC'!$E$4),OR('Visual SPC'!$G$4="",'Data Entry'!$D3565='Visual SPC'!$G$4),OR('Visual SPC'!$I$4="",'Data Entry'!$E3565='Visual SPC'!$I$4),OR('Visual SPC'!$K$4="",'Data Entry'!$F3565='Visual SPC'!$K$4)),1,0))</f>
        <v/>
      </c>
      <c r="C3565">
        <f>C3564+B3565</f>
        <v/>
      </c>
      <c r="D3565">
        <f>IF(B3565=1,INDEX('Data Entry'!$H$5:$BE$10004,3565-4,'Visual SPC'!$B$3),"")</f>
        <v/>
      </c>
      <c r="E3565">
        <f>IF(B3565=1,D3565,E3564)</f>
        <v/>
      </c>
      <c r="F3565">
        <f>IF(AND(B3565=1,C3565&gt;1,E3564&lt;&gt;""),ABS(D3565-E3564),"")</f>
        <v/>
      </c>
    </row>
    <row r="3566">
      <c r="A3566" t="n">
        <v>3566</v>
      </c>
      <c r="B3566">
        <f>IF(INDEX('Data Entry'!$H$5:$BE$10004,3566-4,'Visual SPC'!$B$3)="",0,IF(AND(OR('Visual SPC'!$C$4="",'Data Entry'!$C3566&gt;='Visual SPC'!$C$4),OR('Visual SPC'!$E$4="",'Data Entry'!$C3566&lt;='Visual SPC'!$E$4),OR('Visual SPC'!$G$4="",'Data Entry'!$D3566='Visual SPC'!$G$4),OR('Visual SPC'!$I$4="",'Data Entry'!$E3566='Visual SPC'!$I$4),OR('Visual SPC'!$K$4="",'Data Entry'!$F3566='Visual SPC'!$K$4)),1,0))</f>
        <v/>
      </c>
      <c r="C3566">
        <f>C3565+B3566</f>
        <v/>
      </c>
      <c r="D3566">
        <f>IF(B3566=1,INDEX('Data Entry'!$H$5:$BE$10004,3566-4,'Visual SPC'!$B$3),"")</f>
        <v/>
      </c>
      <c r="E3566">
        <f>IF(B3566=1,D3566,E3565)</f>
        <v/>
      </c>
      <c r="F3566">
        <f>IF(AND(B3566=1,C3566&gt;1,E3565&lt;&gt;""),ABS(D3566-E3565),"")</f>
        <v/>
      </c>
    </row>
    <row r="3567">
      <c r="A3567" t="n">
        <v>3567</v>
      </c>
      <c r="B3567">
        <f>IF(INDEX('Data Entry'!$H$5:$BE$10004,3567-4,'Visual SPC'!$B$3)="",0,IF(AND(OR('Visual SPC'!$C$4="",'Data Entry'!$C3567&gt;='Visual SPC'!$C$4),OR('Visual SPC'!$E$4="",'Data Entry'!$C3567&lt;='Visual SPC'!$E$4),OR('Visual SPC'!$G$4="",'Data Entry'!$D3567='Visual SPC'!$G$4),OR('Visual SPC'!$I$4="",'Data Entry'!$E3567='Visual SPC'!$I$4),OR('Visual SPC'!$K$4="",'Data Entry'!$F3567='Visual SPC'!$K$4)),1,0))</f>
        <v/>
      </c>
      <c r="C3567">
        <f>C3566+B3567</f>
        <v/>
      </c>
      <c r="D3567">
        <f>IF(B3567=1,INDEX('Data Entry'!$H$5:$BE$10004,3567-4,'Visual SPC'!$B$3),"")</f>
        <v/>
      </c>
      <c r="E3567">
        <f>IF(B3567=1,D3567,E3566)</f>
        <v/>
      </c>
      <c r="F3567">
        <f>IF(AND(B3567=1,C3567&gt;1,E3566&lt;&gt;""),ABS(D3567-E3566),"")</f>
        <v/>
      </c>
    </row>
    <row r="3568">
      <c r="A3568" t="n">
        <v>3568</v>
      </c>
      <c r="B3568">
        <f>IF(INDEX('Data Entry'!$H$5:$BE$10004,3568-4,'Visual SPC'!$B$3)="",0,IF(AND(OR('Visual SPC'!$C$4="",'Data Entry'!$C3568&gt;='Visual SPC'!$C$4),OR('Visual SPC'!$E$4="",'Data Entry'!$C3568&lt;='Visual SPC'!$E$4),OR('Visual SPC'!$G$4="",'Data Entry'!$D3568='Visual SPC'!$G$4),OR('Visual SPC'!$I$4="",'Data Entry'!$E3568='Visual SPC'!$I$4),OR('Visual SPC'!$K$4="",'Data Entry'!$F3568='Visual SPC'!$K$4)),1,0))</f>
        <v/>
      </c>
      <c r="C3568">
        <f>C3567+B3568</f>
        <v/>
      </c>
      <c r="D3568">
        <f>IF(B3568=1,INDEX('Data Entry'!$H$5:$BE$10004,3568-4,'Visual SPC'!$B$3),"")</f>
        <v/>
      </c>
      <c r="E3568">
        <f>IF(B3568=1,D3568,E3567)</f>
        <v/>
      </c>
      <c r="F3568">
        <f>IF(AND(B3568=1,C3568&gt;1,E3567&lt;&gt;""),ABS(D3568-E3567),"")</f>
        <v/>
      </c>
    </row>
    <row r="3569">
      <c r="A3569" t="n">
        <v>3569</v>
      </c>
      <c r="B3569">
        <f>IF(INDEX('Data Entry'!$H$5:$BE$10004,3569-4,'Visual SPC'!$B$3)="",0,IF(AND(OR('Visual SPC'!$C$4="",'Data Entry'!$C3569&gt;='Visual SPC'!$C$4),OR('Visual SPC'!$E$4="",'Data Entry'!$C3569&lt;='Visual SPC'!$E$4),OR('Visual SPC'!$G$4="",'Data Entry'!$D3569='Visual SPC'!$G$4),OR('Visual SPC'!$I$4="",'Data Entry'!$E3569='Visual SPC'!$I$4),OR('Visual SPC'!$K$4="",'Data Entry'!$F3569='Visual SPC'!$K$4)),1,0))</f>
        <v/>
      </c>
      <c r="C3569">
        <f>C3568+B3569</f>
        <v/>
      </c>
      <c r="D3569">
        <f>IF(B3569=1,INDEX('Data Entry'!$H$5:$BE$10004,3569-4,'Visual SPC'!$B$3),"")</f>
        <v/>
      </c>
      <c r="E3569">
        <f>IF(B3569=1,D3569,E3568)</f>
        <v/>
      </c>
      <c r="F3569">
        <f>IF(AND(B3569=1,C3569&gt;1,E3568&lt;&gt;""),ABS(D3569-E3568),"")</f>
        <v/>
      </c>
    </row>
    <row r="3570">
      <c r="A3570" t="n">
        <v>3570</v>
      </c>
      <c r="B3570">
        <f>IF(INDEX('Data Entry'!$H$5:$BE$10004,3570-4,'Visual SPC'!$B$3)="",0,IF(AND(OR('Visual SPC'!$C$4="",'Data Entry'!$C3570&gt;='Visual SPC'!$C$4),OR('Visual SPC'!$E$4="",'Data Entry'!$C3570&lt;='Visual SPC'!$E$4),OR('Visual SPC'!$G$4="",'Data Entry'!$D3570='Visual SPC'!$G$4),OR('Visual SPC'!$I$4="",'Data Entry'!$E3570='Visual SPC'!$I$4),OR('Visual SPC'!$K$4="",'Data Entry'!$F3570='Visual SPC'!$K$4)),1,0))</f>
        <v/>
      </c>
      <c r="C3570">
        <f>C3569+B3570</f>
        <v/>
      </c>
      <c r="D3570">
        <f>IF(B3570=1,INDEX('Data Entry'!$H$5:$BE$10004,3570-4,'Visual SPC'!$B$3),"")</f>
        <v/>
      </c>
      <c r="E3570">
        <f>IF(B3570=1,D3570,E3569)</f>
        <v/>
      </c>
      <c r="F3570">
        <f>IF(AND(B3570=1,C3570&gt;1,E3569&lt;&gt;""),ABS(D3570-E3569),"")</f>
        <v/>
      </c>
    </row>
    <row r="3571">
      <c r="A3571" t="n">
        <v>3571</v>
      </c>
      <c r="B3571">
        <f>IF(INDEX('Data Entry'!$H$5:$BE$10004,3571-4,'Visual SPC'!$B$3)="",0,IF(AND(OR('Visual SPC'!$C$4="",'Data Entry'!$C3571&gt;='Visual SPC'!$C$4),OR('Visual SPC'!$E$4="",'Data Entry'!$C3571&lt;='Visual SPC'!$E$4),OR('Visual SPC'!$G$4="",'Data Entry'!$D3571='Visual SPC'!$G$4),OR('Visual SPC'!$I$4="",'Data Entry'!$E3571='Visual SPC'!$I$4),OR('Visual SPC'!$K$4="",'Data Entry'!$F3571='Visual SPC'!$K$4)),1,0))</f>
        <v/>
      </c>
      <c r="C3571">
        <f>C3570+B3571</f>
        <v/>
      </c>
      <c r="D3571">
        <f>IF(B3571=1,INDEX('Data Entry'!$H$5:$BE$10004,3571-4,'Visual SPC'!$B$3),"")</f>
        <v/>
      </c>
      <c r="E3571">
        <f>IF(B3571=1,D3571,E3570)</f>
        <v/>
      </c>
      <c r="F3571">
        <f>IF(AND(B3571=1,C3571&gt;1,E3570&lt;&gt;""),ABS(D3571-E3570),"")</f>
        <v/>
      </c>
    </row>
    <row r="3572">
      <c r="A3572" t="n">
        <v>3572</v>
      </c>
      <c r="B3572">
        <f>IF(INDEX('Data Entry'!$H$5:$BE$10004,3572-4,'Visual SPC'!$B$3)="",0,IF(AND(OR('Visual SPC'!$C$4="",'Data Entry'!$C3572&gt;='Visual SPC'!$C$4),OR('Visual SPC'!$E$4="",'Data Entry'!$C3572&lt;='Visual SPC'!$E$4),OR('Visual SPC'!$G$4="",'Data Entry'!$D3572='Visual SPC'!$G$4),OR('Visual SPC'!$I$4="",'Data Entry'!$E3572='Visual SPC'!$I$4),OR('Visual SPC'!$K$4="",'Data Entry'!$F3572='Visual SPC'!$K$4)),1,0))</f>
        <v/>
      </c>
      <c r="C3572">
        <f>C3571+B3572</f>
        <v/>
      </c>
      <c r="D3572">
        <f>IF(B3572=1,INDEX('Data Entry'!$H$5:$BE$10004,3572-4,'Visual SPC'!$B$3),"")</f>
        <v/>
      </c>
      <c r="E3572">
        <f>IF(B3572=1,D3572,E3571)</f>
        <v/>
      </c>
      <c r="F3572">
        <f>IF(AND(B3572=1,C3572&gt;1,E3571&lt;&gt;""),ABS(D3572-E3571),"")</f>
        <v/>
      </c>
    </row>
    <row r="3573">
      <c r="A3573" t="n">
        <v>3573</v>
      </c>
      <c r="B3573">
        <f>IF(INDEX('Data Entry'!$H$5:$BE$10004,3573-4,'Visual SPC'!$B$3)="",0,IF(AND(OR('Visual SPC'!$C$4="",'Data Entry'!$C3573&gt;='Visual SPC'!$C$4),OR('Visual SPC'!$E$4="",'Data Entry'!$C3573&lt;='Visual SPC'!$E$4),OR('Visual SPC'!$G$4="",'Data Entry'!$D3573='Visual SPC'!$G$4),OR('Visual SPC'!$I$4="",'Data Entry'!$E3573='Visual SPC'!$I$4),OR('Visual SPC'!$K$4="",'Data Entry'!$F3573='Visual SPC'!$K$4)),1,0))</f>
        <v/>
      </c>
      <c r="C3573">
        <f>C3572+B3573</f>
        <v/>
      </c>
      <c r="D3573">
        <f>IF(B3573=1,INDEX('Data Entry'!$H$5:$BE$10004,3573-4,'Visual SPC'!$B$3),"")</f>
        <v/>
      </c>
      <c r="E3573">
        <f>IF(B3573=1,D3573,E3572)</f>
        <v/>
      </c>
      <c r="F3573">
        <f>IF(AND(B3573=1,C3573&gt;1,E3572&lt;&gt;""),ABS(D3573-E3572),"")</f>
        <v/>
      </c>
    </row>
    <row r="3574">
      <c r="A3574" t="n">
        <v>3574</v>
      </c>
      <c r="B3574">
        <f>IF(INDEX('Data Entry'!$H$5:$BE$10004,3574-4,'Visual SPC'!$B$3)="",0,IF(AND(OR('Visual SPC'!$C$4="",'Data Entry'!$C3574&gt;='Visual SPC'!$C$4),OR('Visual SPC'!$E$4="",'Data Entry'!$C3574&lt;='Visual SPC'!$E$4),OR('Visual SPC'!$G$4="",'Data Entry'!$D3574='Visual SPC'!$G$4),OR('Visual SPC'!$I$4="",'Data Entry'!$E3574='Visual SPC'!$I$4),OR('Visual SPC'!$K$4="",'Data Entry'!$F3574='Visual SPC'!$K$4)),1,0))</f>
        <v/>
      </c>
      <c r="C3574">
        <f>C3573+B3574</f>
        <v/>
      </c>
      <c r="D3574">
        <f>IF(B3574=1,INDEX('Data Entry'!$H$5:$BE$10004,3574-4,'Visual SPC'!$B$3),"")</f>
        <v/>
      </c>
      <c r="E3574">
        <f>IF(B3574=1,D3574,E3573)</f>
        <v/>
      </c>
      <c r="F3574">
        <f>IF(AND(B3574=1,C3574&gt;1,E3573&lt;&gt;""),ABS(D3574-E3573),"")</f>
        <v/>
      </c>
    </row>
    <row r="3575">
      <c r="A3575" t="n">
        <v>3575</v>
      </c>
      <c r="B3575">
        <f>IF(INDEX('Data Entry'!$H$5:$BE$10004,3575-4,'Visual SPC'!$B$3)="",0,IF(AND(OR('Visual SPC'!$C$4="",'Data Entry'!$C3575&gt;='Visual SPC'!$C$4),OR('Visual SPC'!$E$4="",'Data Entry'!$C3575&lt;='Visual SPC'!$E$4),OR('Visual SPC'!$G$4="",'Data Entry'!$D3575='Visual SPC'!$G$4),OR('Visual SPC'!$I$4="",'Data Entry'!$E3575='Visual SPC'!$I$4),OR('Visual SPC'!$K$4="",'Data Entry'!$F3575='Visual SPC'!$K$4)),1,0))</f>
        <v/>
      </c>
      <c r="C3575">
        <f>C3574+B3575</f>
        <v/>
      </c>
      <c r="D3575">
        <f>IF(B3575=1,INDEX('Data Entry'!$H$5:$BE$10004,3575-4,'Visual SPC'!$B$3),"")</f>
        <v/>
      </c>
      <c r="E3575">
        <f>IF(B3575=1,D3575,E3574)</f>
        <v/>
      </c>
      <c r="F3575">
        <f>IF(AND(B3575=1,C3575&gt;1,E3574&lt;&gt;""),ABS(D3575-E3574),"")</f>
        <v/>
      </c>
    </row>
    <row r="3576">
      <c r="A3576" t="n">
        <v>3576</v>
      </c>
      <c r="B3576">
        <f>IF(INDEX('Data Entry'!$H$5:$BE$10004,3576-4,'Visual SPC'!$B$3)="",0,IF(AND(OR('Visual SPC'!$C$4="",'Data Entry'!$C3576&gt;='Visual SPC'!$C$4),OR('Visual SPC'!$E$4="",'Data Entry'!$C3576&lt;='Visual SPC'!$E$4),OR('Visual SPC'!$G$4="",'Data Entry'!$D3576='Visual SPC'!$G$4),OR('Visual SPC'!$I$4="",'Data Entry'!$E3576='Visual SPC'!$I$4),OR('Visual SPC'!$K$4="",'Data Entry'!$F3576='Visual SPC'!$K$4)),1,0))</f>
        <v/>
      </c>
      <c r="C3576">
        <f>C3575+B3576</f>
        <v/>
      </c>
      <c r="D3576">
        <f>IF(B3576=1,INDEX('Data Entry'!$H$5:$BE$10004,3576-4,'Visual SPC'!$B$3),"")</f>
        <v/>
      </c>
      <c r="E3576">
        <f>IF(B3576=1,D3576,E3575)</f>
        <v/>
      </c>
      <c r="F3576">
        <f>IF(AND(B3576=1,C3576&gt;1,E3575&lt;&gt;""),ABS(D3576-E3575),"")</f>
        <v/>
      </c>
    </row>
    <row r="3577">
      <c r="A3577" t="n">
        <v>3577</v>
      </c>
      <c r="B3577">
        <f>IF(INDEX('Data Entry'!$H$5:$BE$10004,3577-4,'Visual SPC'!$B$3)="",0,IF(AND(OR('Visual SPC'!$C$4="",'Data Entry'!$C3577&gt;='Visual SPC'!$C$4),OR('Visual SPC'!$E$4="",'Data Entry'!$C3577&lt;='Visual SPC'!$E$4),OR('Visual SPC'!$G$4="",'Data Entry'!$D3577='Visual SPC'!$G$4),OR('Visual SPC'!$I$4="",'Data Entry'!$E3577='Visual SPC'!$I$4),OR('Visual SPC'!$K$4="",'Data Entry'!$F3577='Visual SPC'!$K$4)),1,0))</f>
        <v/>
      </c>
      <c r="C3577">
        <f>C3576+B3577</f>
        <v/>
      </c>
      <c r="D3577">
        <f>IF(B3577=1,INDEX('Data Entry'!$H$5:$BE$10004,3577-4,'Visual SPC'!$B$3),"")</f>
        <v/>
      </c>
      <c r="E3577">
        <f>IF(B3577=1,D3577,E3576)</f>
        <v/>
      </c>
      <c r="F3577">
        <f>IF(AND(B3577=1,C3577&gt;1,E3576&lt;&gt;""),ABS(D3577-E3576),"")</f>
        <v/>
      </c>
    </row>
    <row r="3578">
      <c r="A3578" t="n">
        <v>3578</v>
      </c>
      <c r="B3578">
        <f>IF(INDEX('Data Entry'!$H$5:$BE$10004,3578-4,'Visual SPC'!$B$3)="",0,IF(AND(OR('Visual SPC'!$C$4="",'Data Entry'!$C3578&gt;='Visual SPC'!$C$4),OR('Visual SPC'!$E$4="",'Data Entry'!$C3578&lt;='Visual SPC'!$E$4),OR('Visual SPC'!$G$4="",'Data Entry'!$D3578='Visual SPC'!$G$4),OR('Visual SPC'!$I$4="",'Data Entry'!$E3578='Visual SPC'!$I$4),OR('Visual SPC'!$K$4="",'Data Entry'!$F3578='Visual SPC'!$K$4)),1,0))</f>
        <v/>
      </c>
      <c r="C3578">
        <f>C3577+B3578</f>
        <v/>
      </c>
      <c r="D3578">
        <f>IF(B3578=1,INDEX('Data Entry'!$H$5:$BE$10004,3578-4,'Visual SPC'!$B$3),"")</f>
        <v/>
      </c>
      <c r="E3578">
        <f>IF(B3578=1,D3578,E3577)</f>
        <v/>
      </c>
      <c r="F3578">
        <f>IF(AND(B3578=1,C3578&gt;1,E3577&lt;&gt;""),ABS(D3578-E3577),"")</f>
        <v/>
      </c>
    </row>
    <row r="3579">
      <c r="A3579" t="n">
        <v>3579</v>
      </c>
      <c r="B3579">
        <f>IF(INDEX('Data Entry'!$H$5:$BE$10004,3579-4,'Visual SPC'!$B$3)="",0,IF(AND(OR('Visual SPC'!$C$4="",'Data Entry'!$C3579&gt;='Visual SPC'!$C$4),OR('Visual SPC'!$E$4="",'Data Entry'!$C3579&lt;='Visual SPC'!$E$4),OR('Visual SPC'!$G$4="",'Data Entry'!$D3579='Visual SPC'!$G$4),OR('Visual SPC'!$I$4="",'Data Entry'!$E3579='Visual SPC'!$I$4),OR('Visual SPC'!$K$4="",'Data Entry'!$F3579='Visual SPC'!$K$4)),1,0))</f>
        <v/>
      </c>
      <c r="C3579">
        <f>C3578+B3579</f>
        <v/>
      </c>
      <c r="D3579">
        <f>IF(B3579=1,INDEX('Data Entry'!$H$5:$BE$10004,3579-4,'Visual SPC'!$B$3),"")</f>
        <v/>
      </c>
      <c r="E3579">
        <f>IF(B3579=1,D3579,E3578)</f>
        <v/>
      </c>
      <c r="F3579">
        <f>IF(AND(B3579=1,C3579&gt;1,E3578&lt;&gt;""),ABS(D3579-E3578),"")</f>
        <v/>
      </c>
    </row>
    <row r="3580">
      <c r="A3580" t="n">
        <v>3580</v>
      </c>
      <c r="B3580">
        <f>IF(INDEX('Data Entry'!$H$5:$BE$10004,3580-4,'Visual SPC'!$B$3)="",0,IF(AND(OR('Visual SPC'!$C$4="",'Data Entry'!$C3580&gt;='Visual SPC'!$C$4),OR('Visual SPC'!$E$4="",'Data Entry'!$C3580&lt;='Visual SPC'!$E$4),OR('Visual SPC'!$G$4="",'Data Entry'!$D3580='Visual SPC'!$G$4),OR('Visual SPC'!$I$4="",'Data Entry'!$E3580='Visual SPC'!$I$4),OR('Visual SPC'!$K$4="",'Data Entry'!$F3580='Visual SPC'!$K$4)),1,0))</f>
        <v/>
      </c>
      <c r="C3580">
        <f>C3579+B3580</f>
        <v/>
      </c>
      <c r="D3580">
        <f>IF(B3580=1,INDEX('Data Entry'!$H$5:$BE$10004,3580-4,'Visual SPC'!$B$3),"")</f>
        <v/>
      </c>
      <c r="E3580">
        <f>IF(B3580=1,D3580,E3579)</f>
        <v/>
      </c>
      <c r="F3580">
        <f>IF(AND(B3580=1,C3580&gt;1,E3579&lt;&gt;""),ABS(D3580-E3579),"")</f>
        <v/>
      </c>
    </row>
    <row r="3581">
      <c r="A3581" t="n">
        <v>3581</v>
      </c>
      <c r="B3581">
        <f>IF(INDEX('Data Entry'!$H$5:$BE$10004,3581-4,'Visual SPC'!$B$3)="",0,IF(AND(OR('Visual SPC'!$C$4="",'Data Entry'!$C3581&gt;='Visual SPC'!$C$4),OR('Visual SPC'!$E$4="",'Data Entry'!$C3581&lt;='Visual SPC'!$E$4),OR('Visual SPC'!$G$4="",'Data Entry'!$D3581='Visual SPC'!$G$4),OR('Visual SPC'!$I$4="",'Data Entry'!$E3581='Visual SPC'!$I$4),OR('Visual SPC'!$K$4="",'Data Entry'!$F3581='Visual SPC'!$K$4)),1,0))</f>
        <v/>
      </c>
      <c r="C3581">
        <f>C3580+B3581</f>
        <v/>
      </c>
      <c r="D3581">
        <f>IF(B3581=1,INDEX('Data Entry'!$H$5:$BE$10004,3581-4,'Visual SPC'!$B$3),"")</f>
        <v/>
      </c>
      <c r="E3581">
        <f>IF(B3581=1,D3581,E3580)</f>
        <v/>
      </c>
      <c r="F3581">
        <f>IF(AND(B3581=1,C3581&gt;1,E3580&lt;&gt;""),ABS(D3581-E3580),"")</f>
        <v/>
      </c>
    </row>
    <row r="3582">
      <c r="A3582" t="n">
        <v>3582</v>
      </c>
      <c r="B3582">
        <f>IF(INDEX('Data Entry'!$H$5:$BE$10004,3582-4,'Visual SPC'!$B$3)="",0,IF(AND(OR('Visual SPC'!$C$4="",'Data Entry'!$C3582&gt;='Visual SPC'!$C$4),OR('Visual SPC'!$E$4="",'Data Entry'!$C3582&lt;='Visual SPC'!$E$4),OR('Visual SPC'!$G$4="",'Data Entry'!$D3582='Visual SPC'!$G$4),OR('Visual SPC'!$I$4="",'Data Entry'!$E3582='Visual SPC'!$I$4),OR('Visual SPC'!$K$4="",'Data Entry'!$F3582='Visual SPC'!$K$4)),1,0))</f>
        <v/>
      </c>
      <c r="C3582">
        <f>C3581+B3582</f>
        <v/>
      </c>
      <c r="D3582">
        <f>IF(B3582=1,INDEX('Data Entry'!$H$5:$BE$10004,3582-4,'Visual SPC'!$B$3),"")</f>
        <v/>
      </c>
      <c r="E3582">
        <f>IF(B3582=1,D3582,E3581)</f>
        <v/>
      </c>
      <c r="F3582">
        <f>IF(AND(B3582=1,C3582&gt;1,E3581&lt;&gt;""),ABS(D3582-E3581),"")</f>
        <v/>
      </c>
    </row>
    <row r="3583">
      <c r="A3583" t="n">
        <v>3583</v>
      </c>
      <c r="B3583">
        <f>IF(INDEX('Data Entry'!$H$5:$BE$10004,3583-4,'Visual SPC'!$B$3)="",0,IF(AND(OR('Visual SPC'!$C$4="",'Data Entry'!$C3583&gt;='Visual SPC'!$C$4),OR('Visual SPC'!$E$4="",'Data Entry'!$C3583&lt;='Visual SPC'!$E$4),OR('Visual SPC'!$G$4="",'Data Entry'!$D3583='Visual SPC'!$G$4),OR('Visual SPC'!$I$4="",'Data Entry'!$E3583='Visual SPC'!$I$4),OR('Visual SPC'!$K$4="",'Data Entry'!$F3583='Visual SPC'!$K$4)),1,0))</f>
        <v/>
      </c>
      <c r="C3583">
        <f>C3582+B3583</f>
        <v/>
      </c>
      <c r="D3583">
        <f>IF(B3583=1,INDEX('Data Entry'!$H$5:$BE$10004,3583-4,'Visual SPC'!$B$3),"")</f>
        <v/>
      </c>
      <c r="E3583">
        <f>IF(B3583=1,D3583,E3582)</f>
        <v/>
      </c>
      <c r="F3583">
        <f>IF(AND(B3583=1,C3583&gt;1,E3582&lt;&gt;""),ABS(D3583-E3582),"")</f>
        <v/>
      </c>
    </row>
    <row r="3584">
      <c r="A3584" t="n">
        <v>3584</v>
      </c>
      <c r="B3584">
        <f>IF(INDEX('Data Entry'!$H$5:$BE$10004,3584-4,'Visual SPC'!$B$3)="",0,IF(AND(OR('Visual SPC'!$C$4="",'Data Entry'!$C3584&gt;='Visual SPC'!$C$4),OR('Visual SPC'!$E$4="",'Data Entry'!$C3584&lt;='Visual SPC'!$E$4),OR('Visual SPC'!$G$4="",'Data Entry'!$D3584='Visual SPC'!$G$4),OR('Visual SPC'!$I$4="",'Data Entry'!$E3584='Visual SPC'!$I$4),OR('Visual SPC'!$K$4="",'Data Entry'!$F3584='Visual SPC'!$K$4)),1,0))</f>
        <v/>
      </c>
      <c r="C3584">
        <f>C3583+B3584</f>
        <v/>
      </c>
      <c r="D3584">
        <f>IF(B3584=1,INDEX('Data Entry'!$H$5:$BE$10004,3584-4,'Visual SPC'!$B$3),"")</f>
        <v/>
      </c>
      <c r="E3584">
        <f>IF(B3584=1,D3584,E3583)</f>
        <v/>
      </c>
      <c r="F3584">
        <f>IF(AND(B3584=1,C3584&gt;1,E3583&lt;&gt;""),ABS(D3584-E3583),"")</f>
        <v/>
      </c>
    </row>
    <row r="3585">
      <c r="A3585" t="n">
        <v>3585</v>
      </c>
      <c r="B3585">
        <f>IF(INDEX('Data Entry'!$H$5:$BE$10004,3585-4,'Visual SPC'!$B$3)="",0,IF(AND(OR('Visual SPC'!$C$4="",'Data Entry'!$C3585&gt;='Visual SPC'!$C$4),OR('Visual SPC'!$E$4="",'Data Entry'!$C3585&lt;='Visual SPC'!$E$4),OR('Visual SPC'!$G$4="",'Data Entry'!$D3585='Visual SPC'!$G$4),OR('Visual SPC'!$I$4="",'Data Entry'!$E3585='Visual SPC'!$I$4),OR('Visual SPC'!$K$4="",'Data Entry'!$F3585='Visual SPC'!$K$4)),1,0))</f>
        <v/>
      </c>
      <c r="C3585">
        <f>C3584+B3585</f>
        <v/>
      </c>
      <c r="D3585">
        <f>IF(B3585=1,INDEX('Data Entry'!$H$5:$BE$10004,3585-4,'Visual SPC'!$B$3),"")</f>
        <v/>
      </c>
      <c r="E3585">
        <f>IF(B3585=1,D3585,E3584)</f>
        <v/>
      </c>
      <c r="F3585">
        <f>IF(AND(B3585=1,C3585&gt;1,E3584&lt;&gt;""),ABS(D3585-E3584),"")</f>
        <v/>
      </c>
    </row>
    <row r="3586">
      <c r="A3586" t="n">
        <v>3586</v>
      </c>
      <c r="B3586">
        <f>IF(INDEX('Data Entry'!$H$5:$BE$10004,3586-4,'Visual SPC'!$B$3)="",0,IF(AND(OR('Visual SPC'!$C$4="",'Data Entry'!$C3586&gt;='Visual SPC'!$C$4),OR('Visual SPC'!$E$4="",'Data Entry'!$C3586&lt;='Visual SPC'!$E$4),OR('Visual SPC'!$G$4="",'Data Entry'!$D3586='Visual SPC'!$G$4),OR('Visual SPC'!$I$4="",'Data Entry'!$E3586='Visual SPC'!$I$4),OR('Visual SPC'!$K$4="",'Data Entry'!$F3586='Visual SPC'!$K$4)),1,0))</f>
        <v/>
      </c>
      <c r="C3586">
        <f>C3585+B3586</f>
        <v/>
      </c>
      <c r="D3586">
        <f>IF(B3586=1,INDEX('Data Entry'!$H$5:$BE$10004,3586-4,'Visual SPC'!$B$3),"")</f>
        <v/>
      </c>
      <c r="E3586">
        <f>IF(B3586=1,D3586,E3585)</f>
        <v/>
      </c>
      <c r="F3586">
        <f>IF(AND(B3586=1,C3586&gt;1,E3585&lt;&gt;""),ABS(D3586-E3585),"")</f>
        <v/>
      </c>
    </row>
    <row r="3587">
      <c r="A3587" t="n">
        <v>3587</v>
      </c>
      <c r="B3587">
        <f>IF(INDEX('Data Entry'!$H$5:$BE$10004,3587-4,'Visual SPC'!$B$3)="",0,IF(AND(OR('Visual SPC'!$C$4="",'Data Entry'!$C3587&gt;='Visual SPC'!$C$4),OR('Visual SPC'!$E$4="",'Data Entry'!$C3587&lt;='Visual SPC'!$E$4),OR('Visual SPC'!$G$4="",'Data Entry'!$D3587='Visual SPC'!$G$4),OR('Visual SPC'!$I$4="",'Data Entry'!$E3587='Visual SPC'!$I$4),OR('Visual SPC'!$K$4="",'Data Entry'!$F3587='Visual SPC'!$K$4)),1,0))</f>
        <v/>
      </c>
      <c r="C3587">
        <f>C3586+B3587</f>
        <v/>
      </c>
      <c r="D3587">
        <f>IF(B3587=1,INDEX('Data Entry'!$H$5:$BE$10004,3587-4,'Visual SPC'!$B$3),"")</f>
        <v/>
      </c>
      <c r="E3587">
        <f>IF(B3587=1,D3587,E3586)</f>
        <v/>
      </c>
      <c r="F3587">
        <f>IF(AND(B3587=1,C3587&gt;1,E3586&lt;&gt;""),ABS(D3587-E3586),"")</f>
        <v/>
      </c>
    </row>
    <row r="3588">
      <c r="A3588" t="n">
        <v>3588</v>
      </c>
      <c r="B3588">
        <f>IF(INDEX('Data Entry'!$H$5:$BE$10004,3588-4,'Visual SPC'!$B$3)="",0,IF(AND(OR('Visual SPC'!$C$4="",'Data Entry'!$C3588&gt;='Visual SPC'!$C$4),OR('Visual SPC'!$E$4="",'Data Entry'!$C3588&lt;='Visual SPC'!$E$4),OR('Visual SPC'!$G$4="",'Data Entry'!$D3588='Visual SPC'!$G$4),OR('Visual SPC'!$I$4="",'Data Entry'!$E3588='Visual SPC'!$I$4),OR('Visual SPC'!$K$4="",'Data Entry'!$F3588='Visual SPC'!$K$4)),1,0))</f>
        <v/>
      </c>
      <c r="C3588">
        <f>C3587+B3588</f>
        <v/>
      </c>
      <c r="D3588">
        <f>IF(B3588=1,INDEX('Data Entry'!$H$5:$BE$10004,3588-4,'Visual SPC'!$B$3),"")</f>
        <v/>
      </c>
      <c r="E3588">
        <f>IF(B3588=1,D3588,E3587)</f>
        <v/>
      </c>
      <c r="F3588">
        <f>IF(AND(B3588=1,C3588&gt;1,E3587&lt;&gt;""),ABS(D3588-E3587),"")</f>
        <v/>
      </c>
    </row>
    <row r="3589">
      <c r="A3589" t="n">
        <v>3589</v>
      </c>
      <c r="B3589">
        <f>IF(INDEX('Data Entry'!$H$5:$BE$10004,3589-4,'Visual SPC'!$B$3)="",0,IF(AND(OR('Visual SPC'!$C$4="",'Data Entry'!$C3589&gt;='Visual SPC'!$C$4),OR('Visual SPC'!$E$4="",'Data Entry'!$C3589&lt;='Visual SPC'!$E$4),OR('Visual SPC'!$G$4="",'Data Entry'!$D3589='Visual SPC'!$G$4),OR('Visual SPC'!$I$4="",'Data Entry'!$E3589='Visual SPC'!$I$4),OR('Visual SPC'!$K$4="",'Data Entry'!$F3589='Visual SPC'!$K$4)),1,0))</f>
        <v/>
      </c>
      <c r="C3589">
        <f>C3588+B3589</f>
        <v/>
      </c>
      <c r="D3589">
        <f>IF(B3589=1,INDEX('Data Entry'!$H$5:$BE$10004,3589-4,'Visual SPC'!$B$3),"")</f>
        <v/>
      </c>
      <c r="E3589">
        <f>IF(B3589=1,D3589,E3588)</f>
        <v/>
      </c>
      <c r="F3589">
        <f>IF(AND(B3589=1,C3589&gt;1,E3588&lt;&gt;""),ABS(D3589-E3588),"")</f>
        <v/>
      </c>
    </row>
    <row r="3590">
      <c r="A3590" t="n">
        <v>3590</v>
      </c>
      <c r="B3590">
        <f>IF(INDEX('Data Entry'!$H$5:$BE$10004,3590-4,'Visual SPC'!$B$3)="",0,IF(AND(OR('Visual SPC'!$C$4="",'Data Entry'!$C3590&gt;='Visual SPC'!$C$4),OR('Visual SPC'!$E$4="",'Data Entry'!$C3590&lt;='Visual SPC'!$E$4),OR('Visual SPC'!$G$4="",'Data Entry'!$D3590='Visual SPC'!$G$4),OR('Visual SPC'!$I$4="",'Data Entry'!$E3590='Visual SPC'!$I$4),OR('Visual SPC'!$K$4="",'Data Entry'!$F3590='Visual SPC'!$K$4)),1,0))</f>
        <v/>
      </c>
      <c r="C3590">
        <f>C3589+B3590</f>
        <v/>
      </c>
      <c r="D3590">
        <f>IF(B3590=1,INDEX('Data Entry'!$H$5:$BE$10004,3590-4,'Visual SPC'!$B$3),"")</f>
        <v/>
      </c>
      <c r="E3590">
        <f>IF(B3590=1,D3590,E3589)</f>
        <v/>
      </c>
      <c r="F3590">
        <f>IF(AND(B3590=1,C3590&gt;1,E3589&lt;&gt;""),ABS(D3590-E3589),"")</f>
        <v/>
      </c>
    </row>
    <row r="3591">
      <c r="A3591" t="n">
        <v>3591</v>
      </c>
      <c r="B3591">
        <f>IF(INDEX('Data Entry'!$H$5:$BE$10004,3591-4,'Visual SPC'!$B$3)="",0,IF(AND(OR('Visual SPC'!$C$4="",'Data Entry'!$C3591&gt;='Visual SPC'!$C$4),OR('Visual SPC'!$E$4="",'Data Entry'!$C3591&lt;='Visual SPC'!$E$4),OR('Visual SPC'!$G$4="",'Data Entry'!$D3591='Visual SPC'!$G$4),OR('Visual SPC'!$I$4="",'Data Entry'!$E3591='Visual SPC'!$I$4),OR('Visual SPC'!$K$4="",'Data Entry'!$F3591='Visual SPC'!$K$4)),1,0))</f>
        <v/>
      </c>
      <c r="C3591">
        <f>C3590+B3591</f>
        <v/>
      </c>
      <c r="D3591">
        <f>IF(B3591=1,INDEX('Data Entry'!$H$5:$BE$10004,3591-4,'Visual SPC'!$B$3),"")</f>
        <v/>
      </c>
      <c r="E3591">
        <f>IF(B3591=1,D3591,E3590)</f>
        <v/>
      </c>
      <c r="F3591">
        <f>IF(AND(B3591=1,C3591&gt;1,E3590&lt;&gt;""),ABS(D3591-E3590),"")</f>
        <v/>
      </c>
    </row>
    <row r="3592">
      <c r="A3592" t="n">
        <v>3592</v>
      </c>
      <c r="B3592">
        <f>IF(INDEX('Data Entry'!$H$5:$BE$10004,3592-4,'Visual SPC'!$B$3)="",0,IF(AND(OR('Visual SPC'!$C$4="",'Data Entry'!$C3592&gt;='Visual SPC'!$C$4),OR('Visual SPC'!$E$4="",'Data Entry'!$C3592&lt;='Visual SPC'!$E$4),OR('Visual SPC'!$G$4="",'Data Entry'!$D3592='Visual SPC'!$G$4),OR('Visual SPC'!$I$4="",'Data Entry'!$E3592='Visual SPC'!$I$4),OR('Visual SPC'!$K$4="",'Data Entry'!$F3592='Visual SPC'!$K$4)),1,0))</f>
        <v/>
      </c>
      <c r="C3592">
        <f>C3591+B3592</f>
        <v/>
      </c>
      <c r="D3592">
        <f>IF(B3592=1,INDEX('Data Entry'!$H$5:$BE$10004,3592-4,'Visual SPC'!$B$3),"")</f>
        <v/>
      </c>
      <c r="E3592">
        <f>IF(B3592=1,D3592,E3591)</f>
        <v/>
      </c>
      <c r="F3592">
        <f>IF(AND(B3592=1,C3592&gt;1,E3591&lt;&gt;""),ABS(D3592-E3591),"")</f>
        <v/>
      </c>
    </row>
    <row r="3593">
      <c r="A3593" t="n">
        <v>3593</v>
      </c>
      <c r="B3593">
        <f>IF(INDEX('Data Entry'!$H$5:$BE$10004,3593-4,'Visual SPC'!$B$3)="",0,IF(AND(OR('Visual SPC'!$C$4="",'Data Entry'!$C3593&gt;='Visual SPC'!$C$4),OR('Visual SPC'!$E$4="",'Data Entry'!$C3593&lt;='Visual SPC'!$E$4),OR('Visual SPC'!$G$4="",'Data Entry'!$D3593='Visual SPC'!$G$4),OR('Visual SPC'!$I$4="",'Data Entry'!$E3593='Visual SPC'!$I$4),OR('Visual SPC'!$K$4="",'Data Entry'!$F3593='Visual SPC'!$K$4)),1,0))</f>
        <v/>
      </c>
      <c r="C3593">
        <f>C3592+B3593</f>
        <v/>
      </c>
      <c r="D3593">
        <f>IF(B3593=1,INDEX('Data Entry'!$H$5:$BE$10004,3593-4,'Visual SPC'!$B$3),"")</f>
        <v/>
      </c>
      <c r="E3593">
        <f>IF(B3593=1,D3593,E3592)</f>
        <v/>
      </c>
      <c r="F3593">
        <f>IF(AND(B3593=1,C3593&gt;1,E3592&lt;&gt;""),ABS(D3593-E3592),"")</f>
        <v/>
      </c>
    </row>
    <row r="3594">
      <c r="A3594" t="n">
        <v>3594</v>
      </c>
      <c r="B3594">
        <f>IF(INDEX('Data Entry'!$H$5:$BE$10004,3594-4,'Visual SPC'!$B$3)="",0,IF(AND(OR('Visual SPC'!$C$4="",'Data Entry'!$C3594&gt;='Visual SPC'!$C$4),OR('Visual SPC'!$E$4="",'Data Entry'!$C3594&lt;='Visual SPC'!$E$4),OR('Visual SPC'!$G$4="",'Data Entry'!$D3594='Visual SPC'!$G$4),OR('Visual SPC'!$I$4="",'Data Entry'!$E3594='Visual SPC'!$I$4),OR('Visual SPC'!$K$4="",'Data Entry'!$F3594='Visual SPC'!$K$4)),1,0))</f>
        <v/>
      </c>
      <c r="C3594">
        <f>C3593+B3594</f>
        <v/>
      </c>
      <c r="D3594">
        <f>IF(B3594=1,INDEX('Data Entry'!$H$5:$BE$10004,3594-4,'Visual SPC'!$B$3),"")</f>
        <v/>
      </c>
      <c r="E3594">
        <f>IF(B3594=1,D3594,E3593)</f>
        <v/>
      </c>
      <c r="F3594">
        <f>IF(AND(B3594=1,C3594&gt;1,E3593&lt;&gt;""),ABS(D3594-E3593),"")</f>
        <v/>
      </c>
    </row>
    <row r="3595">
      <c r="A3595" t="n">
        <v>3595</v>
      </c>
      <c r="B3595">
        <f>IF(INDEX('Data Entry'!$H$5:$BE$10004,3595-4,'Visual SPC'!$B$3)="",0,IF(AND(OR('Visual SPC'!$C$4="",'Data Entry'!$C3595&gt;='Visual SPC'!$C$4),OR('Visual SPC'!$E$4="",'Data Entry'!$C3595&lt;='Visual SPC'!$E$4),OR('Visual SPC'!$G$4="",'Data Entry'!$D3595='Visual SPC'!$G$4),OR('Visual SPC'!$I$4="",'Data Entry'!$E3595='Visual SPC'!$I$4),OR('Visual SPC'!$K$4="",'Data Entry'!$F3595='Visual SPC'!$K$4)),1,0))</f>
        <v/>
      </c>
      <c r="C3595">
        <f>C3594+B3595</f>
        <v/>
      </c>
      <c r="D3595">
        <f>IF(B3595=1,INDEX('Data Entry'!$H$5:$BE$10004,3595-4,'Visual SPC'!$B$3),"")</f>
        <v/>
      </c>
      <c r="E3595">
        <f>IF(B3595=1,D3595,E3594)</f>
        <v/>
      </c>
      <c r="F3595">
        <f>IF(AND(B3595=1,C3595&gt;1,E3594&lt;&gt;""),ABS(D3595-E3594),"")</f>
        <v/>
      </c>
    </row>
    <row r="3596">
      <c r="A3596" t="n">
        <v>3596</v>
      </c>
      <c r="B3596">
        <f>IF(INDEX('Data Entry'!$H$5:$BE$10004,3596-4,'Visual SPC'!$B$3)="",0,IF(AND(OR('Visual SPC'!$C$4="",'Data Entry'!$C3596&gt;='Visual SPC'!$C$4),OR('Visual SPC'!$E$4="",'Data Entry'!$C3596&lt;='Visual SPC'!$E$4),OR('Visual SPC'!$G$4="",'Data Entry'!$D3596='Visual SPC'!$G$4),OR('Visual SPC'!$I$4="",'Data Entry'!$E3596='Visual SPC'!$I$4),OR('Visual SPC'!$K$4="",'Data Entry'!$F3596='Visual SPC'!$K$4)),1,0))</f>
        <v/>
      </c>
      <c r="C3596">
        <f>C3595+B3596</f>
        <v/>
      </c>
      <c r="D3596">
        <f>IF(B3596=1,INDEX('Data Entry'!$H$5:$BE$10004,3596-4,'Visual SPC'!$B$3),"")</f>
        <v/>
      </c>
      <c r="E3596">
        <f>IF(B3596=1,D3596,E3595)</f>
        <v/>
      </c>
      <c r="F3596">
        <f>IF(AND(B3596=1,C3596&gt;1,E3595&lt;&gt;""),ABS(D3596-E3595),"")</f>
        <v/>
      </c>
    </row>
    <row r="3597">
      <c r="A3597" t="n">
        <v>3597</v>
      </c>
      <c r="B3597">
        <f>IF(INDEX('Data Entry'!$H$5:$BE$10004,3597-4,'Visual SPC'!$B$3)="",0,IF(AND(OR('Visual SPC'!$C$4="",'Data Entry'!$C3597&gt;='Visual SPC'!$C$4),OR('Visual SPC'!$E$4="",'Data Entry'!$C3597&lt;='Visual SPC'!$E$4),OR('Visual SPC'!$G$4="",'Data Entry'!$D3597='Visual SPC'!$G$4),OR('Visual SPC'!$I$4="",'Data Entry'!$E3597='Visual SPC'!$I$4),OR('Visual SPC'!$K$4="",'Data Entry'!$F3597='Visual SPC'!$K$4)),1,0))</f>
        <v/>
      </c>
      <c r="C3597">
        <f>C3596+B3597</f>
        <v/>
      </c>
      <c r="D3597">
        <f>IF(B3597=1,INDEX('Data Entry'!$H$5:$BE$10004,3597-4,'Visual SPC'!$B$3),"")</f>
        <v/>
      </c>
      <c r="E3597">
        <f>IF(B3597=1,D3597,E3596)</f>
        <v/>
      </c>
      <c r="F3597">
        <f>IF(AND(B3597=1,C3597&gt;1,E3596&lt;&gt;""),ABS(D3597-E3596),"")</f>
        <v/>
      </c>
    </row>
    <row r="3598">
      <c r="A3598" t="n">
        <v>3598</v>
      </c>
      <c r="B3598">
        <f>IF(INDEX('Data Entry'!$H$5:$BE$10004,3598-4,'Visual SPC'!$B$3)="",0,IF(AND(OR('Visual SPC'!$C$4="",'Data Entry'!$C3598&gt;='Visual SPC'!$C$4),OR('Visual SPC'!$E$4="",'Data Entry'!$C3598&lt;='Visual SPC'!$E$4),OR('Visual SPC'!$G$4="",'Data Entry'!$D3598='Visual SPC'!$G$4),OR('Visual SPC'!$I$4="",'Data Entry'!$E3598='Visual SPC'!$I$4),OR('Visual SPC'!$K$4="",'Data Entry'!$F3598='Visual SPC'!$K$4)),1,0))</f>
        <v/>
      </c>
      <c r="C3598">
        <f>C3597+B3598</f>
        <v/>
      </c>
      <c r="D3598">
        <f>IF(B3598=1,INDEX('Data Entry'!$H$5:$BE$10004,3598-4,'Visual SPC'!$B$3),"")</f>
        <v/>
      </c>
      <c r="E3598">
        <f>IF(B3598=1,D3598,E3597)</f>
        <v/>
      </c>
      <c r="F3598">
        <f>IF(AND(B3598=1,C3598&gt;1,E3597&lt;&gt;""),ABS(D3598-E3597),"")</f>
        <v/>
      </c>
    </row>
    <row r="3599">
      <c r="A3599" t="n">
        <v>3599</v>
      </c>
      <c r="B3599">
        <f>IF(INDEX('Data Entry'!$H$5:$BE$10004,3599-4,'Visual SPC'!$B$3)="",0,IF(AND(OR('Visual SPC'!$C$4="",'Data Entry'!$C3599&gt;='Visual SPC'!$C$4),OR('Visual SPC'!$E$4="",'Data Entry'!$C3599&lt;='Visual SPC'!$E$4),OR('Visual SPC'!$G$4="",'Data Entry'!$D3599='Visual SPC'!$G$4),OR('Visual SPC'!$I$4="",'Data Entry'!$E3599='Visual SPC'!$I$4),OR('Visual SPC'!$K$4="",'Data Entry'!$F3599='Visual SPC'!$K$4)),1,0))</f>
        <v/>
      </c>
      <c r="C3599">
        <f>C3598+B3599</f>
        <v/>
      </c>
      <c r="D3599">
        <f>IF(B3599=1,INDEX('Data Entry'!$H$5:$BE$10004,3599-4,'Visual SPC'!$B$3),"")</f>
        <v/>
      </c>
      <c r="E3599">
        <f>IF(B3599=1,D3599,E3598)</f>
        <v/>
      </c>
      <c r="F3599">
        <f>IF(AND(B3599=1,C3599&gt;1,E3598&lt;&gt;""),ABS(D3599-E3598),"")</f>
        <v/>
      </c>
    </row>
    <row r="3600">
      <c r="A3600" t="n">
        <v>3600</v>
      </c>
      <c r="B3600">
        <f>IF(INDEX('Data Entry'!$H$5:$BE$10004,3600-4,'Visual SPC'!$B$3)="",0,IF(AND(OR('Visual SPC'!$C$4="",'Data Entry'!$C3600&gt;='Visual SPC'!$C$4),OR('Visual SPC'!$E$4="",'Data Entry'!$C3600&lt;='Visual SPC'!$E$4),OR('Visual SPC'!$G$4="",'Data Entry'!$D3600='Visual SPC'!$G$4),OR('Visual SPC'!$I$4="",'Data Entry'!$E3600='Visual SPC'!$I$4),OR('Visual SPC'!$K$4="",'Data Entry'!$F3600='Visual SPC'!$K$4)),1,0))</f>
        <v/>
      </c>
      <c r="C3600">
        <f>C3599+B3600</f>
        <v/>
      </c>
      <c r="D3600">
        <f>IF(B3600=1,INDEX('Data Entry'!$H$5:$BE$10004,3600-4,'Visual SPC'!$B$3),"")</f>
        <v/>
      </c>
      <c r="E3600">
        <f>IF(B3600=1,D3600,E3599)</f>
        <v/>
      </c>
      <c r="F3600">
        <f>IF(AND(B3600=1,C3600&gt;1,E3599&lt;&gt;""),ABS(D3600-E3599),"")</f>
        <v/>
      </c>
    </row>
    <row r="3601">
      <c r="A3601" t="n">
        <v>3601</v>
      </c>
      <c r="B3601">
        <f>IF(INDEX('Data Entry'!$H$5:$BE$10004,3601-4,'Visual SPC'!$B$3)="",0,IF(AND(OR('Visual SPC'!$C$4="",'Data Entry'!$C3601&gt;='Visual SPC'!$C$4),OR('Visual SPC'!$E$4="",'Data Entry'!$C3601&lt;='Visual SPC'!$E$4),OR('Visual SPC'!$G$4="",'Data Entry'!$D3601='Visual SPC'!$G$4),OR('Visual SPC'!$I$4="",'Data Entry'!$E3601='Visual SPC'!$I$4),OR('Visual SPC'!$K$4="",'Data Entry'!$F3601='Visual SPC'!$K$4)),1,0))</f>
        <v/>
      </c>
      <c r="C3601">
        <f>C3600+B3601</f>
        <v/>
      </c>
      <c r="D3601">
        <f>IF(B3601=1,INDEX('Data Entry'!$H$5:$BE$10004,3601-4,'Visual SPC'!$B$3),"")</f>
        <v/>
      </c>
      <c r="E3601">
        <f>IF(B3601=1,D3601,E3600)</f>
        <v/>
      </c>
      <c r="F3601">
        <f>IF(AND(B3601=1,C3601&gt;1,E3600&lt;&gt;""),ABS(D3601-E3600),"")</f>
        <v/>
      </c>
    </row>
    <row r="3602">
      <c r="A3602" t="n">
        <v>3602</v>
      </c>
      <c r="B3602">
        <f>IF(INDEX('Data Entry'!$H$5:$BE$10004,3602-4,'Visual SPC'!$B$3)="",0,IF(AND(OR('Visual SPC'!$C$4="",'Data Entry'!$C3602&gt;='Visual SPC'!$C$4),OR('Visual SPC'!$E$4="",'Data Entry'!$C3602&lt;='Visual SPC'!$E$4),OR('Visual SPC'!$G$4="",'Data Entry'!$D3602='Visual SPC'!$G$4),OR('Visual SPC'!$I$4="",'Data Entry'!$E3602='Visual SPC'!$I$4),OR('Visual SPC'!$K$4="",'Data Entry'!$F3602='Visual SPC'!$K$4)),1,0))</f>
        <v/>
      </c>
      <c r="C3602">
        <f>C3601+B3602</f>
        <v/>
      </c>
      <c r="D3602">
        <f>IF(B3602=1,INDEX('Data Entry'!$H$5:$BE$10004,3602-4,'Visual SPC'!$B$3),"")</f>
        <v/>
      </c>
      <c r="E3602">
        <f>IF(B3602=1,D3602,E3601)</f>
        <v/>
      </c>
      <c r="F3602">
        <f>IF(AND(B3602=1,C3602&gt;1,E3601&lt;&gt;""),ABS(D3602-E3601),"")</f>
        <v/>
      </c>
    </row>
    <row r="3603">
      <c r="A3603" t="n">
        <v>3603</v>
      </c>
      <c r="B3603">
        <f>IF(INDEX('Data Entry'!$H$5:$BE$10004,3603-4,'Visual SPC'!$B$3)="",0,IF(AND(OR('Visual SPC'!$C$4="",'Data Entry'!$C3603&gt;='Visual SPC'!$C$4),OR('Visual SPC'!$E$4="",'Data Entry'!$C3603&lt;='Visual SPC'!$E$4),OR('Visual SPC'!$G$4="",'Data Entry'!$D3603='Visual SPC'!$G$4),OR('Visual SPC'!$I$4="",'Data Entry'!$E3603='Visual SPC'!$I$4),OR('Visual SPC'!$K$4="",'Data Entry'!$F3603='Visual SPC'!$K$4)),1,0))</f>
        <v/>
      </c>
      <c r="C3603">
        <f>C3602+B3603</f>
        <v/>
      </c>
      <c r="D3603">
        <f>IF(B3603=1,INDEX('Data Entry'!$H$5:$BE$10004,3603-4,'Visual SPC'!$B$3),"")</f>
        <v/>
      </c>
      <c r="E3603">
        <f>IF(B3603=1,D3603,E3602)</f>
        <v/>
      </c>
      <c r="F3603">
        <f>IF(AND(B3603=1,C3603&gt;1,E3602&lt;&gt;""),ABS(D3603-E3602),"")</f>
        <v/>
      </c>
    </row>
    <row r="3604">
      <c r="A3604" t="n">
        <v>3604</v>
      </c>
      <c r="B3604">
        <f>IF(INDEX('Data Entry'!$H$5:$BE$10004,3604-4,'Visual SPC'!$B$3)="",0,IF(AND(OR('Visual SPC'!$C$4="",'Data Entry'!$C3604&gt;='Visual SPC'!$C$4),OR('Visual SPC'!$E$4="",'Data Entry'!$C3604&lt;='Visual SPC'!$E$4),OR('Visual SPC'!$G$4="",'Data Entry'!$D3604='Visual SPC'!$G$4),OR('Visual SPC'!$I$4="",'Data Entry'!$E3604='Visual SPC'!$I$4),OR('Visual SPC'!$K$4="",'Data Entry'!$F3604='Visual SPC'!$K$4)),1,0))</f>
        <v/>
      </c>
      <c r="C3604">
        <f>C3603+B3604</f>
        <v/>
      </c>
      <c r="D3604">
        <f>IF(B3604=1,INDEX('Data Entry'!$H$5:$BE$10004,3604-4,'Visual SPC'!$B$3),"")</f>
        <v/>
      </c>
      <c r="E3604">
        <f>IF(B3604=1,D3604,E3603)</f>
        <v/>
      </c>
      <c r="F3604">
        <f>IF(AND(B3604=1,C3604&gt;1,E3603&lt;&gt;""),ABS(D3604-E3603),"")</f>
        <v/>
      </c>
    </row>
    <row r="3605">
      <c r="A3605" t="n">
        <v>3605</v>
      </c>
      <c r="B3605">
        <f>IF(INDEX('Data Entry'!$H$5:$BE$10004,3605-4,'Visual SPC'!$B$3)="",0,IF(AND(OR('Visual SPC'!$C$4="",'Data Entry'!$C3605&gt;='Visual SPC'!$C$4),OR('Visual SPC'!$E$4="",'Data Entry'!$C3605&lt;='Visual SPC'!$E$4),OR('Visual SPC'!$G$4="",'Data Entry'!$D3605='Visual SPC'!$G$4),OR('Visual SPC'!$I$4="",'Data Entry'!$E3605='Visual SPC'!$I$4),OR('Visual SPC'!$K$4="",'Data Entry'!$F3605='Visual SPC'!$K$4)),1,0))</f>
        <v/>
      </c>
      <c r="C3605">
        <f>C3604+B3605</f>
        <v/>
      </c>
      <c r="D3605">
        <f>IF(B3605=1,INDEX('Data Entry'!$H$5:$BE$10004,3605-4,'Visual SPC'!$B$3),"")</f>
        <v/>
      </c>
      <c r="E3605">
        <f>IF(B3605=1,D3605,E3604)</f>
        <v/>
      </c>
      <c r="F3605">
        <f>IF(AND(B3605=1,C3605&gt;1,E3604&lt;&gt;""),ABS(D3605-E3604),"")</f>
        <v/>
      </c>
    </row>
    <row r="3606">
      <c r="A3606" t="n">
        <v>3606</v>
      </c>
      <c r="B3606">
        <f>IF(INDEX('Data Entry'!$H$5:$BE$10004,3606-4,'Visual SPC'!$B$3)="",0,IF(AND(OR('Visual SPC'!$C$4="",'Data Entry'!$C3606&gt;='Visual SPC'!$C$4),OR('Visual SPC'!$E$4="",'Data Entry'!$C3606&lt;='Visual SPC'!$E$4),OR('Visual SPC'!$G$4="",'Data Entry'!$D3606='Visual SPC'!$G$4),OR('Visual SPC'!$I$4="",'Data Entry'!$E3606='Visual SPC'!$I$4),OR('Visual SPC'!$K$4="",'Data Entry'!$F3606='Visual SPC'!$K$4)),1,0))</f>
        <v/>
      </c>
      <c r="C3606">
        <f>C3605+B3606</f>
        <v/>
      </c>
      <c r="D3606">
        <f>IF(B3606=1,INDEX('Data Entry'!$H$5:$BE$10004,3606-4,'Visual SPC'!$B$3),"")</f>
        <v/>
      </c>
      <c r="E3606">
        <f>IF(B3606=1,D3606,E3605)</f>
        <v/>
      </c>
      <c r="F3606">
        <f>IF(AND(B3606=1,C3606&gt;1,E3605&lt;&gt;""),ABS(D3606-E3605),"")</f>
        <v/>
      </c>
    </row>
    <row r="3607">
      <c r="A3607" t="n">
        <v>3607</v>
      </c>
      <c r="B3607">
        <f>IF(INDEX('Data Entry'!$H$5:$BE$10004,3607-4,'Visual SPC'!$B$3)="",0,IF(AND(OR('Visual SPC'!$C$4="",'Data Entry'!$C3607&gt;='Visual SPC'!$C$4),OR('Visual SPC'!$E$4="",'Data Entry'!$C3607&lt;='Visual SPC'!$E$4),OR('Visual SPC'!$G$4="",'Data Entry'!$D3607='Visual SPC'!$G$4),OR('Visual SPC'!$I$4="",'Data Entry'!$E3607='Visual SPC'!$I$4),OR('Visual SPC'!$K$4="",'Data Entry'!$F3607='Visual SPC'!$K$4)),1,0))</f>
        <v/>
      </c>
      <c r="C3607">
        <f>C3606+B3607</f>
        <v/>
      </c>
      <c r="D3607">
        <f>IF(B3607=1,INDEX('Data Entry'!$H$5:$BE$10004,3607-4,'Visual SPC'!$B$3),"")</f>
        <v/>
      </c>
      <c r="E3607">
        <f>IF(B3607=1,D3607,E3606)</f>
        <v/>
      </c>
      <c r="F3607">
        <f>IF(AND(B3607=1,C3607&gt;1,E3606&lt;&gt;""),ABS(D3607-E3606),"")</f>
        <v/>
      </c>
    </row>
    <row r="3608">
      <c r="A3608" t="n">
        <v>3608</v>
      </c>
      <c r="B3608">
        <f>IF(INDEX('Data Entry'!$H$5:$BE$10004,3608-4,'Visual SPC'!$B$3)="",0,IF(AND(OR('Visual SPC'!$C$4="",'Data Entry'!$C3608&gt;='Visual SPC'!$C$4),OR('Visual SPC'!$E$4="",'Data Entry'!$C3608&lt;='Visual SPC'!$E$4),OR('Visual SPC'!$G$4="",'Data Entry'!$D3608='Visual SPC'!$G$4),OR('Visual SPC'!$I$4="",'Data Entry'!$E3608='Visual SPC'!$I$4),OR('Visual SPC'!$K$4="",'Data Entry'!$F3608='Visual SPC'!$K$4)),1,0))</f>
        <v/>
      </c>
      <c r="C3608">
        <f>C3607+B3608</f>
        <v/>
      </c>
      <c r="D3608">
        <f>IF(B3608=1,INDEX('Data Entry'!$H$5:$BE$10004,3608-4,'Visual SPC'!$B$3),"")</f>
        <v/>
      </c>
      <c r="E3608">
        <f>IF(B3608=1,D3608,E3607)</f>
        <v/>
      </c>
      <c r="F3608">
        <f>IF(AND(B3608=1,C3608&gt;1,E3607&lt;&gt;""),ABS(D3608-E3607),"")</f>
        <v/>
      </c>
    </row>
    <row r="3609">
      <c r="A3609" t="n">
        <v>3609</v>
      </c>
      <c r="B3609">
        <f>IF(INDEX('Data Entry'!$H$5:$BE$10004,3609-4,'Visual SPC'!$B$3)="",0,IF(AND(OR('Visual SPC'!$C$4="",'Data Entry'!$C3609&gt;='Visual SPC'!$C$4),OR('Visual SPC'!$E$4="",'Data Entry'!$C3609&lt;='Visual SPC'!$E$4),OR('Visual SPC'!$G$4="",'Data Entry'!$D3609='Visual SPC'!$G$4),OR('Visual SPC'!$I$4="",'Data Entry'!$E3609='Visual SPC'!$I$4),OR('Visual SPC'!$K$4="",'Data Entry'!$F3609='Visual SPC'!$K$4)),1,0))</f>
        <v/>
      </c>
      <c r="C3609">
        <f>C3608+B3609</f>
        <v/>
      </c>
      <c r="D3609">
        <f>IF(B3609=1,INDEX('Data Entry'!$H$5:$BE$10004,3609-4,'Visual SPC'!$B$3),"")</f>
        <v/>
      </c>
      <c r="E3609">
        <f>IF(B3609=1,D3609,E3608)</f>
        <v/>
      </c>
      <c r="F3609">
        <f>IF(AND(B3609=1,C3609&gt;1,E3608&lt;&gt;""),ABS(D3609-E3608),"")</f>
        <v/>
      </c>
    </row>
    <row r="3610">
      <c r="A3610" t="n">
        <v>3610</v>
      </c>
      <c r="B3610">
        <f>IF(INDEX('Data Entry'!$H$5:$BE$10004,3610-4,'Visual SPC'!$B$3)="",0,IF(AND(OR('Visual SPC'!$C$4="",'Data Entry'!$C3610&gt;='Visual SPC'!$C$4),OR('Visual SPC'!$E$4="",'Data Entry'!$C3610&lt;='Visual SPC'!$E$4),OR('Visual SPC'!$G$4="",'Data Entry'!$D3610='Visual SPC'!$G$4),OR('Visual SPC'!$I$4="",'Data Entry'!$E3610='Visual SPC'!$I$4),OR('Visual SPC'!$K$4="",'Data Entry'!$F3610='Visual SPC'!$K$4)),1,0))</f>
        <v/>
      </c>
      <c r="C3610">
        <f>C3609+B3610</f>
        <v/>
      </c>
      <c r="D3610">
        <f>IF(B3610=1,INDEX('Data Entry'!$H$5:$BE$10004,3610-4,'Visual SPC'!$B$3),"")</f>
        <v/>
      </c>
      <c r="E3610">
        <f>IF(B3610=1,D3610,E3609)</f>
        <v/>
      </c>
      <c r="F3610">
        <f>IF(AND(B3610=1,C3610&gt;1,E3609&lt;&gt;""),ABS(D3610-E3609),"")</f>
        <v/>
      </c>
    </row>
    <row r="3611">
      <c r="A3611" t="n">
        <v>3611</v>
      </c>
      <c r="B3611">
        <f>IF(INDEX('Data Entry'!$H$5:$BE$10004,3611-4,'Visual SPC'!$B$3)="",0,IF(AND(OR('Visual SPC'!$C$4="",'Data Entry'!$C3611&gt;='Visual SPC'!$C$4),OR('Visual SPC'!$E$4="",'Data Entry'!$C3611&lt;='Visual SPC'!$E$4),OR('Visual SPC'!$G$4="",'Data Entry'!$D3611='Visual SPC'!$G$4),OR('Visual SPC'!$I$4="",'Data Entry'!$E3611='Visual SPC'!$I$4),OR('Visual SPC'!$K$4="",'Data Entry'!$F3611='Visual SPC'!$K$4)),1,0))</f>
        <v/>
      </c>
      <c r="C3611">
        <f>C3610+B3611</f>
        <v/>
      </c>
      <c r="D3611">
        <f>IF(B3611=1,INDEX('Data Entry'!$H$5:$BE$10004,3611-4,'Visual SPC'!$B$3),"")</f>
        <v/>
      </c>
      <c r="E3611">
        <f>IF(B3611=1,D3611,E3610)</f>
        <v/>
      </c>
      <c r="F3611">
        <f>IF(AND(B3611=1,C3611&gt;1,E3610&lt;&gt;""),ABS(D3611-E3610),"")</f>
        <v/>
      </c>
    </row>
    <row r="3612">
      <c r="A3612" t="n">
        <v>3612</v>
      </c>
      <c r="B3612">
        <f>IF(INDEX('Data Entry'!$H$5:$BE$10004,3612-4,'Visual SPC'!$B$3)="",0,IF(AND(OR('Visual SPC'!$C$4="",'Data Entry'!$C3612&gt;='Visual SPC'!$C$4),OR('Visual SPC'!$E$4="",'Data Entry'!$C3612&lt;='Visual SPC'!$E$4),OR('Visual SPC'!$G$4="",'Data Entry'!$D3612='Visual SPC'!$G$4),OR('Visual SPC'!$I$4="",'Data Entry'!$E3612='Visual SPC'!$I$4),OR('Visual SPC'!$K$4="",'Data Entry'!$F3612='Visual SPC'!$K$4)),1,0))</f>
        <v/>
      </c>
      <c r="C3612">
        <f>C3611+B3612</f>
        <v/>
      </c>
      <c r="D3612">
        <f>IF(B3612=1,INDEX('Data Entry'!$H$5:$BE$10004,3612-4,'Visual SPC'!$B$3),"")</f>
        <v/>
      </c>
      <c r="E3612">
        <f>IF(B3612=1,D3612,E3611)</f>
        <v/>
      </c>
      <c r="F3612">
        <f>IF(AND(B3612=1,C3612&gt;1,E3611&lt;&gt;""),ABS(D3612-E3611),"")</f>
        <v/>
      </c>
    </row>
    <row r="3613">
      <c r="A3613" t="n">
        <v>3613</v>
      </c>
      <c r="B3613">
        <f>IF(INDEX('Data Entry'!$H$5:$BE$10004,3613-4,'Visual SPC'!$B$3)="",0,IF(AND(OR('Visual SPC'!$C$4="",'Data Entry'!$C3613&gt;='Visual SPC'!$C$4),OR('Visual SPC'!$E$4="",'Data Entry'!$C3613&lt;='Visual SPC'!$E$4),OR('Visual SPC'!$G$4="",'Data Entry'!$D3613='Visual SPC'!$G$4),OR('Visual SPC'!$I$4="",'Data Entry'!$E3613='Visual SPC'!$I$4),OR('Visual SPC'!$K$4="",'Data Entry'!$F3613='Visual SPC'!$K$4)),1,0))</f>
        <v/>
      </c>
      <c r="C3613">
        <f>C3612+B3613</f>
        <v/>
      </c>
      <c r="D3613">
        <f>IF(B3613=1,INDEX('Data Entry'!$H$5:$BE$10004,3613-4,'Visual SPC'!$B$3),"")</f>
        <v/>
      </c>
      <c r="E3613">
        <f>IF(B3613=1,D3613,E3612)</f>
        <v/>
      </c>
      <c r="F3613">
        <f>IF(AND(B3613=1,C3613&gt;1,E3612&lt;&gt;""),ABS(D3613-E3612),"")</f>
        <v/>
      </c>
    </row>
    <row r="3614">
      <c r="A3614" t="n">
        <v>3614</v>
      </c>
      <c r="B3614">
        <f>IF(INDEX('Data Entry'!$H$5:$BE$10004,3614-4,'Visual SPC'!$B$3)="",0,IF(AND(OR('Visual SPC'!$C$4="",'Data Entry'!$C3614&gt;='Visual SPC'!$C$4),OR('Visual SPC'!$E$4="",'Data Entry'!$C3614&lt;='Visual SPC'!$E$4),OR('Visual SPC'!$G$4="",'Data Entry'!$D3614='Visual SPC'!$G$4),OR('Visual SPC'!$I$4="",'Data Entry'!$E3614='Visual SPC'!$I$4),OR('Visual SPC'!$K$4="",'Data Entry'!$F3614='Visual SPC'!$K$4)),1,0))</f>
        <v/>
      </c>
      <c r="C3614">
        <f>C3613+B3614</f>
        <v/>
      </c>
      <c r="D3614">
        <f>IF(B3614=1,INDEX('Data Entry'!$H$5:$BE$10004,3614-4,'Visual SPC'!$B$3),"")</f>
        <v/>
      </c>
      <c r="E3614">
        <f>IF(B3614=1,D3614,E3613)</f>
        <v/>
      </c>
      <c r="F3614">
        <f>IF(AND(B3614=1,C3614&gt;1,E3613&lt;&gt;""),ABS(D3614-E3613),"")</f>
        <v/>
      </c>
    </row>
    <row r="3615">
      <c r="A3615" t="n">
        <v>3615</v>
      </c>
      <c r="B3615">
        <f>IF(INDEX('Data Entry'!$H$5:$BE$10004,3615-4,'Visual SPC'!$B$3)="",0,IF(AND(OR('Visual SPC'!$C$4="",'Data Entry'!$C3615&gt;='Visual SPC'!$C$4),OR('Visual SPC'!$E$4="",'Data Entry'!$C3615&lt;='Visual SPC'!$E$4),OR('Visual SPC'!$G$4="",'Data Entry'!$D3615='Visual SPC'!$G$4),OR('Visual SPC'!$I$4="",'Data Entry'!$E3615='Visual SPC'!$I$4),OR('Visual SPC'!$K$4="",'Data Entry'!$F3615='Visual SPC'!$K$4)),1,0))</f>
        <v/>
      </c>
      <c r="C3615">
        <f>C3614+B3615</f>
        <v/>
      </c>
      <c r="D3615">
        <f>IF(B3615=1,INDEX('Data Entry'!$H$5:$BE$10004,3615-4,'Visual SPC'!$B$3),"")</f>
        <v/>
      </c>
      <c r="E3615">
        <f>IF(B3615=1,D3615,E3614)</f>
        <v/>
      </c>
      <c r="F3615">
        <f>IF(AND(B3615=1,C3615&gt;1,E3614&lt;&gt;""),ABS(D3615-E3614),"")</f>
        <v/>
      </c>
    </row>
    <row r="3616">
      <c r="A3616" t="n">
        <v>3616</v>
      </c>
      <c r="B3616">
        <f>IF(INDEX('Data Entry'!$H$5:$BE$10004,3616-4,'Visual SPC'!$B$3)="",0,IF(AND(OR('Visual SPC'!$C$4="",'Data Entry'!$C3616&gt;='Visual SPC'!$C$4),OR('Visual SPC'!$E$4="",'Data Entry'!$C3616&lt;='Visual SPC'!$E$4),OR('Visual SPC'!$G$4="",'Data Entry'!$D3616='Visual SPC'!$G$4),OR('Visual SPC'!$I$4="",'Data Entry'!$E3616='Visual SPC'!$I$4),OR('Visual SPC'!$K$4="",'Data Entry'!$F3616='Visual SPC'!$K$4)),1,0))</f>
        <v/>
      </c>
      <c r="C3616">
        <f>C3615+B3616</f>
        <v/>
      </c>
      <c r="D3616">
        <f>IF(B3616=1,INDEX('Data Entry'!$H$5:$BE$10004,3616-4,'Visual SPC'!$B$3),"")</f>
        <v/>
      </c>
      <c r="E3616">
        <f>IF(B3616=1,D3616,E3615)</f>
        <v/>
      </c>
      <c r="F3616">
        <f>IF(AND(B3616=1,C3616&gt;1,E3615&lt;&gt;""),ABS(D3616-E3615),"")</f>
        <v/>
      </c>
    </row>
    <row r="3617">
      <c r="A3617" t="n">
        <v>3617</v>
      </c>
      <c r="B3617">
        <f>IF(INDEX('Data Entry'!$H$5:$BE$10004,3617-4,'Visual SPC'!$B$3)="",0,IF(AND(OR('Visual SPC'!$C$4="",'Data Entry'!$C3617&gt;='Visual SPC'!$C$4),OR('Visual SPC'!$E$4="",'Data Entry'!$C3617&lt;='Visual SPC'!$E$4),OR('Visual SPC'!$G$4="",'Data Entry'!$D3617='Visual SPC'!$G$4),OR('Visual SPC'!$I$4="",'Data Entry'!$E3617='Visual SPC'!$I$4),OR('Visual SPC'!$K$4="",'Data Entry'!$F3617='Visual SPC'!$K$4)),1,0))</f>
        <v/>
      </c>
      <c r="C3617">
        <f>C3616+B3617</f>
        <v/>
      </c>
      <c r="D3617">
        <f>IF(B3617=1,INDEX('Data Entry'!$H$5:$BE$10004,3617-4,'Visual SPC'!$B$3),"")</f>
        <v/>
      </c>
      <c r="E3617">
        <f>IF(B3617=1,D3617,E3616)</f>
        <v/>
      </c>
      <c r="F3617">
        <f>IF(AND(B3617=1,C3617&gt;1,E3616&lt;&gt;""),ABS(D3617-E3616),"")</f>
        <v/>
      </c>
    </row>
    <row r="3618">
      <c r="A3618" t="n">
        <v>3618</v>
      </c>
      <c r="B3618">
        <f>IF(INDEX('Data Entry'!$H$5:$BE$10004,3618-4,'Visual SPC'!$B$3)="",0,IF(AND(OR('Visual SPC'!$C$4="",'Data Entry'!$C3618&gt;='Visual SPC'!$C$4),OR('Visual SPC'!$E$4="",'Data Entry'!$C3618&lt;='Visual SPC'!$E$4),OR('Visual SPC'!$G$4="",'Data Entry'!$D3618='Visual SPC'!$G$4),OR('Visual SPC'!$I$4="",'Data Entry'!$E3618='Visual SPC'!$I$4),OR('Visual SPC'!$K$4="",'Data Entry'!$F3618='Visual SPC'!$K$4)),1,0))</f>
        <v/>
      </c>
      <c r="C3618">
        <f>C3617+B3618</f>
        <v/>
      </c>
      <c r="D3618">
        <f>IF(B3618=1,INDEX('Data Entry'!$H$5:$BE$10004,3618-4,'Visual SPC'!$B$3),"")</f>
        <v/>
      </c>
      <c r="E3618">
        <f>IF(B3618=1,D3618,E3617)</f>
        <v/>
      </c>
      <c r="F3618">
        <f>IF(AND(B3618=1,C3618&gt;1,E3617&lt;&gt;""),ABS(D3618-E3617),"")</f>
        <v/>
      </c>
    </row>
    <row r="3619">
      <c r="A3619" t="n">
        <v>3619</v>
      </c>
      <c r="B3619">
        <f>IF(INDEX('Data Entry'!$H$5:$BE$10004,3619-4,'Visual SPC'!$B$3)="",0,IF(AND(OR('Visual SPC'!$C$4="",'Data Entry'!$C3619&gt;='Visual SPC'!$C$4),OR('Visual SPC'!$E$4="",'Data Entry'!$C3619&lt;='Visual SPC'!$E$4),OR('Visual SPC'!$G$4="",'Data Entry'!$D3619='Visual SPC'!$G$4),OR('Visual SPC'!$I$4="",'Data Entry'!$E3619='Visual SPC'!$I$4),OR('Visual SPC'!$K$4="",'Data Entry'!$F3619='Visual SPC'!$K$4)),1,0))</f>
        <v/>
      </c>
      <c r="C3619">
        <f>C3618+B3619</f>
        <v/>
      </c>
      <c r="D3619">
        <f>IF(B3619=1,INDEX('Data Entry'!$H$5:$BE$10004,3619-4,'Visual SPC'!$B$3),"")</f>
        <v/>
      </c>
      <c r="E3619">
        <f>IF(B3619=1,D3619,E3618)</f>
        <v/>
      </c>
      <c r="F3619">
        <f>IF(AND(B3619=1,C3619&gt;1,E3618&lt;&gt;""),ABS(D3619-E3618),"")</f>
        <v/>
      </c>
    </row>
    <row r="3620">
      <c r="A3620" t="n">
        <v>3620</v>
      </c>
      <c r="B3620">
        <f>IF(INDEX('Data Entry'!$H$5:$BE$10004,3620-4,'Visual SPC'!$B$3)="",0,IF(AND(OR('Visual SPC'!$C$4="",'Data Entry'!$C3620&gt;='Visual SPC'!$C$4),OR('Visual SPC'!$E$4="",'Data Entry'!$C3620&lt;='Visual SPC'!$E$4),OR('Visual SPC'!$G$4="",'Data Entry'!$D3620='Visual SPC'!$G$4),OR('Visual SPC'!$I$4="",'Data Entry'!$E3620='Visual SPC'!$I$4),OR('Visual SPC'!$K$4="",'Data Entry'!$F3620='Visual SPC'!$K$4)),1,0))</f>
        <v/>
      </c>
      <c r="C3620">
        <f>C3619+B3620</f>
        <v/>
      </c>
      <c r="D3620">
        <f>IF(B3620=1,INDEX('Data Entry'!$H$5:$BE$10004,3620-4,'Visual SPC'!$B$3),"")</f>
        <v/>
      </c>
      <c r="E3620">
        <f>IF(B3620=1,D3620,E3619)</f>
        <v/>
      </c>
      <c r="F3620">
        <f>IF(AND(B3620=1,C3620&gt;1,E3619&lt;&gt;""),ABS(D3620-E3619),"")</f>
        <v/>
      </c>
    </row>
    <row r="3621">
      <c r="A3621" t="n">
        <v>3621</v>
      </c>
      <c r="B3621">
        <f>IF(INDEX('Data Entry'!$H$5:$BE$10004,3621-4,'Visual SPC'!$B$3)="",0,IF(AND(OR('Visual SPC'!$C$4="",'Data Entry'!$C3621&gt;='Visual SPC'!$C$4),OR('Visual SPC'!$E$4="",'Data Entry'!$C3621&lt;='Visual SPC'!$E$4),OR('Visual SPC'!$G$4="",'Data Entry'!$D3621='Visual SPC'!$G$4),OR('Visual SPC'!$I$4="",'Data Entry'!$E3621='Visual SPC'!$I$4),OR('Visual SPC'!$K$4="",'Data Entry'!$F3621='Visual SPC'!$K$4)),1,0))</f>
        <v/>
      </c>
      <c r="C3621">
        <f>C3620+B3621</f>
        <v/>
      </c>
      <c r="D3621">
        <f>IF(B3621=1,INDEX('Data Entry'!$H$5:$BE$10004,3621-4,'Visual SPC'!$B$3),"")</f>
        <v/>
      </c>
      <c r="E3621">
        <f>IF(B3621=1,D3621,E3620)</f>
        <v/>
      </c>
      <c r="F3621">
        <f>IF(AND(B3621=1,C3621&gt;1,E3620&lt;&gt;""),ABS(D3621-E3620),"")</f>
        <v/>
      </c>
    </row>
    <row r="3622">
      <c r="A3622" t="n">
        <v>3622</v>
      </c>
      <c r="B3622">
        <f>IF(INDEX('Data Entry'!$H$5:$BE$10004,3622-4,'Visual SPC'!$B$3)="",0,IF(AND(OR('Visual SPC'!$C$4="",'Data Entry'!$C3622&gt;='Visual SPC'!$C$4),OR('Visual SPC'!$E$4="",'Data Entry'!$C3622&lt;='Visual SPC'!$E$4),OR('Visual SPC'!$G$4="",'Data Entry'!$D3622='Visual SPC'!$G$4),OR('Visual SPC'!$I$4="",'Data Entry'!$E3622='Visual SPC'!$I$4),OR('Visual SPC'!$K$4="",'Data Entry'!$F3622='Visual SPC'!$K$4)),1,0))</f>
        <v/>
      </c>
      <c r="C3622">
        <f>C3621+B3622</f>
        <v/>
      </c>
      <c r="D3622">
        <f>IF(B3622=1,INDEX('Data Entry'!$H$5:$BE$10004,3622-4,'Visual SPC'!$B$3),"")</f>
        <v/>
      </c>
      <c r="E3622">
        <f>IF(B3622=1,D3622,E3621)</f>
        <v/>
      </c>
      <c r="F3622">
        <f>IF(AND(B3622=1,C3622&gt;1,E3621&lt;&gt;""),ABS(D3622-E3621),"")</f>
        <v/>
      </c>
    </row>
    <row r="3623">
      <c r="A3623" t="n">
        <v>3623</v>
      </c>
      <c r="B3623">
        <f>IF(INDEX('Data Entry'!$H$5:$BE$10004,3623-4,'Visual SPC'!$B$3)="",0,IF(AND(OR('Visual SPC'!$C$4="",'Data Entry'!$C3623&gt;='Visual SPC'!$C$4),OR('Visual SPC'!$E$4="",'Data Entry'!$C3623&lt;='Visual SPC'!$E$4),OR('Visual SPC'!$G$4="",'Data Entry'!$D3623='Visual SPC'!$G$4),OR('Visual SPC'!$I$4="",'Data Entry'!$E3623='Visual SPC'!$I$4),OR('Visual SPC'!$K$4="",'Data Entry'!$F3623='Visual SPC'!$K$4)),1,0))</f>
        <v/>
      </c>
      <c r="C3623">
        <f>C3622+B3623</f>
        <v/>
      </c>
      <c r="D3623">
        <f>IF(B3623=1,INDEX('Data Entry'!$H$5:$BE$10004,3623-4,'Visual SPC'!$B$3),"")</f>
        <v/>
      </c>
      <c r="E3623">
        <f>IF(B3623=1,D3623,E3622)</f>
        <v/>
      </c>
      <c r="F3623">
        <f>IF(AND(B3623=1,C3623&gt;1,E3622&lt;&gt;""),ABS(D3623-E3622),"")</f>
        <v/>
      </c>
    </row>
    <row r="3624">
      <c r="A3624" t="n">
        <v>3624</v>
      </c>
      <c r="B3624">
        <f>IF(INDEX('Data Entry'!$H$5:$BE$10004,3624-4,'Visual SPC'!$B$3)="",0,IF(AND(OR('Visual SPC'!$C$4="",'Data Entry'!$C3624&gt;='Visual SPC'!$C$4),OR('Visual SPC'!$E$4="",'Data Entry'!$C3624&lt;='Visual SPC'!$E$4),OR('Visual SPC'!$G$4="",'Data Entry'!$D3624='Visual SPC'!$G$4),OR('Visual SPC'!$I$4="",'Data Entry'!$E3624='Visual SPC'!$I$4),OR('Visual SPC'!$K$4="",'Data Entry'!$F3624='Visual SPC'!$K$4)),1,0))</f>
        <v/>
      </c>
      <c r="C3624">
        <f>C3623+B3624</f>
        <v/>
      </c>
      <c r="D3624">
        <f>IF(B3624=1,INDEX('Data Entry'!$H$5:$BE$10004,3624-4,'Visual SPC'!$B$3),"")</f>
        <v/>
      </c>
      <c r="E3624">
        <f>IF(B3624=1,D3624,E3623)</f>
        <v/>
      </c>
      <c r="F3624">
        <f>IF(AND(B3624=1,C3624&gt;1,E3623&lt;&gt;""),ABS(D3624-E3623),"")</f>
        <v/>
      </c>
    </row>
    <row r="3625">
      <c r="A3625" t="n">
        <v>3625</v>
      </c>
      <c r="B3625">
        <f>IF(INDEX('Data Entry'!$H$5:$BE$10004,3625-4,'Visual SPC'!$B$3)="",0,IF(AND(OR('Visual SPC'!$C$4="",'Data Entry'!$C3625&gt;='Visual SPC'!$C$4),OR('Visual SPC'!$E$4="",'Data Entry'!$C3625&lt;='Visual SPC'!$E$4),OR('Visual SPC'!$G$4="",'Data Entry'!$D3625='Visual SPC'!$G$4),OR('Visual SPC'!$I$4="",'Data Entry'!$E3625='Visual SPC'!$I$4),OR('Visual SPC'!$K$4="",'Data Entry'!$F3625='Visual SPC'!$K$4)),1,0))</f>
        <v/>
      </c>
      <c r="C3625">
        <f>C3624+B3625</f>
        <v/>
      </c>
      <c r="D3625">
        <f>IF(B3625=1,INDEX('Data Entry'!$H$5:$BE$10004,3625-4,'Visual SPC'!$B$3),"")</f>
        <v/>
      </c>
      <c r="E3625">
        <f>IF(B3625=1,D3625,E3624)</f>
        <v/>
      </c>
      <c r="F3625">
        <f>IF(AND(B3625=1,C3625&gt;1,E3624&lt;&gt;""),ABS(D3625-E3624),"")</f>
        <v/>
      </c>
    </row>
    <row r="3626">
      <c r="A3626" t="n">
        <v>3626</v>
      </c>
      <c r="B3626">
        <f>IF(INDEX('Data Entry'!$H$5:$BE$10004,3626-4,'Visual SPC'!$B$3)="",0,IF(AND(OR('Visual SPC'!$C$4="",'Data Entry'!$C3626&gt;='Visual SPC'!$C$4),OR('Visual SPC'!$E$4="",'Data Entry'!$C3626&lt;='Visual SPC'!$E$4),OR('Visual SPC'!$G$4="",'Data Entry'!$D3626='Visual SPC'!$G$4),OR('Visual SPC'!$I$4="",'Data Entry'!$E3626='Visual SPC'!$I$4),OR('Visual SPC'!$K$4="",'Data Entry'!$F3626='Visual SPC'!$K$4)),1,0))</f>
        <v/>
      </c>
      <c r="C3626">
        <f>C3625+B3626</f>
        <v/>
      </c>
      <c r="D3626">
        <f>IF(B3626=1,INDEX('Data Entry'!$H$5:$BE$10004,3626-4,'Visual SPC'!$B$3),"")</f>
        <v/>
      </c>
      <c r="E3626">
        <f>IF(B3626=1,D3626,E3625)</f>
        <v/>
      </c>
      <c r="F3626">
        <f>IF(AND(B3626=1,C3626&gt;1,E3625&lt;&gt;""),ABS(D3626-E3625),"")</f>
        <v/>
      </c>
    </row>
    <row r="3627">
      <c r="A3627" t="n">
        <v>3627</v>
      </c>
      <c r="B3627">
        <f>IF(INDEX('Data Entry'!$H$5:$BE$10004,3627-4,'Visual SPC'!$B$3)="",0,IF(AND(OR('Visual SPC'!$C$4="",'Data Entry'!$C3627&gt;='Visual SPC'!$C$4),OR('Visual SPC'!$E$4="",'Data Entry'!$C3627&lt;='Visual SPC'!$E$4),OR('Visual SPC'!$G$4="",'Data Entry'!$D3627='Visual SPC'!$G$4),OR('Visual SPC'!$I$4="",'Data Entry'!$E3627='Visual SPC'!$I$4),OR('Visual SPC'!$K$4="",'Data Entry'!$F3627='Visual SPC'!$K$4)),1,0))</f>
        <v/>
      </c>
      <c r="C3627">
        <f>C3626+B3627</f>
        <v/>
      </c>
      <c r="D3627">
        <f>IF(B3627=1,INDEX('Data Entry'!$H$5:$BE$10004,3627-4,'Visual SPC'!$B$3),"")</f>
        <v/>
      </c>
      <c r="E3627">
        <f>IF(B3627=1,D3627,E3626)</f>
        <v/>
      </c>
      <c r="F3627">
        <f>IF(AND(B3627=1,C3627&gt;1,E3626&lt;&gt;""),ABS(D3627-E3626),"")</f>
        <v/>
      </c>
    </row>
    <row r="3628">
      <c r="A3628" t="n">
        <v>3628</v>
      </c>
      <c r="B3628">
        <f>IF(INDEX('Data Entry'!$H$5:$BE$10004,3628-4,'Visual SPC'!$B$3)="",0,IF(AND(OR('Visual SPC'!$C$4="",'Data Entry'!$C3628&gt;='Visual SPC'!$C$4),OR('Visual SPC'!$E$4="",'Data Entry'!$C3628&lt;='Visual SPC'!$E$4),OR('Visual SPC'!$G$4="",'Data Entry'!$D3628='Visual SPC'!$G$4),OR('Visual SPC'!$I$4="",'Data Entry'!$E3628='Visual SPC'!$I$4),OR('Visual SPC'!$K$4="",'Data Entry'!$F3628='Visual SPC'!$K$4)),1,0))</f>
        <v/>
      </c>
      <c r="C3628">
        <f>C3627+B3628</f>
        <v/>
      </c>
      <c r="D3628">
        <f>IF(B3628=1,INDEX('Data Entry'!$H$5:$BE$10004,3628-4,'Visual SPC'!$B$3),"")</f>
        <v/>
      </c>
      <c r="E3628">
        <f>IF(B3628=1,D3628,E3627)</f>
        <v/>
      </c>
      <c r="F3628">
        <f>IF(AND(B3628=1,C3628&gt;1,E3627&lt;&gt;""),ABS(D3628-E3627),"")</f>
        <v/>
      </c>
    </row>
    <row r="3629">
      <c r="A3629" t="n">
        <v>3629</v>
      </c>
      <c r="B3629">
        <f>IF(INDEX('Data Entry'!$H$5:$BE$10004,3629-4,'Visual SPC'!$B$3)="",0,IF(AND(OR('Visual SPC'!$C$4="",'Data Entry'!$C3629&gt;='Visual SPC'!$C$4),OR('Visual SPC'!$E$4="",'Data Entry'!$C3629&lt;='Visual SPC'!$E$4),OR('Visual SPC'!$G$4="",'Data Entry'!$D3629='Visual SPC'!$G$4),OR('Visual SPC'!$I$4="",'Data Entry'!$E3629='Visual SPC'!$I$4),OR('Visual SPC'!$K$4="",'Data Entry'!$F3629='Visual SPC'!$K$4)),1,0))</f>
        <v/>
      </c>
      <c r="C3629">
        <f>C3628+B3629</f>
        <v/>
      </c>
      <c r="D3629">
        <f>IF(B3629=1,INDEX('Data Entry'!$H$5:$BE$10004,3629-4,'Visual SPC'!$B$3),"")</f>
        <v/>
      </c>
      <c r="E3629">
        <f>IF(B3629=1,D3629,E3628)</f>
        <v/>
      </c>
      <c r="F3629">
        <f>IF(AND(B3629=1,C3629&gt;1,E3628&lt;&gt;""),ABS(D3629-E3628),"")</f>
        <v/>
      </c>
    </row>
    <row r="3630">
      <c r="A3630" t="n">
        <v>3630</v>
      </c>
      <c r="B3630">
        <f>IF(INDEX('Data Entry'!$H$5:$BE$10004,3630-4,'Visual SPC'!$B$3)="",0,IF(AND(OR('Visual SPC'!$C$4="",'Data Entry'!$C3630&gt;='Visual SPC'!$C$4),OR('Visual SPC'!$E$4="",'Data Entry'!$C3630&lt;='Visual SPC'!$E$4),OR('Visual SPC'!$G$4="",'Data Entry'!$D3630='Visual SPC'!$G$4),OR('Visual SPC'!$I$4="",'Data Entry'!$E3630='Visual SPC'!$I$4),OR('Visual SPC'!$K$4="",'Data Entry'!$F3630='Visual SPC'!$K$4)),1,0))</f>
        <v/>
      </c>
      <c r="C3630">
        <f>C3629+B3630</f>
        <v/>
      </c>
      <c r="D3630">
        <f>IF(B3630=1,INDEX('Data Entry'!$H$5:$BE$10004,3630-4,'Visual SPC'!$B$3),"")</f>
        <v/>
      </c>
      <c r="E3630">
        <f>IF(B3630=1,D3630,E3629)</f>
        <v/>
      </c>
      <c r="F3630">
        <f>IF(AND(B3630=1,C3630&gt;1,E3629&lt;&gt;""),ABS(D3630-E3629),"")</f>
        <v/>
      </c>
    </row>
    <row r="3631">
      <c r="A3631" t="n">
        <v>3631</v>
      </c>
      <c r="B3631">
        <f>IF(INDEX('Data Entry'!$H$5:$BE$10004,3631-4,'Visual SPC'!$B$3)="",0,IF(AND(OR('Visual SPC'!$C$4="",'Data Entry'!$C3631&gt;='Visual SPC'!$C$4),OR('Visual SPC'!$E$4="",'Data Entry'!$C3631&lt;='Visual SPC'!$E$4),OR('Visual SPC'!$G$4="",'Data Entry'!$D3631='Visual SPC'!$G$4),OR('Visual SPC'!$I$4="",'Data Entry'!$E3631='Visual SPC'!$I$4),OR('Visual SPC'!$K$4="",'Data Entry'!$F3631='Visual SPC'!$K$4)),1,0))</f>
        <v/>
      </c>
      <c r="C3631">
        <f>C3630+B3631</f>
        <v/>
      </c>
      <c r="D3631">
        <f>IF(B3631=1,INDEX('Data Entry'!$H$5:$BE$10004,3631-4,'Visual SPC'!$B$3),"")</f>
        <v/>
      </c>
      <c r="E3631">
        <f>IF(B3631=1,D3631,E3630)</f>
        <v/>
      </c>
      <c r="F3631">
        <f>IF(AND(B3631=1,C3631&gt;1,E3630&lt;&gt;""),ABS(D3631-E3630),"")</f>
        <v/>
      </c>
    </row>
    <row r="3632">
      <c r="A3632" t="n">
        <v>3632</v>
      </c>
      <c r="B3632">
        <f>IF(INDEX('Data Entry'!$H$5:$BE$10004,3632-4,'Visual SPC'!$B$3)="",0,IF(AND(OR('Visual SPC'!$C$4="",'Data Entry'!$C3632&gt;='Visual SPC'!$C$4),OR('Visual SPC'!$E$4="",'Data Entry'!$C3632&lt;='Visual SPC'!$E$4),OR('Visual SPC'!$G$4="",'Data Entry'!$D3632='Visual SPC'!$G$4),OR('Visual SPC'!$I$4="",'Data Entry'!$E3632='Visual SPC'!$I$4),OR('Visual SPC'!$K$4="",'Data Entry'!$F3632='Visual SPC'!$K$4)),1,0))</f>
        <v/>
      </c>
      <c r="C3632">
        <f>C3631+B3632</f>
        <v/>
      </c>
      <c r="D3632">
        <f>IF(B3632=1,INDEX('Data Entry'!$H$5:$BE$10004,3632-4,'Visual SPC'!$B$3),"")</f>
        <v/>
      </c>
      <c r="E3632">
        <f>IF(B3632=1,D3632,E3631)</f>
        <v/>
      </c>
      <c r="F3632">
        <f>IF(AND(B3632=1,C3632&gt;1,E3631&lt;&gt;""),ABS(D3632-E3631),"")</f>
        <v/>
      </c>
    </row>
    <row r="3633">
      <c r="A3633" t="n">
        <v>3633</v>
      </c>
      <c r="B3633">
        <f>IF(INDEX('Data Entry'!$H$5:$BE$10004,3633-4,'Visual SPC'!$B$3)="",0,IF(AND(OR('Visual SPC'!$C$4="",'Data Entry'!$C3633&gt;='Visual SPC'!$C$4),OR('Visual SPC'!$E$4="",'Data Entry'!$C3633&lt;='Visual SPC'!$E$4),OR('Visual SPC'!$G$4="",'Data Entry'!$D3633='Visual SPC'!$G$4),OR('Visual SPC'!$I$4="",'Data Entry'!$E3633='Visual SPC'!$I$4),OR('Visual SPC'!$K$4="",'Data Entry'!$F3633='Visual SPC'!$K$4)),1,0))</f>
        <v/>
      </c>
      <c r="C3633">
        <f>C3632+B3633</f>
        <v/>
      </c>
      <c r="D3633">
        <f>IF(B3633=1,INDEX('Data Entry'!$H$5:$BE$10004,3633-4,'Visual SPC'!$B$3),"")</f>
        <v/>
      </c>
      <c r="E3633">
        <f>IF(B3633=1,D3633,E3632)</f>
        <v/>
      </c>
      <c r="F3633">
        <f>IF(AND(B3633=1,C3633&gt;1,E3632&lt;&gt;""),ABS(D3633-E3632),"")</f>
        <v/>
      </c>
    </row>
    <row r="3634">
      <c r="A3634" t="n">
        <v>3634</v>
      </c>
      <c r="B3634">
        <f>IF(INDEX('Data Entry'!$H$5:$BE$10004,3634-4,'Visual SPC'!$B$3)="",0,IF(AND(OR('Visual SPC'!$C$4="",'Data Entry'!$C3634&gt;='Visual SPC'!$C$4),OR('Visual SPC'!$E$4="",'Data Entry'!$C3634&lt;='Visual SPC'!$E$4),OR('Visual SPC'!$G$4="",'Data Entry'!$D3634='Visual SPC'!$G$4),OR('Visual SPC'!$I$4="",'Data Entry'!$E3634='Visual SPC'!$I$4),OR('Visual SPC'!$K$4="",'Data Entry'!$F3634='Visual SPC'!$K$4)),1,0))</f>
        <v/>
      </c>
      <c r="C3634">
        <f>C3633+B3634</f>
        <v/>
      </c>
      <c r="D3634">
        <f>IF(B3634=1,INDEX('Data Entry'!$H$5:$BE$10004,3634-4,'Visual SPC'!$B$3),"")</f>
        <v/>
      </c>
      <c r="E3634">
        <f>IF(B3634=1,D3634,E3633)</f>
        <v/>
      </c>
      <c r="F3634">
        <f>IF(AND(B3634=1,C3634&gt;1,E3633&lt;&gt;""),ABS(D3634-E3633),"")</f>
        <v/>
      </c>
    </row>
    <row r="3635">
      <c r="A3635" t="n">
        <v>3635</v>
      </c>
      <c r="B3635">
        <f>IF(INDEX('Data Entry'!$H$5:$BE$10004,3635-4,'Visual SPC'!$B$3)="",0,IF(AND(OR('Visual SPC'!$C$4="",'Data Entry'!$C3635&gt;='Visual SPC'!$C$4),OR('Visual SPC'!$E$4="",'Data Entry'!$C3635&lt;='Visual SPC'!$E$4),OR('Visual SPC'!$G$4="",'Data Entry'!$D3635='Visual SPC'!$G$4),OR('Visual SPC'!$I$4="",'Data Entry'!$E3635='Visual SPC'!$I$4),OR('Visual SPC'!$K$4="",'Data Entry'!$F3635='Visual SPC'!$K$4)),1,0))</f>
        <v/>
      </c>
      <c r="C3635">
        <f>C3634+B3635</f>
        <v/>
      </c>
      <c r="D3635">
        <f>IF(B3635=1,INDEX('Data Entry'!$H$5:$BE$10004,3635-4,'Visual SPC'!$B$3),"")</f>
        <v/>
      </c>
      <c r="E3635">
        <f>IF(B3635=1,D3635,E3634)</f>
        <v/>
      </c>
      <c r="F3635">
        <f>IF(AND(B3635=1,C3635&gt;1,E3634&lt;&gt;""),ABS(D3635-E3634),"")</f>
        <v/>
      </c>
    </row>
    <row r="3636">
      <c r="A3636" t="n">
        <v>3636</v>
      </c>
      <c r="B3636">
        <f>IF(INDEX('Data Entry'!$H$5:$BE$10004,3636-4,'Visual SPC'!$B$3)="",0,IF(AND(OR('Visual SPC'!$C$4="",'Data Entry'!$C3636&gt;='Visual SPC'!$C$4),OR('Visual SPC'!$E$4="",'Data Entry'!$C3636&lt;='Visual SPC'!$E$4),OR('Visual SPC'!$G$4="",'Data Entry'!$D3636='Visual SPC'!$G$4),OR('Visual SPC'!$I$4="",'Data Entry'!$E3636='Visual SPC'!$I$4),OR('Visual SPC'!$K$4="",'Data Entry'!$F3636='Visual SPC'!$K$4)),1,0))</f>
        <v/>
      </c>
      <c r="C3636">
        <f>C3635+B3636</f>
        <v/>
      </c>
      <c r="D3636">
        <f>IF(B3636=1,INDEX('Data Entry'!$H$5:$BE$10004,3636-4,'Visual SPC'!$B$3),"")</f>
        <v/>
      </c>
      <c r="E3636">
        <f>IF(B3636=1,D3636,E3635)</f>
        <v/>
      </c>
      <c r="F3636">
        <f>IF(AND(B3636=1,C3636&gt;1,E3635&lt;&gt;""),ABS(D3636-E3635),"")</f>
        <v/>
      </c>
    </row>
    <row r="3637">
      <c r="A3637" t="n">
        <v>3637</v>
      </c>
      <c r="B3637">
        <f>IF(INDEX('Data Entry'!$H$5:$BE$10004,3637-4,'Visual SPC'!$B$3)="",0,IF(AND(OR('Visual SPC'!$C$4="",'Data Entry'!$C3637&gt;='Visual SPC'!$C$4),OR('Visual SPC'!$E$4="",'Data Entry'!$C3637&lt;='Visual SPC'!$E$4),OR('Visual SPC'!$G$4="",'Data Entry'!$D3637='Visual SPC'!$G$4),OR('Visual SPC'!$I$4="",'Data Entry'!$E3637='Visual SPC'!$I$4),OR('Visual SPC'!$K$4="",'Data Entry'!$F3637='Visual SPC'!$K$4)),1,0))</f>
        <v/>
      </c>
      <c r="C3637">
        <f>C3636+B3637</f>
        <v/>
      </c>
      <c r="D3637">
        <f>IF(B3637=1,INDEX('Data Entry'!$H$5:$BE$10004,3637-4,'Visual SPC'!$B$3),"")</f>
        <v/>
      </c>
      <c r="E3637">
        <f>IF(B3637=1,D3637,E3636)</f>
        <v/>
      </c>
      <c r="F3637">
        <f>IF(AND(B3637=1,C3637&gt;1,E3636&lt;&gt;""),ABS(D3637-E3636),"")</f>
        <v/>
      </c>
    </row>
    <row r="3638">
      <c r="A3638" t="n">
        <v>3638</v>
      </c>
      <c r="B3638">
        <f>IF(INDEX('Data Entry'!$H$5:$BE$10004,3638-4,'Visual SPC'!$B$3)="",0,IF(AND(OR('Visual SPC'!$C$4="",'Data Entry'!$C3638&gt;='Visual SPC'!$C$4),OR('Visual SPC'!$E$4="",'Data Entry'!$C3638&lt;='Visual SPC'!$E$4),OR('Visual SPC'!$G$4="",'Data Entry'!$D3638='Visual SPC'!$G$4),OR('Visual SPC'!$I$4="",'Data Entry'!$E3638='Visual SPC'!$I$4),OR('Visual SPC'!$K$4="",'Data Entry'!$F3638='Visual SPC'!$K$4)),1,0))</f>
        <v/>
      </c>
      <c r="C3638">
        <f>C3637+B3638</f>
        <v/>
      </c>
      <c r="D3638">
        <f>IF(B3638=1,INDEX('Data Entry'!$H$5:$BE$10004,3638-4,'Visual SPC'!$B$3),"")</f>
        <v/>
      </c>
      <c r="E3638">
        <f>IF(B3638=1,D3638,E3637)</f>
        <v/>
      </c>
      <c r="F3638">
        <f>IF(AND(B3638=1,C3638&gt;1,E3637&lt;&gt;""),ABS(D3638-E3637),"")</f>
        <v/>
      </c>
    </row>
    <row r="3639">
      <c r="A3639" t="n">
        <v>3639</v>
      </c>
      <c r="B3639">
        <f>IF(INDEX('Data Entry'!$H$5:$BE$10004,3639-4,'Visual SPC'!$B$3)="",0,IF(AND(OR('Visual SPC'!$C$4="",'Data Entry'!$C3639&gt;='Visual SPC'!$C$4),OR('Visual SPC'!$E$4="",'Data Entry'!$C3639&lt;='Visual SPC'!$E$4),OR('Visual SPC'!$G$4="",'Data Entry'!$D3639='Visual SPC'!$G$4),OR('Visual SPC'!$I$4="",'Data Entry'!$E3639='Visual SPC'!$I$4),OR('Visual SPC'!$K$4="",'Data Entry'!$F3639='Visual SPC'!$K$4)),1,0))</f>
        <v/>
      </c>
      <c r="C3639">
        <f>C3638+B3639</f>
        <v/>
      </c>
      <c r="D3639">
        <f>IF(B3639=1,INDEX('Data Entry'!$H$5:$BE$10004,3639-4,'Visual SPC'!$B$3),"")</f>
        <v/>
      </c>
      <c r="E3639">
        <f>IF(B3639=1,D3639,E3638)</f>
        <v/>
      </c>
      <c r="F3639">
        <f>IF(AND(B3639=1,C3639&gt;1,E3638&lt;&gt;""),ABS(D3639-E3638),"")</f>
        <v/>
      </c>
    </row>
    <row r="3640">
      <c r="A3640" t="n">
        <v>3640</v>
      </c>
      <c r="B3640">
        <f>IF(INDEX('Data Entry'!$H$5:$BE$10004,3640-4,'Visual SPC'!$B$3)="",0,IF(AND(OR('Visual SPC'!$C$4="",'Data Entry'!$C3640&gt;='Visual SPC'!$C$4),OR('Visual SPC'!$E$4="",'Data Entry'!$C3640&lt;='Visual SPC'!$E$4),OR('Visual SPC'!$G$4="",'Data Entry'!$D3640='Visual SPC'!$G$4),OR('Visual SPC'!$I$4="",'Data Entry'!$E3640='Visual SPC'!$I$4),OR('Visual SPC'!$K$4="",'Data Entry'!$F3640='Visual SPC'!$K$4)),1,0))</f>
        <v/>
      </c>
      <c r="C3640">
        <f>C3639+B3640</f>
        <v/>
      </c>
      <c r="D3640">
        <f>IF(B3640=1,INDEX('Data Entry'!$H$5:$BE$10004,3640-4,'Visual SPC'!$B$3),"")</f>
        <v/>
      </c>
      <c r="E3640">
        <f>IF(B3640=1,D3640,E3639)</f>
        <v/>
      </c>
      <c r="F3640">
        <f>IF(AND(B3640=1,C3640&gt;1,E3639&lt;&gt;""),ABS(D3640-E3639),"")</f>
        <v/>
      </c>
    </row>
    <row r="3641">
      <c r="A3641" t="n">
        <v>3641</v>
      </c>
      <c r="B3641">
        <f>IF(INDEX('Data Entry'!$H$5:$BE$10004,3641-4,'Visual SPC'!$B$3)="",0,IF(AND(OR('Visual SPC'!$C$4="",'Data Entry'!$C3641&gt;='Visual SPC'!$C$4),OR('Visual SPC'!$E$4="",'Data Entry'!$C3641&lt;='Visual SPC'!$E$4),OR('Visual SPC'!$G$4="",'Data Entry'!$D3641='Visual SPC'!$G$4),OR('Visual SPC'!$I$4="",'Data Entry'!$E3641='Visual SPC'!$I$4),OR('Visual SPC'!$K$4="",'Data Entry'!$F3641='Visual SPC'!$K$4)),1,0))</f>
        <v/>
      </c>
      <c r="C3641">
        <f>C3640+B3641</f>
        <v/>
      </c>
      <c r="D3641">
        <f>IF(B3641=1,INDEX('Data Entry'!$H$5:$BE$10004,3641-4,'Visual SPC'!$B$3),"")</f>
        <v/>
      </c>
      <c r="E3641">
        <f>IF(B3641=1,D3641,E3640)</f>
        <v/>
      </c>
      <c r="F3641">
        <f>IF(AND(B3641=1,C3641&gt;1,E3640&lt;&gt;""),ABS(D3641-E3640),"")</f>
        <v/>
      </c>
    </row>
    <row r="3642">
      <c r="A3642" t="n">
        <v>3642</v>
      </c>
      <c r="B3642">
        <f>IF(INDEX('Data Entry'!$H$5:$BE$10004,3642-4,'Visual SPC'!$B$3)="",0,IF(AND(OR('Visual SPC'!$C$4="",'Data Entry'!$C3642&gt;='Visual SPC'!$C$4),OR('Visual SPC'!$E$4="",'Data Entry'!$C3642&lt;='Visual SPC'!$E$4),OR('Visual SPC'!$G$4="",'Data Entry'!$D3642='Visual SPC'!$G$4),OR('Visual SPC'!$I$4="",'Data Entry'!$E3642='Visual SPC'!$I$4),OR('Visual SPC'!$K$4="",'Data Entry'!$F3642='Visual SPC'!$K$4)),1,0))</f>
        <v/>
      </c>
      <c r="C3642">
        <f>C3641+B3642</f>
        <v/>
      </c>
      <c r="D3642">
        <f>IF(B3642=1,INDEX('Data Entry'!$H$5:$BE$10004,3642-4,'Visual SPC'!$B$3),"")</f>
        <v/>
      </c>
      <c r="E3642">
        <f>IF(B3642=1,D3642,E3641)</f>
        <v/>
      </c>
      <c r="F3642">
        <f>IF(AND(B3642=1,C3642&gt;1,E3641&lt;&gt;""),ABS(D3642-E3641),"")</f>
        <v/>
      </c>
    </row>
    <row r="3643">
      <c r="A3643" t="n">
        <v>3643</v>
      </c>
      <c r="B3643">
        <f>IF(INDEX('Data Entry'!$H$5:$BE$10004,3643-4,'Visual SPC'!$B$3)="",0,IF(AND(OR('Visual SPC'!$C$4="",'Data Entry'!$C3643&gt;='Visual SPC'!$C$4),OR('Visual SPC'!$E$4="",'Data Entry'!$C3643&lt;='Visual SPC'!$E$4),OR('Visual SPC'!$G$4="",'Data Entry'!$D3643='Visual SPC'!$G$4),OR('Visual SPC'!$I$4="",'Data Entry'!$E3643='Visual SPC'!$I$4),OR('Visual SPC'!$K$4="",'Data Entry'!$F3643='Visual SPC'!$K$4)),1,0))</f>
        <v/>
      </c>
      <c r="C3643">
        <f>C3642+B3643</f>
        <v/>
      </c>
      <c r="D3643">
        <f>IF(B3643=1,INDEX('Data Entry'!$H$5:$BE$10004,3643-4,'Visual SPC'!$B$3),"")</f>
        <v/>
      </c>
      <c r="E3643">
        <f>IF(B3643=1,D3643,E3642)</f>
        <v/>
      </c>
      <c r="F3643">
        <f>IF(AND(B3643=1,C3643&gt;1,E3642&lt;&gt;""),ABS(D3643-E3642),"")</f>
        <v/>
      </c>
    </row>
    <row r="3644">
      <c r="A3644" t="n">
        <v>3644</v>
      </c>
      <c r="B3644">
        <f>IF(INDEX('Data Entry'!$H$5:$BE$10004,3644-4,'Visual SPC'!$B$3)="",0,IF(AND(OR('Visual SPC'!$C$4="",'Data Entry'!$C3644&gt;='Visual SPC'!$C$4),OR('Visual SPC'!$E$4="",'Data Entry'!$C3644&lt;='Visual SPC'!$E$4),OR('Visual SPC'!$G$4="",'Data Entry'!$D3644='Visual SPC'!$G$4),OR('Visual SPC'!$I$4="",'Data Entry'!$E3644='Visual SPC'!$I$4),OR('Visual SPC'!$K$4="",'Data Entry'!$F3644='Visual SPC'!$K$4)),1,0))</f>
        <v/>
      </c>
      <c r="C3644">
        <f>C3643+B3644</f>
        <v/>
      </c>
      <c r="D3644">
        <f>IF(B3644=1,INDEX('Data Entry'!$H$5:$BE$10004,3644-4,'Visual SPC'!$B$3),"")</f>
        <v/>
      </c>
      <c r="E3644">
        <f>IF(B3644=1,D3644,E3643)</f>
        <v/>
      </c>
      <c r="F3644">
        <f>IF(AND(B3644=1,C3644&gt;1,E3643&lt;&gt;""),ABS(D3644-E3643),"")</f>
        <v/>
      </c>
    </row>
    <row r="3645">
      <c r="A3645" t="n">
        <v>3645</v>
      </c>
      <c r="B3645">
        <f>IF(INDEX('Data Entry'!$H$5:$BE$10004,3645-4,'Visual SPC'!$B$3)="",0,IF(AND(OR('Visual SPC'!$C$4="",'Data Entry'!$C3645&gt;='Visual SPC'!$C$4),OR('Visual SPC'!$E$4="",'Data Entry'!$C3645&lt;='Visual SPC'!$E$4),OR('Visual SPC'!$G$4="",'Data Entry'!$D3645='Visual SPC'!$G$4),OR('Visual SPC'!$I$4="",'Data Entry'!$E3645='Visual SPC'!$I$4),OR('Visual SPC'!$K$4="",'Data Entry'!$F3645='Visual SPC'!$K$4)),1,0))</f>
        <v/>
      </c>
      <c r="C3645">
        <f>C3644+B3645</f>
        <v/>
      </c>
      <c r="D3645">
        <f>IF(B3645=1,INDEX('Data Entry'!$H$5:$BE$10004,3645-4,'Visual SPC'!$B$3),"")</f>
        <v/>
      </c>
      <c r="E3645">
        <f>IF(B3645=1,D3645,E3644)</f>
        <v/>
      </c>
      <c r="F3645">
        <f>IF(AND(B3645=1,C3645&gt;1,E3644&lt;&gt;""),ABS(D3645-E3644),"")</f>
        <v/>
      </c>
    </row>
    <row r="3646">
      <c r="A3646" t="n">
        <v>3646</v>
      </c>
      <c r="B3646">
        <f>IF(INDEX('Data Entry'!$H$5:$BE$10004,3646-4,'Visual SPC'!$B$3)="",0,IF(AND(OR('Visual SPC'!$C$4="",'Data Entry'!$C3646&gt;='Visual SPC'!$C$4),OR('Visual SPC'!$E$4="",'Data Entry'!$C3646&lt;='Visual SPC'!$E$4),OR('Visual SPC'!$G$4="",'Data Entry'!$D3646='Visual SPC'!$G$4),OR('Visual SPC'!$I$4="",'Data Entry'!$E3646='Visual SPC'!$I$4),OR('Visual SPC'!$K$4="",'Data Entry'!$F3646='Visual SPC'!$K$4)),1,0))</f>
        <v/>
      </c>
      <c r="C3646">
        <f>C3645+B3646</f>
        <v/>
      </c>
      <c r="D3646">
        <f>IF(B3646=1,INDEX('Data Entry'!$H$5:$BE$10004,3646-4,'Visual SPC'!$B$3),"")</f>
        <v/>
      </c>
      <c r="E3646">
        <f>IF(B3646=1,D3646,E3645)</f>
        <v/>
      </c>
      <c r="F3646">
        <f>IF(AND(B3646=1,C3646&gt;1,E3645&lt;&gt;""),ABS(D3646-E3645),"")</f>
        <v/>
      </c>
    </row>
    <row r="3647">
      <c r="A3647" t="n">
        <v>3647</v>
      </c>
      <c r="B3647">
        <f>IF(INDEX('Data Entry'!$H$5:$BE$10004,3647-4,'Visual SPC'!$B$3)="",0,IF(AND(OR('Visual SPC'!$C$4="",'Data Entry'!$C3647&gt;='Visual SPC'!$C$4),OR('Visual SPC'!$E$4="",'Data Entry'!$C3647&lt;='Visual SPC'!$E$4),OR('Visual SPC'!$G$4="",'Data Entry'!$D3647='Visual SPC'!$G$4),OR('Visual SPC'!$I$4="",'Data Entry'!$E3647='Visual SPC'!$I$4),OR('Visual SPC'!$K$4="",'Data Entry'!$F3647='Visual SPC'!$K$4)),1,0))</f>
        <v/>
      </c>
      <c r="C3647">
        <f>C3646+B3647</f>
        <v/>
      </c>
      <c r="D3647">
        <f>IF(B3647=1,INDEX('Data Entry'!$H$5:$BE$10004,3647-4,'Visual SPC'!$B$3),"")</f>
        <v/>
      </c>
      <c r="E3647">
        <f>IF(B3647=1,D3647,E3646)</f>
        <v/>
      </c>
      <c r="F3647">
        <f>IF(AND(B3647=1,C3647&gt;1,E3646&lt;&gt;""),ABS(D3647-E3646),"")</f>
        <v/>
      </c>
    </row>
    <row r="3648">
      <c r="A3648" t="n">
        <v>3648</v>
      </c>
      <c r="B3648">
        <f>IF(INDEX('Data Entry'!$H$5:$BE$10004,3648-4,'Visual SPC'!$B$3)="",0,IF(AND(OR('Visual SPC'!$C$4="",'Data Entry'!$C3648&gt;='Visual SPC'!$C$4),OR('Visual SPC'!$E$4="",'Data Entry'!$C3648&lt;='Visual SPC'!$E$4),OR('Visual SPC'!$G$4="",'Data Entry'!$D3648='Visual SPC'!$G$4),OR('Visual SPC'!$I$4="",'Data Entry'!$E3648='Visual SPC'!$I$4),OR('Visual SPC'!$K$4="",'Data Entry'!$F3648='Visual SPC'!$K$4)),1,0))</f>
        <v/>
      </c>
      <c r="C3648">
        <f>C3647+B3648</f>
        <v/>
      </c>
      <c r="D3648">
        <f>IF(B3648=1,INDEX('Data Entry'!$H$5:$BE$10004,3648-4,'Visual SPC'!$B$3),"")</f>
        <v/>
      </c>
      <c r="E3648">
        <f>IF(B3648=1,D3648,E3647)</f>
        <v/>
      </c>
      <c r="F3648">
        <f>IF(AND(B3648=1,C3648&gt;1,E3647&lt;&gt;""),ABS(D3648-E3647),"")</f>
        <v/>
      </c>
    </row>
    <row r="3649">
      <c r="A3649" t="n">
        <v>3649</v>
      </c>
      <c r="B3649">
        <f>IF(INDEX('Data Entry'!$H$5:$BE$10004,3649-4,'Visual SPC'!$B$3)="",0,IF(AND(OR('Visual SPC'!$C$4="",'Data Entry'!$C3649&gt;='Visual SPC'!$C$4),OR('Visual SPC'!$E$4="",'Data Entry'!$C3649&lt;='Visual SPC'!$E$4),OR('Visual SPC'!$G$4="",'Data Entry'!$D3649='Visual SPC'!$G$4),OR('Visual SPC'!$I$4="",'Data Entry'!$E3649='Visual SPC'!$I$4),OR('Visual SPC'!$K$4="",'Data Entry'!$F3649='Visual SPC'!$K$4)),1,0))</f>
        <v/>
      </c>
      <c r="C3649">
        <f>C3648+B3649</f>
        <v/>
      </c>
      <c r="D3649">
        <f>IF(B3649=1,INDEX('Data Entry'!$H$5:$BE$10004,3649-4,'Visual SPC'!$B$3),"")</f>
        <v/>
      </c>
      <c r="E3649">
        <f>IF(B3649=1,D3649,E3648)</f>
        <v/>
      </c>
      <c r="F3649">
        <f>IF(AND(B3649=1,C3649&gt;1,E3648&lt;&gt;""),ABS(D3649-E3648),"")</f>
        <v/>
      </c>
    </row>
    <row r="3650">
      <c r="A3650" t="n">
        <v>3650</v>
      </c>
      <c r="B3650">
        <f>IF(INDEX('Data Entry'!$H$5:$BE$10004,3650-4,'Visual SPC'!$B$3)="",0,IF(AND(OR('Visual SPC'!$C$4="",'Data Entry'!$C3650&gt;='Visual SPC'!$C$4),OR('Visual SPC'!$E$4="",'Data Entry'!$C3650&lt;='Visual SPC'!$E$4),OR('Visual SPC'!$G$4="",'Data Entry'!$D3650='Visual SPC'!$G$4),OR('Visual SPC'!$I$4="",'Data Entry'!$E3650='Visual SPC'!$I$4),OR('Visual SPC'!$K$4="",'Data Entry'!$F3650='Visual SPC'!$K$4)),1,0))</f>
        <v/>
      </c>
      <c r="C3650">
        <f>C3649+B3650</f>
        <v/>
      </c>
      <c r="D3650">
        <f>IF(B3650=1,INDEX('Data Entry'!$H$5:$BE$10004,3650-4,'Visual SPC'!$B$3),"")</f>
        <v/>
      </c>
      <c r="E3650">
        <f>IF(B3650=1,D3650,E3649)</f>
        <v/>
      </c>
      <c r="F3650">
        <f>IF(AND(B3650=1,C3650&gt;1,E3649&lt;&gt;""),ABS(D3650-E3649),"")</f>
        <v/>
      </c>
    </row>
    <row r="3651">
      <c r="A3651" t="n">
        <v>3651</v>
      </c>
      <c r="B3651">
        <f>IF(INDEX('Data Entry'!$H$5:$BE$10004,3651-4,'Visual SPC'!$B$3)="",0,IF(AND(OR('Visual SPC'!$C$4="",'Data Entry'!$C3651&gt;='Visual SPC'!$C$4),OR('Visual SPC'!$E$4="",'Data Entry'!$C3651&lt;='Visual SPC'!$E$4),OR('Visual SPC'!$G$4="",'Data Entry'!$D3651='Visual SPC'!$G$4),OR('Visual SPC'!$I$4="",'Data Entry'!$E3651='Visual SPC'!$I$4),OR('Visual SPC'!$K$4="",'Data Entry'!$F3651='Visual SPC'!$K$4)),1,0))</f>
        <v/>
      </c>
      <c r="C3651">
        <f>C3650+B3651</f>
        <v/>
      </c>
      <c r="D3651">
        <f>IF(B3651=1,INDEX('Data Entry'!$H$5:$BE$10004,3651-4,'Visual SPC'!$B$3),"")</f>
        <v/>
      </c>
      <c r="E3651">
        <f>IF(B3651=1,D3651,E3650)</f>
        <v/>
      </c>
      <c r="F3651">
        <f>IF(AND(B3651=1,C3651&gt;1,E3650&lt;&gt;""),ABS(D3651-E3650),"")</f>
        <v/>
      </c>
    </row>
    <row r="3652">
      <c r="A3652" t="n">
        <v>3652</v>
      </c>
      <c r="B3652">
        <f>IF(INDEX('Data Entry'!$H$5:$BE$10004,3652-4,'Visual SPC'!$B$3)="",0,IF(AND(OR('Visual SPC'!$C$4="",'Data Entry'!$C3652&gt;='Visual SPC'!$C$4),OR('Visual SPC'!$E$4="",'Data Entry'!$C3652&lt;='Visual SPC'!$E$4),OR('Visual SPC'!$G$4="",'Data Entry'!$D3652='Visual SPC'!$G$4),OR('Visual SPC'!$I$4="",'Data Entry'!$E3652='Visual SPC'!$I$4),OR('Visual SPC'!$K$4="",'Data Entry'!$F3652='Visual SPC'!$K$4)),1,0))</f>
        <v/>
      </c>
      <c r="C3652">
        <f>C3651+B3652</f>
        <v/>
      </c>
      <c r="D3652">
        <f>IF(B3652=1,INDEX('Data Entry'!$H$5:$BE$10004,3652-4,'Visual SPC'!$B$3),"")</f>
        <v/>
      </c>
      <c r="E3652">
        <f>IF(B3652=1,D3652,E3651)</f>
        <v/>
      </c>
      <c r="F3652">
        <f>IF(AND(B3652=1,C3652&gt;1,E3651&lt;&gt;""),ABS(D3652-E3651),"")</f>
        <v/>
      </c>
    </row>
    <row r="3653">
      <c r="A3653" t="n">
        <v>3653</v>
      </c>
      <c r="B3653">
        <f>IF(INDEX('Data Entry'!$H$5:$BE$10004,3653-4,'Visual SPC'!$B$3)="",0,IF(AND(OR('Visual SPC'!$C$4="",'Data Entry'!$C3653&gt;='Visual SPC'!$C$4),OR('Visual SPC'!$E$4="",'Data Entry'!$C3653&lt;='Visual SPC'!$E$4),OR('Visual SPC'!$G$4="",'Data Entry'!$D3653='Visual SPC'!$G$4),OR('Visual SPC'!$I$4="",'Data Entry'!$E3653='Visual SPC'!$I$4),OR('Visual SPC'!$K$4="",'Data Entry'!$F3653='Visual SPC'!$K$4)),1,0))</f>
        <v/>
      </c>
      <c r="C3653">
        <f>C3652+B3653</f>
        <v/>
      </c>
      <c r="D3653">
        <f>IF(B3653=1,INDEX('Data Entry'!$H$5:$BE$10004,3653-4,'Visual SPC'!$B$3),"")</f>
        <v/>
      </c>
      <c r="E3653">
        <f>IF(B3653=1,D3653,E3652)</f>
        <v/>
      </c>
      <c r="F3653">
        <f>IF(AND(B3653=1,C3653&gt;1,E3652&lt;&gt;""),ABS(D3653-E3652),"")</f>
        <v/>
      </c>
    </row>
    <row r="3654">
      <c r="A3654" t="n">
        <v>3654</v>
      </c>
      <c r="B3654">
        <f>IF(INDEX('Data Entry'!$H$5:$BE$10004,3654-4,'Visual SPC'!$B$3)="",0,IF(AND(OR('Visual SPC'!$C$4="",'Data Entry'!$C3654&gt;='Visual SPC'!$C$4),OR('Visual SPC'!$E$4="",'Data Entry'!$C3654&lt;='Visual SPC'!$E$4),OR('Visual SPC'!$G$4="",'Data Entry'!$D3654='Visual SPC'!$G$4),OR('Visual SPC'!$I$4="",'Data Entry'!$E3654='Visual SPC'!$I$4),OR('Visual SPC'!$K$4="",'Data Entry'!$F3654='Visual SPC'!$K$4)),1,0))</f>
        <v/>
      </c>
      <c r="C3654">
        <f>C3653+B3654</f>
        <v/>
      </c>
      <c r="D3654">
        <f>IF(B3654=1,INDEX('Data Entry'!$H$5:$BE$10004,3654-4,'Visual SPC'!$B$3),"")</f>
        <v/>
      </c>
      <c r="E3654">
        <f>IF(B3654=1,D3654,E3653)</f>
        <v/>
      </c>
      <c r="F3654">
        <f>IF(AND(B3654=1,C3654&gt;1,E3653&lt;&gt;""),ABS(D3654-E3653),"")</f>
        <v/>
      </c>
    </row>
    <row r="3655">
      <c r="A3655" t="n">
        <v>3655</v>
      </c>
      <c r="B3655">
        <f>IF(INDEX('Data Entry'!$H$5:$BE$10004,3655-4,'Visual SPC'!$B$3)="",0,IF(AND(OR('Visual SPC'!$C$4="",'Data Entry'!$C3655&gt;='Visual SPC'!$C$4),OR('Visual SPC'!$E$4="",'Data Entry'!$C3655&lt;='Visual SPC'!$E$4),OR('Visual SPC'!$G$4="",'Data Entry'!$D3655='Visual SPC'!$G$4),OR('Visual SPC'!$I$4="",'Data Entry'!$E3655='Visual SPC'!$I$4),OR('Visual SPC'!$K$4="",'Data Entry'!$F3655='Visual SPC'!$K$4)),1,0))</f>
        <v/>
      </c>
      <c r="C3655">
        <f>C3654+B3655</f>
        <v/>
      </c>
      <c r="D3655">
        <f>IF(B3655=1,INDEX('Data Entry'!$H$5:$BE$10004,3655-4,'Visual SPC'!$B$3),"")</f>
        <v/>
      </c>
      <c r="E3655">
        <f>IF(B3655=1,D3655,E3654)</f>
        <v/>
      </c>
      <c r="F3655">
        <f>IF(AND(B3655=1,C3655&gt;1,E3654&lt;&gt;""),ABS(D3655-E3654),"")</f>
        <v/>
      </c>
    </row>
    <row r="3656">
      <c r="A3656" t="n">
        <v>3656</v>
      </c>
      <c r="B3656">
        <f>IF(INDEX('Data Entry'!$H$5:$BE$10004,3656-4,'Visual SPC'!$B$3)="",0,IF(AND(OR('Visual SPC'!$C$4="",'Data Entry'!$C3656&gt;='Visual SPC'!$C$4),OR('Visual SPC'!$E$4="",'Data Entry'!$C3656&lt;='Visual SPC'!$E$4),OR('Visual SPC'!$G$4="",'Data Entry'!$D3656='Visual SPC'!$G$4),OR('Visual SPC'!$I$4="",'Data Entry'!$E3656='Visual SPC'!$I$4),OR('Visual SPC'!$K$4="",'Data Entry'!$F3656='Visual SPC'!$K$4)),1,0))</f>
        <v/>
      </c>
      <c r="C3656">
        <f>C3655+B3656</f>
        <v/>
      </c>
      <c r="D3656">
        <f>IF(B3656=1,INDEX('Data Entry'!$H$5:$BE$10004,3656-4,'Visual SPC'!$B$3),"")</f>
        <v/>
      </c>
      <c r="E3656">
        <f>IF(B3656=1,D3656,E3655)</f>
        <v/>
      </c>
      <c r="F3656">
        <f>IF(AND(B3656=1,C3656&gt;1,E3655&lt;&gt;""),ABS(D3656-E3655),"")</f>
        <v/>
      </c>
    </row>
    <row r="3657">
      <c r="A3657" t="n">
        <v>3657</v>
      </c>
      <c r="B3657">
        <f>IF(INDEX('Data Entry'!$H$5:$BE$10004,3657-4,'Visual SPC'!$B$3)="",0,IF(AND(OR('Visual SPC'!$C$4="",'Data Entry'!$C3657&gt;='Visual SPC'!$C$4),OR('Visual SPC'!$E$4="",'Data Entry'!$C3657&lt;='Visual SPC'!$E$4),OR('Visual SPC'!$G$4="",'Data Entry'!$D3657='Visual SPC'!$G$4),OR('Visual SPC'!$I$4="",'Data Entry'!$E3657='Visual SPC'!$I$4),OR('Visual SPC'!$K$4="",'Data Entry'!$F3657='Visual SPC'!$K$4)),1,0))</f>
        <v/>
      </c>
      <c r="C3657">
        <f>C3656+B3657</f>
        <v/>
      </c>
      <c r="D3657">
        <f>IF(B3657=1,INDEX('Data Entry'!$H$5:$BE$10004,3657-4,'Visual SPC'!$B$3),"")</f>
        <v/>
      </c>
      <c r="E3657">
        <f>IF(B3657=1,D3657,E3656)</f>
        <v/>
      </c>
      <c r="F3657">
        <f>IF(AND(B3657=1,C3657&gt;1,E3656&lt;&gt;""),ABS(D3657-E3656),"")</f>
        <v/>
      </c>
    </row>
    <row r="3658">
      <c r="A3658" t="n">
        <v>3658</v>
      </c>
      <c r="B3658">
        <f>IF(INDEX('Data Entry'!$H$5:$BE$10004,3658-4,'Visual SPC'!$B$3)="",0,IF(AND(OR('Visual SPC'!$C$4="",'Data Entry'!$C3658&gt;='Visual SPC'!$C$4),OR('Visual SPC'!$E$4="",'Data Entry'!$C3658&lt;='Visual SPC'!$E$4),OR('Visual SPC'!$G$4="",'Data Entry'!$D3658='Visual SPC'!$G$4),OR('Visual SPC'!$I$4="",'Data Entry'!$E3658='Visual SPC'!$I$4),OR('Visual SPC'!$K$4="",'Data Entry'!$F3658='Visual SPC'!$K$4)),1,0))</f>
        <v/>
      </c>
      <c r="C3658">
        <f>C3657+B3658</f>
        <v/>
      </c>
      <c r="D3658">
        <f>IF(B3658=1,INDEX('Data Entry'!$H$5:$BE$10004,3658-4,'Visual SPC'!$B$3),"")</f>
        <v/>
      </c>
      <c r="E3658">
        <f>IF(B3658=1,D3658,E3657)</f>
        <v/>
      </c>
      <c r="F3658">
        <f>IF(AND(B3658=1,C3658&gt;1,E3657&lt;&gt;""),ABS(D3658-E3657),"")</f>
        <v/>
      </c>
    </row>
    <row r="3659">
      <c r="A3659" t="n">
        <v>3659</v>
      </c>
      <c r="B3659">
        <f>IF(INDEX('Data Entry'!$H$5:$BE$10004,3659-4,'Visual SPC'!$B$3)="",0,IF(AND(OR('Visual SPC'!$C$4="",'Data Entry'!$C3659&gt;='Visual SPC'!$C$4),OR('Visual SPC'!$E$4="",'Data Entry'!$C3659&lt;='Visual SPC'!$E$4),OR('Visual SPC'!$G$4="",'Data Entry'!$D3659='Visual SPC'!$G$4),OR('Visual SPC'!$I$4="",'Data Entry'!$E3659='Visual SPC'!$I$4),OR('Visual SPC'!$K$4="",'Data Entry'!$F3659='Visual SPC'!$K$4)),1,0))</f>
        <v/>
      </c>
      <c r="C3659">
        <f>C3658+B3659</f>
        <v/>
      </c>
      <c r="D3659">
        <f>IF(B3659=1,INDEX('Data Entry'!$H$5:$BE$10004,3659-4,'Visual SPC'!$B$3),"")</f>
        <v/>
      </c>
      <c r="E3659">
        <f>IF(B3659=1,D3659,E3658)</f>
        <v/>
      </c>
      <c r="F3659">
        <f>IF(AND(B3659=1,C3659&gt;1,E3658&lt;&gt;""),ABS(D3659-E3658),"")</f>
        <v/>
      </c>
    </row>
    <row r="3660">
      <c r="A3660" t="n">
        <v>3660</v>
      </c>
      <c r="B3660">
        <f>IF(INDEX('Data Entry'!$H$5:$BE$10004,3660-4,'Visual SPC'!$B$3)="",0,IF(AND(OR('Visual SPC'!$C$4="",'Data Entry'!$C3660&gt;='Visual SPC'!$C$4),OR('Visual SPC'!$E$4="",'Data Entry'!$C3660&lt;='Visual SPC'!$E$4),OR('Visual SPC'!$G$4="",'Data Entry'!$D3660='Visual SPC'!$G$4),OR('Visual SPC'!$I$4="",'Data Entry'!$E3660='Visual SPC'!$I$4),OR('Visual SPC'!$K$4="",'Data Entry'!$F3660='Visual SPC'!$K$4)),1,0))</f>
        <v/>
      </c>
      <c r="C3660">
        <f>C3659+B3660</f>
        <v/>
      </c>
      <c r="D3660">
        <f>IF(B3660=1,INDEX('Data Entry'!$H$5:$BE$10004,3660-4,'Visual SPC'!$B$3),"")</f>
        <v/>
      </c>
      <c r="E3660">
        <f>IF(B3660=1,D3660,E3659)</f>
        <v/>
      </c>
      <c r="F3660">
        <f>IF(AND(B3660=1,C3660&gt;1,E3659&lt;&gt;""),ABS(D3660-E3659),"")</f>
        <v/>
      </c>
    </row>
    <row r="3661">
      <c r="A3661" t="n">
        <v>3661</v>
      </c>
      <c r="B3661">
        <f>IF(INDEX('Data Entry'!$H$5:$BE$10004,3661-4,'Visual SPC'!$B$3)="",0,IF(AND(OR('Visual SPC'!$C$4="",'Data Entry'!$C3661&gt;='Visual SPC'!$C$4),OR('Visual SPC'!$E$4="",'Data Entry'!$C3661&lt;='Visual SPC'!$E$4),OR('Visual SPC'!$G$4="",'Data Entry'!$D3661='Visual SPC'!$G$4),OR('Visual SPC'!$I$4="",'Data Entry'!$E3661='Visual SPC'!$I$4),OR('Visual SPC'!$K$4="",'Data Entry'!$F3661='Visual SPC'!$K$4)),1,0))</f>
        <v/>
      </c>
      <c r="C3661">
        <f>C3660+B3661</f>
        <v/>
      </c>
      <c r="D3661">
        <f>IF(B3661=1,INDEX('Data Entry'!$H$5:$BE$10004,3661-4,'Visual SPC'!$B$3),"")</f>
        <v/>
      </c>
      <c r="E3661">
        <f>IF(B3661=1,D3661,E3660)</f>
        <v/>
      </c>
      <c r="F3661">
        <f>IF(AND(B3661=1,C3661&gt;1,E3660&lt;&gt;""),ABS(D3661-E3660),"")</f>
        <v/>
      </c>
    </row>
    <row r="3662">
      <c r="A3662" t="n">
        <v>3662</v>
      </c>
      <c r="B3662">
        <f>IF(INDEX('Data Entry'!$H$5:$BE$10004,3662-4,'Visual SPC'!$B$3)="",0,IF(AND(OR('Visual SPC'!$C$4="",'Data Entry'!$C3662&gt;='Visual SPC'!$C$4),OR('Visual SPC'!$E$4="",'Data Entry'!$C3662&lt;='Visual SPC'!$E$4),OR('Visual SPC'!$G$4="",'Data Entry'!$D3662='Visual SPC'!$G$4),OR('Visual SPC'!$I$4="",'Data Entry'!$E3662='Visual SPC'!$I$4),OR('Visual SPC'!$K$4="",'Data Entry'!$F3662='Visual SPC'!$K$4)),1,0))</f>
        <v/>
      </c>
      <c r="C3662">
        <f>C3661+B3662</f>
        <v/>
      </c>
      <c r="D3662">
        <f>IF(B3662=1,INDEX('Data Entry'!$H$5:$BE$10004,3662-4,'Visual SPC'!$B$3),"")</f>
        <v/>
      </c>
      <c r="E3662">
        <f>IF(B3662=1,D3662,E3661)</f>
        <v/>
      </c>
      <c r="F3662">
        <f>IF(AND(B3662=1,C3662&gt;1,E3661&lt;&gt;""),ABS(D3662-E3661),"")</f>
        <v/>
      </c>
    </row>
    <row r="3663">
      <c r="A3663" t="n">
        <v>3663</v>
      </c>
      <c r="B3663">
        <f>IF(INDEX('Data Entry'!$H$5:$BE$10004,3663-4,'Visual SPC'!$B$3)="",0,IF(AND(OR('Visual SPC'!$C$4="",'Data Entry'!$C3663&gt;='Visual SPC'!$C$4),OR('Visual SPC'!$E$4="",'Data Entry'!$C3663&lt;='Visual SPC'!$E$4),OR('Visual SPC'!$G$4="",'Data Entry'!$D3663='Visual SPC'!$G$4),OR('Visual SPC'!$I$4="",'Data Entry'!$E3663='Visual SPC'!$I$4),OR('Visual SPC'!$K$4="",'Data Entry'!$F3663='Visual SPC'!$K$4)),1,0))</f>
        <v/>
      </c>
      <c r="C3663">
        <f>C3662+B3663</f>
        <v/>
      </c>
      <c r="D3663">
        <f>IF(B3663=1,INDEX('Data Entry'!$H$5:$BE$10004,3663-4,'Visual SPC'!$B$3),"")</f>
        <v/>
      </c>
      <c r="E3663">
        <f>IF(B3663=1,D3663,E3662)</f>
        <v/>
      </c>
      <c r="F3663">
        <f>IF(AND(B3663=1,C3663&gt;1,E3662&lt;&gt;""),ABS(D3663-E3662),"")</f>
        <v/>
      </c>
    </row>
    <row r="3664">
      <c r="A3664" t="n">
        <v>3664</v>
      </c>
      <c r="B3664">
        <f>IF(INDEX('Data Entry'!$H$5:$BE$10004,3664-4,'Visual SPC'!$B$3)="",0,IF(AND(OR('Visual SPC'!$C$4="",'Data Entry'!$C3664&gt;='Visual SPC'!$C$4),OR('Visual SPC'!$E$4="",'Data Entry'!$C3664&lt;='Visual SPC'!$E$4),OR('Visual SPC'!$G$4="",'Data Entry'!$D3664='Visual SPC'!$G$4),OR('Visual SPC'!$I$4="",'Data Entry'!$E3664='Visual SPC'!$I$4),OR('Visual SPC'!$K$4="",'Data Entry'!$F3664='Visual SPC'!$K$4)),1,0))</f>
        <v/>
      </c>
      <c r="C3664">
        <f>C3663+B3664</f>
        <v/>
      </c>
      <c r="D3664">
        <f>IF(B3664=1,INDEX('Data Entry'!$H$5:$BE$10004,3664-4,'Visual SPC'!$B$3),"")</f>
        <v/>
      </c>
      <c r="E3664">
        <f>IF(B3664=1,D3664,E3663)</f>
        <v/>
      </c>
      <c r="F3664">
        <f>IF(AND(B3664=1,C3664&gt;1,E3663&lt;&gt;""),ABS(D3664-E3663),"")</f>
        <v/>
      </c>
    </row>
    <row r="3665">
      <c r="A3665" t="n">
        <v>3665</v>
      </c>
      <c r="B3665">
        <f>IF(INDEX('Data Entry'!$H$5:$BE$10004,3665-4,'Visual SPC'!$B$3)="",0,IF(AND(OR('Visual SPC'!$C$4="",'Data Entry'!$C3665&gt;='Visual SPC'!$C$4),OR('Visual SPC'!$E$4="",'Data Entry'!$C3665&lt;='Visual SPC'!$E$4),OR('Visual SPC'!$G$4="",'Data Entry'!$D3665='Visual SPC'!$G$4),OR('Visual SPC'!$I$4="",'Data Entry'!$E3665='Visual SPC'!$I$4),OR('Visual SPC'!$K$4="",'Data Entry'!$F3665='Visual SPC'!$K$4)),1,0))</f>
        <v/>
      </c>
      <c r="C3665">
        <f>C3664+B3665</f>
        <v/>
      </c>
      <c r="D3665">
        <f>IF(B3665=1,INDEX('Data Entry'!$H$5:$BE$10004,3665-4,'Visual SPC'!$B$3),"")</f>
        <v/>
      </c>
      <c r="E3665">
        <f>IF(B3665=1,D3665,E3664)</f>
        <v/>
      </c>
      <c r="F3665">
        <f>IF(AND(B3665=1,C3665&gt;1,E3664&lt;&gt;""),ABS(D3665-E3664),"")</f>
        <v/>
      </c>
    </row>
    <row r="3666">
      <c r="A3666" t="n">
        <v>3666</v>
      </c>
      <c r="B3666">
        <f>IF(INDEX('Data Entry'!$H$5:$BE$10004,3666-4,'Visual SPC'!$B$3)="",0,IF(AND(OR('Visual SPC'!$C$4="",'Data Entry'!$C3666&gt;='Visual SPC'!$C$4),OR('Visual SPC'!$E$4="",'Data Entry'!$C3666&lt;='Visual SPC'!$E$4),OR('Visual SPC'!$G$4="",'Data Entry'!$D3666='Visual SPC'!$G$4),OR('Visual SPC'!$I$4="",'Data Entry'!$E3666='Visual SPC'!$I$4),OR('Visual SPC'!$K$4="",'Data Entry'!$F3666='Visual SPC'!$K$4)),1,0))</f>
        <v/>
      </c>
      <c r="C3666">
        <f>C3665+B3666</f>
        <v/>
      </c>
      <c r="D3666">
        <f>IF(B3666=1,INDEX('Data Entry'!$H$5:$BE$10004,3666-4,'Visual SPC'!$B$3),"")</f>
        <v/>
      </c>
      <c r="E3666">
        <f>IF(B3666=1,D3666,E3665)</f>
        <v/>
      </c>
      <c r="F3666">
        <f>IF(AND(B3666=1,C3666&gt;1,E3665&lt;&gt;""),ABS(D3666-E3665),"")</f>
        <v/>
      </c>
    </row>
    <row r="3667">
      <c r="A3667" t="n">
        <v>3667</v>
      </c>
      <c r="B3667">
        <f>IF(INDEX('Data Entry'!$H$5:$BE$10004,3667-4,'Visual SPC'!$B$3)="",0,IF(AND(OR('Visual SPC'!$C$4="",'Data Entry'!$C3667&gt;='Visual SPC'!$C$4),OR('Visual SPC'!$E$4="",'Data Entry'!$C3667&lt;='Visual SPC'!$E$4),OR('Visual SPC'!$G$4="",'Data Entry'!$D3667='Visual SPC'!$G$4),OR('Visual SPC'!$I$4="",'Data Entry'!$E3667='Visual SPC'!$I$4),OR('Visual SPC'!$K$4="",'Data Entry'!$F3667='Visual SPC'!$K$4)),1,0))</f>
        <v/>
      </c>
      <c r="C3667">
        <f>C3666+B3667</f>
        <v/>
      </c>
      <c r="D3667">
        <f>IF(B3667=1,INDEX('Data Entry'!$H$5:$BE$10004,3667-4,'Visual SPC'!$B$3),"")</f>
        <v/>
      </c>
      <c r="E3667">
        <f>IF(B3667=1,D3667,E3666)</f>
        <v/>
      </c>
      <c r="F3667">
        <f>IF(AND(B3667=1,C3667&gt;1,E3666&lt;&gt;""),ABS(D3667-E3666),"")</f>
        <v/>
      </c>
    </row>
    <row r="3668">
      <c r="A3668" t="n">
        <v>3668</v>
      </c>
      <c r="B3668">
        <f>IF(INDEX('Data Entry'!$H$5:$BE$10004,3668-4,'Visual SPC'!$B$3)="",0,IF(AND(OR('Visual SPC'!$C$4="",'Data Entry'!$C3668&gt;='Visual SPC'!$C$4),OR('Visual SPC'!$E$4="",'Data Entry'!$C3668&lt;='Visual SPC'!$E$4),OR('Visual SPC'!$G$4="",'Data Entry'!$D3668='Visual SPC'!$G$4),OR('Visual SPC'!$I$4="",'Data Entry'!$E3668='Visual SPC'!$I$4),OR('Visual SPC'!$K$4="",'Data Entry'!$F3668='Visual SPC'!$K$4)),1,0))</f>
        <v/>
      </c>
      <c r="C3668">
        <f>C3667+B3668</f>
        <v/>
      </c>
      <c r="D3668">
        <f>IF(B3668=1,INDEX('Data Entry'!$H$5:$BE$10004,3668-4,'Visual SPC'!$B$3),"")</f>
        <v/>
      </c>
      <c r="E3668">
        <f>IF(B3668=1,D3668,E3667)</f>
        <v/>
      </c>
      <c r="F3668">
        <f>IF(AND(B3668=1,C3668&gt;1,E3667&lt;&gt;""),ABS(D3668-E3667),"")</f>
        <v/>
      </c>
    </row>
    <row r="3669">
      <c r="A3669" t="n">
        <v>3669</v>
      </c>
      <c r="B3669">
        <f>IF(INDEX('Data Entry'!$H$5:$BE$10004,3669-4,'Visual SPC'!$B$3)="",0,IF(AND(OR('Visual SPC'!$C$4="",'Data Entry'!$C3669&gt;='Visual SPC'!$C$4),OR('Visual SPC'!$E$4="",'Data Entry'!$C3669&lt;='Visual SPC'!$E$4),OR('Visual SPC'!$G$4="",'Data Entry'!$D3669='Visual SPC'!$G$4),OR('Visual SPC'!$I$4="",'Data Entry'!$E3669='Visual SPC'!$I$4),OR('Visual SPC'!$K$4="",'Data Entry'!$F3669='Visual SPC'!$K$4)),1,0))</f>
        <v/>
      </c>
      <c r="C3669">
        <f>C3668+B3669</f>
        <v/>
      </c>
      <c r="D3669">
        <f>IF(B3669=1,INDEX('Data Entry'!$H$5:$BE$10004,3669-4,'Visual SPC'!$B$3),"")</f>
        <v/>
      </c>
      <c r="E3669">
        <f>IF(B3669=1,D3669,E3668)</f>
        <v/>
      </c>
      <c r="F3669">
        <f>IF(AND(B3669=1,C3669&gt;1,E3668&lt;&gt;""),ABS(D3669-E3668),"")</f>
        <v/>
      </c>
    </row>
    <row r="3670">
      <c r="A3670" t="n">
        <v>3670</v>
      </c>
      <c r="B3670">
        <f>IF(INDEX('Data Entry'!$H$5:$BE$10004,3670-4,'Visual SPC'!$B$3)="",0,IF(AND(OR('Visual SPC'!$C$4="",'Data Entry'!$C3670&gt;='Visual SPC'!$C$4),OR('Visual SPC'!$E$4="",'Data Entry'!$C3670&lt;='Visual SPC'!$E$4),OR('Visual SPC'!$G$4="",'Data Entry'!$D3670='Visual SPC'!$G$4),OR('Visual SPC'!$I$4="",'Data Entry'!$E3670='Visual SPC'!$I$4),OR('Visual SPC'!$K$4="",'Data Entry'!$F3670='Visual SPC'!$K$4)),1,0))</f>
        <v/>
      </c>
      <c r="C3670">
        <f>C3669+B3670</f>
        <v/>
      </c>
      <c r="D3670">
        <f>IF(B3670=1,INDEX('Data Entry'!$H$5:$BE$10004,3670-4,'Visual SPC'!$B$3),"")</f>
        <v/>
      </c>
      <c r="E3670">
        <f>IF(B3670=1,D3670,E3669)</f>
        <v/>
      </c>
      <c r="F3670">
        <f>IF(AND(B3670=1,C3670&gt;1,E3669&lt;&gt;""),ABS(D3670-E3669),"")</f>
        <v/>
      </c>
    </row>
    <row r="3671">
      <c r="A3671" t="n">
        <v>3671</v>
      </c>
      <c r="B3671">
        <f>IF(INDEX('Data Entry'!$H$5:$BE$10004,3671-4,'Visual SPC'!$B$3)="",0,IF(AND(OR('Visual SPC'!$C$4="",'Data Entry'!$C3671&gt;='Visual SPC'!$C$4),OR('Visual SPC'!$E$4="",'Data Entry'!$C3671&lt;='Visual SPC'!$E$4),OR('Visual SPC'!$G$4="",'Data Entry'!$D3671='Visual SPC'!$G$4),OR('Visual SPC'!$I$4="",'Data Entry'!$E3671='Visual SPC'!$I$4),OR('Visual SPC'!$K$4="",'Data Entry'!$F3671='Visual SPC'!$K$4)),1,0))</f>
        <v/>
      </c>
      <c r="C3671">
        <f>C3670+B3671</f>
        <v/>
      </c>
      <c r="D3671">
        <f>IF(B3671=1,INDEX('Data Entry'!$H$5:$BE$10004,3671-4,'Visual SPC'!$B$3),"")</f>
        <v/>
      </c>
      <c r="E3671">
        <f>IF(B3671=1,D3671,E3670)</f>
        <v/>
      </c>
      <c r="F3671">
        <f>IF(AND(B3671=1,C3671&gt;1,E3670&lt;&gt;""),ABS(D3671-E3670),"")</f>
        <v/>
      </c>
    </row>
    <row r="3672">
      <c r="A3672" t="n">
        <v>3672</v>
      </c>
      <c r="B3672">
        <f>IF(INDEX('Data Entry'!$H$5:$BE$10004,3672-4,'Visual SPC'!$B$3)="",0,IF(AND(OR('Visual SPC'!$C$4="",'Data Entry'!$C3672&gt;='Visual SPC'!$C$4),OR('Visual SPC'!$E$4="",'Data Entry'!$C3672&lt;='Visual SPC'!$E$4),OR('Visual SPC'!$G$4="",'Data Entry'!$D3672='Visual SPC'!$G$4),OR('Visual SPC'!$I$4="",'Data Entry'!$E3672='Visual SPC'!$I$4),OR('Visual SPC'!$K$4="",'Data Entry'!$F3672='Visual SPC'!$K$4)),1,0))</f>
        <v/>
      </c>
      <c r="C3672">
        <f>C3671+B3672</f>
        <v/>
      </c>
      <c r="D3672">
        <f>IF(B3672=1,INDEX('Data Entry'!$H$5:$BE$10004,3672-4,'Visual SPC'!$B$3),"")</f>
        <v/>
      </c>
      <c r="E3672">
        <f>IF(B3672=1,D3672,E3671)</f>
        <v/>
      </c>
      <c r="F3672">
        <f>IF(AND(B3672=1,C3672&gt;1,E3671&lt;&gt;""),ABS(D3672-E3671),"")</f>
        <v/>
      </c>
    </row>
    <row r="3673">
      <c r="A3673" t="n">
        <v>3673</v>
      </c>
      <c r="B3673">
        <f>IF(INDEX('Data Entry'!$H$5:$BE$10004,3673-4,'Visual SPC'!$B$3)="",0,IF(AND(OR('Visual SPC'!$C$4="",'Data Entry'!$C3673&gt;='Visual SPC'!$C$4),OR('Visual SPC'!$E$4="",'Data Entry'!$C3673&lt;='Visual SPC'!$E$4),OR('Visual SPC'!$G$4="",'Data Entry'!$D3673='Visual SPC'!$G$4),OR('Visual SPC'!$I$4="",'Data Entry'!$E3673='Visual SPC'!$I$4),OR('Visual SPC'!$K$4="",'Data Entry'!$F3673='Visual SPC'!$K$4)),1,0))</f>
        <v/>
      </c>
      <c r="C3673">
        <f>C3672+B3673</f>
        <v/>
      </c>
      <c r="D3673">
        <f>IF(B3673=1,INDEX('Data Entry'!$H$5:$BE$10004,3673-4,'Visual SPC'!$B$3),"")</f>
        <v/>
      </c>
      <c r="E3673">
        <f>IF(B3673=1,D3673,E3672)</f>
        <v/>
      </c>
      <c r="F3673">
        <f>IF(AND(B3673=1,C3673&gt;1,E3672&lt;&gt;""),ABS(D3673-E3672),"")</f>
        <v/>
      </c>
    </row>
    <row r="3674">
      <c r="A3674" t="n">
        <v>3674</v>
      </c>
      <c r="B3674">
        <f>IF(INDEX('Data Entry'!$H$5:$BE$10004,3674-4,'Visual SPC'!$B$3)="",0,IF(AND(OR('Visual SPC'!$C$4="",'Data Entry'!$C3674&gt;='Visual SPC'!$C$4),OR('Visual SPC'!$E$4="",'Data Entry'!$C3674&lt;='Visual SPC'!$E$4),OR('Visual SPC'!$G$4="",'Data Entry'!$D3674='Visual SPC'!$G$4),OR('Visual SPC'!$I$4="",'Data Entry'!$E3674='Visual SPC'!$I$4),OR('Visual SPC'!$K$4="",'Data Entry'!$F3674='Visual SPC'!$K$4)),1,0))</f>
        <v/>
      </c>
      <c r="C3674">
        <f>C3673+B3674</f>
        <v/>
      </c>
      <c r="D3674">
        <f>IF(B3674=1,INDEX('Data Entry'!$H$5:$BE$10004,3674-4,'Visual SPC'!$B$3),"")</f>
        <v/>
      </c>
      <c r="E3674">
        <f>IF(B3674=1,D3674,E3673)</f>
        <v/>
      </c>
      <c r="F3674">
        <f>IF(AND(B3674=1,C3674&gt;1,E3673&lt;&gt;""),ABS(D3674-E3673),"")</f>
        <v/>
      </c>
    </row>
    <row r="3675">
      <c r="A3675" t="n">
        <v>3675</v>
      </c>
      <c r="B3675">
        <f>IF(INDEX('Data Entry'!$H$5:$BE$10004,3675-4,'Visual SPC'!$B$3)="",0,IF(AND(OR('Visual SPC'!$C$4="",'Data Entry'!$C3675&gt;='Visual SPC'!$C$4),OR('Visual SPC'!$E$4="",'Data Entry'!$C3675&lt;='Visual SPC'!$E$4),OR('Visual SPC'!$G$4="",'Data Entry'!$D3675='Visual SPC'!$G$4),OR('Visual SPC'!$I$4="",'Data Entry'!$E3675='Visual SPC'!$I$4),OR('Visual SPC'!$K$4="",'Data Entry'!$F3675='Visual SPC'!$K$4)),1,0))</f>
        <v/>
      </c>
      <c r="C3675">
        <f>C3674+B3675</f>
        <v/>
      </c>
      <c r="D3675">
        <f>IF(B3675=1,INDEX('Data Entry'!$H$5:$BE$10004,3675-4,'Visual SPC'!$B$3),"")</f>
        <v/>
      </c>
      <c r="E3675">
        <f>IF(B3675=1,D3675,E3674)</f>
        <v/>
      </c>
      <c r="F3675">
        <f>IF(AND(B3675=1,C3675&gt;1,E3674&lt;&gt;""),ABS(D3675-E3674),"")</f>
        <v/>
      </c>
    </row>
    <row r="3676">
      <c r="A3676" t="n">
        <v>3676</v>
      </c>
      <c r="B3676">
        <f>IF(INDEX('Data Entry'!$H$5:$BE$10004,3676-4,'Visual SPC'!$B$3)="",0,IF(AND(OR('Visual SPC'!$C$4="",'Data Entry'!$C3676&gt;='Visual SPC'!$C$4),OR('Visual SPC'!$E$4="",'Data Entry'!$C3676&lt;='Visual SPC'!$E$4),OR('Visual SPC'!$G$4="",'Data Entry'!$D3676='Visual SPC'!$G$4),OR('Visual SPC'!$I$4="",'Data Entry'!$E3676='Visual SPC'!$I$4),OR('Visual SPC'!$K$4="",'Data Entry'!$F3676='Visual SPC'!$K$4)),1,0))</f>
        <v/>
      </c>
      <c r="C3676">
        <f>C3675+B3676</f>
        <v/>
      </c>
      <c r="D3676">
        <f>IF(B3676=1,INDEX('Data Entry'!$H$5:$BE$10004,3676-4,'Visual SPC'!$B$3),"")</f>
        <v/>
      </c>
      <c r="E3676">
        <f>IF(B3676=1,D3676,E3675)</f>
        <v/>
      </c>
      <c r="F3676">
        <f>IF(AND(B3676=1,C3676&gt;1,E3675&lt;&gt;""),ABS(D3676-E3675),"")</f>
        <v/>
      </c>
    </row>
    <row r="3677">
      <c r="A3677" t="n">
        <v>3677</v>
      </c>
      <c r="B3677">
        <f>IF(INDEX('Data Entry'!$H$5:$BE$10004,3677-4,'Visual SPC'!$B$3)="",0,IF(AND(OR('Visual SPC'!$C$4="",'Data Entry'!$C3677&gt;='Visual SPC'!$C$4),OR('Visual SPC'!$E$4="",'Data Entry'!$C3677&lt;='Visual SPC'!$E$4),OR('Visual SPC'!$G$4="",'Data Entry'!$D3677='Visual SPC'!$G$4),OR('Visual SPC'!$I$4="",'Data Entry'!$E3677='Visual SPC'!$I$4),OR('Visual SPC'!$K$4="",'Data Entry'!$F3677='Visual SPC'!$K$4)),1,0))</f>
        <v/>
      </c>
      <c r="C3677">
        <f>C3676+B3677</f>
        <v/>
      </c>
      <c r="D3677">
        <f>IF(B3677=1,INDEX('Data Entry'!$H$5:$BE$10004,3677-4,'Visual SPC'!$B$3),"")</f>
        <v/>
      </c>
      <c r="E3677">
        <f>IF(B3677=1,D3677,E3676)</f>
        <v/>
      </c>
      <c r="F3677">
        <f>IF(AND(B3677=1,C3677&gt;1,E3676&lt;&gt;""),ABS(D3677-E3676),"")</f>
        <v/>
      </c>
    </row>
    <row r="3678">
      <c r="A3678" t="n">
        <v>3678</v>
      </c>
      <c r="B3678">
        <f>IF(INDEX('Data Entry'!$H$5:$BE$10004,3678-4,'Visual SPC'!$B$3)="",0,IF(AND(OR('Visual SPC'!$C$4="",'Data Entry'!$C3678&gt;='Visual SPC'!$C$4),OR('Visual SPC'!$E$4="",'Data Entry'!$C3678&lt;='Visual SPC'!$E$4),OR('Visual SPC'!$G$4="",'Data Entry'!$D3678='Visual SPC'!$G$4),OR('Visual SPC'!$I$4="",'Data Entry'!$E3678='Visual SPC'!$I$4),OR('Visual SPC'!$K$4="",'Data Entry'!$F3678='Visual SPC'!$K$4)),1,0))</f>
        <v/>
      </c>
      <c r="C3678">
        <f>C3677+B3678</f>
        <v/>
      </c>
      <c r="D3678">
        <f>IF(B3678=1,INDEX('Data Entry'!$H$5:$BE$10004,3678-4,'Visual SPC'!$B$3),"")</f>
        <v/>
      </c>
      <c r="E3678">
        <f>IF(B3678=1,D3678,E3677)</f>
        <v/>
      </c>
      <c r="F3678">
        <f>IF(AND(B3678=1,C3678&gt;1,E3677&lt;&gt;""),ABS(D3678-E3677),"")</f>
        <v/>
      </c>
    </row>
    <row r="3679">
      <c r="A3679" t="n">
        <v>3679</v>
      </c>
      <c r="B3679">
        <f>IF(INDEX('Data Entry'!$H$5:$BE$10004,3679-4,'Visual SPC'!$B$3)="",0,IF(AND(OR('Visual SPC'!$C$4="",'Data Entry'!$C3679&gt;='Visual SPC'!$C$4),OR('Visual SPC'!$E$4="",'Data Entry'!$C3679&lt;='Visual SPC'!$E$4),OR('Visual SPC'!$G$4="",'Data Entry'!$D3679='Visual SPC'!$G$4),OR('Visual SPC'!$I$4="",'Data Entry'!$E3679='Visual SPC'!$I$4),OR('Visual SPC'!$K$4="",'Data Entry'!$F3679='Visual SPC'!$K$4)),1,0))</f>
        <v/>
      </c>
      <c r="C3679">
        <f>C3678+B3679</f>
        <v/>
      </c>
      <c r="D3679">
        <f>IF(B3679=1,INDEX('Data Entry'!$H$5:$BE$10004,3679-4,'Visual SPC'!$B$3),"")</f>
        <v/>
      </c>
      <c r="E3679">
        <f>IF(B3679=1,D3679,E3678)</f>
        <v/>
      </c>
      <c r="F3679">
        <f>IF(AND(B3679=1,C3679&gt;1,E3678&lt;&gt;""),ABS(D3679-E3678),"")</f>
        <v/>
      </c>
    </row>
    <row r="3680">
      <c r="A3680" t="n">
        <v>3680</v>
      </c>
      <c r="B3680">
        <f>IF(INDEX('Data Entry'!$H$5:$BE$10004,3680-4,'Visual SPC'!$B$3)="",0,IF(AND(OR('Visual SPC'!$C$4="",'Data Entry'!$C3680&gt;='Visual SPC'!$C$4),OR('Visual SPC'!$E$4="",'Data Entry'!$C3680&lt;='Visual SPC'!$E$4),OR('Visual SPC'!$G$4="",'Data Entry'!$D3680='Visual SPC'!$G$4),OR('Visual SPC'!$I$4="",'Data Entry'!$E3680='Visual SPC'!$I$4),OR('Visual SPC'!$K$4="",'Data Entry'!$F3680='Visual SPC'!$K$4)),1,0))</f>
        <v/>
      </c>
      <c r="C3680">
        <f>C3679+B3680</f>
        <v/>
      </c>
      <c r="D3680">
        <f>IF(B3680=1,INDEX('Data Entry'!$H$5:$BE$10004,3680-4,'Visual SPC'!$B$3),"")</f>
        <v/>
      </c>
      <c r="E3680">
        <f>IF(B3680=1,D3680,E3679)</f>
        <v/>
      </c>
      <c r="F3680">
        <f>IF(AND(B3680=1,C3680&gt;1,E3679&lt;&gt;""),ABS(D3680-E3679),"")</f>
        <v/>
      </c>
    </row>
    <row r="3681">
      <c r="A3681" t="n">
        <v>3681</v>
      </c>
      <c r="B3681">
        <f>IF(INDEX('Data Entry'!$H$5:$BE$10004,3681-4,'Visual SPC'!$B$3)="",0,IF(AND(OR('Visual SPC'!$C$4="",'Data Entry'!$C3681&gt;='Visual SPC'!$C$4),OR('Visual SPC'!$E$4="",'Data Entry'!$C3681&lt;='Visual SPC'!$E$4),OR('Visual SPC'!$G$4="",'Data Entry'!$D3681='Visual SPC'!$G$4),OR('Visual SPC'!$I$4="",'Data Entry'!$E3681='Visual SPC'!$I$4),OR('Visual SPC'!$K$4="",'Data Entry'!$F3681='Visual SPC'!$K$4)),1,0))</f>
        <v/>
      </c>
      <c r="C3681">
        <f>C3680+B3681</f>
        <v/>
      </c>
      <c r="D3681">
        <f>IF(B3681=1,INDEX('Data Entry'!$H$5:$BE$10004,3681-4,'Visual SPC'!$B$3),"")</f>
        <v/>
      </c>
      <c r="E3681">
        <f>IF(B3681=1,D3681,E3680)</f>
        <v/>
      </c>
      <c r="F3681">
        <f>IF(AND(B3681=1,C3681&gt;1,E3680&lt;&gt;""),ABS(D3681-E3680),"")</f>
        <v/>
      </c>
    </row>
    <row r="3682">
      <c r="A3682" t="n">
        <v>3682</v>
      </c>
      <c r="B3682">
        <f>IF(INDEX('Data Entry'!$H$5:$BE$10004,3682-4,'Visual SPC'!$B$3)="",0,IF(AND(OR('Visual SPC'!$C$4="",'Data Entry'!$C3682&gt;='Visual SPC'!$C$4),OR('Visual SPC'!$E$4="",'Data Entry'!$C3682&lt;='Visual SPC'!$E$4),OR('Visual SPC'!$G$4="",'Data Entry'!$D3682='Visual SPC'!$G$4),OR('Visual SPC'!$I$4="",'Data Entry'!$E3682='Visual SPC'!$I$4),OR('Visual SPC'!$K$4="",'Data Entry'!$F3682='Visual SPC'!$K$4)),1,0))</f>
        <v/>
      </c>
      <c r="C3682">
        <f>C3681+B3682</f>
        <v/>
      </c>
      <c r="D3682">
        <f>IF(B3682=1,INDEX('Data Entry'!$H$5:$BE$10004,3682-4,'Visual SPC'!$B$3),"")</f>
        <v/>
      </c>
      <c r="E3682">
        <f>IF(B3682=1,D3682,E3681)</f>
        <v/>
      </c>
      <c r="F3682">
        <f>IF(AND(B3682=1,C3682&gt;1,E3681&lt;&gt;""),ABS(D3682-E3681),"")</f>
        <v/>
      </c>
    </row>
    <row r="3683">
      <c r="A3683" t="n">
        <v>3683</v>
      </c>
      <c r="B3683">
        <f>IF(INDEX('Data Entry'!$H$5:$BE$10004,3683-4,'Visual SPC'!$B$3)="",0,IF(AND(OR('Visual SPC'!$C$4="",'Data Entry'!$C3683&gt;='Visual SPC'!$C$4),OR('Visual SPC'!$E$4="",'Data Entry'!$C3683&lt;='Visual SPC'!$E$4),OR('Visual SPC'!$G$4="",'Data Entry'!$D3683='Visual SPC'!$G$4),OR('Visual SPC'!$I$4="",'Data Entry'!$E3683='Visual SPC'!$I$4),OR('Visual SPC'!$K$4="",'Data Entry'!$F3683='Visual SPC'!$K$4)),1,0))</f>
        <v/>
      </c>
      <c r="C3683">
        <f>C3682+B3683</f>
        <v/>
      </c>
      <c r="D3683">
        <f>IF(B3683=1,INDEX('Data Entry'!$H$5:$BE$10004,3683-4,'Visual SPC'!$B$3),"")</f>
        <v/>
      </c>
      <c r="E3683">
        <f>IF(B3683=1,D3683,E3682)</f>
        <v/>
      </c>
      <c r="F3683">
        <f>IF(AND(B3683=1,C3683&gt;1,E3682&lt;&gt;""),ABS(D3683-E3682),"")</f>
        <v/>
      </c>
    </row>
    <row r="3684">
      <c r="A3684" t="n">
        <v>3684</v>
      </c>
      <c r="B3684">
        <f>IF(INDEX('Data Entry'!$H$5:$BE$10004,3684-4,'Visual SPC'!$B$3)="",0,IF(AND(OR('Visual SPC'!$C$4="",'Data Entry'!$C3684&gt;='Visual SPC'!$C$4),OR('Visual SPC'!$E$4="",'Data Entry'!$C3684&lt;='Visual SPC'!$E$4),OR('Visual SPC'!$G$4="",'Data Entry'!$D3684='Visual SPC'!$G$4),OR('Visual SPC'!$I$4="",'Data Entry'!$E3684='Visual SPC'!$I$4),OR('Visual SPC'!$K$4="",'Data Entry'!$F3684='Visual SPC'!$K$4)),1,0))</f>
        <v/>
      </c>
      <c r="C3684">
        <f>C3683+B3684</f>
        <v/>
      </c>
      <c r="D3684">
        <f>IF(B3684=1,INDEX('Data Entry'!$H$5:$BE$10004,3684-4,'Visual SPC'!$B$3),"")</f>
        <v/>
      </c>
      <c r="E3684">
        <f>IF(B3684=1,D3684,E3683)</f>
        <v/>
      </c>
      <c r="F3684">
        <f>IF(AND(B3684=1,C3684&gt;1,E3683&lt;&gt;""),ABS(D3684-E3683),"")</f>
        <v/>
      </c>
    </row>
    <row r="3685">
      <c r="A3685" t="n">
        <v>3685</v>
      </c>
      <c r="B3685">
        <f>IF(INDEX('Data Entry'!$H$5:$BE$10004,3685-4,'Visual SPC'!$B$3)="",0,IF(AND(OR('Visual SPC'!$C$4="",'Data Entry'!$C3685&gt;='Visual SPC'!$C$4),OR('Visual SPC'!$E$4="",'Data Entry'!$C3685&lt;='Visual SPC'!$E$4),OR('Visual SPC'!$G$4="",'Data Entry'!$D3685='Visual SPC'!$G$4),OR('Visual SPC'!$I$4="",'Data Entry'!$E3685='Visual SPC'!$I$4),OR('Visual SPC'!$K$4="",'Data Entry'!$F3685='Visual SPC'!$K$4)),1,0))</f>
        <v/>
      </c>
      <c r="C3685">
        <f>C3684+B3685</f>
        <v/>
      </c>
      <c r="D3685">
        <f>IF(B3685=1,INDEX('Data Entry'!$H$5:$BE$10004,3685-4,'Visual SPC'!$B$3),"")</f>
        <v/>
      </c>
      <c r="E3685">
        <f>IF(B3685=1,D3685,E3684)</f>
        <v/>
      </c>
      <c r="F3685">
        <f>IF(AND(B3685=1,C3685&gt;1,E3684&lt;&gt;""),ABS(D3685-E3684),"")</f>
        <v/>
      </c>
    </row>
    <row r="3686">
      <c r="A3686" t="n">
        <v>3686</v>
      </c>
      <c r="B3686">
        <f>IF(INDEX('Data Entry'!$H$5:$BE$10004,3686-4,'Visual SPC'!$B$3)="",0,IF(AND(OR('Visual SPC'!$C$4="",'Data Entry'!$C3686&gt;='Visual SPC'!$C$4),OR('Visual SPC'!$E$4="",'Data Entry'!$C3686&lt;='Visual SPC'!$E$4),OR('Visual SPC'!$G$4="",'Data Entry'!$D3686='Visual SPC'!$G$4),OR('Visual SPC'!$I$4="",'Data Entry'!$E3686='Visual SPC'!$I$4),OR('Visual SPC'!$K$4="",'Data Entry'!$F3686='Visual SPC'!$K$4)),1,0))</f>
        <v/>
      </c>
      <c r="C3686">
        <f>C3685+B3686</f>
        <v/>
      </c>
      <c r="D3686">
        <f>IF(B3686=1,INDEX('Data Entry'!$H$5:$BE$10004,3686-4,'Visual SPC'!$B$3),"")</f>
        <v/>
      </c>
      <c r="E3686">
        <f>IF(B3686=1,D3686,E3685)</f>
        <v/>
      </c>
      <c r="F3686">
        <f>IF(AND(B3686=1,C3686&gt;1,E3685&lt;&gt;""),ABS(D3686-E3685),"")</f>
        <v/>
      </c>
    </row>
    <row r="3687">
      <c r="A3687" t="n">
        <v>3687</v>
      </c>
      <c r="B3687">
        <f>IF(INDEX('Data Entry'!$H$5:$BE$10004,3687-4,'Visual SPC'!$B$3)="",0,IF(AND(OR('Visual SPC'!$C$4="",'Data Entry'!$C3687&gt;='Visual SPC'!$C$4),OR('Visual SPC'!$E$4="",'Data Entry'!$C3687&lt;='Visual SPC'!$E$4),OR('Visual SPC'!$G$4="",'Data Entry'!$D3687='Visual SPC'!$G$4),OR('Visual SPC'!$I$4="",'Data Entry'!$E3687='Visual SPC'!$I$4),OR('Visual SPC'!$K$4="",'Data Entry'!$F3687='Visual SPC'!$K$4)),1,0))</f>
        <v/>
      </c>
      <c r="C3687">
        <f>C3686+B3687</f>
        <v/>
      </c>
      <c r="D3687">
        <f>IF(B3687=1,INDEX('Data Entry'!$H$5:$BE$10004,3687-4,'Visual SPC'!$B$3),"")</f>
        <v/>
      </c>
      <c r="E3687">
        <f>IF(B3687=1,D3687,E3686)</f>
        <v/>
      </c>
      <c r="F3687">
        <f>IF(AND(B3687=1,C3687&gt;1,E3686&lt;&gt;""),ABS(D3687-E3686),"")</f>
        <v/>
      </c>
    </row>
    <row r="3688">
      <c r="A3688" t="n">
        <v>3688</v>
      </c>
      <c r="B3688">
        <f>IF(INDEX('Data Entry'!$H$5:$BE$10004,3688-4,'Visual SPC'!$B$3)="",0,IF(AND(OR('Visual SPC'!$C$4="",'Data Entry'!$C3688&gt;='Visual SPC'!$C$4),OR('Visual SPC'!$E$4="",'Data Entry'!$C3688&lt;='Visual SPC'!$E$4),OR('Visual SPC'!$G$4="",'Data Entry'!$D3688='Visual SPC'!$G$4),OR('Visual SPC'!$I$4="",'Data Entry'!$E3688='Visual SPC'!$I$4),OR('Visual SPC'!$K$4="",'Data Entry'!$F3688='Visual SPC'!$K$4)),1,0))</f>
        <v/>
      </c>
      <c r="C3688">
        <f>C3687+B3688</f>
        <v/>
      </c>
      <c r="D3688">
        <f>IF(B3688=1,INDEX('Data Entry'!$H$5:$BE$10004,3688-4,'Visual SPC'!$B$3),"")</f>
        <v/>
      </c>
      <c r="E3688">
        <f>IF(B3688=1,D3688,E3687)</f>
        <v/>
      </c>
      <c r="F3688">
        <f>IF(AND(B3688=1,C3688&gt;1,E3687&lt;&gt;""),ABS(D3688-E3687),"")</f>
        <v/>
      </c>
    </row>
    <row r="3689">
      <c r="A3689" t="n">
        <v>3689</v>
      </c>
      <c r="B3689">
        <f>IF(INDEX('Data Entry'!$H$5:$BE$10004,3689-4,'Visual SPC'!$B$3)="",0,IF(AND(OR('Visual SPC'!$C$4="",'Data Entry'!$C3689&gt;='Visual SPC'!$C$4),OR('Visual SPC'!$E$4="",'Data Entry'!$C3689&lt;='Visual SPC'!$E$4),OR('Visual SPC'!$G$4="",'Data Entry'!$D3689='Visual SPC'!$G$4),OR('Visual SPC'!$I$4="",'Data Entry'!$E3689='Visual SPC'!$I$4),OR('Visual SPC'!$K$4="",'Data Entry'!$F3689='Visual SPC'!$K$4)),1,0))</f>
        <v/>
      </c>
      <c r="C3689">
        <f>C3688+B3689</f>
        <v/>
      </c>
      <c r="D3689">
        <f>IF(B3689=1,INDEX('Data Entry'!$H$5:$BE$10004,3689-4,'Visual SPC'!$B$3),"")</f>
        <v/>
      </c>
      <c r="E3689">
        <f>IF(B3689=1,D3689,E3688)</f>
        <v/>
      </c>
      <c r="F3689">
        <f>IF(AND(B3689=1,C3689&gt;1,E3688&lt;&gt;""),ABS(D3689-E3688),"")</f>
        <v/>
      </c>
    </row>
    <row r="3690">
      <c r="A3690" t="n">
        <v>3690</v>
      </c>
      <c r="B3690">
        <f>IF(INDEX('Data Entry'!$H$5:$BE$10004,3690-4,'Visual SPC'!$B$3)="",0,IF(AND(OR('Visual SPC'!$C$4="",'Data Entry'!$C3690&gt;='Visual SPC'!$C$4),OR('Visual SPC'!$E$4="",'Data Entry'!$C3690&lt;='Visual SPC'!$E$4),OR('Visual SPC'!$G$4="",'Data Entry'!$D3690='Visual SPC'!$G$4),OR('Visual SPC'!$I$4="",'Data Entry'!$E3690='Visual SPC'!$I$4),OR('Visual SPC'!$K$4="",'Data Entry'!$F3690='Visual SPC'!$K$4)),1,0))</f>
        <v/>
      </c>
      <c r="C3690">
        <f>C3689+B3690</f>
        <v/>
      </c>
      <c r="D3690">
        <f>IF(B3690=1,INDEX('Data Entry'!$H$5:$BE$10004,3690-4,'Visual SPC'!$B$3),"")</f>
        <v/>
      </c>
      <c r="E3690">
        <f>IF(B3690=1,D3690,E3689)</f>
        <v/>
      </c>
      <c r="F3690">
        <f>IF(AND(B3690=1,C3690&gt;1,E3689&lt;&gt;""),ABS(D3690-E3689),"")</f>
        <v/>
      </c>
    </row>
    <row r="3691">
      <c r="A3691" t="n">
        <v>3691</v>
      </c>
      <c r="B3691">
        <f>IF(INDEX('Data Entry'!$H$5:$BE$10004,3691-4,'Visual SPC'!$B$3)="",0,IF(AND(OR('Visual SPC'!$C$4="",'Data Entry'!$C3691&gt;='Visual SPC'!$C$4),OR('Visual SPC'!$E$4="",'Data Entry'!$C3691&lt;='Visual SPC'!$E$4),OR('Visual SPC'!$G$4="",'Data Entry'!$D3691='Visual SPC'!$G$4),OR('Visual SPC'!$I$4="",'Data Entry'!$E3691='Visual SPC'!$I$4),OR('Visual SPC'!$K$4="",'Data Entry'!$F3691='Visual SPC'!$K$4)),1,0))</f>
        <v/>
      </c>
      <c r="C3691">
        <f>C3690+B3691</f>
        <v/>
      </c>
      <c r="D3691">
        <f>IF(B3691=1,INDEX('Data Entry'!$H$5:$BE$10004,3691-4,'Visual SPC'!$B$3),"")</f>
        <v/>
      </c>
      <c r="E3691">
        <f>IF(B3691=1,D3691,E3690)</f>
        <v/>
      </c>
      <c r="F3691">
        <f>IF(AND(B3691=1,C3691&gt;1,E3690&lt;&gt;""),ABS(D3691-E3690),"")</f>
        <v/>
      </c>
    </row>
    <row r="3692">
      <c r="A3692" t="n">
        <v>3692</v>
      </c>
      <c r="B3692">
        <f>IF(INDEX('Data Entry'!$H$5:$BE$10004,3692-4,'Visual SPC'!$B$3)="",0,IF(AND(OR('Visual SPC'!$C$4="",'Data Entry'!$C3692&gt;='Visual SPC'!$C$4),OR('Visual SPC'!$E$4="",'Data Entry'!$C3692&lt;='Visual SPC'!$E$4),OR('Visual SPC'!$G$4="",'Data Entry'!$D3692='Visual SPC'!$G$4),OR('Visual SPC'!$I$4="",'Data Entry'!$E3692='Visual SPC'!$I$4),OR('Visual SPC'!$K$4="",'Data Entry'!$F3692='Visual SPC'!$K$4)),1,0))</f>
        <v/>
      </c>
      <c r="C3692">
        <f>C3691+B3692</f>
        <v/>
      </c>
      <c r="D3692">
        <f>IF(B3692=1,INDEX('Data Entry'!$H$5:$BE$10004,3692-4,'Visual SPC'!$B$3),"")</f>
        <v/>
      </c>
      <c r="E3692">
        <f>IF(B3692=1,D3692,E3691)</f>
        <v/>
      </c>
      <c r="F3692">
        <f>IF(AND(B3692=1,C3692&gt;1,E3691&lt;&gt;""),ABS(D3692-E3691),"")</f>
        <v/>
      </c>
    </row>
    <row r="3693">
      <c r="A3693" t="n">
        <v>3693</v>
      </c>
      <c r="B3693">
        <f>IF(INDEX('Data Entry'!$H$5:$BE$10004,3693-4,'Visual SPC'!$B$3)="",0,IF(AND(OR('Visual SPC'!$C$4="",'Data Entry'!$C3693&gt;='Visual SPC'!$C$4),OR('Visual SPC'!$E$4="",'Data Entry'!$C3693&lt;='Visual SPC'!$E$4),OR('Visual SPC'!$G$4="",'Data Entry'!$D3693='Visual SPC'!$G$4),OR('Visual SPC'!$I$4="",'Data Entry'!$E3693='Visual SPC'!$I$4),OR('Visual SPC'!$K$4="",'Data Entry'!$F3693='Visual SPC'!$K$4)),1,0))</f>
        <v/>
      </c>
      <c r="C3693">
        <f>C3692+B3693</f>
        <v/>
      </c>
      <c r="D3693">
        <f>IF(B3693=1,INDEX('Data Entry'!$H$5:$BE$10004,3693-4,'Visual SPC'!$B$3),"")</f>
        <v/>
      </c>
      <c r="E3693">
        <f>IF(B3693=1,D3693,E3692)</f>
        <v/>
      </c>
      <c r="F3693">
        <f>IF(AND(B3693=1,C3693&gt;1,E3692&lt;&gt;""),ABS(D3693-E3692),"")</f>
        <v/>
      </c>
    </row>
    <row r="3694">
      <c r="A3694" t="n">
        <v>3694</v>
      </c>
      <c r="B3694">
        <f>IF(INDEX('Data Entry'!$H$5:$BE$10004,3694-4,'Visual SPC'!$B$3)="",0,IF(AND(OR('Visual SPC'!$C$4="",'Data Entry'!$C3694&gt;='Visual SPC'!$C$4),OR('Visual SPC'!$E$4="",'Data Entry'!$C3694&lt;='Visual SPC'!$E$4),OR('Visual SPC'!$G$4="",'Data Entry'!$D3694='Visual SPC'!$G$4),OR('Visual SPC'!$I$4="",'Data Entry'!$E3694='Visual SPC'!$I$4),OR('Visual SPC'!$K$4="",'Data Entry'!$F3694='Visual SPC'!$K$4)),1,0))</f>
        <v/>
      </c>
      <c r="C3694">
        <f>C3693+B3694</f>
        <v/>
      </c>
      <c r="D3694">
        <f>IF(B3694=1,INDEX('Data Entry'!$H$5:$BE$10004,3694-4,'Visual SPC'!$B$3),"")</f>
        <v/>
      </c>
      <c r="E3694">
        <f>IF(B3694=1,D3694,E3693)</f>
        <v/>
      </c>
      <c r="F3694">
        <f>IF(AND(B3694=1,C3694&gt;1,E3693&lt;&gt;""),ABS(D3694-E3693),"")</f>
        <v/>
      </c>
    </row>
    <row r="3695">
      <c r="A3695" t="n">
        <v>3695</v>
      </c>
      <c r="B3695">
        <f>IF(INDEX('Data Entry'!$H$5:$BE$10004,3695-4,'Visual SPC'!$B$3)="",0,IF(AND(OR('Visual SPC'!$C$4="",'Data Entry'!$C3695&gt;='Visual SPC'!$C$4),OR('Visual SPC'!$E$4="",'Data Entry'!$C3695&lt;='Visual SPC'!$E$4),OR('Visual SPC'!$G$4="",'Data Entry'!$D3695='Visual SPC'!$G$4),OR('Visual SPC'!$I$4="",'Data Entry'!$E3695='Visual SPC'!$I$4),OR('Visual SPC'!$K$4="",'Data Entry'!$F3695='Visual SPC'!$K$4)),1,0))</f>
        <v/>
      </c>
      <c r="C3695">
        <f>C3694+B3695</f>
        <v/>
      </c>
      <c r="D3695">
        <f>IF(B3695=1,INDEX('Data Entry'!$H$5:$BE$10004,3695-4,'Visual SPC'!$B$3),"")</f>
        <v/>
      </c>
      <c r="E3695">
        <f>IF(B3695=1,D3695,E3694)</f>
        <v/>
      </c>
      <c r="F3695">
        <f>IF(AND(B3695=1,C3695&gt;1,E3694&lt;&gt;""),ABS(D3695-E3694),"")</f>
        <v/>
      </c>
    </row>
    <row r="3696">
      <c r="A3696" t="n">
        <v>3696</v>
      </c>
      <c r="B3696">
        <f>IF(INDEX('Data Entry'!$H$5:$BE$10004,3696-4,'Visual SPC'!$B$3)="",0,IF(AND(OR('Visual SPC'!$C$4="",'Data Entry'!$C3696&gt;='Visual SPC'!$C$4),OR('Visual SPC'!$E$4="",'Data Entry'!$C3696&lt;='Visual SPC'!$E$4),OR('Visual SPC'!$G$4="",'Data Entry'!$D3696='Visual SPC'!$G$4),OR('Visual SPC'!$I$4="",'Data Entry'!$E3696='Visual SPC'!$I$4),OR('Visual SPC'!$K$4="",'Data Entry'!$F3696='Visual SPC'!$K$4)),1,0))</f>
        <v/>
      </c>
      <c r="C3696">
        <f>C3695+B3696</f>
        <v/>
      </c>
      <c r="D3696">
        <f>IF(B3696=1,INDEX('Data Entry'!$H$5:$BE$10004,3696-4,'Visual SPC'!$B$3),"")</f>
        <v/>
      </c>
      <c r="E3696">
        <f>IF(B3696=1,D3696,E3695)</f>
        <v/>
      </c>
      <c r="F3696">
        <f>IF(AND(B3696=1,C3696&gt;1,E3695&lt;&gt;""),ABS(D3696-E3695),"")</f>
        <v/>
      </c>
    </row>
    <row r="3697">
      <c r="A3697" t="n">
        <v>3697</v>
      </c>
      <c r="B3697">
        <f>IF(INDEX('Data Entry'!$H$5:$BE$10004,3697-4,'Visual SPC'!$B$3)="",0,IF(AND(OR('Visual SPC'!$C$4="",'Data Entry'!$C3697&gt;='Visual SPC'!$C$4),OR('Visual SPC'!$E$4="",'Data Entry'!$C3697&lt;='Visual SPC'!$E$4),OR('Visual SPC'!$G$4="",'Data Entry'!$D3697='Visual SPC'!$G$4),OR('Visual SPC'!$I$4="",'Data Entry'!$E3697='Visual SPC'!$I$4),OR('Visual SPC'!$K$4="",'Data Entry'!$F3697='Visual SPC'!$K$4)),1,0))</f>
        <v/>
      </c>
      <c r="C3697">
        <f>C3696+B3697</f>
        <v/>
      </c>
      <c r="D3697">
        <f>IF(B3697=1,INDEX('Data Entry'!$H$5:$BE$10004,3697-4,'Visual SPC'!$B$3),"")</f>
        <v/>
      </c>
      <c r="E3697">
        <f>IF(B3697=1,D3697,E3696)</f>
        <v/>
      </c>
      <c r="F3697">
        <f>IF(AND(B3697=1,C3697&gt;1,E3696&lt;&gt;""),ABS(D3697-E3696),"")</f>
        <v/>
      </c>
    </row>
    <row r="3698">
      <c r="A3698" t="n">
        <v>3698</v>
      </c>
      <c r="B3698">
        <f>IF(INDEX('Data Entry'!$H$5:$BE$10004,3698-4,'Visual SPC'!$B$3)="",0,IF(AND(OR('Visual SPC'!$C$4="",'Data Entry'!$C3698&gt;='Visual SPC'!$C$4),OR('Visual SPC'!$E$4="",'Data Entry'!$C3698&lt;='Visual SPC'!$E$4),OR('Visual SPC'!$G$4="",'Data Entry'!$D3698='Visual SPC'!$G$4),OR('Visual SPC'!$I$4="",'Data Entry'!$E3698='Visual SPC'!$I$4),OR('Visual SPC'!$K$4="",'Data Entry'!$F3698='Visual SPC'!$K$4)),1,0))</f>
        <v/>
      </c>
      <c r="C3698">
        <f>C3697+B3698</f>
        <v/>
      </c>
      <c r="D3698">
        <f>IF(B3698=1,INDEX('Data Entry'!$H$5:$BE$10004,3698-4,'Visual SPC'!$B$3),"")</f>
        <v/>
      </c>
      <c r="E3698">
        <f>IF(B3698=1,D3698,E3697)</f>
        <v/>
      </c>
      <c r="F3698">
        <f>IF(AND(B3698=1,C3698&gt;1,E3697&lt;&gt;""),ABS(D3698-E3697),"")</f>
        <v/>
      </c>
    </row>
    <row r="3699">
      <c r="A3699" t="n">
        <v>3699</v>
      </c>
      <c r="B3699">
        <f>IF(INDEX('Data Entry'!$H$5:$BE$10004,3699-4,'Visual SPC'!$B$3)="",0,IF(AND(OR('Visual SPC'!$C$4="",'Data Entry'!$C3699&gt;='Visual SPC'!$C$4),OR('Visual SPC'!$E$4="",'Data Entry'!$C3699&lt;='Visual SPC'!$E$4),OR('Visual SPC'!$G$4="",'Data Entry'!$D3699='Visual SPC'!$G$4),OR('Visual SPC'!$I$4="",'Data Entry'!$E3699='Visual SPC'!$I$4),OR('Visual SPC'!$K$4="",'Data Entry'!$F3699='Visual SPC'!$K$4)),1,0))</f>
        <v/>
      </c>
      <c r="C3699">
        <f>C3698+B3699</f>
        <v/>
      </c>
      <c r="D3699">
        <f>IF(B3699=1,INDEX('Data Entry'!$H$5:$BE$10004,3699-4,'Visual SPC'!$B$3),"")</f>
        <v/>
      </c>
      <c r="E3699">
        <f>IF(B3699=1,D3699,E3698)</f>
        <v/>
      </c>
      <c r="F3699">
        <f>IF(AND(B3699=1,C3699&gt;1,E3698&lt;&gt;""),ABS(D3699-E3698),"")</f>
        <v/>
      </c>
    </row>
    <row r="3700">
      <c r="A3700" t="n">
        <v>3700</v>
      </c>
      <c r="B3700">
        <f>IF(INDEX('Data Entry'!$H$5:$BE$10004,3700-4,'Visual SPC'!$B$3)="",0,IF(AND(OR('Visual SPC'!$C$4="",'Data Entry'!$C3700&gt;='Visual SPC'!$C$4),OR('Visual SPC'!$E$4="",'Data Entry'!$C3700&lt;='Visual SPC'!$E$4),OR('Visual SPC'!$G$4="",'Data Entry'!$D3700='Visual SPC'!$G$4),OR('Visual SPC'!$I$4="",'Data Entry'!$E3700='Visual SPC'!$I$4),OR('Visual SPC'!$K$4="",'Data Entry'!$F3700='Visual SPC'!$K$4)),1,0))</f>
        <v/>
      </c>
      <c r="C3700">
        <f>C3699+B3700</f>
        <v/>
      </c>
      <c r="D3700">
        <f>IF(B3700=1,INDEX('Data Entry'!$H$5:$BE$10004,3700-4,'Visual SPC'!$B$3),"")</f>
        <v/>
      </c>
      <c r="E3700">
        <f>IF(B3700=1,D3700,E3699)</f>
        <v/>
      </c>
      <c r="F3700">
        <f>IF(AND(B3700=1,C3700&gt;1,E3699&lt;&gt;""),ABS(D3700-E3699),"")</f>
        <v/>
      </c>
    </row>
    <row r="3701">
      <c r="A3701" t="n">
        <v>3701</v>
      </c>
      <c r="B3701">
        <f>IF(INDEX('Data Entry'!$H$5:$BE$10004,3701-4,'Visual SPC'!$B$3)="",0,IF(AND(OR('Visual SPC'!$C$4="",'Data Entry'!$C3701&gt;='Visual SPC'!$C$4),OR('Visual SPC'!$E$4="",'Data Entry'!$C3701&lt;='Visual SPC'!$E$4),OR('Visual SPC'!$G$4="",'Data Entry'!$D3701='Visual SPC'!$G$4),OR('Visual SPC'!$I$4="",'Data Entry'!$E3701='Visual SPC'!$I$4),OR('Visual SPC'!$K$4="",'Data Entry'!$F3701='Visual SPC'!$K$4)),1,0))</f>
        <v/>
      </c>
      <c r="C3701">
        <f>C3700+B3701</f>
        <v/>
      </c>
      <c r="D3701">
        <f>IF(B3701=1,INDEX('Data Entry'!$H$5:$BE$10004,3701-4,'Visual SPC'!$B$3),"")</f>
        <v/>
      </c>
      <c r="E3701">
        <f>IF(B3701=1,D3701,E3700)</f>
        <v/>
      </c>
      <c r="F3701">
        <f>IF(AND(B3701=1,C3701&gt;1,E3700&lt;&gt;""),ABS(D3701-E3700),"")</f>
        <v/>
      </c>
    </row>
    <row r="3702">
      <c r="A3702" t="n">
        <v>3702</v>
      </c>
      <c r="B3702">
        <f>IF(INDEX('Data Entry'!$H$5:$BE$10004,3702-4,'Visual SPC'!$B$3)="",0,IF(AND(OR('Visual SPC'!$C$4="",'Data Entry'!$C3702&gt;='Visual SPC'!$C$4),OR('Visual SPC'!$E$4="",'Data Entry'!$C3702&lt;='Visual SPC'!$E$4),OR('Visual SPC'!$G$4="",'Data Entry'!$D3702='Visual SPC'!$G$4),OR('Visual SPC'!$I$4="",'Data Entry'!$E3702='Visual SPC'!$I$4),OR('Visual SPC'!$K$4="",'Data Entry'!$F3702='Visual SPC'!$K$4)),1,0))</f>
        <v/>
      </c>
      <c r="C3702">
        <f>C3701+B3702</f>
        <v/>
      </c>
      <c r="D3702">
        <f>IF(B3702=1,INDEX('Data Entry'!$H$5:$BE$10004,3702-4,'Visual SPC'!$B$3),"")</f>
        <v/>
      </c>
      <c r="E3702">
        <f>IF(B3702=1,D3702,E3701)</f>
        <v/>
      </c>
      <c r="F3702">
        <f>IF(AND(B3702=1,C3702&gt;1,E3701&lt;&gt;""),ABS(D3702-E3701),"")</f>
        <v/>
      </c>
    </row>
    <row r="3703">
      <c r="A3703" t="n">
        <v>3703</v>
      </c>
      <c r="B3703">
        <f>IF(INDEX('Data Entry'!$H$5:$BE$10004,3703-4,'Visual SPC'!$B$3)="",0,IF(AND(OR('Visual SPC'!$C$4="",'Data Entry'!$C3703&gt;='Visual SPC'!$C$4),OR('Visual SPC'!$E$4="",'Data Entry'!$C3703&lt;='Visual SPC'!$E$4),OR('Visual SPC'!$G$4="",'Data Entry'!$D3703='Visual SPC'!$G$4),OR('Visual SPC'!$I$4="",'Data Entry'!$E3703='Visual SPC'!$I$4),OR('Visual SPC'!$K$4="",'Data Entry'!$F3703='Visual SPC'!$K$4)),1,0))</f>
        <v/>
      </c>
      <c r="C3703">
        <f>C3702+B3703</f>
        <v/>
      </c>
      <c r="D3703">
        <f>IF(B3703=1,INDEX('Data Entry'!$H$5:$BE$10004,3703-4,'Visual SPC'!$B$3),"")</f>
        <v/>
      </c>
      <c r="E3703">
        <f>IF(B3703=1,D3703,E3702)</f>
        <v/>
      </c>
      <c r="F3703">
        <f>IF(AND(B3703=1,C3703&gt;1,E3702&lt;&gt;""),ABS(D3703-E3702),"")</f>
        <v/>
      </c>
    </row>
    <row r="3704">
      <c r="A3704" t="n">
        <v>3704</v>
      </c>
      <c r="B3704">
        <f>IF(INDEX('Data Entry'!$H$5:$BE$10004,3704-4,'Visual SPC'!$B$3)="",0,IF(AND(OR('Visual SPC'!$C$4="",'Data Entry'!$C3704&gt;='Visual SPC'!$C$4),OR('Visual SPC'!$E$4="",'Data Entry'!$C3704&lt;='Visual SPC'!$E$4),OR('Visual SPC'!$G$4="",'Data Entry'!$D3704='Visual SPC'!$G$4),OR('Visual SPC'!$I$4="",'Data Entry'!$E3704='Visual SPC'!$I$4),OR('Visual SPC'!$K$4="",'Data Entry'!$F3704='Visual SPC'!$K$4)),1,0))</f>
        <v/>
      </c>
      <c r="C3704">
        <f>C3703+B3704</f>
        <v/>
      </c>
      <c r="D3704">
        <f>IF(B3704=1,INDEX('Data Entry'!$H$5:$BE$10004,3704-4,'Visual SPC'!$B$3),"")</f>
        <v/>
      </c>
      <c r="E3704">
        <f>IF(B3704=1,D3704,E3703)</f>
        <v/>
      </c>
      <c r="F3704">
        <f>IF(AND(B3704=1,C3704&gt;1,E3703&lt;&gt;""),ABS(D3704-E3703),"")</f>
        <v/>
      </c>
    </row>
    <row r="3705">
      <c r="A3705" t="n">
        <v>3705</v>
      </c>
      <c r="B3705">
        <f>IF(INDEX('Data Entry'!$H$5:$BE$10004,3705-4,'Visual SPC'!$B$3)="",0,IF(AND(OR('Visual SPC'!$C$4="",'Data Entry'!$C3705&gt;='Visual SPC'!$C$4),OR('Visual SPC'!$E$4="",'Data Entry'!$C3705&lt;='Visual SPC'!$E$4),OR('Visual SPC'!$G$4="",'Data Entry'!$D3705='Visual SPC'!$G$4),OR('Visual SPC'!$I$4="",'Data Entry'!$E3705='Visual SPC'!$I$4),OR('Visual SPC'!$K$4="",'Data Entry'!$F3705='Visual SPC'!$K$4)),1,0))</f>
        <v/>
      </c>
      <c r="C3705">
        <f>C3704+B3705</f>
        <v/>
      </c>
      <c r="D3705">
        <f>IF(B3705=1,INDEX('Data Entry'!$H$5:$BE$10004,3705-4,'Visual SPC'!$B$3),"")</f>
        <v/>
      </c>
      <c r="E3705">
        <f>IF(B3705=1,D3705,E3704)</f>
        <v/>
      </c>
      <c r="F3705">
        <f>IF(AND(B3705=1,C3705&gt;1,E3704&lt;&gt;""),ABS(D3705-E3704),"")</f>
        <v/>
      </c>
    </row>
    <row r="3706">
      <c r="A3706" t="n">
        <v>3706</v>
      </c>
      <c r="B3706">
        <f>IF(INDEX('Data Entry'!$H$5:$BE$10004,3706-4,'Visual SPC'!$B$3)="",0,IF(AND(OR('Visual SPC'!$C$4="",'Data Entry'!$C3706&gt;='Visual SPC'!$C$4),OR('Visual SPC'!$E$4="",'Data Entry'!$C3706&lt;='Visual SPC'!$E$4),OR('Visual SPC'!$G$4="",'Data Entry'!$D3706='Visual SPC'!$G$4),OR('Visual SPC'!$I$4="",'Data Entry'!$E3706='Visual SPC'!$I$4),OR('Visual SPC'!$K$4="",'Data Entry'!$F3706='Visual SPC'!$K$4)),1,0))</f>
        <v/>
      </c>
      <c r="C3706">
        <f>C3705+B3706</f>
        <v/>
      </c>
      <c r="D3706">
        <f>IF(B3706=1,INDEX('Data Entry'!$H$5:$BE$10004,3706-4,'Visual SPC'!$B$3),"")</f>
        <v/>
      </c>
      <c r="E3706">
        <f>IF(B3706=1,D3706,E3705)</f>
        <v/>
      </c>
      <c r="F3706">
        <f>IF(AND(B3706=1,C3706&gt;1,E3705&lt;&gt;""),ABS(D3706-E3705),"")</f>
        <v/>
      </c>
    </row>
    <row r="3707">
      <c r="A3707" t="n">
        <v>3707</v>
      </c>
      <c r="B3707">
        <f>IF(INDEX('Data Entry'!$H$5:$BE$10004,3707-4,'Visual SPC'!$B$3)="",0,IF(AND(OR('Visual SPC'!$C$4="",'Data Entry'!$C3707&gt;='Visual SPC'!$C$4),OR('Visual SPC'!$E$4="",'Data Entry'!$C3707&lt;='Visual SPC'!$E$4),OR('Visual SPC'!$G$4="",'Data Entry'!$D3707='Visual SPC'!$G$4),OR('Visual SPC'!$I$4="",'Data Entry'!$E3707='Visual SPC'!$I$4),OR('Visual SPC'!$K$4="",'Data Entry'!$F3707='Visual SPC'!$K$4)),1,0))</f>
        <v/>
      </c>
      <c r="C3707">
        <f>C3706+B3707</f>
        <v/>
      </c>
      <c r="D3707">
        <f>IF(B3707=1,INDEX('Data Entry'!$H$5:$BE$10004,3707-4,'Visual SPC'!$B$3),"")</f>
        <v/>
      </c>
      <c r="E3707">
        <f>IF(B3707=1,D3707,E3706)</f>
        <v/>
      </c>
      <c r="F3707">
        <f>IF(AND(B3707=1,C3707&gt;1,E3706&lt;&gt;""),ABS(D3707-E3706),"")</f>
        <v/>
      </c>
    </row>
    <row r="3708">
      <c r="A3708" t="n">
        <v>3708</v>
      </c>
      <c r="B3708">
        <f>IF(INDEX('Data Entry'!$H$5:$BE$10004,3708-4,'Visual SPC'!$B$3)="",0,IF(AND(OR('Visual SPC'!$C$4="",'Data Entry'!$C3708&gt;='Visual SPC'!$C$4),OR('Visual SPC'!$E$4="",'Data Entry'!$C3708&lt;='Visual SPC'!$E$4),OR('Visual SPC'!$G$4="",'Data Entry'!$D3708='Visual SPC'!$G$4),OR('Visual SPC'!$I$4="",'Data Entry'!$E3708='Visual SPC'!$I$4),OR('Visual SPC'!$K$4="",'Data Entry'!$F3708='Visual SPC'!$K$4)),1,0))</f>
        <v/>
      </c>
      <c r="C3708">
        <f>C3707+B3708</f>
        <v/>
      </c>
      <c r="D3708">
        <f>IF(B3708=1,INDEX('Data Entry'!$H$5:$BE$10004,3708-4,'Visual SPC'!$B$3),"")</f>
        <v/>
      </c>
      <c r="E3708">
        <f>IF(B3708=1,D3708,E3707)</f>
        <v/>
      </c>
      <c r="F3708">
        <f>IF(AND(B3708=1,C3708&gt;1,E3707&lt;&gt;""),ABS(D3708-E3707),"")</f>
        <v/>
      </c>
    </row>
    <row r="3709">
      <c r="A3709" t="n">
        <v>3709</v>
      </c>
      <c r="B3709">
        <f>IF(INDEX('Data Entry'!$H$5:$BE$10004,3709-4,'Visual SPC'!$B$3)="",0,IF(AND(OR('Visual SPC'!$C$4="",'Data Entry'!$C3709&gt;='Visual SPC'!$C$4),OR('Visual SPC'!$E$4="",'Data Entry'!$C3709&lt;='Visual SPC'!$E$4),OR('Visual SPC'!$G$4="",'Data Entry'!$D3709='Visual SPC'!$G$4),OR('Visual SPC'!$I$4="",'Data Entry'!$E3709='Visual SPC'!$I$4),OR('Visual SPC'!$K$4="",'Data Entry'!$F3709='Visual SPC'!$K$4)),1,0))</f>
        <v/>
      </c>
      <c r="C3709">
        <f>C3708+B3709</f>
        <v/>
      </c>
      <c r="D3709">
        <f>IF(B3709=1,INDEX('Data Entry'!$H$5:$BE$10004,3709-4,'Visual SPC'!$B$3),"")</f>
        <v/>
      </c>
      <c r="E3709">
        <f>IF(B3709=1,D3709,E3708)</f>
        <v/>
      </c>
      <c r="F3709">
        <f>IF(AND(B3709=1,C3709&gt;1,E3708&lt;&gt;""),ABS(D3709-E3708),"")</f>
        <v/>
      </c>
    </row>
    <row r="3710">
      <c r="A3710" t="n">
        <v>3710</v>
      </c>
      <c r="B3710">
        <f>IF(INDEX('Data Entry'!$H$5:$BE$10004,3710-4,'Visual SPC'!$B$3)="",0,IF(AND(OR('Visual SPC'!$C$4="",'Data Entry'!$C3710&gt;='Visual SPC'!$C$4),OR('Visual SPC'!$E$4="",'Data Entry'!$C3710&lt;='Visual SPC'!$E$4),OR('Visual SPC'!$G$4="",'Data Entry'!$D3710='Visual SPC'!$G$4),OR('Visual SPC'!$I$4="",'Data Entry'!$E3710='Visual SPC'!$I$4),OR('Visual SPC'!$K$4="",'Data Entry'!$F3710='Visual SPC'!$K$4)),1,0))</f>
        <v/>
      </c>
      <c r="C3710">
        <f>C3709+B3710</f>
        <v/>
      </c>
      <c r="D3710">
        <f>IF(B3710=1,INDEX('Data Entry'!$H$5:$BE$10004,3710-4,'Visual SPC'!$B$3),"")</f>
        <v/>
      </c>
      <c r="E3710">
        <f>IF(B3710=1,D3710,E3709)</f>
        <v/>
      </c>
      <c r="F3710">
        <f>IF(AND(B3710=1,C3710&gt;1,E3709&lt;&gt;""),ABS(D3710-E3709),"")</f>
        <v/>
      </c>
    </row>
    <row r="3711">
      <c r="A3711" t="n">
        <v>3711</v>
      </c>
      <c r="B3711">
        <f>IF(INDEX('Data Entry'!$H$5:$BE$10004,3711-4,'Visual SPC'!$B$3)="",0,IF(AND(OR('Visual SPC'!$C$4="",'Data Entry'!$C3711&gt;='Visual SPC'!$C$4),OR('Visual SPC'!$E$4="",'Data Entry'!$C3711&lt;='Visual SPC'!$E$4),OR('Visual SPC'!$G$4="",'Data Entry'!$D3711='Visual SPC'!$G$4),OR('Visual SPC'!$I$4="",'Data Entry'!$E3711='Visual SPC'!$I$4),OR('Visual SPC'!$K$4="",'Data Entry'!$F3711='Visual SPC'!$K$4)),1,0))</f>
        <v/>
      </c>
      <c r="C3711">
        <f>C3710+B3711</f>
        <v/>
      </c>
      <c r="D3711">
        <f>IF(B3711=1,INDEX('Data Entry'!$H$5:$BE$10004,3711-4,'Visual SPC'!$B$3),"")</f>
        <v/>
      </c>
      <c r="E3711">
        <f>IF(B3711=1,D3711,E3710)</f>
        <v/>
      </c>
      <c r="F3711">
        <f>IF(AND(B3711=1,C3711&gt;1,E3710&lt;&gt;""),ABS(D3711-E3710),"")</f>
        <v/>
      </c>
    </row>
    <row r="3712">
      <c r="A3712" t="n">
        <v>3712</v>
      </c>
      <c r="B3712">
        <f>IF(INDEX('Data Entry'!$H$5:$BE$10004,3712-4,'Visual SPC'!$B$3)="",0,IF(AND(OR('Visual SPC'!$C$4="",'Data Entry'!$C3712&gt;='Visual SPC'!$C$4),OR('Visual SPC'!$E$4="",'Data Entry'!$C3712&lt;='Visual SPC'!$E$4),OR('Visual SPC'!$G$4="",'Data Entry'!$D3712='Visual SPC'!$G$4),OR('Visual SPC'!$I$4="",'Data Entry'!$E3712='Visual SPC'!$I$4),OR('Visual SPC'!$K$4="",'Data Entry'!$F3712='Visual SPC'!$K$4)),1,0))</f>
        <v/>
      </c>
      <c r="C3712">
        <f>C3711+B3712</f>
        <v/>
      </c>
      <c r="D3712">
        <f>IF(B3712=1,INDEX('Data Entry'!$H$5:$BE$10004,3712-4,'Visual SPC'!$B$3),"")</f>
        <v/>
      </c>
      <c r="E3712">
        <f>IF(B3712=1,D3712,E3711)</f>
        <v/>
      </c>
      <c r="F3712">
        <f>IF(AND(B3712=1,C3712&gt;1,E3711&lt;&gt;""),ABS(D3712-E3711),"")</f>
        <v/>
      </c>
    </row>
    <row r="3713">
      <c r="A3713" t="n">
        <v>3713</v>
      </c>
      <c r="B3713">
        <f>IF(INDEX('Data Entry'!$H$5:$BE$10004,3713-4,'Visual SPC'!$B$3)="",0,IF(AND(OR('Visual SPC'!$C$4="",'Data Entry'!$C3713&gt;='Visual SPC'!$C$4),OR('Visual SPC'!$E$4="",'Data Entry'!$C3713&lt;='Visual SPC'!$E$4),OR('Visual SPC'!$G$4="",'Data Entry'!$D3713='Visual SPC'!$G$4),OR('Visual SPC'!$I$4="",'Data Entry'!$E3713='Visual SPC'!$I$4),OR('Visual SPC'!$K$4="",'Data Entry'!$F3713='Visual SPC'!$K$4)),1,0))</f>
        <v/>
      </c>
      <c r="C3713">
        <f>C3712+B3713</f>
        <v/>
      </c>
      <c r="D3713">
        <f>IF(B3713=1,INDEX('Data Entry'!$H$5:$BE$10004,3713-4,'Visual SPC'!$B$3),"")</f>
        <v/>
      </c>
      <c r="E3713">
        <f>IF(B3713=1,D3713,E3712)</f>
        <v/>
      </c>
      <c r="F3713">
        <f>IF(AND(B3713=1,C3713&gt;1,E3712&lt;&gt;""),ABS(D3713-E3712),"")</f>
        <v/>
      </c>
    </row>
    <row r="3714">
      <c r="A3714" t="n">
        <v>3714</v>
      </c>
      <c r="B3714">
        <f>IF(INDEX('Data Entry'!$H$5:$BE$10004,3714-4,'Visual SPC'!$B$3)="",0,IF(AND(OR('Visual SPC'!$C$4="",'Data Entry'!$C3714&gt;='Visual SPC'!$C$4),OR('Visual SPC'!$E$4="",'Data Entry'!$C3714&lt;='Visual SPC'!$E$4),OR('Visual SPC'!$G$4="",'Data Entry'!$D3714='Visual SPC'!$G$4),OR('Visual SPC'!$I$4="",'Data Entry'!$E3714='Visual SPC'!$I$4),OR('Visual SPC'!$K$4="",'Data Entry'!$F3714='Visual SPC'!$K$4)),1,0))</f>
        <v/>
      </c>
      <c r="C3714">
        <f>C3713+B3714</f>
        <v/>
      </c>
      <c r="D3714">
        <f>IF(B3714=1,INDEX('Data Entry'!$H$5:$BE$10004,3714-4,'Visual SPC'!$B$3),"")</f>
        <v/>
      </c>
      <c r="E3714">
        <f>IF(B3714=1,D3714,E3713)</f>
        <v/>
      </c>
      <c r="F3714">
        <f>IF(AND(B3714=1,C3714&gt;1,E3713&lt;&gt;""),ABS(D3714-E3713),"")</f>
        <v/>
      </c>
    </row>
    <row r="3715">
      <c r="A3715" t="n">
        <v>3715</v>
      </c>
      <c r="B3715">
        <f>IF(INDEX('Data Entry'!$H$5:$BE$10004,3715-4,'Visual SPC'!$B$3)="",0,IF(AND(OR('Visual SPC'!$C$4="",'Data Entry'!$C3715&gt;='Visual SPC'!$C$4),OR('Visual SPC'!$E$4="",'Data Entry'!$C3715&lt;='Visual SPC'!$E$4),OR('Visual SPC'!$G$4="",'Data Entry'!$D3715='Visual SPC'!$G$4),OR('Visual SPC'!$I$4="",'Data Entry'!$E3715='Visual SPC'!$I$4),OR('Visual SPC'!$K$4="",'Data Entry'!$F3715='Visual SPC'!$K$4)),1,0))</f>
        <v/>
      </c>
      <c r="C3715">
        <f>C3714+B3715</f>
        <v/>
      </c>
      <c r="D3715">
        <f>IF(B3715=1,INDEX('Data Entry'!$H$5:$BE$10004,3715-4,'Visual SPC'!$B$3),"")</f>
        <v/>
      </c>
      <c r="E3715">
        <f>IF(B3715=1,D3715,E3714)</f>
        <v/>
      </c>
      <c r="F3715">
        <f>IF(AND(B3715=1,C3715&gt;1,E3714&lt;&gt;""),ABS(D3715-E3714),"")</f>
        <v/>
      </c>
    </row>
    <row r="3716">
      <c r="A3716" t="n">
        <v>3716</v>
      </c>
      <c r="B3716">
        <f>IF(INDEX('Data Entry'!$H$5:$BE$10004,3716-4,'Visual SPC'!$B$3)="",0,IF(AND(OR('Visual SPC'!$C$4="",'Data Entry'!$C3716&gt;='Visual SPC'!$C$4),OR('Visual SPC'!$E$4="",'Data Entry'!$C3716&lt;='Visual SPC'!$E$4),OR('Visual SPC'!$G$4="",'Data Entry'!$D3716='Visual SPC'!$G$4),OR('Visual SPC'!$I$4="",'Data Entry'!$E3716='Visual SPC'!$I$4),OR('Visual SPC'!$K$4="",'Data Entry'!$F3716='Visual SPC'!$K$4)),1,0))</f>
        <v/>
      </c>
      <c r="C3716">
        <f>C3715+B3716</f>
        <v/>
      </c>
      <c r="D3716">
        <f>IF(B3716=1,INDEX('Data Entry'!$H$5:$BE$10004,3716-4,'Visual SPC'!$B$3),"")</f>
        <v/>
      </c>
      <c r="E3716">
        <f>IF(B3716=1,D3716,E3715)</f>
        <v/>
      </c>
      <c r="F3716">
        <f>IF(AND(B3716=1,C3716&gt;1,E3715&lt;&gt;""),ABS(D3716-E3715),"")</f>
        <v/>
      </c>
    </row>
    <row r="3717">
      <c r="A3717" t="n">
        <v>3717</v>
      </c>
      <c r="B3717">
        <f>IF(INDEX('Data Entry'!$H$5:$BE$10004,3717-4,'Visual SPC'!$B$3)="",0,IF(AND(OR('Visual SPC'!$C$4="",'Data Entry'!$C3717&gt;='Visual SPC'!$C$4),OR('Visual SPC'!$E$4="",'Data Entry'!$C3717&lt;='Visual SPC'!$E$4),OR('Visual SPC'!$G$4="",'Data Entry'!$D3717='Visual SPC'!$G$4),OR('Visual SPC'!$I$4="",'Data Entry'!$E3717='Visual SPC'!$I$4),OR('Visual SPC'!$K$4="",'Data Entry'!$F3717='Visual SPC'!$K$4)),1,0))</f>
        <v/>
      </c>
      <c r="C3717">
        <f>C3716+B3717</f>
        <v/>
      </c>
      <c r="D3717">
        <f>IF(B3717=1,INDEX('Data Entry'!$H$5:$BE$10004,3717-4,'Visual SPC'!$B$3),"")</f>
        <v/>
      </c>
      <c r="E3717">
        <f>IF(B3717=1,D3717,E3716)</f>
        <v/>
      </c>
      <c r="F3717">
        <f>IF(AND(B3717=1,C3717&gt;1,E3716&lt;&gt;""),ABS(D3717-E3716),"")</f>
        <v/>
      </c>
    </row>
    <row r="3718">
      <c r="A3718" t="n">
        <v>3718</v>
      </c>
      <c r="B3718">
        <f>IF(INDEX('Data Entry'!$H$5:$BE$10004,3718-4,'Visual SPC'!$B$3)="",0,IF(AND(OR('Visual SPC'!$C$4="",'Data Entry'!$C3718&gt;='Visual SPC'!$C$4),OR('Visual SPC'!$E$4="",'Data Entry'!$C3718&lt;='Visual SPC'!$E$4),OR('Visual SPC'!$G$4="",'Data Entry'!$D3718='Visual SPC'!$G$4),OR('Visual SPC'!$I$4="",'Data Entry'!$E3718='Visual SPC'!$I$4),OR('Visual SPC'!$K$4="",'Data Entry'!$F3718='Visual SPC'!$K$4)),1,0))</f>
        <v/>
      </c>
      <c r="C3718">
        <f>C3717+B3718</f>
        <v/>
      </c>
      <c r="D3718">
        <f>IF(B3718=1,INDEX('Data Entry'!$H$5:$BE$10004,3718-4,'Visual SPC'!$B$3),"")</f>
        <v/>
      </c>
      <c r="E3718">
        <f>IF(B3718=1,D3718,E3717)</f>
        <v/>
      </c>
      <c r="F3718">
        <f>IF(AND(B3718=1,C3718&gt;1,E3717&lt;&gt;""),ABS(D3718-E3717),"")</f>
        <v/>
      </c>
    </row>
    <row r="3719">
      <c r="A3719" t="n">
        <v>3719</v>
      </c>
      <c r="B3719">
        <f>IF(INDEX('Data Entry'!$H$5:$BE$10004,3719-4,'Visual SPC'!$B$3)="",0,IF(AND(OR('Visual SPC'!$C$4="",'Data Entry'!$C3719&gt;='Visual SPC'!$C$4),OR('Visual SPC'!$E$4="",'Data Entry'!$C3719&lt;='Visual SPC'!$E$4),OR('Visual SPC'!$G$4="",'Data Entry'!$D3719='Visual SPC'!$G$4),OR('Visual SPC'!$I$4="",'Data Entry'!$E3719='Visual SPC'!$I$4),OR('Visual SPC'!$K$4="",'Data Entry'!$F3719='Visual SPC'!$K$4)),1,0))</f>
        <v/>
      </c>
      <c r="C3719">
        <f>C3718+B3719</f>
        <v/>
      </c>
      <c r="D3719">
        <f>IF(B3719=1,INDEX('Data Entry'!$H$5:$BE$10004,3719-4,'Visual SPC'!$B$3),"")</f>
        <v/>
      </c>
      <c r="E3719">
        <f>IF(B3719=1,D3719,E3718)</f>
        <v/>
      </c>
      <c r="F3719">
        <f>IF(AND(B3719=1,C3719&gt;1,E3718&lt;&gt;""),ABS(D3719-E3718),"")</f>
        <v/>
      </c>
    </row>
    <row r="3720">
      <c r="A3720" t="n">
        <v>3720</v>
      </c>
      <c r="B3720">
        <f>IF(INDEX('Data Entry'!$H$5:$BE$10004,3720-4,'Visual SPC'!$B$3)="",0,IF(AND(OR('Visual SPC'!$C$4="",'Data Entry'!$C3720&gt;='Visual SPC'!$C$4),OR('Visual SPC'!$E$4="",'Data Entry'!$C3720&lt;='Visual SPC'!$E$4),OR('Visual SPC'!$G$4="",'Data Entry'!$D3720='Visual SPC'!$G$4),OR('Visual SPC'!$I$4="",'Data Entry'!$E3720='Visual SPC'!$I$4),OR('Visual SPC'!$K$4="",'Data Entry'!$F3720='Visual SPC'!$K$4)),1,0))</f>
        <v/>
      </c>
      <c r="C3720">
        <f>C3719+B3720</f>
        <v/>
      </c>
      <c r="D3720">
        <f>IF(B3720=1,INDEX('Data Entry'!$H$5:$BE$10004,3720-4,'Visual SPC'!$B$3),"")</f>
        <v/>
      </c>
      <c r="E3720">
        <f>IF(B3720=1,D3720,E3719)</f>
        <v/>
      </c>
      <c r="F3720">
        <f>IF(AND(B3720=1,C3720&gt;1,E3719&lt;&gt;""),ABS(D3720-E3719),"")</f>
        <v/>
      </c>
    </row>
    <row r="3721">
      <c r="A3721" t="n">
        <v>3721</v>
      </c>
      <c r="B3721">
        <f>IF(INDEX('Data Entry'!$H$5:$BE$10004,3721-4,'Visual SPC'!$B$3)="",0,IF(AND(OR('Visual SPC'!$C$4="",'Data Entry'!$C3721&gt;='Visual SPC'!$C$4),OR('Visual SPC'!$E$4="",'Data Entry'!$C3721&lt;='Visual SPC'!$E$4),OR('Visual SPC'!$G$4="",'Data Entry'!$D3721='Visual SPC'!$G$4),OR('Visual SPC'!$I$4="",'Data Entry'!$E3721='Visual SPC'!$I$4),OR('Visual SPC'!$K$4="",'Data Entry'!$F3721='Visual SPC'!$K$4)),1,0))</f>
        <v/>
      </c>
      <c r="C3721">
        <f>C3720+B3721</f>
        <v/>
      </c>
      <c r="D3721">
        <f>IF(B3721=1,INDEX('Data Entry'!$H$5:$BE$10004,3721-4,'Visual SPC'!$B$3),"")</f>
        <v/>
      </c>
      <c r="E3721">
        <f>IF(B3721=1,D3721,E3720)</f>
        <v/>
      </c>
      <c r="F3721">
        <f>IF(AND(B3721=1,C3721&gt;1,E3720&lt;&gt;""),ABS(D3721-E3720),"")</f>
        <v/>
      </c>
    </row>
    <row r="3722">
      <c r="A3722" t="n">
        <v>3722</v>
      </c>
      <c r="B3722">
        <f>IF(INDEX('Data Entry'!$H$5:$BE$10004,3722-4,'Visual SPC'!$B$3)="",0,IF(AND(OR('Visual SPC'!$C$4="",'Data Entry'!$C3722&gt;='Visual SPC'!$C$4),OR('Visual SPC'!$E$4="",'Data Entry'!$C3722&lt;='Visual SPC'!$E$4),OR('Visual SPC'!$G$4="",'Data Entry'!$D3722='Visual SPC'!$G$4),OR('Visual SPC'!$I$4="",'Data Entry'!$E3722='Visual SPC'!$I$4),OR('Visual SPC'!$K$4="",'Data Entry'!$F3722='Visual SPC'!$K$4)),1,0))</f>
        <v/>
      </c>
      <c r="C3722">
        <f>C3721+B3722</f>
        <v/>
      </c>
      <c r="D3722">
        <f>IF(B3722=1,INDEX('Data Entry'!$H$5:$BE$10004,3722-4,'Visual SPC'!$B$3),"")</f>
        <v/>
      </c>
      <c r="E3722">
        <f>IF(B3722=1,D3722,E3721)</f>
        <v/>
      </c>
      <c r="F3722">
        <f>IF(AND(B3722=1,C3722&gt;1,E3721&lt;&gt;""),ABS(D3722-E3721),"")</f>
        <v/>
      </c>
    </row>
    <row r="3723">
      <c r="A3723" t="n">
        <v>3723</v>
      </c>
      <c r="B3723">
        <f>IF(INDEX('Data Entry'!$H$5:$BE$10004,3723-4,'Visual SPC'!$B$3)="",0,IF(AND(OR('Visual SPC'!$C$4="",'Data Entry'!$C3723&gt;='Visual SPC'!$C$4),OR('Visual SPC'!$E$4="",'Data Entry'!$C3723&lt;='Visual SPC'!$E$4),OR('Visual SPC'!$G$4="",'Data Entry'!$D3723='Visual SPC'!$G$4),OR('Visual SPC'!$I$4="",'Data Entry'!$E3723='Visual SPC'!$I$4),OR('Visual SPC'!$K$4="",'Data Entry'!$F3723='Visual SPC'!$K$4)),1,0))</f>
        <v/>
      </c>
      <c r="C3723">
        <f>C3722+B3723</f>
        <v/>
      </c>
      <c r="D3723">
        <f>IF(B3723=1,INDEX('Data Entry'!$H$5:$BE$10004,3723-4,'Visual SPC'!$B$3),"")</f>
        <v/>
      </c>
      <c r="E3723">
        <f>IF(B3723=1,D3723,E3722)</f>
        <v/>
      </c>
      <c r="F3723">
        <f>IF(AND(B3723=1,C3723&gt;1,E3722&lt;&gt;""),ABS(D3723-E3722),"")</f>
        <v/>
      </c>
    </row>
    <row r="3724">
      <c r="A3724" t="n">
        <v>3724</v>
      </c>
      <c r="B3724">
        <f>IF(INDEX('Data Entry'!$H$5:$BE$10004,3724-4,'Visual SPC'!$B$3)="",0,IF(AND(OR('Visual SPC'!$C$4="",'Data Entry'!$C3724&gt;='Visual SPC'!$C$4),OR('Visual SPC'!$E$4="",'Data Entry'!$C3724&lt;='Visual SPC'!$E$4),OR('Visual SPC'!$G$4="",'Data Entry'!$D3724='Visual SPC'!$G$4),OR('Visual SPC'!$I$4="",'Data Entry'!$E3724='Visual SPC'!$I$4),OR('Visual SPC'!$K$4="",'Data Entry'!$F3724='Visual SPC'!$K$4)),1,0))</f>
        <v/>
      </c>
      <c r="C3724">
        <f>C3723+B3724</f>
        <v/>
      </c>
      <c r="D3724">
        <f>IF(B3724=1,INDEX('Data Entry'!$H$5:$BE$10004,3724-4,'Visual SPC'!$B$3),"")</f>
        <v/>
      </c>
      <c r="E3724">
        <f>IF(B3724=1,D3724,E3723)</f>
        <v/>
      </c>
      <c r="F3724">
        <f>IF(AND(B3724=1,C3724&gt;1,E3723&lt;&gt;""),ABS(D3724-E3723),"")</f>
        <v/>
      </c>
    </row>
    <row r="3725">
      <c r="A3725" t="n">
        <v>3725</v>
      </c>
      <c r="B3725">
        <f>IF(INDEX('Data Entry'!$H$5:$BE$10004,3725-4,'Visual SPC'!$B$3)="",0,IF(AND(OR('Visual SPC'!$C$4="",'Data Entry'!$C3725&gt;='Visual SPC'!$C$4),OR('Visual SPC'!$E$4="",'Data Entry'!$C3725&lt;='Visual SPC'!$E$4),OR('Visual SPC'!$G$4="",'Data Entry'!$D3725='Visual SPC'!$G$4),OR('Visual SPC'!$I$4="",'Data Entry'!$E3725='Visual SPC'!$I$4),OR('Visual SPC'!$K$4="",'Data Entry'!$F3725='Visual SPC'!$K$4)),1,0))</f>
        <v/>
      </c>
      <c r="C3725">
        <f>C3724+B3725</f>
        <v/>
      </c>
      <c r="D3725">
        <f>IF(B3725=1,INDEX('Data Entry'!$H$5:$BE$10004,3725-4,'Visual SPC'!$B$3),"")</f>
        <v/>
      </c>
      <c r="E3725">
        <f>IF(B3725=1,D3725,E3724)</f>
        <v/>
      </c>
      <c r="F3725">
        <f>IF(AND(B3725=1,C3725&gt;1,E3724&lt;&gt;""),ABS(D3725-E3724),"")</f>
        <v/>
      </c>
    </row>
    <row r="3726">
      <c r="A3726" t="n">
        <v>3726</v>
      </c>
      <c r="B3726">
        <f>IF(INDEX('Data Entry'!$H$5:$BE$10004,3726-4,'Visual SPC'!$B$3)="",0,IF(AND(OR('Visual SPC'!$C$4="",'Data Entry'!$C3726&gt;='Visual SPC'!$C$4),OR('Visual SPC'!$E$4="",'Data Entry'!$C3726&lt;='Visual SPC'!$E$4),OR('Visual SPC'!$G$4="",'Data Entry'!$D3726='Visual SPC'!$G$4),OR('Visual SPC'!$I$4="",'Data Entry'!$E3726='Visual SPC'!$I$4),OR('Visual SPC'!$K$4="",'Data Entry'!$F3726='Visual SPC'!$K$4)),1,0))</f>
        <v/>
      </c>
      <c r="C3726">
        <f>C3725+B3726</f>
        <v/>
      </c>
      <c r="D3726">
        <f>IF(B3726=1,INDEX('Data Entry'!$H$5:$BE$10004,3726-4,'Visual SPC'!$B$3),"")</f>
        <v/>
      </c>
      <c r="E3726">
        <f>IF(B3726=1,D3726,E3725)</f>
        <v/>
      </c>
      <c r="F3726">
        <f>IF(AND(B3726=1,C3726&gt;1,E3725&lt;&gt;""),ABS(D3726-E3725),"")</f>
        <v/>
      </c>
    </row>
    <row r="3727">
      <c r="A3727" t="n">
        <v>3727</v>
      </c>
      <c r="B3727">
        <f>IF(INDEX('Data Entry'!$H$5:$BE$10004,3727-4,'Visual SPC'!$B$3)="",0,IF(AND(OR('Visual SPC'!$C$4="",'Data Entry'!$C3727&gt;='Visual SPC'!$C$4),OR('Visual SPC'!$E$4="",'Data Entry'!$C3727&lt;='Visual SPC'!$E$4),OR('Visual SPC'!$G$4="",'Data Entry'!$D3727='Visual SPC'!$G$4),OR('Visual SPC'!$I$4="",'Data Entry'!$E3727='Visual SPC'!$I$4),OR('Visual SPC'!$K$4="",'Data Entry'!$F3727='Visual SPC'!$K$4)),1,0))</f>
        <v/>
      </c>
      <c r="C3727">
        <f>C3726+B3727</f>
        <v/>
      </c>
      <c r="D3727">
        <f>IF(B3727=1,INDEX('Data Entry'!$H$5:$BE$10004,3727-4,'Visual SPC'!$B$3),"")</f>
        <v/>
      </c>
      <c r="E3727">
        <f>IF(B3727=1,D3727,E3726)</f>
        <v/>
      </c>
      <c r="F3727">
        <f>IF(AND(B3727=1,C3727&gt;1,E3726&lt;&gt;""),ABS(D3727-E3726),"")</f>
        <v/>
      </c>
    </row>
    <row r="3728">
      <c r="A3728" t="n">
        <v>3728</v>
      </c>
      <c r="B3728">
        <f>IF(INDEX('Data Entry'!$H$5:$BE$10004,3728-4,'Visual SPC'!$B$3)="",0,IF(AND(OR('Visual SPC'!$C$4="",'Data Entry'!$C3728&gt;='Visual SPC'!$C$4),OR('Visual SPC'!$E$4="",'Data Entry'!$C3728&lt;='Visual SPC'!$E$4),OR('Visual SPC'!$G$4="",'Data Entry'!$D3728='Visual SPC'!$G$4),OR('Visual SPC'!$I$4="",'Data Entry'!$E3728='Visual SPC'!$I$4),OR('Visual SPC'!$K$4="",'Data Entry'!$F3728='Visual SPC'!$K$4)),1,0))</f>
        <v/>
      </c>
      <c r="C3728">
        <f>C3727+B3728</f>
        <v/>
      </c>
      <c r="D3728">
        <f>IF(B3728=1,INDEX('Data Entry'!$H$5:$BE$10004,3728-4,'Visual SPC'!$B$3),"")</f>
        <v/>
      </c>
      <c r="E3728">
        <f>IF(B3728=1,D3728,E3727)</f>
        <v/>
      </c>
      <c r="F3728">
        <f>IF(AND(B3728=1,C3728&gt;1,E3727&lt;&gt;""),ABS(D3728-E3727),"")</f>
        <v/>
      </c>
    </row>
    <row r="3729">
      <c r="A3729" t="n">
        <v>3729</v>
      </c>
      <c r="B3729">
        <f>IF(INDEX('Data Entry'!$H$5:$BE$10004,3729-4,'Visual SPC'!$B$3)="",0,IF(AND(OR('Visual SPC'!$C$4="",'Data Entry'!$C3729&gt;='Visual SPC'!$C$4),OR('Visual SPC'!$E$4="",'Data Entry'!$C3729&lt;='Visual SPC'!$E$4),OR('Visual SPC'!$G$4="",'Data Entry'!$D3729='Visual SPC'!$G$4),OR('Visual SPC'!$I$4="",'Data Entry'!$E3729='Visual SPC'!$I$4),OR('Visual SPC'!$K$4="",'Data Entry'!$F3729='Visual SPC'!$K$4)),1,0))</f>
        <v/>
      </c>
      <c r="C3729">
        <f>C3728+B3729</f>
        <v/>
      </c>
      <c r="D3729">
        <f>IF(B3729=1,INDEX('Data Entry'!$H$5:$BE$10004,3729-4,'Visual SPC'!$B$3),"")</f>
        <v/>
      </c>
      <c r="E3729">
        <f>IF(B3729=1,D3729,E3728)</f>
        <v/>
      </c>
      <c r="F3729">
        <f>IF(AND(B3729=1,C3729&gt;1,E3728&lt;&gt;""),ABS(D3729-E3728),"")</f>
        <v/>
      </c>
    </row>
    <row r="3730">
      <c r="A3730" t="n">
        <v>3730</v>
      </c>
      <c r="B3730">
        <f>IF(INDEX('Data Entry'!$H$5:$BE$10004,3730-4,'Visual SPC'!$B$3)="",0,IF(AND(OR('Visual SPC'!$C$4="",'Data Entry'!$C3730&gt;='Visual SPC'!$C$4),OR('Visual SPC'!$E$4="",'Data Entry'!$C3730&lt;='Visual SPC'!$E$4),OR('Visual SPC'!$G$4="",'Data Entry'!$D3730='Visual SPC'!$G$4),OR('Visual SPC'!$I$4="",'Data Entry'!$E3730='Visual SPC'!$I$4),OR('Visual SPC'!$K$4="",'Data Entry'!$F3730='Visual SPC'!$K$4)),1,0))</f>
        <v/>
      </c>
      <c r="C3730">
        <f>C3729+B3730</f>
        <v/>
      </c>
      <c r="D3730">
        <f>IF(B3730=1,INDEX('Data Entry'!$H$5:$BE$10004,3730-4,'Visual SPC'!$B$3),"")</f>
        <v/>
      </c>
      <c r="E3730">
        <f>IF(B3730=1,D3730,E3729)</f>
        <v/>
      </c>
      <c r="F3730">
        <f>IF(AND(B3730=1,C3730&gt;1,E3729&lt;&gt;""),ABS(D3730-E3729),"")</f>
        <v/>
      </c>
    </row>
    <row r="3731">
      <c r="A3731" t="n">
        <v>3731</v>
      </c>
      <c r="B3731">
        <f>IF(INDEX('Data Entry'!$H$5:$BE$10004,3731-4,'Visual SPC'!$B$3)="",0,IF(AND(OR('Visual SPC'!$C$4="",'Data Entry'!$C3731&gt;='Visual SPC'!$C$4),OR('Visual SPC'!$E$4="",'Data Entry'!$C3731&lt;='Visual SPC'!$E$4),OR('Visual SPC'!$G$4="",'Data Entry'!$D3731='Visual SPC'!$G$4),OR('Visual SPC'!$I$4="",'Data Entry'!$E3731='Visual SPC'!$I$4),OR('Visual SPC'!$K$4="",'Data Entry'!$F3731='Visual SPC'!$K$4)),1,0))</f>
        <v/>
      </c>
      <c r="C3731">
        <f>C3730+B3731</f>
        <v/>
      </c>
      <c r="D3731">
        <f>IF(B3731=1,INDEX('Data Entry'!$H$5:$BE$10004,3731-4,'Visual SPC'!$B$3),"")</f>
        <v/>
      </c>
      <c r="E3731">
        <f>IF(B3731=1,D3731,E3730)</f>
        <v/>
      </c>
      <c r="F3731">
        <f>IF(AND(B3731=1,C3731&gt;1,E3730&lt;&gt;""),ABS(D3731-E3730),"")</f>
        <v/>
      </c>
    </row>
    <row r="3732">
      <c r="A3732" t="n">
        <v>3732</v>
      </c>
      <c r="B3732">
        <f>IF(INDEX('Data Entry'!$H$5:$BE$10004,3732-4,'Visual SPC'!$B$3)="",0,IF(AND(OR('Visual SPC'!$C$4="",'Data Entry'!$C3732&gt;='Visual SPC'!$C$4),OR('Visual SPC'!$E$4="",'Data Entry'!$C3732&lt;='Visual SPC'!$E$4),OR('Visual SPC'!$G$4="",'Data Entry'!$D3732='Visual SPC'!$G$4),OR('Visual SPC'!$I$4="",'Data Entry'!$E3732='Visual SPC'!$I$4),OR('Visual SPC'!$K$4="",'Data Entry'!$F3732='Visual SPC'!$K$4)),1,0))</f>
        <v/>
      </c>
      <c r="C3732">
        <f>C3731+B3732</f>
        <v/>
      </c>
      <c r="D3732">
        <f>IF(B3732=1,INDEX('Data Entry'!$H$5:$BE$10004,3732-4,'Visual SPC'!$B$3),"")</f>
        <v/>
      </c>
      <c r="E3732">
        <f>IF(B3732=1,D3732,E3731)</f>
        <v/>
      </c>
      <c r="F3732">
        <f>IF(AND(B3732=1,C3732&gt;1,E3731&lt;&gt;""),ABS(D3732-E3731),"")</f>
        <v/>
      </c>
    </row>
    <row r="3733">
      <c r="A3733" t="n">
        <v>3733</v>
      </c>
      <c r="B3733">
        <f>IF(INDEX('Data Entry'!$H$5:$BE$10004,3733-4,'Visual SPC'!$B$3)="",0,IF(AND(OR('Visual SPC'!$C$4="",'Data Entry'!$C3733&gt;='Visual SPC'!$C$4),OR('Visual SPC'!$E$4="",'Data Entry'!$C3733&lt;='Visual SPC'!$E$4),OR('Visual SPC'!$G$4="",'Data Entry'!$D3733='Visual SPC'!$G$4),OR('Visual SPC'!$I$4="",'Data Entry'!$E3733='Visual SPC'!$I$4),OR('Visual SPC'!$K$4="",'Data Entry'!$F3733='Visual SPC'!$K$4)),1,0))</f>
        <v/>
      </c>
      <c r="C3733">
        <f>C3732+B3733</f>
        <v/>
      </c>
      <c r="D3733">
        <f>IF(B3733=1,INDEX('Data Entry'!$H$5:$BE$10004,3733-4,'Visual SPC'!$B$3),"")</f>
        <v/>
      </c>
      <c r="E3733">
        <f>IF(B3733=1,D3733,E3732)</f>
        <v/>
      </c>
      <c r="F3733">
        <f>IF(AND(B3733=1,C3733&gt;1,E3732&lt;&gt;""),ABS(D3733-E3732),"")</f>
        <v/>
      </c>
    </row>
    <row r="3734">
      <c r="A3734" t="n">
        <v>3734</v>
      </c>
      <c r="B3734">
        <f>IF(INDEX('Data Entry'!$H$5:$BE$10004,3734-4,'Visual SPC'!$B$3)="",0,IF(AND(OR('Visual SPC'!$C$4="",'Data Entry'!$C3734&gt;='Visual SPC'!$C$4),OR('Visual SPC'!$E$4="",'Data Entry'!$C3734&lt;='Visual SPC'!$E$4),OR('Visual SPC'!$G$4="",'Data Entry'!$D3734='Visual SPC'!$G$4),OR('Visual SPC'!$I$4="",'Data Entry'!$E3734='Visual SPC'!$I$4),OR('Visual SPC'!$K$4="",'Data Entry'!$F3734='Visual SPC'!$K$4)),1,0))</f>
        <v/>
      </c>
      <c r="C3734">
        <f>C3733+B3734</f>
        <v/>
      </c>
      <c r="D3734">
        <f>IF(B3734=1,INDEX('Data Entry'!$H$5:$BE$10004,3734-4,'Visual SPC'!$B$3),"")</f>
        <v/>
      </c>
      <c r="E3734">
        <f>IF(B3734=1,D3734,E3733)</f>
        <v/>
      </c>
      <c r="F3734">
        <f>IF(AND(B3734=1,C3734&gt;1,E3733&lt;&gt;""),ABS(D3734-E3733),"")</f>
        <v/>
      </c>
    </row>
    <row r="3735">
      <c r="A3735" t="n">
        <v>3735</v>
      </c>
      <c r="B3735">
        <f>IF(INDEX('Data Entry'!$H$5:$BE$10004,3735-4,'Visual SPC'!$B$3)="",0,IF(AND(OR('Visual SPC'!$C$4="",'Data Entry'!$C3735&gt;='Visual SPC'!$C$4),OR('Visual SPC'!$E$4="",'Data Entry'!$C3735&lt;='Visual SPC'!$E$4),OR('Visual SPC'!$G$4="",'Data Entry'!$D3735='Visual SPC'!$G$4),OR('Visual SPC'!$I$4="",'Data Entry'!$E3735='Visual SPC'!$I$4),OR('Visual SPC'!$K$4="",'Data Entry'!$F3735='Visual SPC'!$K$4)),1,0))</f>
        <v/>
      </c>
      <c r="C3735">
        <f>C3734+B3735</f>
        <v/>
      </c>
      <c r="D3735">
        <f>IF(B3735=1,INDEX('Data Entry'!$H$5:$BE$10004,3735-4,'Visual SPC'!$B$3),"")</f>
        <v/>
      </c>
      <c r="E3735">
        <f>IF(B3735=1,D3735,E3734)</f>
        <v/>
      </c>
      <c r="F3735">
        <f>IF(AND(B3735=1,C3735&gt;1,E3734&lt;&gt;""),ABS(D3735-E3734),"")</f>
        <v/>
      </c>
    </row>
    <row r="3736">
      <c r="A3736" t="n">
        <v>3736</v>
      </c>
      <c r="B3736">
        <f>IF(INDEX('Data Entry'!$H$5:$BE$10004,3736-4,'Visual SPC'!$B$3)="",0,IF(AND(OR('Visual SPC'!$C$4="",'Data Entry'!$C3736&gt;='Visual SPC'!$C$4),OR('Visual SPC'!$E$4="",'Data Entry'!$C3736&lt;='Visual SPC'!$E$4),OR('Visual SPC'!$G$4="",'Data Entry'!$D3736='Visual SPC'!$G$4),OR('Visual SPC'!$I$4="",'Data Entry'!$E3736='Visual SPC'!$I$4),OR('Visual SPC'!$K$4="",'Data Entry'!$F3736='Visual SPC'!$K$4)),1,0))</f>
        <v/>
      </c>
      <c r="C3736">
        <f>C3735+B3736</f>
        <v/>
      </c>
      <c r="D3736">
        <f>IF(B3736=1,INDEX('Data Entry'!$H$5:$BE$10004,3736-4,'Visual SPC'!$B$3),"")</f>
        <v/>
      </c>
      <c r="E3736">
        <f>IF(B3736=1,D3736,E3735)</f>
        <v/>
      </c>
      <c r="F3736">
        <f>IF(AND(B3736=1,C3736&gt;1,E3735&lt;&gt;""),ABS(D3736-E3735),"")</f>
        <v/>
      </c>
    </row>
    <row r="3737">
      <c r="A3737" t="n">
        <v>3737</v>
      </c>
      <c r="B3737">
        <f>IF(INDEX('Data Entry'!$H$5:$BE$10004,3737-4,'Visual SPC'!$B$3)="",0,IF(AND(OR('Visual SPC'!$C$4="",'Data Entry'!$C3737&gt;='Visual SPC'!$C$4),OR('Visual SPC'!$E$4="",'Data Entry'!$C3737&lt;='Visual SPC'!$E$4),OR('Visual SPC'!$G$4="",'Data Entry'!$D3737='Visual SPC'!$G$4),OR('Visual SPC'!$I$4="",'Data Entry'!$E3737='Visual SPC'!$I$4),OR('Visual SPC'!$K$4="",'Data Entry'!$F3737='Visual SPC'!$K$4)),1,0))</f>
        <v/>
      </c>
      <c r="C3737">
        <f>C3736+B3737</f>
        <v/>
      </c>
      <c r="D3737">
        <f>IF(B3737=1,INDEX('Data Entry'!$H$5:$BE$10004,3737-4,'Visual SPC'!$B$3),"")</f>
        <v/>
      </c>
      <c r="E3737">
        <f>IF(B3737=1,D3737,E3736)</f>
        <v/>
      </c>
      <c r="F3737">
        <f>IF(AND(B3737=1,C3737&gt;1,E3736&lt;&gt;""),ABS(D3737-E3736),"")</f>
        <v/>
      </c>
    </row>
    <row r="3738">
      <c r="A3738" t="n">
        <v>3738</v>
      </c>
      <c r="B3738">
        <f>IF(INDEX('Data Entry'!$H$5:$BE$10004,3738-4,'Visual SPC'!$B$3)="",0,IF(AND(OR('Visual SPC'!$C$4="",'Data Entry'!$C3738&gt;='Visual SPC'!$C$4),OR('Visual SPC'!$E$4="",'Data Entry'!$C3738&lt;='Visual SPC'!$E$4),OR('Visual SPC'!$G$4="",'Data Entry'!$D3738='Visual SPC'!$G$4),OR('Visual SPC'!$I$4="",'Data Entry'!$E3738='Visual SPC'!$I$4),OR('Visual SPC'!$K$4="",'Data Entry'!$F3738='Visual SPC'!$K$4)),1,0))</f>
        <v/>
      </c>
      <c r="C3738">
        <f>C3737+B3738</f>
        <v/>
      </c>
      <c r="D3738">
        <f>IF(B3738=1,INDEX('Data Entry'!$H$5:$BE$10004,3738-4,'Visual SPC'!$B$3),"")</f>
        <v/>
      </c>
      <c r="E3738">
        <f>IF(B3738=1,D3738,E3737)</f>
        <v/>
      </c>
      <c r="F3738">
        <f>IF(AND(B3738=1,C3738&gt;1,E3737&lt;&gt;""),ABS(D3738-E3737),"")</f>
        <v/>
      </c>
    </row>
    <row r="3739">
      <c r="A3739" t="n">
        <v>3739</v>
      </c>
      <c r="B3739">
        <f>IF(INDEX('Data Entry'!$H$5:$BE$10004,3739-4,'Visual SPC'!$B$3)="",0,IF(AND(OR('Visual SPC'!$C$4="",'Data Entry'!$C3739&gt;='Visual SPC'!$C$4),OR('Visual SPC'!$E$4="",'Data Entry'!$C3739&lt;='Visual SPC'!$E$4),OR('Visual SPC'!$G$4="",'Data Entry'!$D3739='Visual SPC'!$G$4),OR('Visual SPC'!$I$4="",'Data Entry'!$E3739='Visual SPC'!$I$4),OR('Visual SPC'!$K$4="",'Data Entry'!$F3739='Visual SPC'!$K$4)),1,0))</f>
        <v/>
      </c>
      <c r="C3739">
        <f>C3738+B3739</f>
        <v/>
      </c>
      <c r="D3739">
        <f>IF(B3739=1,INDEX('Data Entry'!$H$5:$BE$10004,3739-4,'Visual SPC'!$B$3),"")</f>
        <v/>
      </c>
      <c r="E3739">
        <f>IF(B3739=1,D3739,E3738)</f>
        <v/>
      </c>
      <c r="F3739">
        <f>IF(AND(B3739=1,C3739&gt;1,E3738&lt;&gt;""),ABS(D3739-E3738),"")</f>
        <v/>
      </c>
    </row>
    <row r="3740">
      <c r="A3740" t="n">
        <v>3740</v>
      </c>
      <c r="B3740">
        <f>IF(INDEX('Data Entry'!$H$5:$BE$10004,3740-4,'Visual SPC'!$B$3)="",0,IF(AND(OR('Visual SPC'!$C$4="",'Data Entry'!$C3740&gt;='Visual SPC'!$C$4),OR('Visual SPC'!$E$4="",'Data Entry'!$C3740&lt;='Visual SPC'!$E$4),OR('Visual SPC'!$G$4="",'Data Entry'!$D3740='Visual SPC'!$G$4),OR('Visual SPC'!$I$4="",'Data Entry'!$E3740='Visual SPC'!$I$4),OR('Visual SPC'!$K$4="",'Data Entry'!$F3740='Visual SPC'!$K$4)),1,0))</f>
        <v/>
      </c>
      <c r="C3740">
        <f>C3739+B3740</f>
        <v/>
      </c>
      <c r="D3740">
        <f>IF(B3740=1,INDEX('Data Entry'!$H$5:$BE$10004,3740-4,'Visual SPC'!$B$3),"")</f>
        <v/>
      </c>
      <c r="E3740">
        <f>IF(B3740=1,D3740,E3739)</f>
        <v/>
      </c>
      <c r="F3740">
        <f>IF(AND(B3740=1,C3740&gt;1,E3739&lt;&gt;""),ABS(D3740-E3739),"")</f>
        <v/>
      </c>
    </row>
    <row r="3741">
      <c r="A3741" t="n">
        <v>3741</v>
      </c>
      <c r="B3741">
        <f>IF(INDEX('Data Entry'!$H$5:$BE$10004,3741-4,'Visual SPC'!$B$3)="",0,IF(AND(OR('Visual SPC'!$C$4="",'Data Entry'!$C3741&gt;='Visual SPC'!$C$4),OR('Visual SPC'!$E$4="",'Data Entry'!$C3741&lt;='Visual SPC'!$E$4),OR('Visual SPC'!$G$4="",'Data Entry'!$D3741='Visual SPC'!$G$4),OR('Visual SPC'!$I$4="",'Data Entry'!$E3741='Visual SPC'!$I$4),OR('Visual SPC'!$K$4="",'Data Entry'!$F3741='Visual SPC'!$K$4)),1,0))</f>
        <v/>
      </c>
      <c r="C3741">
        <f>C3740+B3741</f>
        <v/>
      </c>
      <c r="D3741">
        <f>IF(B3741=1,INDEX('Data Entry'!$H$5:$BE$10004,3741-4,'Visual SPC'!$B$3),"")</f>
        <v/>
      </c>
      <c r="E3741">
        <f>IF(B3741=1,D3741,E3740)</f>
        <v/>
      </c>
      <c r="F3741">
        <f>IF(AND(B3741=1,C3741&gt;1,E3740&lt;&gt;""),ABS(D3741-E3740),"")</f>
        <v/>
      </c>
    </row>
    <row r="3742">
      <c r="A3742" t="n">
        <v>3742</v>
      </c>
      <c r="B3742">
        <f>IF(INDEX('Data Entry'!$H$5:$BE$10004,3742-4,'Visual SPC'!$B$3)="",0,IF(AND(OR('Visual SPC'!$C$4="",'Data Entry'!$C3742&gt;='Visual SPC'!$C$4),OR('Visual SPC'!$E$4="",'Data Entry'!$C3742&lt;='Visual SPC'!$E$4),OR('Visual SPC'!$G$4="",'Data Entry'!$D3742='Visual SPC'!$G$4),OR('Visual SPC'!$I$4="",'Data Entry'!$E3742='Visual SPC'!$I$4),OR('Visual SPC'!$K$4="",'Data Entry'!$F3742='Visual SPC'!$K$4)),1,0))</f>
        <v/>
      </c>
      <c r="C3742">
        <f>C3741+B3742</f>
        <v/>
      </c>
      <c r="D3742">
        <f>IF(B3742=1,INDEX('Data Entry'!$H$5:$BE$10004,3742-4,'Visual SPC'!$B$3),"")</f>
        <v/>
      </c>
      <c r="E3742">
        <f>IF(B3742=1,D3742,E3741)</f>
        <v/>
      </c>
      <c r="F3742">
        <f>IF(AND(B3742=1,C3742&gt;1,E3741&lt;&gt;""),ABS(D3742-E3741),"")</f>
        <v/>
      </c>
    </row>
    <row r="3743">
      <c r="A3743" t="n">
        <v>3743</v>
      </c>
      <c r="B3743">
        <f>IF(INDEX('Data Entry'!$H$5:$BE$10004,3743-4,'Visual SPC'!$B$3)="",0,IF(AND(OR('Visual SPC'!$C$4="",'Data Entry'!$C3743&gt;='Visual SPC'!$C$4),OR('Visual SPC'!$E$4="",'Data Entry'!$C3743&lt;='Visual SPC'!$E$4),OR('Visual SPC'!$G$4="",'Data Entry'!$D3743='Visual SPC'!$G$4),OR('Visual SPC'!$I$4="",'Data Entry'!$E3743='Visual SPC'!$I$4),OR('Visual SPC'!$K$4="",'Data Entry'!$F3743='Visual SPC'!$K$4)),1,0))</f>
        <v/>
      </c>
      <c r="C3743">
        <f>C3742+B3743</f>
        <v/>
      </c>
      <c r="D3743">
        <f>IF(B3743=1,INDEX('Data Entry'!$H$5:$BE$10004,3743-4,'Visual SPC'!$B$3),"")</f>
        <v/>
      </c>
      <c r="E3743">
        <f>IF(B3743=1,D3743,E3742)</f>
        <v/>
      </c>
      <c r="F3743">
        <f>IF(AND(B3743=1,C3743&gt;1,E3742&lt;&gt;""),ABS(D3743-E3742),"")</f>
        <v/>
      </c>
    </row>
    <row r="3744">
      <c r="A3744" t="n">
        <v>3744</v>
      </c>
      <c r="B3744">
        <f>IF(INDEX('Data Entry'!$H$5:$BE$10004,3744-4,'Visual SPC'!$B$3)="",0,IF(AND(OR('Visual SPC'!$C$4="",'Data Entry'!$C3744&gt;='Visual SPC'!$C$4),OR('Visual SPC'!$E$4="",'Data Entry'!$C3744&lt;='Visual SPC'!$E$4),OR('Visual SPC'!$G$4="",'Data Entry'!$D3744='Visual SPC'!$G$4),OR('Visual SPC'!$I$4="",'Data Entry'!$E3744='Visual SPC'!$I$4),OR('Visual SPC'!$K$4="",'Data Entry'!$F3744='Visual SPC'!$K$4)),1,0))</f>
        <v/>
      </c>
      <c r="C3744">
        <f>C3743+B3744</f>
        <v/>
      </c>
      <c r="D3744">
        <f>IF(B3744=1,INDEX('Data Entry'!$H$5:$BE$10004,3744-4,'Visual SPC'!$B$3),"")</f>
        <v/>
      </c>
      <c r="E3744">
        <f>IF(B3744=1,D3744,E3743)</f>
        <v/>
      </c>
      <c r="F3744">
        <f>IF(AND(B3744=1,C3744&gt;1,E3743&lt;&gt;""),ABS(D3744-E3743),"")</f>
        <v/>
      </c>
    </row>
    <row r="3745">
      <c r="A3745" t="n">
        <v>3745</v>
      </c>
      <c r="B3745">
        <f>IF(INDEX('Data Entry'!$H$5:$BE$10004,3745-4,'Visual SPC'!$B$3)="",0,IF(AND(OR('Visual SPC'!$C$4="",'Data Entry'!$C3745&gt;='Visual SPC'!$C$4),OR('Visual SPC'!$E$4="",'Data Entry'!$C3745&lt;='Visual SPC'!$E$4),OR('Visual SPC'!$G$4="",'Data Entry'!$D3745='Visual SPC'!$G$4),OR('Visual SPC'!$I$4="",'Data Entry'!$E3745='Visual SPC'!$I$4),OR('Visual SPC'!$K$4="",'Data Entry'!$F3745='Visual SPC'!$K$4)),1,0))</f>
        <v/>
      </c>
      <c r="C3745">
        <f>C3744+B3745</f>
        <v/>
      </c>
      <c r="D3745">
        <f>IF(B3745=1,INDEX('Data Entry'!$H$5:$BE$10004,3745-4,'Visual SPC'!$B$3),"")</f>
        <v/>
      </c>
      <c r="E3745">
        <f>IF(B3745=1,D3745,E3744)</f>
        <v/>
      </c>
      <c r="F3745">
        <f>IF(AND(B3745=1,C3745&gt;1,E3744&lt;&gt;""),ABS(D3745-E3744),"")</f>
        <v/>
      </c>
    </row>
    <row r="3746">
      <c r="A3746" t="n">
        <v>3746</v>
      </c>
      <c r="B3746">
        <f>IF(INDEX('Data Entry'!$H$5:$BE$10004,3746-4,'Visual SPC'!$B$3)="",0,IF(AND(OR('Visual SPC'!$C$4="",'Data Entry'!$C3746&gt;='Visual SPC'!$C$4),OR('Visual SPC'!$E$4="",'Data Entry'!$C3746&lt;='Visual SPC'!$E$4),OR('Visual SPC'!$G$4="",'Data Entry'!$D3746='Visual SPC'!$G$4),OR('Visual SPC'!$I$4="",'Data Entry'!$E3746='Visual SPC'!$I$4),OR('Visual SPC'!$K$4="",'Data Entry'!$F3746='Visual SPC'!$K$4)),1,0))</f>
        <v/>
      </c>
      <c r="C3746">
        <f>C3745+B3746</f>
        <v/>
      </c>
      <c r="D3746">
        <f>IF(B3746=1,INDEX('Data Entry'!$H$5:$BE$10004,3746-4,'Visual SPC'!$B$3),"")</f>
        <v/>
      </c>
      <c r="E3746">
        <f>IF(B3746=1,D3746,E3745)</f>
        <v/>
      </c>
      <c r="F3746">
        <f>IF(AND(B3746=1,C3746&gt;1,E3745&lt;&gt;""),ABS(D3746-E3745),"")</f>
        <v/>
      </c>
    </row>
    <row r="3747">
      <c r="A3747" t="n">
        <v>3747</v>
      </c>
      <c r="B3747">
        <f>IF(INDEX('Data Entry'!$H$5:$BE$10004,3747-4,'Visual SPC'!$B$3)="",0,IF(AND(OR('Visual SPC'!$C$4="",'Data Entry'!$C3747&gt;='Visual SPC'!$C$4),OR('Visual SPC'!$E$4="",'Data Entry'!$C3747&lt;='Visual SPC'!$E$4),OR('Visual SPC'!$G$4="",'Data Entry'!$D3747='Visual SPC'!$G$4),OR('Visual SPC'!$I$4="",'Data Entry'!$E3747='Visual SPC'!$I$4),OR('Visual SPC'!$K$4="",'Data Entry'!$F3747='Visual SPC'!$K$4)),1,0))</f>
        <v/>
      </c>
      <c r="C3747">
        <f>C3746+B3747</f>
        <v/>
      </c>
      <c r="D3747">
        <f>IF(B3747=1,INDEX('Data Entry'!$H$5:$BE$10004,3747-4,'Visual SPC'!$B$3),"")</f>
        <v/>
      </c>
      <c r="E3747">
        <f>IF(B3747=1,D3747,E3746)</f>
        <v/>
      </c>
      <c r="F3747">
        <f>IF(AND(B3747=1,C3747&gt;1,E3746&lt;&gt;""),ABS(D3747-E3746),"")</f>
        <v/>
      </c>
    </row>
    <row r="3748">
      <c r="A3748" t="n">
        <v>3748</v>
      </c>
      <c r="B3748">
        <f>IF(INDEX('Data Entry'!$H$5:$BE$10004,3748-4,'Visual SPC'!$B$3)="",0,IF(AND(OR('Visual SPC'!$C$4="",'Data Entry'!$C3748&gt;='Visual SPC'!$C$4),OR('Visual SPC'!$E$4="",'Data Entry'!$C3748&lt;='Visual SPC'!$E$4),OR('Visual SPC'!$G$4="",'Data Entry'!$D3748='Visual SPC'!$G$4),OR('Visual SPC'!$I$4="",'Data Entry'!$E3748='Visual SPC'!$I$4),OR('Visual SPC'!$K$4="",'Data Entry'!$F3748='Visual SPC'!$K$4)),1,0))</f>
        <v/>
      </c>
      <c r="C3748">
        <f>C3747+B3748</f>
        <v/>
      </c>
      <c r="D3748">
        <f>IF(B3748=1,INDEX('Data Entry'!$H$5:$BE$10004,3748-4,'Visual SPC'!$B$3),"")</f>
        <v/>
      </c>
      <c r="E3748">
        <f>IF(B3748=1,D3748,E3747)</f>
        <v/>
      </c>
      <c r="F3748">
        <f>IF(AND(B3748=1,C3748&gt;1,E3747&lt;&gt;""),ABS(D3748-E3747),"")</f>
        <v/>
      </c>
    </row>
    <row r="3749">
      <c r="A3749" t="n">
        <v>3749</v>
      </c>
      <c r="B3749">
        <f>IF(INDEX('Data Entry'!$H$5:$BE$10004,3749-4,'Visual SPC'!$B$3)="",0,IF(AND(OR('Visual SPC'!$C$4="",'Data Entry'!$C3749&gt;='Visual SPC'!$C$4),OR('Visual SPC'!$E$4="",'Data Entry'!$C3749&lt;='Visual SPC'!$E$4),OR('Visual SPC'!$G$4="",'Data Entry'!$D3749='Visual SPC'!$G$4),OR('Visual SPC'!$I$4="",'Data Entry'!$E3749='Visual SPC'!$I$4),OR('Visual SPC'!$K$4="",'Data Entry'!$F3749='Visual SPC'!$K$4)),1,0))</f>
        <v/>
      </c>
      <c r="C3749">
        <f>C3748+B3749</f>
        <v/>
      </c>
      <c r="D3749">
        <f>IF(B3749=1,INDEX('Data Entry'!$H$5:$BE$10004,3749-4,'Visual SPC'!$B$3),"")</f>
        <v/>
      </c>
      <c r="E3749">
        <f>IF(B3749=1,D3749,E3748)</f>
        <v/>
      </c>
      <c r="F3749">
        <f>IF(AND(B3749=1,C3749&gt;1,E3748&lt;&gt;""),ABS(D3749-E3748),"")</f>
        <v/>
      </c>
    </row>
    <row r="3750">
      <c r="A3750" t="n">
        <v>3750</v>
      </c>
      <c r="B3750">
        <f>IF(INDEX('Data Entry'!$H$5:$BE$10004,3750-4,'Visual SPC'!$B$3)="",0,IF(AND(OR('Visual SPC'!$C$4="",'Data Entry'!$C3750&gt;='Visual SPC'!$C$4),OR('Visual SPC'!$E$4="",'Data Entry'!$C3750&lt;='Visual SPC'!$E$4),OR('Visual SPC'!$G$4="",'Data Entry'!$D3750='Visual SPC'!$G$4),OR('Visual SPC'!$I$4="",'Data Entry'!$E3750='Visual SPC'!$I$4),OR('Visual SPC'!$K$4="",'Data Entry'!$F3750='Visual SPC'!$K$4)),1,0))</f>
        <v/>
      </c>
      <c r="C3750">
        <f>C3749+B3750</f>
        <v/>
      </c>
      <c r="D3750">
        <f>IF(B3750=1,INDEX('Data Entry'!$H$5:$BE$10004,3750-4,'Visual SPC'!$B$3),"")</f>
        <v/>
      </c>
      <c r="E3750">
        <f>IF(B3750=1,D3750,E3749)</f>
        <v/>
      </c>
      <c r="F3750">
        <f>IF(AND(B3750=1,C3750&gt;1,E3749&lt;&gt;""),ABS(D3750-E3749),"")</f>
        <v/>
      </c>
    </row>
    <row r="3751">
      <c r="A3751" t="n">
        <v>3751</v>
      </c>
      <c r="B3751">
        <f>IF(INDEX('Data Entry'!$H$5:$BE$10004,3751-4,'Visual SPC'!$B$3)="",0,IF(AND(OR('Visual SPC'!$C$4="",'Data Entry'!$C3751&gt;='Visual SPC'!$C$4),OR('Visual SPC'!$E$4="",'Data Entry'!$C3751&lt;='Visual SPC'!$E$4),OR('Visual SPC'!$G$4="",'Data Entry'!$D3751='Visual SPC'!$G$4),OR('Visual SPC'!$I$4="",'Data Entry'!$E3751='Visual SPC'!$I$4),OR('Visual SPC'!$K$4="",'Data Entry'!$F3751='Visual SPC'!$K$4)),1,0))</f>
        <v/>
      </c>
      <c r="C3751">
        <f>C3750+B3751</f>
        <v/>
      </c>
      <c r="D3751">
        <f>IF(B3751=1,INDEX('Data Entry'!$H$5:$BE$10004,3751-4,'Visual SPC'!$B$3),"")</f>
        <v/>
      </c>
      <c r="E3751">
        <f>IF(B3751=1,D3751,E3750)</f>
        <v/>
      </c>
      <c r="F3751">
        <f>IF(AND(B3751=1,C3751&gt;1,E3750&lt;&gt;""),ABS(D3751-E3750),"")</f>
        <v/>
      </c>
    </row>
    <row r="3752">
      <c r="A3752" t="n">
        <v>3752</v>
      </c>
      <c r="B3752">
        <f>IF(INDEX('Data Entry'!$H$5:$BE$10004,3752-4,'Visual SPC'!$B$3)="",0,IF(AND(OR('Visual SPC'!$C$4="",'Data Entry'!$C3752&gt;='Visual SPC'!$C$4),OR('Visual SPC'!$E$4="",'Data Entry'!$C3752&lt;='Visual SPC'!$E$4),OR('Visual SPC'!$G$4="",'Data Entry'!$D3752='Visual SPC'!$G$4),OR('Visual SPC'!$I$4="",'Data Entry'!$E3752='Visual SPC'!$I$4),OR('Visual SPC'!$K$4="",'Data Entry'!$F3752='Visual SPC'!$K$4)),1,0))</f>
        <v/>
      </c>
      <c r="C3752">
        <f>C3751+B3752</f>
        <v/>
      </c>
      <c r="D3752">
        <f>IF(B3752=1,INDEX('Data Entry'!$H$5:$BE$10004,3752-4,'Visual SPC'!$B$3),"")</f>
        <v/>
      </c>
      <c r="E3752">
        <f>IF(B3752=1,D3752,E3751)</f>
        <v/>
      </c>
      <c r="F3752">
        <f>IF(AND(B3752=1,C3752&gt;1,E3751&lt;&gt;""),ABS(D3752-E3751),"")</f>
        <v/>
      </c>
    </row>
    <row r="3753">
      <c r="A3753" t="n">
        <v>3753</v>
      </c>
      <c r="B3753">
        <f>IF(INDEX('Data Entry'!$H$5:$BE$10004,3753-4,'Visual SPC'!$B$3)="",0,IF(AND(OR('Visual SPC'!$C$4="",'Data Entry'!$C3753&gt;='Visual SPC'!$C$4),OR('Visual SPC'!$E$4="",'Data Entry'!$C3753&lt;='Visual SPC'!$E$4),OR('Visual SPC'!$G$4="",'Data Entry'!$D3753='Visual SPC'!$G$4),OR('Visual SPC'!$I$4="",'Data Entry'!$E3753='Visual SPC'!$I$4),OR('Visual SPC'!$K$4="",'Data Entry'!$F3753='Visual SPC'!$K$4)),1,0))</f>
        <v/>
      </c>
      <c r="C3753">
        <f>C3752+B3753</f>
        <v/>
      </c>
      <c r="D3753">
        <f>IF(B3753=1,INDEX('Data Entry'!$H$5:$BE$10004,3753-4,'Visual SPC'!$B$3),"")</f>
        <v/>
      </c>
      <c r="E3753">
        <f>IF(B3753=1,D3753,E3752)</f>
        <v/>
      </c>
      <c r="F3753">
        <f>IF(AND(B3753=1,C3753&gt;1,E3752&lt;&gt;""),ABS(D3753-E3752),"")</f>
        <v/>
      </c>
    </row>
    <row r="3754">
      <c r="A3754" t="n">
        <v>3754</v>
      </c>
      <c r="B3754">
        <f>IF(INDEX('Data Entry'!$H$5:$BE$10004,3754-4,'Visual SPC'!$B$3)="",0,IF(AND(OR('Visual SPC'!$C$4="",'Data Entry'!$C3754&gt;='Visual SPC'!$C$4),OR('Visual SPC'!$E$4="",'Data Entry'!$C3754&lt;='Visual SPC'!$E$4),OR('Visual SPC'!$G$4="",'Data Entry'!$D3754='Visual SPC'!$G$4),OR('Visual SPC'!$I$4="",'Data Entry'!$E3754='Visual SPC'!$I$4),OR('Visual SPC'!$K$4="",'Data Entry'!$F3754='Visual SPC'!$K$4)),1,0))</f>
        <v/>
      </c>
      <c r="C3754">
        <f>C3753+B3754</f>
        <v/>
      </c>
      <c r="D3754">
        <f>IF(B3754=1,INDEX('Data Entry'!$H$5:$BE$10004,3754-4,'Visual SPC'!$B$3),"")</f>
        <v/>
      </c>
      <c r="E3754">
        <f>IF(B3754=1,D3754,E3753)</f>
        <v/>
      </c>
      <c r="F3754">
        <f>IF(AND(B3754=1,C3754&gt;1,E3753&lt;&gt;""),ABS(D3754-E3753),"")</f>
        <v/>
      </c>
    </row>
    <row r="3755">
      <c r="A3755" t="n">
        <v>3755</v>
      </c>
      <c r="B3755">
        <f>IF(INDEX('Data Entry'!$H$5:$BE$10004,3755-4,'Visual SPC'!$B$3)="",0,IF(AND(OR('Visual SPC'!$C$4="",'Data Entry'!$C3755&gt;='Visual SPC'!$C$4),OR('Visual SPC'!$E$4="",'Data Entry'!$C3755&lt;='Visual SPC'!$E$4),OR('Visual SPC'!$G$4="",'Data Entry'!$D3755='Visual SPC'!$G$4),OR('Visual SPC'!$I$4="",'Data Entry'!$E3755='Visual SPC'!$I$4),OR('Visual SPC'!$K$4="",'Data Entry'!$F3755='Visual SPC'!$K$4)),1,0))</f>
        <v/>
      </c>
      <c r="C3755">
        <f>C3754+B3755</f>
        <v/>
      </c>
      <c r="D3755">
        <f>IF(B3755=1,INDEX('Data Entry'!$H$5:$BE$10004,3755-4,'Visual SPC'!$B$3),"")</f>
        <v/>
      </c>
      <c r="E3755">
        <f>IF(B3755=1,D3755,E3754)</f>
        <v/>
      </c>
      <c r="F3755">
        <f>IF(AND(B3755=1,C3755&gt;1,E3754&lt;&gt;""),ABS(D3755-E3754),"")</f>
        <v/>
      </c>
    </row>
    <row r="3756">
      <c r="A3756" t="n">
        <v>3756</v>
      </c>
      <c r="B3756">
        <f>IF(INDEX('Data Entry'!$H$5:$BE$10004,3756-4,'Visual SPC'!$B$3)="",0,IF(AND(OR('Visual SPC'!$C$4="",'Data Entry'!$C3756&gt;='Visual SPC'!$C$4),OR('Visual SPC'!$E$4="",'Data Entry'!$C3756&lt;='Visual SPC'!$E$4),OR('Visual SPC'!$G$4="",'Data Entry'!$D3756='Visual SPC'!$G$4),OR('Visual SPC'!$I$4="",'Data Entry'!$E3756='Visual SPC'!$I$4),OR('Visual SPC'!$K$4="",'Data Entry'!$F3756='Visual SPC'!$K$4)),1,0))</f>
        <v/>
      </c>
      <c r="C3756">
        <f>C3755+B3756</f>
        <v/>
      </c>
      <c r="D3756">
        <f>IF(B3756=1,INDEX('Data Entry'!$H$5:$BE$10004,3756-4,'Visual SPC'!$B$3),"")</f>
        <v/>
      </c>
      <c r="E3756">
        <f>IF(B3756=1,D3756,E3755)</f>
        <v/>
      </c>
      <c r="F3756">
        <f>IF(AND(B3756=1,C3756&gt;1,E3755&lt;&gt;""),ABS(D3756-E3755),"")</f>
        <v/>
      </c>
    </row>
    <row r="3757">
      <c r="A3757" t="n">
        <v>3757</v>
      </c>
      <c r="B3757">
        <f>IF(INDEX('Data Entry'!$H$5:$BE$10004,3757-4,'Visual SPC'!$B$3)="",0,IF(AND(OR('Visual SPC'!$C$4="",'Data Entry'!$C3757&gt;='Visual SPC'!$C$4),OR('Visual SPC'!$E$4="",'Data Entry'!$C3757&lt;='Visual SPC'!$E$4),OR('Visual SPC'!$G$4="",'Data Entry'!$D3757='Visual SPC'!$G$4),OR('Visual SPC'!$I$4="",'Data Entry'!$E3757='Visual SPC'!$I$4),OR('Visual SPC'!$K$4="",'Data Entry'!$F3757='Visual SPC'!$K$4)),1,0))</f>
        <v/>
      </c>
      <c r="C3757">
        <f>C3756+B3757</f>
        <v/>
      </c>
      <c r="D3757">
        <f>IF(B3757=1,INDEX('Data Entry'!$H$5:$BE$10004,3757-4,'Visual SPC'!$B$3),"")</f>
        <v/>
      </c>
      <c r="E3757">
        <f>IF(B3757=1,D3757,E3756)</f>
        <v/>
      </c>
      <c r="F3757">
        <f>IF(AND(B3757=1,C3757&gt;1,E3756&lt;&gt;""),ABS(D3757-E3756),"")</f>
        <v/>
      </c>
    </row>
    <row r="3758">
      <c r="A3758" t="n">
        <v>3758</v>
      </c>
      <c r="B3758">
        <f>IF(INDEX('Data Entry'!$H$5:$BE$10004,3758-4,'Visual SPC'!$B$3)="",0,IF(AND(OR('Visual SPC'!$C$4="",'Data Entry'!$C3758&gt;='Visual SPC'!$C$4),OR('Visual SPC'!$E$4="",'Data Entry'!$C3758&lt;='Visual SPC'!$E$4),OR('Visual SPC'!$G$4="",'Data Entry'!$D3758='Visual SPC'!$G$4),OR('Visual SPC'!$I$4="",'Data Entry'!$E3758='Visual SPC'!$I$4),OR('Visual SPC'!$K$4="",'Data Entry'!$F3758='Visual SPC'!$K$4)),1,0))</f>
        <v/>
      </c>
      <c r="C3758">
        <f>C3757+B3758</f>
        <v/>
      </c>
      <c r="D3758">
        <f>IF(B3758=1,INDEX('Data Entry'!$H$5:$BE$10004,3758-4,'Visual SPC'!$B$3),"")</f>
        <v/>
      </c>
      <c r="E3758">
        <f>IF(B3758=1,D3758,E3757)</f>
        <v/>
      </c>
      <c r="F3758">
        <f>IF(AND(B3758=1,C3758&gt;1,E3757&lt;&gt;""),ABS(D3758-E3757),"")</f>
        <v/>
      </c>
    </row>
    <row r="3759">
      <c r="A3759" t="n">
        <v>3759</v>
      </c>
      <c r="B3759">
        <f>IF(INDEX('Data Entry'!$H$5:$BE$10004,3759-4,'Visual SPC'!$B$3)="",0,IF(AND(OR('Visual SPC'!$C$4="",'Data Entry'!$C3759&gt;='Visual SPC'!$C$4),OR('Visual SPC'!$E$4="",'Data Entry'!$C3759&lt;='Visual SPC'!$E$4),OR('Visual SPC'!$G$4="",'Data Entry'!$D3759='Visual SPC'!$G$4),OR('Visual SPC'!$I$4="",'Data Entry'!$E3759='Visual SPC'!$I$4),OR('Visual SPC'!$K$4="",'Data Entry'!$F3759='Visual SPC'!$K$4)),1,0))</f>
        <v/>
      </c>
      <c r="C3759">
        <f>C3758+B3759</f>
        <v/>
      </c>
      <c r="D3759">
        <f>IF(B3759=1,INDEX('Data Entry'!$H$5:$BE$10004,3759-4,'Visual SPC'!$B$3),"")</f>
        <v/>
      </c>
      <c r="E3759">
        <f>IF(B3759=1,D3759,E3758)</f>
        <v/>
      </c>
      <c r="F3759">
        <f>IF(AND(B3759=1,C3759&gt;1,E3758&lt;&gt;""),ABS(D3759-E3758),"")</f>
        <v/>
      </c>
    </row>
    <row r="3760">
      <c r="A3760" t="n">
        <v>3760</v>
      </c>
      <c r="B3760">
        <f>IF(INDEX('Data Entry'!$H$5:$BE$10004,3760-4,'Visual SPC'!$B$3)="",0,IF(AND(OR('Visual SPC'!$C$4="",'Data Entry'!$C3760&gt;='Visual SPC'!$C$4),OR('Visual SPC'!$E$4="",'Data Entry'!$C3760&lt;='Visual SPC'!$E$4),OR('Visual SPC'!$G$4="",'Data Entry'!$D3760='Visual SPC'!$G$4),OR('Visual SPC'!$I$4="",'Data Entry'!$E3760='Visual SPC'!$I$4),OR('Visual SPC'!$K$4="",'Data Entry'!$F3760='Visual SPC'!$K$4)),1,0))</f>
        <v/>
      </c>
      <c r="C3760">
        <f>C3759+B3760</f>
        <v/>
      </c>
      <c r="D3760">
        <f>IF(B3760=1,INDEX('Data Entry'!$H$5:$BE$10004,3760-4,'Visual SPC'!$B$3),"")</f>
        <v/>
      </c>
      <c r="E3760">
        <f>IF(B3760=1,D3760,E3759)</f>
        <v/>
      </c>
      <c r="F3760">
        <f>IF(AND(B3760=1,C3760&gt;1,E3759&lt;&gt;""),ABS(D3760-E3759),"")</f>
        <v/>
      </c>
    </row>
    <row r="3761">
      <c r="A3761" t="n">
        <v>3761</v>
      </c>
      <c r="B3761">
        <f>IF(INDEX('Data Entry'!$H$5:$BE$10004,3761-4,'Visual SPC'!$B$3)="",0,IF(AND(OR('Visual SPC'!$C$4="",'Data Entry'!$C3761&gt;='Visual SPC'!$C$4),OR('Visual SPC'!$E$4="",'Data Entry'!$C3761&lt;='Visual SPC'!$E$4),OR('Visual SPC'!$G$4="",'Data Entry'!$D3761='Visual SPC'!$G$4),OR('Visual SPC'!$I$4="",'Data Entry'!$E3761='Visual SPC'!$I$4),OR('Visual SPC'!$K$4="",'Data Entry'!$F3761='Visual SPC'!$K$4)),1,0))</f>
        <v/>
      </c>
      <c r="C3761">
        <f>C3760+B3761</f>
        <v/>
      </c>
      <c r="D3761">
        <f>IF(B3761=1,INDEX('Data Entry'!$H$5:$BE$10004,3761-4,'Visual SPC'!$B$3),"")</f>
        <v/>
      </c>
      <c r="E3761">
        <f>IF(B3761=1,D3761,E3760)</f>
        <v/>
      </c>
      <c r="F3761">
        <f>IF(AND(B3761=1,C3761&gt;1,E3760&lt;&gt;""),ABS(D3761-E3760),"")</f>
        <v/>
      </c>
    </row>
    <row r="3762">
      <c r="A3762" t="n">
        <v>3762</v>
      </c>
      <c r="B3762">
        <f>IF(INDEX('Data Entry'!$H$5:$BE$10004,3762-4,'Visual SPC'!$B$3)="",0,IF(AND(OR('Visual SPC'!$C$4="",'Data Entry'!$C3762&gt;='Visual SPC'!$C$4),OR('Visual SPC'!$E$4="",'Data Entry'!$C3762&lt;='Visual SPC'!$E$4),OR('Visual SPC'!$G$4="",'Data Entry'!$D3762='Visual SPC'!$G$4),OR('Visual SPC'!$I$4="",'Data Entry'!$E3762='Visual SPC'!$I$4),OR('Visual SPC'!$K$4="",'Data Entry'!$F3762='Visual SPC'!$K$4)),1,0))</f>
        <v/>
      </c>
      <c r="C3762">
        <f>C3761+B3762</f>
        <v/>
      </c>
      <c r="D3762">
        <f>IF(B3762=1,INDEX('Data Entry'!$H$5:$BE$10004,3762-4,'Visual SPC'!$B$3),"")</f>
        <v/>
      </c>
      <c r="E3762">
        <f>IF(B3762=1,D3762,E3761)</f>
        <v/>
      </c>
      <c r="F3762">
        <f>IF(AND(B3762=1,C3762&gt;1,E3761&lt;&gt;""),ABS(D3762-E3761),"")</f>
        <v/>
      </c>
    </row>
    <row r="3763">
      <c r="A3763" t="n">
        <v>3763</v>
      </c>
      <c r="B3763">
        <f>IF(INDEX('Data Entry'!$H$5:$BE$10004,3763-4,'Visual SPC'!$B$3)="",0,IF(AND(OR('Visual SPC'!$C$4="",'Data Entry'!$C3763&gt;='Visual SPC'!$C$4),OR('Visual SPC'!$E$4="",'Data Entry'!$C3763&lt;='Visual SPC'!$E$4),OR('Visual SPC'!$G$4="",'Data Entry'!$D3763='Visual SPC'!$G$4),OR('Visual SPC'!$I$4="",'Data Entry'!$E3763='Visual SPC'!$I$4),OR('Visual SPC'!$K$4="",'Data Entry'!$F3763='Visual SPC'!$K$4)),1,0))</f>
        <v/>
      </c>
      <c r="C3763">
        <f>C3762+B3763</f>
        <v/>
      </c>
      <c r="D3763">
        <f>IF(B3763=1,INDEX('Data Entry'!$H$5:$BE$10004,3763-4,'Visual SPC'!$B$3),"")</f>
        <v/>
      </c>
      <c r="E3763">
        <f>IF(B3763=1,D3763,E3762)</f>
        <v/>
      </c>
      <c r="F3763">
        <f>IF(AND(B3763=1,C3763&gt;1,E3762&lt;&gt;""),ABS(D3763-E3762),"")</f>
        <v/>
      </c>
    </row>
    <row r="3764">
      <c r="A3764" t="n">
        <v>3764</v>
      </c>
      <c r="B3764">
        <f>IF(INDEX('Data Entry'!$H$5:$BE$10004,3764-4,'Visual SPC'!$B$3)="",0,IF(AND(OR('Visual SPC'!$C$4="",'Data Entry'!$C3764&gt;='Visual SPC'!$C$4),OR('Visual SPC'!$E$4="",'Data Entry'!$C3764&lt;='Visual SPC'!$E$4),OR('Visual SPC'!$G$4="",'Data Entry'!$D3764='Visual SPC'!$G$4),OR('Visual SPC'!$I$4="",'Data Entry'!$E3764='Visual SPC'!$I$4),OR('Visual SPC'!$K$4="",'Data Entry'!$F3764='Visual SPC'!$K$4)),1,0))</f>
        <v/>
      </c>
      <c r="C3764">
        <f>C3763+B3764</f>
        <v/>
      </c>
      <c r="D3764">
        <f>IF(B3764=1,INDEX('Data Entry'!$H$5:$BE$10004,3764-4,'Visual SPC'!$B$3),"")</f>
        <v/>
      </c>
      <c r="E3764">
        <f>IF(B3764=1,D3764,E3763)</f>
        <v/>
      </c>
      <c r="F3764">
        <f>IF(AND(B3764=1,C3764&gt;1,E3763&lt;&gt;""),ABS(D3764-E3763),"")</f>
        <v/>
      </c>
    </row>
    <row r="3765">
      <c r="A3765" t="n">
        <v>3765</v>
      </c>
      <c r="B3765">
        <f>IF(INDEX('Data Entry'!$H$5:$BE$10004,3765-4,'Visual SPC'!$B$3)="",0,IF(AND(OR('Visual SPC'!$C$4="",'Data Entry'!$C3765&gt;='Visual SPC'!$C$4),OR('Visual SPC'!$E$4="",'Data Entry'!$C3765&lt;='Visual SPC'!$E$4),OR('Visual SPC'!$G$4="",'Data Entry'!$D3765='Visual SPC'!$G$4),OR('Visual SPC'!$I$4="",'Data Entry'!$E3765='Visual SPC'!$I$4),OR('Visual SPC'!$K$4="",'Data Entry'!$F3765='Visual SPC'!$K$4)),1,0))</f>
        <v/>
      </c>
      <c r="C3765">
        <f>C3764+B3765</f>
        <v/>
      </c>
      <c r="D3765">
        <f>IF(B3765=1,INDEX('Data Entry'!$H$5:$BE$10004,3765-4,'Visual SPC'!$B$3),"")</f>
        <v/>
      </c>
      <c r="E3765">
        <f>IF(B3765=1,D3765,E3764)</f>
        <v/>
      </c>
      <c r="F3765">
        <f>IF(AND(B3765=1,C3765&gt;1,E3764&lt;&gt;""),ABS(D3765-E3764),"")</f>
        <v/>
      </c>
    </row>
    <row r="3766">
      <c r="A3766" t="n">
        <v>3766</v>
      </c>
      <c r="B3766">
        <f>IF(INDEX('Data Entry'!$H$5:$BE$10004,3766-4,'Visual SPC'!$B$3)="",0,IF(AND(OR('Visual SPC'!$C$4="",'Data Entry'!$C3766&gt;='Visual SPC'!$C$4),OR('Visual SPC'!$E$4="",'Data Entry'!$C3766&lt;='Visual SPC'!$E$4),OR('Visual SPC'!$G$4="",'Data Entry'!$D3766='Visual SPC'!$G$4),OR('Visual SPC'!$I$4="",'Data Entry'!$E3766='Visual SPC'!$I$4),OR('Visual SPC'!$K$4="",'Data Entry'!$F3766='Visual SPC'!$K$4)),1,0))</f>
        <v/>
      </c>
      <c r="C3766">
        <f>C3765+B3766</f>
        <v/>
      </c>
      <c r="D3766">
        <f>IF(B3766=1,INDEX('Data Entry'!$H$5:$BE$10004,3766-4,'Visual SPC'!$B$3),"")</f>
        <v/>
      </c>
      <c r="E3766">
        <f>IF(B3766=1,D3766,E3765)</f>
        <v/>
      </c>
      <c r="F3766">
        <f>IF(AND(B3766=1,C3766&gt;1,E3765&lt;&gt;""),ABS(D3766-E3765),"")</f>
        <v/>
      </c>
    </row>
    <row r="3767">
      <c r="A3767" t="n">
        <v>3767</v>
      </c>
      <c r="B3767">
        <f>IF(INDEX('Data Entry'!$H$5:$BE$10004,3767-4,'Visual SPC'!$B$3)="",0,IF(AND(OR('Visual SPC'!$C$4="",'Data Entry'!$C3767&gt;='Visual SPC'!$C$4),OR('Visual SPC'!$E$4="",'Data Entry'!$C3767&lt;='Visual SPC'!$E$4),OR('Visual SPC'!$G$4="",'Data Entry'!$D3767='Visual SPC'!$G$4),OR('Visual SPC'!$I$4="",'Data Entry'!$E3767='Visual SPC'!$I$4),OR('Visual SPC'!$K$4="",'Data Entry'!$F3767='Visual SPC'!$K$4)),1,0))</f>
        <v/>
      </c>
      <c r="C3767">
        <f>C3766+B3767</f>
        <v/>
      </c>
      <c r="D3767">
        <f>IF(B3767=1,INDEX('Data Entry'!$H$5:$BE$10004,3767-4,'Visual SPC'!$B$3),"")</f>
        <v/>
      </c>
      <c r="E3767">
        <f>IF(B3767=1,D3767,E3766)</f>
        <v/>
      </c>
      <c r="F3767">
        <f>IF(AND(B3767=1,C3767&gt;1,E3766&lt;&gt;""),ABS(D3767-E3766),"")</f>
        <v/>
      </c>
    </row>
    <row r="3768">
      <c r="A3768" t="n">
        <v>3768</v>
      </c>
      <c r="B3768">
        <f>IF(INDEX('Data Entry'!$H$5:$BE$10004,3768-4,'Visual SPC'!$B$3)="",0,IF(AND(OR('Visual SPC'!$C$4="",'Data Entry'!$C3768&gt;='Visual SPC'!$C$4),OR('Visual SPC'!$E$4="",'Data Entry'!$C3768&lt;='Visual SPC'!$E$4),OR('Visual SPC'!$G$4="",'Data Entry'!$D3768='Visual SPC'!$G$4),OR('Visual SPC'!$I$4="",'Data Entry'!$E3768='Visual SPC'!$I$4),OR('Visual SPC'!$K$4="",'Data Entry'!$F3768='Visual SPC'!$K$4)),1,0))</f>
        <v/>
      </c>
      <c r="C3768">
        <f>C3767+B3768</f>
        <v/>
      </c>
      <c r="D3768">
        <f>IF(B3768=1,INDEX('Data Entry'!$H$5:$BE$10004,3768-4,'Visual SPC'!$B$3),"")</f>
        <v/>
      </c>
      <c r="E3768">
        <f>IF(B3768=1,D3768,E3767)</f>
        <v/>
      </c>
      <c r="F3768">
        <f>IF(AND(B3768=1,C3768&gt;1,E3767&lt;&gt;""),ABS(D3768-E3767),"")</f>
        <v/>
      </c>
    </row>
    <row r="3769">
      <c r="A3769" t="n">
        <v>3769</v>
      </c>
      <c r="B3769">
        <f>IF(INDEX('Data Entry'!$H$5:$BE$10004,3769-4,'Visual SPC'!$B$3)="",0,IF(AND(OR('Visual SPC'!$C$4="",'Data Entry'!$C3769&gt;='Visual SPC'!$C$4),OR('Visual SPC'!$E$4="",'Data Entry'!$C3769&lt;='Visual SPC'!$E$4),OR('Visual SPC'!$G$4="",'Data Entry'!$D3769='Visual SPC'!$G$4),OR('Visual SPC'!$I$4="",'Data Entry'!$E3769='Visual SPC'!$I$4),OR('Visual SPC'!$K$4="",'Data Entry'!$F3769='Visual SPC'!$K$4)),1,0))</f>
        <v/>
      </c>
      <c r="C3769">
        <f>C3768+B3769</f>
        <v/>
      </c>
      <c r="D3769">
        <f>IF(B3769=1,INDEX('Data Entry'!$H$5:$BE$10004,3769-4,'Visual SPC'!$B$3),"")</f>
        <v/>
      </c>
      <c r="E3769">
        <f>IF(B3769=1,D3769,E3768)</f>
        <v/>
      </c>
      <c r="F3769">
        <f>IF(AND(B3769=1,C3769&gt;1,E3768&lt;&gt;""),ABS(D3769-E3768),"")</f>
        <v/>
      </c>
    </row>
    <row r="3770">
      <c r="A3770" t="n">
        <v>3770</v>
      </c>
      <c r="B3770">
        <f>IF(INDEX('Data Entry'!$H$5:$BE$10004,3770-4,'Visual SPC'!$B$3)="",0,IF(AND(OR('Visual SPC'!$C$4="",'Data Entry'!$C3770&gt;='Visual SPC'!$C$4),OR('Visual SPC'!$E$4="",'Data Entry'!$C3770&lt;='Visual SPC'!$E$4),OR('Visual SPC'!$G$4="",'Data Entry'!$D3770='Visual SPC'!$G$4),OR('Visual SPC'!$I$4="",'Data Entry'!$E3770='Visual SPC'!$I$4),OR('Visual SPC'!$K$4="",'Data Entry'!$F3770='Visual SPC'!$K$4)),1,0))</f>
        <v/>
      </c>
      <c r="C3770">
        <f>C3769+B3770</f>
        <v/>
      </c>
      <c r="D3770">
        <f>IF(B3770=1,INDEX('Data Entry'!$H$5:$BE$10004,3770-4,'Visual SPC'!$B$3),"")</f>
        <v/>
      </c>
      <c r="E3770">
        <f>IF(B3770=1,D3770,E3769)</f>
        <v/>
      </c>
      <c r="F3770">
        <f>IF(AND(B3770=1,C3770&gt;1,E3769&lt;&gt;""),ABS(D3770-E3769),"")</f>
        <v/>
      </c>
    </row>
    <row r="3771">
      <c r="A3771" t="n">
        <v>3771</v>
      </c>
      <c r="B3771">
        <f>IF(INDEX('Data Entry'!$H$5:$BE$10004,3771-4,'Visual SPC'!$B$3)="",0,IF(AND(OR('Visual SPC'!$C$4="",'Data Entry'!$C3771&gt;='Visual SPC'!$C$4),OR('Visual SPC'!$E$4="",'Data Entry'!$C3771&lt;='Visual SPC'!$E$4),OR('Visual SPC'!$G$4="",'Data Entry'!$D3771='Visual SPC'!$G$4),OR('Visual SPC'!$I$4="",'Data Entry'!$E3771='Visual SPC'!$I$4),OR('Visual SPC'!$K$4="",'Data Entry'!$F3771='Visual SPC'!$K$4)),1,0))</f>
        <v/>
      </c>
      <c r="C3771">
        <f>C3770+B3771</f>
        <v/>
      </c>
      <c r="D3771">
        <f>IF(B3771=1,INDEX('Data Entry'!$H$5:$BE$10004,3771-4,'Visual SPC'!$B$3),"")</f>
        <v/>
      </c>
      <c r="E3771">
        <f>IF(B3771=1,D3771,E3770)</f>
        <v/>
      </c>
      <c r="F3771">
        <f>IF(AND(B3771=1,C3771&gt;1,E3770&lt;&gt;""),ABS(D3771-E3770),"")</f>
        <v/>
      </c>
    </row>
    <row r="3772">
      <c r="A3772" t="n">
        <v>3772</v>
      </c>
      <c r="B3772">
        <f>IF(INDEX('Data Entry'!$H$5:$BE$10004,3772-4,'Visual SPC'!$B$3)="",0,IF(AND(OR('Visual SPC'!$C$4="",'Data Entry'!$C3772&gt;='Visual SPC'!$C$4),OR('Visual SPC'!$E$4="",'Data Entry'!$C3772&lt;='Visual SPC'!$E$4),OR('Visual SPC'!$G$4="",'Data Entry'!$D3772='Visual SPC'!$G$4),OR('Visual SPC'!$I$4="",'Data Entry'!$E3772='Visual SPC'!$I$4),OR('Visual SPC'!$K$4="",'Data Entry'!$F3772='Visual SPC'!$K$4)),1,0))</f>
        <v/>
      </c>
      <c r="C3772">
        <f>C3771+B3772</f>
        <v/>
      </c>
      <c r="D3772">
        <f>IF(B3772=1,INDEX('Data Entry'!$H$5:$BE$10004,3772-4,'Visual SPC'!$B$3),"")</f>
        <v/>
      </c>
      <c r="E3772">
        <f>IF(B3772=1,D3772,E3771)</f>
        <v/>
      </c>
      <c r="F3772">
        <f>IF(AND(B3772=1,C3772&gt;1,E3771&lt;&gt;""),ABS(D3772-E3771),"")</f>
        <v/>
      </c>
    </row>
    <row r="3773">
      <c r="A3773" t="n">
        <v>3773</v>
      </c>
      <c r="B3773">
        <f>IF(INDEX('Data Entry'!$H$5:$BE$10004,3773-4,'Visual SPC'!$B$3)="",0,IF(AND(OR('Visual SPC'!$C$4="",'Data Entry'!$C3773&gt;='Visual SPC'!$C$4),OR('Visual SPC'!$E$4="",'Data Entry'!$C3773&lt;='Visual SPC'!$E$4),OR('Visual SPC'!$G$4="",'Data Entry'!$D3773='Visual SPC'!$G$4),OR('Visual SPC'!$I$4="",'Data Entry'!$E3773='Visual SPC'!$I$4),OR('Visual SPC'!$K$4="",'Data Entry'!$F3773='Visual SPC'!$K$4)),1,0))</f>
        <v/>
      </c>
      <c r="C3773">
        <f>C3772+B3773</f>
        <v/>
      </c>
      <c r="D3773">
        <f>IF(B3773=1,INDEX('Data Entry'!$H$5:$BE$10004,3773-4,'Visual SPC'!$B$3),"")</f>
        <v/>
      </c>
      <c r="E3773">
        <f>IF(B3773=1,D3773,E3772)</f>
        <v/>
      </c>
      <c r="F3773">
        <f>IF(AND(B3773=1,C3773&gt;1,E3772&lt;&gt;""),ABS(D3773-E3772),"")</f>
        <v/>
      </c>
    </row>
    <row r="3774">
      <c r="A3774" t="n">
        <v>3774</v>
      </c>
      <c r="B3774">
        <f>IF(INDEX('Data Entry'!$H$5:$BE$10004,3774-4,'Visual SPC'!$B$3)="",0,IF(AND(OR('Visual SPC'!$C$4="",'Data Entry'!$C3774&gt;='Visual SPC'!$C$4),OR('Visual SPC'!$E$4="",'Data Entry'!$C3774&lt;='Visual SPC'!$E$4),OR('Visual SPC'!$G$4="",'Data Entry'!$D3774='Visual SPC'!$G$4),OR('Visual SPC'!$I$4="",'Data Entry'!$E3774='Visual SPC'!$I$4),OR('Visual SPC'!$K$4="",'Data Entry'!$F3774='Visual SPC'!$K$4)),1,0))</f>
        <v/>
      </c>
      <c r="C3774">
        <f>C3773+B3774</f>
        <v/>
      </c>
      <c r="D3774">
        <f>IF(B3774=1,INDEX('Data Entry'!$H$5:$BE$10004,3774-4,'Visual SPC'!$B$3),"")</f>
        <v/>
      </c>
      <c r="E3774">
        <f>IF(B3774=1,D3774,E3773)</f>
        <v/>
      </c>
      <c r="F3774">
        <f>IF(AND(B3774=1,C3774&gt;1,E3773&lt;&gt;""),ABS(D3774-E3773),"")</f>
        <v/>
      </c>
    </row>
    <row r="3775">
      <c r="A3775" t="n">
        <v>3775</v>
      </c>
      <c r="B3775">
        <f>IF(INDEX('Data Entry'!$H$5:$BE$10004,3775-4,'Visual SPC'!$B$3)="",0,IF(AND(OR('Visual SPC'!$C$4="",'Data Entry'!$C3775&gt;='Visual SPC'!$C$4),OR('Visual SPC'!$E$4="",'Data Entry'!$C3775&lt;='Visual SPC'!$E$4),OR('Visual SPC'!$G$4="",'Data Entry'!$D3775='Visual SPC'!$G$4),OR('Visual SPC'!$I$4="",'Data Entry'!$E3775='Visual SPC'!$I$4),OR('Visual SPC'!$K$4="",'Data Entry'!$F3775='Visual SPC'!$K$4)),1,0))</f>
        <v/>
      </c>
      <c r="C3775">
        <f>C3774+B3775</f>
        <v/>
      </c>
      <c r="D3775">
        <f>IF(B3775=1,INDEX('Data Entry'!$H$5:$BE$10004,3775-4,'Visual SPC'!$B$3),"")</f>
        <v/>
      </c>
      <c r="E3775">
        <f>IF(B3775=1,D3775,E3774)</f>
        <v/>
      </c>
      <c r="F3775">
        <f>IF(AND(B3775=1,C3775&gt;1,E3774&lt;&gt;""),ABS(D3775-E3774),"")</f>
        <v/>
      </c>
    </row>
    <row r="3776">
      <c r="A3776" t="n">
        <v>3776</v>
      </c>
      <c r="B3776">
        <f>IF(INDEX('Data Entry'!$H$5:$BE$10004,3776-4,'Visual SPC'!$B$3)="",0,IF(AND(OR('Visual SPC'!$C$4="",'Data Entry'!$C3776&gt;='Visual SPC'!$C$4),OR('Visual SPC'!$E$4="",'Data Entry'!$C3776&lt;='Visual SPC'!$E$4),OR('Visual SPC'!$G$4="",'Data Entry'!$D3776='Visual SPC'!$G$4),OR('Visual SPC'!$I$4="",'Data Entry'!$E3776='Visual SPC'!$I$4),OR('Visual SPC'!$K$4="",'Data Entry'!$F3776='Visual SPC'!$K$4)),1,0))</f>
        <v/>
      </c>
      <c r="C3776">
        <f>C3775+B3776</f>
        <v/>
      </c>
      <c r="D3776">
        <f>IF(B3776=1,INDEX('Data Entry'!$H$5:$BE$10004,3776-4,'Visual SPC'!$B$3),"")</f>
        <v/>
      </c>
      <c r="E3776">
        <f>IF(B3776=1,D3776,E3775)</f>
        <v/>
      </c>
      <c r="F3776">
        <f>IF(AND(B3776=1,C3776&gt;1,E3775&lt;&gt;""),ABS(D3776-E3775),"")</f>
        <v/>
      </c>
    </row>
    <row r="3777">
      <c r="A3777" t="n">
        <v>3777</v>
      </c>
      <c r="B3777">
        <f>IF(INDEX('Data Entry'!$H$5:$BE$10004,3777-4,'Visual SPC'!$B$3)="",0,IF(AND(OR('Visual SPC'!$C$4="",'Data Entry'!$C3777&gt;='Visual SPC'!$C$4),OR('Visual SPC'!$E$4="",'Data Entry'!$C3777&lt;='Visual SPC'!$E$4),OR('Visual SPC'!$G$4="",'Data Entry'!$D3777='Visual SPC'!$G$4),OR('Visual SPC'!$I$4="",'Data Entry'!$E3777='Visual SPC'!$I$4),OR('Visual SPC'!$K$4="",'Data Entry'!$F3777='Visual SPC'!$K$4)),1,0))</f>
        <v/>
      </c>
      <c r="C3777">
        <f>C3776+B3777</f>
        <v/>
      </c>
      <c r="D3777">
        <f>IF(B3777=1,INDEX('Data Entry'!$H$5:$BE$10004,3777-4,'Visual SPC'!$B$3),"")</f>
        <v/>
      </c>
      <c r="E3777">
        <f>IF(B3777=1,D3777,E3776)</f>
        <v/>
      </c>
      <c r="F3777">
        <f>IF(AND(B3777=1,C3777&gt;1,E3776&lt;&gt;""),ABS(D3777-E3776),"")</f>
        <v/>
      </c>
    </row>
    <row r="3778">
      <c r="A3778" t="n">
        <v>3778</v>
      </c>
      <c r="B3778">
        <f>IF(INDEX('Data Entry'!$H$5:$BE$10004,3778-4,'Visual SPC'!$B$3)="",0,IF(AND(OR('Visual SPC'!$C$4="",'Data Entry'!$C3778&gt;='Visual SPC'!$C$4),OR('Visual SPC'!$E$4="",'Data Entry'!$C3778&lt;='Visual SPC'!$E$4),OR('Visual SPC'!$G$4="",'Data Entry'!$D3778='Visual SPC'!$G$4),OR('Visual SPC'!$I$4="",'Data Entry'!$E3778='Visual SPC'!$I$4),OR('Visual SPC'!$K$4="",'Data Entry'!$F3778='Visual SPC'!$K$4)),1,0))</f>
        <v/>
      </c>
      <c r="C3778">
        <f>C3777+B3778</f>
        <v/>
      </c>
      <c r="D3778">
        <f>IF(B3778=1,INDEX('Data Entry'!$H$5:$BE$10004,3778-4,'Visual SPC'!$B$3),"")</f>
        <v/>
      </c>
      <c r="E3778">
        <f>IF(B3778=1,D3778,E3777)</f>
        <v/>
      </c>
      <c r="F3778">
        <f>IF(AND(B3778=1,C3778&gt;1,E3777&lt;&gt;""),ABS(D3778-E3777),"")</f>
        <v/>
      </c>
    </row>
    <row r="3779">
      <c r="A3779" t="n">
        <v>3779</v>
      </c>
      <c r="B3779">
        <f>IF(INDEX('Data Entry'!$H$5:$BE$10004,3779-4,'Visual SPC'!$B$3)="",0,IF(AND(OR('Visual SPC'!$C$4="",'Data Entry'!$C3779&gt;='Visual SPC'!$C$4),OR('Visual SPC'!$E$4="",'Data Entry'!$C3779&lt;='Visual SPC'!$E$4),OR('Visual SPC'!$G$4="",'Data Entry'!$D3779='Visual SPC'!$G$4),OR('Visual SPC'!$I$4="",'Data Entry'!$E3779='Visual SPC'!$I$4),OR('Visual SPC'!$K$4="",'Data Entry'!$F3779='Visual SPC'!$K$4)),1,0))</f>
        <v/>
      </c>
      <c r="C3779">
        <f>C3778+B3779</f>
        <v/>
      </c>
      <c r="D3779">
        <f>IF(B3779=1,INDEX('Data Entry'!$H$5:$BE$10004,3779-4,'Visual SPC'!$B$3),"")</f>
        <v/>
      </c>
      <c r="E3779">
        <f>IF(B3779=1,D3779,E3778)</f>
        <v/>
      </c>
      <c r="F3779">
        <f>IF(AND(B3779=1,C3779&gt;1,E3778&lt;&gt;""),ABS(D3779-E3778),"")</f>
        <v/>
      </c>
    </row>
    <row r="3780">
      <c r="A3780" t="n">
        <v>3780</v>
      </c>
      <c r="B3780">
        <f>IF(INDEX('Data Entry'!$H$5:$BE$10004,3780-4,'Visual SPC'!$B$3)="",0,IF(AND(OR('Visual SPC'!$C$4="",'Data Entry'!$C3780&gt;='Visual SPC'!$C$4),OR('Visual SPC'!$E$4="",'Data Entry'!$C3780&lt;='Visual SPC'!$E$4),OR('Visual SPC'!$G$4="",'Data Entry'!$D3780='Visual SPC'!$G$4),OR('Visual SPC'!$I$4="",'Data Entry'!$E3780='Visual SPC'!$I$4),OR('Visual SPC'!$K$4="",'Data Entry'!$F3780='Visual SPC'!$K$4)),1,0))</f>
        <v/>
      </c>
      <c r="C3780">
        <f>C3779+B3780</f>
        <v/>
      </c>
      <c r="D3780">
        <f>IF(B3780=1,INDEX('Data Entry'!$H$5:$BE$10004,3780-4,'Visual SPC'!$B$3),"")</f>
        <v/>
      </c>
      <c r="E3780">
        <f>IF(B3780=1,D3780,E3779)</f>
        <v/>
      </c>
      <c r="F3780">
        <f>IF(AND(B3780=1,C3780&gt;1,E3779&lt;&gt;""),ABS(D3780-E3779),"")</f>
        <v/>
      </c>
    </row>
    <row r="3781">
      <c r="A3781" t="n">
        <v>3781</v>
      </c>
      <c r="B3781">
        <f>IF(INDEX('Data Entry'!$H$5:$BE$10004,3781-4,'Visual SPC'!$B$3)="",0,IF(AND(OR('Visual SPC'!$C$4="",'Data Entry'!$C3781&gt;='Visual SPC'!$C$4),OR('Visual SPC'!$E$4="",'Data Entry'!$C3781&lt;='Visual SPC'!$E$4),OR('Visual SPC'!$G$4="",'Data Entry'!$D3781='Visual SPC'!$G$4),OR('Visual SPC'!$I$4="",'Data Entry'!$E3781='Visual SPC'!$I$4),OR('Visual SPC'!$K$4="",'Data Entry'!$F3781='Visual SPC'!$K$4)),1,0))</f>
        <v/>
      </c>
      <c r="C3781">
        <f>C3780+B3781</f>
        <v/>
      </c>
      <c r="D3781">
        <f>IF(B3781=1,INDEX('Data Entry'!$H$5:$BE$10004,3781-4,'Visual SPC'!$B$3),"")</f>
        <v/>
      </c>
      <c r="E3781">
        <f>IF(B3781=1,D3781,E3780)</f>
        <v/>
      </c>
      <c r="F3781">
        <f>IF(AND(B3781=1,C3781&gt;1,E3780&lt;&gt;""),ABS(D3781-E3780),"")</f>
        <v/>
      </c>
    </row>
    <row r="3782">
      <c r="A3782" t="n">
        <v>3782</v>
      </c>
      <c r="B3782">
        <f>IF(INDEX('Data Entry'!$H$5:$BE$10004,3782-4,'Visual SPC'!$B$3)="",0,IF(AND(OR('Visual SPC'!$C$4="",'Data Entry'!$C3782&gt;='Visual SPC'!$C$4),OR('Visual SPC'!$E$4="",'Data Entry'!$C3782&lt;='Visual SPC'!$E$4),OR('Visual SPC'!$G$4="",'Data Entry'!$D3782='Visual SPC'!$G$4),OR('Visual SPC'!$I$4="",'Data Entry'!$E3782='Visual SPC'!$I$4),OR('Visual SPC'!$K$4="",'Data Entry'!$F3782='Visual SPC'!$K$4)),1,0))</f>
        <v/>
      </c>
      <c r="C3782">
        <f>C3781+B3782</f>
        <v/>
      </c>
      <c r="D3782">
        <f>IF(B3782=1,INDEX('Data Entry'!$H$5:$BE$10004,3782-4,'Visual SPC'!$B$3),"")</f>
        <v/>
      </c>
      <c r="E3782">
        <f>IF(B3782=1,D3782,E3781)</f>
        <v/>
      </c>
      <c r="F3782">
        <f>IF(AND(B3782=1,C3782&gt;1,E3781&lt;&gt;""),ABS(D3782-E3781),"")</f>
        <v/>
      </c>
    </row>
    <row r="3783">
      <c r="A3783" t="n">
        <v>3783</v>
      </c>
      <c r="B3783">
        <f>IF(INDEX('Data Entry'!$H$5:$BE$10004,3783-4,'Visual SPC'!$B$3)="",0,IF(AND(OR('Visual SPC'!$C$4="",'Data Entry'!$C3783&gt;='Visual SPC'!$C$4),OR('Visual SPC'!$E$4="",'Data Entry'!$C3783&lt;='Visual SPC'!$E$4),OR('Visual SPC'!$G$4="",'Data Entry'!$D3783='Visual SPC'!$G$4),OR('Visual SPC'!$I$4="",'Data Entry'!$E3783='Visual SPC'!$I$4),OR('Visual SPC'!$K$4="",'Data Entry'!$F3783='Visual SPC'!$K$4)),1,0))</f>
        <v/>
      </c>
      <c r="C3783">
        <f>C3782+B3783</f>
        <v/>
      </c>
      <c r="D3783">
        <f>IF(B3783=1,INDEX('Data Entry'!$H$5:$BE$10004,3783-4,'Visual SPC'!$B$3),"")</f>
        <v/>
      </c>
      <c r="E3783">
        <f>IF(B3783=1,D3783,E3782)</f>
        <v/>
      </c>
      <c r="F3783">
        <f>IF(AND(B3783=1,C3783&gt;1,E3782&lt;&gt;""),ABS(D3783-E3782),"")</f>
        <v/>
      </c>
    </row>
    <row r="3784">
      <c r="A3784" t="n">
        <v>3784</v>
      </c>
      <c r="B3784">
        <f>IF(INDEX('Data Entry'!$H$5:$BE$10004,3784-4,'Visual SPC'!$B$3)="",0,IF(AND(OR('Visual SPC'!$C$4="",'Data Entry'!$C3784&gt;='Visual SPC'!$C$4),OR('Visual SPC'!$E$4="",'Data Entry'!$C3784&lt;='Visual SPC'!$E$4),OR('Visual SPC'!$G$4="",'Data Entry'!$D3784='Visual SPC'!$G$4),OR('Visual SPC'!$I$4="",'Data Entry'!$E3784='Visual SPC'!$I$4),OR('Visual SPC'!$K$4="",'Data Entry'!$F3784='Visual SPC'!$K$4)),1,0))</f>
        <v/>
      </c>
      <c r="C3784">
        <f>C3783+B3784</f>
        <v/>
      </c>
      <c r="D3784">
        <f>IF(B3784=1,INDEX('Data Entry'!$H$5:$BE$10004,3784-4,'Visual SPC'!$B$3),"")</f>
        <v/>
      </c>
      <c r="E3784">
        <f>IF(B3784=1,D3784,E3783)</f>
        <v/>
      </c>
      <c r="F3784">
        <f>IF(AND(B3784=1,C3784&gt;1,E3783&lt;&gt;""),ABS(D3784-E3783),"")</f>
        <v/>
      </c>
    </row>
    <row r="3785">
      <c r="A3785" t="n">
        <v>3785</v>
      </c>
      <c r="B3785">
        <f>IF(INDEX('Data Entry'!$H$5:$BE$10004,3785-4,'Visual SPC'!$B$3)="",0,IF(AND(OR('Visual SPC'!$C$4="",'Data Entry'!$C3785&gt;='Visual SPC'!$C$4),OR('Visual SPC'!$E$4="",'Data Entry'!$C3785&lt;='Visual SPC'!$E$4),OR('Visual SPC'!$G$4="",'Data Entry'!$D3785='Visual SPC'!$G$4),OR('Visual SPC'!$I$4="",'Data Entry'!$E3785='Visual SPC'!$I$4),OR('Visual SPC'!$K$4="",'Data Entry'!$F3785='Visual SPC'!$K$4)),1,0))</f>
        <v/>
      </c>
      <c r="C3785">
        <f>C3784+B3785</f>
        <v/>
      </c>
      <c r="D3785">
        <f>IF(B3785=1,INDEX('Data Entry'!$H$5:$BE$10004,3785-4,'Visual SPC'!$B$3),"")</f>
        <v/>
      </c>
      <c r="E3785">
        <f>IF(B3785=1,D3785,E3784)</f>
        <v/>
      </c>
      <c r="F3785">
        <f>IF(AND(B3785=1,C3785&gt;1,E3784&lt;&gt;""),ABS(D3785-E3784),"")</f>
        <v/>
      </c>
    </row>
    <row r="3786">
      <c r="A3786" t="n">
        <v>3786</v>
      </c>
      <c r="B3786">
        <f>IF(INDEX('Data Entry'!$H$5:$BE$10004,3786-4,'Visual SPC'!$B$3)="",0,IF(AND(OR('Visual SPC'!$C$4="",'Data Entry'!$C3786&gt;='Visual SPC'!$C$4),OR('Visual SPC'!$E$4="",'Data Entry'!$C3786&lt;='Visual SPC'!$E$4),OR('Visual SPC'!$G$4="",'Data Entry'!$D3786='Visual SPC'!$G$4),OR('Visual SPC'!$I$4="",'Data Entry'!$E3786='Visual SPC'!$I$4),OR('Visual SPC'!$K$4="",'Data Entry'!$F3786='Visual SPC'!$K$4)),1,0))</f>
        <v/>
      </c>
      <c r="C3786">
        <f>C3785+B3786</f>
        <v/>
      </c>
      <c r="D3786">
        <f>IF(B3786=1,INDEX('Data Entry'!$H$5:$BE$10004,3786-4,'Visual SPC'!$B$3),"")</f>
        <v/>
      </c>
      <c r="E3786">
        <f>IF(B3786=1,D3786,E3785)</f>
        <v/>
      </c>
      <c r="F3786">
        <f>IF(AND(B3786=1,C3786&gt;1,E3785&lt;&gt;""),ABS(D3786-E3785),"")</f>
        <v/>
      </c>
    </row>
    <row r="3787">
      <c r="A3787" t="n">
        <v>3787</v>
      </c>
      <c r="B3787">
        <f>IF(INDEX('Data Entry'!$H$5:$BE$10004,3787-4,'Visual SPC'!$B$3)="",0,IF(AND(OR('Visual SPC'!$C$4="",'Data Entry'!$C3787&gt;='Visual SPC'!$C$4),OR('Visual SPC'!$E$4="",'Data Entry'!$C3787&lt;='Visual SPC'!$E$4),OR('Visual SPC'!$G$4="",'Data Entry'!$D3787='Visual SPC'!$G$4),OR('Visual SPC'!$I$4="",'Data Entry'!$E3787='Visual SPC'!$I$4),OR('Visual SPC'!$K$4="",'Data Entry'!$F3787='Visual SPC'!$K$4)),1,0))</f>
        <v/>
      </c>
      <c r="C3787">
        <f>C3786+B3787</f>
        <v/>
      </c>
      <c r="D3787">
        <f>IF(B3787=1,INDEX('Data Entry'!$H$5:$BE$10004,3787-4,'Visual SPC'!$B$3),"")</f>
        <v/>
      </c>
      <c r="E3787">
        <f>IF(B3787=1,D3787,E3786)</f>
        <v/>
      </c>
      <c r="F3787">
        <f>IF(AND(B3787=1,C3787&gt;1,E3786&lt;&gt;""),ABS(D3787-E3786),"")</f>
        <v/>
      </c>
    </row>
    <row r="3788">
      <c r="A3788" t="n">
        <v>3788</v>
      </c>
      <c r="B3788">
        <f>IF(INDEX('Data Entry'!$H$5:$BE$10004,3788-4,'Visual SPC'!$B$3)="",0,IF(AND(OR('Visual SPC'!$C$4="",'Data Entry'!$C3788&gt;='Visual SPC'!$C$4),OR('Visual SPC'!$E$4="",'Data Entry'!$C3788&lt;='Visual SPC'!$E$4),OR('Visual SPC'!$G$4="",'Data Entry'!$D3788='Visual SPC'!$G$4),OR('Visual SPC'!$I$4="",'Data Entry'!$E3788='Visual SPC'!$I$4),OR('Visual SPC'!$K$4="",'Data Entry'!$F3788='Visual SPC'!$K$4)),1,0))</f>
        <v/>
      </c>
      <c r="C3788">
        <f>C3787+B3788</f>
        <v/>
      </c>
      <c r="D3788">
        <f>IF(B3788=1,INDEX('Data Entry'!$H$5:$BE$10004,3788-4,'Visual SPC'!$B$3),"")</f>
        <v/>
      </c>
      <c r="E3788">
        <f>IF(B3788=1,D3788,E3787)</f>
        <v/>
      </c>
      <c r="F3788">
        <f>IF(AND(B3788=1,C3788&gt;1,E3787&lt;&gt;""),ABS(D3788-E3787),"")</f>
        <v/>
      </c>
    </row>
    <row r="3789">
      <c r="A3789" t="n">
        <v>3789</v>
      </c>
      <c r="B3789">
        <f>IF(INDEX('Data Entry'!$H$5:$BE$10004,3789-4,'Visual SPC'!$B$3)="",0,IF(AND(OR('Visual SPC'!$C$4="",'Data Entry'!$C3789&gt;='Visual SPC'!$C$4),OR('Visual SPC'!$E$4="",'Data Entry'!$C3789&lt;='Visual SPC'!$E$4),OR('Visual SPC'!$G$4="",'Data Entry'!$D3789='Visual SPC'!$G$4),OR('Visual SPC'!$I$4="",'Data Entry'!$E3789='Visual SPC'!$I$4),OR('Visual SPC'!$K$4="",'Data Entry'!$F3789='Visual SPC'!$K$4)),1,0))</f>
        <v/>
      </c>
      <c r="C3789">
        <f>C3788+B3789</f>
        <v/>
      </c>
      <c r="D3789">
        <f>IF(B3789=1,INDEX('Data Entry'!$H$5:$BE$10004,3789-4,'Visual SPC'!$B$3),"")</f>
        <v/>
      </c>
      <c r="E3789">
        <f>IF(B3789=1,D3789,E3788)</f>
        <v/>
      </c>
      <c r="F3789">
        <f>IF(AND(B3789=1,C3789&gt;1,E3788&lt;&gt;""),ABS(D3789-E3788),"")</f>
        <v/>
      </c>
    </row>
    <row r="3790">
      <c r="A3790" t="n">
        <v>3790</v>
      </c>
      <c r="B3790">
        <f>IF(INDEX('Data Entry'!$H$5:$BE$10004,3790-4,'Visual SPC'!$B$3)="",0,IF(AND(OR('Visual SPC'!$C$4="",'Data Entry'!$C3790&gt;='Visual SPC'!$C$4),OR('Visual SPC'!$E$4="",'Data Entry'!$C3790&lt;='Visual SPC'!$E$4),OR('Visual SPC'!$G$4="",'Data Entry'!$D3790='Visual SPC'!$G$4),OR('Visual SPC'!$I$4="",'Data Entry'!$E3790='Visual SPC'!$I$4),OR('Visual SPC'!$K$4="",'Data Entry'!$F3790='Visual SPC'!$K$4)),1,0))</f>
        <v/>
      </c>
      <c r="C3790">
        <f>C3789+B3790</f>
        <v/>
      </c>
      <c r="D3790">
        <f>IF(B3790=1,INDEX('Data Entry'!$H$5:$BE$10004,3790-4,'Visual SPC'!$B$3),"")</f>
        <v/>
      </c>
      <c r="E3790">
        <f>IF(B3790=1,D3790,E3789)</f>
        <v/>
      </c>
      <c r="F3790">
        <f>IF(AND(B3790=1,C3790&gt;1,E3789&lt;&gt;""),ABS(D3790-E3789),"")</f>
        <v/>
      </c>
    </row>
    <row r="3791">
      <c r="A3791" t="n">
        <v>3791</v>
      </c>
      <c r="B3791">
        <f>IF(INDEX('Data Entry'!$H$5:$BE$10004,3791-4,'Visual SPC'!$B$3)="",0,IF(AND(OR('Visual SPC'!$C$4="",'Data Entry'!$C3791&gt;='Visual SPC'!$C$4),OR('Visual SPC'!$E$4="",'Data Entry'!$C3791&lt;='Visual SPC'!$E$4),OR('Visual SPC'!$G$4="",'Data Entry'!$D3791='Visual SPC'!$G$4),OR('Visual SPC'!$I$4="",'Data Entry'!$E3791='Visual SPC'!$I$4),OR('Visual SPC'!$K$4="",'Data Entry'!$F3791='Visual SPC'!$K$4)),1,0))</f>
        <v/>
      </c>
      <c r="C3791">
        <f>C3790+B3791</f>
        <v/>
      </c>
      <c r="D3791">
        <f>IF(B3791=1,INDEX('Data Entry'!$H$5:$BE$10004,3791-4,'Visual SPC'!$B$3),"")</f>
        <v/>
      </c>
      <c r="E3791">
        <f>IF(B3791=1,D3791,E3790)</f>
        <v/>
      </c>
      <c r="F3791">
        <f>IF(AND(B3791=1,C3791&gt;1,E3790&lt;&gt;""),ABS(D3791-E3790),"")</f>
        <v/>
      </c>
    </row>
    <row r="3792">
      <c r="A3792" t="n">
        <v>3792</v>
      </c>
      <c r="B3792">
        <f>IF(INDEX('Data Entry'!$H$5:$BE$10004,3792-4,'Visual SPC'!$B$3)="",0,IF(AND(OR('Visual SPC'!$C$4="",'Data Entry'!$C3792&gt;='Visual SPC'!$C$4),OR('Visual SPC'!$E$4="",'Data Entry'!$C3792&lt;='Visual SPC'!$E$4),OR('Visual SPC'!$G$4="",'Data Entry'!$D3792='Visual SPC'!$G$4),OR('Visual SPC'!$I$4="",'Data Entry'!$E3792='Visual SPC'!$I$4),OR('Visual SPC'!$K$4="",'Data Entry'!$F3792='Visual SPC'!$K$4)),1,0))</f>
        <v/>
      </c>
      <c r="C3792">
        <f>C3791+B3792</f>
        <v/>
      </c>
      <c r="D3792">
        <f>IF(B3792=1,INDEX('Data Entry'!$H$5:$BE$10004,3792-4,'Visual SPC'!$B$3),"")</f>
        <v/>
      </c>
      <c r="E3792">
        <f>IF(B3792=1,D3792,E3791)</f>
        <v/>
      </c>
      <c r="F3792">
        <f>IF(AND(B3792=1,C3792&gt;1,E3791&lt;&gt;""),ABS(D3792-E3791),"")</f>
        <v/>
      </c>
    </row>
    <row r="3793">
      <c r="A3793" t="n">
        <v>3793</v>
      </c>
      <c r="B3793">
        <f>IF(INDEX('Data Entry'!$H$5:$BE$10004,3793-4,'Visual SPC'!$B$3)="",0,IF(AND(OR('Visual SPC'!$C$4="",'Data Entry'!$C3793&gt;='Visual SPC'!$C$4),OR('Visual SPC'!$E$4="",'Data Entry'!$C3793&lt;='Visual SPC'!$E$4),OR('Visual SPC'!$G$4="",'Data Entry'!$D3793='Visual SPC'!$G$4),OR('Visual SPC'!$I$4="",'Data Entry'!$E3793='Visual SPC'!$I$4),OR('Visual SPC'!$K$4="",'Data Entry'!$F3793='Visual SPC'!$K$4)),1,0))</f>
        <v/>
      </c>
      <c r="C3793">
        <f>C3792+B3793</f>
        <v/>
      </c>
      <c r="D3793">
        <f>IF(B3793=1,INDEX('Data Entry'!$H$5:$BE$10004,3793-4,'Visual SPC'!$B$3),"")</f>
        <v/>
      </c>
      <c r="E3793">
        <f>IF(B3793=1,D3793,E3792)</f>
        <v/>
      </c>
      <c r="F3793">
        <f>IF(AND(B3793=1,C3793&gt;1,E3792&lt;&gt;""),ABS(D3793-E3792),"")</f>
        <v/>
      </c>
    </row>
    <row r="3794">
      <c r="A3794" t="n">
        <v>3794</v>
      </c>
      <c r="B3794">
        <f>IF(INDEX('Data Entry'!$H$5:$BE$10004,3794-4,'Visual SPC'!$B$3)="",0,IF(AND(OR('Visual SPC'!$C$4="",'Data Entry'!$C3794&gt;='Visual SPC'!$C$4),OR('Visual SPC'!$E$4="",'Data Entry'!$C3794&lt;='Visual SPC'!$E$4),OR('Visual SPC'!$G$4="",'Data Entry'!$D3794='Visual SPC'!$G$4),OR('Visual SPC'!$I$4="",'Data Entry'!$E3794='Visual SPC'!$I$4),OR('Visual SPC'!$K$4="",'Data Entry'!$F3794='Visual SPC'!$K$4)),1,0))</f>
        <v/>
      </c>
      <c r="C3794">
        <f>C3793+B3794</f>
        <v/>
      </c>
      <c r="D3794">
        <f>IF(B3794=1,INDEX('Data Entry'!$H$5:$BE$10004,3794-4,'Visual SPC'!$B$3),"")</f>
        <v/>
      </c>
      <c r="E3794">
        <f>IF(B3794=1,D3794,E3793)</f>
        <v/>
      </c>
      <c r="F3794">
        <f>IF(AND(B3794=1,C3794&gt;1,E3793&lt;&gt;""),ABS(D3794-E3793),"")</f>
        <v/>
      </c>
    </row>
    <row r="3795">
      <c r="A3795" t="n">
        <v>3795</v>
      </c>
      <c r="B3795">
        <f>IF(INDEX('Data Entry'!$H$5:$BE$10004,3795-4,'Visual SPC'!$B$3)="",0,IF(AND(OR('Visual SPC'!$C$4="",'Data Entry'!$C3795&gt;='Visual SPC'!$C$4),OR('Visual SPC'!$E$4="",'Data Entry'!$C3795&lt;='Visual SPC'!$E$4),OR('Visual SPC'!$G$4="",'Data Entry'!$D3795='Visual SPC'!$G$4),OR('Visual SPC'!$I$4="",'Data Entry'!$E3795='Visual SPC'!$I$4),OR('Visual SPC'!$K$4="",'Data Entry'!$F3795='Visual SPC'!$K$4)),1,0))</f>
        <v/>
      </c>
      <c r="C3795">
        <f>C3794+B3795</f>
        <v/>
      </c>
      <c r="D3795">
        <f>IF(B3795=1,INDEX('Data Entry'!$H$5:$BE$10004,3795-4,'Visual SPC'!$B$3),"")</f>
        <v/>
      </c>
      <c r="E3795">
        <f>IF(B3795=1,D3795,E3794)</f>
        <v/>
      </c>
      <c r="F3795">
        <f>IF(AND(B3795=1,C3795&gt;1,E3794&lt;&gt;""),ABS(D3795-E3794),"")</f>
        <v/>
      </c>
    </row>
    <row r="3796">
      <c r="A3796" t="n">
        <v>3796</v>
      </c>
      <c r="B3796">
        <f>IF(INDEX('Data Entry'!$H$5:$BE$10004,3796-4,'Visual SPC'!$B$3)="",0,IF(AND(OR('Visual SPC'!$C$4="",'Data Entry'!$C3796&gt;='Visual SPC'!$C$4),OR('Visual SPC'!$E$4="",'Data Entry'!$C3796&lt;='Visual SPC'!$E$4),OR('Visual SPC'!$G$4="",'Data Entry'!$D3796='Visual SPC'!$G$4),OR('Visual SPC'!$I$4="",'Data Entry'!$E3796='Visual SPC'!$I$4),OR('Visual SPC'!$K$4="",'Data Entry'!$F3796='Visual SPC'!$K$4)),1,0))</f>
        <v/>
      </c>
      <c r="C3796">
        <f>C3795+B3796</f>
        <v/>
      </c>
      <c r="D3796">
        <f>IF(B3796=1,INDEX('Data Entry'!$H$5:$BE$10004,3796-4,'Visual SPC'!$B$3),"")</f>
        <v/>
      </c>
      <c r="E3796">
        <f>IF(B3796=1,D3796,E3795)</f>
        <v/>
      </c>
      <c r="F3796">
        <f>IF(AND(B3796=1,C3796&gt;1,E3795&lt;&gt;""),ABS(D3796-E3795),"")</f>
        <v/>
      </c>
    </row>
    <row r="3797">
      <c r="A3797" t="n">
        <v>3797</v>
      </c>
      <c r="B3797">
        <f>IF(INDEX('Data Entry'!$H$5:$BE$10004,3797-4,'Visual SPC'!$B$3)="",0,IF(AND(OR('Visual SPC'!$C$4="",'Data Entry'!$C3797&gt;='Visual SPC'!$C$4),OR('Visual SPC'!$E$4="",'Data Entry'!$C3797&lt;='Visual SPC'!$E$4),OR('Visual SPC'!$G$4="",'Data Entry'!$D3797='Visual SPC'!$G$4),OR('Visual SPC'!$I$4="",'Data Entry'!$E3797='Visual SPC'!$I$4),OR('Visual SPC'!$K$4="",'Data Entry'!$F3797='Visual SPC'!$K$4)),1,0))</f>
        <v/>
      </c>
      <c r="C3797">
        <f>C3796+B3797</f>
        <v/>
      </c>
      <c r="D3797">
        <f>IF(B3797=1,INDEX('Data Entry'!$H$5:$BE$10004,3797-4,'Visual SPC'!$B$3),"")</f>
        <v/>
      </c>
      <c r="E3797">
        <f>IF(B3797=1,D3797,E3796)</f>
        <v/>
      </c>
      <c r="F3797">
        <f>IF(AND(B3797=1,C3797&gt;1,E3796&lt;&gt;""),ABS(D3797-E3796),"")</f>
        <v/>
      </c>
    </row>
    <row r="3798">
      <c r="A3798" t="n">
        <v>3798</v>
      </c>
      <c r="B3798">
        <f>IF(INDEX('Data Entry'!$H$5:$BE$10004,3798-4,'Visual SPC'!$B$3)="",0,IF(AND(OR('Visual SPC'!$C$4="",'Data Entry'!$C3798&gt;='Visual SPC'!$C$4),OR('Visual SPC'!$E$4="",'Data Entry'!$C3798&lt;='Visual SPC'!$E$4),OR('Visual SPC'!$G$4="",'Data Entry'!$D3798='Visual SPC'!$G$4),OR('Visual SPC'!$I$4="",'Data Entry'!$E3798='Visual SPC'!$I$4),OR('Visual SPC'!$K$4="",'Data Entry'!$F3798='Visual SPC'!$K$4)),1,0))</f>
        <v/>
      </c>
      <c r="C3798">
        <f>C3797+B3798</f>
        <v/>
      </c>
      <c r="D3798">
        <f>IF(B3798=1,INDEX('Data Entry'!$H$5:$BE$10004,3798-4,'Visual SPC'!$B$3),"")</f>
        <v/>
      </c>
      <c r="E3798">
        <f>IF(B3798=1,D3798,E3797)</f>
        <v/>
      </c>
      <c r="F3798">
        <f>IF(AND(B3798=1,C3798&gt;1,E3797&lt;&gt;""),ABS(D3798-E3797),"")</f>
        <v/>
      </c>
    </row>
    <row r="3799">
      <c r="A3799" t="n">
        <v>3799</v>
      </c>
      <c r="B3799">
        <f>IF(INDEX('Data Entry'!$H$5:$BE$10004,3799-4,'Visual SPC'!$B$3)="",0,IF(AND(OR('Visual SPC'!$C$4="",'Data Entry'!$C3799&gt;='Visual SPC'!$C$4),OR('Visual SPC'!$E$4="",'Data Entry'!$C3799&lt;='Visual SPC'!$E$4),OR('Visual SPC'!$G$4="",'Data Entry'!$D3799='Visual SPC'!$G$4),OR('Visual SPC'!$I$4="",'Data Entry'!$E3799='Visual SPC'!$I$4),OR('Visual SPC'!$K$4="",'Data Entry'!$F3799='Visual SPC'!$K$4)),1,0))</f>
        <v/>
      </c>
      <c r="C3799">
        <f>C3798+B3799</f>
        <v/>
      </c>
      <c r="D3799">
        <f>IF(B3799=1,INDEX('Data Entry'!$H$5:$BE$10004,3799-4,'Visual SPC'!$B$3),"")</f>
        <v/>
      </c>
      <c r="E3799">
        <f>IF(B3799=1,D3799,E3798)</f>
        <v/>
      </c>
      <c r="F3799">
        <f>IF(AND(B3799=1,C3799&gt;1,E3798&lt;&gt;""),ABS(D3799-E3798),"")</f>
        <v/>
      </c>
    </row>
    <row r="3800">
      <c r="A3800" t="n">
        <v>3800</v>
      </c>
      <c r="B3800">
        <f>IF(INDEX('Data Entry'!$H$5:$BE$10004,3800-4,'Visual SPC'!$B$3)="",0,IF(AND(OR('Visual SPC'!$C$4="",'Data Entry'!$C3800&gt;='Visual SPC'!$C$4),OR('Visual SPC'!$E$4="",'Data Entry'!$C3800&lt;='Visual SPC'!$E$4),OR('Visual SPC'!$G$4="",'Data Entry'!$D3800='Visual SPC'!$G$4),OR('Visual SPC'!$I$4="",'Data Entry'!$E3800='Visual SPC'!$I$4),OR('Visual SPC'!$K$4="",'Data Entry'!$F3800='Visual SPC'!$K$4)),1,0))</f>
        <v/>
      </c>
      <c r="C3800">
        <f>C3799+B3800</f>
        <v/>
      </c>
      <c r="D3800">
        <f>IF(B3800=1,INDEX('Data Entry'!$H$5:$BE$10004,3800-4,'Visual SPC'!$B$3),"")</f>
        <v/>
      </c>
      <c r="E3800">
        <f>IF(B3800=1,D3800,E3799)</f>
        <v/>
      </c>
      <c r="F3800">
        <f>IF(AND(B3800=1,C3800&gt;1,E3799&lt;&gt;""),ABS(D3800-E3799),"")</f>
        <v/>
      </c>
    </row>
    <row r="3801">
      <c r="A3801" t="n">
        <v>3801</v>
      </c>
      <c r="B3801">
        <f>IF(INDEX('Data Entry'!$H$5:$BE$10004,3801-4,'Visual SPC'!$B$3)="",0,IF(AND(OR('Visual SPC'!$C$4="",'Data Entry'!$C3801&gt;='Visual SPC'!$C$4),OR('Visual SPC'!$E$4="",'Data Entry'!$C3801&lt;='Visual SPC'!$E$4),OR('Visual SPC'!$G$4="",'Data Entry'!$D3801='Visual SPC'!$G$4),OR('Visual SPC'!$I$4="",'Data Entry'!$E3801='Visual SPC'!$I$4),OR('Visual SPC'!$K$4="",'Data Entry'!$F3801='Visual SPC'!$K$4)),1,0))</f>
        <v/>
      </c>
      <c r="C3801">
        <f>C3800+B3801</f>
        <v/>
      </c>
      <c r="D3801">
        <f>IF(B3801=1,INDEX('Data Entry'!$H$5:$BE$10004,3801-4,'Visual SPC'!$B$3),"")</f>
        <v/>
      </c>
      <c r="E3801">
        <f>IF(B3801=1,D3801,E3800)</f>
        <v/>
      </c>
      <c r="F3801">
        <f>IF(AND(B3801=1,C3801&gt;1,E3800&lt;&gt;""),ABS(D3801-E3800),"")</f>
        <v/>
      </c>
    </row>
    <row r="3802">
      <c r="A3802" t="n">
        <v>3802</v>
      </c>
      <c r="B3802">
        <f>IF(INDEX('Data Entry'!$H$5:$BE$10004,3802-4,'Visual SPC'!$B$3)="",0,IF(AND(OR('Visual SPC'!$C$4="",'Data Entry'!$C3802&gt;='Visual SPC'!$C$4),OR('Visual SPC'!$E$4="",'Data Entry'!$C3802&lt;='Visual SPC'!$E$4),OR('Visual SPC'!$G$4="",'Data Entry'!$D3802='Visual SPC'!$G$4),OR('Visual SPC'!$I$4="",'Data Entry'!$E3802='Visual SPC'!$I$4),OR('Visual SPC'!$K$4="",'Data Entry'!$F3802='Visual SPC'!$K$4)),1,0))</f>
        <v/>
      </c>
      <c r="C3802">
        <f>C3801+B3802</f>
        <v/>
      </c>
      <c r="D3802">
        <f>IF(B3802=1,INDEX('Data Entry'!$H$5:$BE$10004,3802-4,'Visual SPC'!$B$3),"")</f>
        <v/>
      </c>
      <c r="E3802">
        <f>IF(B3802=1,D3802,E3801)</f>
        <v/>
      </c>
      <c r="F3802">
        <f>IF(AND(B3802=1,C3802&gt;1,E3801&lt;&gt;""),ABS(D3802-E3801),"")</f>
        <v/>
      </c>
    </row>
    <row r="3803">
      <c r="A3803" t="n">
        <v>3803</v>
      </c>
      <c r="B3803">
        <f>IF(INDEX('Data Entry'!$H$5:$BE$10004,3803-4,'Visual SPC'!$B$3)="",0,IF(AND(OR('Visual SPC'!$C$4="",'Data Entry'!$C3803&gt;='Visual SPC'!$C$4),OR('Visual SPC'!$E$4="",'Data Entry'!$C3803&lt;='Visual SPC'!$E$4),OR('Visual SPC'!$G$4="",'Data Entry'!$D3803='Visual SPC'!$G$4),OR('Visual SPC'!$I$4="",'Data Entry'!$E3803='Visual SPC'!$I$4),OR('Visual SPC'!$K$4="",'Data Entry'!$F3803='Visual SPC'!$K$4)),1,0))</f>
        <v/>
      </c>
      <c r="C3803">
        <f>C3802+B3803</f>
        <v/>
      </c>
      <c r="D3803">
        <f>IF(B3803=1,INDEX('Data Entry'!$H$5:$BE$10004,3803-4,'Visual SPC'!$B$3),"")</f>
        <v/>
      </c>
      <c r="E3803">
        <f>IF(B3803=1,D3803,E3802)</f>
        <v/>
      </c>
      <c r="F3803">
        <f>IF(AND(B3803=1,C3803&gt;1,E3802&lt;&gt;""),ABS(D3803-E3802),"")</f>
        <v/>
      </c>
    </row>
    <row r="3804">
      <c r="A3804" t="n">
        <v>3804</v>
      </c>
      <c r="B3804">
        <f>IF(INDEX('Data Entry'!$H$5:$BE$10004,3804-4,'Visual SPC'!$B$3)="",0,IF(AND(OR('Visual SPC'!$C$4="",'Data Entry'!$C3804&gt;='Visual SPC'!$C$4),OR('Visual SPC'!$E$4="",'Data Entry'!$C3804&lt;='Visual SPC'!$E$4),OR('Visual SPC'!$G$4="",'Data Entry'!$D3804='Visual SPC'!$G$4),OR('Visual SPC'!$I$4="",'Data Entry'!$E3804='Visual SPC'!$I$4),OR('Visual SPC'!$K$4="",'Data Entry'!$F3804='Visual SPC'!$K$4)),1,0))</f>
        <v/>
      </c>
      <c r="C3804">
        <f>C3803+B3804</f>
        <v/>
      </c>
      <c r="D3804">
        <f>IF(B3804=1,INDEX('Data Entry'!$H$5:$BE$10004,3804-4,'Visual SPC'!$B$3),"")</f>
        <v/>
      </c>
      <c r="E3804">
        <f>IF(B3804=1,D3804,E3803)</f>
        <v/>
      </c>
      <c r="F3804">
        <f>IF(AND(B3804=1,C3804&gt;1,E3803&lt;&gt;""),ABS(D3804-E3803),"")</f>
        <v/>
      </c>
    </row>
    <row r="3805">
      <c r="A3805" t="n">
        <v>3805</v>
      </c>
      <c r="B3805">
        <f>IF(INDEX('Data Entry'!$H$5:$BE$10004,3805-4,'Visual SPC'!$B$3)="",0,IF(AND(OR('Visual SPC'!$C$4="",'Data Entry'!$C3805&gt;='Visual SPC'!$C$4),OR('Visual SPC'!$E$4="",'Data Entry'!$C3805&lt;='Visual SPC'!$E$4),OR('Visual SPC'!$G$4="",'Data Entry'!$D3805='Visual SPC'!$G$4),OR('Visual SPC'!$I$4="",'Data Entry'!$E3805='Visual SPC'!$I$4),OR('Visual SPC'!$K$4="",'Data Entry'!$F3805='Visual SPC'!$K$4)),1,0))</f>
        <v/>
      </c>
      <c r="C3805">
        <f>C3804+B3805</f>
        <v/>
      </c>
      <c r="D3805">
        <f>IF(B3805=1,INDEX('Data Entry'!$H$5:$BE$10004,3805-4,'Visual SPC'!$B$3),"")</f>
        <v/>
      </c>
      <c r="E3805">
        <f>IF(B3805=1,D3805,E3804)</f>
        <v/>
      </c>
      <c r="F3805">
        <f>IF(AND(B3805=1,C3805&gt;1,E3804&lt;&gt;""),ABS(D3805-E3804),"")</f>
        <v/>
      </c>
    </row>
    <row r="3806">
      <c r="A3806" t="n">
        <v>3806</v>
      </c>
      <c r="B3806">
        <f>IF(INDEX('Data Entry'!$H$5:$BE$10004,3806-4,'Visual SPC'!$B$3)="",0,IF(AND(OR('Visual SPC'!$C$4="",'Data Entry'!$C3806&gt;='Visual SPC'!$C$4),OR('Visual SPC'!$E$4="",'Data Entry'!$C3806&lt;='Visual SPC'!$E$4),OR('Visual SPC'!$G$4="",'Data Entry'!$D3806='Visual SPC'!$G$4),OR('Visual SPC'!$I$4="",'Data Entry'!$E3806='Visual SPC'!$I$4),OR('Visual SPC'!$K$4="",'Data Entry'!$F3806='Visual SPC'!$K$4)),1,0))</f>
        <v/>
      </c>
      <c r="C3806">
        <f>C3805+B3806</f>
        <v/>
      </c>
      <c r="D3806">
        <f>IF(B3806=1,INDEX('Data Entry'!$H$5:$BE$10004,3806-4,'Visual SPC'!$B$3),"")</f>
        <v/>
      </c>
      <c r="E3806">
        <f>IF(B3806=1,D3806,E3805)</f>
        <v/>
      </c>
      <c r="F3806">
        <f>IF(AND(B3806=1,C3806&gt;1,E3805&lt;&gt;""),ABS(D3806-E3805),"")</f>
        <v/>
      </c>
    </row>
    <row r="3807">
      <c r="A3807" t="n">
        <v>3807</v>
      </c>
      <c r="B3807">
        <f>IF(INDEX('Data Entry'!$H$5:$BE$10004,3807-4,'Visual SPC'!$B$3)="",0,IF(AND(OR('Visual SPC'!$C$4="",'Data Entry'!$C3807&gt;='Visual SPC'!$C$4),OR('Visual SPC'!$E$4="",'Data Entry'!$C3807&lt;='Visual SPC'!$E$4),OR('Visual SPC'!$G$4="",'Data Entry'!$D3807='Visual SPC'!$G$4),OR('Visual SPC'!$I$4="",'Data Entry'!$E3807='Visual SPC'!$I$4),OR('Visual SPC'!$K$4="",'Data Entry'!$F3807='Visual SPC'!$K$4)),1,0))</f>
        <v/>
      </c>
      <c r="C3807">
        <f>C3806+B3807</f>
        <v/>
      </c>
      <c r="D3807">
        <f>IF(B3807=1,INDEX('Data Entry'!$H$5:$BE$10004,3807-4,'Visual SPC'!$B$3),"")</f>
        <v/>
      </c>
      <c r="E3807">
        <f>IF(B3807=1,D3807,E3806)</f>
        <v/>
      </c>
      <c r="F3807">
        <f>IF(AND(B3807=1,C3807&gt;1,E3806&lt;&gt;""),ABS(D3807-E3806),"")</f>
        <v/>
      </c>
    </row>
    <row r="3808">
      <c r="A3808" t="n">
        <v>3808</v>
      </c>
      <c r="B3808">
        <f>IF(INDEX('Data Entry'!$H$5:$BE$10004,3808-4,'Visual SPC'!$B$3)="",0,IF(AND(OR('Visual SPC'!$C$4="",'Data Entry'!$C3808&gt;='Visual SPC'!$C$4),OR('Visual SPC'!$E$4="",'Data Entry'!$C3808&lt;='Visual SPC'!$E$4),OR('Visual SPC'!$G$4="",'Data Entry'!$D3808='Visual SPC'!$G$4),OR('Visual SPC'!$I$4="",'Data Entry'!$E3808='Visual SPC'!$I$4),OR('Visual SPC'!$K$4="",'Data Entry'!$F3808='Visual SPC'!$K$4)),1,0))</f>
        <v/>
      </c>
      <c r="C3808">
        <f>C3807+B3808</f>
        <v/>
      </c>
      <c r="D3808">
        <f>IF(B3808=1,INDEX('Data Entry'!$H$5:$BE$10004,3808-4,'Visual SPC'!$B$3),"")</f>
        <v/>
      </c>
      <c r="E3808">
        <f>IF(B3808=1,D3808,E3807)</f>
        <v/>
      </c>
      <c r="F3808">
        <f>IF(AND(B3808=1,C3808&gt;1,E3807&lt;&gt;""),ABS(D3808-E3807),"")</f>
        <v/>
      </c>
    </row>
    <row r="3809">
      <c r="A3809" t="n">
        <v>3809</v>
      </c>
      <c r="B3809">
        <f>IF(INDEX('Data Entry'!$H$5:$BE$10004,3809-4,'Visual SPC'!$B$3)="",0,IF(AND(OR('Visual SPC'!$C$4="",'Data Entry'!$C3809&gt;='Visual SPC'!$C$4),OR('Visual SPC'!$E$4="",'Data Entry'!$C3809&lt;='Visual SPC'!$E$4),OR('Visual SPC'!$G$4="",'Data Entry'!$D3809='Visual SPC'!$G$4),OR('Visual SPC'!$I$4="",'Data Entry'!$E3809='Visual SPC'!$I$4),OR('Visual SPC'!$K$4="",'Data Entry'!$F3809='Visual SPC'!$K$4)),1,0))</f>
        <v/>
      </c>
      <c r="C3809">
        <f>C3808+B3809</f>
        <v/>
      </c>
      <c r="D3809">
        <f>IF(B3809=1,INDEX('Data Entry'!$H$5:$BE$10004,3809-4,'Visual SPC'!$B$3),"")</f>
        <v/>
      </c>
      <c r="E3809">
        <f>IF(B3809=1,D3809,E3808)</f>
        <v/>
      </c>
      <c r="F3809">
        <f>IF(AND(B3809=1,C3809&gt;1,E3808&lt;&gt;""),ABS(D3809-E3808),"")</f>
        <v/>
      </c>
    </row>
    <row r="3810">
      <c r="A3810" t="n">
        <v>3810</v>
      </c>
      <c r="B3810">
        <f>IF(INDEX('Data Entry'!$H$5:$BE$10004,3810-4,'Visual SPC'!$B$3)="",0,IF(AND(OR('Visual SPC'!$C$4="",'Data Entry'!$C3810&gt;='Visual SPC'!$C$4),OR('Visual SPC'!$E$4="",'Data Entry'!$C3810&lt;='Visual SPC'!$E$4),OR('Visual SPC'!$G$4="",'Data Entry'!$D3810='Visual SPC'!$G$4),OR('Visual SPC'!$I$4="",'Data Entry'!$E3810='Visual SPC'!$I$4),OR('Visual SPC'!$K$4="",'Data Entry'!$F3810='Visual SPC'!$K$4)),1,0))</f>
        <v/>
      </c>
      <c r="C3810">
        <f>C3809+B3810</f>
        <v/>
      </c>
      <c r="D3810">
        <f>IF(B3810=1,INDEX('Data Entry'!$H$5:$BE$10004,3810-4,'Visual SPC'!$B$3),"")</f>
        <v/>
      </c>
      <c r="E3810">
        <f>IF(B3810=1,D3810,E3809)</f>
        <v/>
      </c>
      <c r="F3810">
        <f>IF(AND(B3810=1,C3810&gt;1,E3809&lt;&gt;""),ABS(D3810-E3809),"")</f>
        <v/>
      </c>
    </row>
    <row r="3811">
      <c r="A3811" t="n">
        <v>3811</v>
      </c>
      <c r="B3811">
        <f>IF(INDEX('Data Entry'!$H$5:$BE$10004,3811-4,'Visual SPC'!$B$3)="",0,IF(AND(OR('Visual SPC'!$C$4="",'Data Entry'!$C3811&gt;='Visual SPC'!$C$4),OR('Visual SPC'!$E$4="",'Data Entry'!$C3811&lt;='Visual SPC'!$E$4),OR('Visual SPC'!$G$4="",'Data Entry'!$D3811='Visual SPC'!$G$4),OR('Visual SPC'!$I$4="",'Data Entry'!$E3811='Visual SPC'!$I$4),OR('Visual SPC'!$K$4="",'Data Entry'!$F3811='Visual SPC'!$K$4)),1,0))</f>
        <v/>
      </c>
      <c r="C3811">
        <f>C3810+B3811</f>
        <v/>
      </c>
      <c r="D3811">
        <f>IF(B3811=1,INDEX('Data Entry'!$H$5:$BE$10004,3811-4,'Visual SPC'!$B$3),"")</f>
        <v/>
      </c>
      <c r="E3811">
        <f>IF(B3811=1,D3811,E3810)</f>
        <v/>
      </c>
      <c r="F3811">
        <f>IF(AND(B3811=1,C3811&gt;1,E3810&lt;&gt;""),ABS(D3811-E3810),"")</f>
        <v/>
      </c>
    </row>
    <row r="3812">
      <c r="A3812" t="n">
        <v>3812</v>
      </c>
      <c r="B3812">
        <f>IF(INDEX('Data Entry'!$H$5:$BE$10004,3812-4,'Visual SPC'!$B$3)="",0,IF(AND(OR('Visual SPC'!$C$4="",'Data Entry'!$C3812&gt;='Visual SPC'!$C$4),OR('Visual SPC'!$E$4="",'Data Entry'!$C3812&lt;='Visual SPC'!$E$4),OR('Visual SPC'!$G$4="",'Data Entry'!$D3812='Visual SPC'!$G$4),OR('Visual SPC'!$I$4="",'Data Entry'!$E3812='Visual SPC'!$I$4),OR('Visual SPC'!$K$4="",'Data Entry'!$F3812='Visual SPC'!$K$4)),1,0))</f>
        <v/>
      </c>
      <c r="C3812">
        <f>C3811+B3812</f>
        <v/>
      </c>
      <c r="D3812">
        <f>IF(B3812=1,INDEX('Data Entry'!$H$5:$BE$10004,3812-4,'Visual SPC'!$B$3),"")</f>
        <v/>
      </c>
      <c r="E3812">
        <f>IF(B3812=1,D3812,E3811)</f>
        <v/>
      </c>
      <c r="F3812">
        <f>IF(AND(B3812=1,C3812&gt;1,E3811&lt;&gt;""),ABS(D3812-E3811),"")</f>
        <v/>
      </c>
    </row>
    <row r="3813">
      <c r="A3813" t="n">
        <v>3813</v>
      </c>
      <c r="B3813">
        <f>IF(INDEX('Data Entry'!$H$5:$BE$10004,3813-4,'Visual SPC'!$B$3)="",0,IF(AND(OR('Visual SPC'!$C$4="",'Data Entry'!$C3813&gt;='Visual SPC'!$C$4),OR('Visual SPC'!$E$4="",'Data Entry'!$C3813&lt;='Visual SPC'!$E$4),OR('Visual SPC'!$G$4="",'Data Entry'!$D3813='Visual SPC'!$G$4),OR('Visual SPC'!$I$4="",'Data Entry'!$E3813='Visual SPC'!$I$4),OR('Visual SPC'!$K$4="",'Data Entry'!$F3813='Visual SPC'!$K$4)),1,0))</f>
        <v/>
      </c>
      <c r="C3813">
        <f>C3812+B3813</f>
        <v/>
      </c>
      <c r="D3813">
        <f>IF(B3813=1,INDEX('Data Entry'!$H$5:$BE$10004,3813-4,'Visual SPC'!$B$3),"")</f>
        <v/>
      </c>
      <c r="E3813">
        <f>IF(B3813=1,D3813,E3812)</f>
        <v/>
      </c>
      <c r="F3813">
        <f>IF(AND(B3813=1,C3813&gt;1,E3812&lt;&gt;""),ABS(D3813-E3812),"")</f>
        <v/>
      </c>
    </row>
    <row r="3814">
      <c r="A3814" t="n">
        <v>3814</v>
      </c>
      <c r="B3814">
        <f>IF(INDEX('Data Entry'!$H$5:$BE$10004,3814-4,'Visual SPC'!$B$3)="",0,IF(AND(OR('Visual SPC'!$C$4="",'Data Entry'!$C3814&gt;='Visual SPC'!$C$4),OR('Visual SPC'!$E$4="",'Data Entry'!$C3814&lt;='Visual SPC'!$E$4),OR('Visual SPC'!$G$4="",'Data Entry'!$D3814='Visual SPC'!$G$4),OR('Visual SPC'!$I$4="",'Data Entry'!$E3814='Visual SPC'!$I$4),OR('Visual SPC'!$K$4="",'Data Entry'!$F3814='Visual SPC'!$K$4)),1,0))</f>
        <v/>
      </c>
      <c r="C3814">
        <f>C3813+B3814</f>
        <v/>
      </c>
      <c r="D3814">
        <f>IF(B3814=1,INDEX('Data Entry'!$H$5:$BE$10004,3814-4,'Visual SPC'!$B$3),"")</f>
        <v/>
      </c>
      <c r="E3814">
        <f>IF(B3814=1,D3814,E3813)</f>
        <v/>
      </c>
      <c r="F3814">
        <f>IF(AND(B3814=1,C3814&gt;1,E3813&lt;&gt;""),ABS(D3814-E3813),"")</f>
        <v/>
      </c>
    </row>
    <row r="3815">
      <c r="A3815" t="n">
        <v>3815</v>
      </c>
      <c r="B3815">
        <f>IF(INDEX('Data Entry'!$H$5:$BE$10004,3815-4,'Visual SPC'!$B$3)="",0,IF(AND(OR('Visual SPC'!$C$4="",'Data Entry'!$C3815&gt;='Visual SPC'!$C$4),OR('Visual SPC'!$E$4="",'Data Entry'!$C3815&lt;='Visual SPC'!$E$4),OR('Visual SPC'!$G$4="",'Data Entry'!$D3815='Visual SPC'!$G$4),OR('Visual SPC'!$I$4="",'Data Entry'!$E3815='Visual SPC'!$I$4),OR('Visual SPC'!$K$4="",'Data Entry'!$F3815='Visual SPC'!$K$4)),1,0))</f>
        <v/>
      </c>
      <c r="C3815">
        <f>C3814+B3815</f>
        <v/>
      </c>
      <c r="D3815">
        <f>IF(B3815=1,INDEX('Data Entry'!$H$5:$BE$10004,3815-4,'Visual SPC'!$B$3),"")</f>
        <v/>
      </c>
      <c r="E3815">
        <f>IF(B3815=1,D3815,E3814)</f>
        <v/>
      </c>
      <c r="F3815">
        <f>IF(AND(B3815=1,C3815&gt;1,E3814&lt;&gt;""),ABS(D3815-E3814),"")</f>
        <v/>
      </c>
    </row>
    <row r="3816">
      <c r="A3816" t="n">
        <v>3816</v>
      </c>
      <c r="B3816">
        <f>IF(INDEX('Data Entry'!$H$5:$BE$10004,3816-4,'Visual SPC'!$B$3)="",0,IF(AND(OR('Visual SPC'!$C$4="",'Data Entry'!$C3816&gt;='Visual SPC'!$C$4),OR('Visual SPC'!$E$4="",'Data Entry'!$C3816&lt;='Visual SPC'!$E$4),OR('Visual SPC'!$G$4="",'Data Entry'!$D3816='Visual SPC'!$G$4),OR('Visual SPC'!$I$4="",'Data Entry'!$E3816='Visual SPC'!$I$4),OR('Visual SPC'!$K$4="",'Data Entry'!$F3816='Visual SPC'!$K$4)),1,0))</f>
        <v/>
      </c>
      <c r="C3816">
        <f>C3815+B3816</f>
        <v/>
      </c>
      <c r="D3816">
        <f>IF(B3816=1,INDEX('Data Entry'!$H$5:$BE$10004,3816-4,'Visual SPC'!$B$3),"")</f>
        <v/>
      </c>
      <c r="E3816">
        <f>IF(B3816=1,D3816,E3815)</f>
        <v/>
      </c>
      <c r="F3816">
        <f>IF(AND(B3816=1,C3816&gt;1,E3815&lt;&gt;""),ABS(D3816-E3815),"")</f>
        <v/>
      </c>
    </row>
    <row r="3817">
      <c r="A3817" t="n">
        <v>3817</v>
      </c>
      <c r="B3817">
        <f>IF(INDEX('Data Entry'!$H$5:$BE$10004,3817-4,'Visual SPC'!$B$3)="",0,IF(AND(OR('Visual SPC'!$C$4="",'Data Entry'!$C3817&gt;='Visual SPC'!$C$4),OR('Visual SPC'!$E$4="",'Data Entry'!$C3817&lt;='Visual SPC'!$E$4),OR('Visual SPC'!$G$4="",'Data Entry'!$D3817='Visual SPC'!$G$4),OR('Visual SPC'!$I$4="",'Data Entry'!$E3817='Visual SPC'!$I$4),OR('Visual SPC'!$K$4="",'Data Entry'!$F3817='Visual SPC'!$K$4)),1,0))</f>
        <v/>
      </c>
      <c r="C3817">
        <f>C3816+B3817</f>
        <v/>
      </c>
      <c r="D3817">
        <f>IF(B3817=1,INDEX('Data Entry'!$H$5:$BE$10004,3817-4,'Visual SPC'!$B$3),"")</f>
        <v/>
      </c>
      <c r="E3817">
        <f>IF(B3817=1,D3817,E3816)</f>
        <v/>
      </c>
      <c r="F3817">
        <f>IF(AND(B3817=1,C3817&gt;1,E3816&lt;&gt;""),ABS(D3817-E3816),"")</f>
        <v/>
      </c>
    </row>
    <row r="3818">
      <c r="A3818" t="n">
        <v>3818</v>
      </c>
      <c r="B3818">
        <f>IF(INDEX('Data Entry'!$H$5:$BE$10004,3818-4,'Visual SPC'!$B$3)="",0,IF(AND(OR('Visual SPC'!$C$4="",'Data Entry'!$C3818&gt;='Visual SPC'!$C$4),OR('Visual SPC'!$E$4="",'Data Entry'!$C3818&lt;='Visual SPC'!$E$4),OR('Visual SPC'!$G$4="",'Data Entry'!$D3818='Visual SPC'!$G$4),OR('Visual SPC'!$I$4="",'Data Entry'!$E3818='Visual SPC'!$I$4),OR('Visual SPC'!$K$4="",'Data Entry'!$F3818='Visual SPC'!$K$4)),1,0))</f>
        <v/>
      </c>
      <c r="C3818">
        <f>C3817+B3818</f>
        <v/>
      </c>
      <c r="D3818">
        <f>IF(B3818=1,INDEX('Data Entry'!$H$5:$BE$10004,3818-4,'Visual SPC'!$B$3),"")</f>
        <v/>
      </c>
      <c r="E3818">
        <f>IF(B3818=1,D3818,E3817)</f>
        <v/>
      </c>
      <c r="F3818">
        <f>IF(AND(B3818=1,C3818&gt;1,E3817&lt;&gt;""),ABS(D3818-E3817),"")</f>
        <v/>
      </c>
    </row>
    <row r="3819">
      <c r="A3819" t="n">
        <v>3819</v>
      </c>
      <c r="B3819">
        <f>IF(INDEX('Data Entry'!$H$5:$BE$10004,3819-4,'Visual SPC'!$B$3)="",0,IF(AND(OR('Visual SPC'!$C$4="",'Data Entry'!$C3819&gt;='Visual SPC'!$C$4),OR('Visual SPC'!$E$4="",'Data Entry'!$C3819&lt;='Visual SPC'!$E$4),OR('Visual SPC'!$G$4="",'Data Entry'!$D3819='Visual SPC'!$G$4),OR('Visual SPC'!$I$4="",'Data Entry'!$E3819='Visual SPC'!$I$4),OR('Visual SPC'!$K$4="",'Data Entry'!$F3819='Visual SPC'!$K$4)),1,0))</f>
        <v/>
      </c>
      <c r="C3819">
        <f>C3818+B3819</f>
        <v/>
      </c>
      <c r="D3819">
        <f>IF(B3819=1,INDEX('Data Entry'!$H$5:$BE$10004,3819-4,'Visual SPC'!$B$3),"")</f>
        <v/>
      </c>
      <c r="E3819">
        <f>IF(B3819=1,D3819,E3818)</f>
        <v/>
      </c>
      <c r="F3819">
        <f>IF(AND(B3819=1,C3819&gt;1,E3818&lt;&gt;""),ABS(D3819-E3818),"")</f>
        <v/>
      </c>
    </row>
    <row r="3820">
      <c r="A3820" t="n">
        <v>3820</v>
      </c>
      <c r="B3820">
        <f>IF(INDEX('Data Entry'!$H$5:$BE$10004,3820-4,'Visual SPC'!$B$3)="",0,IF(AND(OR('Visual SPC'!$C$4="",'Data Entry'!$C3820&gt;='Visual SPC'!$C$4),OR('Visual SPC'!$E$4="",'Data Entry'!$C3820&lt;='Visual SPC'!$E$4),OR('Visual SPC'!$G$4="",'Data Entry'!$D3820='Visual SPC'!$G$4),OR('Visual SPC'!$I$4="",'Data Entry'!$E3820='Visual SPC'!$I$4),OR('Visual SPC'!$K$4="",'Data Entry'!$F3820='Visual SPC'!$K$4)),1,0))</f>
        <v/>
      </c>
      <c r="C3820">
        <f>C3819+B3820</f>
        <v/>
      </c>
      <c r="D3820">
        <f>IF(B3820=1,INDEX('Data Entry'!$H$5:$BE$10004,3820-4,'Visual SPC'!$B$3),"")</f>
        <v/>
      </c>
      <c r="E3820">
        <f>IF(B3820=1,D3820,E3819)</f>
        <v/>
      </c>
      <c r="F3820">
        <f>IF(AND(B3820=1,C3820&gt;1,E3819&lt;&gt;""),ABS(D3820-E3819),"")</f>
        <v/>
      </c>
    </row>
    <row r="3821">
      <c r="A3821" t="n">
        <v>3821</v>
      </c>
      <c r="B3821">
        <f>IF(INDEX('Data Entry'!$H$5:$BE$10004,3821-4,'Visual SPC'!$B$3)="",0,IF(AND(OR('Visual SPC'!$C$4="",'Data Entry'!$C3821&gt;='Visual SPC'!$C$4),OR('Visual SPC'!$E$4="",'Data Entry'!$C3821&lt;='Visual SPC'!$E$4),OR('Visual SPC'!$G$4="",'Data Entry'!$D3821='Visual SPC'!$G$4),OR('Visual SPC'!$I$4="",'Data Entry'!$E3821='Visual SPC'!$I$4),OR('Visual SPC'!$K$4="",'Data Entry'!$F3821='Visual SPC'!$K$4)),1,0))</f>
        <v/>
      </c>
      <c r="C3821">
        <f>C3820+B3821</f>
        <v/>
      </c>
      <c r="D3821">
        <f>IF(B3821=1,INDEX('Data Entry'!$H$5:$BE$10004,3821-4,'Visual SPC'!$B$3),"")</f>
        <v/>
      </c>
      <c r="E3821">
        <f>IF(B3821=1,D3821,E3820)</f>
        <v/>
      </c>
      <c r="F3821">
        <f>IF(AND(B3821=1,C3821&gt;1,E3820&lt;&gt;""),ABS(D3821-E3820),"")</f>
        <v/>
      </c>
    </row>
    <row r="3822">
      <c r="A3822" t="n">
        <v>3822</v>
      </c>
      <c r="B3822">
        <f>IF(INDEX('Data Entry'!$H$5:$BE$10004,3822-4,'Visual SPC'!$B$3)="",0,IF(AND(OR('Visual SPC'!$C$4="",'Data Entry'!$C3822&gt;='Visual SPC'!$C$4),OR('Visual SPC'!$E$4="",'Data Entry'!$C3822&lt;='Visual SPC'!$E$4),OR('Visual SPC'!$G$4="",'Data Entry'!$D3822='Visual SPC'!$G$4),OR('Visual SPC'!$I$4="",'Data Entry'!$E3822='Visual SPC'!$I$4),OR('Visual SPC'!$K$4="",'Data Entry'!$F3822='Visual SPC'!$K$4)),1,0))</f>
        <v/>
      </c>
      <c r="C3822">
        <f>C3821+B3822</f>
        <v/>
      </c>
      <c r="D3822">
        <f>IF(B3822=1,INDEX('Data Entry'!$H$5:$BE$10004,3822-4,'Visual SPC'!$B$3),"")</f>
        <v/>
      </c>
      <c r="E3822">
        <f>IF(B3822=1,D3822,E3821)</f>
        <v/>
      </c>
      <c r="F3822">
        <f>IF(AND(B3822=1,C3822&gt;1,E3821&lt;&gt;""),ABS(D3822-E3821),"")</f>
        <v/>
      </c>
    </row>
    <row r="3823">
      <c r="A3823" t="n">
        <v>3823</v>
      </c>
      <c r="B3823">
        <f>IF(INDEX('Data Entry'!$H$5:$BE$10004,3823-4,'Visual SPC'!$B$3)="",0,IF(AND(OR('Visual SPC'!$C$4="",'Data Entry'!$C3823&gt;='Visual SPC'!$C$4),OR('Visual SPC'!$E$4="",'Data Entry'!$C3823&lt;='Visual SPC'!$E$4),OR('Visual SPC'!$G$4="",'Data Entry'!$D3823='Visual SPC'!$G$4),OR('Visual SPC'!$I$4="",'Data Entry'!$E3823='Visual SPC'!$I$4),OR('Visual SPC'!$K$4="",'Data Entry'!$F3823='Visual SPC'!$K$4)),1,0))</f>
        <v/>
      </c>
      <c r="C3823">
        <f>C3822+B3823</f>
        <v/>
      </c>
      <c r="D3823">
        <f>IF(B3823=1,INDEX('Data Entry'!$H$5:$BE$10004,3823-4,'Visual SPC'!$B$3),"")</f>
        <v/>
      </c>
      <c r="E3823">
        <f>IF(B3823=1,D3823,E3822)</f>
        <v/>
      </c>
      <c r="F3823">
        <f>IF(AND(B3823=1,C3823&gt;1,E3822&lt;&gt;""),ABS(D3823-E3822),"")</f>
        <v/>
      </c>
    </row>
    <row r="3824">
      <c r="A3824" t="n">
        <v>3824</v>
      </c>
      <c r="B3824">
        <f>IF(INDEX('Data Entry'!$H$5:$BE$10004,3824-4,'Visual SPC'!$B$3)="",0,IF(AND(OR('Visual SPC'!$C$4="",'Data Entry'!$C3824&gt;='Visual SPC'!$C$4),OR('Visual SPC'!$E$4="",'Data Entry'!$C3824&lt;='Visual SPC'!$E$4),OR('Visual SPC'!$G$4="",'Data Entry'!$D3824='Visual SPC'!$G$4),OR('Visual SPC'!$I$4="",'Data Entry'!$E3824='Visual SPC'!$I$4),OR('Visual SPC'!$K$4="",'Data Entry'!$F3824='Visual SPC'!$K$4)),1,0))</f>
        <v/>
      </c>
      <c r="C3824">
        <f>C3823+B3824</f>
        <v/>
      </c>
      <c r="D3824">
        <f>IF(B3824=1,INDEX('Data Entry'!$H$5:$BE$10004,3824-4,'Visual SPC'!$B$3),"")</f>
        <v/>
      </c>
      <c r="E3824">
        <f>IF(B3824=1,D3824,E3823)</f>
        <v/>
      </c>
      <c r="F3824">
        <f>IF(AND(B3824=1,C3824&gt;1,E3823&lt;&gt;""),ABS(D3824-E3823),"")</f>
        <v/>
      </c>
    </row>
    <row r="3825">
      <c r="A3825" t="n">
        <v>3825</v>
      </c>
      <c r="B3825">
        <f>IF(INDEX('Data Entry'!$H$5:$BE$10004,3825-4,'Visual SPC'!$B$3)="",0,IF(AND(OR('Visual SPC'!$C$4="",'Data Entry'!$C3825&gt;='Visual SPC'!$C$4),OR('Visual SPC'!$E$4="",'Data Entry'!$C3825&lt;='Visual SPC'!$E$4),OR('Visual SPC'!$G$4="",'Data Entry'!$D3825='Visual SPC'!$G$4),OR('Visual SPC'!$I$4="",'Data Entry'!$E3825='Visual SPC'!$I$4),OR('Visual SPC'!$K$4="",'Data Entry'!$F3825='Visual SPC'!$K$4)),1,0))</f>
        <v/>
      </c>
      <c r="C3825">
        <f>C3824+B3825</f>
        <v/>
      </c>
      <c r="D3825">
        <f>IF(B3825=1,INDEX('Data Entry'!$H$5:$BE$10004,3825-4,'Visual SPC'!$B$3),"")</f>
        <v/>
      </c>
      <c r="E3825">
        <f>IF(B3825=1,D3825,E3824)</f>
        <v/>
      </c>
      <c r="F3825">
        <f>IF(AND(B3825=1,C3825&gt;1,E3824&lt;&gt;""),ABS(D3825-E3824),"")</f>
        <v/>
      </c>
    </row>
    <row r="3826">
      <c r="A3826" t="n">
        <v>3826</v>
      </c>
      <c r="B3826">
        <f>IF(INDEX('Data Entry'!$H$5:$BE$10004,3826-4,'Visual SPC'!$B$3)="",0,IF(AND(OR('Visual SPC'!$C$4="",'Data Entry'!$C3826&gt;='Visual SPC'!$C$4),OR('Visual SPC'!$E$4="",'Data Entry'!$C3826&lt;='Visual SPC'!$E$4),OR('Visual SPC'!$G$4="",'Data Entry'!$D3826='Visual SPC'!$G$4),OR('Visual SPC'!$I$4="",'Data Entry'!$E3826='Visual SPC'!$I$4),OR('Visual SPC'!$K$4="",'Data Entry'!$F3826='Visual SPC'!$K$4)),1,0))</f>
        <v/>
      </c>
      <c r="C3826">
        <f>C3825+B3826</f>
        <v/>
      </c>
      <c r="D3826">
        <f>IF(B3826=1,INDEX('Data Entry'!$H$5:$BE$10004,3826-4,'Visual SPC'!$B$3),"")</f>
        <v/>
      </c>
      <c r="E3826">
        <f>IF(B3826=1,D3826,E3825)</f>
        <v/>
      </c>
      <c r="F3826">
        <f>IF(AND(B3826=1,C3826&gt;1,E3825&lt;&gt;""),ABS(D3826-E3825),"")</f>
        <v/>
      </c>
    </row>
    <row r="3827">
      <c r="A3827" t="n">
        <v>3827</v>
      </c>
      <c r="B3827">
        <f>IF(INDEX('Data Entry'!$H$5:$BE$10004,3827-4,'Visual SPC'!$B$3)="",0,IF(AND(OR('Visual SPC'!$C$4="",'Data Entry'!$C3827&gt;='Visual SPC'!$C$4),OR('Visual SPC'!$E$4="",'Data Entry'!$C3827&lt;='Visual SPC'!$E$4),OR('Visual SPC'!$G$4="",'Data Entry'!$D3827='Visual SPC'!$G$4),OR('Visual SPC'!$I$4="",'Data Entry'!$E3827='Visual SPC'!$I$4),OR('Visual SPC'!$K$4="",'Data Entry'!$F3827='Visual SPC'!$K$4)),1,0))</f>
        <v/>
      </c>
      <c r="C3827">
        <f>C3826+B3827</f>
        <v/>
      </c>
      <c r="D3827">
        <f>IF(B3827=1,INDEX('Data Entry'!$H$5:$BE$10004,3827-4,'Visual SPC'!$B$3),"")</f>
        <v/>
      </c>
      <c r="E3827">
        <f>IF(B3827=1,D3827,E3826)</f>
        <v/>
      </c>
      <c r="F3827">
        <f>IF(AND(B3827=1,C3827&gt;1,E3826&lt;&gt;""),ABS(D3827-E3826),"")</f>
        <v/>
      </c>
    </row>
    <row r="3828">
      <c r="A3828" t="n">
        <v>3828</v>
      </c>
      <c r="B3828">
        <f>IF(INDEX('Data Entry'!$H$5:$BE$10004,3828-4,'Visual SPC'!$B$3)="",0,IF(AND(OR('Visual SPC'!$C$4="",'Data Entry'!$C3828&gt;='Visual SPC'!$C$4),OR('Visual SPC'!$E$4="",'Data Entry'!$C3828&lt;='Visual SPC'!$E$4),OR('Visual SPC'!$G$4="",'Data Entry'!$D3828='Visual SPC'!$G$4),OR('Visual SPC'!$I$4="",'Data Entry'!$E3828='Visual SPC'!$I$4),OR('Visual SPC'!$K$4="",'Data Entry'!$F3828='Visual SPC'!$K$4)),1,0))</f>
        <v/>
      </c>
      <c r="C3828">
        <f>C3827+B3828</f>
        <v/>
      </c>
      <c r="D3828">
        <f>IF(B3828=1,INDEX('Data Entry'!$H$5:$BE$10004,3828-4,'Visual SPC'!$B$3),"")</f>
        <v/>
      </c>
      <c r="E3828">
        <f>IF(B3828=1,D3828,E3827)</f>
        <v/>
      </c>
      <c r="F3828">
        <f>IF(AND(B3828=1,C3828&gt;1,E3827&lt;&gt;""),ABS(D3828-E3827),"")</f>
        <v/>
      </c>
    </row>
    <row r="3829">
      <c r="A3829" t="n">
        <v>3829</v>
      </c>
      <c r="B3829">
        <f>IF(INDEX('Data Entry'!$H$5:$BE$10004,3829-4,'Visual SPC'!$B$3)="",0,IF(AND(OR('Visual SPC'!$C$4="",'Data Entry'!$C3829&gt;='Visual SPC'!$C$4),OR('Visual SPC'!$E$4="",'Data Entry'!$C3829&lt;='Visual SPC'!$E$4),OR('Visual SPC'!$G$4="",'Data Entry'!$D3829='Visual SPC'!$G$4),OR('Visual SPC'!$I$4="",'Data Entry'!$E3829='Visual SPC'!$I$4),OR('Visual SPC'!$K$4="",'Data Entry'!$F3829='Visual SPC'!$K$4)),1,0))</f>
        <v/>
      </c>
      <c r="C3829">
        <f>C3828+B3829</f>
        <v/>
      </c>
      <c r="D3829">
        <f>IF(B3829=1,INDEX('Data Entry'!$H$5:$BE$10004,3829-4,'Visual SPC'!$B$3),"")</f>
        <v/>
      </c>
      <c r="E3829">
        <f>IF(B3829=1,D3829,E3828)</f>
        <v/>
      </c>
      <c r="F3829">
        <f>IF(AND(B3829=1,C3829&gt;1,E3828&lt;&gt;""),ABS(D3829-E3828),"")</f>
        <v/>
      </c>
    </row>
    <row r="3830">
      <c r="A3830" t="n">
        <v>3830</v>
      </c>
      <c r="B3830">
        <f>IF(INDEX('Data Entry'!$H$5:$BE$10004,3830-4,'Visual SPC'!$B$3)="",0,IF(AND(OR('Visual SPC'!$C$4="",'Data Entry'!$C3830&gt;='Visual SPC'!$C$4),OR('Visual SPC'!$E$4="",'Data Entry'!$C3830&lt;='Visual SPC'!$E$4),OR('Visual SPC'!$G$4="",'Data Entry'!$D3830='Visual SPC'!$G$4),OR('Visual SPC'!$I$4="",'Data Entry'!$E3830='Visual SPC'!$I$4),OR('Visual SPC'!$K$4="",'Data Entry'!$F3830='Visual SPC'!$K$4)),1,0))</f>
        <v/>
      </c>
      <c r="C3830">
        <f>C3829+B3830</f>
        <v/>
      </c>
      <c r="D3830">
        <f>IF(B3830=1,INDEX('Data Entry'!$H$5:$BE$10004,3830-4,'Visual SPC'!$B$3),"")</f>
        <v/>
      </c>
      <c r="E3830">
        <f>IF(B3830=1,D3830,E3829)</f>
        <v/>
      </c>
      <c r="F3830">
        <f>IF(AND(B3830=1,C3830&gt;1,E3829&lt;&gt;""),ABS(D3830-E3829),"")</f>
        <v/>
      </c>
    </row>
    <row r="3831">
      <c r="A3831" t="n">
        <v>3831</v>
      </c>
      <c r="B3831">
        <f>IF(INDEX('Data Entry'!$H$5:$BE$10004,3831-4,'Visual SPC'!$B$3)="",0,IF(AND(OR('Visual SPC'!$C$4="",'Data Entry'!$C3831&gt;='Visual SPC'!$C$4),OR('Visual SPC'!$E$4="",'Data Entry'!$C3831&lt;='Visual SPC'!$E$4),OR('Visual SPC'!$G$4="",'Data Entry'!$D3831='Visual SPC'!$G$4),OR('Visual SPC'!$I$4="",'Data Entry'!$E3831='Visual SPC'!$I$4),OR('Visual SPC'!$K$4="",'Data Entry'!$F3831='Visual SPC'!$K$4)),1,0))</f>
        <v/>
      </c>
      <c r="C3831">
        <f>C3830+B3831</f>
        <v/>
      </c>
      <c r="D3831">
        <f>IF(B3831=1,INDEX('Data Entry'!$H$5:$BE$10004,3831-4,'Visual SPC'!$B$3),"")</f>
        <v/>
      </c>
      <c r="E3831">
        <f>IF(B3831=1,D3831,E3830)</f>
        <v/>
      </c>
      <c r="F3831">
        <f>IF(AND(B3831=1,C3831&gt;1,E3830&lt;&gt;""),ABS(D3831-E3830),"")</f>
        <v/>
      </c>
    </row>
    <row r="3832">
      <c r="A3832" t="n">
        <v>3832</v>
      </c>
      <c r="B3832">
        <f>IF(INDEX('Data Entry'!$H$5:$BE$10004,3832-4,'Visual SPC'!$B$3)="",0,IF(AND(OR('Visual SPC'!$C$4="",'Data Entry'!$C3832&gt;='Visual SPC'!$C$4),OR('Visual SPC'!$E$4="",'Data Entry'!$C3832&lt;='Visual SPC'!$E$4),OR('Visual SPC'!$G$4="",'Data Entry'!$D3832='Visual SPC'!$G$4),OR('Visual SPC'!$I$4="",'Data Entry'!$E3832='Visual SPC'!$I$4),OR('Visual SPC'!$K$4="",'Data Entry'!$F3832='Visual SPC'!$K$4)),1,0))</f>
        <v/>
      </c>
      <c r="C3832">
        <f>C3831+B3832</f>
        <v/>
      </c>
      <c r="D3832">
        <f>IF(B3832=1,INDEX('Data Entry'!$H$5:$BE$10004,3832-4,'Visual SPC'!$B$3),"")</f>
        <v/>
      </c>
      <c r="E3832">
        <f>IF(B3832=1,D3832,E3831)</f>
        <v/>
      </c>
      <c r="F3832">
        <f>IF(AND(B3832=1,C3832&gt;1,E3831&lt;&gt;""),ABS(D3832-E3831),"")</f>
        <v/>
      </c>
    </row>
    <row r="3833">
      <c r="A3833" t="n">
        <v>3833</v>
      </c>
      <c r="B3833">
        <f>IF(INDEX('Data Entry'!$H$5:$BE$10004,3833-4,'Visual SPC'!$B$3)="",0,IF(AND(OR('Visual SPC'!$C$4="",'Data Entry'!$C3833&gt;='Visual SPC'!$C$4),OR('Visual SPC'!$E$4="",'Data Entry'!$C3833&lt;='Visual SPC'!$E$4),OR('Visual SPC'!$G$4="",'Data Entry'!$D3833='Visual SPC'!$G$4),OR('Visual SPC'!$I$4="",'Data Entry'!$E3833='Visual SPC'!$I$4),OR('Visual SPC'!$K$4="",'Data Entry'!$F3833='Visual SPC'!$K$4)),1,0))</f>
        <v/>
      </c>
      <c r="C3833">
        <f>C3832+B3833</f>
        <v/>
      </c>
      <c r="D3833">
        <f>IF(B3833=1,INDEX('Data Entry'!$H$5:$BE$10004,3833-4,'Visual SPC'!$B$3),"")</f>
        <v/>
      </c>
      <c r="E3833">
        <f>IF(B3833=1,D3833,E3832)</f>
        <v/>
      </c>
      <c r="F3833">
        <f>IF(AND(B3833=1,C3833&gt;1,E3832&lt;&gt;""),ABS(D3833-E3832),"")</f>
        <v/>
      </c>
    </row>
    <row r="3834">
      <c r="A3834" t="n">
        <v>3834</v>
      </c>
      <c r="B3834">
        <f>IF(INDEX('Data Entry'!$H$5:$BE$10004,3834-4,'Visual SPC'!$B$3)="",0,IF(AND(OR('Visual SPC'!$C$4="",'Data Entry'!$C3834&gt;='Visual SPC'!$C$4),OR('Visual SPC'!$E$4="",'Data Entry'!$C3834&lt;='Visual SPC'!$E$4),OR('Visual SPC'!$G$4="",'Data Entry'!$D3834='Visual SPC'!$G$4),OR('Visual SPC'!$I$4="",'Data Entry'!$E3834='Visual SPC'!$I$4),OR('Visual SPC'!$K$4="",'Data Entry'!$F3834='Visual SPC'!$K$4)),1,0))</f>
        <v/>
      </c>
      <c r="C3834">
        <f>C3833+B3834</f>
        <v/>
      </c>
      <c r="D3834">
        <f>IF(B3834=1,INDEX('Data Entry'!$H$5:$BE$10004,3834-4,'Visual SPC'!$B$3),"")</f>
        <v/>
      </c>
      <c r="E3834">
        <f>IF(B3834=1,D3834,E3833)</f>
        <v/>
      </c>
      <c r="F3834">
        <f>IF(AND(B3834=1,C3834&gt;1,E3833&lt;&gt;""),ABS(D3834-E3833),"")</f>
        <v/>
      </c>
    </row>
    <row r="3835">
      <c r="A3835" t="n">
        <v>3835</v>
      </c>
      <c r="B3835">
        <f>IF(INDEX('Data Entry'!$H$5:$BE$10004,3835-4,'Visual SPC'!$B$3)="",0,IF(AND(OR('Visual SPC'!$C$4="",'Data Entry'!$C3835&gt;='Visual SPC'!$C$4),OR('Visual SPC'!$E$4="",'Data Entry'!$C3835&lt;='Visual SPC'!$E$4),OR('Visual SPC'!$G$4="",'Data Entry'!$D3835='Visual SPC'!$G$4),OR('Visual SPC'!$I$4="",'Data Entry'!$E3835='Visual SPC'!$I$4),OR('Visual SPC'!$K$4="",'Data Entry'!$F3835='Visual SPC'!$K$4)),1,0))</f>
        <v/>
      </c>
      <c r="C3835">
        <f>C3834+B3835</f>
        <v/>
      </c>
      <c r="D3835">
        <f>IF(B3835=1,INDEX('Data Entry'!$H$5:$BE$10004,3835-4,'Visual SPC'!$B$3),"")</f>
        <v/>
      </c>
      <c r="E3835">
        <f>IF(B3835=1,D3835,E3834)</f>
        <v/>
      </c>
      <c r="F3835">
        <f>IF(AND(B3835=1,C3835&gt;1,E3834&lt;&gt;""),ABS(D3835-E3834),"")</f>
        <v/>
      </c>
    </row>
    <row r="3836">
      <c r="A3836" t="n">
        <v>3836</v>
      </c>
      <c r="B3836">
        <f>IF(INDEX('Data Entry'!$H$5:$BE$10004,3836-4,'Visual SPC'!$B$3)="",0,IF(AND(OR('Visual SPC'!$C$4="",'Data Entry'!$C3836&gt;='Visual SPC'!$C$4),OR('Visual SPC'!$E$4="",'Data Entry'!$C3836&lt;='Visual SPC'!$E$4),OR('Visual SPC'!$G$4="",'Data Entry'!$D3836='Visual SPC'!$G$4),OR('Visual SPC'!$I$4="",'Data Entry'!$E3836='Visual SPC'!$I$4),OR('Visual SPC'!$K$4="",'Data Entry'!$F3836='Visual SPC'!$K$4)),1,0))</f>
        <v/>
      </c>
      <c r="C3836">
        <f>C3835+B3836</f>
        <v/>
      </c>
      <c r="D3836">
        <f>IF(B3836=1,INDEX('Data Entry'!$H$5:$BE$10004,3836-4,'Visual SPC'!$B$3),"")</f>
        <v/>
      </c>
      <c r="E3836">
        <f>IF(B3836=1,D3836,E3835)</f>
        <v/>
      </c>
      <c r="F3836">
        <f>IF(AND(B3836=1,C3836&gt;1,E3835&lt;&gt;""),ABS(D3836-E3835),"")</f>
        <v/>
      </c>
    </row>
    <row r="3837">
      <c r="A3837" t="n">
        <v>3837</v>
      </c>
      <c r="B3837">
        <f>IF(INDEX('Data Entry'!$H$5:$BE$10004,3837-4,'Visual SPC'!$B$3)="",0,IF(AND(OR('Visual SPC'!$C$4="",'Data Entry'!$C3837&gt;='Visual SPC'!$C$4),OR('Visual SPC'!$E$4="",'Data Entry'!$C3837&lt;='Visual SPC'!$E$4),OR('Visual SPC'!$G$4="",'Data Entry'!$D3837='Visual SPC'!$G$4),OR('Visual SPC'!$I$4="",'Data Entry'!$E3837='Visual SPC'!$I$4),OR('Visual SPC'!$K$4="",'Data Entry'!$F3837='Visual SPC'!$K$4)),1,0))</f>
        <v/>
      </c>
      <c r="C3837">
        <f>C3836+B3837</f>
        <v/>
      </c>
      <c r="D3837">
        <f>IF(B3837=1,INDEX('Data Entry'!$H$5:$BE$10004,3837-4,'Visual SPC'!$B$3),"")</f>
        <v/>
      </c>
      <c r="E3837">
        <f>IF(B3837=1,D3837,E3836)</f>
        <v/>
      </c>
      <c r="F3837">
        <f>IF(AND(B3837=1,C3837&gt;1,E3836&lt;&gt;""),ABS(D3837-E3836),"")</f>
        <v/>
      </c>
    </row>
    <row r="3838">
      <c r="A3838" t="n">
        <v>3838</v>
      </c>
      <c r="B3838">
        <f>IF(INDEX('Data Entry'!$H$5:$BE$10004,3838-4,'Visual SPC'!$B$3)="",0,IF(AND(OR('Visual SPC'!$C$4="",'Data Entry'!$C3838&gt;='Visual SPC'!$C$4),OR('Visual SPC'!$E$4="",'Data Entry'!$C3838&lt;='Visual SPC'!$E$4),OR('Visual SPC'!$G$4="",'Data Entry'!$D3838='Visual SPC'!$G$4),OR('Visual SPC'!$I$4="",'Data Entry'!$E3838='Visual SPC'!$I$4),OR('Visual SPC'!$K$4="",'Data Entry'!$F3838='Visual SPC'!$K$4)),1,0))</f>
        <v/>
      </c>
      <c r="C3838">
        <f>C3837+B3838</f>
        <v/>
      </c>
      <c r="D3838">
        <f>IF(B3838=1,INDEX('Data Entry'!$H$5:$BE$10004,3838-4,'Visual SPC'!$B$3),"")</f>
        <v/>
      </c>
      <c r="E3838">
        <f>IF(B3838=1,D3838,E3837)</f>
        <v/>
      </c>
      <c r="F3838">
        <f>IF(AND(B3838=1,C3838&gt;1,E3837&lt;&gt;""),ABS(D3838-E3837),"")</f>
        <v/>
      </c>
    </row>
    <row r="3839">
      <c r="A3839" t="n">
        <v>3839</v>
      </c>
      <c r="B3839">
        <f>IF(INDEX('Data Entry'!$H$5:$BE$10004,3839-4,'Visual SPC'!$B$3)="",0,IF(AND(OR('Visual SPC'!$C$4="",'Data Entry'!$C3839&gt;='Visual SPC'!$C$4),OR('Visual SPC'!$E$4="",'Data Entry'!$C3839&lt;='Visual SPC'!$E$4),OR('Visual SPC'!$G$4="",'Data Entry'!$D3839='Visual SPC'!$G$4),OR('Visual SPC'!$I$4="",'Data Entry'!$E3839='Visual SPC'!$I$4),OR('Visual SPC'!$K$4="",'Data Entry'!$F3839='Visual SPC'!$K$4)),1,0))</f>
        <v/>
      </c>
      <c r="C3839">
        <f>C3838+B3839</f>
        <v/>
      </c>
      <c r="D3839">
        <f>IF(B3839=1,INDEX('Data Entry'!$H$5:$BE$10004,3839-4,'Visual SPC'!$B$3),"")</f>
        <v/>
      </c>
      <c r="E3839">
        <f>IF(B3839=1,D3839,E3838)</f>
        <v/>
      </c>
      <c r="F3839">
        <f>IF(AND(B3839=1,C3839&gt;1,E3838&lt;&gt;""),ABS(D3839-E3838),"")</f>
        <v/>
      </c>
    </row>
    <row r="3840">
      <c r="A3840" t="n">
        <v>3840</v>
      </c>
      <c r="B3840">
        <f>IF(INDEX('Data Entry'!$H$5:$BE$10004,3840-4,'Visual SPC'!$B$3)="",0,IF(AND(OR('Visual SPC'!$C$4="",'Data Entry'!$C3840&gt;='Visual SPC'!$C$4),OR('Visual SPC'!$E$4="",'Data Entry'!$C3840&lt;='Visual SPC'!$E$4),OR('Visual SPC'!$G$4="",'Data Entry'!$D3840='Visual SPC'!$G$4),OR('Visual SPC'!$I$4="",'Data Entry'!$E3840='Visual SPC'!$I$4),OR('Visual SPC'!$K$4="",'Data Entry'!$F3840='Visual SPC'!$K$4)),1,0))</f>
        <v/>
      </c>
      <c r="C3840">
        <f>C3839+B3840</f>
        <v/>
      </c>
      <c r="D3840">
        <f>IF(B3840=1,INDEX('Data Entry'!$H$5:$BE$10004,3840-4,'Visual SPC'!$B$3),"")</f>
        <v/>
      </c>
      <c r="E3840">
        <f>IF(B3840=1,D3840,E3839)</f>
        <v/>
      </c>
      <c r="F3840">
        <f>IF(AND(B3840=1,C3840&gt;1,E3839&lt;&gt;""),ABS(D3840-E3839),"")</f>
        <v/>
      </c>
    </row>
    <row r="3841">
      <c r="A3841" t="n">
        <v>3841</v>
      </c>
      <c r="B3841">
        <f>IF(INDEX('Data Entry'!$H$5:$BE$10004,3841-4,'Visual SPC'!$B$3)="",0,IF(AND(OR('Visual SPC'!$C$4="",'Data Entry'!$C3841&gt;='Visual SPC'!$C$4),OR('Visual SPC'!$E$4="",'Data Entry'!$C3841&lt;='Visual SPC'!$E$4),OR('Visual SPC'!$G$4="",'Data Entry'!$D3841='Visual SPC'!$G$4),OR('Visual SPC'!$I$4="",'Data Entry'!$E3841='Visual SPC'!$I$4),OR('Visual SPC'!$K$4="",'Data Entry'!$F3841='Visual SPC'!$K$4)),1,0))</f>
        <v/>
      </c>
      <c r="C3841">
        <f>C3840+B3841</f>
        <v/>
      </c>
      <c r="D3841">
        <f>IF(B3841=1,INDEX('Data Entry'!$H$5:$BE$10004,3841-4,'Visual SPC'!$B$3),"")</f>
        <v/>
      </c>
      <c r="E3841">
        <f>IF(B3841=1,D3841,E3840)</f>
        <v/>
      </c>
      <c r="F3841">
        <f>IF(AND(B3841=1,C3841&gt;1,E3840&lt;&gt;""),ABS(D3841-E3840),"")</f>
        <v/>
      </c>
    </row>
    <row r="3842">
      <c r="A3842" t="n">
        <v>3842</v>
      </c>
      <c r="B3842">
        <f>IF(INDEX('Data Entry'!$H$5:$BE$10004,3842-4,'Visual SPC'!$B$3)="",0,IF(AND(OR('Visual SPC'!$C$4="",'Data Entry'!$C3842&gt;='Visual SPC'!$C$4),OR('Visual SPC'!$E$4="",'Data Entry'!$C3842&lt;='Visual SPC'!$E$4),OR('Visual SPC'!$G$4="",'Data Entry'!$D3842='Visual SPC'!$G$4),OR('Visual SPC'!$I$4="",'Data Entry'!$E3842='Visual SPC'!$I$4),OR('Visual SPC'!$K$4="",'Data Entry'!$F3842='Visual SPC'!$K$4)),1,0))</f>
        <v/>
      </c>
      <c r="C3842">
        <f>C3841+B3842</f>
        <v/>
      </c>
      <c r="D3842">
        <f>IF(B3842=1,INDEX('Data Entry'!$H$5:$BE$10004,3842-4,'Visual SPC'!$B$3),"")</f>
        <v/>
      </c>
      <c r="E3842">
        <f>IF(B3842=1,D3842,E3841)</f>
        <v/>
      </c>
      <c r="F3842">
        <f>IF(AND(B3842=1,C3842&gt;1,E3841&lt;&gt;""),ABS(D3842-E3841),"")</f>
        <v/>
      </c>
    </row>
    <row r="3843">
      <c r="A3843" t="n">
        <v>3843</v>
      </c>
      <c r="B3843">
        <f>IF(INDEX('Data Entry'!$H$5:$BE$10004,3843-4,'Visual SPC'!$B$3)="",0,IF(AND(OR('Visual SPC'!$C$4="",'Data Entry'!$C3843&gt;='Visual SPC'!$C$4),OR('Visual SPC'!$E$4="",'Data Entry'!$C3843&lt;='Visual SPC'!$E$4),OR('Visual SPC'!$G$4="",'Data Entry'!$D3843='Visual SPC'!$G$4),OR('Visual SPC'!$I$4="",'Data Entry'!$E3843='Visual SPC'!$I$4),OR('Visual SPC'!$K$4="",'Data Entry'!$F3843='Visual SPC'!$K$4)),1,0))</f>
        <v/>
      </c>
      <c r="C3843">
        <f>C3842+B3843</f>
        <v/>
      </c>
      <c r="D3843">
        <f>IF(B3843=1,INDEX('Data Entry'!$H$5:$BE$10004,3843-4,'Visual SPC'!$B$3),"")</f>
        <v/>
      </c>
      <c r="E3843">
        <f>IF(B3843=1,D3843,E3842)</f>
        <v/>
      </c>
      <c r="F3843">
        <f>IF(AND(B3843=1,C3843&gt;1,E3842&lt;&gt;""),ABS(D3843-E3842),"")</f>
        <v/>
      </c>
    </row>
    <row r="3844">
      <c r="A3844" t="n">
        <v>3844</v>
      </c>
      <c r="B3844">
        <f>IF(INDEX('Data Entry'!$H$5:$BE$10004,3844-4,'Visual SPC'!$B$3)="",0,IF(AND(OR('Visual SPC'!$C$4="",'Data Entry'!$C3844&gt;='Visual SPC'!$C$4),OR('Visual SPC'!$E$4="",'Data Entry'!$C3844&lt;='Visual SPC'!$E$4),OR('Visual SPC'!$G$4="",'Data Entry'!$D3844='Visual SPC'!$G$4),OR('Visual SPC'!$I$4="",'Data Entry'!$E3844='Visual SPC'!$I$4),OR('Visual SPC'!$K$4="",'Data Entry'!$F3844='Visual SPC'!$K$4)),1,0))</f>
        <v/>
      </c>
      <c r="C3844">
        <f>C3843+B3844</f>
        <v/>
      </c>
      <c r="D3844">
        <f>IF(B3844=1,INDEX('Data Entry'!$H$5:$BE$10004,3844-4,'Visual SPC'!$B$3),"")</f>
        <v/>
      </c>
      <c r="E3844">
        <f>IF(B3844=1,D3844,E3843)</f>
        <v/>
      </c>
      <c r="F3844">
        <f>IF(AND(B3844=1,C3844&gt;1,E3843&lt;&gt;""),ABS(D3844-E3843),"")</f>
        <v/>
      </c>
    </row>
    <row r="3845">
      <c r="A3845" t="n">
        <v>3845</v>
      </c>
      <c r="B3845">
        <f>IF(INDEX('Data Entry'!$H$5:$BE$10004,3845-4,'Visual SPC'!$B$3)="",0,IF(AND(OR('Visual SPC'!$C$4="",'Data Entry'!$C3845&gt;='Visual SPC'!$C$4),OR('Visual SPC'!$E$4="",'Data Entry'!$C3845&lt;='Visual SPC'!$E$4),OR('Visual SPC'!$G$4="",'Data Entry'!$D3845='Visual SPC'!$G$4),OR('Visual SPC'!$I$4="",'Data Entry'!$E3845='Visual SPC'!$I$4),OR('Visual SPC'!$K$4="",'Data Entry'!$F3845='Visual SPC'!$K$4)),1,0))</f>
        <v/>
      </c>
      <c r="C3845">
        <f>C3844+B3845</f>
        <v/>
      </c>
      <c r="D3845">
        <f>IF(B3845=1,INDEX('Data Entry'!$H$5:$BE$10004,3845-4,'Visual SPC'!$B$3),"")</f>
        <v/>
      </c>
      <c r="E3845">
        <f>IF(B3845=1,D3845,E3844)</f>
        <v/>
      </c>
      <c r="F3845">
        <f>IF(AND(B3845=1,C3845&gt;1,E3844&lt;&gt;""),ABS(D3845-E3844),"")</f>
        <v/>
      </c>
    </row>
    <row r="3846">
      <c r="A3846" t="n">
        <v>3846</v>
      </c>
      <c r="B3846">
        <f>IF(INDEX('Data Entry'!$H$5:$BE$10004,3846-4,'Visual SPC'!$B$3)="",0,IF(AND(OR('Visual SPC'!$C$4="",'Data Entry'!$C3846&gt;='Visual SPC'!$C$4),OR('Visual SPC'!$E$4="",'Data Entry'!$C3846&lt;='Visual SPC'!$E$4),OR('Visual SPC'!$G$4="",'Data Entry'!$D3846='Visual SPC'!$G$4),OR('Visual SPC'!$I$4="",'Data Entry'!$E3846='Visual SPC'!$I$4),OR('Visual SPC'!$K$4="",'Data Entry'!$F3846='Visual SPC'!$K$4)),1,0))</f>
        <v/>
      </c>
      <c r="C3846">
        <f>C3845+B3846</f>
        <v/>
      </c>
      <c r="D3846">
        <f>IF(B3846=1,INDEX('Data Entry'!$H$5:$BE$10004,3846-4,'Visual SPC'!$B$3),"")</f>
        <v/>
      </c>
      <c r="E3846">
        <f>IF(B3846=1,D3846,E3845)</f>
        <v/>
      </c>
      <c r="F3846">
        <f>IF(AND(B3846=1,C3846&gt;1,E3845&lt;&gt;""),ABS(D3846-E3845),"")</f>
        <v/>
      </c>
    </row>
    <row r="3847">
      <c r="A3847" t="n">
        <v>3847</v>
      </c>
      <c r="B3847">
        <f>IF(INDEX('Data Entry'!$H$5:$BE$10004,3847-4,'Visual SPC'!$B$3)="",0,IF(AND(OR('Visual SPC'!$C$4="",'Data Entry'!$C3847&gt;='Visual SPC'!$C$4),OR('Visual SPC'!$E$4="",'Data Entry'!$C3847&lt;='Visual SPC'!$E$4),OR('Visual SPC'!$G$4="",'Data Entry'!$D3847='Visual SPC'!$G$4),OR('Visual SPC'!$I$4="",'Data Entry'!$E3847='Visual SPC'!$I$4),OR('Visual SPC'!$K$4="",'Data Entry'!$F3847='Visual SPC'!$K$4)),1,0))</f>
        <v/>
      </c>
      <c r="C3847">
        <f>C3846+B3847</f>
        <v/>
      </c>
      <c r="D3847">
        <f>IF(B3847=1,INDEX('Data Entry'!$H$5:$BE$10004,3847-4,'Visual SPC'!$B$3),"")</f>
        <v/>
      </c>
      <c r="E3847">
        <f>IF(B3847=1,D3847,E3846)</f>
        <v/>
      </c>
      <c r="F3847">
        <f>IF(AND(B3847=1,C3847&gt;1,E3846&lt;&gt;""),ABS(D3847-E3846),"")</f>
        <v/>
      </c>
    </row>
    <row r="3848">
      <c r="A3848" t="n">
        <v>3848</v>
      </c>
      <c r="B3848">
        <f>IF(INDEX('Data Entry'!$H$5:$BE$10004,3848-4,'Visual SPC'!$B$3)="",0,IF(AND(OR('Visual SPC'!$C$4="",'Data Entry'!$C3848&gt;='Visual SPC'!$C$4),OR('Visual SPC'!$E$4="",'Data Entry'!$C3848&lt;='Visual SPC'!$E$4),OR('Visual SPC'!$G$4="",'Data Entry'!$D3848='Visual SPC'!$G$4),OR('Visual SPC'!$I$4="",'Data Entry'!$E3848='Visual SPC'!$I$4),OR('Visual SPC'!$K$4="",'Data Entry'!$F3848='Visual SPC'!$K$4)),1,0))</f>
        <v/>
      </c>
      <c r="C3848">
        <f>C3847+B3848</f>
        <v/>
      </c>
      <c r="D3848">
        <f>IF(B3848=1,INDEX('Data Entry'!$H$5:$BE$10004,3848-4,'Visual SPC'!$B$3),"")</f>
        <v/>
      </c>
      <c r="E3848">
        <f>IF(B3848=1,D3848,E3847)</f>
        <v/>
      </c>
      <c r="F3848">
        <f>IF(AND(B3848=1,C3848&gt;1,E3847&lt;&gt;""),ABS(D3848-E3847),"")</f>
        <v/>
      </c>
    </row>
    <row r="3849">
      <c r="A3849" t="n">
        <v>3849</v>
      </c>
      <c r="B3849">
        <f>IF(INDEX('Data Entry'!$H$5:$BE$10004,3849-4,'Visual SPC'!$B$3)="",0,IF(AND(OR('Visual SPC'!$C$4="",'Data Entry'!$C3849&gt;='Visual SPC'!$C$4),OR('Visual SPC'!$E$4="",'Data Entry'!$C3849&lt;='Visual SPC'!$E$4),OR('Visual SPC'!$G$4="",'Data Entry'!$D3849='Visual SPC'!$G$4),OR('Visual SPC'!$I$4="",'Data Entry'!$E3849='Visual SPC'!$I$4),OR('Visual SPC'!$K$4="",'Data Entry'!$F3849='Visual SPC'!$K$4)),1,0))</f>
        <v/>
      </c>
      <c r="C3849">
        <f>C3848+B3849</f>
        <v/>
      </c>
      <c r="D3849">
        <f>IF(B3849=1,INDEX('Data Entry'!$H$5:$BE$10004,3849-4,'Visual SPC'!$B$3),"")</f>
        <v/>
      </c>
      <c r="E3849">
        <f>IF(B3849=1,D3849,E3848)</f>
        <v/>
      </c>
      <c r="F3849">
        <f>IF(AND(B3849=1,C3849&gt;1,E3848&lt;&gt;""),ABS(D3849-E3848),"")</f>
        <v/>
      </c>
    </row>
    <row r="3850">
      <c r="A3850" t="n">
        <v>3850</v>
      </c>
      <c r="B3850">
        <f>IF(INDEX('Data Entry'!$H$5:$BE$10004,3850-4,'Visual SPC'!$B$3)="",0,IF(AND(OR('Visual SPC'!$C$4="",'Data Entry'!$C3850&gt;='Visual SPC'!$C$4),OR('Visual SPC'!$E$4="",'Data Entry'!$C3850&lt;='Visual SPC'!$E$4),OR('Visual SPC'!$G$4="",'Data Entry'!$D3850='Visual SPC'!$G$4),OR('Visual SPC'!$I$4="",'Data Entry'!$E3850='Visual SPC'!$I$4),OR('Visual SPC'!$K$4="",'Data Entry'!$F3850='Visual SPC'!$K$4)),1,0))</f>
        <v/>
      </c>
      <c r="C3850">
        <f>C3849+B3850</f>
        <v/>
      </c>
      <c r="D3850">
        <f>IF(B3850=1,INDEX('Data Entry'!$H$5:$BE$10004,3850-4,'Visual SPC'!$B$3),"")</f>
        <v/>
      </c>
      <c r="E3850">
        <f>IF(B3850=1,D3850,E3849)</f>
        <v/>
      </c>
      <c r="F3850">
        <f>IF(AND(B3850=1,C3850&gt;1,E3849&lt;&gt;""),ABS(D3850-E3849),"")</f>
        <v/>
      </c>
    </row>
    <row r="3851">
      <c r="A3851" t="n">
        <v>3851</v>
      </c>
      <c r="B3851">
        <f>IF(INDEX('Data Entry'!$H$5:$BE$10004,3851-4,'Visual SPC'!$B$3)="",0,IF(AND(OR('Visual SPC'!$C$4="",'Data Entry'!$C3851&gt;='Visual SPC'!$C$4),OR('Visual SPC'!$E$4="",'Data Entry'!$C3851&lt;='Visual SPC'!$E$4),OR('Visual SPC'!$G$4="",'Data Entry'!$D3851='Visual SPC'!$G$4),OR('Visual SPC'!$I$4="",'Data Entry'!$E3851='Visual SPC'!$I$4),OR('Visual SPC'!$K$4="",'Data Entry'!$F3851='Visual SPC'!$K$4)),1,0))</f>
        <v/>
      </c>
      <c r="C3851">
        <f>C3850+B3851</f>
        <v/>
      </c>
      <c r="D3851">
        <f>IF(B3851=1,INDEX('Data Entry'!$H$5:$BE$10004,3851-4,'Visual SPC'!$B$3),"")</f>
        <v/>
      </c>
      <c r="E3851">
        <f>IF(B3851=1,D3851,E3850)</f>
        <v/>
      </c>
      <c r="F3851">
        <f>IF(AND(B3851=1,C3851&gt;1,E3850&lt;&gt;""),ABS(D3851-E3850),"")</f>
        <v/>
      </c>
    </row>
    <row r="3852">
      <c r="A3852" t="n">
        <v>3852</v>
      </c>
      <c r="B3852">
        <f>IF(INDEX('Data Entry'!$H$5:$BE$10004,3852-4,'Visual SPC'!$B$3)="",0,IF(AND(OR('Visual SPC'!$C$4="",'Data Entry'!$C3852&gt;='Visual SPC'!$C$4),OR('Visual SPC'!$E$4="",'Data Entry'!$C3852&lt;='Visual SPC'!$E$4),OR('Visual SPC'!$G$4="",'Data Entry'!$D3852='Visual SPC'!$G$4),OR('Visual SPC'!$I$4="",'Data Entry'!$E3852='Visual SPC'!$I$4),OR('Visual SPC'!$K$4="",'Data Entry'!$F3852='Visual SPC'!$K$4)),1,0))</f>
        <v/>
      </c>
      <c r="C3852">
        <f>C3851+B3852</f>
        <v/>
      </c>
      <c r="D3852">
        <f>IF(B3852=1,INDEX('Data Entry'!$H$5:$BE$10004,3852-4,'Visual SPC'!$B$3),"")</f>
        <v/>
      </c>
      <c r="E3852">
        <f>IF(B3852=1,D3852,E3851)</f>
        <v/>
      </c>
      <c r="F3852">
        <f>IF(AND(B3852=1,C3852&gt;1,E3851&lt;&gt;""),ABS(D3852-E3851),"")</f>
        <v/>
      </c>
    </row>
    <row r="3853">
      <c r="A3853" t="n">
        <v>3853</v>
      </c>
      <c r="B3853">
        <f>IF(INDEX('Data Entry'!$H$5:$BE$10004,3853-4,'Visual SPC'!$B$3)="",0,IF(AND(OR('Visual SPC'!$C$4="",'Data Entry'!$C3853&gt;='Visual SPC'!$C$4),OR('Visual SPC'!$E$4="",'Data Entry'!$C3853&lt;='Visual SPC'!$E$4),OR('Visual SPC'!$G$4="",'Data Entry'!$D3853='Visual SPC'!$G$4),OR('Visual SPC'!$I$4="",'Data Entry'!$E3853='Visual SPC'!$I$4),OR('Visual SPC'!$K$4="",'Data Entry'!$F3853='Visual SPC'!$K$4)),1,0))</f>
        <v/>
      </c>
      <c r="C3853">
        <f>C3852+B3853</f>
        <v/>
      </c>
      <c r="D3853">
        <f>IF(B3853=1,INDEX('Data Entry'!$H$5:$BE$10004,3853-4,'Visual SPC'!$B$3),"")</f>
        <v/>
      </c>
      <c r="E3853">
        <f>IF(B3853=1,D3853,E3852)</f>
        <v/>
      </c>
      <c r="F3853">
        <f>IF(AND(B3853=1,C3853&gt;1,E3852&lt;&gt;""),ABS(D3853-E3852),"")</f>
        <v/>
      </c>
    </row>
    <row r="3854">
      <c r="A3854" t="n">
        <v>3854</v>
      </c>
      <c r="B3854">
        <f>IF(INDEX('Data Entry'!$H$5:$BE$10004,3854-4,'Visual SPC'!$B$3)="",0,IF(AND(OR('Visual SPC'!$C$4="",'Data Entry'!$C3854&gt;='Visual SPC'!$C$4),OR('Visual SPC'!$E$4="",'Data Entry'!$C3854&lt;='Visual SPC'!$E$4),OR('Visual SPC'!$G$4="",'Data Entry'!$D3854='Visual SPC'!$G$4),OR('Visual SPC'!$I$4="",'Data Entry'!$E3854='Visual SPC'!$I$4),OR('Visual SPC'!$K$4="",'Data Entry'!$F3854='Visual SPC'!$K$4)),1,0))</f>
        <v/>
      </c>
      <c r="C3854">
        <f>C3853+B3854</f>
        <v/>
      </c>
      <c r="D3854">
        <f>IF(B3854=1,INDEX('Data Entry'!$H$5:$BE$10004,3854-4,'Visual SPC'!$B$3),"")</f>
        <v/>
      </c>
      <c r="E3854">
        <f>IF(B3854=1,D3854,E3853)</f>
        <v/>
      </c>
      <c r="F3854">
        <f>IF(AND(B3854=1,C3854&gt;1,E3853&lt;&gt;""),ABS(D3854-E3853),"")</f>
        <v/>
      </c>
    </row>
    <row r="3855">
      <c r="A3855" t="n">
        <v>3855</v>
      </c>
      <c r="B3855">
        <f>IF(INDEX('Data Entry'!$H$5:$BE$10004,3855-4,'Visual SPC'!$B$3)="",0,IF(AND(OR('Visual SPC'!$C$4="",'Data Entry'!$C3855&gt;='Visual SPC'!$C$4),OR('Visual SPC'!$E$4="",'Data Entry'!$C3855&lt;='Visual SPC'!$E$4),OR('Visual SPC'!$G$4="",'Data Entry'!$D3855='Visual SPC'!$G$4),OR('Visual SPC'!$I$4="",'Data Entry'!$E3855='Visual SPC'!$I$4),OR('Visual SPC'!$K$4="",'Data Entry'!$F3855='Visual SPC'!$K$4)),1,0))</f>
        <v/>
      </c>
      <c r="C3855">
        <f>C3854+B3855</f>
        <v/>
      </c>
      <c r="D3855">
        <f>IF(B3855=1,INDEX('Data Entry'!$H$5:$BE$10004,3855-4,'Visual SPC'!$B$3),"")</f>
        <v/>
      </c>
      <c r="E3855">
        <f>IF(B3855=1,D3855,E3854)</f>
        <v/>
      </c>
      <c r="F3855">
        <f>IF(AND(B3855=1,C3855&gt;1,E3854&lt;&gt;""),ABS(D3855-E3854),"")</f>
        <v/>
      </c>
    </row>
    <row r="3856">
      <c r="A3856" t="n">
        <v>3856</v>
      </c>
      <c r="B3856">
        <f>IF(INDEX('Data Entry'!$H$5:$BE$10004,3856-4,'Visual SPC'!$B$3)="",0,IF(AND(OR('Visual SPC'!$C$4="",'Data Entry'!$C3856&gt;='Visual SPC'!$C$4),OR('Visual SPC'!$E$4="",'Data Entry'!$C3856&lt;='Visual SPC'!$E$4),OR('Visual SPC'!$G$4="",'Data Entry'!$D3856='Visual SPC'!$G$4),OR('Visual SPC'!$I$4="",'Data Entry'!$E3856='Visual SPC'!$I$4),OR('Visual SPC'!$K$4="",'Data Entry'!$F3856='Visual SPC'!$K$4)),1,0))</f>
        <v/>
      </c>
      <c r="C3856">
        <f>C3855+B3856</f>
        <v/>
      </c>
      <c r="D3856">
        <f>IF(B3856=1,INDEX('Data Entry'!$H$5:$BE$10004,3856-4,'Visual SPC'!$B$3),"")</f>
        <v/>
      </c>
      <c r="E3856">
        <f>IF(B3856=1,D3856,E3855)</f>
        <v/>
      </c>
      <c r="F3856">
        <f>IF(AND(B3856=1,C3856&gt;1,E3855&lt;&gt;""),ABS(D3856-E3855),"")</f>
        <v/>
      </c>
    </row>
    <row r="3857">
      <c r="A3857" t="n">
        <v>3857</v>
      </c>
      <c r="B3857">
        <f>IF(INDEX('Data Entry'!$H$5:$BE$10004,3857-4,'Visual SPC'!$B$3)="",0,IF(AND(OR('Visual SPC'!$C$4="",'Data Entry'!$C3857&gt;='Visual SPC'!$C$4),OR('Visual SPC'!$E$4="",'Data Entry'!$C3857&lt;='Visual SPC'!$E$4),OR('Visual SPC'!$G$4="",'Data Entry'!$D3857='Visual SPC'!$G$4),OR('Visual SPC'!$I$4="",'Data Entry'!$E3857='Visual SPC'!$I$4),OR('Visual SPC'!$K$4="",'Data Entry'!$F3857='Visual SPC'!$K$4)),1,0))</f>
        <v/>
      </c>
      <c r="C3857">
        <f>C3856+B3857</f>
        <v/>
      </c>
      <c r="D3857">
        <f>IF(B3857=1,INDEX('Data Entry'!$H$5:$BE$10004,3857-4,'Visual SPC'!$B$3),"")</f>
        <v/>
      </c>
      <c r="E3857">
        <f>IF(B3857=1,D3857,E3856)</f>
        <v/>
      </c>
      <c r="F3857">
        <f>IF(AND(B3857=1,C3857&gt;1,E3856&lt;&gt;""),ABS(D3857-E3856),"")</f>
        <v/>
      </c>
    </row>
    <row r="3858">
      <c r="A3858" t="n">
        <v>3858</v>
      </c>
      <c r="B3858">
        <f>IF(INDEX('Data Entry'!$H$5:$BE$10004,3858-4,'Visual SPC'!$B$3)="",0,IF(AND(OR('Visual SPC'!$C$4="",'Data Entry'!$C3858&gt;='Visual SPC'!$C$4),OR('Visual SPC'!$E$4="",'Data Entry'!$C3858&lt;='Visual SPC'!$E$4),OR('Visual SPC'!$G$4="",'Data Entry'!$D3858='Visual SPC'!$G$4),OR('Visual SPC'!$I$4="",'Data Entry'!$E3858='Visual SPC'!$I$4),OR('Visual SPC'!$K$4="",'Data Entry'!$F3858='Visual SPC'!$K$4)),1,0))</f>
        <v/>
      </c>
      <c r="C3858">
        <f>C3857+B3858</f>
        <v/>
      </c>
      <c r="D3858">
        <f>IF(B3858=1,INDEX('Data Entry'!$H$5:$BE$10004,3858-4,'Visual SPC'!$B$3),"")</f>
        <v/>
      </c>
      <c r="E3858">
        <f>IF(B3858=1,D3858,E3857)</f>
        <v/>
      </c>
      <c r="F3858">
        <f>IF(AND(B3858=1,C3858&gt;1,E3857&lt;&gt;""),ABS(D3858-E3857),"")</f>
        <v/>
      </c>
    </row>
    <row r="3859">
      <c r="A3859" t="n">
        <v>3859</v>
      </c>
      <c r="B3859">
        <f>IF(INDEX('Data Entry'!$H$5:$BE$10004,3859-4,'Visual SPC'!$B$3)="",0,IF(AND(OR('Visual SPC'!$C$4="",'Data Entry'!$C3859&gt;='Visual SPC'!$C$4),OR('Visual SPC'!$E$4="",'Data Entry'!$C3859&lt;='Visual SPC'!$E$4),OR('Visual SPC'!$G$4="",'Data Entry'!$D3859='Visual SPC'!$G$4),OR('Visual SPC'!$I$4="",'Data Entry'!$E3859='Visual SPC'!$I$4),OR('Visual SPC'!$K$4="",'Data Entry'!$F3859='Visual SPC'!$K$4)),1,0))</f>
        <v/>
      </c>
      <c r="C3859">
        <f>C3858+B3859</f>
        <v/>
      </c>
      <c r="D3859">
        <f>IF(B3859=1,INDEX('Data Entry'!$H$5:$BE$10004,3859-4,'Visual SPC'!$B$3),"")</f>
        <v/>
      </c>
      <c r="E3859">
        <f>IF(B3859=1,D3859,E3858)</f>
        <v/>
      </c>
      <c r="F3859">
        <f>IF(AND(B3859=1,C3859&gt;1,E3858&lt;&gt;""),ABS(D3859-E3858),"")</f>
        <v/>
      </c>
    </row>
    <row r="3860">
      <c r="A3860" t="n">
        <v>3860</v>
      </c>
      <c r="B3860">
        <f>IF(INDEX('Data Entry'!$H$5:$BE$10004,3860-4,'Visual SPC'!$B$3)="",0,IF(AND(OR('Visual SPC'!$C$4="",'Data Entry'!$C3860&gt;='Visual SPC'!$C$4),OR('Visual SPC'!$E$4="",'Data Entry'!$C3860&lt;='Visual SPC'!$E$4),OR('Visual SPC'!$G$4="",'Data Entry'!$D3860='Visual SPC'!$G$4),OR('Visual SPC'!$I$4="",'Data Entry'!$E3860='Visual SPC'!$I$4),OR('Visual SPC'!$K$4="",'Data Entry'!$F3860='Visual SPC'!$K$4)),1,0))</f>
        <v/>
      </c>
      <c r="C3860">
        <f>C3859+B3860</f>
        <v/>
      </c>
      <c r="D3860">
        <f>IF(B3860=1,INDEX('Data Entry'!$H$5:$BE$10004,3860-4,'Visual SPC'!$B$3),"")</f>
        <v/>
      </c>
      <c r="E3860">
        <f>IF(B3860=1,D3860,E3859)</f>
        <v/>
      </c>
      <c r="F3860">
        <f>IF(AND(B3860=1,C3860&gt;1,E3859&lt;&gt;""),ABS(D3860-E3859),"")</f>
        <v/>
      </c>
    </row>
    <row r="3861">
      <c r="A3861" t="n">
        <v>3861</v>
      </c>
      <c r="B3861">
        <f>IF(INDEX('Data Entry'!$H$5:$BE$10004,3861-4,'Visual SPC'!$B$3)="",0,IF(AND(OR('Visual SPC'!$C$4="",'Data Entry'!$C3861&gt;='Visual SPC'!$C$4),OR('Visual SPC'!$E$4="",'Data Entry'!$C3861&lt;='Visual SPC'!$E$4),OR('Visual SPC'!$G$4="",'Data Entry'!$D3861='Visual SPC'!$G$4),OR('Visual SPC'!$I$4="",'Data Entry'!$E3861='Visual SPC'!$I$4),OR('Visual SPC'!$K$4="",'Data Entry'!$F3861='Visual SPC'!$K$4)),1,0))</f>
        <v/>
      </c>
      <c r="C3861">
        <f>C3860+B3861</f>
        <v/>
      </c>
      <c r="D3861">
        <f>IF(B3861=1,INDEX('Data Entry'!$H$5:$BE$10004,3861-4,'Visual SPC'!$B$3),"")</f>
        <v/>
      </c>
      <c r="E3861">
        <f>IF(B3861=1,D3861,E3860)</f>
        <v/>
      </c>
      <c r="F3861">
        <f>IF(AND(B3861=1,C3861&gt;1,E3860&lt;&gt;""),ABS(D3861-E3860),"")</f>
        <v/>
      </c>
    </row>
    <row r="3862">
      <c r="A3862" t="n">
        <v>3862</v>
      </c>
      <c r="B3862">
        <f>IF(INDEX('Data Entry'!$H$5:$BE$10004,3862-4,'Visual SPC'!$B$3)="",0,IF(AND(OR('Visual SPC'!$C$4="",'Data Entry'!$C3862&gt;='Visual SPC'!$C$4),OR('Visual SPC'!$E$4="",'Data Entry'!$C3862&lt;='Visual SPC'!$E$4),OR('Visual SPC'!$G$4="",'Data Entry'!$D3862='Visual SPC'!$G$4),OR('Visual SPC'!$I$4="",'Data Entry'!$E3862='Visual SPC'!$I$4),OR('Visual SPC'!$K$4="",'Data Entry'!$F3862='Visual SPC'!$K$4)),1,0))</f>
        <v/>
      </c>
      <c r="C3862">
        <f>C3861+B3862</f>
        <v/>
      </c>
      <c r="D3862">
        <f>IF(B3862=1,INDEX('Data Entry'!$H$5:$BE$10004,3862-4,'Visual SPC'!$B$3),"")</f>
        <v/>
      </c>
      <c r="E3862">
        <f>IF(B3862=1,D3862,E3861)</f>
        <v/>
      </c>
      <c r="F3862">
        <f>IF(AND(B3862=1,C3862&gt;1,E3861&lt;&gt;""),ABS(D3862-E3861),"")</f>
        <v/>
      </c>
    </row>
    <row r="3863">
      <c r="A3863" t="n">
        <v>3863</v>
      </c>
      <c r="B3863">
        <f>IF(INDEX('Data Entry'!$H$5:$BE$10004,3863-4,'Visual SPC'!$B$3)="",0,IF(AND(OR('Visual SPC'!$C$4="",'Data Entry'!$C3863&gt;='Visual SPC'!$C$4),OR('Visual SPC'!$E$4="",'Data Entry'!$C3863&lt;='Visual SPC'!$E$4),OR('Visual SPC'!$G$4="",'Data Entry'!$D3863='Visual SPC'!$G$4),OR('Visual SPC'!$I$4="",'Data Entry'!$E3863='Visual SPC'!$I$4),OR('Visual SPC'!$K$4="",'Data Entry'!$F3863='Visual SPC'!$K$4)),1,0))</f>
        <v/>
      </c>
      <c r="C3863">
        <f>C3862+B3863</f>
        <v/>
      </c>
      <c r="D3863">
        <f>IF(B3863=1,INDEX('Data Entry'!$H$5:$BE$10004,3863-4,'Visual SPC'!$B$3),"")</f>
        <v/>
      </c>
      <c r="E3863">
        <f>IF(B3863=1,D3863,E3862)</f>
        <v/>
      </c>
      <c r="F3863">
        <f>IF(AND(B3863=1,C3863&gt;1,E3862&lt;&gt;""),ABS(D3863-E3862),"")</f>
        <v/>
      </c>
    </row>
    <row r="3864">
      <c r="A3864" t="n">
        <v>3864</v>
      </c>
      <c r="B3864">
        <f>IF(INDEX('Data Entry'!$H$5:$BE$10004,3864-4,'Visual SPC'!$B$3)="",0,IF(AND(OR('Visual SPC'!$C$4="",'Data Entry'!$C3864&gt;='Visual SPC'!$C$4),OR('Visual SPC'!$E$4="",'Data Entry'!$C3864&lt;='Visual SPC'!$E$4),OR('Visual SPC'!$G$4="",'Data Entry'!$D3864='Visual SPC'!$G$4),OR('Visual SPC'!$I$4="",'Data Entry'!$E3864='Visual SPC'!$I$4),OR('Visual SPC'!$K$4="",'Data Entry'!$F3864='Visual SPC'!$K$4)),1,0))</f>
        <v/>
      </c>
      <c r="C3864">
        <f>C3863+B3864</f>
        <v/>
      </c>
      <c r="D3864">
        <f>IF(B3864=1,INDEX('Data Entry'!$H$5:$BE$10004,3864-4,'Visual SPC'!$B$3),"")</f>
        <v/>
      </c>
      <c r="E3864">
        <f>IF(B3864=1,D3864,E3863)</f>
        <v/>
      </c>
      <c r="F3864">
        <f>IF(AND(B3864=1,C3864&gt;1,E3863&lt;&gt;""),ABS(D3864-E3863),"")</f>
        <v/>
      </c>
    </row>
    <row r="3865">
      <c r="A3865" t="n">
        <v>3865</v>
      </c>
      <c r="B3865">
        <f>IF(INDEX('Data Entry'!$H$5:$BE$10004,3865-4,'Visual SPC'!$B$3)="",0,IF(AND(OR('Visual SPC'!$C$4="",'Data Entry'!$C3865&gt;='Visual SPC'!$C$4),OR('Visual SPC'!$E$4="",'Data Entry'!$C3865&lt;='Visual SPC'!$E$4),OR('Visual SPC'!$G$4="",'Data Entry'!$D3865='Visual SPC'!$G$4),OR('Visual SPC'!$I$4="",'Data Entry'!$E3865='Visual SPC'!$I$4),OR('Visual SPC'!$K$4="",'Data Entry'!$F3865='Visual SPC'!$K$4)),1,0))</f>
        <v/>
      </c>
      <c r="C3865">
        <f>C3864+B3865</f>
        <v/>
      </c>
      <c r="D3865">
        <f>IF(B3865=1,INDEX('Data Entry'!$H$5:$BE$10004,3865-4,'Visual SPC'!$B$3),"")</f>
        <v/>
      </c>
      <c r="E3865">
        <f>IF(B3865=1,D3865,E3864)</f>
        <v/>
      </c>
      <c r="F3865">
        <f>IF(AND(B3865=1,C3865&gt;1,E3864&lt;&gt;""),ABS(D3865-E3864),"")</f>
        <v/>
      </c>
    </row>
    <row r="3866">
      <c r="A3866" t="n">
        <v>3866</v>
      </c>
      <c r="B3866">
        <f>IF(INDEX('Data Entry'!$H$5:$BE$10004,3866-4,'Visual SPC'!$B$3)="",0,IF(AND(OR('Visual SPC'!$C$4="",'Data Entry'!$C3866&gt;='Visual SPC'!$C$4),OR('Visual SPC'!$E$4="",'Data Entry'!$C3866&lt;='Visual SPC'!$E$4),OR('Visual SPC'!$G$4="",'Data Entry'!$D3866='Visual SPC'!$G$4),OR('Visual SPC'!$I$4="",'Data Entry'!$E3866='Visual SPC'!$I$4),OR('Visual SPC'!$K$4="",'Data Entry'!$F3866='Visual SPC'!$K$4)),1,0))</f>
        <v/>
      </c>
      <c r="C3866">
        <f>C3865+B3866</f>
        <v/>
      </c>
      <c r="D3866">
        <f>IF(B3866=1,INDEX('Data Entry'!$H$5:$BE$10004,3866-4,'Visual SPC'!$B$3),"")</f>
        <v/>
      </c>
      <c r="E3866">
        <f>IF(B3866=1,D3866,E3865)</f>
        <v/>
      </c>
      <c r="F3866">
        <f>IF(AND(B3866=1,C3866&gt;1,E3865&lt;&gt;""),ABS(D3866-E3865),"")</f>
        <v/>
      </c>
    </row>
    <row r="3867">
      <c r="A3867" t="n">
        <v>3867</v>
      </c>
      <c r="B3867">
        <f>IF(INDEX('Data Entry'!$H$5:$BE$10004,3867-4,'Visual SPC'!$B$3)="",0,IF(AND(OR('Visual SPC'!$C$4="",'Data Entry'!$C3867&gt;='Visual SPC'!$C$4),OR('Visual SPC'!$E$4="",'Data Entry'!$C3867&lt;='Visual SPC'!$E$4),OR('Visual SPC'!$G$4="",'Data Entry'!$D3867='Visual SPC'!$G$4),OR('Visual SPC'!$I$4="",'Data Entry'!$E3867='Visual SPC'!$I$4),OR('Visual SPC'!$K$4="",'Data Entry'!$F3867='Visual SPC'!$K$4)),1,0))</f>
        <v/>
      </c>
      <c r="C3867">
        <f>C3866+B3867</f>
        <v/>
      </c>
      <c r="D3867">
        <f>IF(B3867=1,INDEX('Data Entry'!$H$5:$BE$10004,3867-4,'Visual SPC'!$B$3),"")</f>
        <v/>
      </c>
      <c r="E3867">
        <f>IF(B3867=1,D3867,E3866)</f>
        <v/>
      </c>
      <c r="F3867">
        <f>IF(AND(B3867=1,C3867&gt;1,E3866&lt;&gt;""),ABS(D3867-E3866),"")</f>
        <v/>
      </c>
    </row>
    <row r="3868">
      <c r="A3868" t="n">
        <v>3868</v>
      </c>
      <c r="B3868">
        <f>IF(INDEX('Data Entry'!$H$5:$BE$10004,3868-4,'Visual SPC'!$B$3)="",0,IF(AND(OR('Visual SPC'!$C$4="",'Data Entry'!$C3868&gt;='Visual SPC'!$C$4),OR('Visual SPC'!$E$4="",'Data Entry'!$C3868&lt;='Visual SPC'!$E$4),OR('Visual SPC'!$G$4="",'Data Entry'!$D3868='Visual SPC'!$G$4),OR('Visual SPC'!$I$4="",'Data Entry'!$E3868='Visual SPC'!$I$4),OR('Visual SPC'!$K$4="",'Data Entry'!$F3868='Visual SPC'!$K$4)),1,0))</f>
        <v/>
      </c>
      <c r="C3868">
        <f>C3867+B3868</f>
        <v/>
      </c>
      <c r="D3868">
        <f>IF(B3868=1,INDEX('Data Entry'!$H$5:$BE$10004,3868-4,'Visual SPC'!$B$3),"")</f>
        <v/>
      </c>
      <c r="E3868">
        <f>IF(B3868=1,D3868,E3867)</f>
        <v/>
      </c>
      <c r="F3868">
        <f>IF(AND(B3868=1,C3868&gt;1,E3867&lt;&gt;""),ABS(D3868-E3867),"")</f>
        <v/>
      </c>
    </row>
    <row r="3869">
      <c r="A3869" t="n">
        <v>3869</v>
      </c>
      <c r="B3869">
        <f>IF(INDEX('Data Entry'!$H$5:$BE$10004,3869-4,'Visual SPC'!$B$3)="",0,IF(AND(OR('Visual SPC'!$C$4="",'Data Entry'!$C3869&gt;='Visual SPC'!$C$4),OR('Visual SPC'!$E$4="",'Data Entry'!$C3869&lt;='Visual SPC'!$E$4),OR('Visual SPC'!$G$4="",'Data Entry'!$D3869='Visual SPC'!$G$4),OR('Visual SPC'!$I$4="",'Data Entry'!$E3869='Visual SPC'!$I$4),OR('Visual SPC'!$K$4="",'Data Entry'!$F3869='Visual SPC'!$K$4)),1,0))</f>
        <v/>
      </c>
      <c r="C3869">
        <f>C3868+B3869</f>
        <v/>
      </c>
      <c r="D3869">
        <f>IF(B3869=1,INDEX('Data Entry'!$H$5:$BE$10004,3869-4,'Visual SPC'!$B$3),"")</f>
        <v/>
      </c>
      <c r="E3869">
        <f>IF(B3869=1,D3869,E3868)</f>
        <v/>
      </c>
      <c r="F3869">
        <f>IF(AND(B3869=1,C3869&gt;1,E3868&lt;&gt;""),ABS(D3869-E3868),"")</f>
        <v/>
      </c>
    </row>
    <row r="3870">
      <c r="A3870" t="n">
        <v>3870</v>
      </c>
      <c r="B3870">
        <f>IF(INDEX('Data Entry'!$H$5:$BE$10004,3870-4,'Visual SPC'!$B$3)="",0,IF(AND(OR('Visual SPC'!$C$4="",'Data Entry'!$C3870&gt;='Visual SPC'!$C$4),OR('Visual SPC'!$E$4="",'Data Entry'!$C3870&lt;='Visual SPC'!$E$4),OR('Visual SPC'!$G$4="",'Data Entry'!$D3870='Visual SPC'!$G$4),OR('Visual SPC'!$I$4="",'Data Entry'!$E3870='Visual SPC'!$I$4),OR('Visual SPC'!$K$4="",'Data Entry'!$F3870='Visual SPC'!$K$4)),1,0))</f>
        <v/>
      </c>
      <c r="C3870">
        <f>C3869+B3870</f>
        <v/>
      </c>
      <c r="D3870">
        <f>IF(B3870=1,INDEX('Data Entry'!$H$5:$BE$10004,3870-4,'Visual SPC'!$B$3),"")</f>
        <v/>
      </c>
      <c r="E3870">
        <f>IF(B3870=1,D3870,E3869)</f>
        <v/>
      </c>
      <c r="F3870">
        <f>IF(AND(B3870=1,C3870&gt;1,E3869&lt;&gt;""),ABS(D3870-E3869),"")</f>
        <v/>
      </c>
    </row>
    <row r="3871">
      <c r="A3871" t="n">
        <v>3871</v>
      </c>
      <c r="B3871">
        <f>IF(INDEX('Data Entry'!$H$5:$BE$10004,3871-4,'Visual SPC'!$B$3)="",0,IF(AND(OR('Visual SPC'!$C$4="",'Data Entry'!$C3871&gt;='Visual SPC'!$C$4),OR('Visual SPC'!$E$4="",'Data Entry'!$C3871&lt;='Visual SPC'!$E$4),OR('Visual SPC'!$G$4="",'Data Entry'!$D3871='Visual SPC'!$G$4),OR('Visual SPC'!$I$4="",'Data Entry'!$E3871='Visual SPC'!$I$4),OR('Visual SPC'!$K$4="",'Data Entry'!$F3871='Visual SPC'!$K$4)),1,0))</f>
        <v/>
      </c>
      <c r="C3871">
        <f>C3870+B3871</f>
        <v/>
      </c>
      <c r="D3871">
        <f>IF(B3871=1,INDEX('Data Entry'!$H$5:$BE$10004,3871-4,'Visual SPC'!$B$3),"")</f>
        <v/>
      </c>
      <c r="E3871">
        <f>IF(B3871=1,D3871,E3870)</f>
        <v/>
      </c>
      <c r="F3871">
        <f>IF(AND(B3871=1,C3871&gt;1,E3870&lt;&gt;""),ABS(D3871-E3870),"")</f>
        <v/>
      </c>
    </row>
    <row r="3872">
      <c r="A3872" t="n">
        <v>3872</v>
      </c>
      <c r="B3872">
        <f>IF(INDEX('Data Entry'!$H$5:$BE$10004,3872-4,'Visual SPC'!$B$3)="",0,IF(AND(OR('Visual SPC'!$C$4="",'Data Entry'!$C3872&gt;='Visual SPC'!$C$4),OR('Visual SPC'!$E$4="",'Data Entry'!$C3872&lt;='Visual SPC'!$E$4),OR('Visual SPC'!$G$4="",'Data Entry'!$D3872='Visual SPC'!$G$4),OR('Visual SPC'!$I$4="",'Data Entry'!$E3872='Visual SPC'!$I$4),OR('Visual SPC'!$K$4="",'Data Entry'!$F3872='Visual SPC'!$K$4)),1,0))</f>
        <v/>
      </c>
      <c r="C3872">
        <f>C3871+B3872</f>
        <v/>
      </c>
      <c r="D3872">
        <f>IF(B3872=1,INDEX('Data Entry'!$H$5:$BE$10004,3872-4,'Visual SPC'!$B$3),"")</f>
        <v/>
      </c>
      <c r="E3872">
        <f>IF(B3872=1,D3872,E3871)</f>
        <v/>
      </c>
      <c r="F3872">
        <f>IF(AND(B3872=1,C3872&gt;1,E3871&lt;&gt;""),ABS(D3872-E3871),"")</f>
        <v/>
      </c>
    </row>
    <row r="3873">
      <c r="A3873" t="n">
        <v>3873</v>
      </c>
      <c r="B3873">
        <f>IF(INDEX('Data Entry'!$H$5:$BE$10004,3873-4,'Visual SPC'!$B$3)="",0,IF(AND(OR('Visual SPC'!$C$4="",'Data Entry'!$C3873&gt;='Visual SPC'!$C$4),OR('Visual SPC'!$E$4="",'Data Entry'!$C3873&lt;='Visual SPC'!$E$4),OR('Visual SPC'!$G$4="",'Data Entry'!$D3873='Visual SPC'!$G$4),OR('Visual SPC'!$I$4="",'Data Entry'!$E3873='Visual SPC'!$I$4),OR('Visual SPC'!$K$4="",'Data Entry'!$F3873='Visual SPC'!$K$4)),1,0))</f>
        <v/>
      </c>
      <c r="C3873">
        <f>C3872+B3873</f>
        <v/>
      </c>
      <c r="D3873">
        <f>IF(B3873=1,INDEX('Data Entry'!$H$5:$BE$10004,3873-4,'Visual SPC'!$B$3),"")</f>
        <v/>
      </c>
      <c r="E3873">
        <f>IF(B3873=1,D3873,E3872)</f>
        <v/>
      </c>
      <c r="F3873">
        <f>IF(AND(B3873=1,C3873&gt;1,E3872&lt;&gt;""),ABS(D3873-E3872),"")</f>
        <v/>
      </c>
    </row>
    <row r="3874">
      <c r="A3874" t="n">
        <v>3874</v>
      </c>
      <c r="B3874">
        <f>IF(INDEX('Data Entry'!$H$5:$BE$10004,3874-4,'Visual SPC'!$B$3)="",0,IF(AND(OR('Visual SPC'!$C$4="",'Data Entry'!$C3874&gt;='Visual SPC'!$C$4),OR('Visual SPC'!$E$4="",'Data Entry'!$C3874&lt;='Visual SPC'!$E$4),OR('Visual SPC'!$G$4="",'Data Entry'!$D3874='Visual SPC'!$G$4),OR('Visual SPC'!$I$4="",'Data Entry'!$E3874='Visual SPC'!$I$4),OR('Visual SPC'!$K$4="",'Data Entry'!$F3874='Visual SPC'!$K$4)),1,0))</f>
        <v/>
      </c>
      <c r="C3874">
        <f>C3873+B3874</f>
        <v/>
      </c>
      <c r="D3874">
        <f>IF(B3874=1,INDEX('Data Entry'!$H$5:$BE$10004,3874-4,'Visual SPC'!$B$3),"")</f>
        <v/>
      </c>
      <c r="E3874">
        <f>IF(B3874=1,D3874,E3873)</f>
        <v/>
      </c>
      <c r="F3874">
        <f>IF(AND(B3874=1,C3874&gt;1,E3873&lt;&gt;""),ABS(D3874-E3873),"")</f>
        <v/>
      </c>
    </row>
    <row r="3875">
      <c r="A3875" t="n">
        <v>3875</v>
      </c>
      <c r="B3875">
        <f>IF(INDEX('Data Entry'!$H$5:$BE$10004,3875-4,'Visual SPC'!$B$3)="",0,IF(AND(OR('Visual SPC'!$C$4="",'Data Entry'!$C3875&gt;='Visual SPC'!$C$4),OR('Visual SPC'!$E$4="",'Data Entry'!$C3875&lt;='Visual SPC'!$E$4),OR('Visual SPC'!$G$4="",'Data Entry'!$D3875='Visual SPC'!$G$4),OR('Visual SPC'!$I$4="",'Data Entry'!$E3875='Visual SPC'!$I$4),OR('Visual SPC'!$K$4="",'Data Entry'!$F3875='Visual SPC'!$K$4)),1,0))</f>
        <v/>
      </c>
      <c r="C3875">
        <f>C3874+B3875</f>
        <v/>
      </c>
      <c r="D3875">
        <f>IF(B3875=1,INDEX('Data Entry'!$H$5:$BE$10004,3875-4,'Visual SPC'!$B$3),"")</f>
        <v/>
      </c>
      <c r="E3875">
        <f>IF(B3875=1,D3875,E3874)</f>
        <v/>
      </c>
      <c r="F3875">
        <f>IF(AND(B3875=1,C3875&gt;1,E3874&lt;&gt;""),ABS(D3875-E3874),"")</f>
        <v/>
      </c>
    </row>
    <row r="3876">
      <c r="A3876" t="n">
        <v>3876</v>
      </c>
      <c r="B3876">
        <f>IF(INDEX('Data Entry'!$H$5:$BE$10004,3876-4,'Visual SPC'!$B$3)="",0,IF(AND(OR('Visual SPC'!$C$4="",'Data Entry'!$C3876&gt;='Visual SPC'!$C$4),OR('Visual SPC'!$E$4="",'Data Entry'!$C3876&lt;='Visual SPC'!$E$4),OR('Visual SPC'!$G$4="",'Data Entry'!$D3876='Visual SPC'!$G$4),OR('Visual SPC'!$I$4="",'Data Entry'!$E3876='Visual SPC'!$I$4),OR('Visual SPC'!$K$4="",'Data Entry'!$F3876='Visual SPC'!$K$4)),1,0))</f>
        <v/>
      </c>
      <c r="C3876">
        <f>C3875+B3876</f>
        <v/>
      </c>
      <c r="D3876">
        <f>IF(B3876=1,INDEX('Data Entry'!$H$5:$BE$10004,3876-4,'Visual SPC'!$B$3),"")</f>
        <v/>
      </c>
      <c r="E3876">
        <f>IF(B3876=1,D3876,E3875)</f>
        <v/>
      </c>
      <c r="F3876">
        <f>IF(AND(B3876=1,C3876&gt;1,E3875&lt;&gt;""),ABS(D3876-E3875),"")</f>
        <v/>
      </c>
    </row>
    <row r="3877">
      <c r="A3877" t="n">
        <v>3877</v>
      </c>
      <c r="B3877">
        <f>IF(INDEX('Data Entry'!$H$5:$BE$10004,3877-4,'Visual SPC'!$B$3)="",0,IF(AND(OR('Visual SPC'!$C$4="",'Data Entry'!$C3877&gt;='Visual SPC'!$C$4),OR('Visual SPC'!$E$4="",'Data Entry'!$C3877&lt;='Visual SPC'!$E$4),OR('Visual SPC'!$G$4="",'Data Entry'!$D3877='Visual SPC'!$G$4),OR('Visual SPC'!$I$4="",'Data Entry'!$E3877='Visual SPC'!$I$4),OR('Visual SPC'!$K$4="",'Data Entry'!$F3877='Visual SPC'!$K$4)),1,0))</f>
        <v/>
      </c>
      <c r="C3877">
        <f>C3876+B3877</f>
        <v/>
      </c>
      <c r="D3877">
        <f>IF(B3877=1,INDEX('Data Entry'!$H$5:$BE$10004,3877-4,'Visual SPC'!$B$3),"")</f>
        <v/>
      </c>
      <c r="E3877">
        <f>IF(B3877=1,D3877,E3876)</f>
        <v/>
      </c>
      <c r="F3877">
        <f>IF(AND(B3877=1,C3877&gt;1,E3876&lt;&gt;""),ABS(D3877-E3876),"")</f>
        <v/>
      </c>
    </row>
    <row r="3878">
      <c r="A3878" t="n">
        <v>3878</v>
      </c>
      <c r="B3878">
        <f>IF(INDEX('Data Entry'!$H$5:$BE$10004,3878-4,'Visual SPC'!$B$3)="",0,IF(AND(OR('Visual SPC'!$C$4="",'Data Entry'!$C3878&gt;='Visual SPC'!$C$4),OR('Visual SPC'!$E$4="",'Data Entry'!$C3878&lt;='Visual SPC'!$E$4),OR('Visual SPC'!$G$4="",'Data Entry'!$D3878='Visual SPC'!$G$4),OR('Visual SPC'!$I$4="",'Data Entry'!$E3878='Visual SPC'!$I$4),OR('Visual SPC'!$K$4="",'Data Entry'!$F3878='Visual SPC'!$K$4)),1,0))</f>
        <v/>
      </c>
      <c r="C3878">
        <f>C3877+B3878</f>
        <v/>
      </c>
      <c r="D3878">
        <f>IF(B3878=1,INDEX('Data Entry'!$H$5:$BE$10004,3878-4,'Visual SPC'!$B$3),"")</f>
        <v/>
      </c>
      <c r="E3878">
        <f>IF(B3878=1,D3878,E3877)</f>
        <v/>
      </c>
      <c r="F3878">
        <f>IF(AND(B3878=1,C3878&gt;1,E3877&lt;&gt;""),ABS(D3878-E3877),"")</f>
        <v/>
      </c>
    </row>
    <row r="3879">
      <c r="A3879" t="n">
        <v>3879</v>
      </c>
      <c r="B3879">
        <f>IF(INDEX('Data Entry'!$H$5:$BE$10004,3879-4,'Visual SPC'!$B$3)="",0,IF(AND(OR('Visual SPC'!$C$4="",'Data Entry'!$C3879&gt;='Visual SPC'!$C$4),OR('Visual SPC'!$E$4="",'Data Entry'!$C3879&lt;='Visual SPC'!$E$4),OR('Visual SPC'!$G$4="",'Data Entry'!$D3879='Visual SPC'!$G$4),OR('Visual SPC'!$I$4="",'Data Entry'!$E3879='Visual SPC'!$I$4),OR('Visual SPC'!$K$4="",'Data Entry'!$F3879='Visual SPC'!$K$4)),1,0))</f>
        <v/>
      </c>
      <c r="C3879">
        <f>C3878+B3879</f>
        <v/>
      </c>
      <c r="D3879">
        <f>IF(B3879=1,INDEX('Data Entry'!$H$5:$BE$10004,3879-4,'Visual SPC'!$B$3),"")</f>
        <v/>
      </c>
      <c r="E3879">
        <f>IF(B3879=1,D3879,E3878)</f>
        <v/>
      </c>
      <c r="F3879">
        <f>IF(AND(B3879=1,C3879&gt;1,E3878&lt;&gt;""),ABS(D3879-E3878),"")</f>
        <v/>
      </c>
    </row>
    <row r="3880">
      <c r="A3880" t="n">
        <v>3880</v>
      </c>
      <c r="B3880">
        <f>IF(INDEX('Data Entry'!$H$5:$BE$10004,3880-4,'Visual SPC'!$B$3)="",0,IF(AND(OR('Visual SPC'!$C$4="",'Data Entry'!$C3880&gt;='Visual SPC'!$C$4),OR('Visual SPC'!$E$4="",'Data Entry'!$C3880&lt;='Visual SPC'!$E$4),OR('Visual SPC'!$G$4="",'Data Entry'!$D3880='Visual SPC'!$G$4),OR('Visual SPC'!$I$4="",'Data Entry'!$E3880='Visual SPC'!$I$4),OR('Visual SPC'!$K$4="",'Data Entry'!$F3880='Visual SPC'!$K$4)),1,0))</f>
        <v/>
      </c>
      <c r="C3880">
        <f>C3879+B3880</f>
        <v/>
      </c>
      <c r="D3880">
        <f>IF(B3880=1,INDEX('Data Entry'!$H$5:$BE$10004,3880-4,'Visual SPC'!$B$3),"")</f>
        <v/>
      </c>
      <c r="E3880">
        <f>IF(B3880=1,D3880,E3879)</f>
        <v/>
      </c>
      <c r="F3880">
        <f>IF(AND(B3880=1,C3880&gt;1,E3879&lt;&gt;""),ABS(D3880-E3879),"")</f>
        <v/>
      </c>
    </row>
    <row r="3881">
      <c r="A3881" t="n">
        <v>3881</v>
      </c>
      <c r="B3881">
        <f>IF(INDEX('Data Entry'!$H$5:$BE$10004,3881-4,'Visual SPC'!$B$3)="",0,IF(AND(OR('Visual SPC'!$C$4="",'Data Entry'!$C3881&gt;='Visual SPC'!$C$4),OR('Visual SPC'!$E$4="",'Data Entry'!$C3881&lt;='Visual SPC'!$E$4),OR('Visual SPC'!$G$4="",'Data Entry'!$D3881='Visual SPC'!$G$4),OR('Visual SPC'!$I$4="",'Data Entry'!$E3881='Visual SPC'!$I$4),OR('Visual SPC'!$K$4="",'Data Entry'!$F3881='Visual SPC'!$K$4)),1,0))</f>
        <v/>
      </c>
      <c r="C3881">
        <f>C3880+B3881</f>
        <v/>
      </c>
      <c r="D3881">
        <f>IF(B3881=1,INDEX('Data Entry'!$H$5:$BE$10004,3881-4,'Visual SPC'!$B$3),"")</f>
        <v/>
      </c>
      <c r="E3881">
        <f>IF(B3881=1,D3881,E3880)</f>
        <v/>
      </c>
      <c r="F3881">
        <f>IF(AND(B3881=1,C3881&gt;1,E3880&lt;&gt;""),ABS(D3881-E3880),"")</f>
        <v/>
      </c>
    </row>
    <row r="3882">
      <c r="A3882" t="n">
        <v>3882</v>
      </c>
      <c r="B3882">
        <f>IF(INDEX('Data Entry'!$H$5:$BE$10004,3882-4,'Visual SPC'!$B$3)="",0,IF(AND(OR('Visual SPC'!$C$4="",'Data Entry'!$C3882&gt;='Visual SPC'!$C$4),OR('Visual SPC'!$E$4="",'Data Entry'!$C3882&lt;='Visual SPC'!$E$4),OR('Visual SPC'!$G$4="",'Data Entry'!$D3882='Visual SPC'!$G$4),OR('Visual SPC'!$I$4="",'Data Entry'!$E3882='Visual SPC'!$I$4),OR('Visual SPC'!$K$4="",'Data Entry'!$F3882='Visual SPC'!$K$4)),1,0))</f>
        <v/>
      </c>
      <c r="C3882">
        <f>C3881+B3882</f>
        <v/>
      </c>
      <c r="D3882">
        <f>IF(B3882=1,INDEX('Data Entry'!$H$5:$BE$10004,3882-4,'Visual SPC'!$B$3),"")</f>
        <v/>
      </c>
      <c r="E3882">
        <f>IF(B3882=1,D3882,E3881)</f>
        <v/>
      </c>
      <c r="F3882">
        <f>IF(AND(B3882=1,C3882&gt;1,E3881&lt;&gt;""),ABS(D3882-E3881),"")</f>
        <v/>
      </c>
    </row>
    <row r="3883">
      <c r="A3883" t="n">
        <v>3883</v>
      </c>
      <c r="B3883">
        <f>IF(INDEX('Data Entry'!$H$5:$BE$10004,3883-4,'Visual SPC'!$B$3)="",0,IF(AND(OR('Visual SPC'!$C$4="",'Data Entry'!$C3883&gt;='Visual SPC'!$C$4),OR('Visual SPC'!$E$4="",'Data Entry'!$C3883&lt;='Visual SPC'!$E$4),OR('Visual SPC'!$G$4="",'Data Entry'!$D3883='Visual SPC'!$G$4),OR('Visual SPC'!$I$4="",'Data Entry'!$E3883='Visual SPC'!$I$4),OR('Visual SPC'!$K$4="",'Data Entry'!$F3883='Visual SPC'!$K$4)),1,0))</f>
        <v/>
      </c>
      <c r="C3883">
        <f>C3882+B3883</f>
        <v/>
      </c>
      <c r="D3883">
        <f>IF(B3883=1,INDEX('Data Entry'!$H$5:$BE$10004,3883-4,'Visual SPC'!$B$3),"")</f>
        <v/>
      </c>
      <c r="E3883">
        <f>IF(B3883=1,D3883,E3882)</f>
        <v/>
      </c>
      <c r="F3883">
        <f>IF(AND(B3883=1,C3883&gt;1,E3882&lt;&gt;""),ABS(D3883-E3882),"")</f>
        <v/>
      </c>
    </row>
    <row r="3884">
      <c r="A3884" t="n">
        <v>3884</v>
      </c>
      <c r="B3884">
        <f>IF(INDEX('Data Entry'!$H$5:$BE$10004,3884-4,'Visual SPC'!$B$3)="",0,IF(AND(OR('Visual SPC'!$C$4="",'Data Entry'!$C3884&gt;='Visual SPC'!$C$4),OR('Visual SPC'!$E$4="",'Data Entry'!$C3884&lt;='Visual SPC'!$E$4),OR('Visual SPC'!$G$4="",'Data Entry'!$D3884='Visual SPC'!$G$4),OR('Visual SPC'!$I$4="",'Data Entry'!$E3884='Visual SPC'!$I$4),OR('Visual SPC'!$K$4="",'Data Entry'!$F3884='Visual SPC'!$K$4)),1,0))</f>
        <v/>
      </c>
      <c r="C3884">
        <f>C3883+B3884</f>
        <v/>
      </c>
      <c r="D3884">
        <f>IF(B3884=1,INDEX('Data Entry'!$H$5:$BE$10004,3884-4,'Visual SPC'!$B$3),"")</f>
        <v/>
      </c>
      <c r="E3884">
        <f>IF(B3884=1,D3884,E3883)</f>
        <v/>
      </c>
      <c r="F3884">
        <f>IF(AND(B3884=1,C3884&gt;1,E3883&lt;&gt;""),ABS(D3884-E3883),"")</f>
        <v/>
      </c>
    </row>
    <row r="3885">
      <c r="A3885" t="n">
        <v>3885</v>
      </c>
      <c r="B3885">
        <f>IF(INDEX('Data Entry'!$H$5:$BE$10004,3885-4,'Visual SPC'!$B$3)="",0,IF(AND(OR('Visual SPC'!$C$4="",'Data Entry'!$C3885&gt;='Visual SPC'!$C$4),OR('Visual SPC'!$E$4="",'Data Entry'!$C3885&lt;='Visual SPC'!$E$4),OR('Visual SPC'!$G$4="",'Data Entry'!$D3885='Visual SPC'!$G$4),OR('Visual SPC'!$I$4="",'Data Entry'!$E3885='Visual SPC'!$I$4),OR('Visual SPC'!$K$4="",'Data Entry'!$F3885='Visual SPC'!$K$4)),1,0))</f>
        <v/>
      </c>
      <c r="C3885">
        <f>C3884+B3885</f>
        <v/>
      </c>
      <c r="D3885">
        <f>IF(B3885=1,INDEX('Data Entry'!$H$5:$BE$10004,3885-4,'Visual SPC'!$B$3),"")</f>
        <v/>
      </c>
      <c r="E3885">
        <f>IF(B3885=1,D3885,E3884)</f>
        <v/>
      </c>
      <c r="F3885">
        <f>IF(AND(B3885=1,C3885&gt;1,E3884&lt;&gt;""),ABS(D3885-E3884),"")</f>
        <v/>
      </c>
    </row>
    <row r="3886">
      <c r="A3886" t="n">
        <v>3886</v>
      </c>
      <c r="B3886">
        <f>IF(INDEX('Data Entry'!$H$5:$BE$10004,3886-4,'Visual SPC'!$B$3)="",0,IF(AND(OR('Visual SPC'!$C$4="",'Data Entry'!$C3886&gt;='Visual SPC'!$C$4),OR('Visual SPC'!$E$4="",'Data Entry'!$C3886&lt;='Visual SPC'!$E$4),OR('Visual SPC'!$G$4="",'Data Entry'!$D3886='Visual SPC'!$G$4),OR('Visual SPC'!$I$4="",'Data Entry'!$E3886='Visual SPC'!$I$4),OR('Visual SPC'!$K$4="",'Data Entry'!$F3886='Visual SPC'!$K$4)),1,0))</f>
        <v/>
      </c>
      <c r="C3886">
        <f>C3885+B3886</f>
        <v/>
      </c>
      <c r="D3886">
        <f>IF(B3886=1,INDEX('Data Entry'!$H$5:$BE$10004,3886-4,'Visual SPC'!$B$3),"")</f>
        <v/>
      </c>
      <c r="E3886">
        <f>IF(B3886=1,D3886,E3885)</f>
        <v/>
      </c>
      <c r="F3886">
        <f>IF(AND(B3886=1,C3886&gt;1,E3885&lt;&gt;""),ABS(D3886-E3885),"")</f>
        <v/>
      </c>
    </row>
    <row r="3887">
      <c r="A3887" t="n">
        <v>3887</v>
      </c>
      <c r="B3887">
        <f>IF(INDEX('Data Entry'!$H$5:$BE$10004,3887-4,'Visual SPC'!$B$3)="",0,IF(AND(OR('Visual SPC'!$C$4="",'Data Entry'!$C3887&gt;='Visual SPC'!$C$4),OR('Visual SPC'!$E$4="",'Data Entry'!$C3887&lt;='Visual SPC'!$E$4),OR('Visual SPC'!$G$4="",'Data Entry'!$D3887='Visual SPC'!$G$4),OR('Visual SPC'!$I$4="",'Data Entry'!$E3887='Visual SPC'!$I$4),OR('Visual SPC'!$K$4="",'Data Entry'!$F3887='Visual SPC'!$K$4)),1,0))</f>
        <v/>
      </c>
      <c r="C3887">
        <f>C3886+B3887</f>
        <v/>
      </c>
      <c r="D3887">
        <f>IF(B3887=1,INDEX('Data Entry'!$H$5:$BE$10004,3887-4,'Visual SPC'!$B$3),"")</f>
        <v/>
      </c>
      <c r="E3887">
        <f>IF(B3887=1,D3887,E3886)</f>
        <v/>
      </c>
      <c r="F3887">
        <f>IF(AND(B3887=1,C3887&gt;1,E3886&lt;&gt;""),ABS(D3887-E3886),"")</f>
        <v/>
      </c>
    </row>
    <row r="3888">
      <c r="A3888" t="n">
        <v>3888</v>
      </c>
      <c r="B3888">
        <f>IF(INDEX('Data Entry'!$H$5:$BE$10004,3888-4,'Visual SPC'!$B$3)="",0,IF(AND(OR('Visual SPC'!$C$4="",'Data Entry'!$C3888&gt;='Visual SPC'!$C$4),OR('Visual SPC'!$E$4="",'Data Entry'!$C3888&lt;='Visual SPC'!$E$4),OR('Visual SPC'!$G$4="",'Data Entry'!$D3888='Visual SPC'!$G$4),OR('Visual SPC'!$I$4="",'Data Entry'!$E3888='Visual SPC'!$I$4),OR('Visual SPC'!$K$4="",'Data Entry'!$F3888='Visual SPC'!$K$4)),1,0))</f>
        <v/>
      </c>
      <c r="C3888">
        <f>C3887+B3888</f>
        <v/>
      </c>
      <c r="D3888">
        <f>IF(B3888=1,INDEX('Data Entry'!$H$5:$BE$10004,3888-4,'Visual SPC'!$B$3),"")</f>
        <v/>
      </c>
      <c r="E3888">
        <f>IF(B3888=1,D3888,E3887)</f>
        <v/>
      </c>
      <c r="F3888">
        <f>IF(AND(B3888=1,C3888&gt;1,E3887&lt;&gt;""),ABS(D3888-E3887),"")</f>
        <v/>
      </c>
    </row>
    <row r="3889">
      <c r="A3889" t="n">
        <v>3889</v>
      </c>
      <c r="B3889">
        <f>IF(INDEX('Data Entry'!$H$5:$BE$10004,3889-4,'Visual SPC'!$B$3)="",0,IF(AND(OR('Visual SPC'!$C$4="",'Data Entry'!$C3889&gt;='Visual SPC'!$C$4),OR('Visual SPC'!$E$4="",'Data Entry'!$C3889&lt;='Visual SPC'!$E$4),OR('Visual SPC'!$G$4="",'Data Entry'!$D3889='Visual SPC'!$G$4),OR('Visual SPC'!$I$4="",'Data Entry'!$E3889='Visual SPC'!$I$4),OR('Visual SPC'!$K$4="",'Data Entry'!$F3889='Visual SPC'!$K$4)),1,0))</f>
        <v/>
      </c>
      <c r="C3889">
        <f>C3888+B3889</f>
        <v/>
      </c>
      <c r="D3889">
        <f>IF(B3889=1,INDEX('Data Entry'!$H$5:$BE$10004,3889-4,'Visual SPC'!$B$3),"")</f>
        <v/>
      </c>
      <c r="E3889">
        <f>IF(B3889=1,D3889,E3888)</f>
        <v/>
      </c>
      <c r="F3889">
        <f>IF(AND(B3889=1,C3889&gt;1,E3888&lt;&gt;""),ABS(D3889-E3888),"")</f>
        <v/>
      </c>
    </row>
    <row r="3890">
      <c r="A3890" t="n">
        <v>3890</v>
      </c>
      <c r="B3890">
        <f>IF(INDEX('Data Entry'!$H$5:$BE$10004,3890-4,'Visual SPC'!$B$3)="",0,IF(AND(OR('Visual SPC'!$C$4="",'Data Entry'!$C3890&gt;='Visual SPC'!$C$4),OR('Visual SPC'!$E$4="",'Data Entry'!$C3890&lt;='Visual SPC'!$E$4),OR('Visual SPC'!$G$4="",'Data Entry'!$D3890='Visual SPC'!$G$4),OR('Visual SPC'!$I$4="",'Data Entry'!$E3890='Visual SPC'!$I$4),OR('Visual SPC'!$K$4="",'Data Entry'!$F3890='Visual SPC'!$K$4)),1,0))</f>
        <v/>
      </c>
      <c r="C3890">
        <f>C3889+B3890</f>
        <v/>
      </c>
      <c r="D3890">
        <f>IF(B3890=1,INDEX('Data Entry'!$H$5:$BE$10004,3890-4,'Visual SPC'!$B$3),"")</f>
        <v/>
      </c>
      <c r="E3890">
        <f>IF(B3890=1,D3890,E3889)</f>
        <v/>
      </c>
      <c r="F3890">
        <f>IF(AND(B3890=1,C3890&gt;1,E3889&lt;&gt;""),ABS(D3890-E3889),"")</f>
        <v/>
      </c>
    </row>
    <row r="3891">
      <c r="A3891" t="n">
        <v>3891</v>
      </c>
      <c r="B3891">
        <f>IF(INDEX('Data Entry'!$H$5:$BE$10004,3891-4,'Visual SPC'!$B$3)="",0,IF(AND(OR('Visual SPC'!$C$4="",'Data Entry'!$C3891&gt;='Visual SPC'!$C$4),OR('Visual SPC'!$E$4="",'Data Entry'!$C3891&lt;='Visual SPC'!$E$4),OR('Visual SPC'!$G$4="",'Data Entry'!$D3891='Visual SPC'!$G$4),OR('Visual SPC'!$I$4="",'Data Entry'!$E3891='Visual SPC'!$I$4),OR('Visual SPC'!$K$4="",'Data Entry'!$F3891='Visual SPC'!$K$4)),1,0))</f>
        <v/>
      </c>
      <c r="C3891">
        <f>C3890+B3891</f>
        <v/>
      </c>
      <c r="D3891">
        <f>IF(B3891=1,INDEX('Data Entry'!$H$5:$BE$10004,3891-4,'Visual SPC'!$B$3),"")</f>
        <v/>
      </c>
      <c r="E3891">
        <f>IF(B3891=1,D3891,E3890)</f>
        <v/>
      </c>
      <c r="F3891">
        <f>IF(AND(B3891=1,C3891&gt;1,E3890&lt;&gt;""),ABS(D3891-E3890),"")</f>
        <v/>
      </c>
    </row>
    <row r="3892">
      <c r="A3892" t="n">
        <v>3892</v>
      </c>
      <c r="B3892">
        <f>IF(INDEX('Data Entry'!$H$5:$BE$10004,3892-4,'Visual SPC'!$B$3)="",0,IF(AND(OR('Visual SPC'!$C$4="",'Data Entry'!$C3892&gt;='Visual SPC'!$C$4),OR('Visual SPC'!$E$4="",'Data Entry'!$C3892&lt;='Visual SPC'!$E$4),OR('Visual SPC'!$G$4="",'Data Entry'!$D3892='Visual SPC'!$G$4),OR('Visual SPC'!$I$4="",'Data Entry'!$E3892='Visual SPC'!$I$4),OR('Visual SPC'!$K$4="",'Data Entry'!$F3892='Visual SPC'!$K$4)),1,0))</f>
        <v/>
      </c>
      <c r="C3892">
        <f>C3891+B3892</f>
        <v/>
      </c>
      <c r="D3892">
        <f>IF(B3892=1,INDEX('Data Entry'!$H$5:$BE$10004,3892-4,'Visual SPC'!$B$3),"")</f>
        <v/>
      </c>
      <c r="E3892">
        <f>IF(B3892=1,D3892,E3891)</f>
        <v/>
      </c>
      <c r="F3892">
        <f>IF(AND(B3892=1,C3892&gt;1,E3891&lt;&gt;""),ABS(D3892-E3891),"")</f>
        <v/>
      </c>
    </row>
    <row r="3893">
      <c r="A3893" t="n">
        <v>3893</v>
      </c>
      <c r="B3893">
        <f>IF(INDEX('Data Entry'!$H$5:$BE$10004,3893-4,'Visual SPC'!$B$3)="",0,IF(AND(OR('Visual SPC'!$C$4="",'Data Entry'!$C3893&gt;='Visual SPC'!$C$4),OR('Visual SPC'!$E$4="",'Data Entry'!$C3893&lt;='Visual SPC'!$E$4),OR('Visual SPC'!$G$4="",'Data Entry'!$D3893='Visual SPC'!$G$4),OR('Visual SPC'!$I$4="",'Data Entry'!$E3893='Visual SPC'!$I$4),OR('Visual SPC'!$K$4="",'Data Entry'!$F3893='Visual SPC'!$K$4)),1,0))</f>
        <v/>
      </c>
      <c r="C3893">
        <f>C3892+B3893</f>
        <v/>
      </c>
      <c r="D3893">
        <f>IF(B3893=1,INDEX('Data Entry'!$H$5:$BE$10004,3893-4,'Visual SPC'!$B$3),"")</f>
        <v/>
      </c>
      <c r="E3893">
        <f>IF(B3893=1,D3893,E3892)</f>
        <v/>
      </c>
      <c r="F3893">
        <f>IF(AND(B3893=1,C3893&gt;1,E3892&lt;&gt;""),ABS(D3893-E3892),"")</f>
        <v/>
      </c>
    </row>
    <row r="3894">
      <c r="A3894" t="n">
        <v>3894</v>
      </c>
      <c r="B3894">
        <f>IF(INDEX('Data Entry'!$H$5:$BE$10004,3894-4,'Visual SPC'!$B$3)="",0,IF(AND(OR('Visual SPC'!$C$4="",'Data Entry'!$C3894&gt;='Visual SPC'!$C$4),OR('Visual SPC'!$E$4="",'Data Entry'!$C3894&lt;='Visual SPC'!$E$4),OR('Visual SPC'!$G$4="",'Data Entry'!$D3894='Visual SPC'!$G$4),OR('Visual SPC'!$I$4="",'Data Entry'!$E3894='Visual SPC'!$I$4),OR('Visual SPC'!$K$4="",'Data Entry'!$F3894='Visual SPC'!$K$4)),1,0))</f>
        <v/>
      </c>
      <c r="C3894">
        <f>C3893+B3894</f>
        <v/>
      </c>
      <c r="D3894">
        <f>IF(B3894=1,INDEX('Data Entry'!$H$5:$BE$10004,3894-4,'Visual SPC'!$B$3),"")</f>
        <v/>
      </c>
      <c r="E3894">
        <f>IF(B3894=1,D3894,E3893)</f>
        <v/>
      </c>
      <c r="F3894">
        <f>IF(AND(B3894=1,C3894&gt;1,E3893&lt;&gt;""),ABS(D3894-E3893),"")</f>
        <v/>
      </c>
    </row>
    <row r="3895">
      <c r="A3895" t="n">
        <v>3895</v>
      </c>
      <c r="B3895">
        <f>IF(INDEX('Data Entry'!$H$5:$BE$10004,3895-4,'Visual SPC'!$B$3)="",0,IF(AND(OR('Visual SPC'!$C$4="",'Data Entry'!$C3895&gt;='Visual SPC'!$C$4),OR('Visual SPC'!$E$4="",'Data Entry'!$C3895&lt;='Visual SPC'!$E$4),OR('Visual SPC'!$G$4="",'Data Entry'!$D3895='Visual SPC'!$G$4),OR('Visual SPC'!$I$4="",'Data Entry'!$E3895='Visual SPC'!$I$4),OR('Visual SPC'!$K$4="",'Data Entry'!$F3895='Visual SPC'!$K$4)),1,0))</f>
        <v/>
      </c>
      <c r="C3895">
        <f>C3894+B3895</f>
        <v/>
      </c>
      <c r="D3895">
        <f>IF(B3895=1,INDEX('Data Entry'!$H$5:$BE$10004,3895-4,'Visual SPC'!$B$3),"")</f>
        <v/>
      </c>
      <c r="E3895">
        <f>IF(B3895=1,D3895,E3894)</f>
        <v/>
      </c>
      <c r="F3895">
        <f>IF(AND(B3895=1,C3895&gt;1,E3894&lt;&gt;""),ABS(D3895-E3894),"")</f>
        <v/>
      </c>
    </row>
    <row r="3896">
      <c r="A3896" t="n">
        <v>3896</v>
      </c>
      <c r="B3896">
        <f>IF(INDEX('Data Entry'!$H$5:$BE$10004,3896-4,'Visual SPC'!$B$3)="",0,IF(AND(OR('Visual SPC'!$C$4="",'Data Entry'!$C3896&gt;='Visual SPC'!$C$4),OR('Visual SPC'!$E$4="",'Data Entry'!$C3896&lt;='Visual SPC'!$E$4),OR('Visual SPC'!$G$4="",'Data Entry'!$D3896='Visual SPC'!$G$4),OR('Visual SPC'!$I$4="",'Data Entry'!$E3896='Visual SPC'!$I$4),OR('Visual SPC'!$K$4="",'Data Entry'!$F3896='Visual SPC'!$K$4)),1,0))</f>
        <v/>
      </c>
      <c r="C3896">
        <f>C3895+B3896</f>
        <v/>
      </c>
      <c r="D3896">
        <f>IF(B3896=1,INDEX('Data Entry'!$H$5:$BE$10004,3896-4,'Visual SPC'!$B$3),"")</f>
        <v/>
      </c>
      <c r="E3896">
        <f>IF(B3896=1,D3896,E3895)</f>
        <v/>
      </c>
      <c r="F3896">
        <f>IF(AND(B3896=1,C3896&gt;1,E3895&lt;&gt;""),ABS(D3896-E3895),"")</f>
        <v/>
      </c>
    </row>
    <row r="3897">
      <c r="A3897" t="n">
        <v>3897</v>
      </c>
      <c r="B3897">
        <f>IF(INDEX('Data Entry'!$H$5:$BE$10004,3897-4,'Visual SPC'!$B$3)="",0,IF(AND(OR('Visual SPC'!$C$4="",'Data Entry'!$C3897&gt;='Visual SPC'!$C$4),OR('Visual SPC'!$E$4="",'Data Entry'!$C3897&lt;='Visual SPC'!$E$4),OR('Visual SPC'!$G$4="",'Data Entry'!$D3897='Visual SPC'!$G$4),OR('Visual SPC'!$I$4="",'Data Entry'!$E3897='Visual SPC'!$I$4),OR('Visual SPC'!$K$4="",'Data Entry'!$F3897='Visual SPC'!$K$4)),1,0))</f>
        <v/>
      </c>
      <c r="C3897">
        <f>C3896+B3897</f>
        <v/>
      </c>
      <c r="D3897">
        <f>IF(B3897=1,INDEX('Data Entry'!$H$5:$BE$10004,3897-4,'Visual SPC'!$B$3),"")</f>
        <v/>
      </c>
      <c r="E3897">
        <f>IF(B3897=1,D3897,E3896)</f>
        <v/>
      </c>
      <c r="F3897">
        <f>IF(AND(B3897=1,C3897&gt;1,E3896&lt;&gt;""),ABS(D3897-E3896),"")</f>
        <v/>
      </c>
    </row>
    <row r="3898">
      <c r="A3898" t="n">
        <v>3898</v>
      </c>
      <c r="B3898">
        <f>IF(INDEX('Data Entry'!$H$5:$BE$10004,3898-4,'Visual SPC'!$B$3)="",0,IF(AND(OR('Visual SPC'!$C$4="",'Data Entry'!$C3898&gt;='Visual SPC'!$C$4),OR('Visual SPC'!$E$4="",'Data Entry'!$C3898&lt;='Visual SPC'!$E$4),OR('Visual SPC'!$G$4="",'Data Entry'!$D3898='Visual SPC'!$G$4),OR('Visual SPC'!$I$4="",'Data Entry'!$E3898='Visual SPC'!$I$4),OR('Visual SPC'!$K$4="",'Data Entry'!$F3898='Visual SPC'!$K$4)),1,0))</f>
        <v/>
      </c>
      <c r="C3898">
        <f>C3897+B3898</f>
        <v/>
      </c>
      <c r="D3898">
        <f>IF(B3898=1,INDEX('Data Entry'!$H$5:$BE$10004,3898-4,'Visual SPC'!$B$3),"")</f>
        <v/>
      </c>
      <c r="E3898">
        <f>IF(B3898=1,D3898,E3897)</f>
        <v/>
      </c>
      <c r="F3898">
        <f>IF(AND(B3898=1,C3898&gt;1,E3897&lt;&gt;""),ABS(D3898-E3897),"")</f>
        <v/>
      </c>
    </row>
    <row r="3899">
      <c r="A3899" t="n">
        <v>3899</v>
      </c>
      <c r="B3899">
        <f>IF(INDEX('Data Entry'!$H$5:$BE$10004,3899-4,'Visual SPC'!$B$3)="",0,IF(AND(OR('Visual SPC'!$C$4="",'Data Entry'!$C3899&gt;='Visual SPC'!$C$4),OR('Visual SPC'!$E$4="",'Data Entry'!$C3899&lt;='Visual SPC'!$E$4),OR('Visual SPC'!$G$4="",'Data Entry'!$D3899='Visual SPC'!$G$4),OR('Visual SPC'!$I$4="",'Data Entry'!$E3899='Visual SPC'!$I$4),OR('Visual SPC'!$K$4="",'Data Entry'!$F3899='Visual SPC'!$K$4)),1,0))</f>
        <v/>
      </c>
      <c r="C3899">
        <f>C3898+B3899</f>
        <v/>
      </c>
      <c r="D3899">
        <f>IF(B3899=1,INDEX('Data Entry'!$H$5:$BE$10004,3899-4,'Visual SPC'!$B$3),"")</f>
        <v/>
      </c>
      <c r="E3899">
        <f>IF(B3899=1,D3899,E3898)</f>
        <v/>
      </c>
      <c r="F3899">
        <f>IF(AND(B3899=1,C3899&gt;1,E3898&lt;&gt;""),ABS(D3899-E3898),"")</f>
        <v/>
      </c>
    </row>
    <row r="3900">
      <c r="A3900" t="n">
        <v>3900</v>
      </c>
      <c r="B3900">
        <f>IF(INDEX('Data Entry'!$H$5:$BE$10004,3900-4,'Visual SPC'!$B$3)="",0,IF(AND(OR('Visual SPC'!$C$4="",'Data Entry'!$C3900&gt;='Visual SPC'!$C$4),OR('Visual SPC'!$E$4="",'Data Entry'!$C3900&lt;='Visual SPC'!$E$4),OR('Visual SPC'!$G$4="",'Data Entry'!$D3900='Visual SPC'!$G$4),OR('Visual SPC'!$I$4="",'Data Entry'!$E3900='Visual SPC'!$I$4),OR('Visual SPC'!$K$4="",'Data Entry'!$F3900='Visual SPC'!$K$4)),1,0))</f>
        <v/>
      </c>
      <c r="C3900">
        <f>C3899+B3900</f>
        <v/>
      </c>
      <c r="D3900">
        <f>IF(B3900=1,INDEX('Data Entry'!$H$5:$BE$10004,3900-4,'Visual SPC'!$B$3),"")</f>
        <v/>
      </c>
      <c r="E3900">
        <f>IF(B3900=1,D3900,E3899)</f>
        <v/>
      </c>
      <c r="F3900">
        <f>IF(AND(B3900=1,C3900&gt;1,E3899&lt;&gt;""),ABS(D3900-E3899),"")</f>
        <v/>
      </c>
    </row>
    <row r="3901">
      <c r="A3901" t="n">
        <v>3901</v>
      </c>
      <c r="B3901">
        <f>IF(INDEX('Data Entry'!$H$5:$BE$10004,3901-4,'Visual SPC'!$B$3)="",0,IF(AND(OR('Visual SPC'!$C$4="",'Data Entry'!$C3901&gt;='Visual SPC'!$C$4),OR('Visual SPC'!$E$4="",'Data Entry'!$C3901&lt;='Visual SPC'!$E$4),OR('Visual SPC'!$G$4="",'Data Entry'!$D3901='Visual SPC'!$G$4),OR('Visual SPC'!$I$4="",'Data Entry'!$E3901='Visual SPC'!$I$4),OR('Visual SPC'!$K$4="",'Data Entry'!$F3901='Visual SPC'!$K$4)),1,0))</f>
        <v/>
      </c>
      <c r="C3901">
        <f>C3900+B3901</f>
        <v/>
      </c>
      <c r="D3901">
        <f>IF(B3901=1,INDEX('Data Entry'!$H$5:$BE$10004,3901-4,'Visual SPC'!$B$3),"")</f>
        <v/>
      </c>
      <c r="E3901">
        <f>IF(B3901=1,D3901,E3900)</f>
        <v/>
      </c>
      <c r="F3901">
        <f>IF(AND(B3901=1,C3901&gt;1,E3900&lt;&gt;""),ABS(D3901-E3900),"")</f>
        <v/>
      </c>
    </row>
    <row r="3902">
      <c r="A3902" t="n">
        <v>3902</v>
      </c>
      <c r="B3902">
        <f>IF(INDEX('Data Entry'!$H$5:$BE$10004,3902-4,'Visual SPC'!$B$3)="",0,IF(AND(OR('Visual SPC'!$C$4="",'Data Entry'!$C3902&gt;='Visual SPC'!$C$4),OR('Visual SPC'!$E$4="",'Data Entry'!$C3902&lt;='Visual SPC'!$E$4),OR('Visual SPC'!$G$4="",'Data Entry'!$D3902='Visual SPC'!$G$4),OR('Visual SPC'!$I$4="",'Data Entry'!$E3902='Visual SPC'!$I$4),OR('Visual SPC'!$K$4="",'Data Entry'!$F3902='Visual SPC'!$K$4)),1,0))</f>
        <v/>
      </c>
      <c r="C3902">
        <f>C3901+B3902</f>
        <v/>
      </c>
      <c r="D3902">
        <f>IF(B3902=1,INDEX('Data Entry'!$H$5:$BE$10004,3902-4,'Visual SPC'!$B$3),"")</f>
        <v/>
      </c>
      <c r="E3902">
        <f>IF(B3902=1,D3902,E3901)</f>
        <v/>
      </c>
      <c r="F3902">
        <f>IF(AND(B3902=1,C3902&gt;1,E3901&lt;&gt;""),ABS(D3902-E3901),"")</f>
        <v/>
      </c>
    </row>
    <row r="3903">
      <c r="A3903" t="n">
        <v>3903</v>
      </c>
      <c r="B3903">
        <f>IF(INDEX('Data Entry'!$H$5:$BE$10004,3903-4,'Visual SPC'!$B$3)="",0,IF(AND(OR('Visual SPC'!$C$4="",'Data Entry'!$C3903&gt;='Visual SPC'!$C$4),OR('Visual SPC'!$E$4="",'Data Entry'!$C3903&lt;='Visual SPC'!$E$4),OR('Visual SPC'!$G$4="",'Data Entry'!$D3903='Visual SPC'!$G$4),OR('Visual SPC'!$I$4="",'Data Entry'!$E3903='Visual SPC'!$I$4),OR('Visual SPC'!$K$4="",'Data Entry'!$F3903='Visual SPC'!$K$4)),1,0))</f>
        <v/>
      </c>
      <c r="C3903">
        <f>C3902+B3903</f>
        <v/>
      </c>
      <c r="D3903">
        <f>IF(B3903=1,INDEX('Data Entry'!$H$5:$BE$10004,3903-4,'Visual SPC'!$B$3),"")</f>
        <v/>
      </c>
      <c r="E3903">
        <f>IF(B3903=1,D3903,E3902)</f>
        <v/>
      </c>
      <c r="F3903">
        <f>IF(AND(B3903=1,C3903&gt;1,E3902&lt;&gt;""),ABS(D3903-E3902),"")</f>
        <v/>
      </c>
    </row>
    <row r="3904">
      <c r="A3904" t="n">
        <v>3904</v>
      </c>
      <c r="B3904">
        <f>IF(INDEX('Data Entry'!$H$5:$BE$10004,3904-4,'Visual SPC'!$B$3)="",0,IF(AND(OR('Visual SPC'!$C$4="",'Data Entry'!$C3904&gt;='Visual SPC'!$C$4),OR('Visual SPC'!$E$4="",'Data Entry'!$C3904&lt;='Visual SPC'!$E$4),OR('Visual SPC'!$G$4="",'Data Entry'!$D3904='Visual SPC'!$G$4),OR('Visual SPC'!$I$4="",'Data Entry'!$E3904='Visual SPC'!$I$4),OR('Visual SPC'!$K$4="",'Data Entry'!$F3904='Visual SPC'!$K$4)),1,0))</f>
        <v/>
      </c>
      <c r="C3904">
        <f>C3903+B3904</f>
        <v/>
      </c>
      <c r="D3904">
        <f>IF(B3904=1,INDEX('Data Entry'!$H$5:$BE$10004,3904-4,'Visual SPC'!$B$3),"")</f>
        <v/>
      </c>
      <c r="E3904">
        <f>IF(B3904=1,D3904,E3903)</f>
        <v/>
      </c>
      <c r="F3904">
        <f>IF(AND(B3904=1,C3904&gt;1,E3903&lt;&gt;""),ABS(D3904-E3903),"")</f>
        <v/>
      </c>
    </row>
    <row r="3905">
      <c r="A3905" t="n">
        <v>3905</v>
      </c>
      <c r="B3905">
        <f>IF(INDEX('Data Entry'!$H$5:$BE$10004,3905-4,'Visual SPC'!$B$3)="",0,IF(AND(OR('Visual SPC'!$C$4="",'Data Entry'!$C3905&gt;='Visual SPC'!$C$4),OR('Visual SPC'!$E$4="",'Data Entry'!$C3905&lt;='Visual SPC'!$E$4),OR('Visual SPC'!$G$4="",'Data Entry'!$D3905='Visual SPC'!$G$4),OR('Visual SPC'!$I$4="",'Data Entry'!$E3905='Visual SPC'!$I$4),OR('Visual SPC'!$K$4="",'Data Entry'!$F3905='Visual SPC'!$K$4)),1,0))</f>
        <v/>
      </c>
      <c r="C3905">
        <f>C3904+B3905</f>
        <v/>
      </c>
      <c r="D3905">
        <f>IF(B3905=1,INDEX('Data Entry'!$H$5:$BE$10004,3905-4,'Visual SPC'!$B$3),"")</f>
        <v/>
      </c>
      <c r="E3905">
        <f>IF(B3905=1,D3905,E3904)</f>
        <v/>
      </c>
      <c r="F3905">
        <f>IF(AND(B3905=1,C3905&gt;1,E3904&lt;&gt;""),ABS(D3905-E3904),"")</f>
        <v/>
      </c>
    </row>
    <row r="3906">
      <c r="A3906" t="n">
        <v>3906</v>
      </c>
      <c r="B3906">
        <f>IF(INDEX('Data Entry'!$H$5:$BE$10004,3906-4,'Visual SPC'!$B$3)="",0,IF(AND(OR('Visual SPC'!$C$4="",'Data Entry'!$C3906&gt;='Visual SPC'!$C$4),OR('Visual SPC'!$E$4="",'Data Entry'!$C3906&lt;='Visual SPC'!$E$4),OR('Visual SPC'!$G$4="",'Data Entry'!$D3906='Visual SPC'!$G$4),OR('Visual SPC'!$I$4="",'Data Entry'!$E3906='Visual SPC'!$I$4),OR('Visual SPC'!$K$4="",'Data Entry'!$F3906='Visual SPC'!$K$4)),1,0))</f>
        <v/>
      </c>
      <c r="C3906">
        <f>C3905+B3906</f>
        <v/>
      </c>
      <c r="D3906">
        <f>IF(B3906=1,INDEX('Data Entry'!$H$5:$BE$10004,3906-4,'Visual SPC'!$B$3),"")</f>
        <v/>
      </c>
      <c r="E3906">
        <f>IF(B3906=1,D3906,E3905)</f>
        <v/>
      </c>
      <c r="F3906">
        <f>IF(AND(B3906=1,C3906&gt;1,E3905&lt;&gt;""),ABS(D3906-E3905),"")</f>
        <v/>
      </c>
    </row>
    <row r="3907">
      <c r="A3907" t="n">
        <v>3907</v>
      </c>
      <c r="B3907">
        <f>IF(INDEX('Data Entry'!$H$5:$BE$10004,3907-4,'Visual SPC'!$B$3)="",0,IF(AND(OR('Visual SPC'!$C$4="",'Data Entry'!$C3907&gt;='Visual SPC'!$C$4),OR('Visual SPC'!$E$4="",'Data Entry'!$C3907&lt;='Visual SPC'!$E$4),OR('Visual SPC'!$G$4="",'Data Entry'!$D3907='Visual SPC'!$G$4),OR('Visual SPC'!$I$4="",'Data Entry'!$E3907='Visual SPC'!$I$4),OR('Visual SPC'!$K$4="",'Data Entry'!$F3907='Visual SPC'!$K$4)),1,0))</f>
        <v/>
      </c>
      <c r="C3907">
        <f>C3906+B3907</f>
        <v/>
      </c>
      <c r="D3907">
        <f>IF(B3907=1,INDEX('Data Entry'!$H$5:$BE$10004,3907-4,'Visual SPC'!$B$3),"")</f>
        <v/>
      </c>
      <c r="E3907">
        <f>IF(B3907=1,D3907,E3906)</f>
        <v/>
      </c>
      <c r="F3907">
        <f>IF(AND(B3907=1,C3907&gt;1,E3906&lt;&gt;""),ABS(D3907-E3906),"")</f>
        <v/>
      </c>
    </row>
    <row r="3908">
      <c r="A3908" t="n">
        <v>3908</v>
      </c>
      <c r="B3908">
        <f>IF(INDEX('Data Entry'!$H$5:$BE$10004,3908-4,'Visual SPC'!$B$3)="",0,IF(AND(OR('Visual SPC'!$C$4="",'Data Entry'!$C3908&gt;='Visual SPC'!$C$4),OR('Visual SPC'!$E$4="",'Data Entry'!$C3908&lt;='Visual SPC'!$E$4),OR('Visual SPC'!$G$4="",'Data Entry'!$D3908='Visual SPC'!$G$4),OR('Visual SPC'!$I$4="",'Data Entry'!$E3908='Visual SPC'!$I$4),OR('Visual SPC'!$K$4="",'Data Entry'!$F3908='Visual SPC'!$K$4)),1,0))</f>
        <v/>
      </c>
      <c r="C3908">
        <f>C3907+B3908</f>
        <v/>
      </c>
      <c r="D3908">
        <f>IF(B3908=1,INDEX('Data Entry'!$H$5:$BE$10004,3908-4,'Visual SPC'!$B$3),"")</f>
        <v/>
      </c>
      <c r="E3908">
        <f>IF(B3908=1,D3908,E3907)</f>
        <v/>
      </c>
      <c r="F3908">
        <f>IF(AND(B3908=1,C3908&gt;1,E3907&lt;&gt;""),ABS(D3908-E3907),"")</f>
        <v/>
      </c>
    </row>
    <row r="3909">
      <c r="A3909" t="n">
        <v>3909</v>
      </c>
      <c r="B3909">
        <f>IF(INDEX('Data Entry'!$H$5:$BE$10004,3909-4,'Visual SPC'!$B$3)="",0,IF(AND(OR('Visual SPC'!$C$4="",'Data Entry'!$C3909&gt;='Visual SPC'!$C$4),OR('Visual SPC'!$E$4="",'Data Entry'!$C3909&lt;='Visual SPC'!$E$4),OR('Visual SPC'!$G$4="",'Data Entry'!$D3909='Visual SPC'!$G$4),OR('Visual SPC'!$I$4="",'Data Entry'!$E3909='Visual SPC'!$I$4),OR('Visual SPC'!$K$4="",'Data Entry'!$F3909='Visual SPC'!$K$4)),1,0))</f>
        <v/>
      </c>
      <c r="C3909">
        <f>C3908+B3909</f>
        <v/>
      </c>
      <c r="D3909">
        <f>IF(B3909=1,INDEX('Data Entry'!$H$5:$BE$10004,3909-4,'Visual SPC'!$B$3),"")</f>
        <v/>
      </c>
      <c r="E3909">
        <f>IF(B3909=1,D3909,E3908)</f>
        <v/>
      </c>
      <c r="F3909">
        <f>IF(AND(B3909=1,C3909&gt;1,E3908&lt;&gt;""),ABS(D3909-E3908),"")</f>
        <v/>
      </c>
    </row>
    <row r="3910">
      <c r="A3910" t="n">
        <v>3910</v>
      </c>
      <c r="B3910">
        <f>IF(INDEX('Data Entry'!$H$5:$BE$10004,3910-4,'Visual SPC'!$B$3)="",0,IF(AND(OR('Visual SPC'!$C$4="",'Data Entry'!$C3910&gt;='Visual SPC'!$C$4),OR('Visual SPC'!$E$4="",'Data Entry'!$C3910&lt;='Visual SPC'!$E$4),OR('Visual SPC'!$G$4="",'Data Entry'!$D3910='Visual SPC'!$G$4),OR('Visual SPC'!$I$4="",'Data Entry'!$E3910='Visual SPC'!$I$4),OR('Visual SPC'!$K$4="",'Data Entry'!$F3910='Visual SPC'!$K$4)),1,0))</f>
        <v/>
      </c>
      <c r="C3910">
        <f>C3909+B3910</f>
        <v/>
      </c>
      <c r="D3910">
        <f>IF(B3910=1,INDEX('Data Entry'!$H$5:$BE$10004,3910-4,'Visual SPC'!$B$3),"")</f>
        <v/>
      </c>
      <c r="E3910">
        <f>IF(B3910=1,D3910,E3909)</f>
        <v/>
      </c>
      <c r="F3910">
        <f>IF(AND(B3910=1,C3910&gt;1,E3909&lt;&gt;""),ABS(D3910-E3909),"")</f>
        <v/>
      </c>
    </row>
    <row r="3911">
      <c r="A3911" t="n">
        <v>3911</v>
      </c>
      <c r="B3911">
        <f>IF(INDEX('Data Entry'!$H$5:$BE$10004,3911-4,'Visual SPC'!$B$3)="",0,IF(AND(OR('Visual SPC'!$C$4="",'Data Entry'!$C3911&gt;='Visual SPC'!$C$4),OR('Visual SPC'!$E$4="",'Data Entry'!$C3911&lt;='Visual SPC'!$E$4),OR('Visual SPC'!$G$4="",'Data Entry'!$D3911='Visual SPC'!$G$4),OR('Visual SPC'!$I$4="",'Data Entry'!$E3911='Visual SPC'!$I$4),OR('Visual SPC'!$K$4="",'Data Entry'!$F3911='Visual SPC'!$K$4)),1,0))</f>
        <v/>
      </c>
      <c r="C3911">
        <f>C3910+B3911</f>
        <v/>
      </c>
      <c r="D3911">
        <f>IF(B3911=1,INDEX('Data Entry'!$H$5:$BE$10004,3911-4,'Visual SPC'!$B$3),"")</f>
        <v/>
      </c>
      <c r="E3911">
        <f>IF(B3911=1,D3911,E3910)</f>
        <v/>
      </c>
      <c r="F3911">
        <f>IF(AND(B3911=1,C3911&gt;1,E3910&lt;&gt;""),ABS(D3911-E3910),"")</f>
        <v/>
      </c>
    </row>
    <row r="3912">
      <c r="A3912" t="n">
        <v>3912</v>
      </c>
      <c r="B3912">
        <f>IF(INDEX('Data Entry'!$H$5:$BE$10004,3912-4,'Visual SPC'!$B$3)="",0,IF(AND(OR('Visual SPC'!$C$4="",'Data Entry'!$C3912&gt;='Visual SPC'!$C$4),OR('Visual SPC'!$E$4="",'Data Entry'!$C3912&lt;='Visual SPC'!$E$4),OR('Visual SPC'!$G$4="",'Data Entry'!$D3912='Visual SPC'!$G$4),OR('Visual SPC'!$I$4="",'Data Entry'!$E3912='Visual SPC'!$I$4),OR('Visual SPC'!$K$4="",'Data Entry'!$F3912='Visual SPC'!$K$4)),1,0))</f>
        <v/>
      </c>
      <c r="C3912">
        <f>C3911+B3912</f>
        <v/>
      </c>
      <c r="D3912">
        <f>IF(B3912=1,INDEX('Data Entry'!$H$5:$BE$10004,3912-4,'Visual SPC'!$B$3),"")</f>
        <v/>
      </c>
      <c r="E3912">
        <f>IF(B3912=1,D3912,E3911)</f>
        <v/>
      </c>
      <c r="F3912">
        <f>IF(AND(B3912=1,C3912&gt;1,E3911&lt;&gt;""),ABS(D3912-E3911),"")</f>
        <v/>
      </c>
    </row>
    <row r="3913">
      <c r="A3913" t="n">
        <v>3913</v>
      </c>
      <c r="B3913">
        <f>IF(INDEX('Data Entry'!$H$5:$BE$10004,3913-4,'Visual SPC'!$B$3)="",0,IF(AND(OR('Visual SPC'!$C$4="",'Data Entry'!$C3913&gt;='Visual SPC'!$C$4),OR('Visual SPC'!$E$4="",'Data Entry'!$C3913&lt;='Visual SPC'!$E$4),OR('Visual SPC'!$G$4="",'Data Entry'!$D3913='Visual SPC'!$G$4),OR('Visual SPC'!$I$4="",'Data Entry'!$E3913='Visual SPC'!$I$4),OR('Visual SPC'!$K$4="",'Data Entry'!$F3913='Visual SPC'!$K$4)),1,0))</f>
        <v/>
      </c>
      <c r="C3913">
        <f>C3912+B3913</f>
        <v/>
      </c>
      <c r="D3913">
        <f>IF(B3913=1,INDEX('Data Entry'!$H$5:$BE$10004,3913-4,'Visual SPC'!$B$3),"")</f>
        <v/>
      </c>
      <c r="E3913">
        <f>IF(B3913=1,D3913,E3912)</f>
        <v/>
      </c>
      <c r="F3913">
        <f>IF(AND(B3913=1,C3913&gt;1,E3912&lt;&gt;""),ABS(D3913-E3912),"")</f>
        <v/>
      </c>
    </row>
    <row r="3914">
      <c r="A3914" t="n">
        <v>3914</v>
      </c>
      <c r="B3914">
        <f>IF(INDEX('Data Entry'!$H$5:$BE$10004,3914-4,'Visual SPC'!$B$3)="",0,IF(AND(OR('Visual SPC'!$C$4="",'Data Entry'!$C3914&gt;='Visual SPC'!$C$4),OR('Visual SPC'!$E$4="",'Data Entry'!$C3914&lt;='Visual SPC'!$E$4),OR('Visual SPC'!$G$4="",'Data Entry'!$D3914='Visual SPC'!$G$4),OR('Visual SPC'!$I$4="",'Data Entry'!$E3914='Visual SPC'!$I$4),OR('Visual SPC'!$K$4="",'Data Entry'!$F3914='Visual SPC'!$K$4)),1,0))</f>
        <v/>
      </c>
      <c r="C3914">
        <f>C3913+B3914</f>
        <v/>
      </c>
      <c r="D3914">
        <f>IF(B3914=1,INDEX('Data Entry'!$H$5:$BE$10004,3914-4,'Visual SPC'!$B$3),"")</f>
        <v/>
      </c>
      <c r="E3914">
        <f>IF(B3914=1,D3914,E3913)</f>
        <v/>
      </c>
      <c r="F3914">
        <f>IF(AND(B3914=1,C3914&gt;1,E3913&lt;&gt;""),ABS(D3914-E3913),"")</f>
        <v/>
      </c>
    </row>
    <row r="3915">
      <c r="A3915" t="n">
        <v>3915</v>
      </c>
      <c r="B3915">
        <f>IF(INDEX('Data Entry'!$H$5:$BE$10004,3915-4,'Visual SPC'!$B$3)="",0,IF(AND(OR('Visual SPC'!$C$4="",'Data Entry'!$C3915&gt;='Visual SPC'!$C$4),OR('Visual SPC'!$E$4="",'Data Entry'!$C3915&lt;='Visual SPC'!$E$4),OR('Visual SPC'!$G$4="",'Data Entry'!$D3915='Visual SPC'!$G$4),OR('Visual SPC'!$I$4="",'Data Entry'!$E3915='Visual SPC'!$I$4),OR('Visual SPC'!$K$4="",'Data Entry'!$F3915='Visual SPC'!$K$4)),1,0))</f>
        <v/>
      </c>
      <c r="C3915">
        <f>C3914+B3915</f>
        <v/>
      </c>
      <c r="D3915">
        <f>IF(B3915=1,INDEX('Data Entry'!$H$5:$BE$10004,3915-4,'Visual SPC'!$B$3),"")</f>
        <v/>
      </c>
      <c r="E3915">
        <f>IF(B3915=1,D3915,E3914)</f>
        <v/>
      </c>
      <c r="F3915">
        <f>IF(AND(B3915=1,C3915&gt;1,E3914&lt;&gt;""),ABS(D3915-E3914),"")</f>
        <v/>
      </c>
    </row>
    <row r="3916">
      <c r="A3916" t="n">
        <v>3916</v>
      </c>
      <c r="B3916">
        <f>IF(INDEX('Data Entry'!$H$5:$BE$10004,3916-4,'Visual SPC'!$B$3)="",0,IF(AND(OR('Visual SPC'!$C$4="",'Data Entry'!$C3916&gt;='Visual SPC'!$C$4),OR('Visual SPC'!$E$4="",'Data Entry'!$C3916&lt;='Visual SPC'!$E$4),OR('Visual SPC'!$G$4="",'Data Entry'!$D3916='Visual SPC'!$G$4),OR('Visual SPC'!$I$4="",'Data Entry'!$E3916='Visual SPC'!$I$4),OR('Visual SPC'!$K$4="",'Data Entry'!$F3916='Visual SPC'!$K$4)),1,0))</f>
        <v/>
      </c>
      <c r="C3916">
        <f>C3915+B3916</f>
        <v/>
      </c>
      <c r="D3916">
        <f>IF(B3916=1,INDEX('Data Entry'!$H$5:$BE$10004,3916-4,'Visual SPC'!$B$3),"")</f>
        <v/>
      </c>
      <c r="E3916">
        <f>IF(B3916=1,D3916,E3915)</f>
        <v/>
      </c>
      <c r="F3916">
        <f>IF(AND(B3916=1,C3916&gt;1,E3915&lt;&gt;""),ABS(D3916-E3915),"")</f>
        <v/>
      </c>
    </row>
    <row r="3917">
      <c r="A3917" t="n">
        <v>3917</v>
      </c>
      <c r="B3917">
        <f>IF(INDEX('Data Entry'!$H$5:$BE$10004,3917-4,'Visual SPC'!$B$3)="",0,IF(AND(OR('Visual SPC'!$C$4="",'Data Entry'!$C3917&gt;='Visual SPC'!$C$4),OR('Visual SPC'!$E$4="",'Data Entry'!$C3917&lt;='Visual SPC'!$E$4),OR('Visual SPC'!$G$4="",'Data Entry'!$D3917='Visual SPC'!$G$4),OR('Visual SPC'!$I$4="",'Data Entry'!$E3917='Visual SPC'!$I$4),OR('Visual SPC'!$K$4="",'Data Entry'!$F3917='Visual SPC'!$K$4)),1,0))</f>
        <v/>
      </c>
      <c r="C3917">
        <f>C3916+B3917</f>
        <v/>
      </c>
      <c r="D3917">
        <f>IF(B3917=1,INDEX('Data Entry'!$H$5:$BE$10004,3917-4,'Visual SPC'!$B$3),"")</f>
        <v/>
      </c>
      <c r="E3917">
        <f>IF(B3917=1,D3917,E3916)</f>
        <v/>
      </c>
      <c r="F3917">
        <f>IF(AND(B3917=1,C3917&gt;1,E3916&lt;&gt;""),ABS(D3917-E3916),"")</f>
        <v/>
      </c>
    </row>
    <row r="3918">
      <c r="A3918" t="n">
        <v>3918</v>
      </c>
      <c r="B3918">
        <f>IF(INDEX('Data Entry'!$H$5:$BE$10004,3918-4,'Visual SPC'!$B$3)="",0,IF(AND(OR('Visual SPC'!$C$4="",'Data Entry'!$C3918&gt;='Visual SPC'!$C$4),OR('Visual SPC'!$E$4="",'Data Entry'!$C3918&lt;='Visual SPC'!$E$4),OR('Visual SPC'!$G$4="",'Data Entry'!$D3918='Visual SPC'!$G$4),OR('Visual SPC'!$I$4="",'Data Entry'!$E3918='Visual SPC'!$I$4),OR('Visual SPC'!$K$4="",'Data Entry'!$F3918='Visual SPC'!$K$4)),1,0))</f>
        <v/>
      </c>
      <c r="C3918">
        <f>C3917+B3918</f>
        <v/>
      </c>
      <c r="D3918">
        <f>IF(B3918=1,INDEX('Data Entry'!$H$5:$BE$10004,3918-4,'Visual SPC'!$B$3),"")</f>
        <v/>
      </c>
      <c r="E3918">
        <f>IF(B3918=1,D3918,E3917)</f>
        <v/>
      </c>
      <c r="F3918">
        <f>IF(AND(B3918=1,C3918&gt;1,E3917&lt;&gt;""),ABS(D3918-E3917),"")</f>
        <v/>
      </c>
    </row>
    <row r="3919">
      <c r="A3919" t="n">
        <v>3919</v>
      </c>
      <c r="B3919">
        <f>IF(INDEX('Data Entry'!$H$5:$BE$10004,3919-4,'Visual SPC'!$B$3)="",0,IF(AND(OR('Visual SPC'!$C$4="",'Data Entry'!$C3919&gt;='Visual SPC'!$C$4),OR('Visual SPC'!$E$4="",'Data Entry'!$C3919&lt;='Visual SPC'!$E$4),OR('Visual SPC'!$G$4="",'Data Entry'!$D3919='Visual SPC'!$G$4),OR('Visual SPC'!$I$4="",'Data Entry'!$E3919='Visual SPC'!$I$4),OR('Visual SPC'!$K$4="",'Data Entry'!$F3919='Visual SPC'!$K$4)),1,0))</f>
        <v/>
      </c>
      <c r="C3919">
        <f>C3918+B3919</f>
        <v/>
      </c>
      <c r="D3919">
        <f>IF(B3919=1,INDEX('Data Entry'!$H$5:$BE$10004,3919-4,'Visual SPC'!$B$3),"")</f>
        <v/>
      </c>
      <c r="E3919">
        <f>IF(B3919=1,D3919,E3918)</f>
        <v/>
      </c>
      <c r="F3919">
        <f>IF(AND(B3919=1,C3919&gt;1,E3918&lt;&gt;""),ABS(D3919-E3918),"")</f>
        <v/>
      </c>
    </row>
    <row r="3920">
      <c r="A3920" t="n">
        <v>3920</v>
      </c>
      <c r="B3920">
        <f>IF(INDEX('Data Entry'!$H$5:$BE$10004,3920-4,'Visual SPC'!$B$3)="",0,IF(AND(OR('Visual SPC'!$C$4="",'Data Entry'!$C3920&gt;='Visual SPC'!$C$4),OR('Visual SPC'!$E$4="",'Data Entry'!$C3920&lt;='Visual SPC'!$E$4),OR('Visual SPC'!$G$4="",'Data Entry'!$D3920='Visual SPC'!$G$4),OR('Visual SPC'!$I$4="",'Data Entry'!$E3920='Visual SPC'!$I$4),OR('Visual SPC'!$K$4="",'Data Entry'!$F3920='Visual SPC'!$K$4)),1,0))</f>
        <v/>
      </c>
      <c r="C3920">
        <f>C3919+B3920</f>
        <v/>
      </c>
      <c r="D3920">
        <f>IF(B3920=1,INDEX('Data Entry'!$H$5:$BE$10004,3920-4,'Visual SPC'!$B$3),"")</f>
        <v/>
      </c>
      <c r="E3920">
        <f>IF(B3920=1,D3920,E3919)</f>
        <v/>
      </c>
      <c r="F3920">
        <f>IF(AND(B3920=1,C3920&gt;1,E3919&lt;&gt;""),ABS(D3920-E3919),"")</f>
        <v/>
      </c>
    </row>
    <row r="3921">
      <c r="A3921" t="n">
        <v>3921</v>
      </c>
      <c r="B3921">
        <f>IF(INDEX('Data Entry'!$H$5:$BE$10004,3921-4,'Visual SPC'!$B$3)="",0,IF(AND(OR('Visual SPC'!$C$4="",'Data Entry'!$C3921&gt;='Visual SPC'!$C$4),OR('Visual SPC'!$E$4="",'Data Entry'!$C3921&lt;='Visual SPC'!$E$4),OR('Visual SPC'!$G$4="",'Data Entry'!$D3921='Visual SPC'!$G$4),OR('Visual SPC'!$I$4="",'Data Entry'!$E3921='Visual SPC'!$I$4),OR('Visual SPC'!$K$4="",'Data Entry'!$F3921='Visual SPC'!$K$4)),1,0))</f>
        <v/>
      </c>
      <c r="C3921">
        <f>C3920+B3921</f>
        <v/>
      </c>
      <c r="D3921">
        <f>IF(B3921=1,INDEX('Data Entry'!$H$5:$BE$10004,3921-4,'Visual SPC'!$B$3),"")</f>
        <v/>
      </c>
      <c r="E3921">
        <f>IF(B3921=1,D3921,E3920)</f>
        <v/>
      </c>
      <c r="F3921">
        <f>IF(AND(B3921=1,C3921&gt;1,E3920&lt;&gt;""),ABS(D3921-E3920),"")</f>
        <v/>
      </c>
    </row>
    <row r="3922">
      <c r="A3922" t="n">
        <v>3922</v>
      </c>
      <c r="B3922">
        <f>IF(INDEX('Data Entry'!$H$5:$BE$10004,3922-4,'Visual SPC'!$B$3)="",0,IF(AND(OR('Visual SPC'!$C$4="",'Data Entry'!$C3922&gt;='Visual SPC'!$C$4),OR('Visual SPC'!$E$4="",'Data Entry'!$C3922&lt;='Visual SPC'!$E$4),OR('Visual SPC'!$G$4="",'Data Entry'!$D3922='Visual SPC'!$G$4),OR('Visual SPC'!$I$4="",'Data Entry'!$E3922='Visual SPC'!$I$4),OR('Visual SPC'!$K$4="",'Data Entry'!$F3922='Visual SPC'!$K$4)),1,0))</f>
        <v/>
      </c>
      <c r="C3922">
        <f>C3921+B3922</f>
        <v/>
      </c>
      <c r="D3922">
        <f>IF(B3922=1,INDEX('Data Entry'!$H$5:$BE$10004,3922-4,'Visual SPC'!$B$3),"")</f>
        <v/>
      </c>
      <c r="E3922">
        <f>IF(B3922=1,D3922,E3921)</f>
        <v/>
      </c>
      <c r="F3922">
        <f>IF(AND(B3922=1,C3922&gt;1,E3921&lt;&gt;""),ABS(D3922-E3921),"")</f>
        <v/>
      </c>
    </row>
    <row r="3923">
      <c r="A3923" t="n">
        <v>3923</v>
      </c>
      <c r="B3923">
        <f>IF(INDEX('Data Entry'!$H$5:$BE$10004,3923-4,'Visual SPC'!$B$3)="",0,IF(AND(OR('Visual SPC'!$C$4="",'Data Entry'!$C3923&gt;='Visual SPC'!$C$4),OR('Visual SPC'!$E$4="",'Data Entry'!$C3923&lt;='Visual SPC'!$E$4),OR('Visual SPC'!$G$4="",'Data Entry'!$D3923='Visual SPC'!$G$4),OR('Visual SPC'!$I$4="",'Data Entry'!$E3923='Visual SPC'!$I$4),OR('Visual SPC'!$K$4="",'Data Entry'!$F3923='Visual SPC'!$K$4)),1,0))</f>
        <v/>
      </c>
      <c r="C3923">
        <f>C3922+B3923</f>
        <v/>
      </c>
      <c r="D3923">
        <f>IF(B3923=1,INDEX('Data Entry'!$H$5:$BE$10004,3923-4,'Visual SPC'!$B$3),"")</f>
        <v/>
      </c>
      <c r="E3923">
        <f>IF(B3923=1,D3923,E3922)</f>
        <v/>
      </c>
      <c r="F3923">
        <f>IF(AND(B3923=1,C3923&gt;1,E3922&lt;&gt;""),ABS(D3923-E3922),"")</f>
        <v/>
      </c>
    </row>
    <row r="3924">
      <c r="A3924" t="n">
        <v>3924</v>
      </c>
      <c r="B3924">
        <f>IF(INDEX('Data Entry'!$H$5:$BE$10004,3924-4,'Visual SPC'!$B$3)="",0,IF(AND(OR('Visual SPC'!$C$4="",'Data Entry'!$C3924&gt;='Visual SPC'!$C$4),OR('Visual SPC'!$E$4="",'Data Entry'!$C3924&lt;='Visual SPC'!$E$4),OR('Visual SPC'!$G$4="",'Data Entry'!$D3924='Visual SPC'!$G$4),OR('Visual SPC'!$I$4="",'Data Entry'!$E3924='Visual SPC'!$I$4),OR('Visual SPC'!$K$4="",'Data Entry'!$F3924='Visual SPC'!$K$4)),1,0))</f>
        <v/>
      </c>
      <c r="C3924">
        <f>C3923+B3924</f>
        <v/>
      </c>
      <c r="D3924">
        <f>IF(B3924=1,INDEX('Data Entry'!$H$5:$BE$10004,3924-4,'Visual SPC'!$B$3),"")</f>
        <v/>
      </c>
      <c r="E3924">
        <f>IF(B3924=1,D3924,E3923)</f>
        <v/>
      </c>
      <c r="F3924">
        <f>IF(AND(B3924=1,C3924&gt;1,E3923&lt;&gt;""),ABS(D3924-E3923),"")</f>
        <v/>
      </c>
    </row>
    <row r="3925">
      <c r="A3925" t="n">
        <v>3925</v>
      </c>
      <c r="B3925">
        <f>IF(INDEX('Data Entry'!$H$5:$BE$10004,3925-4,'Visual SPC'!$B$3)="",0,IF(AND(OR('Visual SPC'!$C$4="",'Data Entry'!$C3925&gt;='Visual SPC'!$C$4),OR('Visual SPC'!$E$4="",'Data Entry'!$C3925&lt;='Visual SPC'!$E$4),OR('Visual SPC'!$G$4="",'Data Entry'!$D3925='Visual SPC'!$G$4),OR('Visual SPC'!$I$4="",'Data Entry'!$E3925='Visual SPC'!$I$4),OR('Visual SPC'!$K$4="",'Data Entry'!$F3925='Visual SPC'!$K$4)),1,0))</f>
        <v/>
      </c>
      <c r="C3925">
        <f>C3924+B3925</f>
        <v/>
      </c>
      <c r="D3925">
        <f>IF(B3925=1,INDEX('Data Entry'!$H$5:$BE$10004,3925-4,'Visual SPC'!$B$3),"")</f>
        <v/>
      </c>
      <c r="E3925">
        <f>IF(B3925=1,D3925,E3924)</f>
        <v/>
      </c>
      <c r="F3925">
        <f>IF(AND(B3925=1,C3925&gt;1,E3924&lt;&gt;""),ABS(D3925-E3924),"")</f>
        <v/>
      </c>
    </row>
    <row r="3926">
      <c r="A3926" t="n">
        <v>3926</v>
      </c>
      <c r="B3926">
        <f>IF(INDEX('Data Entry'!$H$5:$BE$10004,3926-4,'Visual SPC'!$B$3)="",0,IF(AND(OR('Visual SPC'!$C$4="",'Data Entry'!$C3926&gt;='Visual SPC'!$C$4),OR('Visual SPC'!$E$4="",'Data Entry'!$C3926&lt;='Visual SPC'!$E$4),OR('Visual SPC'!$G$4="",'Data Entry'!$D3926='Visual SPC'!$G$4),OR('Visual SPC'!$I$4="",'Data Entry'!$E3926='Visual SPC'!$I$4),OR('Visual SPC'!$K$4="",'Data Entry'!$F3926='Visual SPC'!$K$4)),1,0))</f>
        <v/>
      </c>
      <c r="C3926">
        <f>C3925+B3926</f>
        <v/>
      </c>
      <c r="D3926">
        <f>IF(B3926=1,INDEX('Data Entry'!$H$5:$BE$10004,3926-4,'Visual SPC'!$B$3),"")</f>
        <v/>
      </c>
      <c r="E3926">
        <f>IF(B3926=1,D3926,E3925)</f>
        <v/>
      </c>
      <c r="F3926">
        <f>IF(AND(B3926=1,C3926&gt;1,E3925&lt;&gt;""),ABS(D3926-E3925),"")</f>
        <v/>
      </c>
    </row>
    <row r="3927">
      <c r="A3927" t="n">
        <v>3927</v>
      </c>
      <c r="B3927">
        <f>IF(INDEX('Data Entry'!$H$5:$BE$10004,3927-4,'Visual SPC'!$B$3)="",0,IF(AND(OR('Visual SPC'!$C$4="",'Data Entry'!$C3927&gt;='Visual SPC'!$C$4),OR('Visual SPC'!$E$4="",'Data Entry'!$C3927&lt;='Visual SPC'!$E$4),OR('Visual SPC'!$G$4="",'Data Entry'!$D3927='Visual SPC'!$G$4),OR('Visual SPC'!$I$4="",'Data Entry'!$E3927='Visual SPC'!$I$4),OR('Visual SPC'!$K$4="",'Data Entry'!$F3927='Visual SPC'!$K$4)),1,0))</f>
        <v/>
      </c>
      <c r="C3927">
        <f>C3926+B3927</f>
        <v/>
      </c>
      <c r="D3927">
        <f>IF(B3927=1,INDEX('Data Entry'!$H$5:$BE$10004,3927-4,'Visual SPC'!$B$3),"")</f>
        <v/>
      </c>
      <c r="E3927">
        <f>IF(B3927=1,D3927,E3926)</f>
        <v/>
      </c>
      <c r="F3927">
        <f>IF(AND(B3927=1,C3927&gt;1,E3926&lt;&gt;""),ABS(D3927-E3926),"")</f>
        <v/>
      </c>
    </row>
    <row r="3928">
      <c r="A3928" t="n">
        <v>3928</v>
      </c>
      <c r="B3928">
        <f>IF(INDEX('Data Entry'!$H$5:$BE$10004,3928-4,'Visual SPC'!$B$3)="",0,IF(AND(OR('Visual SPC'!$C$4="",'Data Entry'!$C3928&gt;='Visual SPC'!$C$4),OR('Visual SPC'!$E$4="",'Data Entry'!$C3928&lt;='Visual SPC'!$E$4),OR('Visual SPC'!$G$4="",'Data Entry'!$D3928='Visual SPC'!$G$4),OR('Visual SPC'!$I$4="",'Data Entry'!$E3928='Visual SPC'!$I$4),OR('Visual SPC'!$K$4="",'Data Entry'!$F3928='Visual SPC'!$K$4)),1,0))</f>
        <v/>
      </c>
      <c r="C3928">
        <f>C3927+B3928</f>
        <v/>
      </c>
      <c r="D3928">
        <f>IF(B3928=1,INDEX('Data Entry'!$H$5:$BE$10004,3928-4,'Visual SPC'!$B$3),"")</f>
        <v/>
      </c>
      <c r="E3928">
        <f>IF(B3928=1,D3928,E3927)</f>
        <v/>
      </c>
      <c r="F3928">
        <f>IF(AND(B3928=1,C3928&gt;1,E3927&lt;&gt;""),ABS(D3928-E3927),"")</f>
        <v/>
      </c>
    </row>
    <row r="3929">
      <c r="A3929" t="n">
        <v>3929</v>
      </c>
      <c r="B3929">
        <f>IF(INDEX('Data Entry'!$H$5:$BE$10004,3929-4,'Visual SPC'!$B$3)="",0,IF(AND(OR('Visual SPC'!$C$4="",'Data Entry'!$C3929&gt;='Visual SPC'!$C$4),OR('Visual SPC'!$E$4="",'Data Entry'!$C3929&lt;='Visual SPC'!$E$4),OR('Visual SPC'!$G$4="",'Data Entry'!$D3929='Visual SPC'!$G$4),OR('Visual SPC'!$I$4="",'Data Entry'!$E3929='Visual SPC'!$I$4),OR('Visual SPC'!$K$4="",'Data Entry'!$F3929='Visual SPC'!$K$4)),1,0))</f>
        <v/>
      </c>
      <c r="C3929">
        <f>C3928+B3929</f>
        <v/>
      </c>
      <c r="D3929">
        <f>IF(B3929=1,INDEX('Data Entry'!$H$5:$BE$10004,3929-4,'Visual SPC'!$B$3),"")</f>
        <v/>
      </c>
      <c r="E3929">
        <f>IF(B3929=1,D3929,E3928)</f>
        <v/>
      </c>
      <c r="F3929">
        <f>IF(AND(B3929=1,C3929&gt;1,E3928&lt;&gt;""),ABS(D3929-E3928),"")</f>
        <v/>
      </c>
    </row>
    <row r="3930">
      <c r="A3930" t="n">
        <v>3930</v>
      </c>
      <c r="B3930">
        <f>IF(INDEX('Data Entry'!$H$5:$BE$10004,3930-4,'Visual SPC'!$B$3)="",0,IF(AND(OR('Visual SPC'!$C$4="",'Data Entry'!$C3930&gt;='Visual SPC'!$C$4),OR('Visual SPC'!$E$4="",'Data Entry'!$C3930&lt;='Visual SPC'!$E$4),OR('Visual SPC'!$G$4="",'Data Entry'!$D3930='Visual SPC'!$G$4),OR('Visual SPC'!$I$4="",'Data Entry'!$E3930='Visual SPC'!$I$4),OR('Visual SPC'!$K$4="",'Data Entry'!$F3930='Visual SPC'!$K$4)),1,0))</f>
        <v/>
      </c>
      <c r="C3930">
        <f>C3929+B3930</f>
        <v/>
      </c>
      <c r="D3930">
        <f>IF(B3930=1,INDEX('Data Entry'!$H$5:$BE$10004,3930-4,'Visual SPC'!$B$3),"")</f>
        <v/>
      </c>
      <c r="E3930">
        <f>IF(B3930=1,D3930,E3929)</f>
        <v/>
      </c>
      <c r="F3930">
        <f>IF(AND(B3930=1,C3930&gt;1,E3929&lt;&gt;""),ABS(D3930-E3929),"")</f>
        <v/>
      </c>
    </row>
    <row r="3931">
      <c r="A3931" t="n">
        <v>3931</v>
      </c>
      <c r="B3931">
        <f>IF(INDEX('Data Entry'!$H$5:$BE$10004,3931-4,'Visual SPC'!$B$3)="",0,IF(AND(OR('Visual SPC'!$C$4="",'Data Entry'!$C3931&gt;='Visual SPC'!$C$4),OR('Visual SPC'!$E$4="",'Data Entry'!$C3931&lt;='Visual SPC'!$E$4),OR('Visual SPC'!$G$4="",'Data Entry'!$D3931='Visual SPC'!$G$4),OR('Visual SPC'!$I$4="",'Data Entry'!$E3931='Visual SPC'!$I$4),OR('Visual SPC'!$K$4="",'Data Entry'!$F3931='Visual SPC'!$K$4)),1,0))</f>
        <v/>
      </c>
      <c r="C3931">
        <f>C3930+B3931</f>
        <v/>
      </c>
      <c r="D3931">
        <f>IF(B3931=1,INDEX('Data Entry'!$H$5:$BE$10004,3931-4,'Visual SPC'!$B$3),"")</f>
        <v/>
      </c>
      <c r="E3931">
        <f>IF(B3931=1,D3931,E3930)</f>
        <v/>
      </c>
      <c r="F3931">
        <f>IF(AND(B3931=1,C3931&gt;1,E3930&lt;&gt;""),ABS(D3931-E3930),"")</f>
        <v/>
      </c>
    </row>
    <row r="3932">
      <c r="A3932" t="n">
        <v>3932</v>
      </c>
      <c r="B3932">
        <f>IF(INDEX('Data Entry'!$H$5:$BE$10004,3932-4,'Visual SPC'!$B$3)="",0,IF(AND(OR('Visual SPC'!$C$4="",'Data Entry'!$C3932&gt;='Visual SPC'!$C$4),OR('Visual SPC'!$E$4="",'Data Entry'!$C3932&lt;='Visual SPC'!$E$4),OR('Visual SPC'!$G$4="",'Data Entry'!$D3932='Visual SPC'!$G$4),OR('Visual SPC'!$I$4="",'Data Entry'!$E3932='Visual SPC'!$I$4),OR('Visual SPC'!$K$4="",'Data Entry'!$F3932='Visual SPC'!$K$4)),1,0))</f>
        <v/>
      </c>
      <c r="C3932">
        <f>C3931+B3932</f>
        <v/>
      </c>
      <c r="D3932">
        <f>IF(B3932=1,INDEX('Data Entry'!$H$5:$BE$10004,3932-4,'Visual SPC'!$B$3),"")</f>
        <v/>
      </c>
      <c r="E3932">
        <f>IF(B3932=1,D3932,E3931)</f>
        <v/>
      </c>
      <c r="F3932">
        <f>IF(AND(B3932=1,C3932&gt;1,E3931&lt;&gt;""),ABS(D3932-E3931),"")</f>
        <v/>
      </c>
    </row>
    <row r="3933">
      <c r="A3933" t="n">
        <v>3933</v>
      </c>
      <c r="B3933">
        <f>IF(INDEX('Data Entry'!$H$5:$BE$10004,3933-4,'Visual SPC'!$B$3)="",0,IF(AND(OR('Visual SPC'!$C$4="",'Data Entry'!$C3933&gt;='Visual SPC'!$C$4),OR('Visual SPC'!$E$4="",'Data Entry'!$C3933&lt;='Visual SPC'!$E$4),OR('Visual SPC'!$G$4="",'Data Entry'!$D3933='Visual SPC'!$G$4),OR('Visual SPC'!$I$4="",'Data Entry'!$E3933='Visual SPC'!$I$4),OR('Visual SPC'!$K$4="",'Data Entry'!$F3933='Visual SPC'!$K$4)),1,0))</f>
        <v/>
      </c>
      <c r="C3933">
        <f>C3932+B3933</f>
        <v/>
      </c>
      <c r="D3933">
        <f>IF(B3933=1,INDEX('Data Entry'!$H$5:$BE$10004,3933-4,'Visual SPC'!$B$3),"")</f>
        <v/>
      </c>
      <c r="E3933">
        <f>IF(B3933=1,D3933,E3932)</f>
        <v/>
      </c>
      <c r="F3933">
        <f>IF(AND(B3933=1,C3933&gt;1,E3932&lt;&gt;""),ABS(D3933-E3932),"")</f>
        <v/>
      </c>
    </row>
    <row r="3934">
      <c r="A3934" t="n">
        <v>3934</v>
      </c>
      <c r="B3934">
        <f>IF(INDEX('Data Entry'!$H$5:$BE$10004,3934-4,'Visual SPC'!$B$3)="",0,IF(AND(OR('Visual SPC'!$C$4="",'Data Entry'!$C3934&gt;='Visual SPC'!$C$4),OR('Visual SPC'!$E$4="",'Data Entry'!$C3934&lt;='Visual SPC'!$E$4),OR('Visual SPC'!$G$4="",'Data Entry'!$D3934='Visual SPC'!$G$4),OR('Visual SPC'!$I$4="",'Data Entry'!$E3934='Visual SPC'!$I$4),OR('Visual SPC'!$K$4="",'Data Entry'!$F3934='Visual SPC'!$K$4)),1,0))</f>
        <v/>
      </c>
      <c r="C3934">
        <f>C3933+B3934</f>
        <v/>
      </c>
      <c r="D3934">
        <f>IF(B3934=1,INDEX('Data Entry'!$H$5:$BE$10004,3934-4,'Visual SPC'!$B$3),"")</f>
        <v/>
      </c>
      <c r="E3934">
        <f>IF(B3934=1,D3934,E3933)</f>
        <v/>
      </c>
      <c r="F3934">
        <f>IF(AND(B3934=1,C3934&gt;1,E3933&lt;&gt;""),ABS(D3934-E3933),"")</f>
        <v/>
      </c>
    </row>
    <row r="3935">
      <c r="A3935" t="n">
        <v>3935</v>
      </c>
      <c r="B3935">
        <f>IF(INDEX('Data Entry'!$H$5:$BE$10004,3935-4,'Visual SPC'!$B$3)="",0,IF(AND(OR('Visual SPC'!$C$4="",'Data Entry'!$C3935&gt;='Visual SPC'!$C$4),OR('Visual SPC'!$E$4="",'Data Entry'!$C3935&lt;='Visual SPC'!$E$4),OR('Visual SPC'!$G$4="",'Data Entry'!$D3935='Visual SPC'!$G$4),OR('Visual SPC'!$I$4="",'Data Entry'!$E3935='Visual SPC'!$I$4),OR('Visual SPC'!$K$4="",'Data Entry'!$F3935='Visual SPC'!$K$4)),1,0))</f>
        <v/>
      </c>
      <c r="C3935">
        <f>C3934+B3935</f>
        <v/>
      </c>
      <c r="D3935">
        <f>IF(B3935=1,INDEX('Data Entry'!$H$5:$BE$10004,3935-4,'Visual SPC'!$B$3),"")</f>
        <v/>
      </c>
      <c r="E3935">
        <f>IF(B3935=1,D3935,E3934)</f>
        <v/>
      </c>
      <c r="F3935">
        <f>IF(AND(B3935=1,C3935&gt;1,E3934&lt;&gt;""),ABS(D3935-E3934),"")</f>
        <v/>
      </c>
    </row>
    <row r="3936">
      <c r="A3936" t="n">
        <v>3936</v>
      </c>
      <c r="B3936">
        <f>IF(INDEX('Data Entry'!$H$5:$BE$10004,3936-4,'Visual SPC'!$B$3)="",0,IF(AND(OR('Visual SPC'!$C$4="",'Data Entry'!$C3936&gt;='Visual SPC'!$C$4),OR('Visual SPC'!$E$4="",'Data Entry'!$C3936&lt;='Visual SPC'!$E$4),OR('Visual SPC'!$G$4="",'Data Entry'!$D3936='Visual SPC'!$G$4),OR('Visual SPC'!$I$4="",'Data Entry'!$E3936='Visual SPC'!$I$4),OR('Visual SPC'!$K$4="",'Data Entry'!$F3936='Visual SPC'!$K$4)),1,0))</f>
        <v/>
      </c>
      <c r="C3936">
        <f>C3935+B3936</f>
        <v/>
      </c>
      <c r="D3936">
        <f>IF(B3936=1,INDEX('Data Entry'!$H$5:$BE$10004,3936-4,'Visual SPC'!$B$3),"")</f>
        <v/>
      </c>
      <c r="E3936">
        <f>IF(B3936=1,D3936,E3935)</f>
        <v/>
      </c>
      <c r="F3936">
        <f>IF(AND(B3936=1,C3936&gt;1,E3935&lt;&gt;""),ABS(D3936-E3935),"")</f>
        <v/>
      </c>
    </row>
    <row r="3937">
      <c r="A3937" t="n">
        <v>3937</v>
      </c>
      <c r="B3937">
        <f>IF(INDEX('Data Entry'!$H$5:$BE$10004,3937-4,'Visual SPC'!$B$3)="",0,IF(AND(OR('Visual SPC'!$C$4="",'Data Entry'!$C3937&gt;='Visual SPC'!$C$4),OR('Visual SPC'!$E$4="",'Data Entry'!$C3937&lt;='Visual SPC'!$E$4),OR('Visual SPC'!$G$4="",'Data Entry'!$D3937='Visual SPC'!$G$4),OR('Visual SPC'!$I$4="",'Data Entry'!$E3937='Visual SPC'!$I$4),OR('Visual SPC'!$K$4="",'Data Entry'!$F3937='Visual SPC'!$K$4)),1,0))</f>
        <v/>
      </c>
      <c r="C3937">
        <f>C3936+B3937</f>
        <v/>
      </c>
      <c r="D3937">
        <f>IF(B3937=1,INDEX('Data Entry'!$H$5:$BE$10004,3937-4,'Visual SPC'!$B$3),"")</f>
        <v/>
      </c>
      <c r="E3937">
        <f>IF(B3937=1,D3937,E3936)</f>
        <v/>
      </c>
      <c r="F3937">
        <f>IF(AND(B3937=1,C3937&gt;1,E3936&lt;&gt;""),ABS(D3937-E3936),"")</f>
        <v/>
      </c>
    </row>
    <row r="3938">
      <c r="A3938" t="n">
        <v>3938</v>
      </c>
      <c r="B3938">
        <f>IF(INDEX('Data Entry'!$H$5:$BE$10004,3938-4,'Visual SPC'!$B$3)="",0,IF(AND(OR('Visual SPC'!$C$4="",'Data Entry'!$C3938&gt;='Visual SPC'!$C$4),OR('Visual SPC'!$E$4="",'Data Entry'!$C3938&lt;='Visual SPC'!$E$4),OR('Visual SPC'!$G$4="",'Data Entry'!$D3938='Visual SPC'!$G$4),OR('Visual SPC'!$I$4="",'Data Entry'!$E3938='Visual SPC'!$I$4),OR('Visual SPC'!$K$4="",'Data Entry'!$F3938='Visual SPC'!$K$4)),1,0))</f>
        <v/>
      </c>
      <c r="C3938">
        <f>C3937+B3938</f>
        <v/>
      </c>
      <c r="D3938">
        <f>IF(B3938=1,INDEX('Data Entry'!$H$5:$BE$10004,3938-4,'Visual SPC'!$B$3),"")</f>
        <v/>
      </c>
      <c r="E3938">
        <f>IF(B3938=1,D3938,E3937)</f>
        <v/>
      </c>
      <c r="F3938">
        <f>IF(AND(B3938=1,C3938&gt;1,E3937&lt;&gt;""),ABS(D3938-E3937),"")</f>
        <v/>
      </c>
    </row>
    <row r="3939">
      <c r="A3939" t="n">
        <v>3939</v>
      </c>
      <c r="B3939">
        <f>IF(INDEX('Data Entry'!$H$5:$BE$10004,3939-4,'Visual SPC'!$B$3)="",0,IF(AND(OR('Visual SPC'!$C$4="",'Data Entry'!$C3939&gt;='Visual SPC'!$C$4),OR('Visual SPC'!$E$4="",'Data Entry'!$C3939&lt;='Visual SPC'!$E$4),OR('Visual SPC'!$G$4="",'Data Entry'!$D3939='Visual SPC'!$G$4),OR('Visual SPC'!$I$4="",'Data Entry'!$E3939='Visual SPC'!$I$4),OR('Visual SPC'!$K$4="",'Data Entry'!$F3939='Visual SPC'!$K$4)),1,0))</f>
        <v/>
      </c>
      <c r="C3939">
        <f>C3938+B3939</f>
        <v/>
      </c>
      <c r="D3939">
        <f>IF(B3939=1,INDEX('Data Entry'!$H$5:$BE$10004,3939-4,'Visual SPC'!$B$3),"")</f>
        <v/>
      </c>
      <c r="E3939">
        <f>IF(B3939=1,D3939,E3938)</f>
        <v/>
      </c>
      <c r="F3939">
        <f>IF(AND(B3939=1,C3939&gt;1,E3938&lt;&gt;""),ABS(D3939-E3938),"")</f>
        <v/>
      </c>
    </row>
    <row r="3940">
      <c r="A3940" t="n">
        <v>3940</v>
      </c>
      <c r="B3940">
        <f>IF(INDEX('Data Entry'!$H$5:$BE$10004,3940-4,'Visual SPC'!$B$3)="",0,IF(AND(OR('Visual SPC'!$C$4="",'Data Entry'!$C3940&gt;='Visual SPC'!$C$4),OR('Visual SPC'!$E$4="",'Data Entry'!$C3940&lt;='Visual SPC'!$E$4),OR('Visual SPC'!$G$4="",'Data Entry'!$D3940='Visual SPC'!$G$4),OR('Visual SPC'!$I$4="",'Data Entry'!$E3940='Visual SPC'!$I$4),OR('Visual SPC'!$K$4="",'Data Entry'!$F3940='Visual SPC'!$K$4)),1,0))</f>
        <v/>
      </c>
      <c r="C3940">
        <f>C3939+B3940</f>
        <v/>
      </c>
      <c r="D3940">
        <f>IF(B3940=1,INDEX('Data Entry'!$H$5:$BE$10004,3940-4,'Visual SPC'!$B$3),"")</f>
        <v/>
      </c>
      <c r="E3940">
        <f>IF(B3940=1,D3940,E3939)</f>
        <v/>
      </c>
      <c r="F3940">
        <f>IF(AND(B3940=1,C3940&gt;1,E3939&lt;&gt;""),ABS(D3940-E3939),"")</f>
        <v/>
      </c>
    </row>
    <row r="3941">
      <c r="A3941" t="n">
        <v>3941</v>
      </c>
      <c r="B3941">
        <f>IF(INDEX('Data Entry'!$H$5:$BE$10004,3941-4,'Visual SPC'!$B$3)="",0,IF(AND(OR('Visual SPC'!$C$4="",'Data Entry'!$C3941&gt;='Visual SPC'!$C$4),OR('Visual SPC'!$E$4="",'Data Entry'!$C3941&lt;='Visual SPC'!$E$4),OR('Visual SPC'!$G$4="",'Data Entry'!$D3941='Visual SPC'!$G$4),OR('Visual SPC'!$I$4="",'Data Entry'!$E3941='Visual SPC'!$I$4),OR('Visual SPC'!$K$4="",'Data Entry'!$F3941='Visual SPC'!$K$4)),1,0))</f>
        <v/>
      </c>
      <c r="C3941">
        <f>C3940+B3941</f>
        <v/>
      </c>
      <c r="D3941">
        <f>IF(B3941=1,INDEX('Data Entry'!$H$5:$BE$10004,3941-4,'Visual SPC'!$B$3),"")</f>
        <v/>
      </c>
      <c r="E3941">
        <f>IF(B3941=1,D3941,E3940)</f>
        <v/>
      </c>
      <c r="F3941">
        <f>IF(AND(B3941=1,C3941&gt;1,E3940&lt;&gt;""),ABS(D3941-E3940),"")</f>
        <v/>
      </c>
    </row>
    <row r="3942">
      <c r="A3942" t="n">
        <v>3942</v>
      </c>
      <c r="B3942">
        <f>IF(INDEX('Data Entry'!$H$5:$BE$10004,3942-4,'Visual SPC'!$B$3)="",0,IF(AND(OR('Visual SPC'!$C$4="",'Data Entry'!$C3942&gt;='Visual SPC'!$C$4),OR('Visual SPC'!$E$4="",'Data Entry'!$C3942&lt;='Visual SPC'!$E$4),OR('Visual SPC'!$G$4="",'Data Entry'!$D3942='Visual SPC'!$G$4),OR('Visual SPC'!$I$4="",'Data Entry'!$E3942='Visual SPC'!$I$4),OR('Visual SPC'!$K$4="",'Data Entry'!$F3942='Visual SPC'!$K$4)),1,0))</f>
        <v/>
      </c>
      <c r="C3942">
        <f>C3941+B3942</f>
        <v/>
      </c>
      <c r="D3942">
        <f>IF(B3942=1,INDEX('Data Entry'!$H$5:$BE$10004,3942-4,'Visual SPC'!$B$3),"")</f>
        <v/>
      </c>
      <c r="E3942">
        <f>IF(B3942=1,D3942,E3941)</f>
        <v/>
      </c>
      <c r="F3942">
        <f>IF(AND(B3942=1,C3942&gt;1,E3941&lt;&gt;""),ABS(D3942-E3941),"")</f>
        <v/>
      </c>
    </row>
    <row r="3943">
      <c r="A3943" t="n">
        <v>3943</v>
      </c>
      <c r="B3943">
        <f>IF(INDEX('Data Entry'!$H$5:$BE$10004,3943-4,'Visual SPC'!$B$3)="",0,IF(AND(OR('Visual SPC'!$C$4="",'Data Entry'!$C3943&gt;='Visual SPC'!$C$4),OR('Visual SPC'!$E$4="",'Data Entry'!$C3943&lt;='Visual SPC'!$E$4),OR('Visual SPC'!$G$4="",'Data Entry'!$D3943='Visual SPC'!$G$4),OR('Visual SPC'!$I$4="",'Data Entry'!$E3943='Visual SPC'!$I$4),OR('Visual SPC'!$K$4="",'Data Entry'!$F3943='Visual SPC'!$K$4)),1,0))</f>
        <v/>
      </c>
      <c r="C3943">
        <f>C3942+B3943</f>
        <v/>
      </c>
      <c r="D3943">
        <f>IF(B3943=1,INDEX('Data Entry'!$H$5:$BE$10004,3943-4,'Visual SPC'!$B$3),"")</f>
        <v/>
      </c>
      <c r="E3943">
        <f>IF(B3943=1,D3943,E3942)</f>
        <v/>
      </c>
      <c r="F3943">
        <f>IF(AND(B3943=1,C3943&gt;1,E3942&lt;&gt;""),ABS(D3943-E3942),"")</f>
        <v/>
      </c>
    </row>
    <row r="3944">
      <c r="A3944" t="n">
        <v>3944</v>
      </c>
      <c r="B3944">
        <f>IF(INDEX('Data Entry'!$H$5:$BE$10004,3944-4,'Visual SPC'!$B$3)="",0,IF(AND(OR('Visual SPC'!$C$4="",'Data Entry'!$C3944&gt;='Visual SPC'!$C$4),OR('Visual SPC'!$E$4="",'Data Entry'!$C3944&lt;='Visual SPC'!$E$4),OR('Visual SPC'!$G$4="",'Data Entry'!$D3944='Visual SPC'!$G$4),OR('Visual SPC'!$I$4="",'Data Entry'!$E3944='Visual SPC'!$I$4),OR('Visual SPC'!$K$4="",'Data Entry'!$F3944='Visual SPC'!$K$4)),1,0))</f>
        <v/>
      </c>
      <c r="C3944">
        <f>C3943+B3944</f>
        <v/>
      </c>
      <c r="D3944">
        <f>IF(B3944=1,INDEX('Data Entry'!$H$5:$BE$10004,3944-4,'Visual SPC'!$B$3),"")</f>
        <v/>
      </c>
      <c r="E3944">
        <f>IF(B3944=1,D3944,E3943)</f>
        <v/>
      </c>
      <c r="F3944">
        <f>IF(AND(B3944=1,C3944&gt;1,E3943&lt;&gt;""),ABS(D3944-E3943),"")</f>
        <v/>
      </c>
    </row>
    <row r="3945">
      <c r="A3945" t="n">
        <v>3945</v>
      </c>
      <c r="B3945">
        <f>IF(INDEX('Data Entry'!$H$5:$BE$10004,3945-4,'Visual SPC'!$B$3)="",0,IF(AND(OR('Visual SPC'!$C$4="",'Data Entry'!$C3945&gt;='Visual SPC'!$C$4),OR('Visual SPC'!$E$4="",'Data Entry'!$C3945&lt;='Visual SPC'!$E$4),OR('Visual SPC'!$G$4="",'Data Entry'!$D3945='Visual SPC'!$G$4),OR('Visual SPC'!$I$4="",'Data Entry'!$E3945='Visual SPC'!$I$4),OR('Visual SPC'!$K$4="",'Data Entry'!$F3945='Visual SPC'!$K$4)),1,0))</f>
        <v/>
      </c>
      <c r="C3945">
        <f>C3944+B3945</f>
        <v/>
      </c>
      <c r="D3945">
        <f>IF(B3945=1,INDEX('Data Entry'!$H$5:$BE$10004,3945-4,'Visual SPC'!$B$3),"")</f>
        <v/>
      </c>
      <c r="E3945">
        <f>IF(B3945=1,D3945,E3944)</f>
        <v/>
      </c>
      <c r="F3945">
        <f>IF(AND(B3945=1,C3945&gt;1,E3944&lt;&gt;""),ABS(D3945-E3944),"")</f>
        <v/>
      </c>
    </row>
    <row r="3946">
      <c r="A3946" t="n">
        <v>3946</v>
      </c>
      <c r="B3946">
        <f>IF(INDEX('Data Entry'!$H$5:$BE$10004,3946-4,'Visual SPC'!$B$3)="",0,IF(AND(OR('Visual SPC'!$C$4="",'Data Entry'!$C3946&gt;='Visual SPC'!$C$4),OR('Visual SPC'!$E$4="",'Data Entry'!$C3946&lt;='Visual SPC'!$E$4),OR('Visual SPC'!$G$4="",'Data Entry'!$D3946='Visual SPC'!$G$4),OR('Visual SPC'!$I$4="",'Data Entry'!$E3946='Visual SPC'!$I$4),OR('Visual SPC'!$K$4="",'Data Entry'!$F3946='Visual SPC'!$K$4)),1,0))</f>
        <v/>
      </c>
      <c r="C3946">
        <f>C3945+B3946</f>
        <v/>
      </c>
      <c r="D3946">
        <f>IF(B3946=1,INDEX('Data Entry'!$H$5:$BE$10004,3946-4,'Visual SPC'!$B$3),"")</f>
        <v/>
      </c>
      <c r="E3946">
        <f>IF(B3946=1,D3946,E3945)</f>
        <v/>
      </c>
      <c r="F3946">
        <f>IF(AND(B3946=1,C3946&gt;1,E3945&lt;&gt;""),ABS(D3946-E3945),"")</f>
        <v/>
      </c>
    </row>
    <row r="3947">
      <c r="A3947" t="n">
        <v>3947</v>
      </c>
      <c r="B3947">
        <f>IF(INDEX('Data Entry'!$H$5:$BE$10004,3947-4,'Visual SPC'!$B$3)="",0,IF(AND(OR('Visual SPC'!$C$4="",'Data Entry'!$C3947&gt;='Visual SPC'!$C$4),OR('Visual SPC'!$E$4="",'Data Entry'!$C3947&lt;='Visual SPC'!$E$4),OR('Visual SPC'!$G$4="",'Data Entry'!$D3947='Visual SPC'!$G$4),OR('Visual SPC'!$I$4="",'Data Entry'!$E3947='Visual SPC'!$I$4),OR('Visual SPC'!$K$4="",'Data Entry'!$F3947='Visual SPC'!$K$4)),1,0))</f>
        <v/>
      </c>
      <c r="C3947">
        <f>C3946+B3947</f>
        <v/>
      </c>
      <c r="D3947">
        <f>IF(B3947=1,INDEX('Data Entry'!$H$5:$BE$10004,3947-4,'Visual SPC'!$B$3),"")</f>
        <v/>
      </c>
      <c r="E3947">
        <f>IF(B3947=1,D3947,E3946)</f>
        <v/>
      </c>
      <c r="F3947">
        <f>IF(AND(B3947=1,C3947&gt;1,E3946&lt;&gt;""),ABS(D3947-E3946),"")</f>
        <v/>
      </c>
    </row>
    <row r="3948">
      <c r="A3948" t="n">
        <v>3948</v>
      </c>
      <c r="B3948">
        <f>IF(INDEX('Data Entry'!$H$5:$BE$10004,3948-4,'Visual SPC'!$B$3)="",0,IF(AND(OR('Visual SPC'!$C$4="",'Data Entry'!$C3948&gt;='Visual SPC'!$C$4),OR('Visual SPC'!$E$4="",'Data Entry'!$C3948&lt;='Visual SPC'!$E$4),OR('Visual SPC'!$G$4="",'Data Entry'!$D3948='Visual SPC'!$G$4),OR('Visual SPC'!$I$4="",'Data Entry'!$E3948='Visual SPC'!$I$4),OR('Visual SPC'!$K$4="",'Data Entry'!$F3948='Visual SPC'!$K$4)),1,0))</f>
        <v/>
      </c>
      <c r="C3948">
        <f>C3947+B3948</f>
        <v/>
      </c>
      <c r="D3948">
        <f>IF(B3948=1,INDEX('Data Entry'!$H$5:$BE$10004,3948-4,'Visual SPC'!$B$3),"")</f>
        <v/>
      </c>
      <c r="E3948">
        <f>IF(B3948=1,D3948,E3947)</f>
        <v/>
      </c>
      <c r="F3948">
        <f>IF(AND(B3948=1,C3948&gt;1,E3947&lt;&gt;""),ABS(D3948-E3947),"")</f>
        <v/>
      </c>
    </row>
    <row r="3949">
      <c r="A3949" t="n">
        <v>3949</v>
      </c>
      <c r="B3949">
        <f>IF(INDEX('Data Entry'!$H$5:$BE$10004,3949-4,'Visual SPC'!$B$3)="",0,IF(AND(OR('Visual SPC'!$C$4="",'Data Entry'!$C3949&gt;='Visual SPC'!$C$4),OR('Visual SPC'!$E$4="",'Data Entry'!$C3949&lt;='Visual SPC'!$E$4),OR('Visual SPC'!$G$4="",'Data Entry'!$D3949='Visual SPC'!$G$4),OR('Visual SPC'!$I$4="",'Data Entry'!$E3949='Visual SPC'!$I$4),OR('Visual SPC'!$K$4="",'Data Entry'!$F3949='Visual SPC'!$K$4)),1,0))</f>
        <v/>
      </c>
      <c r="C3949">
        <f>C3948+B3949</f>
        <v/>
      </c>
      <c r="D3949">
        <f>IF(B3949=1,INDEX('Data Entry'!$H$5:$BE$10004,3949-4,'Visual SPC'!$B$3),"")</f>
        <v/>
      </c>
      <c r="E3949">
        <f>IF(B3949=1,D3949,E3948)</f>
        <v/>
      </c>
      <c r="F3949">
        <f>IF(AND(B3949=1,C3949&gt;1,E3948&lt;&gt;""),ABS(D3949-E3948),"")</f>
        <v/>
      </c>
    </row>
    <row r="3950">
      <c r="A3950" t="n">
        <v>3950</v>
      </c>
      <c r="B3950">
        <f>IF(INDEX('Data Entry'!$H$5:$BE$10004,3950-4,'Visual SPC'!$B$3)="",0,IF(AND(OR('Visual SPC'!$C$4="",'Data Entry'!$C3950&gt;='Visual SPC'!$C$4),OR('Visual SPC'!$E$4="",'Data Entry'!$C3950&lt;='Visual SPC'!$E$4),OR('Visual SPC'!$G$4="",'Data Entry'!$D3950='Visual SPC'!$G$4),OR('Visual SPC'!$I$4="",'Data Entry'!$E3950='Visual SPC'!$I$4),OR('Visual SPC'!$K$4="",'Data Entry'!$F3950='Visual SPC'!$K$4)),1,0))</f>
        <v/>
      </c>
      <c r="C3950">
        <f>C3949+B3950</f>
        <v/>
      </c>
      <c r="D3950">
        <f>IF(B3950=1,INDEX('Data Entry'!$H$5:$BE$10004,3950-4,'Visual SPC'!$B$3),"")</f>
        <v/>
      </c>
      <c r="E3950">
        <f>IF(B3950=1,D3950,E3949)</f>
        <v/>
      </c>
      <c r="F3950">
        <f>IF(AND(B3950=1,C3950&gt;1,E3949&lt;&gt;""),ABS(D3950-E3949),"")</f>
        <v/>
      </c>
    </row>
    <row r="3951">
      <c r="A3951" t="n">
        <v>3951</v>
      </c>
      <c r="B3951">
        <f>IF(INDEX('Data Entry'!$H$5:$BE$10004,3951-4,'Visual SPC'!$B$3)="",0,IF(AND(OR('Visual SPC'!$C$4="",'Data Entry'!$C3951&gt;='Visual SPC'!$C$4),OR('Visual SPC'!$E$4="",'Data Entry'!$C3951&lt;='Visual SPC'!$E$4),OR('Visual SPC'!$G$4="",'Data Entry'!$D3951='Visual SPC'!$G$4),OR('Visual SPC'!$I$4="",'Data Entry'!$E3951='Visual SPC'!$I$4),OR('Visual SPC'!$K$4="",'Data Entry'!$F3951='Visual SPC'!$K$4)),1,0))</f>
        <v/>
      </c>
      <c r="C3951">
        <f>C3950+B3951</f>
        <v/>
      </c>
      <c r="D3951">
        <f>IF(B3951=1,INDEX('Data Entry'!$H$5:$BE$10004,3951-4,'Visual SPC'!$B$3),"")</f>
        <v/>
      </c>
      <c r="E3951">
        <f>IF(B3951=1,D3951,E3950)</f>
        <v/>
      </c>
      <c r="F3951">
        <f>IF(AND(B3951=1,C3951&gt;1,E3950&lt;&gt;""),ABS(D3951-E3950),"")</f>
        <v/>
      </c>
    </row>
    <row r="3952">
      <c r="A3952" t="n">
        <v>3952</v>
      </c>
      <c r="B3952">
        <f>IF(INDEX('Data Entry'!$H$5:$BE$10004,3952-4,'Visual SPC'!$B$3)="",0,IF(AND(OR('Visual SPC'!$C$4="",'Data Entry'!$C3952&gt;='Visual SPC'!$C$4),OR('Visual SPC'!$E$4="",'Data Entry'!$C3952&lt;='Visual SPC'!$E$4),OR('Visual SPC'!$G$4="",'Data Entry'!$D3952='Visual SPC'!$G$4),OR('Visual SPC'!$I$4="",'Data Entry'!$E3952='Visual SPC'!$I$4),OR('Visual SPC'!$K$4="",'Data Entry'!$F3952='Visual SPC'!$K$4)),1,0))</f>
        <v/>
      </c>
      <c r="C3952">
        <f>C3951+B3952</f>
        <v/>
      </c>
      <c r="D3952">
        <f>IF(B3952=1,INDEX('Data Entry'!$H$5:$BE$10004,3952-4,'Visual SPC'!$B$3),"")</f>
        <v/>
      </c>
      <c r="E3952">
        <f>IF(B3952=1,D3952,E3951)</f>
        <v/>
      </c>
      <c r="F3952">
        <f>IF(AND(B3952=1,C3952&gt;1,E3951&lt;&gt;""),ABS(D3952-E3951),"")</f>
        <v/>
      </c>
    </row>
    <row r="3953">
      <c r="A3953" t="n">
        <v>3953</v>
      </c>
      <c r="B3953">
        <f>IF(INDEX('Data Entry'!$H$5:$BE$10004,3953-4,'Visual SPC'!$B$3)="",0,IF(AND(OR('Visual SPC'!$C$4="",'Data Entry'!$C3953&gt;='Visual SPC'!$C$4),OR('Visual SPC'!$E$4="",'Data Entry'!$C3953&lt;='Visual SPC'!$E$4),OR('Visual SPC'!$G$4="",'Data Entry'!$D3953='Visual SPC'!$G$4),OR('Visual SPC'!$I$4="",'Data Entry'!$E3953='Visual SPC'!$I$4),OR('Visual SPC'!$K$4="",'Data Entry'!$F3953='Visual SPC'!$K$4)),1,0))</f>
        <v/>
      </c>
      <c r="C3953">
        <f>C3952+B3953</f>
        <v/>
      </c>
      <c r="D3953">
        <f>IF(B3953=1,INDEX('Data Entry'!$H$5:$BE$10004,3953-4,'Visual SPC'!$B$3),"")</f>
        <v/>
      </c>
      <c r="E3953">
        <f>IF(B3953=1,D3953,E3952)</f>
        <v/>
      </c>
      <c r="F3953">
        <f>IF(AND(B3953=1,C3953&gt;1,E3952&lt;&gt;""),ABS(D3953-E3952),"")</f>
        <v/>
      </c>
    </row>
    <row r="3954">
      <c r="A3954" t="n">
        <v>3954</v>
      </c>
      <c r="B3954">
        <f>IF(INDEX('Data Entry'!$H$5:$BE$10004,3954-4,'Visual SPC'!$B$3)="",0,IF(AND(OR('Visual SPC'!$C$4="",'Data Entry'!$C3954&gt;='Visual SPC'!$C$4),OR('Visual SPC'!$E$4="",'Data Entry'!$C3954&lt;='Visual SPC'!$E$4),OR('Visual SPC'!$G$4="",'Data Entry'!$D3954='Visual SPC'!$G$4),OR('Visual SPC'!$I$4="",'Data Entry'!$E3954='Visual SPC'!$I$4),OR('Visual SPC'!$K$4="",'Data Entry'!$F3954='Visual SPC'!$K$4)),1,0))</f>
        <v/>
      </c>
      <c r="C3954">
        <f>C3953+B3954</f>
        <v/>
      </c>
      <c r="D3954">
        <f>IF(B3954=1,INDEX('Data Entry'!$H$5:$BE$10004,3954-4,'Visual SPC'!$B$3),"")</f>
        <v/>
      </c>
      <c r="E3954">
        <f>IF(B3954=1,D3954,E3953)</f>
        <v/>
      </c>
      <c r="F3954">
        <f>IF(AND(B3954=1,C3954&gt;1,E3953&lt;&gt;""),ABS(D3954-E3953),"")</f>
        <v/>
      </c>
    </row>
    <row r="3955">
      <c r="A3955" t="n">
        <v>3955</v>
      </c>
      <c r="B3955">
        <f>IF(INDEX('Data Entry'!$H$5:$BE$10004,3955-4,'Visual SPC'!$B$3)="",0,IF(AND(OR('Visual SPC'!$C$4="",'Data Entry'!$C3955&gt;='Visual SPC'!$C$4),OR('Visual SPC'!$E$4="",'Data Entry'!$C3955&lt;='Visual SPC'!$E$4),OR('Visual SPC'!$G$4="",'Data Entry'!$D3955='Visual SPC'!$G$4),OR('Visual SPC'!$I$4="",'Data Entry'!$E3955='Visual SPC'!$I$4),OR('Visual SPC'!$K$4="",'Data Entry'!$F3955='Visual SPC'!$K$4)),1,0))</f>
        <v/>
      </c>
      <c r="C3955">
        <f>C3954+B3955</f>
        <v/>
      </c>
      <c r="D3955">
        <f>IF(B3955=1,INDEX('Data Entry'!$H$5:$BE$10004,3955-4,'Visual SPC'!$B$3),"")</f>
        <v/>
      </c>
      <c r="E3955">
        <f>IF(B3955=1,D3955,E3954)</f>
        <v/>
      </c>
      <c r="F3955">
        <f>IF(AND(B3955=1,C3955&gt;1,E3954&lt;&gt;""),ABS(D3955-E3954),"")</f>
        <v/>
      </c>
    </row>
    <row r="3956">
      <c r="A3956" t="n">
        <v>3956</v>
      </c>
      <c r="B3956">
        <f>IF(INDEX('Data Entry'!$H$5:$BE$10004,3956-4,'Visual SPC'!$B$3)="",0,IF(AND(OR('Visual SPC'!$C$4="",'Data Entry'!$C3956&gt;='Visual SPC'!$C$4),OR('Visual SPC'!$E$4="",'Data Entry'!$C3956&lt;='Visual SPC'!$E$4),OR('Visual SPC'!$G$4="",'Data Entry'!$D3956='Visual SPC'!$G$4),OR('Visual SPC'!$I$4="",'Data Entry'!$E3956='Visual SPC'!$I$4),OR('Visual SPC'!$K$4="",'Data Entry'!$F3956='Visual SPC'!$K$4)),1,0))</f>
        <v/>
      </c>
      <c r="C3956">
        <f>C3955+B3956</f>
        <v/>
      </c>
      <c r="D3956">
        <f>IF(B3956=1,INDEX('Data Entry'!$H$5:$BE$10004,3956-4,'Visual SPC'!$B$3),"")</f>
        <v/>
      </c>
      <c r="E3956">
        <f>IF(B3956=1,D3956,E3955)</f>
        <v/>
      </c>
      <c r="F3956">
        <f>IF(AND(B3956=1,C3956&gt;1,E3955&lt;&gt;""),ABS(D3956-E3955),"")</f>
        <v/>
      </c>
    </row>
    <row r="3957">
      <c r="A3957" t="n">
        <v>3957</v>
      </c>
      <c r="B3957">
        <f>IF(INDEX('Data Entry'!$H$5:$BE$10004,3957-4,'Visual SPC'!$B$3)="",0,IF(AND(OR('Visual SPC'!$C$4="",'Data Entry'!$C3957&gt;='Visual SPC'!$C$4),OR('Visual SPC'!$E$4="",'Data Entry'!$C3957&lt;='Visual SPC'!$E$4),OR('Visual SPC'!$G$4="",'Data Entry'!$D3957='Visual SPC'!$G$4),OR('Visual SPC'!$I$4="",'Data Entry'!$E3957='Visual SPC'!$I$4),OR('Visual SPC'!$K$4="",'Data Entry'!$F3957='Visual SPC'!$K$4)),1,0))</f>
        <v/>
      </c>
      <c r="C3957">
        <f>C3956+B3957</f>
        <v/>
      </c>
      <c r="D3957">
        <f>IF(B3957=1,INDEX('Data Entry'!$H$5:$BE$10004,3957-4,'Visual SPC'!$B$3),"")</f>
        <v/>
      </c>
      <c r="E3957">
        <f>IF(B3957=1,D3957,E3956)</f>
        <v/>
      </c>
      <c r="F3957">
        <f>IF(AND(B3957=1,C3957&gt;1,E3956&lt;&gt;""),ABS(D3957-E3956),"")</f>
        <v/>
      </c>
    </row>
    <row r="3958">
      <c r="A3958" t="n">
        <v>3958</v>
      </c>
      <c r="B3958">
        <f>IF(INDEX('Data Entry'!$H$5:$BE$10004,3958-4,'Visual SPC'!$B$3)="",0,IF(AND(OR('Visual SPC'!$C$4="",'Data Entry'!$C3958&gt;='Visual SPC'!$C$4),OR('Visual SPC'!$E$4="",'Data Entry'!$C3958&lt;='Visual SPC'!$E$4),OR('Visual SPC'!$G$4="",'Data Entry'!$D3958='Visual SPC'!$G$4),OR('Visual SPC'!$I$4="",'Data Entry'!$E3958='Visual SPC'!$I$4),OR('Visual SPC'!$K$4="",'Data Entry'!$F3958='Visual SPC'!$K$4)),1,0))</f>
        <v/>
      </c>
      <c r="C3958">
        <f>C3957+B3958</f>
        <v/>
      </c>
      <c r="D3958">
        <f>IF(B3958=1,INDEX('Data Entry'!$H$5:$BE$10004,3958-4,'Visual SPC'!$B$3),"")</f>
        <v/>
      </c>
      <c r="E3958">
        <f>IF(B3958=1,D3958,E3957)</f>
        <v/>
      </c>
      <c r="F3958">
        <f>IF(AND(B3958=1,C3958&gt;1,E3957&lt;&gt;""),ABS(D3958-E3957),"")</f>
        <v/>
      </c>
    </row>
    <row r="3959">
      <c r="A3959" t="n">
        <v>3959</v>
      </c>
      <c r="B3959">
        <f>IF(INDEX('Data Entry'!$H$5:$BE$10004,3959-4,'Visual SPC'!$B$3)="",0,IF(AND(OR('Visual SPC'!$C$4="",'Data Entry'!$C3959&gt;='Visual SPC'!$C$4),OR('Visual SPC'!$E$4="",'Data Entry'!$C3959&lt;='Visual SPC'!$E$4),OR('Visual SPC'!$G$4="",'Data Entry'!$D3959='Visual SPC'!$G$4),OR('Visual SPC'!$I$4="",'Data Entry'!$E3959='Visual SPC'!$I$4),OR('Visual SPC'!$K$4="",'Data Entry'!$F3959='Visual SPC'!$K$4)),1,0))</f>
        <v/>
      </c>
      <c r="C3959">
        <f>C3958+B3959</f>
        <v/>
      </c>
      <c r="D3959">
        <f>IF(B3959=1,INDEX('Data Entry'!$H$5:$BE$10004,3959-4,'Visual SPC'!$B$3),"")</f>
        <v/>
      </c>
      <c r="E3959">
        <f>IF(B3959=1,D3959,E3958)</f>
        <v/>
      </c>
      <c r="F3959">
        <f>IF(AND(B3959=1,C3959&gt;1,E3958&lt;&gt;""),ABS(D3959-E3958),"")</f>
        <v/>
      </c>
    </row>
    <row r="3960">
      <c r="A3960" t="n">
        <v>3960</v>
      </c>
      <c r="B3960">
        <f>IF(INDEX('Data Entry'!$H$5:$BE$10004,3960-4,'Visual SPC'!$B$3)="",0,IF(AND(OR('Visual SPC'!$C$4="",'Data Entry'!$C3960&gt;='Visual SPC'!$C$4),OR('Visual SPC'!$E$4="",'Data Entry'!$C3960&lt;='Visual SPC'!$E$4),OR('Visual SPC'!$G$4="",'Data Entry'!$D3960='Visual SPC'!$G$4),OR('Visual SPC'!$I$4="",'Data Entry'!$E3960='Visual SPC'!$I$4),OR('Visual SPC'!$K$4="",'Data Entry'!$F3960='Visual SPC'!$K$4)),1,0))</f>
        <v/>
      </c>
      <c r="C3960">
        <f>C3959+B3960</f>
        <v/>
      </c>
      <c r="D3960">
        <f>IF(B3960=1,INDEX('Data Entry'!$H$5:$BE$10004,3960-4,'Visual SPC'!$B$3),"")</f>
        <v/>
      </c>
      <c r="E3960">
        <f>IF(B3960=1,D3960,E3959)</f>
        <v/>
      </c>
      <c r="F3960">
        <f>IF(AND(B3960=1,C3960&gt;1,E3959&lt;&gt;""),ABS(D3960-E3959),"")</f>
        <v/>
      </c>
    </row>
    <row r="3961">
      <c r="A3961" t="n">
        <v>3961</v>
      </c>
      <c r="B3961">
        <f>IF(INDEX('Data Entry'!$H$5:$BE$10004,3961-4,'Visual SPC'!$B$3)="",0,IF(AND(OR('Visual SPC'!$C$4="",'Data Entry'!$C3961&gt;='Visual SPC'!$C$4),OR('Visual SPC'!$E$4="",'Data Entry'!$C3961&lt;='Visual SPC'!$E$4),OR('Visual SPC'!$G$4="",'Data Entry'!$D3961='Visual SPC'!$G$4),OR('Visual SPC'!$I$4="",'Data Entry'!$E3961='Visual SPC'!$I$4),OR('Visual SPC'!$K$4="",'Data Entry'!$F3961='Visual SPC'!$K$4)),1,0))</f>
        <v/>
      </c>
      <c r="C3961">
        <f>C3960+B3961</f>
        <v/>
      </c>
      <c r="D3961">
        <f>IF(B3961=1,INDEX('Data Entry'!$H$5:$BE$10004,3961-4,'Visual SPC'!$B$3),"")</f>
        <v/>
      </c>
      <c r="E3961">
        <f>IF(B3961=1,D3961,E3960)</f>
        <v/>
      </c>
      <c r="F3961">
        <f>IF(AND(B3961=1,C3961&gt;1,E3960&lt;&gt;""),ABS(D3961-E3960),"")</f>
        <v/>
      </c>
    </row>
    <row r="3962">
      <c r="A3962" t="n">
        <v>3962</v>
      </c>
      <c r="B3962">
        <f>IF(INDEX('Data Entry'!$H$5:$BE$10004,3962-4,'Visual SPC'!$B$3)="",0,IF(AND(OR('Visual SPC'!$C$4="",'Data Entry'!$C3962&gt;='Visual SPC'!$C$4),OR('Visual SPC'!$E$4="",'Data Entry'!$C3962&lt;='Visual SPC'!$E$4),OR('Visual SPC'!$G$4="",'Data Entry'!$D3962='Visual SPC'!$G$4),OR('Visual SPC'!$I$4="",'Data Entry'!$E3962='Visual SPC'!$I$4),OR('Visual SPC'!$K$4="",'Data Entry'!$F3962='Visual SPC'!$K$4)),1,0))</f>
        <v/>
      </c>
      <c r="C3962">
        <f>C3961+B3962</f>
        <v/>
      </c>
      <c r="D3962">
        <f>IF(B3962=1,INDEX('Data Entry'!$H$5:$BE$10004,3962-4,'Visual SPC'!$B$3),"")</f>
        <v/>
      </c>
      <c r="E3962">
        <f>IF(B3962=1,D3962,E3961)</f>
        <v/>
      </c>
      <c r="F3962">
        <f>IF(AND(B3962=1,C3962&gt;1,E3961&lt;&gt;""),ABS(D3962-E3961),"")</f>
        <v/>
      </c>
    </row>
    <row r="3963">
      <c r="A3963" t="n">
        <v>3963</v>
      </c>
      <c r="B3963">
        <f>IF(INDEX('Data Entry'!$H$5:$BE$10004,3963-4,'Visual SPC'!$B$3)="",0,IF(AND(OR('Visual SPC'!$C$4="",'Data Entry'!$C3963&gt;='Visual SPC'!$C$4),OR('Visual SPC'!$E$4="",'Data Entry'!$C3963&lt;='Visual SPC'!$E$4),OR('Visual SPC'!$G$4="",'Data Entry'!$D3963='Visual SPC'!$G$4),OR('Visual SPC'!$I$4="",'Data Entry'!$E3963='Visual SPC'!$I$4),OR('Visual SPC'!$K$4="",'Data Entry'!$F3963='Visual SPC'!$K$4)),1,0))</f>
        <v/>
      </c>
      <c r="C3963">
        <f>C3962+B3963</f>
        <v/>
      </c>
      <c r="D3963">
        <f>IF(B3963=1,INDEX('Data Entry'!$H$5:$BE$10004,3963-4,'Visual SPC'!$B$3),"")</f>
        <v/>
      </c>
      <c r="E3963">
        <f>IF(B3963=1,D3963,E3962)</f>
        <v/>
      </c>
      <c r="F3963">
        <f>IF(AND(B3963=1,C3963&gt;1,E3962&lt;&gt;""),ABS(D3963-E3962),"")</f>
        <v/>
      </c>
    </row>
    <row r="3964">
      <c r="A3964" t="n">
        <v>3964</v>
      </c>
      <c r="B3964">
        <f>IF(INDEX('Data Entry'!$H$5:$BE$10004,3964-4,'Visual SPC'!$B$3)="",0,IF(AND(OR('Visual SPC'!$C$4="",'Data Entry'!$C3964&gt;='Visual SPC'!$C$4),OR('Visual SPC'!$E$4="",'Data Entry'!$C3964&lt;='Visual SPC'!$E$4),OR('Visual SPC'!$G$4="",'Data Entry'!$D3964='Visual SPC'!$G$4),OR('Visual SPC'!$I$4="",'Data Entry'!$E3964='Visual SPC'!$I$4),OR('Visual SPC'!$K$4="",'Data Entry'!$F3964='Visual SPC'!$K$4)),1,0))</f>
        <v/>
      </c>
      <c r="C3964">
        <f>C3963+B3964</f>
        <v/>
      </c>
      <c r="D3964">
        <f>IF(B3964=1,INDEX('Data Entry'!$H$5:$BE$10004,3964-4,'Visual SPC'!$B$3),"")</f>
        <v/>
      </c>
      <c r="E3964">
        <f>IF(B3964=1,D3964,E3963)</f>
        <v/>
      </c>
      <c r="F3964">
        <f>IF(AND(B3964=1,C3964&gt;1,E3963&lt;&gt;""),ABS(D3964-E3963),"")</f>
        <v/>
      </c>
    </row>
    <row r="3965">
      <c r="A3965" t="n">
        <v>3965</v>
      </c>
      <c r="B3965">
        <f>IF(INDEX('Data Entry'!$H$5:$BE$10004,3965-4,'Visual SPC'!$B$3)="",0,IF(AND(OR('Visual SPC'!$C$4="",'Data Entry'!$C3965&gt;='Visual SPC'!$C$4),OR('Visual SPC'!$E$4="",'Data Entry'!$C3965&lt;='Visual SPC'!$E$4),OR('Visual SPC'!$G$4="",'Data Entry'!$D3965='Visual SPC'!$G$4),OR('Visual SPC'!$I$4="",'Data Entry'!$E3965='Visual SPC'!$I$4),OR('Visual SPC'!$K$4="",'Data Entry'!$F3965='Visual SPC'!$K$4)),1,0))</f>
        <v/>
      </c>
      <c r="C3965">
        <f>C3964+B3965</f>
        <v/>
      </c>
      <c r="D3965">
        <f>IF(B3965=1,INDEX('Data Entry'!$H$5:$BE$10004,3965-4,'Visual SPC'!$B$3),"")</f>
        <v/>
      </c>
      <c r="E3965">
        <f>IF(B3965=1,D3965,E3964)</f>
        <v/>
      </c>
      <c r="F3965">
        <f>IF(AND(B3965=1,C3965&gt;1,E3964&lt;&gt;""),ABS(D3965-E3964),"")</f>
        <v/>
      </c>
    </row>
    <row r="3966">
      <c r="A3966" t="n">
        <v>3966</v>
      </c>
      <c r="B3966">
        <f>IF(INDEX('Data Entry'!$H$5:$BE$10004,3966-4,'Visual SPC'!$B$3)="",0,IF(AND(OR('Visual SPC'!$C$4="",'Data Entry'!$C3966&gt;='Visual SPC'!$C$4),OR('Visual SPC'!$E$4="",'Data Entry'!$C3966&lt;='Visual SPC'!$E$4),OR('Visual SPC'!$G$4="",'Data Entry'!$D3966='Visual SPC'!$G$4),OR('Visual SPC'!$I$4="",'Data Entry'!$E3966='Visual SPC'!$I$4),OR('Visual SPC'!$K$4="",'Data Entry'!$F3966='Visual SPC'!$K$4)),1,0))</f>
        <v/>
      </c>
      <c r="C3966">
        <f>C3965+B3966</f>
        <v/>
      </c>
      <c r="D3966">
        <f>IF(B3966=1,INDEX('Data Entry'!$H$5:$BE$10004,3966-4,'Visual SPC'!$B$3),"")</f>
        <v/>
      </c>
      <c r="E3966">
        <f>IF(B3966=1,D3966,E3965)</f>
        <v/>
      </c>
      <c r="F3966">
        <f>IF(AND(B3966=1,C3966&gt;1,E3965&lt;&gt;""),ABS(D3966-E3965),"")</f>
        <v/>
      </c>
    </row>
    <row r="3967">
      <c r="A3967" t="n">
        <v>3967</v>
      </c>
      <c r="B3967">
        <f>IF(INDEX('Data Entry'!$H$5:$BE$10004,3967-4,'Visual SPC'!$B$3)="",0,IF(AND(OR('Visual SPC'!$C$4="",'Data Entry'!$C3967&gt;='Visual SPC'!$C$4),OR('Visual SPC'!$E$4="",'Data Entry'!$C3967&lt;='Visual SPC'!$E$4),OR('Visual SPC'!$G$4="",'Data Entry'!$D3967='Visual SPC'!$G$4),OR('Visual SPC'!$I$4="",'Data Entry'!$E3967='Visual SPC'!$I$4),OR('Visual SPC'!$K$4="",'Data Entry'!$F3967='Visual SPC'!$K$4)),1,0))</f>
        <v/>
      </c>
      <c r="C3967">
        <f>C3966+B3967</f>
        <v/>
      </c>
      <c r="D3967">
        <f>IF(B3967=1,INDEX('Data Entry'!$H$5:$BE$10004,3967-4,'Visual SPC'!$B$3),"")</f>
        <v/>
      </c>
      <c r="E3967">
        <f>IF(B3967=1,D3967,E3966)</f>
        <v/>
      </c>
      <c r="F3967">
        <f>IF(AND(B3967=1,C3967&gt;1,E3966&lt;&gt;""),ABS(D3967-E3966),"")</f>
        <v/>
      </c>
    </row>
    <row r="3968">
      <c r="A3968" t="n">
        <v>3968</v>
      </c>
      <c r="B3968">
        <f>IF(INDEX('Data Entry'!$H$5:$BE$10004,3968-4,'Visual SPC'!$B$3)="",0,IF(AND(OR('Visual SPC'!$C$4="",'Data Entry'!$C3968&gt;='Visual SPC'!$C$4),OR('Visual SPC'!$E$4="",'Data Entry'!$C3968&lt;='Visual SPC'!$E$4),OR('Visual SPC'!$G$4="",'Data Entry'!$D3968='Visual SPC'!$G$4),OR('Visual SPC'!$I$4="",'Data Entry'!$E3968='Visual SPC'!$I$4),OR('Visual SPC'!$K$4="",'Data Entry'!$F3968='Visual SPC'!$K$4)),1,0))</f>
        <v/>
      </c>
      <c r="C3968">
        <f>C3967+B3968</f>
        <v/>
      </c>
      <c r="D3968">
        <f>IF(B3968=1,INDEX('Data Entry'!$H$5:$BE$10004,3968-4,'Visual SPC'!$B$3),"")</f>
        <v/>
      </c>
      <c r="E3968">
        <f>IF(B3968=1,D3968,E3967)</f>
        <v/>
      </c>
      <c r="F3968">
        <f>IF(AND(B3968=1,C3968&gt;1,E3967&lt;&gt;""),ABS(D3968-E3967),"")</f>
        <v/>
      </c>
    </row>
    <row r="3969">
      <c r="A3969" t="n">
        <v>3969</v>
      </c>
      <c r="B3969">
        <f>IF(INDEX('Data Entry'!$H$5:$BE$10004,3969-4,'Visual SPC'!$B$3)="",0,IF(AND(OR('Visual SPC'!$C$4="",'Data Entry'!$C3969&gt;='Visual SPC'!$C$4),OR('Visual SPC'!$E$4="",'Data Entry'!$C3969&lt;='Visual SPC'!$E$4),OR('Visual SPC'!$G$4="",'Data Entry'!$D3969='Visual SPC'!$G$4),OR('Visual SPC'!$I$4="",'Data Entry'!$E3969='Visual SPC'!$I$4),OR('Visual SPC'!$K$4="",'Data Entry'!$F3969='Visual SPC'!$K$4)),1,0))</f>
        <v/>
      </c>
      <c r="C3969">
        <f>C3968+B3969</f>
        <v/>
      </c>
      <c r="D3969">
        <f>IF(B3969=1,INDEX('Data Entry'!$H$5:$BE$10004,3969-4,'Visual SPC'!$B$3),"")</f>
        <v/>
      </c>
      <c r="E3969">
        <f>IF(B3969=1,D3969,E3968)</f>
        <v/>
      </c>
      <c r="F3969">
        <f>IF(AND(B3969=1,C3969&gt;1,E3968&lt;&gt;""),ABS(D3969-E3968),"")</f>
        <v/>
      </c>
    </row>
    <row r="3970">
      <c r="A3970" t="n">
        <v>3970</v>
      </c>
      <c r="B3970">
        <f>IF(INDEX('Data Entry'!$H$5:$BE$10004,3970-4,'Visual SPC'!$B$3)="",0,IF(AND(OR('Visual SPC'!$C$4="",'Data Entry'!$C3970&gt;='Visual SPC'!$C$4),OR('Visual SPC'!$E$4="",'Data Entry'!$C3970&lt;='Visual SPC'!$E$4),OR('Visual SPC'!$G$4="",'Data Entry'!$D3970='Visual SPC'!$G$4),OR('Visual SPC'!$I$4="",'Data Entry'!$E3970='Visual SPC'!$I$4),OR('Visual SPC'!$K$4="",'Data Entry'!$F3970='Visual SPC'!$K$4)),1,0))</f>
        <v/>
      </c>
      <c r="C3970">
        <f>C3969+B3970</f>
        <v/>
      </c>
      <c r="D3970">
        <f>IF(B3970=1,INDEX('Data Entry'!$H$5:$BE$10004,3970-4,'Visual SPC'!$B$3),"")</f>
        <v/>
      </c>
      <c r="E3970">
        <f>IF(B3970=1,D3970,E3969)</f>
        <v/>
      </c>
      <c r="F3970">
        <f>IF(AND(B3970=1,C3970&gt;1,E3969&lt;&gt;""),ABS(D3970-E3969),"")</f>
        <v/>
      </c>
    </row>
    <row r="3971">
      <c r="A3971" t="n">
        <v>3971</v>
      </c>
      <c r="B3971">
        <f>IF(INDEX('Data Entry'!$H$5:$BE$10004,3971-4,'Visual SPC'!$B$3)="",0,IF(AND(OR('Visual SPC'!$C$4="",'Data Entry'!$C3971&gt;='Visual SPC'!$C$4),OR('Visual SPC'!$E$4="",'Data Entry'!$C3971&lt;='Visual SPC'!$E$4),OR('Visual SPC'!$G$4="",'Data Entry'!$D3971='Visual SPC'!$G$4),OR('Visual SPC'!$I$4="",'Data Entry'!$E3971='Visual SPC'!$I$4),OR('Visual SPC'!$K$4="",'Data Entry'!$F3971='Visual SPC'!$K$4)),1,0))</f>
        <v/>
      </c>
      <c r="C3971">
        <f>C3970+B3971</f>
        <v/>
      </c>
      <c r="D3971">
        <f>IF(B3971=1,INDEX('Data Entry'!$H$5:$BE$10004,3971-4,'Visual SPC'!$B$3),"")</f>
        <v/>
      </c>
      <c r="E3971">
        <f>IF(B3971=1,D3971,E3970)</f>
        <v/>
      </c>
      <c r="F3971">
        <f>IF(AND(B3971=1,C3971&gt;1,E3970&lt;&gt;""),ABS(D3971-E3970),"")</f>
        <v/>
      </c>
    </row>
    <row r="3972">
      <c r="A3972" t="n">
        <v>3972</v>
      </c>
      <c r="B3972">
        <f>IF(INDEX('Data Entry'!$H$5:$BE$10004,3972-4,'Visual SPC'!$B$3)="",0,IF(AND(OR('Visual SPC'!$C$4="",'Data Entry'!$C3972&gt;='Visual SPC'!$C$4),OR('Visual SPC'!$E$4="",'Data Entry'!$C3972&lt;='Visual SPC'!$E$4),OR('Visual SPC'!$G$4="",'Data Entry'!$D3972='Visual SPC'!$G$4),OR('Visual SPC'!$I$4="",'Data Entry'!$E3972='Visual SPC'!$I$4),OR('Visual SPC'!$K$4="",'Data Entry'!$F3972='Visual SPC'!$K$4)),1,0))</f>
        <v/>
      </c>
      <c r="C3972">
        <f>C3971+B3972</f>
        <v/>
      </c>
      <c r="D3972">
        <f>IF(B3972=1,INDEX('Data Entry'!$H$5:$BE$10004,3972-4,'Visual SPC'!$B$3),"")</f>
        <v/>
      </c>
      <c r="E3972">
        <f>IF(B3972=1,D3972,E3971)</f>
        <v/>
      </c>
      <c r="F3972">
        <f>IF(AND(B3972=1,C3972&gt;1,E3971&lt;&gt;""),ABS(D3972-E3971),"")</f>
        <v/>
      </c>
    </row>
    <row r="3973">
      <c r="A3973" t="n">
        <v>3973</v>
      </c>
      <c r="B3973">
        <f>IF(INDEX('Data Entry'!$H$5:$BE$10004,3973-4,'Visual SPC'!$B$3)="",0,IF(AND(OR('Visual SPC'!$C$4="",'Data Entry'!$C3973&gt;='Visual SPC'!$C$4),OR('Visual SPC'!$E$4="",'Data Entry'!$C3973&lt;='Visual SPC'!$E$4),OR('Visual SPC'!$G$4="",'Data Entry'!$D3973='Visual SPC'!$G$4),OR('Visual SPC'!$I$4="",'Data Entry'!$E3973='Visual SPC'!$I$4),OR('Visual SPC'!$K$4="",'Data Entry'!$F3973='Visual SPC'!$K$4)),1,0))</f>
        <v/>
      </c>
      <c r="C3973">
        <f>C3972+B3973</f>
        <v/>
      </c>
      <c r="D3973">
        <f>IF(B3973=1,INDEX('Data Entry'!$H$5:$BE$10004,3973-4,'Visual SPC'!$B$3),"")</f>
        <v/>
      </c>
      <c r="E3973">
        <f>IF(B3973=1,D3973,E3972)</f>
        <v/>
      </c>
      <c r="F3973">
        <f>IF(AND(B3973=1,C3973&gt;1,E3972&lt;&gt;""),ABS(D3973-E3972),"")</f>
        <v/>
      </c>
    </row>
    <row r="3974">
      <c r="A3974" t="n">
        <v>3974</v>
      </c>
      <c r="B3974">
        <f>IF(INDEX('Data Entry'!$H$5:$BE$10004,3974-4,'Visual SPC'!$B$3)="",0,IF(AND(OR('Visual SPC'!$C$4="",'Data Entry'!$C3974&gt;='Visual SPC'!$C$4),OR('Visual SPC'!$E$4="",'Data Entry'!$C3974&lt;='Visual SPC'!$E$4),OR('Visual SPC'!$G$4="",'Data Entry'!$D3974='Visual SPC'!$G$4),OR('Visual SPC'!$I$4="",'Data Entry'!$E3974='Visual SPC'!$I$4),OR('Visual SPC'!$K$4="",'Data Entry'!$F3974='Visual SPC'!$K$4)),1,0))</f>
        <v/>
      </c>
      <c r="C3974">
        <f>C3973+B3974</f>
        <v/>
      </c>
      <c r="D3974">
        <f>IF(B3974=1,INDEX('Data Entry'!$H$5:$BE$10004,3974-4,'Visual SPC'!$B$3),"")</f>
        <v/>
      </c>
      <c r="E3974">
        <f>IF(B3974=1,D3974,E3973)</f>
        <v/>
      </c>
      <c r="F3974">
        <f>IF(AND(B3974=1,C3974&gt;1,E3973&lt;&gt;""),ABS(D3974-E3973),"")</f>
        <v/>
      </c>
    </row>
    <row r="3975">
      <c r="A3975" t="n">
        <v>3975</v>
      </c>
      <c r="B3975">
        <f>IF(INDEX('Data Entry'!$H$5:$BE$10004,3975-4,'Visual SPC'!$B$3)="",0,IF(AND(OR('Visual SPC'!$C$4="",'Data Entry'!$C3975&gt;='Visual SPC'!$C$4),OR('Visual SPC'!$E$4="",'Data Entry'!$C3975&lt;='Visual SPC'!$E$4),OR('Visual SPC'!$G$4="",'Data Entry'!$D3975='Visual SPC'!$G$4),OR('Visual SPC'!$I$4="",'Data Entry'!$E3975='Visual SPC'!$I$4),OR('Visual SPC'!$K$4="",'Data Entry'!$F3975='Visual SPC'!$K$4)),1,0))</f>
        <v/>
      </c>
      <c r="C3975">
        <f>C3974+B3975</f>
        <v/>
      </c>
      <c r="D3975">
        <f>IF(B3975=1,INDEX('Data Entry'!$H$5:$BE$10004,3975-4,'Visual SPC'!$B$3),"")</f>
        <v/>
      </c>
      <c r="E3975">
        <f>IF(B3975=1,D3975,E3974)</f>
        <v/>
      </c>
      <c r="F3975">
        <f>IF(AND(B3975=1,C3975&gt;1,E3974&lt;&gt;""),ABS(D3975-E3974),"")</f>
        <v/>
      </c>
    </row>
    <row r="3976">
      <c r="A3976" t="n">
        <v>3976</v>
      </c>
      <c r="B3976">
        <f>IF(INDEX('Data Entry'!$H$5:$BE$10004,3976-4,'Visual SPC'!$B$3)="",0,IF(AND(OR('Visual SPC'!$C$4="",'Data Entry'!$C3976&gt;='Visual SPC'!$C$4),OR('Visual SPC'!$E$4="",'Data Entry'!$C3976&lt;='Visual SPC'!$E$4),OR('Visual SPC'!$G$4="",'Data Entry'!$D3976='Visual SPC'!$G$4),OR('Visual SPC'!$I$4="",'Data Entry'!$E3976='Visual SPC'!$I$4),OR('Visual SPC'!$K$4="",'Data Entry'!$F3976='Visual SPC'!$K$4)),1,0))</f>
        <v/>
      </c>
      <c r="C3976">
        <f>C3975+B3976</f>
        <v/>
      </c>
      <c r="D3976">
        <f>IF(B3976=1,INDEX('Data Entry'!$H$5:$BE$10004,3976-4,'Visual SPC'!$B$3),"")</f>
        <v/>
      </c>
      <c r="E3976">
        <f>IF(B3976=1,D3976,E3975)</f>
        <v/>
      </c>
      <c r="F3976">
        <f>IF(AND(B3976=1,C3976&gt;1,E3975&lt;&gt;""),ABS(D3976-E3975),"")</f>
        <v/>
      </c>
    </row>
    <row r="3977">
      <c r="A3977" t="n">
        <v>3977</v>
      </c>
      <c r="B3977">
        <f>IF(INDEX('Data Entry'!$H$5:$BE$10004,3977-4,'Visual SPC'!$B$3)="",0,IF(AND(OR('Visual SPC'!$C$4="",'Data Entry'!$C3977&gt;='Visual SPC'!$C$4),OR('Visual SPC'!$E$4="",'Data Entry'!$C3977&lt;='Visual SPC'!$E$4),OR('Visual SPC'!$G$4="",'Data Entry'!$D3977='Visual SPC'!$G$4),OR('Visual SPC'!$I$4="",'Data Entry'!$E3977='Visual SPC'!$I$4),OR('Visual SPC'!$K$4="",'Data Entry'!$F3977='Visual SPC'!$K$4)),1,0))</f>
        <v/>
      </c>
      <c r="C3977">
        <f>C3976+B3977</f>
        <v/>
      </c>
      <c r="D3977">
        <f>IF(B3977=1,INDEX('Data Entry'!$H$5:$BE$10004,3977-4,'Visual SPC'!$B$3),"")</f>
        <v/>
      </c>
      <c r="E3977">
        <f>IF(B3977=1,D3977,E3976)</f>
        <v/>
      </c>
      <c r="F3977">
        <f>IF(AND(B3977=1,C3977&gt;1,E3976&lt;&gt;""),ABS(D3977-E3976),"")</f>
        <v/>
      </c>
    </row>
    <row r="3978">
      <c r="A3978" t="n">
        <v>3978</v>
      </c>
      <c r="B3978">
        <f>IF(INDEX('Data Entry'!$H$5:$BE$10004,3978-4,'Visual SPC'!$B$3)="",0,IF(AND(OR('Visual SPC'!$C$4="",'Data Entry'!$C3978&gt;='Visual SPC'!$C$4),OR('Visual SPC'!$E$4="",'Data Entry'!$C3978&lt;='Visual SPC'!$E$4),OR('Visual SPC'!$G$4="",'Data Entry'!$D3978='Visual SPC'!$G$4),OR('Visual SPC'!$I$4="",'Data Entry'!$E3978='Visual SPC'!$I$4),OR('Visual SPC'!$K$4="",'Data Entry'!$F3978='Visual SPC'!$K$4)),1,0))</f>
        <v/>
      </c>
      <c r="C3978">
        <f>C3977+B3978</f>
        <v/>
      </c>
      <c r="D3978">
        <f>IF(B3978=1,INDEX('Data Entry'!$H$5:$BE$10004,3978-4,'Visual SPC'!$B$3),"")</f>
        <v/>
      </c>
      <c r="E3978">
        <f>IF(B3978=1,D3978,E3977)</f>
        <v/>
      </c>
      <c r="F3978">
        <f>IF(AND(B3978=1,C3978&gt;1,E3977&lt;&gt;""),ABS(D3978-E3977),"")</f>
        <v/>
      </c>
    </row>
    <row r="3979">
      <c r="A3979" t="n">
        <v>3979</v>
      </c>
      <c r="B3979">
        <f>IF(INDEX('Data Entry'!$H$5:$BE$10004,3979-4,'Visual SPC'!$B$3)="",0,IF(AND(OR('Visual SPC'!$C$4="",'Data Entry'!$C3979&gt;='Visual SPC'!$C$4),OR('Visual SPC'!$E$4="",'Data Entry'!$C3979&lt;='Visual SPC'!$E$4),OR('Visual SPC'!$G$4="",'Data Entry'!$D3979='Visual SPC'!$G$4),OR('Visual SPC'!$I$4="",'Data Entry'!$E3979='Visual SPC'!$I$4),OR('Visual SPC'!$K$4="",'Data Entry'!$F3979='Visual SPC'!$K$4)),1,0))</f>
        <v/>
      </c>
      <c r="C3979">
        <f>C3978+B3979</f>
        <v/>
      </c>
      <c r="D3979">
        <f>IF(B3979=1,INDEX('Data Entry'!$H$5:$BE$10004,3979-4,'Visual SPC'!$B$3),"")</f>
        <v/>
      </c>
      <c r="E3979">
        <f>IF(B3979=1,D3979,E3978)</f>
        <v/>
      </c>
      <c r="F3979">
        <f>IF(AND(B3979=1,C3979&gt;1,E3978&lt;&gt;""),ABS(D3979-E3978),"")</f>
        <v/>
      </c>
    </row>
    <row r="3980">
      <c r="A3980" t="n">
        <v>3980</v>
      </c>
      <c r="B3980">
        <f>IF(INDEX('Data Entry'!$H$5:$BE$10004,3980-4,'Visual SPC'!$B$3)="",0,IF(AND(OR('Visual SPC'!$C$4="",'Data Entry'!$C3980&gt;='Visual SPC'!$C$4),OR('Visual SPC'!$E$4="",'Data Entry'!$C3980&lt;='Visual SPC'!$E$4),OR('Visual SPC'!$G$4="",'Data Entry'!$D3980='Visual SPC'!$G$4),OR('Visual SPC'!$I$4="",'Data Entry'!$E3980='Visual SPC'!$I$4),OR('Visual SPC'!$K$4="",'Data Entry'!$F3980='Visual SPC'!$K$4)),1,0))</f>
        <v/>
      </c>
      <c r="C3980">
        <f>C3979+B3980</f>
        <v/>
      </c>
      <c r="D3980">
        <f>IF(B3980=1,INDEX('Data Entry'!$H$5:$BE$10004,3980-4,'Visual SPC'!$B$3),"")</f>
        <v/>
      </c>
      <c r="E3980">
        <f>IF(B3980=1,D3980,E3979)</f>
        <v/>
      </c>
      <c r="F3980">
        <f>IF(AND(B3980=1,C3980&gt;1,E3979&lt;&gt;""),ABS(D3980-E3979),"")</f>
        <v/>
      </c>
    </row>
    <row r="3981">
      <c r="A3981" t="n">
        <v>3981</v>
      </c>
      <c r="B3981">
        <f>IF(INDEX('Data Entry'!$H$5:$BE$10004,3981-4,'Visual SPC'!$B$3)="",0,IF(AND(OR('Visual SPC'!$C$4="",'Data Entry'!$C3981&gt;='Visual SPC'!$C$4),OR('Visual SPC'!$E$4="",'Data Entry'!$C3981&lt;='Visual SPC'!$E$4),OR('Visual SPC'!$G$4="",'Data Entry'!$D3981='Visual SPC'!$G$4),OR('Visual SPC'!$I$4="",'Data Entry'!$E3981='Visual SPC'!$I$4),OR('Visual SPC'!$K$4="",'Data Entry'!$F3981='Visual SPC'!$K$4)),1,0))</f>
        <v/>
      </c>
      <c r="C3981">
        <f>C3980+B3981</f>
        <v/>
      </c>
      <c r="D3981">
        <f>IF(B3981=1,INDEX('Data Entry'!$H$5:$BE$10004,3981-4,'Visual SPC'!$B$3),"")</f>
        <v/>
      </c>
      <c r="E3981">
        <f>IF(B3981=1,D3981,E3980)</f>
        <v/>
      </c>
      <c r="F3981">
        <f>IF(AND(B3981=1,C3981&gt;1,E3980&lt;&gt;""),ABS(D3981-E3980),"")</f>
        <v/>
      </c>
    </row>
    <row r="3982">
      <c r="A3982" t="n">
        <v>3982</v>
      </c>
      <c r="B3982">
        <f>IF(INDEX('Data Entry'!$H$5:$BE$10004,3982-4,'Visual SPC'!$B$3)="",0,IF(AND(OR('Visual SPC'!$C$4="",'Data Entry'!$C3982&gt;='Visual SPC'!$C$4),OR('Visual SPC'!$E$4="",'Data Entry'!$C3982&lt;='Visual SPC'!$E$4),OR('Visual SPC'!$G$4="",'Data Entry'!$D3982='Visual SPC'!$G$4),OR('Visual SPC'!$I$4="",'Data Entry'!$E3982='Visual SPC'!$I$4),OR('Visual SPC'!$K$4="",'Data Entry'!$F3982='Visual SPC'!$K$4)),1,0))</f>
        <v/>
      </c>
      <c r="C3982">
        <f>C3981+B3982</f>
        <v/>
      </c>
      <c r="D3982">
        <f>IF(B3982=1,INDEX('Data Entry'!$H$5:$BE$10004,3982-4,'Visual SPC'!$B$3),"")</f>
        <v/>
      </c>
      <c r="E3982">
        <f>IF(B3982=1,D3982,E3981)</f>
        <v/>
      </c>
      <c r="F3982">
        <f>IF(AND(B3982=1,C3982&gt;1,E3981&lt;&gt;""),ABS(D3982-E3981),"")</f>
        <v/>
      </c>
    </row>
    <row r="3983">
      <c r="A3983" t="n">
        <v>3983</v>
      </c>
      <c r="B3983">
        <f>IF(INDEX('Data Entry'!$H$5:$BE$10004,3983-4,'Visual SPC'!$B$3)="",0,IF(AND(OR('Visual SPC'!$C$4="",'Data Entry'!$C3983&gt;='Visual SPC'!$C$4),OR('Visual SPC'!$E$4="",'Data Entry'!$C3983&lt;='Visual SPC'!$E$4),OR('Visual SPC'!$G$4="",'Data Entry'!$D3983='Visual SPC'!$G$4),OR('Visual SPC'!$I$4="",'Data Entry'!$E3983='Visual SPC'!$I$4),OR('Visual SPC'!$K$4="",'Data Entry'!$F3983='Visual SPC'!$K$4)),1,0))</f>
        <v/>
      </c>
      <c r="C3983">
        <f>C3982+B3983</f>
        <v/>
      </c>
      <c r="D3983">
        <f>IF(B3983=1,INDEX('Data Entry'!$H$5:$BE$10004,3983-4,'Visual SPC'!$B$3),"")</f>
        <v/>
      </c>
      <c r="E3983">
        <f>IF(B3983=1,D3983,E3982)</f>
        <v/>
      </c>
      <c r="F3983">
        <f>IF(AND(B3983=1,C3983&gt;1,E3982&lt;&gt;""),ABS(D3983-E3982),"")</f>
        <v/>
      </c>
    </row>
    <row r="3984">
      <c r="A3984" t="n">
        <v>3984</v>
      </c>
      <c r="B3984">
        <f>IF(INDEX('Data Entry'!$H$5:$BE$10004,3984-4,'Visual SPC'!$B$3)="",0,IF(AND(OR('Visual SPC'!$C$4="",'Data Entry'!$C3984&gt;='Visual SPC'!$C$4),OR('Visual SPC'!$E$4="",'Data Entry'!$C3984&lt;='Visual SPC'!$E$4),OR('Visual SPC'!$G$4="",'Data Entry'!$D3984='Visual SPC'!$G$4),OR('Visual SPC'!$I$4="",'Data Entry'!$E3984='Visual SPC'!$I$4),OR('Visual SPC'!$K$4="",'Data Entry'!$F3984='Visual SPC'!$K$4)),1,0))</f>
        <v/>
      </c>
      <c r="C3984">
        <f>C3983+B3984</f>
        <v/>
      </c>
      <c r="D3984">
        <f>IF(B3984=1,INDEX('Data Entry'!$H$5:$BE$10004,3984-4,'Visual SPC'!$B$3),"")</f>
        <v/>
      </c>
      <c r="E3984">
        <f>IF(B3984=1,D3984,E3983)</f>
        <v/>
      </c>
      <c r="F3984">
        <f>IF(AND(B3984=1,C3984&gt;1,E3983&lt;&gt;""),ABS(D3984-E3983),"")</f>
        <v/>
      </c>
    </row>
    <row r="3985">
      <c r="A3985" t="n">
        <v>3985</v>
      </c>
      <c r="B3985">
        <f>IF(INDEX('Data Entry'!$H$5:$BE$10004,3985-4,'Visual SPC'!$B$3)="",0,IF(AND(OR('Visual SPC'!$C$4="",'Data Entry'!$C3985&gt;='Visual SPC'!$C$4),OR('Visual SPC'!$E$4="",'Data Entry'!$C3985&lt;='Visual SPC'!$E$4),OR('Visual SPC'!$G$4="",'Data Entry'!$D3985='Visual SPC'!$G$4),OR('Visual SPC'!$I$4="",'Data Entry'!$E3985='Visual SPC'!$I$4),OR('Visual SPC'!$K$4="",'Data Entry'!$F3985='Visual SPC'!$K$4)),1,0))</f>
        <v/>
      </c>
      <c r="C3985">
        <f>C3984+B3985</f>
        <v/>
      </c>
      <c r="D3985">
        <f>IF(B3985=1,INDEX('Data Entry'!$H$5:$BE$10004,3985-4,'Visual SPC'!$B$3),"")</f>
        <v/>
      </c>
      <c r="E3985">
        <f>IF(B3985=1,D3985,E3984)</f>
        <v/>
      </c>
      <c r="F3985">
        <f>IF(AND(B3985=1,C3985&gt;1,E3984&lt;&gt;""),ABS(D3985-E3984),"")</f>
        <v/>
      </c>
    </row>
    <row r="3986">
      <c r="A3986" t="n">
        <v>3986</v>
      </c>
      <c r="B3986">
        <f>IF(INDEX('Data Entry'!$H$5:$BE$10004,3986-4,'Visual SPC'!$B$3)="",0,IF(AND(OR('Visual SPC'!$C$4="",'Data Entry'!$C3986&gt;='Visual SPC'!$C$4),OR('Visual SPC'!$E$4="",'Data Entry'!$C3986&lt;='Visual SPC'!$E$4),OR('Visual SPC'!$G$4="",'Data Entry'!$D3986='Visual SPC'!$G$4),OR('Visual SPC'!$I$4="",'Data Entry'!$E3986='Visual SPC'!$I$4),OR('Visual SPC'!$K$4="",'Data Entry'!$F3986='Visual SPC'!$K$4)),1,0))</f>
        <v/>
      </c>
      <c r="C3986">
        <f>C3985+B3986</f>
        <v/>
      </c>
      <c r="D3986">
        <f>IF(B3986=1,INDEX('Data Entry'!$H$5:$BE$10004,3986-4,'Visual SPC'!$B$3),"")</f>
        <v/>
      </c>
      <c r="E3986">
        <f>IF(B3986=1,D3986,E3985)</f>
        <v/>
      </c>
      <c r="F3986">
        <f>IF(AND(B3986=1,C3986&gt;1,E3985&lt;&gt;""),ABS(D3986-E3985),"")</f>
        <v/>
      </c>
    </row>
    <row r="3987">
      <c r="A3987" t="n">
        <v>3987</v>
      </c>
      <c r="B3987">
        <f>IF(INDEX('Data Entry'!$H$5:$BE$10004,3987-4,'Visual SPC'!$B$3)="",0,IF(AND(OR('Visual SPC'!$C$4="",'Data Entry'!$C3987&gt;='Visual SPC'!$C$4),OR('Visual SPC'!$E$4="",'Data Entry'!$C3987&lt;='Visual SPC'!$E$4),OR('Visual SPC'!$G$4="",'Data Entry'!$D3987='Visual SPC'!$G$4),OR('Visual SPC'!$I$4="",'Data Entry'!$E3987='Visual SPC'!$I$4),OR('Visual SPC'!$K$4="",'Data Entry'!$F3987='Visual SPC'!$K$4)),1,0))</f>
        <v/>
      </c>
      <c r="C3987">
        <f>C3986+B3987</f>
        <v/>
      </c>
      <c r="D3987">
        <f>IF(B3987=1,INDEX('Data Entry'!$H$5:$BE$10004,3987-4,'Visual SPC'!$B$3),"")</f>
        <v/>
      </c>
      <c r="E3987">
        <f>IF(B3987=1,D3987,E3986)</f>
        <v/>
      </c>
      <c r="F3987">
        <f>IF(AND(B3987=1,C3987&gt;1,E3986&lt;&gt;""),ABS(D3987-E3986),"")</f>
        <v/>
      </c>
    </row>
    <row r="3988">
      <c r="A3988" t="n">
        <v>3988</v>
      </c>
      <c r="B3988">
        <f>IF(INDEX('Data Entry'!$H$5:$BE$10004,3988-4,'Visual SPC'!$B$3)="",0,IF(AND(OR('Visual SPC'!$C$4="",'Data Entry'!$C3988&gt;='Visual SPC'!$C$4),OR('Visual SPC'!$E$4="",'Data Entry'!$C3988&lt;='Visual SPC'!$E$4),OR('Visual SPC'!$G$4="",'Data Entry'!$D3988='Visual SPC'!$G$4),OR('Visual SPC'!$I$4="",'Data Entry'!$E3988='Visual SPC'!$I$4),OR('Visual SPC'!$K$4="",'Data Entry'!$F3988='Visual SPC'!$K$4)),1,0))</f>
        <v/>
      </c>
      <c r="C3988">
        <f>C3987+B3988</f>
        <v/>
      </c>
      <c r="D3988">
        <f>IF(B3988=1,INDEX('Data Entry'!$H$5:$BE$10004,3988-4,'Visual SPC'!$B$3),"")</f>
        <v/>
      </c>
      <c r="E3988">
        <f>IF(B3988=1,D3988,E3987)</f>
        <v/>
      </c>
      <c r="F3988">
        <f>IF(AND(B3988=1,C3988&gt;1,E3987&lt;&gt;""),ABS(D3988-E3987),"")</f>
        <v/>
      </c>
    </row>
    <row r="3989">
      <c r="A3989" t="n">
        <v>3989</v>
      </c>
      <c r="B3989">
        <f>IF(INDEX('Data Entry'!$H$5:$BE$10004,3989-4,'Visual SPC'!$B$3)="",0,IF(AND(OR('Visual SPC'!$C$4="",'Data Entry'!$C3989&gt;='Visual SPC'!$C$4),OR('Visual SPC'!$E$4="",'Data Entry'!$C3989&lt;='Visual SPC'!$E$4),OR('Visual SPC'!$G$4="",'Data Entry'!$D3989='Visual SPC'!$G$4),OR('Visual SPC'!$I$4="",'Data Entry'!$E3989='Visual SPC'!$I$4),OR('Visual SPC'!$K$4="",'Data Entry'!$F3989='Visual SPC'!$K$4)),1,0))</f>
        <v/>
      </c>
      <c r="C3989">
        <f>C3988+B3989</f>
        <v/>
      </c>
      <c r="D3989">
        <f>IF(B3989=1,INDEX('Data Entry'!$H$5:$BE$10004,3989-4,'Visual SPC'!$B$3),"")</f>
        <v/>
      </c>
      <c r="E3989">
        <f>IF(B3989=1,D3989,E3988)</f>
        <v/>
      </c>
      <c r="F3989">
        <f>IF(AND(B3989=1,C3989&gt;1,E3988&lt;&gt;""),ABS(D3989-E3988),"")</f>
        <v/>
      </c>
    </row>
    <row r="3990">
      <c r="A3990" t="n">
        <v>3990</v>
      </c>
      <c r="B3990">
        <f>IF(INDEX('Data Entry'!$H$5:$BE$10004,3990-4,'Visual SPC'!$B$3)="",0,IF(AND(OR('Visual SPC'!$C$4="",'Data Entry'!$C3990&gt;='Visual SPC'!$C$4),OR('Visual SPC'!$E$4="",'Data Entry'!$C3990&lt;='Visual SPC'!$E$4),OR('Visual SPC'!$G$4="",'Data Entry'!$D3990='Visual SPC'!$G$4),OR('Visual SPC'!$I$4="",'Data Entry'!$E3990='Visual SPC'!$I$4),OR('Visual SPC'!$K$4="",'Data Entry'!$F3990='Visual SPC'!$K$4)),1,0))</f>
        <v/>
      </c>
      <c r="C3990">
        <f>C3989+B3990</f>
        <v/>
      </c>
      <c r="D3990">
        <f>IF(B3990=1,INDEX('Data Entry'!$H$5:$BE$10004,3990-4,'Visual SPC'!$B$3),"")</f>
        <v/>
      </c>
      <c r="E3990">
        <f>IF(B3990=1,D3990,E3989)</f>
        <v/>
      </c>
      <c r="F3990">
        <f>IF(AND(B3990=1,C3990&gt;1,E3989&lt;&gt;""),ABS(D3990-E3989),"")</f>
        <v/>
      </c>
    </row>
    <row r="3991">
      <c r="A3991" t="n">
        <v>3991</v>
      </c>
      <c r="B3991">
        <f>IF(INDEX('Data Entry'!$H$5:$BE$10004,3991-4,'Visual SPC'!$B$3)="",0,IF(AND(OR('Visual SPC'!$C$4="",'Data Entry'!$C3991&gt;='Visual SPC'!$C$4),OR('Visual SPC'!$E$4="",'Data Entry'!$C3991&lt;='Visual SPC'!$E$4),OR('Visual SPC'!$G$4="",'Data Entry'!$D3991='Visual SPC'!$G$4),OR('Visual SPC'!$I$4="",'Data Entry'!$E3991='Visual SPC'!$I$4),OR('Visual SPC'!$K$4="",'Data Entry'!$F3991='Visual SPC'!$K$4)),1,0))</f>
        <v/>
      </c>
      <c r="C3991">
        <f>C3990+B3991</f>
        <v/>
      </c>
      <c r="D3991">
        <f>IF(B3991=1,INDEX('Data Entry'!$H$5:$BE$10004,3991-4,'Visual SPC'!$B$3),"")</f>
        <v/>
      </c>
      <c r="E3991">
        <f>IF(B3991=1,D3991,E3990)</f>
        <v/>
      </c>
      <c r="F3991">
        <f>IF(AND(B3991=1,C3991&gt;1,E3990&lt;&gt;""),ABS(D3991-E3990),"")</f>
        <v/>
      </c>
    </row>
    <row r="3992">
      <c r="A3992" t="n">
        <v>3992</v>
      </c>
      <c r="B3992">
        <f>IF(INDEX('Data Entry'!$H$5:$BE$10004,3992-4,'Visual SPC'!$B$3)="",0,IF(AND(OR('Visual SPC'!$C$4="",'Data Entry'!$C3992&gt;='Visual SPC'!$C$4),OR('Visual SPC'!$E$4="",'Data Entry'!$C3992&lt;='Visual SPC'!$E$4),OR('Visual SPC'!$G$4="",'Data Entry'!$D3992='Visual SPC'!$G$4),OR('Visual SPC'!$I$4="",'Data Entry'!$E3992='Visual SPC'!$I$4),OR('Visual SPC'!$K$4="",'Data Entry'!$F3992='Visual SPC'!$K$4)),1,0))</f>
        <v/>
      </c>
      <c r="C3992">
        <f>C3991+B3992</f>
        <v/>
      </c>
      <c r="D3992">
        <f>IF(B3992=1,INDEX('Data Entry'!$H$5:$BE$10004,3992-4,'Visual SPC'!$B$3),"")</f>
        <v/>
      </c>
      <c r="E3992">
        <f>IF(B3992=1,D3992,E3991)</f>
        <v/>
      </c>
      <c r="F3992">
        <f>IF(AND(B3992=1,C3992&gt;1,E3991&lt;&gt;""),ABS(D3992-E3991),"")</f>
        <v/>
      </c>
    </row>
    <row r="3993">
      <c r="A3993" t="n">
        <v>3993</v>
      </c>
      <c r="B3993">
        <f>IF(INDEX('Data Entry'!$H$5:$BE$10004,3993-4,'Visual SPC'!$B$3)="",0,IF(AND(OR('Visual SPC'!$C$4="",'Data Entry'!$C3993&gt;='Visual SPC'!$C$4),OR('Visual SPC'!$E$4="",'Data Entry'!$C3993&lt;='Visual SPC'!$E$4),OR('Visual SPC'!$G$4="",'Data Entry'!$D3993='Visual SPC'!$G$4),OR('Visual SPC'!$I$4="",'Data Entry'!$E3993='Visual SPC'!$I$4),OR('Visual SPC'!$K$4="",'Data Entry'!$F3993='Visual SPC'!$K$4)),1,0))</f>
        <v/>
      </c>
      <c r="C3993">
        <f>C3992+B3993</f>
        <v/>
      </c>
      <c r="D3993">
        <f>IF(B3993=1,INDEX('Data Entry'!$H$5:$BE$10004,3993-4,'Visual SPC'!$B$3),"")</f>
        <v/>
      </c>
      <c r="E3993">
        <f>IF(B3993=1,D3993,E3992)</f>
        <v/>
      </c>
      <c r="F3993">
        <f>IF(AND(B3993=1,C3993&gt;1,E3992&lt;&gt;""),ABS(D3993-E3992),"")</f>
        <v/>
      </c>
    </row>
    <row r="3994">
      <c r="A3994" t="n">
        <v>3994</v>
      </c>
      <c r="B3994">
        <f>IF(INDEX('Data Entry'!$H$5:$BE$10004,3994-4,'Visual SPC'!$B$3)="",0,IF(AND(OR('Visual SPC'!$C$4="",'Data Entry'!$C3994&gt;='Visual SPC'!$C$4),OR('Visual SPC'!$E$4="",'Data Entry'!$C3994&lt;='Visual SPC'!$E$4),OR('Visual SPC'!$G$4="",'Data Entry'!$D3994='Visual SPC'!$G$4),OR('Visual SPC'!$I$4="",'Data Entry'!$E3994='Visual SPC'!$I$4),OR('Visual SPC'!$K$4="",'Data Entry'!$F3994='Visual SPC'!$K$4)),1,0))</f>
        <v/>
      </c>
      <c r="C3994">
        <f>C3993+B3994</f>
        <v/>
      </c>
      <c r="D3994">
        <f>IF(B3994=1,INDEX('Data Entry'!$H$5:$BE$10004,3994-4,'Visual SPC'!$B$3),"")</f>
        <v/>
      </c>
      <c r="E3994">
        <f>IF(B3994=1,D3994,E3993)</f>
        <v/>
      </c>
      <c r="F3994">
        <f>IF(AND(B3994=1,C3994&gt;1,E3993&lt;&gt;""),ABS(D3994-E3993),"")</f>
        <v/>
      </c>
    </row>
    <row r="3995">
      <c r="A3995" t="n">
        <v>3995</v>
      </c>
      <c r="B3995">
        <f>IF(INDEX('Data Entry'!$H$5:$BE$10004,3995-4,'Visual SPC'!$B$3)="",0,IF(AND(OR('Visual SPC'!$C$4="",'Data Entry'!$C3995&gt;='Visual SPC'!$C$4),OR('Visual SPC'!$E$4="",'Data Entry'!$C3995&lt;='Visual SPC'!$E$4),OR('Visual SPC'!$G$4="",'Data Entry'!$D3995='Visual SPC'!$G$4),OR('Visual SPC'!$I$4="",'Data Entry'!$E3995='Visual SPC'!$I$4),OR('Visual SPC'!$K$4="",'Data Entry'!$F3995='Visual SPC'!$K$4)),1,0))</f>
        <v/>
      </c>
      <c r="C3995">
        <f>C3994+B3995</f>
        <v/>
      </c>
      <c r="D3995">
        <f>IF(B3995=1,INDEX('Data Entry'!$H$5:$BE$10004,3995-4,'Visual SPC'!$B$3),"")</f>
        <v/>
      </c>
      <c r="E3995">
        <f>IF(B3995=1,D3995,E3994)</f>
        <v/>
      </c>
      <c r="F3995">
        <f>IF(AND(B3995=1,C3995&gt;1,E3994&lt;&gt;""),ABS(D3995-E3994),"")</f>
        <v/>
      </c>
    </row>
    <row r="3996">
      <c r="A3996" t="n">
        <v>3996</v>
      </c>
      <c r="B3996">
        <f>IF(INDEX('Data Entry'!$H$5:$BE$10004,3996-4,'Visual SPC'!$B$3)="",0,IF(AND(OR('Visual SPC'!$C$4="",'Data Entry'!$C3996&gt;='Visual SPC'!$C$4),OR('Visual SPC'!$E$4="",'Data Entry'!$C3996&lt;='Visual SPC'!$E$4),OR('Visual SPC'!$G$4="",'Data Entry'!$D3996='Visual SPC'!$G$4),OR('Visual SPC'!$I$4="",'Data Entry'!$E3996='Visual SPC'!$I$4),OR('Visual SPC'!$K$4="",'Data Entry'!$F3996='Visual SPC'!$K$4)),1,0))</f>
        <v/>
      </c>
      <c r="C3996">
        <f>C3995+B3996</f>
        <v/>
      </c>
      <c r="D3996">
        <f>IF(B3996=1,INDEX('Data Entry'!$H$5:$BE$10004,3996-4,'Visual SPC'!$B$3),"")</f>
        <v/>
      </c>
      <c r="E3996">
        <f>IF(B3996=1,D3996,E3995)</f>
        <v/>
      </c>
      <c r="F3996">
        <f>IF(AND(B3996=1,C3996&gt;1,E3995&lt;&gt;""),ABS(D3996-E3995),"")</f>
        <v/>
      </c>
    </row>
    <row r="3997">
      <c r="A3997" t="n">
        <v>3997</v>
      </c>
      <c r="B3997">
        <f>IF(INDEX('Data Entry'!$H$5:$BE$10004,3997-4,'Visual SPC'!$B$3)="",0,IF(AND(OR('Visual SPC'!$C$4="",'Data Entry'!$C3997&gt;='Visual SPC'!$C$4),OR('Visual SPC'!$E$4="",'Data Entry'!$C3997&lt;='Visual SPC'!$E$4),OR('Visual SPC'!$G$4="",'Data Entry'!$D3997='Visual SPC'!$G$4),OR('Visual SPC'!$I$4="",'Data Entry'!$E3997='Visual SPC'!$I$4),OR('Visual SPC'!$K$4="",'Data Entry'!$F3997='Visual SPC'!$K$4)),1,0))</f>
        <v/>
      </c>
      <c r="C3997">
        <f>C3996+B3997</f>
        <v/>
      </c>
      <c r="D3997">
        <f>IF(B3997=1,INDEX('Data Entry'!$H$5:$BE$10004,3997-4,'Visual SPC'!$B$3),"")</f>
        <v/>
      </c>
      <c r="E3997">
        <f>IF(B3997=1,D3997,E3996)</f>
        <v/>
      </c>
      <c r="F3997">
        <f>IF(AND(B3997=1,C3997&gt;1,E3996&lt;&gt;""),ABS(D3997-E3996),"")</f>
        <v/>
      </c>
    </row>
    <row r="3998">
      <c r="A3998" t="n">
        <v>3998</v>
      </c>
      <c r="B3998">
        <f>IF(INDEX('Data Entry'!$H$5:$BE$10004,3998-4,'Visual SPC'!$B$3)="",0,IF(AND(OR('Visual SPC'!$C$4="",'Data Entry'!$C3998&gt;='Visual SPC'!$C$4),OR('Visual SPC'!$E$4="",'Data Entry'!$C3998&lt;='Visual SPC'!$E$4),OR('Visual SPC'!$G$4="",'Data Entry'!$D3998='Visual SPC'!$G$4),OR('Visual SPC'!$I$4="",'Data Entry'!$E3998='Visual SPC'!$I$4),OR('Visual SPC'!$K$4="",'Data Entry'!$F3998='Visual SPC'!$K$4)),1,0))</f>
        <v/>
      </c>
      <c r="C3998">
        <f>C3997+B3998</f>
        <v/>
      </c>
      <c r="D3998">
        <f>IF(B3998=1,INDEX('Data Entry'!$H$5:$BE$10004,3998-4,'Visual SPC'!$B$3),"")</f>
        <v/>
      </c>
      <c r="E3998">
        <f>IF(B3998=1,D3998,E3997)</f>
        <v/>
      </c>
      <c r="F3998">
        <f>IF(AND(B3998=1,C3998&gt;1,E3997&lt;&gt;""),ABS(D3998-E3997),"")</f>
        <v/>
      </c>
    </row>
    <row r="3999">
      <c r="A3999" t="n">
        <v>3999</v>
      </c>
      <c r="B3999">
        <f>IF(INDEX('Data Entry'!$H$5:$BE$10004,3999-4,'Visual SPC'!$B$3)="",0,IF(AND(OR('Visual SPC'!$C$4="",'Data Entry'!$C3999&gt;='Visual SPC'!$C$4),OR('Visual SPC'!$E$4="",'Data Entry'!$C3999&lt;='Visual SPC'!$E$4),OR('Visual SPC'!$G$4="",'Data Entry'!$D3999='Visual SPC'!$G$4),OR('Visual SPC'!$I$4="",'Data Entry'!$E3999='Visual SPC'!$I$4),OR('Visual SPC'!$K$4="",'Data Entry'!$F3999='Visual SPC'!$K$4)),1,0))</f>
        <v/>
      </c>
      <c r="C3999">
        <f>C3998+B3999</f>
        <v/>
      </c>
      <c r="D3999">
        <f>IF(B3999=1,INDEX('Data Entry'!$H$5:$BE$10004,3999-4,'Visual SPC'!$B$3),"")</f>
        <v/>
      </c>
      <c r="E3999">
        <f>IF(B3999=1,D3999,E3998)</f>
        <v/>
      </c>
      <c r="F3999">
        <f>IF(AND(B3999=1,C3999&gt;1,E3998&lt;&gt;""),ABS(D3999-E3998),"")</f>
        <v/>
      </c>
    </row>
    <row r="4000">
      <c r="A4000" t="n">
        <v>4000</v>
      </c>
      <c r="B4000">
        <f>IF(INDEX('Data Entry'!$H$5:$BE$10004,4000-4,'Visual SPC'!$B$3)="",0,IF(AND(OR('Visual SPC'!$C$4="",'Data Entry'!$C4000&gt;='Visual SPC'!$C$4),OR('Visual SPC'!$E$4="",'Data Entry'!$C4000&lt;='Visual SPC'!$E$4),OR('Visual SPC'!$G$4="",'Data Entry'!$D4000='Visual SPC'!$G$4),OR('Visual SPC'!$I$4="",'Data Entry'!$E4000='Visual SPC'!$I$4),OR('Visual SPC'!$K$4="",'Data Entry'!$F4000='Visual SPC'!$K$4)),1,0))</f>
        <v/>
      </c>
      <c r="C4000">
        <f>C3999+B4000</f>
        <v/>
      </c>
      <c r="D4000">
        <f>IF(B4000=1,INDEX('Data Entry'!$H$5:$BE$10004,4000-4,'Visual SPC'!$B$3),"")</f>
        <v/>
      </c>
      <c r="E4000">
        <f>IF(B4000=1,D4000,E3999)</f>
        <v/>
      </c>
      <c r="F4000">
        <f>IF(AND(B4000=1,C4000&gt;1,E3999&lt;&gt;""),ABS(D4000-E3999),"")</f>
        <v/>
      </c>
    </row>
    <row r="4001">
      <c r="A4001" t="n">
        <v>4001</v>
      </c>
      <c r="B4001">
        <f>IF(INDEX('Data Entry'!$H$5:$BE$10004,4001-4,'Visual SPC'!$B$3)="",0,IF(AND(OR('Visual SPC'!$C$4="",'Data Entry'!$C4001&gt;='Visual SPC'!$C$4),OR('Visual SPC'!$E$4="",'Data Entry'!$C4001&lt;='Visual SPC'!$E$4),OR('Visual SPC'!$G$4="",'Data Entry'!$D4001='Visual SPC'!$G$4),OR('Visual SPC'!$I$4="",'Data Entry'!$E4001='Visual SPC'!$I$4),OR('Visual SPC'!$K$4="",'Data Entry'!$F4001='Visual SPC'!$K$4)),1,0))</f>
        <v/>
      </c>
      <c r="C4001">
        <f>C4000+B4001</f>
        <v/>
      </c>
      <c r="D4001">
        <f>IF(B4001=1,INDEX('Data Entry'!$H$5:$BE$10004,4001-4,'Visual SPC'!$B$3),"")</f>
        <v/>
      </c>
      <c r="E4001">
        <f>IF(B4001=1,D4001,E4000)</f>
        <v/>
      </c>
      <c r="F4001">
        <f>IF(AND(B4001=1,C4001&gt;1,E4000&lt;&gt;""),ABS(D4001-E4000),"")</f>
        <v/>
      </c>
    </row>
    <row r="4002">
      <c r="A4002" t="n">
        <v>4002</v>
      </c>
      <c r="B4002">
        <f>IF(INDEX('Data Entry'!$H$5:$BE$10004,4002-4,'Visual SPC'!$B$3)="",0,IF(AND(OR('Visual SPC'!$C$4="",'Data Entry'!$C4002&gt;='Visual SPC'!$C$4),OR('Visual SPC'!$E$4="",'Data Entry'!$C4002&lt;='Visual SPC'!$E$4),OR('Visual SPC'!$G$4="",'Data Entry'!$D4002='Visual SPC'!$G$4),OR('Visual SPC'!$I$4="",'Data Entry'!$E4002='Visual SPC'!$I$4),OR('Visual SPC'!$K$4="",'Data Entry'!$F4002='Visual SPC'!$K$4)),1,0))</f>
        <v/>
      </c>
      <c r="C4002">
        <f>C4001+B4002</f>
        <v/>
      </c>
      <c r="D4002">
        <f>IF(B4002=1,INDEX('Data Entry'!$H$5:$BE$10004,4002-4,'Visual SPC'!$B$3),"")</f>
        <v/>
      </c>
      <c r="E4002">
        <f>IF(B4002=1,D4002,E4001)</f>
        <v/>
      </c>
      <c r="F4002">
        <f>IF(AND(B4002=1,C4002&gt;1,E4001&lt;&gt;""),ABS(D4002-E4001),"")</f>
        <v/>
      </c>
    </row>
    <row r="4003">
      <c r="A4003" t="n">
        <v>4003</v>
      </c>
      <c r="B4003">
        <f>IF(INDEX('Data Entry'!$H$5:$BE$10004,4003-4,'Visual SPC'!$B$3)="",0,IF(AND(OR('Visual SPC'!$C$4="",'Data Entry'!$C4003&gt;='Visual SPC'!$C$4),OR('Visual SPC'!$E$4="",'Data Entry'!$C4003&lt;='Visual SPC'!$E$4),OR('Visual SPC'!$G$4="",'Data Entry'!$D4003='Visual SPC'!$G$4),OR('Visual SPC'!$I$4="",'Data Entry'!$E4003='Visual SPC'!$I$4),OR('Visual SPC'!$K$4="",'Data Entry'!$F4003='Visual SPC'!$K$4)),1,0))</f>
        <v/>
      </c>
      <c r="C4003">
        <f>C4002+B4003</f>
        <v/>
      </c>
      <c r="D4003">
        <f>IF(B4003=1,INDEX('Data Entry'!$H$5:$BE$10004,4003-4,'Visual SPC'!$B$3),"")</f>
        <v/>
      </c>
      <c r="E4003">
        <f>IF(B4003=1,D4003,E4002)</f>
        <v/>
      </c>
      <c r="F4003">
        <f>IF(AND(B4003=1,C4003&gt;1,E4002&lt;&gt;""),ABS(D4003-E4002),"")</f>
        <v/>
      </c>
    </row>
    <row r="4004">
      <c r="A4004" t="n">
        <v>4004</v>
      </c>
      <c r="B4004">
        <f>IF(INDEX('Data Entry'!$H$5:$BE$10004,4004-4,'Visual SPC'!$B$3)="",0,IF(AND(OR('Visual SPC'!$C$4="",'Data Entry'!$C4004&gt;='Visual SPC'!$C$4),OR('Visual SPC'!$E$4="",'Data Entry'!$C4004&lt;='Visual SPC'!$E$4),OR('Visual SPC'!$G$4="",'Data Entry'!$D4004='Visual SPC'!$G$4),OR('Visual SPC'!$I$4="",'Data Entry'!$E4004='Visual SPC'!$I$4),OR('Visual SPC'!$K$4="",'Data Entry'!$F4004='Visual SPC'!$K$4)),1,0))</f>
        <v/>
      </c>
      <c r="C4004">
        <f>C4003+B4004</f>
        <v/>
      </c>
      <c r="D4004">
        <f>IF(B4004=1,INDEX('Data Entry'!$H$5:$BE$10004,4004-4,'Visual SPC'!$B$3),"")</f>
        <v/>
      </c>
      <c r="E4004">
        <f>IF(B4004=1,D4004,E4003)</f>
        <v/>
      </c>
      <c r="F4004">
        <f>IF(AND(B4004=1,C4004&gt;1,E4003&lt;&gt;""),ABS(D4004-E4003),"")</f>
        <v/>
      </c>
    </row>
    <row r="4005">
      <c r="A4005" t="n">
        <v>4005</v>
      </c>
      <c r="B4005">
        <f>IF(INDEX('Data Entry'!$H$5:$BE$10004,4005-4,'Visual SPC'!$B$3)="",0,IF(AND(OR('Visual SPC'!$C$4="",'Data Entry'!$C4005&gt;='Visual SPC'!$C$4),OR('Visual SPC'!$E$4="",'Data Entry'!$C4005&lt;='Visual SPC'!$E$4),OR('Visual SPC'!$G$4="",'Data Entry'!$D4005='Visual SPC'!$G$4),OR('Visual SPC'!$I$4="",'Data Entry'!$E4005='Visual SPC'!$I$4),OR('Visual SPC'!$K$4="",'Data Entry'!$F4005='Visual SPC'!$K$4)),1,0))</f>
        <v/>
      </c>
      <c r="C4005">
        <f>C4004+B4005</f>
        <v/>
      </c>
      <c r="D4005">
        <f>IF(B4005=1,INDEX('Data Entry'!$H$5:$BE$10004,4005-4,'Visual SPC'!$B$3),"")</f>
        <v/>
      </c>
      <c r="E4005">
        <f>IF(B4005=1,D4005,E4004)</f>
        <v/>
      </c>
      <c r="F4005">
        <f>IF(AND(B4005=1,C4005&gt;1,E4004&lt;&gt;""),ABS(D4005-E4004),"")</f>
        <v/>
      </c>
    </row>
    <row r="4006">
      <c r="A4006" t="n">
        <v>4006</v>
      </c>
      <c r="B4006">
        <f>IF(INDEX('Data Entry'!$H$5:$BE$10004,4006-4,'Visual SPC'!$B$3)="",0,IF(AND(OR('Visual SPC'!$C$4="",'Data Entry'!$C4006&gt;='Visual SPC'!$C$4),OR('Visual SPC'!$E$4="",'Data Entry'!$C4006&lt;='Visual SPC'!$E$4),OR('Visual SPC'!$G$4="",'Data Entry'!$D4006='Visual SPC'!$G$4),OR('Visual SPC'!$I$4="",'Data Entry'!$E4006='Visual SPC'!$I$4),OR('Visual SPC'!$K$4="",'Data Entry'!$F4006='Visual SPC'!$K$4)),1,0))</f>
        <v/>
      </c>
      <c r="C4006">
        <f>C4005+B4006</f>
        <v/>
      </c>
      <c r="D4006">
        <f>IF(B4006=1,INDEX('Data Entry'!$H$5:$BE$10004,4006-4,'Visual SPC'!$B$3),"")</f>
        <v/>
      </c>
      <c r="E4006">
        <f>IF(B4006=1,D4006,E4005)</f>
        <v/>
      </c>
      <c r="F4006">
        <f>IF(AND(B4006=1,C4006&gt;1,E4005&lt;&gt;""),ABS(D4006-E4005),"")</f>
        <v/>
      </c>
    </row>
    <row r="4007">
      <c r="A4007" t="n">
        <v>4007</v>
      </c>
      <c r="B4007">
        <f>IF(INDEX('Data Entry'!$H$5:$BE$10004,4007-4,'Visual SPC'!$B$3)="",0,IF(AND(OR('Visual SPC'!$C$4="",'Data Entry'!$C4007&gt;='Visual SPC'!$C$4),OR('Visual SPC'!$E$4="",'Data Entry'!$C4007&lt;='Visual SPC'!$E$4),OR('Visual SPC'!$G$4="",'Data Entry'!$D4007='Visual SPC'!$G$4),OR('Visual SPC'!$I$4="",'Data Entry'!$E4007='Visual SPC'!$I$4),OR('Visual SPC'!$K$4="",'Data Entry'!$F4007='Visual SPC'!$K$4)),1,0))</f>
        <v/>
      </c>
      <c r="C4007">
        <f>C4006+B4007</f>
        <v/>
      </c>
      <c r="D4007">
        <f>IF(B4007=1,INDEX('Data Entry'!$H$5:$BE$10004,4007-4,'Visual SPC'!$B$3),"")</f>
        <v/>
      </c>
      <c r="E4007">
        <f>IF(B4007=1,D4007,E4006)</f>
        <v/>
      </c>
      <c r="F4007">
        <f>IF(AND(B4007=1,C4007&gt;1,E4006&lt;&gt;""),ABS(D4007-E4006),"")</f>
        <v/>
      </c>
    </row>
    <row r="4008">
      <c r="A4008" t="n">
        <v>4008</v>
      </c>
      <c r="B4008">
        <f>IF(INDEX('Data Entry'!$H$5:$BE$10004,4008-4,'Visual SPC'!$B$3)="",0,IF(AND(OR('Visual SPC'!$C$4="",'Data Entry'!$C4008&gt;='Visual SPC'!$C$4),OR('Visual SPC'!$E$4="",'Data Entry'!$C4008&lt;='Visual SPC'!$E$4),OR('Visual SPC'!$G$4="",'Data Entry'!$D4008='Visual SPC'!$G$4),OR('Visual SPC'!$I$4="",'Data Entry'!$E4008='Visual SPC'!$I$4),OR('Visual SPC'!$K$4="",'Data Entry'!$F4008='Visual SPC'!$K$4)),1,0))</f>
        <v/>
      </c>
      <c r="C4008">
        <f>C4007+B4008</f>
        <v/>
      </c>
      <c r="D4008">
        <f>IF(B4008=1,INDEX('Data Entry'!$H$5:$BE$10004,4008-4,'Visual SPC'!$B$3),"")</f>
        <v/>
      </c>
      <c r="E4008">
        <f>IF(B4008=1,D4008,E4007)</f>
        <v/>
      </c>
      <c r="F4008">
        <f>IF(AND(B4008=1,C4008&gt;1,E4007&lt;&gt;""),ABS(D4008-E4007),"")</f>
        <v/>
      </c>
    </row>
    <row r="4009">
      <c r="A4009" t="n">
        <v>4009</v>
      </c>
      <c r="B4009">
        <f>IF(INDEX('Data Entry'!$H$5:$BE$10004,4009-4,'Visual SPC'!$B$3)="",0,IF(AND(OR('Visual SPC'!$C$4="",'Data Entry'!$C4009&gt;='Visual SPC'!$C$4),OR('Visual SPC'!$E$4="",'Data Entry'!$C4009&lt;='Visual SPC'!$E$4),OR('Visual SPC'!$G$4="",'Data Entry'!$D4009='Visual SPC'!$G$4),OR('Visual SPC'!$I$4="",'Data Entry'!$E4009='Visual SPC'!$I$4),OR('Visual SPC'!$K$4="",'Data Entry'!$F4009='Visual SPC'!$K$4)),1,0))</f>
        <v/>
      </c>
      <c r="C4009">
        <f>C4008+B4009</f>
        <v/>
      </c>
      <c r="D4009">
        <f>IF(B4009=1,INDEX('Data Entry'!$H$5:$BE$10004,4009-4,'Visual SPC'!$B$3),"")</f>
        <v/>
      </c>
      <c r="E4009">
        <f>IF(B4009=1,D4009,E4008)</f>
        <v/>
      </c>
      <c r="F4009">
        <f>IF(AND(B4009=1,C4009&gt;1,E4008&lt;&gt;""),ABS(D4009-E4008),"")</f>
        <v/>
      </c>
    </row>
    <row r="4010">
      <c r="A4010" t="n">
        <v>4010</v>
      </c>
      <c r="B4010">
        <f>IF(INDEX('Data Entry'!$H$5:$BE$10004,4010-4,'Visual SPC'!$B$3)="",0,IF(AND(OR('Visual SPC'!$C$4="",'Data Entry'!$C4010&gt;='Visual SPC'!$C$4),OR('Visual SPC'!$E$4="",'Data Entry'!$C4010&lt;='Visual SPC'!$E$4),OR('Visual SPC'!$G$4="",'Data Entry'!$D4010='Visual SPC'!$G$4),OR('Visual SPC'!$I$4="",'Data Entry'!$E4010='Visual SPC'!$I$4),OR('Visual SPC'!$K$4="",'Data Entry'!$F4010='Visual SPC'!$K$4)),1,0))</f>
        <v/>
      </c>
      <c r="C4010">
        <f>C4009+B4010</f>
        <v/>
      </c>
      <c r="D4010">
        <f>IF(B4010=1,INDEX('Data Entry'!$H$5:$BE$10004,4010-4,'Visual SPC'!$B$3),"")</f>
        <v/>
      </c>
      <c r="E4010">
        <f>IF(B4010=1,D4010,E4009)</f>
        <v/>
      </c>
      <c r="F4010">
        <f>IF(AND(B4010=1,C4010&gt;1,E4009&lt;&gt;""),ABS(D4010-E4009),"")</f>
        <v/>
      </c>
    </row>
    <row r="4011">
      <c r="A4011" t="n">
        <v>4011</v>
      </c>
      <c r="B4011">
        <f>IF(INDEX('Data Entry'!$H$5:$BE$10004,4011-4,'Visual SPC'!$B$3)="",0,IF(AND(OR('Visual SPC'!$C$4="",'Data Entry'!$C4011&gt;='Visual SPC'!$C$4),OR('Visual SPC'!$E$4="",'Data Entry'!$C4011&lt;='Visual SPC'!$E$4),OR('Visual SPC'!$G$4="",'Data Entry'!$D4011='Visual SPC'!$G$4),OR('Visual SPC'!$I$4="",'Data Entry'!$E4011='Visual SPC'!$I$4),OR('Visual SPC'!$K$4="",'Data Entry'!$F4011='Visual SPC'!$K$4)),1,0))</f>
        <v/>
      </c>
      <c r="C4011">
        <f>C4010+B4011</f>
        <v/>
      </c>
      <c r="D4011">
        <f>IF(B4011=1,INDEX('Data Entry'!$H$5:$BE$10004,4011-4,'Visual SPC'!$B$3),"")</f>
        <v/>
      </c>
      <c r="E4011">
        <f>IF(B4011=1,D4011,E4010)</f>
        <v/>
      </c>
      <c r="F4011">
        <f>IF(AND(B4011=1,C4011&gt;1,E4010&lt;&gt;""),ABS(D4011-E4010),"")</f>
        <v/>
      </c>
    </row>
    <row r="4012">
      <c r="A4012" t="n">
        <v>4012</v>
      </c>
      <c r="B4012">
        <f>IF(INDEX('Data Entry'!$H$5:$BE$10004,4012-4,'Visual SPC'!$B$3)="",0,IF(AND(OR('Visual SPC'!$C$4="",'Data Entry'!$C4012&gt;='Visual SPC'!$C$4),OR('Visual SPC'!$E$4="",'Data Entry'!$C4012&lt;='Visual SPC'!$E$4),OR('Visual SPC'!$G$4="",'Data Entry'!$D4012='Visual SPC'!$G$4),OR('Visual SPC'!$I$4="",'Data Entry'!$E4012='Visual SPC'!$I$4),OR('Visual SPC'!$K$4="",'Data Entry'!$F4012='Visual SPC'!$K$4)),1,0))</f>
        <v/>
      </c>
      <c r="C4012">
        <f>C4011+B4012</f>
        <v/>
      </c>
      <c r="D4012">
        <f>IF(B4012=1,INDEX('Data Entry'!$H$5:$BE$10004,4012-4,'Visual SPC'!$B$3),"")</f>
        <v/>
      </c>
      <c r="E4012">
        <f>IF(B4012=1,D4012,E4011)</f>
        <v/>
      </c>
      <c r="F4012">
        <f>IF(AND(B4012=1,C4012&gt;1,E4011&lt;&gt;""),ABS(D4012-E4011),"")</f>
        <v/>
      </c>
    </row>
    <row r="4013">
      <c r="A4013" t="n">
        <v>4013</v>
      </c>
      <c r="B4013">
        <f>IF(INDEX('Data Entry'!$H$5:$BE$10004,4013-4,'Visual SPC'!$B$3)="",0,IF(AND(OR('Visual SPC'!$C$4="",'Data Entry'!$C4013&gt;='Visual SPC'!$C$4),OR('Visual SPC'!$E$4="",'Data Entry'!$C4013&lt;='Visual SPC'!$E$4),OR('Visual SPC'!$G$4="",'Data Entry'!$D4013='Visual SPC'!$G$4),OR('Visual SPC'!$I$4="",'Data Entry'!$E4013='Visual SPC'!$I$4),OR('Visual SPC'!$K$4="",'Data Entry'!$F4013='Visual SPC'!$K$4)),1,0))</f>
        <v/>
      </c>
      <c r="C4013">
        <f>C4012+B4013</f>
        <v/>
      </c>
      <c r="D4013">
        <f>IF(B4013=1,INDEX('Data Entry'!$H$5:$BE$10004,4013-4,'Visual SPC'!$B$3),"")</f>
        <v/>
      </c>
      <c r="E4013">
        <f>IF(B4013=1,D4013,E4012)</f>
        <v/>
      </c>
      <c r="F4013">
        <f>IF(AND(B4013=1,C4013&gt;1,E4012&lt;&gt;""),ABS(D4013-E4012),"")</f>
        <v/>
      </c>
    </row>
    <row r="4014">
      <c r="A4014" t="n">
        <v>4014</v>
      </c>
      <c r="B4014">
        <f>IF(INDEX('Data Entry'!$H$5:$BE$10004,4014-4,'Visual SPC'!$B$3)="",0,IF(AND(OR('Visual SPC'!$C$4="",'Data Entry'!$C4014&gt;='Visual SPC'!$C$4),OR('Visual SPC'!$E$4="",'Data Entry'!$C4014&lt;='Visual SPC'!$E$4),OR('Visual SPC'!$G$4="",'Data Entry'!$D4014='Visual SPC'!$G$4),OR('Visual SPC'!$I$4="",'Data Entry'!$E4014='Visual SPC'!$I$4),OR('Visual SPC'!$K$4="",'Data Entry'!$F4014='Visual SPC'!$K$4)),1,0))</f>
        <v/>
      </c>
      <c r="C4014">
        <f>C4013+B4014</f>
        <v/>
      </c>
      <c r="D4014">
        <f>IF(B4014=1,INDEX('Data Entry'!$H$5:$BE$10004,4014-4,'Visual SPC'!$B$3),"")</f>
        <v/>
      </c>
      <c r="E4014">
        <f>IF(B4014=1,D4014,E4013)</f>
        <v/>
      </c>
      <c r="F4014">
        <f>IF(AND(B4014=1,C4014&gt;1,E4013&lt;&gt;""),ABS(D4014-E4013),"")</f>
        <v/>
      </c>
    </row>
    <row r="4015">
      <c r="A4015" t="n">
        <v>4015</v>
      </c>
      <c r="B4015">
        <f>IF(INDEX('Data Entry'!$H$5:$BE$10004,4015-4,'Visual SPC'!$B$3)="",0,IF(AND(OR('Visual SPC'!$C$4="",'Data Entry'!$C4015&gt;='Visual SPC'!$C$4),OR('Visual SPC'!$E$4="",'Data Entry'!$C4015&lt;='Visual SPC'!$E$4),OR('Visual SPC'!$G$4="",'Data Entry'!$D4015='Visual SPC'!$G$4),OR('Visual SPC'!$I$4="",'Data Entry'!$E4015='Visual SPC'!$I$4),OR('Visual SPC'!$K$4="",'Data Entry'!$F4015='Visual SPC'!$K$4)),1,0))</f>
        <v/>
      </c>
      <c r="C4015">
        <f>C4014+B4015</f>
        <v/>
      </c>
      <c r="D4015">
        <f>IF(B4015=1,INDEX('Data Entry'!$H$5:$BE$10004,4015-4,'Visual SPC'!$B$3),"")</f>
        <v/>
      </c>
      <c r="E4015">
        <f>IF(B4015=1,D4015,E4014)</f>
        <v/>
      </c>
      <c r="F4015">
        <f>IF(AND(B4015=1,C4015&gt;1,E4014&lt;&gt;""),ABS(D4015-E4014),"")</f>
        <v/>
      </c>
    </row>
    <row r="4016">
      <c r="A4016" t="n">
        <v>4016</v>
      </c>
      <c r="B4016">
        <f>IF(INDEX('Data Entry'!$H$5:$BE$10004,4016-4,'Visual SPC'!$B$3)="",0,IF(AND(OR('Visual SPC'!$C$4="",'Data Entry'!$C4016&gt;='Visual SPC'!$C$4),OR('Visual SPC'!$E$4="",'Data Entry'!$C4016&lt;='Visual SPC'!$E$4),OR('Visual SPC'!$G$4="",'Data Entry'!$D4016='Visual SPC'!$G$4),OR('Visual SPC'!$I$4="",'Data Entry'!$E4016='Visual SPC'!$I$4),OR('Visual SPC'!$K$4="",'Data Entry'!$F4016='Visual SPC'!$K$4)),1,0))</f>
        <v/>
      </c>
      <c r="C4016">
        <f>C4015+B4016</f>
        <v/>
      </c>
      <c r="D4016">
        <f>IF(B4016=1,INDEX('Data Entry'!$H$5:$BE$10004,4016-4,'Visual SPC'!$B$3),"")</f>
        <v/>
      </c>
      <c r="E4016">
        <f>IF(B4016=1,D4016,E4015)</f>
        <v/>
      </c>
      <c r="F4016">
        <f>IF(AND(B4016=1,C4016&gt;1,E4015&lt;&gt;""),ABS(D4016-E4015),"")</f>
        <v/>
      </c>
    </row>
    <row r="4017">
      <c r="A4017" t="n">
        <v>4017</v>
      </c>
      <c r="B4017">
        <f>IF(INDEX('Data Entry'!$H$5:$BE$10004,4017-4,'Visual SPC'!$B$3)="",0,IF(AND(OR('Visual SPC'!$C$4="",'Data Entry'!$C4017&gt;='Visual SPC'!$C$4),OR('Visual SPC'!$E$4="",'Data Entry'!$C4017&lt;='Visual SPC'!$E$4),OR('Visual SPC'!$G$4="",'Data Entry'!$D4017='Visual SPC'!$G$4),OR('Visual SPC'!$I$4="",'Data Entry'!$E4017='Visual SPC'!$I$4),OR('Visual SPC'!$K$4="",'Data Entry'!$F4017='Visual SPC'!$K$4)),1,0))</f>
        <v/>
      </c>
      <c r="C4017">
        <f>C4016+B4017</f>
        <v/>
      </c>
      <c r="D4017">
        <f>IF(B4017=1,INDEX('Data Entry'!$H$5:$BE$10004,4017-4,'Visual SPC'!$B$3),"")</f>
        <v/>
      </c>
      <c r="E4017">
        <f>IF(B4017=1,D4017,E4016)</f>
        <v/>
      </c>
      <c r="F4017">
        <f>IF(AND(B4017=1,C4017&gt;1,E4016&lt;&gt;""),ABS(D4017-E4016),"")</f>
        <v/>
      </c>
    </row>
    <row r="4018">
      <c r="A4018" t="n">
        <v>4018</v>
      </c>
      <c r="B4018">
        <f>IF(INDEX('Data Entry'!$H$5:$BE$10004,4018-4,'Visual SPC'!$B$3)="",0,IF(AND(OR('Visual SPC'!$C$4="",'Data Entry'!$C4018&gt;='Visual SPC'!$C$4),OR('Visual SPC'!$E$4="",'Data Entry'!$C4018&lt;='Visual SPC'!$E$4),OR('Visual SPC'!$G$4="",'Data Entry'!$D4018='Visual SPC'!$G$4),OR('Visual SPC'!$I$4="",'Data Entry'!$E4018='Visual SPC'!$I$4),OR('Visual SPC'!$K$4="",'Data Entry'!$F4018='Visual SPC'!$K$4)),1,0))</f>
        <v/>
      </c>
      <c r="C4018">
        <f>C4017+B4018</f>
        <v/>
      </c>
      <c r="D4018">
        <f>IF(B4018=1,INDEX('Data Entry'!$H$5:$BE$10004,4018-4,'Visual SPC'!$B$3),"")</f>
        <v/>
      </c>
      <c r="E4018">
        <f>IF(B4018=1,D4018,E4017)</f>
        <v/>
      </c>
      <c r="F4018">
        <f>IF(AND(B4018=1,C4018&gt;1,E4017&lt;&gt;""),ABS(D4018-E4017),"")</f>
        <v/>
      </c>
    </row>
    <row r="4019">
      <c r="A4019" t="n">
        <v>4019</v>
      </c>
      <c r="B4019">
        <f>IF(INDEX('Data Entry'!$H$5:$BE$10004,4019-4,'Visual SPC'!$B$3)="",0,IF(AND(OR('Visual SPC'!$C$4="",'Data Entry'!$C4019&gt;='Visual SPC'!$C$4),OR('Visual SPC'!$E$4="",'Data Entry'!$C4019&lt;='Visual SPC'!$E$4),OR('Visual SPC'!$G$4="",'Data Entry'!$D4019='Visual SPC'!$G$4),OR('Visual SPC'!$I$4="",'Data Entry'!$E4019='Visual SPC'!$I$4),OR('Visual SPC'!$K$4="",'Data Entry'!$F4019='Visual SPC'!$K$4)),1,0))</f>
        <v/>
      </c>
      <c r="C4019">
        <f>C4018+B4019</f>
        <v/>
      </c>
      <c r="D4019">
        <f>IF(B4019=1,INDEX('Data Entry'!$H$5:$BE$10004,4019-4,'Visual SPC'!$B$3),"")</f>
        <v/>
      </c>
      <c r="E4019">
        <f>IF(B4019=1,D4019,E4018)</f>
        <v/>
      </c>
      <c r="F4019">
        <f>IF(AND(B4019=1,C4019&gt;1,E4018&lt;&gt;""),ABS(D4019-E4018),"")</f>
        <v/>
      </c>
    </row>
    <row r="4020">
      <c r="A4020" t="n">
        <v>4020</v>
      </c>
      <c r="B4020">
        <f>IF(INDEX('Data Entry'!$H$5:$BE$10004,4020-4,'Visual SPC'!$B$3)="",0,IF(AND(OR('Visual SPC'!$C$4="",'Data Entry'!$C4020&gt;='Visual SPC'!$C$4),OR('Visual SPC'!$E$4="",'Data Entry'!$C4020&lt;='Visual SPC'!$E$4),OR('Visual SPC'!$G$4="",'Data Entry'!$D4020='Visual SPC'!$G$4),OR('Visual SPC'!$I$4="",'Data Entry'!$E4020='Visual SPC'!$I$4),OR('Visual SPC'!$K$4="",'Data Entry'!$F4020='Visual SPC'!$K$4)),1,0))</f>
        <v/>
      </c>
      <c r="C4020">
        <f>C4019+B4020</f>
        <v/>
      </c>
      <c r="D4020">
        <f>IF(B4020=1,INDEX('Data Entry'!$H$5:$BE$10004,4020-4,'Visual SPC'!$B$3),"")</f>
        <v/>
      </c>
      <c r="E4020">
        <f>IF(B4020=1,D4020,E4019)</f>
        <v/>
      </c>
      <c r="F4020">
        <f>IF(AND(B4020=1,C4020&gt;1,E4019&lt;&gt;""),ABS(D4020-E4019),"")</f>
        <v/>
      </c>
    </row>
    <row r="4021">
      <c r="A4021" t="n">
        <v>4021</v>
      </c>
      <c r="B4021">
        <f>IF(INDEX('Data Entry'!$H$5:$BE$10004,4021-4,'Visual SPC'!$B$3)="",0,IF(AND(OR('Visual SPC'!$C$4="",'Data Entry'!$C4021&gt;='Visual SPC'!$C$4),OR('Visual SPC'!$E$4="",'Data Entry'!$C4021&lt;='Visual SPC'!$E$4),OR('Visual SPC'!$G$4="",'Data Entry'!$D4021='Visual SPC'!$G$4),OR('Visual SPC'!$I$4="",'Data Entry'!$E4021='Visual SPC'!$I$4),OR('Visual SPC'!$K$4="",'Data Entry'!$F4021='Visual SPC'!$K$4)),1,0))</f>
        <v/>
      </c>
      <c r="C4021">
        <f>C4020+B4021</f>
        <v/>
      </c>
      <c r="D4021">
        <f>IF(B4021=1,INDEX('Data Entry'!$H$5:$BE$10004,4021-4,'Visual SPC'!$B$3),"")</f>
        <v/>
      </c>
      <c r="E4021">
        <f>IF(B4021=1,D4021,E4020)</f>
        <v/>
      </c>
      <c r="F4021">
        <f>IF(AND(B4021=1,C4021&gt;1,E4020&lt;&gt;""),ABS(D4021-E4020),"")</f>
        <v/>
      </c>
    </row>
    <row r="4022">
      <c r="A4022" t="n">
        <v>4022</v>
      </c>
      <c r="B4022">
        <f>IF(INDEX('Data Entry'!$H$5:$BE$10004,4022-4,'Visual SPC'!$B$3)="",0,IF(AND(OR('Visual SPC'!$C$4="",'Data Entry'!$C4022&gt;='Visual SPC'!$C$4),OR('Visual SPC'!$E$4="",'Data Entry'!$C4022&lt;='Visual SPC'!$E$4),OR('Visual SPC'!$G$4="",'Data Entry'!$D4022='Visual SPC'!$G$4),OR('Visual SPC'!$I$4="",'Data Entry'!$E4022='Visual SPC'!$I$4),OR('Visual SPC'!$K$4="",'Data Entry'!$F4022='Visual SPC'!$K$4)),1,0))</f>
        <v/>
      </c>
      <c r="C4022">
        <f>C4021+B4022</f>
        <v/>
      </c>
      <c r="D4022">
        <f>IF(B4022=1,INDEX('Data Entry'!$H$5:$BE$10004,4022-4,'Visual SPC'!$B$3),"")</f>
        <v/>
      </c>
      <c r="E4022">
        <f>IF(B4022=1,D4022,E4021)</f>
        <v/>
      </c>
      <c r="F4022">
        <f>IF(AND(B4022=1,C4022&gt;1,E4021&lt;&gt;""),ABS(D4022-E4021),"")</f>
        <v/>
      </c>
    </row>
    <row r="4023">
      <c r="A4023" t="n">
        <v>4023</v>
      </c>
      <c r="B4023">
        <f>IF(INDEX('Data Entry'!$H$5:$BE$10004,4023-4,'Visual SPC'!$B$3)="",0,IF(AND(OR('Visual SPC'!$C$4="",'Data Entry'!$C4023&gt;='Visual SPC'!$C$4),OR('Visual SPC'!$E$4="",'Data Entry'!$C4023&lt;='Visual SPC'!$E$4),OR('Visual SPC'!$G$4="",'Data Entry'!$D4023='Visual SPC'!$G$4),OR('Visual SPC'!$I$4="",'Data Entry'!$E4023='Visual SPC'!$I$4),OR('Visual SPC'!$K$4="",'Data Entry'!$F4023='Visual SPC'!$K$4)),1,0))</f>
        <v/>
      </c>
      <c r="C4023">
        <f>C4022+B4023</f>
        <v/>
      </c>
      <c r="D4023">
        <f>IF(B4023=1,INDEX('Data Entry'!$H$5:$BE$10004,4023-4,'Visual SPC'!$B$3),"")</f>
        <v/>
      </c>
      <c r="E4023">
        <f>IF(B4023=1,D4023,E4022)</f>
        <v/>
      </c>
      <c r="F4023">
        <f>IF(AND(B4023=1,C4023&gt;1,E4022&lt;&gt;""),ABS(D4023-E4022),"")</f>
        <v/>
      </c>
    </row>
    <row r="4024">
      <c r="A4024" t="n">
        <v>4024</v>
      </c>
      <c r="B4024">
        <f>IF(INDEX('Data Entry'!$H$5:$BE$10004,4024-4,'Visual SPC'!$B$3)="",0,IF(AND(OR('Visual SPC'!$C$4="",'Data Entry'!$C4024&gt;='Visual SPC'!$C$4),OR('Visual SPC'!$E$4="",'Data Entry'!$C4024&lt;='Visual SPC'!$E$4),OR('Visual SPC'!$G$4="",'Data Entry'!$D4024='Visual SPC'!$G$4),OR('Visual SPC'!$I$4="",'Data Entry'!$E4024='Visual SPC'!$I$4),OR('Visual SPC'!$K$4="",'Data Entry'!$F4024='Visual SPC'!$K$4)),1,0))</f>
        <v/>
      </c>
      <c r="C4024">
        <f>C4023+B4024</f>
        <v/>
      </c>
      <c r="D4024">
        <f>IF(B4024=1,INDEX('Data Entry'!$H$5:$BE$10004,4024-4,'Visual SPC'!$B$3),"")</f>
        <v/>
      </c>
      <c r="E4024">
        <f>IF(B4024=1,D4024,E4023)</f>
        <v/>
      </c>
      <c r="F4024">
        <f>IF(AND(B4024=1,C4024&gt;1,E4023&lt;&gt;""),ABS(D4024-E4023),"")</f>
        <v/>
      </c>
    </row>
    <row r="4025">
      <c r="A4025" t="n">
        <v>4025</v>
      </c>
      <c r="B4025">
        <f>IF(INDEX('Data Entry'!$H$5:$BE$10004,4025-4,'Visual SPC'!$B$3)="",0,IF(AND(OR('Visual SPC'!$C$4="",'Data Entry'!$C4025&gt;='Visual SPC'!$C$4),OR('Visual SPC'!$E$4="",'Data Entry'!$C4025&lt;='Visual SPC'!$E$4),OR('Visual SPC'!$G$4="",'Data Entry'!$D4025='Visual SPC'!$G$4),OR('Visual SPC'!$I$4="",'Data Entry'!$E4025='Visual SPC'!$I$4),OR('Visual SPC'!$K$4="",'Data Entry'!$F4025='Visual SPC'!$K$4)),1,0))</f>
        <v/>
      </c>
      <c r="C4025">
        <f>C4024+B4025</f>
        <v/>
      </c>
      <c r="D4025">
        <f>IF(B4025=1,INDEX('Data Entry'!$H$5:$BE$10004,4025-4,'Visual SPC'!$B$3),"")</f>
        <v/>
      </c>
      <c r="E4025">
        <f>IF(B4025=1,D4025,E4024)</f>
        <v/>
      </c>
      <c r="F4025">
        <f>IF(AND(B4025=1,C4025&gt;1,E4024&lt;&gt;""),ABS(D4025-E4024),"")</f>
        <v/>
      </c>
    </row>
    <row r="4026">
      <c r="A4026" t="n">
        <v>4026</v>
      </c>
      <c r="B4026">
        <f>IF(INDEX('Data Entry'!$H$5:$BE$10004,4026-4,'Visual SPC'!$B$3)="",0,IF(AND(OR('Visual SPC'!$C$4="",'Data Entry'!$C4026&gt;='Visual SPC'!$C$4),OR('Visual SPC'!$E$4="",'Data Entry'!$C4026&lt;='Visual SPC'!$E$4),OR('Visual SPC'!$G$4="",'Data Entry'!$D4026='Visual SPC'!$G$4),OR('Visual SPC'!$I$4="",'Data Entry'!$E4026='Visual SPC'!$I$4),OR('Visual SPC'!$K$4="",'Data Entry'!$F4026='Visual SPC'!$K$4)),1,0))</f>
        <v/>
      </c>
      <c r="C4026">
        <f>C4025+B4026</f>
        <v/>
      </c>
      <c r="D4026">
        <f>IF(B4026=1,INDEX('Data Entry'!$H$5:$BE$10004,4026-4,'Visual SPC'!$B$3),"")</f>
        <v/>
      </c>
      <c r="E4026">
        <f>IF(B4026=1,D4026,E4025)</f>
        <v/>
      </c>
      <c r="F4026">
        <f>IF(AND(B4026=1,C4026&gt;1,E4025&lt;&gt;""),ABS(D4026-E4025),"")</f>
        <v/>
      </c>
    </row>
    <row r="4027">
      <c r="A4027" t="n">
        <v>4027</v>
      </c>
      <c r="B4027">
        <f>IF(INDEX('Data Entry'!$H$5:$BE$10004,4027-4,'Visual SPC'!$B$3)="",0,IF(AND(OR('Visual SPC'!$C$4="",'Data Entry'!$C4027&gt;='Visual SPC'!$C$4),OR('Visual SPC'!$E$4="",'Data Entry'!$C4027&lt;='Visual SPC'!$E$4),OR('Visual SPC'!$G$4="",'Data Entry'!$D4027='Visual SPC'!$G$4),OR('Visual SPC'!$I$4="",'Data Entry'!$E4027='Visual SPC'!$I$4),OR('Visual SPC'!$K$4="",'Data Entry'!$F4027='Visual SPC'!$K$4)),1,0))</f>
        <v/>
      </c>
      <c r="C4027">
        <f>C4026+B4027</f>
        <v/>
      </c>
      <c r="D4027">
        <f>IF(B4027=1,INDEX('Data Entry'!$H$5:$BE$10004,4027-4,'Visual SPC'!$B$3),"")</f>
        <v/>
      </c>
      <c r="E4027">
        <f>IF(B4027=1,D4027,E4026)</f>
        <v/>
      </c>
      <c r="F4027">
        <f>IF(AND(B4027=1,C4027&gt;1,E4026&lt;&gt;""),ABS(D4027-E4026),"")</f>
        <v/>
      </c>
    </row>
    <row r="4028">
      <c r="A4028" t="n">
        <v>4028</v>
      </c>
      <c r="B4028">
        <f>IF(INDEX('Data Entry'!$H$5:$BE$10004,4028-4,'Visual SPC'!$B$3)="",0,IF(AND(OR('Visual SPC'!$C$4="",'Data Entry'!$C4028&gt;='Visual SPC'!$C$4),OR('Visual SPC'!$E$4="",'Data Entry'!$C4028&lt;='Visual SPC'!$E$4),OR('Visual SPC'!$G$4="",'Data Entry'!$D4028='Visual SPC'!$G$4),OR('Visual SPC'!$I$4="",'Data Entry'!$E4028='Visual SPC'!$I$4),OR('Visual SPC'!$K$4="",'Data Entry'!$F4028='Visual SPC'!$K$4)),1,0))</f>
        <v/>
      </c>
      <c r="C4028">
        <f>C4027+B4028</f>
        <v/>
      </c>
      <c r="D4028">
        <f>IF(B4028=1,INDEX('Data Entry'!$H$5:$BE$10004,4028-4,'Visual SPC'!$B$3),"")</f>
        <v/>
      </c>
      <c r="E4028">
        <f>IF(B4028=1,D4028,E4027)</f>
        <v/>
      </c>
      <c r="F4028">
        <f>IF(AND(B4028=1,C4028&gt;1,E4027&lt;&gt;""),ABS(D4028-E4027),"")</f>
        <v/>
      </c>
    </row>
    <row r="4029">
      <c r="A4029" t="n">
        <v>4029</v>
      </c>
      <c r="B4029">
        <f>IF(INDEX('Data Entry'!$H$5:$BE$10004,4029-4,'Visual SPC'!$B$3)="",0,IF(AND(OR('Visual SPC'!$C$4="",'Data Entry'!$C4029&gt;='Visual SPC'!$C$4),OR('Visual SPC'!$E$4="",'Data Entry'!$C4029&lt;='Visual SPC'!$E$4),OR('Visual SPC'!$G$4="",'Data Entry'!$D4029='Visual SPC'!$G$4),OR('Visual SPC'!$I$4="",'Data Entry'!$E4029='Visual SPC'!$I$4),OR('Visual SPC'!$K$4="",'Data Entry'!$F4029='Visual SPC'!$K$4)),1,0))</f>
        <v/>
      </c>
      <c r="C4029">
        <f>C4028+B4029</f>
        <v/>
      </c>
      <c r="D4029">
        <f>IF(B4029=1,INDEX('Data Entry'!$H$5:$BE$10004,4029-4,'Visual SPC'!$B$3),"")</f>
        <v/>
      </c>
      <c r="E4029">
        <f>IF(B4029=1,D4029,E4028)</f>
        <v/>
      </c>
      <c r="F4029">
        <f>IF(AND(B4029=1,C4029&gt;1,E4028&lt;&gt;""),ABS(D4029-E4028),"")</f>
        <v/>
      </c>
    </row>
    <row r="4030">
      <c r="A4030" t="n">
        <v>4030</v>
      </c>
      <c r="B4030">
        <f>IF(INDEX('Data Entry'!$H$5:$BE$10004,4030-4,'Visual SPC'!$B$3)="",0,IF(AND(OR('Visual SPC'!$C$4="",'Data Entry'!$C4030&gt;='Visual SPC'!$C$4),OR('Visual SPC'!$E$4="",'Data Entry'!$C4030&lt;='Visual SPC'!$E$4),OR('Visual SPC'!$G$4="",'Data Entry'!$D4030='Visual SPC'!$G$4),OR('Visual SPC'!$I$4="",'Data Entry'!$E4030='Visual SPC'!$I$4),OR('Visual SPC'!$K$4="",'Data Entry'!$F4030='Visual SPC'!$K$4)),1,0))</f>
        <v/>
      </c>
      <c r="C4030">
        <f>C4029+B4030</f>
        <v/>
      </c>
      <c r="D4030">
        <f>IF(B4030=1,INDEX('Data Entry'!$H$5:$BE$10004,4030-4,'Visual SPC'!$B$3),"")</f>
        <v/>
      </c>
      <c r="E4030">
        <f>IF(B4030=1,D4030,E4029)</f>
        <v/>
      </c>
      <c r="F4030">
        <f>IF(AND(B4030=1,C4030&gt;1,E4029&lt;&gt;""),ABS(D4030-E4029),"")</f>
        <v/>
      </c>
    </row>
    <row r="4031">
      <c r="A4031" t="n">
        <v>4031</v>
      </c>
      <c r="B4031">
        <f>IF(INDEX('Data Entry'!$H$5:$BE$10004,4031-4,'Visual SPC'!$B$3)="",0,IF(AND(OR('Visual SPC'!$C$4="",'Data Entry'!$C4031&gt;='Visual SPC'!$C$4),OR('Visual SPC'!$E$4="",'Data Entry'!$C4031&lt;='Visual SPC'!$E$4),OR('Visual SPC'!$G$4="",'Data Entry'!$D4031='Visual SPC'!$G$4),OR('Visual SPC'!$I$4="",'Data Entry'!$E4031='Visual SPC'!$I$4),OR('Visual SPC'!$K$4="",'Data Entry'!$F4031='Visual SPC'!$K$4)),1,0))</f>
        <v/>
      </c>
      <c r="C4031">
        <f>C4030+B4031</f>
        <v/>
      </c>
      <c r="D4031">
        <f>IF(B4031=1,INDEX('Data Entry'!$H$5:$BE$10004,4031-4,'Visual SPC'!$B$3),"")</f>
        <v/>
      </c>
      <c r="E4031">
        <f>IF(B4031=1,D4031,E4030)</f>
        <v/>
      </c>
      <c r="F4031">
        <f>IF(AND(B4031=1,C4031&gt;1,E4030&lt;&gt;""),ABS(D4031-E4030),"")</f>
        <v/>
      </c>
    </row>
    <row r="4032">
      <c r="A4032" t="n">
        <v>4032</v>
      </c>
      <c r="B4032">
        <f>IF(INDEX('Data Entry'!$H$5:$BE$10004,4032-4,'Visual SPC'!$B$3)="",0,IF(AND(OR('Visual SPC'!$C$4="",'Data Entry'!$C4032&gt;='Visual SPC'!$C$4),OR('Visual SPC'!$E$4="",'Data Entry'!$C4032&lt;='Visual SPC'!$E$4),OR('Visual SPC'!$G$4="",'Data Entry'!$D4032='Visual SPC'!$G$4),OR('Visual SPC'!$I$4="",'Data Entry'!$E4032='Visual SPC'!$I$4),OR('Visual SPC'!$K$4="",'Data Entry'!$F4032='Visual SPC'!$K$4)),1,0))</f>
        <v/>
      </c>
      <c r="C4032">
        <f>C4031+B4032</f>
        <v/>
      </c>
      <c r="D4032">
        <f>IF(B4032=1,INDEX('Data Entry'!$H$5:$BE$10004,4032-4,'Visual SPC'!$B$3),"")</f>
        <v/>
      </c>
      <c r="E4032">
        <f>IF(B4032=1,D4032,E4031)</f>
        <v/>
      </c>
      <c r="F4032">
        <f>IF(AND(B4032=1,C4032&gt;1,E4031&lt;&gt;""),ABS(D4032-E4031),"")</f>
        <v/>
      </c>
    </row>
    <row r="4033">
      <c r="A4033" t="n">
        <v>4033</v>
      </c>
      <c r="B4033">
        <f>IF(INDEX('Data Entry'!$H$5:$BE$10004,4033-4,'Visual SPC'!$B$3)="",0,IF(AND(OR('Visual SPC'!$C$4="",'Data Entry'!$C4033&gt;='Visual SPC'!$C$4),OR('Visual SPC'!$E$4="",'Data Entry'!$C4033&lt;='Visual SPC'!$E$4),OR('Visual SPC'!$G$4="",'Data Entry'!$D4033='Visual SPC'!$G$4),OR('Visual SPC'!$I$4="",'Data Entry'!$E4033='Visual SPC'!$I$4),OR('Visual SPC'!$K$4="",'Data Entry'!$F4033='Visual SPC'!$K$4)),1,0))</f>
        <v/>
      </c>
      <c r="C4033">
        <f>C4032+B4033</f>
        <v/>
      </c>
      <c r="D4033">
        <f>IF(B4033=1,INDEX('Data Entry'!$H$5:$BE$10004,4033-4,'Visual SPC'!$B$3),"")</f>
        <v/>
      </c>
      <c r="E4033">
        <f>IF(B4033=1,D4033,E4032)</f>
        <v/>
      </c>
      <c r="F4033">
        <f>IF(AND(B4033=1,C4033&gt;1,E4032&lt;&gt;""),ABS(D4033-E4032),"")</f>
        <v/>
      </c>
    </row>
    <row r="4034">
      <c r="A4034" t="n">
        <v>4034</v>
      </c>
      <c r="B4034">
        <f>IF(INDEX('Data Entry'!$H$5:$BE$10004,4034-4,'Visual SPC'!$B$3)="",0,IF(AND(OR('Visual SPC'!$C$4="",'Data Entry'!$C4034&gt;='Visual SPC'!$C$4),OR('Visual SPC'!$E$4="",'Data Entry'!$C4034&lt;='Visual SPC'!$E$4),OR('Visual SPC'!$G$4="",'Data Entry'!$D4034='Visual SPC'!$G$4),OR('Visual SPC'!$I$4="",'Data Entry'!$E4034='Visual SPC'!$I$4),OR('Visual SPC'!$K$4="",'Data Entry'!$F4034='Visual SPC'!$K$4)),1,0))</f>
        <v/>
      </c>
      <c r="C4034">
        <f>C4033+B4034</f>
        <v/>
      </c>
      <c r="D4034">
        <f>IF(B4034=1,INDEX('Data Entry'!$H$5:$BE$10004,4034-4,'Visual SPC'!$B$3),"")</f>
        <v/>
      </c>
      <c r="E4034">
        <f>IF(B4034=1,D4034,E4033)</f>
        <v/>
      </c>
      <c r="F4034">
        <f>IF(AND(B4034=1,C4034&gt;1,E4033&lt;&gt;""),ABS(D4034-E4033),"")</f>
        <v/>
      </c>
    </row>
    <row r="4035">
      <c r="A4035" t="n">
        <v>4035</v>
      </c>
      <c r="B4035">
        <f>IF(INDEX('Data Entry'!$H$5:$BE$10004,4035-4,'Visual SPC'!$B$3)="",0,IF(AND(OR('Visual SPC'!$C$4="",'Data Entry'!$C4035&gt;='Visual SPC'!$C$4),OR('Visual SPC'!$E$4="",'Data Entry'!$C4035&lt;='Visual SPC'!$E$4),OR('Visual SPC'!$G$4="",'Data Entry'!$D4035='Visual SPC'!$G$4),OR('Visual SPC'!$I$4="",'Data Entry'!$E4035='Visual SPC'!$I$4),OR('Visual SPC'!$K$4="",'Data Entry'!$F4035='Visual SPC'!$K$4)),1,0))</f>
        <v/>
      </c>
      <c r="C4035">
        <f>C4034+B4035</f>
        <v/>
      </c>
      <c r="D4035">
        <f>IF(B4035=1,INDEX('Data Entry'!$H$5:$BE$10004,4035-4,'Visual SPC'!$B$3),"")</f>
        <v/>
      </c>
      <c r="E4035">
        <f>IF(B4035=1,D4035,E4034)</f>
        <v/>
      </c>
      <c r="F4035">
        <f>IF(AND(B4035=1,C4035&gt;1,E4034&lt;&gt;""),ABS(D4035-E4034),"")</f>
        <v/>
      </c>
    </row>
    <row r="4036">
      <c r="A4036" t="n">
        <v>4036</v>
      </c>
      <c r="B4036">
        <f>IF(INDEX('Data Entry'!$H$5:$BE$10004,4036-4,'Visual SPC'!$B$3)="",0,IF(AND(OR('Visual SPC'!$C$4="",'Data Entry'!$C4036&gt;='Visual SPC'!$C$4),OR('Visual SPC'!$E$4="",'Data Entry'!$C4036&lt;='Visual SPC'!$E$4),OR('Visual SPC'!$G$4="",'Data Entry'!$D4036='Visual SPC'!$G$4),OR('Visual SPC'!$I$4="",'Data Entry'!$E4036='Visual SPC'!$I$4),OR('Visual SPC'!$K$4="",'Data Entry'!$F4036='Visual SPC'!$K$4)),1,0))</f>
        <v/>
      </c>
      <c r="C4036">
        <f>C4035+B4036</f>
        <v/>
      </c>
      <c r="D4036">
        <f>IF(B4036=1,INDEX('Data Entry'!$H$5:$BE$10004,4036-4,'Visual SPC'!$B$3),"")</f>
        <v/>
      </c>
      <c r="E4036">
        <f>IF(B4036=1,D4036,E4035)</f>
        <v/>
      </c>
      <c r="F4036">
        <f>IF(AND(B4036=1,C4036&gt;1,E4035&lt;&gt;""),ABS(D4036-E4035),"")</f>
        <v/>
      </c>
    </row>
    <row r="4037">
      <c r="A4037" t="n">
        <v>4037</v>
      </c>
      <c r="B4037">
        <f>IF(INDEX('Data Entry'!$H$5:$BE$10004,4037-4,'Visual SPC'!$B$3)="",0,IF(AND(OR('Visual SPC'!$C$4="",'Data Entry'!$C4037&gt;='Visual SPC'!$C$4),OR('Visual SPC'!$E$4="",'Data Entry'!$C4037&lt;='Visual SPC'!$E$4),OR('Visual SPC'!$G$4="",'Data Entry'!$D4037='Visual SPC'!$G$4),OR('Visual SPC'!$I$4="",'Data Entry'!$E4037='Visual SPC'!$I$4),OR('Visual SPC'!$K$4="",'Data Entry'!$F4037='Visual SPC'!$K$4)),1,0))</f>
        <v/>
      </c>
      <c r="C4037">
        <f>C4036+B4037</f>
        <v/>
      </c>
      <c r="D4037">
        <f>IF(B4037=1,INDEX('Data Entry'!$H$5:$BE$10004,4037-4,'Visual SPC'!$B$3),"")</f>
        <v/>
      </c>
      <c r="E4037">
        <f>IF(B4037=1,D4037,E4036)</f>
        <v/>
      </c>
      <c r="F4037">
        <f>IF(AND(B4037=1,C4037&gt;1,E4036&lt;&gt;""),ABS(D4037-E4036),"")</f>
        <v/>
      </c>
    </row>
    <row r="4038">
      <c r="A4038" t="n">
        <v>4038</v>
      </c>
      <c r="B4038">
        <f>IF(INDEX('Data Entry'!$H$5:$BE$10004,4038-4,'Visual SPC'!$B$3)="",0,IF(AND(OR('Visual SPC'!$C$4="",'Data Entry'!$C4038&gt;='Visual SPC'!$C$4),OR('Visual SPC'!$E$4="",'Data Entry'!$C4038&lt;='Visual SPC'!$E$4),OR('Visual SPC'!$G$4="",'Data Entry'!$D4038='Visual SPC'!$G$4),OR('Visual SPC'!$I$4="",'Data Entry'!$E4038='Visual SPC'!$I$4),OR('Visual SPC'!$K$4="",'Data Entry'!$F4038='Visual SPC'!$K$4)),1,0))</f>
        <v/>
      </c>
      <c r="C4038">
        <f>C4037+B4038</f>
        <v/>
      </c>
      <c r="D4038">
        <f>IF(B4038=1,INDEX('Data Entry'!$H$5:$BE$10004,4038-4,'Visual SPC'!$B$3),"")</f>
        <v/>
      </c>
      <c r="E4038">
        <f>IF(B4038=1,D4038,E4037)</f>
        <v/>
      </c>
      <c r="F4038">
        <f>IF(AND(B4038=1,C4038&gt;1,E4037&lt;&gt;""),ABS(D4038-E4037),"")</f>
        <v/>
      </c>
    </row>
    <row r="4039">
      <c r="A4039" t="n">
        <v>4039</v>
      </c>
      <c r="B4039">
        <f>IF(INDEX('Data Entry'!$H$5:$BE$10004,4039-4,'Visual SPC'!$B$3)="",0,IF(AND(OR('Visual SPC'!$C$4="",'Data Entry'!$C4039&gt;='Visual SPC'!$C$4),OR('Visual SPC'!$E$4="",'Data Entry'!$C4039&lt;='Visual SPC'!$E$4),OR('Visual SPC'!$G$4="",'Data Entry'!$D4039='Visual SPC'!$G$4),OR('Visual SPC'!$I$4="",'Data Entry'!$E4039='Visual SPC'!$I$4),OR('Visual SPC'!$K$4="",'Data Entry'!$F4039='Visual SPC'!$K$4)),1,0))</f>
        <v/>
      </c>
      <c r="C4039">
        <f>C4038+B4039</f>
        <v/>
      </c>
      <c r="D4039">
        <f>IF(B4039=1,INDEX('Data Entry'!$H$5:$BE$10004,4039-4,'Visual SPC'!$B$3),"")</f>
        <v/>
      </c>
      <c r="E4039">
        <f>IF(B4039=1,D4039,E4038)</f>
        <v/>
      </c>
      <c r="F4039">
        <f>IF(AND(B4039=1,C4039&gt;1,E4038&lt;&gt;""),ABS(D4039-E4038),"")</f>
        <v/>
      </c>
    </row>
    <row r="4040">
      <c r="A4040" t="n">
        <v>4040</v>
      </c>
      <c r="B4040">
        <f>IF(INDEX('Data Entry'!$H$5:$BE$10004,4040-4,'Visual SPC'!$B$3)="",0,IF(AND(OR('Visual SPC'!$C$4="",'Data Entry'!$C4040&gt;='Visual SPC'!$C$4),OR('Visual SPC'!$E$4="",'Data Entry'!$C4040&lt;='Visual SPC'!$E$4),OR('Visual SPC'!$G$4="",'Data Entry'!$D4040='Visual SPC'!$G$4),OR('Visual SPC'!$I$4="",'Data Entry'!$E4040='Visual SPC'!$I$4),OR('Visual SPC'!$K$4="",'Data Entry'!$F4040='Visual SPC'!$K$4)),1,0))</f>
        <v/>
      </c>
      <c r="C4040">
        <f>C4039+B4040</f>
        <v/>
      </c>
      <c r="D4040">
        <f>IF(B4040=1,INDEX('Data Entry'!$H$5:$BE$10004,4040-4,'Visual SPC'!$B$3),"")</f>
        <v/>
      </c>
      <c r="E4040">
        <f>IF(B4040=1,D4040,E4039)</f>
        <v/>
      </c>
      <c r="F4040">
        <f>IF(AND(B4040=1,C4040&gt;1,E4039&lt;&gt;""),ABS(D4040-E4039),"")</f>
        <v/>
      </c>
    </row>
    <row r="4041">
      <c r="A4041" t="n">
        <v>4041</v>
      </c>
      <c r="B4041">
        <f>IF(INDEX('Data Entry'!$H$5:$BE$10004,4041-4,'Visual SPC'!$B$3)="",0,IF(AND(OR('Visual SPC'!$C$4="",'Data Entry'!$C4041&gt;='Visual SPC'!$C$4),OR('Visual SPC'!$E$4="",'Data Entry'!$C4041&lt;='Visual SPC'!$E$4),OR('Visual SPC'!$G$4="",'Data Entry'!$D4041='Visual SPC'!$G$4),OR('Visual SPC'!$I$4="",'Data Entry'!$E4041='Visual SPC'!$I$4),OR('Visual SPC'!$K$4="",'Data Entry'!$F4041='Visual SPC'!$K$4)),1,0))</f>
        <v/>
      </c>
      <c r="C4041">
        <f>C4040+B4041</f>
        <v/>
      </c>
      <c r="D4041">
        <f>IF(B4041=1,INDEX('Data Entry'!$H$5:$BE$10004,4041-4,'Visual SPC'!$B$3),"")</f>
        <v/>
      </c>
      <c r="E4041">
        <f>IF(B4041=1,D4041,E4040)</f>
        <v/>
      </c>
      <c r="F4041">
        <f>IF(AND(B4041=1,C4041&gt;1,E4040&lt;&gt;""),ABS(D4041-E4040),"")</f>
        <v/>
      </c>
    </row>
    <row r="4042">
      <c r="A4042" t="n">
        <v>4042</v>
      </c>
      <c r="B4042">
        <f>IF(INDEX('Data Entry'!$H$5:$BE$10004,4042-4,'Visual SPC'!$B$3)="",0,IF(AND(OR('Visual SPC'!$C$4="",'Data Entry'!$C4042&gt;='Visual SPC'!$C$4),OR('Visual SPC'!$E$4="",'Data Entry'!$C4042&lt;='Visual SPC'!$E$4),OR('Visual SPC'!$G$4="",'Data Entry'!$D4042='Visual SPC'!$G$4),OR('Visual SPC'!$I$4="",'Data Entry'!$E4042='Visual SPC'!$I$4),OR('Visual SPC'!$K$4="",'Data Entry'!$F4042='Visual SPC'!$K$4)),1,0))</f>
        <v/>
      </c>
      <c r="C4042">
        <f>C4041+B4042</f>
        <v/>
      </c>
      <c r="D4042">
        <f>IF(B4042=1,INDEX('Data Entry'!$H$5:$BE$10004,4042-4,'Visual SPC'!$B$3),"")</f>
        <v/>
      </c>
      <c r="E4042">
        <f>IF(B4042=1,D4042,E4041)</f>
        <v/>
      </c>
      <c r="F4042">
        <f>IF(AND(B4042=1,C4042&gt;1,E4041&lt;&gt;""),ABS(D4042-E4041),"")</f>
        <v/>
      </c>
    </row>
    <row r="4043">
      <c r="A4043" t="n">
        <v>4043</v>
      </c>
      <c r="B4043">
        <f>IF(INDEX('Data Entry'!$H$5:$BE$10004,4043-4,'Visual SPC'!$B$3)="",0,IF(AND(OR('Visual SPC'!$C$4="",'Data Entry'!$C4043&gt;='Visual SPC'!$C$4),OR('Visual SPC'!$E$4="",'Data Entry'!$C4043&lt;='Visual SPC'!$E$4),OR('Visual SPC'!$G$4="",'Data Entry'!$D4043='Visual SPC'!$G$4),OR('Visual SPC'!$I$4="",'Data Entry'!$E4043='Visual SPC'!$I$4),OR('Visual SPC'!$K$4="",'Data Entry'!$F4043='Visual SPC'!$K$4)),1,0))</f>
        <v/>
      </c>
      <c r="C4043">
        <f>C4042+B4043</f>
        <v/>
      </c>
      <c r="D4043">
        <f>IF(B4043=1,INDEX('Data Entry'!$H$5:$BE$10004,4043-4,'Visual SPC'!$B$3),"")</f>
        <v/>
      </c>
      <c r="E4043">
        <f>IF(B4043=1,D4043,E4042)</f>
        <v/>
      </c>
      <c r="F4043">
        <f>IF(AND(B4043=1,C4043&gt;1,E4042&lt;&gt;""),ABS(D4043-E4042),"")</f>
        <v/>
      </c>
    </row>
    <row r="4044">
      <c r="A4044" t="n">
        <v>4044</v>
      </c>
      <c r="B4044">
        <f>IF(INDEX('Data Entry'!$H$5:$BE$10004,4044-4,'Visual SPC'!$B$3)="",0,IF(AND(OR('Visual SPC'!$C$4="",'Data Entry'!$C4044&gt;='Visual SPC'!$C$4),OR('Visual SPC'!$E$4="",'Data Entry'!$C4044&lt;='Visual SPC'!$E$4),OR('Visual SPC'!$G$4="",'Data Entry'!$D4044='Visual SPC'!$G$4),OR('Visual SPC'!$I$4="",'Data Entry'!$E4044='Visual SPC'!$I$4),OR('Visual SPC'!$K$4="",'Data Entry'!$F4044='Visual SPC'!$K$4)),1,0))</f>
        <v/>
      </c>
      <c r="C4044">
        <f>C4043+B4044</f>
        <v/>
      </c>
      <c r="D4044">
        <f>IF(B4044=1,INDEX('Data Entry'!$H$5:$BE$10004,4044-4,'Visual SPC'!$B$3),"")</f>
        <v/>
      </c>
      <c r="E4044">
        <f>IF(B4044=1,D4044,E4043)</f>
        <v/>
      </c>
      <c r="F4044">
        <f>IF(AND(B4044=1,C4044&gt;1,E4043&lt;&gt;""),ABS(D4044-E4043),"")</f>
        <v/>
      </c>
    </row>
    <row r="4045">
      <c r="A4045" t="n">
        <v>4045</v>
      </c>
      <c r="B4045">
        <f>IF(INDEX('Data Entry'!$H$5:$BE$10004,4045-4,'Visual SPC'!$B$3)="",0,IF(AND(OR('Visual SPC'!$C$4="",'Data Entry'!$C4045&gt;='Visual SPC'!$C$4),OR('Visual SPC'!$E$4="",'Data Entry'!$C4045&lt;='Visual SPC'!$E$4),OR('Visual SPC'!$G$4="",'Data Entry'!$D4045='Visual SPC'!$G$4),OR('Visual SPC'!$I$4="",'Data Entry'!$E4045='Visual SPC'!$I$4),OR('Visual SPC'!$K$4="",'Data Entry'!$F4045='Visual SPC'!$K$4)),1,0))</f>
        <v/>
      </c>
      <c r="C4045">
        <f>C4044+B4045</f>
        <v/>
      </c>
      <c r="D4045">
        <f>IF(B4045=1,INDEX('Data Entry'!$H$5:$BE$10004,4045-4,'Visual SPC'!$B$3),"")</f>
        <v/>
      </c>
      <c r="E4045">
        <f>IF(B4045=1,D4045,E4044)</f>
        <v/>
      </c>
      <c r="F4045">
        <f>IF(AND(B4045=1,C4045&gt;1,E4044&lt;&gt;""),ABS(D4045-E4044),"")</f>
        <v/>
      </c>
    </row>
    <row r="4046">
      <c r="A4046" t="n">
        <v>4046</v>
      </c>
      <c r="B4046">
        <f>IF(INDEX('Data Entry'!$H$5:$BE$10004,4046-4,'Visual SPC'!$B$3)="",0,IF(AND(OR('Visual SPC'!$C$4="",'Data Entry'!$C4046&gt;='Visual SPC'!$C$4),OR('Visual SPC'!$E$4="",'Data Entry'!$C4046&lt;='Visual SPC'!$E$4),OR('Visual SPC'!$G$4="",'Data Entry'!$D4046='Visual SPC'!$G$4),OR('Visual SPC'!$I$4="",'Data Entry'!$E4046='Visual SPC'!$I$4),OR('Visual SPC'!$K$4="",'Data Entry'!$F4046='Visual SPC'!$K$4)),1,0))</f>
        <v/>
      </c>
      <c r="C4046">
        <f>C4045+B4046</f>
        <v/>
      </c>
      <c r="D4046">
        <f>IF(B4046=1,INDEX('Data Entry'!$H$5:$BE$10004,4046-4,'Visual SPC'!$B$3),"")</f>
        <v/>
      </c>
      <c r="E4046">
        <f>IF(B4046=1,D4046,E4045)</f>
        <v/>
      </c>
      <c r="F4046">
        <f>IF(AND(B4046=1,C4046&gt;1,E4045&lt;&gt;""),ABS(D4046-E4045),"")</f>
        <v/>
      </c>
    </row>
    <row r="4047">
      <c r="A4047" t="n">
        <v>4047</v>
      </c>
      <c r="B4047">
        <f>IF(INDEX('Data Entry'!$H$5:$BE$10004,4047-4,'Visual SPC'!$B$3)="",0,IF(AND(OR('Visual SPC'!$C$4="",'Data Entry'!$C4047&gt;='Visual SPC'!$C$4),OR('Visual SPC'!$E$4="",'Data Entry'!$C4047&lt;='Visual SPC'!$E$4),OR('Visual SPC'!$G$4="",'Data Entry'!$D4047='Visual SPC'!$G$4),OR('Visual SPC'!$I$4="",'Data Entry'!$E4047='Visual SPC'!$I$4),OR('Visual SPC'!$K$4="",'Data Entry'!$F4047='Visual SPC'!$K$4)),1,0))</f>
        <v/>
      </c>
      <c r="C4047">
        <f>C4046+B4047</f>
        <v/>
      </c>
      <c r="D4047">
        <f>IF(B4047=1,INDEX('Data Entry'!$H$5:$BE$10004,4047-4,'Visual SPC'!$B$3),"")</f>
        <v/>
      </c>
      <c r="E4047">
        <f>IF(B4047=1,D4047,E4046)</f>
        <v/>
      </c>
      <c r="F4047">
        <f>IF(AND(B4047=1,C4047&gt;1,E4046&lt;&gt;""),ABS(D4047-E4046),"")</f>
        <v/>
      </c>
    </row>
    <row r="4048">
      <c r="A4048" t="n">
        <v>4048</v>
      </c>
      <c r="B4048">
        <f>IF(INDEX('Data Entry'!$H$5:$BE$10004,4048-4,'Visual SPC'!$B$3)="",0,IF(AND(OR('Visual SPC'!$C$4="",'Data Entry'!$C4048&gt;='Visual SPC'!$C$4),OR('Visual SPC'!$E$4="",'Data Entry'!$C4048&lt;='Visual SPC'!$E$4),OR('Visual SPC'!$G$4="",'Data Entry'!$D4048='Visual SPC'!$G$4),OR('Visual SPC'!$I$4="",'Data Entry'!$E4048='Visual SPC'!$I$4),OR('Visual SPC'!$K$4="",'Data Entry'!$F4048='Visual SPC'!$K$4)),1,0))</f>
        <v/>
      </c>
      <c r="C4048">
        <f>C4047+B4048</f>
        <v/>
      </c>
      <c r="D4048">
        <f>IF(B4048=1,INDEX('Data Entry'!$H$5:$BE$10004,4048-4,'Visual SPC'!$B$3),"")</f>
        <v/>
      </c>
      <c r="E4048">
        <f>IF(B4048=1,D4048,E4047)</f>
        <v/>
      </c>
      <c r="F4048">
        <f>IF(AND(B4048=1,C4048&gt;1,E4047&lt;&gt;""),ABS(D4048-E4047),"")</f>
        <v/>
      </c>
    </row>
    <row r="4049">
      <c r="A4049" t="n">
        <v>4049</v>
      </c>
      <c r="B4049">
        <f>IF(INDEX('Data Entry'!$H$5:$BE$10004,4049-4,'Visual SPC'!$B$3)="",0,IF(AND(OR('Visual SPC'!$C$4="",'Data Entry'!$C4049&gt;='Visual SPC'!$C$4),OR('Visual SPC'!$E$4="",'Data Entry'!$C4049&lt;='Visual SPC'!$E$4),OR('Visual SPC'!$G$4="",'Data Entry'!$D4049='Visual SPC'!$G$4),OR('Visual SPC'!$I$4="",'Data Entry'!$E4049='Visual SPC'!$I$4),OR('Visual SPC'!$K$4="",'Data Entry'!$F4049='Visual SPC'!$K$4)),1,0))</f>
        <v/>
      </c>
      <c r="C4049">
        <f>C4048+B4049</f>
        <v/>
      </c>
      <c r="D4049">
        <f>IF(B4049=1,INDEX('Data Entry'!$H$5:$BE$10004,4049-4,'Visual SPC'!$B$3),"")</f>
        <v/>
      </c>
      <c r="E4049">
        <f>IF(B4049=1,D4049,E4048)</f>
        <v/>
      </c>
      <c r="F4049">
        <f>IF(AND(B4049=1,C4049&gt;1,E4048&lt;&gt;""),ABS(D4049-E4048),"")</f>
        <v/>
      </c>
    </row>
    <row r="4050">
      <c r="A4050" t="n">
        <v>4050</v>
      </c>
      <c r="B4050">
        <f>IF(INDEX('Data Entry'!$H$5:$BE$10004,4050-4,'Visual SPC'!$B$3)="",0,IF(AND(OR('Visual SPC'!$C$4="",'Data Entry'!$C4050&gt;='Visual SPC'!$C$4),OR('Visual SPC'!$E$4="",'Data Entry'!$C4050&lt;='Visual SPC'!$E$4),OR('Visual SPC'!$G$4="",'Data Entry'!$D4050='Visual SPC'!$G$4),OR('Visual SPC'!$I$4="",'Data Entry'!$E4050='Visual SPC'!$I$4),OR('Visual SPC'!$K$4="",'Data Entry'!$F4050='Visual SPC'!$K$4)),1,0))</f>
        <v/>
      </c>
      <c r="C4050">
        <f>C4049+B4050</f>
        <v/>
      </c>
      <c r="D4050">
        <f>IF(B4050=1,INDEX('Data Entry'!$H$5:$BE$10004,4050-4,'Visual SPC'!$B$3),"")</f>
        <v/>
      </c>
      <c r="E4050">
        <f>IF(B4050=1,D4050,E4049)</f>
        <v/>
      </c>
      <c r="F4050">
        <f>IF(AND(B4050=1,C4050&gt;1,E4049&lt;&gt;""),ABS(D4050-E4049),"")</f>
        <v/>
      </c>
    </row>
    <row r="4051">
      <c r="A4051" t="n">
        <v>4051</v>
      </c>
      <c r="B4051">
        <f>IF(INDEX('Data Entry'!$H$5:$BE$10004,4051-4,'Visual SPC'!$B$3)="",0,IF(AND(OR('Visual SPC'!$C$4="",'Data Entry'!$C4051&gt;='Visual SPC'!$C$4),OR('Visual SPC'!$E$4="",'Data Entry'!$C4051&lt;='Visual SPC'!$E$4),OR('Visual SPC'!$G$4="",'Data Entry'!$D4051='Visual SPC'!$G$4),OR('Visual SPC'!$I$4="",'Data Entry'!$E4051='Visual SPC'!$I$4),OR('Visual SPC'!$K$4="",'Data Entry'!$F4051='Visual SPC'!$K$4)),1,0))</f>
        <v/>
      </c>
      <c r="C4051">
        <f>C4050+B4051</f>
        <v/>
      </c>
      <c r="D4051">
        <f>IF(B4051=1,INDEX('Data Entry'!$H$5:$BE$10004,4051-4,'Visual SPC'!$B$3),"")</f>
        <v/>
      </c>
      <c r="E4051">
        <f>IF(B4051=1,D4051,E4050)</f>
        <v/>
      </c>
      <c r="F4051">
        <f>IF(AND(B4051=1,C4051&gt;1,E4050&lt;&gt;""),ABS(D4051-E4050),"")</f>
        <v/>
      </c>
    </row>
    <row r="4052">
      <c r="A4052" t="n">
        <v>4052</v>
      </c>
      <c r="B4052">
        <f>IF(INDEX('Data Entry'!$H$5:$BE$10004,4052-4,'Visual SPC'!$B$3)="",0,IF(AND(OR('Visual SPC'!$C$4="",'Data Entry'!$C4052&gt;='Visual SPC'!$C$4),OR('Visual SPC'!$E$4="",'Data Entry'!$C4052&lt;='Visual SPC'!$E$4),OR('Visual SPC'!$G$4="",'Data Entry'!$D4052='Visual SPC'!$G$4),OR('Visual SPC'!$I$4="",'Data Entry'!$E4052='Visual SPC'!$I$4),OR('Visual SPC'!$K$4="",'Data Entry'!$F4052='Visual SPC'!$K$4)),1,0))</f>
        <v/>
      </c>
      <c r="C4052">
        <f>C4051+B4052</f>
        <v/>
      </c>
      <c r="D4052">
        <f>IF(B4052=1,INDEX('Data Entry'!$H$5:$BE$10004,4052-4,'Visual SPC'!$B$3),"")</f>
        <v/>
      </c>
      <c r="E4052">
        <f>IF(B4052=1,D4052,E4051)</f>
        <v/>
      </c>
      <c r="F4052">
        <f>IF(AND(B4052=1,C4052&gt;1,E4051&lt;&gt;""),ABS(D4052-E4051),"")</f>
        <v/>
      </c>
    </row>
    <row r="4053">
      <c r="A4053" t="n">
        <v>4053</v>
      </c>
      <c r="B4053">
        <f>IF(INDEX('Data Entry'!$H$5:$BE$10004,4053-4,'Visual SPC'!$B$3)="",0,IF(AND(OR('Visual SPC'!$C$4="",'Data Entry'!$C4053&gt;='Visual SPC'!$C$4),OR('Visual SPC'!$E$4="",'Data Entry'!$C4053&lt;='Visual SPC'!$E$4),OR('Visual SPC'!$G$4="",'Data Entry'!$D4053='Visual SPC'!$G$4),OR('Visual SPC'!$I$4="",'Data Entry'!$E4053='Visual SPC'!$I$4),OR('Visual SPC'!$K$4="",'Data Entry'!$F4053='Visual SPC'!$K$4)),1,0))</f>
        <v/>
      </c>
      <c r="C4053">
        <f>C4052+B4053</f>
        <v/>
      </c>
      <c r="D4053">
        <f>IF(B4053=1,INDEX('Data Entry'!$H$5:$BE$10004,4053-4,'Visual SPC'!$B$3),"")</f>
        <v/>
      </c>
      <c r="E4053">
        <f>IF(B4053=1,D4053,E4052)</f>
        <v/>
      </c>
      <c r="F4053">
        <f>IF(AND(B4053=1,C4053&gt;1,E4052&lt;&gt;""),ABS(D4053-E4052),"")</f>
        <v/>
      </c>
    </row>
    <row r="4054">
      <c r="A4054" t="n">
        <v>4054</v>
      </c>
      <c r="B4054">
        <f>IF(INDEX('Data Entry'!$H$5:$BE$10004,4054-4,'Visual SPC'!$B$3)="",0,IF(AND(OR('Visual SPC'!$C$4="",'Data Entry'!$C4054&gt;='Visual SPC'!$C$4),OR('Visual SPC'!$E$4="",'Data Entry'!$C4054&lt;='Visual SPC'!$E$4),OR('Visual SPC'!$G$4="",'Data Entry'!$D4054='Visual SPC'!$G$4),OR('Visual SPC'!$I$4="",'Data Entry'!$E4054='Visual SPC'!$I$4),OR('Visual SPC'!$K$4="",'Data Entry'!$F4054='Visual SPC'!$K$4)),1,0))</f>
        <v/>
      </c>
      <c r="C4054">
        <f>C4053+B4054</f>
        <v/>
      </c>
      <c r="D4054">
        <f>IF(B4054=1,INDEX('Data Entry'!$H$5:$BE$10004,4054-4,'Visual SPC'!$B$3),"")</f>
        <v/>
      </c>
      <c r="E4054">
        <f>IF(B4054=1,D4054,E4053)</f>
        <v/>
      </c>
      <c r="F4054">
        <f>IF(AND(B4054=1,C4054&gt;1,E4053&lt;&gt;""),ABS(D4054-E4053),"")</f>
        <v/>
      </c>
    </row>
    <row r="4055">
      <c r="A4055" t="n">
        <v>4055</v>
      </c>
      <c r="B4055">
        <f>IF(INDEX('Data Entry'!$H$5:$BE$10004,4055-4,'Visual SPC'!$B$3)="",0,IF(AND(OR('Visual SPC'!$C$4="",'Data Entry'!$C4055&gt;='Visual SPC'!$C$4),OR('Visual SPC'!$E$4="",'Data Entry'!$C4055&lt;='Visual SPC'!$E$4),OR('Visual SPC'!$G$4="",'Data Entry'!$D4055='Visual SPC'!$G$4),OR('Visual SPC'!$I$4="",'Data Entry'!$E4055='Visual SPC'!$I$4),OR('Visual SPC'!$K$4="",'Data Entry'!$F4055='Visual SPC'!$K$4)),1,0))</f>
        <v/>
      </c>
      <c r="C4055">
        <f>C4054+B4055</f>
        <v/>
      </c>
      <c r="D4055">
        <f>IF(B4055=1,INDEX('Data Entry'!$H$5:$BE$10004,4055-4,'Visual SPC'!$B$3),"")</f>
        <v/>
      </c>
      <c r="E4055">
        <f>IF(B4055=1,D4055,E4054)</f>
        <v/>
      </c>
      <c r="F4055">
        <f>IF(AND(B4055=1,C4055&gt;1,E4054&lt;&gt;""),ABS(D4055-E4054),"")</f>
        <v/>
      </c>
    </row>
    <row r="4056">
      <c r="A4056" t="n">
        <v>4056</v>
      </c>
      <c r="B4056">
        <f>IF(INDEX('Data Entry'!$H$5:$BE$10004,4056-4,'Visual SPC'!$B$3)="",0,IF(AND(OR('Visual SPC'!$C$4="",'Data Entry'!$C4056&gt;='Visual SPC'!$C$4),OR('Visual SPC'!$E$4="",'Data Entry'!$C4056&lt;='Visual SPC'!$E$4),OR('Visual SPC'!$G$4="",'Data Entry'!$D4056='Visual SPC'!$G$4),OR('Visual SPC'!$I$4="",'Data Entry'!$E4056='Visual SPC'!$I$4),OR('Visual SPC'!$K$4="",'Data Entry'!$F4056='Visual SPC'!$K$4)),1,0))</f>
        <v/>
      </c>
      <c r="C4056">
        <f>C4055+B4056</f>
        <v/>
      </c>
      <c r="D4056">
        <f>IF(B4056=1,INDEX('Data Entry'!$H$5:$BE$10004,4056-4,'Visual SPC'!$B$3),"")</f>
        <v/>
      </c>
      <c r="E4056">
        <f>IF(B4056=1,D4056,E4055)</f>
        <v/>
      </c>
      <c r="F4056">
        <f>IF(AND(B4056=1,C4056&gt;1,E4055&lt;&gt;""),ABS(D4056-E4055),"")</f>
        <v/>
      </c>
    </row>
    <row r="4057">
      <c r="A4057" t="n">
        <v>4057</v>
      </c>
      <c r="B4057">
        <f>IF(INDEX('Data Entry'!$H$5:$BE$10004,4057-4,'Visual SPC'!$B$3)="",0,IF(AND(OR('Visual SPC'!$C$4="",'Data Entry'!$C4057&gt;='Visual SPC'!$C$4),OR('Visual SPC'!$E$4="",'Data Entry'!$C4057&lt;='Visual SPC'!$E$4),OR('Visual SPC'!$G$4="",'Data Entry'!$D4057='Visual SPC'!$G$4),OR('Visual SPC'!$I$4="",'Data Entry'!$E4057='Visual SPC'!$I$4),OR('Visual SPC'!$K$4="",'Data Entry'!$F4057='Visual SPC'!$K$4)),1,0))</f>
        <v/>
      </c>
      <c r="C4057">
        <f>C4056+B4057</f>
        <v/>
      </c>
      <c r="D4057">
        <f>IF(B4057=1,INDEX('Data Entry'!$H$5:$BE$10004,4057-4,'Visual SPC'!$B$3),"")</f>
        <v/>
      </c>
      <c r="E4057">
        <f>IF(B4057=1,D4057,E4056)</f>
        <v/>
      </c>
      <c r="F4057">
        <f>IF(AND(B4057=1,C4057&gt;1,E4056&lt;&gt;""),ABS(D4057-E4056),"")</f>
        <v/>
      </c>
    </row>
    <row r="4058">
      <c r="A4058" t="n">
        <v>4058</v>
      </c>
      <c r="B4058">
        <f>IF(INDEX('Data Entry'!$H$5:$BE$10004,4058-4,'Visual SPC'!$B$3)="",0,IF(AND(OR('Visual SPC'!$C$4="",'Data Entry'!$C4058&gt;='Visual SPC'!$C$4),OR('Visual SPC'!$E$4="",'Data Entry'!$C4058&lt;='Visual SPC'!$E$4),OR('Visual SPC'!$G$4="",'Data Entry'!$D4058='Visual SPC'!$G$4),OR('Visual SPC'!$I$4="",'Data Entry'!$E4058='Visual SPC'!$I$4),OR('Visual SPC'!$K$4="",'Data Entry'!$F4058='Visual SPC'!$K$4)),1,0))</f>
        <v/>
      </c>
      <c r="C4058">
        <f>C4057+B4058</f>
        <v/>
      </c>
      <c r="D4058">
        <f>IF(B4058=1,INDEX('Data Entry'!$H$5:$BE$10004,4058-4,'Visual SPC'!$B$3),"")</f>
        <v/>
      </c>
      <c r="E4058">
        <f>IF(B4058=1,D4058,E4057)</f>
        <v/>
      </c>
      <c r="F4058">
        <f>IF(AND(B4058=1,C4058&gt;1,E4057&lt;&gt;""),ABS(D4058-E4057),"")</f>
        <v/>
      </c>
    </row>
    <row r="4059">
      <c r="A4059" t="n">
        <v>4059</v>
      </c>
      <c r="B4059">
        <f>IF(INDEX('Data Entry'!$H$5:$BE$10004,4059-4,'Visual SPC'!$B$3)="",0,IF(AND(OR('Visual SPC'!$C$4="",'Data Entry'!$C4059&gt;='Visual SPC'!$C$4),OR('Visual SPC'!$E$4="",'Data Entry'!$C4059&lt;='Visual SPC'!$E$4),OR('Visual SPC'!$G$4="",'Data Entry'!$D4059='Visual SPC'!$G$4),OR('Visual SPC'!$I$4="",'Data Entry'!$E4059='Visual SPC'!$I$4),OR('Visual SPC'!$K$4="",'Data Entry'!$F4059='Visual SPC'!$K$4)),1,0))</f>
        <v/>
      </c>
      <c r="C4059">
        <f>C4058+B4059</f>
        <v/>
      </c>
      <c r="D4059">
        <f>IF(B4059=1,INDEX('Data Entry'!$H$5:$BE$10004,4059-4,'Visual SPC'!$B$3),"")</f>
        <v/>
      </c>
      <c r="E4059">
        <f>IF(B4059=1,D4059,E4058)</f>
        <v/>
      </c>
      <c r="F4059">
        <f>IF(AND(B4059=1,C4059&gt;1,E4058&lt;&gt;""),ABS(D4059-E4058),"")</f>
        <v/>
      </c>
    </row>
    <row r="4060">
      <c r="A4060" t="n">
        <v>4060</v>
      </c>
      <c r="B4060">
        <f>IF(INDEX('Data Entry'!$H$5:$BE$10004,4060-4,'Visual SPC'!$B$3)="",0,IF(AND(OR('Visual SPC'!$C$4="",'Data Entry'!$C4060&gt;='Visual SPC'!$C$4),OR('Visual SPC'!$E$4="",'Data Entry'!$C4060&lt;='Visual SPC'!$E$4),OR('Visual SPC'!$G$4="",'Data Entry'!$D4060='Visual SPC'!$G$4),OR('Visual SPC'!$I$4="",'Data Entry'!$E4060='Visual SPC'!$I$4),OR('Visual SPC'!$K$4="",'Data Entry'!$F4060='Visual SPC'!$K$4)),1,0))</f>
        <v/>
      </c>
      <c r="C4060">
        <f>C4059+B4060</f>
        <v/>
      </c>
      <c r="D4060">
        <f>IF(B4060=1,INDEX('Data Entry'!$H$5:$BE$10004,4060-4,'Visual SPC'!$B$3),"")</f>
        <v/>
      </c>
      <c r="E4060">
        <f>IF(B4060=1,D4060,E4059)</f>
        <v/>
      </c>
      <c r="F4060">
        <f>IF(AND(B4060=1,C4060&gt;1,E4059&lt;&gt;""),ABS(D4060-E4059),"")</f>
        <v/>
      </c>
    </row>
    <row r="4061">
      <c r="A4061" t="n">
        <v>4061</v>
      </c>
      <c r="B4061">
        <f>IF(INDEX('Data Entry'!$H$5:$BE$10004,4061-4,'Visual SPC'!$B$3)="",0,IF(AND(OR('Visual SPC'!$C$4="",'Data Entry'!$C4061&gt;='Visual SPC'!$C$4),OR('Visual SPC'!$E$4="",'Data Entry'!$C4061&lt;='Visual SPC'!$E$4),OR('Visual SPC'!$G$4="",'Data Entry'!$D4061='Visual SPC'!$G$4),OR('Visual SPC'!$I$4="",'Data Entry'!$E4061='Visual SPC'!$I$4),OR('Visual SPC'!$K$4="",'Data Entry'!$F4061='Visual SPC'!$K$4)),1,0))</f>
        <v/>
      </c>
      <c r="C4061">
        <f>C4060+B4061</f>
        <v/>
      </c>
      <c r="D4061">
        <f>IF(B4061=1,INDEX('Data Entry'!$H$5:$BE$10004,4061-4,'Visual SPC'!$B$3),"")</f>
        <v/>
      </c>
      <c r="E4061">
        <f>IF(B4061=1,D4061,E4060)</f>
        <v/>
      </c>
      <c r="F4061">
        <f>IF(AND(B4061=1,C4061&gt;1,E4060&lt;&gt;""),ABS(D4061-E4060),"")</f>
        <v/>
      </c>
    </row>
    <row r="4062">
      <c r="A4062" t="n">
        <v>4062</v>
      </c>
      <c r="B4062">
        <f>IF(INDEX('Data Entry'!$H$5:$BE$10004,4062-4,'Visual SPC'!$B$3)="",0,IF(AND(OR('Visual SPC'!$C$4="",'Data Entry'!$C4062&gt;='Visual SPC'!$C$4),OR('Visual SPC'!$E$4="",'Data Entry'!$C4062&lt;='Visual SPC'!$E$4),OR('Visual SPC'!$G$4="",'Data Entry'!$D4062='Visual SPC'!$G$4),OR('Visual SPC'!$I$4="",'Data Entry'!$E4062='Visual SPC'!$I$4),OR('Visual SPC'!$K$4="",'Data Entry'!$F4062='Visual SPC'!$K$4)),1,0))</f>
        <v/>
      </c>
      <c r="C4062">
        <f>C4061+B4062</f>
        <v/>
      </c>
      <c r="D4062">
        <f>IF(B4062=1,INDEX('Data Entry'!$H$5:$BE$10004,4062-4,'Visual SPC'!$B$3),"")</f>
        <v/>
      </c>
      <c r="E4062">
        <f>IF(B4062=1,D4062,E4061)</f>
        <v/>
      </c>
      <c r="F4062">
        <f>IF(AND(B4062=1,C4062&gt;1,E4061&lt;&gt;""),ABS(D4062-E4061),"")</f>
        <v/>
      </c>
    </row>
    <row r="4063">
      <c r="A4063" t="n">
        <v>4063</v>
      </c>
      <c r="B4063">
        <f>IF(INDEX('Data Entry'!$H$5:$BE$10004,4063-4,'Visual SPC'!$B$3)="",0,IF(AND(OR('Visual SPC'!$C$4="",'Data Entry'!$C4063&gt;='Visual SPC'!$C$4),OR('Visual SPC'!$E$4="",'Data Entry'!$C4063&lt;='Visual SPC'!$E$4),OR('Visual SPC'!$G$4="",'Data Entry'!$D4063='Visual SPC'!$G$4),OR('Visual SPC'!$I$4="",'Data Entry'!$E4063='Visual SPC'!$I$4),OR('Visual SPC'!$K$4="",'Data Entry'!$F4063='Visual SPC'!$K$4)),1,0))</f>
        <v/>
      </c>
      <c r="C4063">
        <f>C4062+B4063</f>
        <v/>
      </c>
      <c r="D4063">
        <f>IF(B4063=1,INDEX('Data Entry'!$H$5:$BE$10004,4063-4,'Visual SPC'!$B$3),"")</f>
        <v/>
      </c>
      <c r="E4063">
        <f>IF(B4063=1,D4063,E4062)</f>
        <v/>
      </c>
      <c r="F4063">
        <f>IF(AND(B4063=1,C4063&gt;1,E4062&lt;&gt;""),ABS(D4063-E4062),"")</f>
        <v/>
      </c>
    </row>
    <row r="4064">
      <c r="A4064" t="n">
        <v>4064</v>
      </c>
      <c r="B4064">
        <f>IF(INDEX('Data Entry'!$H$5:$BE$10004,4064-4,'Visual SPC'!$B$3)="",0,IF(AND(OR('Visual SPC'!$C$4="",'Data Entry'!$C4064&gt;='Visual SPC'!$C$4),OR('Visual SPC'!$E$4="",'Data Entry'!$C4064&lt;='Visual SPC'!$E$4),OR('Visual SPC'!$G$4="",'Data Entry'!$D4064='Visual SPC'!$G$4),OR('Visual SPC'!$I$4="",'Data Entry'!$E4064='Visual SPC'!$I$4),OR('Visual SPC'!$K$4="",'Data Entry'!$F4064='Visual SPC'!$K$4)),1,0))</f>
        <v/>
      </c>
      <c r="C4064">
        <f>C4063+B4064</f>
        <v/>
      </c>
      <c r="D4064">
        <f>IF(B4064=1,INDEX('Data Entry'!$H$5:$BE$10004,4064-4,'Visual SPC'!$B$3),"")</f>
        <v/>
      </c>
      <c r="E4064">
        <f>IF(B4064=1,D4064,E4063)</f>
        <v/>
      </c>
      <c r="F4064">
        <f>IF(AND(B4064=1,C4064&gt;1,E4063&lt;&gt;""),ABS(D4064-E4063),"")</f>
        <v/>
      </c>
    </row>
    <row r="4065">
      <c r="A4065" t="n">
        <v>4065</v>
      </c>
      <c r="B4065">
        <f>IF(INDEX('Data Entry'!$H$5:$BE$10004,4065-4,'Visual SPC'!$B$3)="",0,IF(AND(OR('Visual SPC'!$C$4="",'Data Entry'!$C4065&gt;='Visual SPC'!$C$4),OR('Visual SPC'!$E$4="",'Data Entry'!$C4065&lt;='Visual SPC'!$E$4),OR('Visual SPC'!$G$4="",'Data Entry'!$D4065='Visual SPC'!$G$4),OR('Visual SPC'!$I$4="",'Data Entry'!$E4065='Visual SPC'!$I$4),OR('Visual SPC'!$K$4="",'Data Entry'!$F4065='Visual SPC'!$K$4)),1,0))</f>
        <v/>
      </c>
      <c r="C4065">
        <f>C4064+B4065</f>
        <v/>
      </c>
      <c r="D4065">
        <f>IF(B4065=1,INDEX('Data Entry'!$H$5:$BE$10004,4065-4,'Visual SPC'!$B$3),"")</f>
        <v/>
      </c>
      <c r="E4065">
        <f>IF(B4065=1,D4065,E4064)</f>
        <v/>
      </c>
      <c r="F4065">
        <f>IF(AND(B4065=1,C4065&gt;1,E4064&lt;&gt;""),ABS(D4065-E4064),"")</f>
        <v/>
      </c>
    </row>
    <row r="4066">
      <c r="A4066" t="n">
        <v>4066</v>
      </c>
      <c r="B4066">
        <f>IF(INDEX('Data Entry'!$H$5:$BE$10004,4066-4,'Visual SPC'!$B$3)="",0,IF(AND(OR('Visual SPC'!$C$4="",'Data Entry'!$C4066&gt;='Visual SPC'!$C$4),OR('Visual SPC'!$E$4="",'Data Entry'!$C4066&lt;='Visual SPC'!$E$4),OR('Visual SPC'!$G$4="",'Data Entry'!$D4066='Visual SPC'!$G$4),OR('Visual SPC'!$I$4="",'Data Entry'!$E4066='Visual SPC'!$I$4),OR('Visual SPC'!$K$4="",'Data Entry'!$F4066='Visual SPC'!$K$4)),1,0))</f>
        <v/>
      </c>
      <c r="C4066">
        <f>C4065+B4066</f>
        <v/>
      </c>
      <c r="D4066">
        <f>IF(B4066=1,INDEX('Data Entry'!$H$5:$BE$10004,4066-4,'Visual SPC'!$B$3),"")</f>
        <v/>
      </c>
      <c r="E4066">
        <f>IF(B4066=1,D4066,E4065)</f>
        <v/>
      </c>
      <c r="F4066">
        <f>IF(AND(B4066=1,C4066&gt;1,E4065&lt;&gt;""),ABS(D4066-E4065),"")</f>
        <v/>
      </c>
    </row>
    <row r="4067">
      <c r="A4067" t="n">
        <v>4067</v>
      </c>
      <c r="B4067">
        <f>IF(INDEX('Data Entry'!$H$5:$BE$10004,4067-4,'Visual SPC'!$B$3)="",0,IF(AND(OR('Visual SPC'!$C$4="",'Data Entry'!$C4067&gt;='Visual SPC'!$C$4),OR('Visual SPC'!$E$4="",'Data Entry'!$C4067&lt;='Visual SPC'!$E$4),OR('Visual SPC'!$G$4="",'Data Entry'!$D4067='Visual SPC'!$G$4),OR('Visual SPC'!$I$4="",'Data Entry'!$E4067='Visual SPC'!$I$4),OR('Visual SPC'!$K$4="",'Data Entry'!$F4067='Visual SPC'!$K$4)),1,0))</f>
        <v/>
      </c>
      <c r="C4067">
        <f>C4066+B4067</f>
        <v/>
      </c>
      <c r="D4067">
        <f>IF(B4067=1,INDEX('Data Entry'!$H$5:$BE$10004,4067-4,'Visual SPC'!$B$3),"")</f>
        <v/>
      </c>
      <c r="E4067">
        <f>IF(B4067=1,D4067,E4066)</f>
        <v/>
      </c>
      <c r="F4067">
        <f>IF(AND(B4067=1,C4067&gt;1,E4066&lt;&gt;""),ABS(D4067-E4066),"")</f>
        <v/>
      </c>
    </row>
    <row r="4068">
      <c r="A4068" t="n">
        <v>4068</v>
      </c>
      <c r="B4068">
        <f>IF(INDEX('Data Entry'!$H$5:$BE$10004,4068-4,'Visual SPC'!$B$3)="",0,IF(AND(OR('Visual SPC'!$C$4="",'Data Entry'!$C4068&gt;='Visual SPC'!$C$4),OR('Visual SPC'!$E$4="",'Data Entry'!$C4068&lt;='Visual SPC'!$E$4),OR('Visual SPC'!$G$4="",'Data Entry'!$D4068='Visual SPC'!$G$4),OR('Visual SPC'!$I$4="",'Data Entry'!$E4068='Visual SPC'!$I$4),OR('Visual SPC'!$K$4="",'Data Entry'!$F4068='Visual SPC'!$K$4)),1,0))</f>
        <v/>
      </c>
      <c r="C4068">
        <f>C4067+B4068</f>
        <v/>
      </c>
      <c r="D4068">
        <f>IF(B4068=1,INDEX('Data Entry'!$H$5:$BE$10004,4068-4,'Visual SPC'!$B$3),"")</f>
        <v/>
      </c>
      <c r="E4068">
        <f>IF(B4068=1,D4068,E4067)</f>
        <v/>
      </c>
      <c r="F4068">
        <f>IF(AND(B4068=1,C4068&gt;1,E4067&lt;&gt;""),ABS(D4068-E4067),"")</f>
        <v/>
      </c>
    </row>
    <row r="4069">
      <c r="A4069" t="n">
        <v>4069</v>
      </c>
      <c r="B4069">
        <f>IF(INDEX('Data Entry'!$H$5:$BE$10004,4069-4,'Visual SPC'!$B$3)="",0,IF(AND(OR('Visual SPC'!$C$4="",'Data Entry'!$C4069&gt;='Visual SPC'!$C$4),OR('Visual SPC'!$E$4="",'Data Entry'!$C4069&lt;='Visual SPC'!$E$4),OR('Visual SPC'!$G$4="",'Data Entry'!$D4069='Visual SPC'!$G$4),OR('Visual SPC'!$I$4="",'Data Entry'!$E4069='Visual SPC'!$I$4),OR('Visual SPC'!$K$4="",'Data Entry'!$F4069='Visual SPC'!$K$4)),1,0))</f>
        <v/>
      </c>
      <c r="C4069">
        <f>C4068+B4069</f>
        <v/>
      </c>
      <c r="D4069">
        <f>IF(B4069=1,INDEX('Data Entry'!$H$5:$BE$10004,4069-4,'Visual SPC'!$B$3),"")</f>
        <v/>
      </c>
      <c r="E4069">
        <f>IF(B4069=1,D4069,E4068)</f>
        <v/>
      </c>
      <c r="F4069">
        <f>IF(AND(B4069=1,C4069&gt;1,E4068&lt;&gt;""),ABS(D4069-E4068),"")</f>
        <v/>
      </c>
    </row>
    <row r="4070">
      <c r="A4070" t="n">
        <v>4070</v>
      </c>
      <c r="B4070">
        <f>IF(INDEX('Data Entry'!$H$5:$BE$10004,4070-4,'Visual SPC'!$B$3)="",0,IF(AND(OR('Visual SPC'!$C$4="",'Data Entry'!$C4070&gt;='Visual SPC'!$C$4),OR('Visual SPC'!$E$4="",'Data Entry'!$C4070&lt;='Visual SPC'!$E$4),OR('Visual SPC'!$G$4="",'Data Entry'!$D4070='Visual SPC'!$G$4),OR('Visual SPC'!$I$4="",'Data Entry'!$E4070='Visual SPC'!$I$4),OR('Visual SPC'!$K$4="",'Data Entry'!$F4070='Visual SPC'!$K$4)),1,0))</f>
        <v/>
      </c>
      <c r="C4070">
        <f>C4069+B4070</f>
        <v/>
      </c>
      <c r="D4070">
        <f>IF(B4070=1,INDEX('Data Entry'!$H$5:$BE$10004,4070-4,'Visual SPC'!$B$3),"")</f>
        <v/>
      </c>
      <c r="E4070">
        <f>IF(B4070=1,D4070,E4069)</f>
        <v/>
      </c>
      <c r="F4070">
        <f>IF(AND(B4070=1,C4070&gt;1,E4069&lt;&gt;""),ABS(D4070-E4069),"")</f>
        <v/>
      </c>
    </row>
    <row r="4071">
      <c r="A4071" t="n">
        <v>4071</v>
      </c>
      <c r="B4071">
        <f>IF(INDEX('Data Entry'!$H$5:$BE$10004,4071-4,'Visual SPC'!$B$3)="",0,IF(AND(OR('Visual SPC'!$C$4="",'Data Entry'!$C4071&gt;='Visual SPC'!$C$4),OR('Visual SPC'!$E$4="",'Data Entry'!$C4071&lt;='Visual SPC'!$E$4),OR('Visual SPC'!$G$4="",'Data Entry'!$D4071='Visual SPC'!$G$4),OR('Visual SPC'!$I$4="",'Data Entry'!$E4071='Visual SPC'!$I$4),OR('Visual SPC'!$K$4="",'Data Entry'!$F4071='Visual SPC'!$K$4)),1,0))</f>
        <v/>
      </c>
      <c r="C4071">
        <f>C4070+B4071</f>
        <v/>
      </c>
      <c r="D4071">
        <f>IF(B4071=1,INDEX('Data Entry'!$H$5:$BE$10004,4071-4,'Visual SPC'!$B$3),"")</f>
        <v/>
      </c>
      <c r="E4071">
        <f>IF(B4071=1,D4071,E4070)</f>
        <v/>
      </c>
      <c r="F4071">
        <f>IF(AND(B4071=1,C4071&gt;1,E4070&lt;&gt;""),ABS(D4071-E4070),"")</f>
        <v/>
      </c>
    </row>
    <row r="4072">
      <c r="A4072" t="n">
        <v>4072</v>
      </c>
      <c r="B4072">
        <f>IF(INDEX('Data Entry'!$H$5:$BE$10004,4072-4,'Visual SPC'!$B$3)="",0,IF(AND(OR('Visual SPC'!$C$4="",'Data Entry'!$C4072&gt;='Visual SPC'!$C$4),OR('Visual SPC'!$E$4="",'Data Entry'!$C4072&lt;='Visual SPC'!$E$4),OR('Visual SPC'!$G$4="",'Data Entry'!$D4072='Visual SPC'!$G$4),OR('Visual SPC'!$I$4="",'Data Entry'!$E4072='Visual SPC'!$I$4),OR('Visual SPC'!$K$4="",'Data Entry'!$F4072='Visual SPC'!$K$4)),1,0))</f>
        <v/>
      </c>
      <c r="C4072">
        <f>C4071+B4072</f>
        <v/>
      </c>
      <c r="D4072">
        <f>IF(B4072=1,INDEX('Data Entry'!$H$5:$BE$10004,4072-4,'Visual SPC'!$B$3),"")</f>
        <v/>
      </c>
      <c r="E4072">
        <f>IF(B4072=1,D4072,E4071)</f>
        <v/>
      </c>
      <c r="F4072">
        <f>IF(AND(B4072=1,C4072&gt;1,E4071&lt;&gt;""),ABS(D4072-E4071),"")</f>
        <v/>
      </c>
    </row>
    <row r="4073">
      <c r="A4073" t="n">
        <v>4073</v>
      </c>
      <c r="B4073">
        <f>IF(INDEX('Data Entry'!$H$5:$BE$10004,4073-4,'Visual SPC'!$B$3)="",0,IF(AND(OR('Visual SPC'!$C$4="",'Data Entry'!$C4073&gt;='Visual SPC'!$C$4),OR('Visual SPC'!$E$4="",'Data Entry'!$C4073&lt;='Visual SPC'!$E$4),OR('Visual SPC'!$G$4="",'Data Entry'!$D4073='Visual SPC'!$G$4),OR('Visual SPC'!$I$4="",'Data Entry'!$E4073='Visual SPC'!$I$4),OR('Visual SPC'!$K$4="",'Data Entry'!$F4073='Visual SPC'!$K$4)),1,0))</f>
        <v/>
      </c>
      <c r="C4073">
        <f>C4072+B4073</f>
        <v/>
      </c>
      <c r="D4073">
        <f>IF(B4073=1,INDEX('Data Entry'!$H$5:$BE$10004,4073-4,'Visual SPC'!$B$3),"")</f>
        <v/>
      </c>
      <c r="E4073">
        <f>IF(B4073=1,D4073,E4072)</f>
        <v/>
      </c>
      <c r="F4073">
        <f>IF(AND(B4073=1,C4073&gt;1,E4072&lt;&gt;""),ABS(D4073-E4072),"")</f>
        <v/>
      </c>
    </row>
    <row r="4074">
      <c r="A4074" t="n">
        <v>4074</v>
      </c>
      <c r="B4074">
        <f>IF(INDEX('Data Entry'!$H$5:$BE$10004,4074-4,'Visual SPC'!$B$3)="",0,IF(AND(OR('Visual SPC'!$C$4="",'Data Entry'!$C4074&gt;='Visual SPC'!$C$4),OR('Visual SPC'!$E$4="",'Data Entry'!$C4074&lt;='Visual SPC'!$E$4),OR('Visual SPC'!$G$4="",'Data Entry'!$D4074='Visual SPC'!$G$4),OR('Visual SPC'!$I$4="",'Data Entry'!$E4074='Visual SPC'!$I$4),OR('Visual SPC'!$K$4="",'Data Entry'!$F4074='Visual SPC'!$K$4)),1,0))</f>
        <v/>
      </c>
      <c r="C4074">
        <f>C4073+B4074</f>
        <v/>
      </c>
      <c r="D4074">
        <f>IF(B4074=1,INDEX('Data Entry'!$H$5:$BE$10004,4074-4,'Visual SPC'!$B$3),"")</f>
        <v/>
      </c>
      <c r="E4074">
        <f>IF(B4074=1,D4074,E4073)</f>
        <v/>
      </c>
      <c r="F4074">
        <f>IF(AND(B4074=1,C4074&gt;1,E4073&lt;&gt;""),ABS(D4074-E4073),"")</f>
        <v/>
      </c>
    </row>
    <row r="4075">
      <c r="A4075" t="n">
        <v>4075</v>
      </c>
      <c r="B4075">
        <f>IF(INDEX('Data Entry'!$H$5:$BE$10004,4075-4,'Visual SPC'!$B$3)="",0,IF(AND(OR('Visual SPC'!$C$4="",'Data Entry'!$C4075&gt;='Visual SPC'!$C$4),OR('Visual SPC'!$E$4="",'Data Entry'!$C4075&lt;='Visual SPC'!$E$4),OR('Visual SPC'!$G$4="",'Data Entry'!$D4075='Visual SPC'!$G$4),OR('Visual SPC'!$I$4="",'Data Entry'!$E4075='Visual SPC'!$I$4),OR('Visual SPC'!$K$4="",'Data Entry'!$F4075='Visual SPC'!$K$4)),1,0))</f>
        <v/>
      </c>
      <c r="C4075">
        <f>C4074+B4075</f>
        <v/>
      </c>
      <c r="D4075">
        <f>IF(B4075=1,INDEX('Data Entry'!$H$5:$BE$10004,4075-4,'Visual SPC'!$B$3),"")</f>
        <v/>
      </c>
      <c r="E4075">
        <f>IF(B4075=1,D4075,E4074)</f>
        <v/>
      </c>
      <c r="F4075">
        <f>IF(AND(B4075=1,C4075&gt;1,E4074&lt;&gt;""),ABS(D4075-E4074),"")</f>
        <v/>
      </c>
    </row>
    <row r="4076">
      <c r="A4076" t="n">
        <v>4076</v>
      </c>
      <c r="B4076">
        <f>IF(INDEX('Data Entry'!$H$5:$BE$10004,4076-4,'Visual SPC'!$B$3)="",0,IF(AND(OR('Visual SPC'!$C$4="",'Data Entry'!$C4076&gt;='Visual SPC'!$C$4),OR('Visual SPC'!$E$4="",'Data Entry'!$C4076&lt;='Visual SPC'!$E$4),OR('Visual SPC'!$G$4="",'Data Entry'!$D4076='Visual SPC'!$G$4),OR('Visual SPC'!$I$4="",'Data Entry'!$E4076='Visual SPC'!$I$4),OR('Visual SPC'!$K$4="",'Data Entry'!$F4076='Visual SPC'!$K$4)),1,0))</f>
        <v/>
      </c>
      <c r="C4076">
        <f>C4075+B4076</f>
        <v/>
      </c>
      <c r="D4076">
        <f>IF(B4076=1,INDEX('Data Entry'!$H$5:$BE$10004,4076-4,'Visual SPC'!$B$3),"")</f>
        <v/>
      </c>
      <c r="E4076">
        <f>IF(B4076=1,D4076,E4075)</f>
        <v/>
      </c>
      <c r="F4076">
        <f>IF(AND(B4076=1,C4076&gt;1,E4075&lt;&gt;""),ABS(D4076-E4075),"")</f>
        <v/>
      </c>
    </row>
    <row r="4077">
      <c r="A4077" t="n">
        <v>4077</v>
      </c>
      <c r="B4077">
        <f>IF(INDEX('Data Entry'!$H$5:$BE$10004,4077-4,'Visual SPC'!$B$3)="",0,IF(AND(OR('Visual SPC'!$C$4="",'Data Entry'!$C4077&gt;='Visual SPC'!$C$4),OR('Visual SPC'!$E$4="",'Data Entry'!$C4077&lt;='Visual SPC'!$E$4),OR('Visual SPC'!$G$4="",'Data Entry'!$D4077='Visual SPC'!$G$4),OR('Visual SPC'!$I$4="",'Data Entry'!$E4077='Visual SPC'!$I$4),OR('Visual SPC'!$K$4="",'Data Entry'!$F4077='Visual SPC'!$K$4)),1,0))</f>
        <v/>
      </c>
      <c r="C4077">
        <f>C4076+B4077</f>
        <v/>
      </c>
      <c r="D4077">
        <f>IF(B4077=1,INDEX('Data Entry'!$H$5:$BE$10004,4077-4,'Visual SPC'!$B$3),"")</f>
        <v/>
      </c>
      <c r="E4077">
        <f>IF(B4077=1,D4077,E4076)</f>
        <v/>
      </c>
      <c r="F4077">
        <f>IF(AND(B4077=1,C4077&gt;1,E4076&lt;&gt;""),ABS(D4077-E4076),"")</f>
        <v/>
      </c>
    </row>
    <row r="4078">
      <c r="A4078" t="n">
        <v>4078</v>
      </c>
      <c r="B4078">
        <f>IF(INDEX('Data Entry'!$H$5:$BE$10004,4078-4,'Visual SPC'!$B$3)="",0,IF(AND(OR('Visual SPC'!$C$4="",'Data Entry'!$C4078&gt;='Visual SPC'!$C$4),OR('Visual SPC'!$E$4="",'Data Entry'!$C4078&lt;='Visual SPC'!$E$4),OR('Visual SPC'!$G$4="",'Data Entry'!$D4078='Visual SPC'!$G$4),OR('Visual SPC'!$I$4="",'Data Entry'!$E4078='Visual SPC'!$I$4),OR('Visual SPC'!$K$4="",'Data Entry'!$F4078='Visual SPC'!$K$4)),1,0))</f>
        <v/>
      </c>
      <c r="C4078">
        <f>C4077+B4078</f>
        <v/>
      </c>
      <c r="D4078">
        <f>IF(B4078=1,INDEX('Data Entry'!$H$5:$BE$10004,4078-4,'Visual SPC'!$B$3),"")</f>
        <v/>
      </c>
      <c r="E4078">
        <f>IF(B4078=1,D4078,E4077)</f>
        <v/>
      </c>
      <c r="F4078">
        <f>IF(AND(B4078=1,C4078&gt;1,E4077&lt;&gt;""),ABS(D4078-E4077),"")</f>
        <v/>
      </c>
    </row>
    <row r="4079">
      <c r="A4079" t="n">
        <v>4079</v>
      </c>
      <c r="B4079">
        <f>IF(INDEX('Data Entry'!$H$5:$BE$10004,4079-4,'Visual SPC'!$B$3)="",0,IF(AND(OR('Visual SPC'!$C$4="",'Data Entry'!$C4079&gt;='Visual SPC'!$C$4),OR('Visual SPC'!$E$4="",'Data Entry'!$C4079&lt;='Visual SPC'!$E$4),OR('Visual SPC'!$G$4="",'Data Entry'!$D4079='Visual SPC'!$G$4),OR('Visual SPC'!$I$4="",'Data Entry'!$E4079='Visual SPC'!$I$4),OR('Visual SPC'!$K$4="",'Data Entry'!$F4079='Visual SPC'!$K$4)),1,0))</f>
        <v/>
      </c>
      <c r="C4079">
        <f>C4078+B4079</f>
        <v/>
      </c>
      <c r="D4079">
        <f>IF(B4079=1,INDEX('Data Entry'!$H$5:$BE$10004,4079-4,'Visual SPC'!$B$3),"")</f>
        <v/>
      </c>
      <c r="E4079">
        <f>IF(B4079=1,D4079,E4078)</f>
        <v/>
      </c>
      <c r="F4079">
        <f>IF(AND(B4079=1,C4079&gt;1,E4078&lt;&gt;""),ABS(D4079-E4078),"")</f>
        <v/>
      </c>
    </row>
    <row r="4080">
      <c r="A4080" t="n">
        <v>4080</v>
      </c>
      <c r="B4080">
        <f>IF(INDEX('Data Entry'!$H$5:$BE$10004,4080-4,'Visual SPC'!$B$3)="",0,IF(AND(OR('Visual SPC'!$C$4="",'Data Entry'!$C4080&gt;='Visual SPC'!$C$4),OR('Visual SPC'!$E$4="",'Data Entry'!$C4080&lt;='Visual SPC'!$E$4),OR('Visual SPC'!$G$4="",'Data Entry'!$D4080='Visual SPC'!$G$4),OR('Visual SPC'!$I$4="",'Data Entry'!$E4080='Visual SPC'!$I$4),OR('Visual SPC'!$K$4="",'Data Entry'!$F4080='Visual SPC'!$K$4)),1,0))</f>
        <v/>
      </c>
      <c r="C4080">
        <f>C4079+B4080</f>
        <v/>
      </c>
      <c r="D4080">
        <f>IF(B4080=1,INDEX('Data Entry'!$H$5:$BE$10004,4080-4,'Visual SPC'!$B$3),"")</f>
        <v/>
      </c>
      <c r="E4080">
        <f>IF(B4080=1,D4080,E4079)</f>
        <v/>
      </c>
      <c r="F4080">
        <f>IF(AND(B4080=1,C4080&gt;1,E4079&lt;&gt;""),ABS(D4080-E4079),"")</f>
        <v/>
      </c>
    </row>
    <row r="4081">
      <c r="A4081" t="n">
        <v>4081</v>
      </c>
      <c r="B4081">
        <f>IF(INDEX('Data Entry'!$H$5:$BE$10004,4081-4,'Visual SPC'!$B$3)="",0,IF(AND(OR('Visual SPC'!$C$4="",'Data Entry'!$C4081&gt;='Visual SPC'!$C$4),OR('Visual SPC'!$E$4="",'Data Entry'!$C4081&lt;='Visual SPC'!$E$4),OR('Visual SPC'!$G$4="",'Data Entry'!$D4081='Visual SPC'!$G$4),OR('Visual SPC'!$I$4="",'Data Entry'!$E4081='Visual SPC'!$I$4),OR('Visual SPC'!$K$4="",'Data Entry'!$F4081='Visual SPC'!$K$4)),1,0))</f>
        <v/>
      </c>
      <c r="C4081">
        <f>C4080+B4081</f>
        <v/>
      </c>
      <c r="D4081">
        <f>IF(B4081=1,INDEX('Data Entry'!$H$5:$BE$10004,4081-4,'Visual SPC'!$B$3),"")</f>
        <v/>
      </c>
      <c r="E4081">
        <f>IF(B4081=1,D4081,E4080)</f>
        <v/>
      </c>
      <c r="F4081">
        <f>IF(AND(B4081=1,C4081&gt;1,E4080&lt;&gt;""),ABS(D4081-E4080),"")</f>
        <v/>
      </c>
    </row>
    <row r="4082">
      <c r="A4082" t="n">
        <v>4082</v>
      </c>
      <c r="B4082">
        <f>IF(INDEX('Data Entry'!$H$5:$BE$10004,4082-4,'Visual SPC'!$B$3)="",0,IF(AND(OR('Visual SPC'!$C$4="",'Data Entry'!$C4082&gt;='Visual SPC'!$C$4),OR('Visual SPC'!$E$4="",'Data Entry'!$C4082&lt;='Visual SPC'!$E$4),OR('Visual SPC'!$G$4="",'Data Entry'!$D4082='Visual SPC'!$G$4),OR('Visual SPC'!$I$4="",'Data Entry'!$E4082='Visual SPC'!$I$4),OR('Visual SPC'!$K$4="",'Data Entry'!$F4082='Visual SPC'!$K$4)),1,0))</f>
        <v/>
      </c>
      <c r="C4082">
        <f>C4081+B4082</f>
        <v/>
      </c>
      <c r="D4082">
        <f>IF(B4082=1,INDEX('Data Entry'!$H$5:$BE$10004,4082-4,'Visual SPC'!$B$3),"")</f>
        <v/>
      </c>
      <c r="E4082">
        <f>IF(B4082=1,D4082,E4081)</f>
        <v/>
      </c>
      <c r="F4082">
        <f>IF(AND(B4082=1,C4082&gt;1,E4081&lt;&gt;""),ABS(D4082-E4081),"")</f>
        <v/>
      </c>
    </row>
    <row r="4083">
      <c r="A4083" t="n">
        <v>4083</v>
      </c>
      <c r="B4083">
        <f>IF(INDEX('Data Entry'!$H$5:$BE$10004,4083-4,'Visual SPC'!$B$3)="",0,IF(AND(OR('Visual SPC'!$C$4="",'Data Entry'!$C4083&gt;='Visual SPC'!$C$4),OR('Visual SPC'!$E$4="",'Data Entry'!$C4083&lt;='Visual SPC'!$E$4),OR('Visual SPC'!$G$4="",'Data Entry'!$D4083='Visual SPC'!$G$4),OR('Visual SPC'!$I$4="",'Data Entry'!$E4083='Visual SPC'!$I$4),OR('Visual SPC'!$K$4="",'Data Entry'!$F4083='Visual SPC'!$K$4)),1,0))</f>
        <v/>
      </c>
      <c r="C4083">
        <f>C4082+B4083</f>
        <v/>
      </c>
      <c r="D4083">
        <f>IF(B4083=1,INDEX('Data Entry'!$H$5:$BE$10004,4083-4,'Visual SPC'!$B$3),"")</f>
        <v/>
      </c>
      <c r="E4083">
        <f>IF(B4083=1,D4083,E4082)</f>
        <v/>
      </c>
      <c r="F4083">
        <f>IF(AND(B4083=1,C4083&gt;1,E4082&lt;&gt;""),ABS(D4083-E4082),"")</f>
        <v/>
      </c>
    </row>
    <row r="4084">
      <c r="A4084" t="n">
        <v>4084</v>
      </c>
      <c r="B4084">
        <f>IF(INDEX('Data Entry'!$H$5:$BE$10004,4084-4,'Visual SPC'!$B$3)="",0,IF(AND(OR('Visual SPC'!$C$4="",'Data Entry'!$C4084&gt;='Visual SPC'!$C$4),OR('Visual SPC'!$E$4="",'Data Entry'!$C4084&lt;='Visual SPC'!$E$4),OR('Visual SPC'!$G$4="",'Data Entry'!$D4084='Visual SPC'!$G$4),OR('Visual SPC'!$I$4="",'Data Entry'!$E4084='Visual SPC'!$I$4),OR('Visual SPC'!$K$4="",'Data Entry'!$F4084='Visual SPC'!$K$4)),1,0))</f>
        <v/>
      </c>
      <c r="C4084">
        <f>C4083+B4084</f>
        <v/>
      </c>
      <c r="D4084">
        <f>IF(B4084=1,INDEX('Data Entry'!$H$5:$BE$10004,4084-4,'Visual SPC'!$B$3),"")</f>
        <v/>
      </c>
      <c r="E4084">
        <f>IF(B4084=1,D4084,E4083)</f>
        <v/>
      </c>
      <c r="F4084">
        <f>IF(AND(B4084=1,C4084&gt;1,E4083&lt;&gt;""),ABS(D4084-E4083),"")</f>
        <v/>
      </c>
    </row>
    <row r="4085">
      <c r="A4085" t="n">
        <v>4085</v>
      </c>
      <c r="B4085">
        <f>IF(INDEX('Data Entry'!$H$5:$BE$10004,4085-4,'Visual SPC'!$B$3)="",0,IF(AND(OR('Visual SPC'!$C$4="",'Data Entry'!$C4085&gt;='Visual SPC'!$C$4),OR('Visual SPC'!$E$4="",'Data Entry'!$C4085&lt;='Visual SPC'!$E$4),OR('Visual SPC'!$G$4="",'Data Entry'!$D4085='Visual SPC'!$G$4),OR('Visual SPC'!$I$4="",'Data Entry'!$E4085='Visual SPC'!$I$4),OR('Visual SPC'!$K$4="",'Data Entry'!$F4085='Visual SPC'!$K$4)),1,0))</f>
        <v/>
      </c>
      <c r="C4085">
        <f>C4084+B4085</f>
        <v/>
      </c>
      <c r="D4085">
        <f>IF(B4085=1,INDEX('Data Entry'!$H$5:$BE$10004,4085-4,'Visual SPC'!$B$3),"")</f>
        <v/>
      </c>
      <c r="E4085">
        <f>IF(B4085=1,D4085,E4084)</f>
        <v/>
      </c>
      <c r="F4085">
        <f>IF(AND(B4085=1,C4085&gt;1,E4084&lt;&gt;""),ABS(D4085-E4084),"")</f>
        <v/>
      </c>
    </row>
    <row r="4086">
      <c r="A4086" t="n">
        <v>4086</v>
      </c>
      <c r="B4086">
        <f>IF(INDEX('Data Entry'!$H$5:$BE$10004,4086-4,'Visual SPC'!$B$3)="",0,IF(AND(OR('Visual SPC'!$C$4="",'Data Entry'!$C4086&gt;='Visual SPC'!$C$4),OR('Visual SPC'!$E$4="",'Data Entry'!$C4086&lt;='Visual SPC'!$E$4),OR('Visual SPC'!$G$4="",'Data Entry'!$D4086='Visual SPC'!$G$4),OR('Visual SPC'!$I$4="",'Data Entry'!$E4086='Visual SPC'!$I$4),OR('Visual SPC'!$K$4="",'Data Entry'!$F4086='Visual SPC'!$K$4)),1,0))</f>
        <v/>
      </c>
      <c r="C4086">
        <f>C4085+B4086</f>
        <v/>
      </c>
      <c r="D4086">
        <f>IF(B4086=1,INDEX('Data Entry'!$H$5:$BE$10004,4086-4,'Visual SPC'!$B$3),"")</f>
        <v/>
      </c>
      <c r="E4086">
        <f>IF(B4086=1,D4086,E4085)</f>
        <v/>
      </c>
      <c r="F4086">
        <f>IF(AND(B4086=1,C4086&gt;1,E4085&lt;&gt;""),ABS(D4086-E4085),"")</f>
        <v/>
      </c>
    </row>
    <row r="4087">
      <c r="A4087" t="n">
        <v>4087</v>
      </c>
      <c r="B4087">
        <f>IF(INDEX('Data Entry'!$H$5:$BE$10004,4087-4,'Visual SPC'!$B$3)="",0,IF(AND(OR('Visual SPC'!$C$4="",'Data Entry'!$C4087&gt;='Visual SPC'!$C$4),OR('Visual SPC'!$E$4="",'Data Entry'!$C4087&lt;='Visual SPC'!$E$4),OR('Visual SPC'!$G$4="",'Data Entry'!$D4087='Visual SPC'!$G$4),OR('Visual SPC'!$I$4="",'Data Entry'!$E4087='Visual SPC'!$I$4),OR('Visual SPC'!$K$4="",'Data Entry'!$F4087='Visual SPC'!$K$4)),1,0))</f>
        <v/>
      </c>
      <c r="C4087">
        <f>C4086+B4087</f>
        <v/>
      </c>
      <c r="D4087">
        <f>IF(B4087=1,INDEX('Data Entry'!$H$5:$BE$10004,4087-4,'Visual SPC'!$B$3),"")</f>
        <v/>
      </c>
      <c r="E4087">
        <f>IF(B4087=1,D4087,E4086)</f>
        <v/>
      </c>
      <c r="F4087">
        <f>IF(AND(B4087=1,C4087&gt;1,E4086&lt;&gt;""),ABS(D4087-E4086),"")</f>
        <v/>
      </c>
    </row>
    <row r="4088">
      <c r="A4088" t="n">
        <v>4088</v>
      </c>
      <c r="B4088">
        <f>IF(INDEX('Data Entry'!$H$5:$BE$10004,4088-4,'Visual SPC'!$B$3)="",0,IF(AND(OR('Visual SPC'!$C$4="",'Data Entry'!$C4088&gt;='Visual SPC'!$C$4),OR('Visual SPC'!$E$4="",'Data Entry'!$C4088&lt;='Visual SPC'!$E$4),OR('Visual SPC'!$G$4="",'Data Entry'!$D4088='Visual SPC'!$G$4),OR('Visual SPC'!$I$4="",'Data Entry'!$E4088='Visual SPC'!$I$4),OR('Visual SPC'!$K$4="",'Data Entry'!$F4088='Visual SPC'!$K$4)),1,0))</f>
        <v/>
      </c>
      <c r="C4088">
        <f>C4087+B4088</f>
        <v/>
      </c>
      <c r="D4088">
        <f>IF(B4088=1,INDEX('Data Entry'!$H$5:$BE$10004,4088-4,'Visual SPC'!$B$3),"")</f>
        <v/>
      </c>
      <c r="E4088">
        <f>IF(B4088=1,D4088,E4087)</f>
        <v/>
      </c>
      <c r="F4088">
        <f>IF(AND(B4088=1,C4088&gt;1,E4087&lt;&gt;""),ABS(D4088-E4087),"")</f>
        <v/>
      </c>
    </row>
    <row r="4089">
      <c r="A4089" t="n">
        <v>4089</v>
      </c>
      <c r="B4089">
        <f>IF(INDEX('Data Entry'!$H$5:$BE$10004,4089-4,'Visual SPC'!$B$3)="",0,IF(AND(OR('Visual SPC'!$C$4="",'Data Entry'!$C4089&gt;='Visual SPC'!$C$4),OR('Visual SPC'!$E$4="",'Data Entry'!$C4089&lt;='Visual SPC'!$E$4),OR('Visual SPC'!$G$4="",'Data Entry'!$D4089='Visual SPC'!$G$4),OR('Visual SPC'!$I$4="",'Data Entry'!$E4089='Visual SPC'!$I$4),OR('Visual SPC'!$K$4="",'Data Entry'!$F4089='Visual SPC'!$K$4)),1,0))</f>
        <v/>
      </c>
      <c r="C4089">
        <f>C4088+B4089</f>
        <v/>
      </c>
      <c r="D4089">
        <f>IF(B4089=1,INDEX('Data Entry'!$H$5:$BE$10004,4089-4,'Visual SPC'!$B$3),"")</f>
        <v/>
      </c>
      <c r="E4089">
        <f>IF(B4089=1,D4089,E4088)</f>
        <v/>
      </c>
      <c r="F4089">
        <f>IF(AND(B4089=1,C4089&gt;1,E4088&lt;&gt;""),ABS(D4089-E4088),"")</f>
        <v/>
      </c>
    </row>
    <row r="4090">
      <c r="A4090" t="n">
        <v>4090</v>
      </c>
      <c r="B4090">
        <f>IF(INDEX('Data Entry'!$H$5:$BE$10004,4090-4,'Visual SPC'!$B$3)="",0,IF(AND(OR('Visual SPC'!$C$4="",'Data Entry'!$C4090&gt;='Visual SPC'!$C$4),OR('Visual SPC'!$E$4="",'Data Entry'!$C4090&lt;='Visual SPC'!$E$4),OR('Visual SPC'!$G$4="",'Data Entry'!$D4090='Visual SPC'!$G$4),OR('Visual SPC'!$I$4="",'Data Entry'!$E4090='Visual SPC'!$I$4),OR('Visual SPC'!$K$4="",'Data Entry'!$F4090='Visual SPC'!$K$4)),1,0))</f>
        <v/>
      </c>
      <c r="C4090">
        <f>C4089+B4090</f>
        <v/>
      </c>
      <c r="D4090">
        <f>IF(B4090=1,INDEX('Data Entry'!$H$5:$BE$10004,4090-4,'Visual SPC'!$B$3),"")</f>
        <v/>
      </c>
      <c r="E4090">
        <f>IF(B4090=1,D4090,E4089)</f>
        <v/>
      </c>
      <c r="F4090">
        <f>IF(AND(B4090=1,C4090&gt;1,E4089&lt;&gt;""),ABS(D4090-E4089),"")</f>
        <v/>
      </c>
    </row>
    <row r="4091">
      <c r="A4091" t="n">
        <v>4091</v>
      </c>
      <c r="B4091">
        <f>IF(INDEX('Data Entry'!$H$5:$BE$10004,4091-4,'Visual SPC'!$B$3)="",0,IF(AND(OR('Visual SPC'!$C$4="",'Data Entry'!$C4091&gt;='Visual SPC'!$C$4),OR('Visual SPC'!$E$4="",'Data Entry'!$C4091&lt;='Visual SPC'!$E$4),OR('Visual SPC'!$G$4="",'Data Entry'!$D4091='Visual SPC'!$G$4),OR('Visual SPC'!$I$4="",'Data Entry'!$E4091='Visual SPC'!$I$4),OR('Visual SPC'!$K$4="",'Data Entry'!$F4091='Visual SPC'!$K$4)),1,0))</f>
        <v/>
      </c>
      <c r="C4091">
        <f>C4090+B4091</f>
        <v/>
      </c>
      <c r="D4091">
        <f>IF(B4091=1,INDEX('Data Entry'!$H$5:$BE$10004,4091-4,'Visual SPC'!$B$3),"")</f>
        <v/>
      </c>
      <c r="E4091">
        <f>IF(B4091=1,D4091,E4090)</f>
        <v/>
      </c>
      <c r="F4091">
        <f>IF(AND(B4091=1,C4091&gt;1,E4090&lt;&gt;""),ABS(D4091-E4090),"")</f>
        <v/>
      </c>
    </row>
    <row r="4092">
      <c r="A4092" t="n">
        <v>4092</v>
      </c>
      <c r="B4092">
        <f>IF(INDEX('Data Entry'!$H$5:$BE$10004,4092-4,'Visual SPC'!$B$3)="",0,IF(AND(OR('Visual SPC'!$C$4="",'Data Entry'!$C4092&gt;='Visual SPC'!$C$4),OR('Visual SPC'!$E$4="",'Data Entry'!$C4092&lt;='Visual SPC'!$E$4),OR('Visual SPC'!$G$4="",'Data Entry'!$D4092='Visual SPC'!$G$4),OR('Visual SPC'!$I$4="",'Data Entry'!$E4092='Visual SPC'!$I$4),OR('Visual SPC'!$K$4="",'Data Entry'!$F4092='Visual SPC'!$K$4)),1,0))</f>
        <v/>
      </c>
      <c r="C4092">
        <f>C4091+B4092</f>
        <v/>
      </c>
      <c r="D4092">
        <f>IF(B4092=1,INDEX('Data Entry'!$H$5:$BE$10004,4092-4,'Visual SPC'!$B$3),"")</f>
        <v/>
      </c>
      <c r="E4092">
        <f>IF(B4092=1,D4092,E4091)</f>
        <v/>
      </c>
      <c r="F4092">
        <f>IF(AND(B4092=1,C4092&gt;1,E4091&lt;&gt;""),ABS(D4092-E4091),"")</f>
        <v/>
      </c>
    </row>
    <row r="4093">
      <c r="A4093" t="n">
        <v>4093</v>
      </c>
      <c r="B4093">
        <f>IF(INDEX('Data Entry'!$H$5:$BE$10004,4093-4,'Visual SPC'!$B$3)="",0,IF(AND(OR('Visual SPC'!$C$4="",'Data Entry'!$C4093&gt;='Visual SPC'!$C$4),OR('Visual SPC'!$E$4="",'Data Entry'!$C4093&lt;='Visual SPC'!$E$4),OR('Visual SPC'!$G$4="",'Data Entry'!$D4093='Visual SPC'!$G$4),OR('Visual SPC'!$I$4="",'Data Entry'!$E4093='Visual SPC'!$I$4),OR('Visual SPC'!$K$4="",'Data Entry'!$F4093='Visual SPC'!$K$4)),1,0))</f>
        <v/>
      </c>
      <c r="C4093">
        <f>C4092+B4093</f>
        <v/>
      </c>
      <c r="D4093">
        <f>IF(B4093=1,INDEX('Data Entry'!$H$5:$BE$10004,4093-4,'Visual SPC'!$B$3),"")</f>
        <v/>
      </c>
      <c r="E4093">
        <f>IF(B4093=1,D4093,E4092)</f>
        <v/>
      </c>
      <c r="F4093">
        <f>IF(AND(B4093=1,C4093&gt;1,E4092&lt;&gt;""),ABS(D4093-E4092),"")</f>
        <v/>
      </c>
    </row>
    <row r="4094">
      <c r="A4094" t="n">
        <v>4094</v>
      </c>
      <c r="B4094">
        <f>IF(INDEX('Data Entry'!$H$5:$BE$10004,4094-4,'Visual SPC'!$B$3)="",0,IF(AND(OR('Visual SPC'!$C$4="",'Data Entry'!$C4094&gt;='Visual SPC'!$C$4),OR('Visual SPC'!$E$4="",'Data Entry'!$C4094&lt;='Visual SPC'!$E$4),OR('Visual SPC'!$G$4="",'Data Entry'!$D4094='Visual SPC'!$G$4),OR('Visual SPC'!$I$4="",'Data Entry'!$E4094='Visual SPC'!$I$4),OR('Visual SPC'!$K$4="",'Data Entry'!$F4094='Visual SPC'!$K$4)),1,0))</f>
        <v/>
      </c>
      <c r="C4094">
        <f>C4093+B4094</f>
        <v/>
      </c>
      <c r="D4094">
        <f>IF(B4094=1,INDEX('Data Entry'!$H$5:$BE$10004,4094-4,'Visual SPC'!$B$3),"")</f>
        <v/>
      </c>
      <c r="E4094">
        <f>IF(B4094=1,D4094,E4093)</f>
        <v/>
      </c>
      <c r="F4094">
        <f>IF(AND(B4094=1,C4094&gt;1,E4093&lt;&gt;""),ABS(D4094-E4093),"")</f>
        <v/>
      </c>
    </row>
    <row r="4095">
      <c r="A4095" t="n">
        <v>4095</v>
      </c>
      <c r="B4095">
        <f>IF(INDEX('Data Entry'!$H$5:$BE$10004,4095-4,'Visual SPC'!$B$3)="",0,IF(AND(OR('Visual SPC'!$C$4="",'Data Entry'!$C4095&gt;='Visual SPC'!$C$4),OR('Visual SPC'!$E$4="",'Data Entry'!$C4095&lt;='Visual SPC'!$E$4),OR('Visual SPC'!$G$4="",'Data Entry'!$D4095='Visual SPC'!$G$4),OR('Visual SPC'!$I$4="",'Data Entry'!$E4095='Visual SPC'!$I$4),OR('Visual SPC'!$K$4="",'Data Entry'!$F4095='Visual SPC'!$K$4)),1,0))</f>
        <v/>
      </c>
      <c r="C4095">
        <f>C4094+B4095</f>
        <v/>
      </c>
      <c r="D4095">
        <f>IF(B4095=1,INDEX('Data Entry'!$H$5:$BE$10004,4095-4,'Visual SPC'!$B$3),"")</f>
        <v/>
      </c>
      <c r="E4095">
        <f>IF(B4095=1,D4095,E4094)</f>
        <v/>
      </c>
      <c r="F4095">
        <f>IF(AND(B4095=1,C4095&gt;1,E4094&lt;&gt;""),ABS(D4095-E4094),"")</f>
        <v/>
      </c>
    </row>
    <row r="4096">
      <c r="A4096" t="n">
        <v>4096</v>
      </c>
      <c r="B4096">
        <f>IF(INDEX('Data Entry'!$H$5:$BE$10004,4096-4,'Visual SPC'!$B$3)="",0,IF(AND(OR('Visual SPC'!$C$4="",'Data Entry'!$C4096&gt;='Visual SPC'!$C$4),OR('Visual SPC'!$E$4="",'Data Entry'!$C4096&lt;='Visual SPC'!$E$4),OR('Visual SPC'!$G$4="",'Data Entry'!$D4096='Visual SPC'!$G$4),OR('Visual SPC'!$I$4="",'Data Entry'!$E4096='Visual SPC'!$I$4),OR('Visual SPC'!$K$4="",'Data Entry'!$F4096='Visual SPC'!$K$4)),1,0))</f>
        <v/>
      </c>
      <c r="C4096">
        <f>C4095+B4096</f>
        <v/>
      </c>
      <c r="D4096">
        <f>IF(B4096=1,INDEX('Data Entry'!$H$5:$BE$10004,4096-4,'Visual SPC'!$B$3),"")</f>
        <v/>
      </c>
      <c r="E4096">
        <f>IF(B4096=1,D4096,E4095)</f>
        <v/>
      </c>
      <c r="F4096">
        <f>IF(AND(B4096=1,C4096&gt;1,E4095&lt;&gt;""),ABS(D4096-E4095),"")</f>
        <v/>
      </c>
    </row>
    <row r="4097">
      <c r="A4097" t="n">
        <v>4097</v>
      </c>
      <c r="B4097">
        <f>IF(INDEX('Data Entry'!$H$5:$BE$10004,4097-4,'Visual SPC'!$B$3)="",0,IF(AND(OR('Visual SPC'!$C$4="",'Data Entry'!$C4097&gt;='Visual SPC'!$C$4),OR('Visual SPC'!$E$4="",'Data Entry'!$C4097&lt;='Visual SPC'!$E$4),OR('Visual SPC'!$G$4="",'Data Entry'!$D4097='Visual SPC'!$G$4),OR('Visual SPC'!$I$4="",'Data Entry'!$E4097='Visual SPC'!$I$4),OR('Visual SPC'!$K$4="",'Data Entry'!$F4097='Visual SPC'!$K$4)),1,0))</f>
        <v/>
      </c>
      <c r="C4097">
        <f>C4096+B4097</f>
        <v/>
      </c>
      <c r="D4097">
        <f>IF(B4097=1,INDEX('Data Entry'!$H$5:$BE$10004,4097-4,'Visual SPC'!$B$3),"")</f>
        <v/>
      </c>
      <c r="E4097">
        <f>IF(B4097=1,D4097,E4096)</f>
        <v/>
      </c>
      <c r="F4097">
        <f>IF(AND(B4097=1,C4097&gt;1,E4096&lt;&gt;""),ABS(D4097-E4096),"")</f>
        <v/>
      </c>
    </row>
    <row r="4098">
      <c r="A4098" t="n">
        <v>4098</v>
      </c>
      <c r="B4098">
        <f>IF(INDEX('Data Entry'!$H$5:$BE$10004,4098-4,'Visual SPC'!$B$3)="",0,IF(AND(OR('Visual SPC'!$C$4="",'Data Entry'!$C4098&gt;='Visual SPC'!$C$4),OR('Visual SPC'!$E$4="",'Data Entry'!$C4098&lt;='Visual SPC'!$E$4),OR('Visual SPC'!$G$4="",'Data Entry'!$D4098='Visual SPC'!$G$4),OR('Visual SPC'!$I$4="",'Data Entry'!$E4098='Visual SPC'!$I$4),OR('Visual SPC'!$K$4="",'Data Entry'!$F4098='Visual SPC'!$K$4)),1,0))</f>
        <v/>
      </c>
      <c r="C4098">
        <f>C4097+B4098</f>
        <v/>
      </c>
      <c r="D4098">
        <f>IF(B4098=1,INDEX('Data Entry'!$H$5:$BE$10004,4098-4,'Visual SPC'!$B$3),"")</f>
        <v/>
      </c>
      <c r="E4098">
        <f>IF(B4098=1,D4098,E4097)</f>
        <v/>
      </c>
      <c r="F4098">
        <f>IF(AND(B4098=1,C4098&gt;1,E4097&lt;&gt;""),ABS(D4098-E4097),"")</f>
        <v/>
      </c>
    </row>
    <row r="4099">
      <c r="A4099" t="n">
        <v>4099</v>
      </c>
      <c r="B4099">
        <f>IF(INDEX('Data Entry'!$H$5:$BE$10004,4099-4,'Visual SPC'!$B$3)="",0,IF(AND(OR('Visual SPC'!$C$4="",'Data Entry'!$C4099&gt;='Visual SPC'!$C$4),OR('Visual SPC'!$E$4="",'Data Entry'!$C4099&lt;='Visual SPC'!$E$4),OR('Visual SPC'!$G$4="",'Data Entry'!$D4099='Visual SPC'!$G$4),OR('Visual SPC'!$I$4="",'Data Entry'!$E4099='Visual SPC'!$I$4),OR('Visual SPC'!$K$4="",'Data Entry'!$F4099='Visual SPC'!$K$4)),1,0))</f>
        <v/>
      </c>
      <c r="C4099">
        <f>C4098+B4099</f>
        <v/>
      </c>
      <c r="D4099">
        <f>IF(B4099=1,INDEX('Data Entry'!$H$5:$BE$10004,4099-4,'Visual SPC'!$B$3),"")</f>
        <v/>
      </c>
      <c r="E4099">
        <f>IF(B4099=1,D4099,E4098)</f>
        <v/>
      </c>
      <c r="F4099">
        <f>IF(AND(B4099=1,C4099&gt;1,E4098&lt;&gt;""),ABS(D4099-E4098),"")</f>
        <v/>
      </c>
    </row>
    <row r="4100">
      <c r="A4100" t="n">
        <v>4100</v>
      </c>
      <c r="B4100">
        <f>IF(INDEX('Data Entry'!$H$5:$BE$10004,4100-4,'Visual SPC'!$B$3)="",0,IF(AND(OR('Visual SPC'!$C$4="",'Data Entry'!$C4100&gt;='Visual SPC'!$C$4),OR('Visual SPC'!$E$4="",'Data Entry'!$C4100&lt;='Visual SPC'!$E$4),OR('Visual SPC'!$G$4="",'Data Entry'!$D4100='Visual SPC'!$G$4),OR('Visual SPC'!$I$4="",'Data Entry'!$E4100='Visual SPC'!$I$4),OR('Visual SPC'!$K$4="",'Data Entry'!$F4100='Visual SPC'!$K$4)),1,0))</f>
        <v/>
      </c>
      <c r="C4100">
        <f>C4099+B4100</f>
        <v/>
      </c>
      <c r="D4100">
        <f>IF(B4100=1,INDEX('Data Entry'!$H$5:$BE$10004,4100-4,'Visual SPC'!$B$3),"")</f>
        <v/>
      </c>
      <c r="E4100">
        <f>IF(B4100=1,D4100,E4099)</f>
        <v/>
      </c>
      <c r="F4100">
        <f>IF(AND(B4100=1,C4100&gt;1,E4099&lt;&gt;""),ABS(D4100-E4099),"")</f>
        <v/>
      </c>
    </row>
    <row r="4101">
      <c r="A4101" t="n">
        <v>4101</v>
      </c>
      <c r="B4101">
        <f>IF(INDEX('Data Entry'!$H$5:$BE$10004,4101-4,'Visual SPC'!$B$3)="",0,IF(AND(OR('Visual SPC'!$C$4="",'Data Entry'!$C4101&gt;='Visual SPC'!$C$4),OR('Visual SPC'!$E$4="",'Data Entry'!$C4101&lt;='Visual SPC'!$E$4),OR('Visual SPC'!$G$4="",'Data Entry'!$D4101='Visual SPC'!$G$4),OR('Visual SPC'!$I$4="",'Data Entry'!$E4101='Visual SPC'!$I$4),OR('Visual SPC'!$K$4="",'Data Entry'!$F4101='Visual SPC'!$K$4)),1,0))</f>
        <v/>
      </c>
      <c r="C4101">
        <f>C4100+B4101</f>
        <v/>
      </c>
      <c r="D4101">
        <f>IF(B4101=1,INDEX('Data Entry'!$H$5:$BE$10004,4101-4,'Visual SPC'!$B$3),"")</f>
        <v/>
      </c>
      <c r="E4101">
        <f>IF(B4101=1,D4101,E4100)</f>
        <v/>
      </c>
      <c r="F4101">
        <f>IF(AND(B4101=1,C4101&gt;1,E4100&lt;&gt;""),ABS(D4101-E4100),"")</f>
        <v/>
      </c>
    </row>
    <row r="4102">
      <c r="A4102" t="n">
        <v>4102</v>
      </c>
      <c r="B4102">
        <f>IF(INDEX('Data Entry'!$H$5:$BE$10004,4102-4,'Visual SPC'!$B$3)="",0,IF(AND(OR('Visual SPC'!$C$4="",'Data Entry'!$C4102&gt;='Visual SPC'!$C$4),OR('Visual SPC'!$E$4="",'Data Entry'!$C4102&lt;='Visual SPC'!$E$4),OR('Visual SPC'!$G$4="",'Data Entry'!$D4102='Visual SPC'!$G$4),OR('Visual SPC'!$I$4="",'Data Entry'!$E4102='Visual SPC'!$I$4),OR('Visual SPC'!$K$4="",'Data Entry'!$F4102='Visual SPC'!$K$4)),1,0))</f>
        <v/>
      </c>
      <c r="C4102">
        <f>C4101+B4102</f>
        <v/>
      </c>
      <c r="D4102">
        <f>IF(B4102=1,INDEX('Data Entry'!$H$5:$BE$10004,4102-4,'Visual SPC'!$B$3),"")</f>
        <v/>
      </c>
      <c r="E4102">
        <f>IF(B4102=1,D4102,E4101)</f>
        <v/>
      </c>
      <c r="F4102">
        <f>IF(AND(B4102=1,C4102&gt;1,E4101&lt;&gt;""),ABS(D4102-E4101),"")</f>
        <v/>
      </c>
    </row>
    <row r="4103">
      <c r="A4103" t="n">
        <v>4103</v>
      </c>
      <c r="B4103">
        <f>IF(INDEX('Data Entry'!$H$5:$BE$10004,4103-4,'Visual SPC'!$B$3)="",0,IF(AND(OR('Visual SPC'!$C$4="",'Data Entry'!$C4103&gt;='Visual SPC'!$C$4),OR('Visual SPC'!$E$4="",'Data Entry'!$C4103&lt;='Visual SPC'!$E$4),OR('Visual SPC'!$G$4="",'Data Entry'!$D4103='Visual SPC'!$G$4),OR('Visual SPC'!$I$4="",'Data Entry'!$E4103='Visual SPC'!$I$4),OR('Visual SPC'!$K$4="",'Data Entry'!$F4103='Visual SPC'!$K$4)),1,0))</f>
        <v/>
      </c>
      <c r="C4103">
        <f>C4102+B4103</f>
        <v/>
      </c>
      <c r="D4103">
        <f>IF(B4103=1,INDEX('Data Entry'!$H$5:$BE$10004,4103-4,'Visual SPC'!$B$3),"")</f>
        <v/>
      </c>
      <c r="E4103">
        <f>IF(B4103=1,D4103,E4102)</f>
        <v/>
      </c>
      <c r="F4103">
        <f>IF(AND(B4103=1,C4103&gt;1,E4102&lt;&gt;""),ABS(D4103-E4102),"")</f>
        <v/>
      </c>
    </row>
    <row r="4104">
      <c r="A4104" t="n">
        <v>4104</v>
      </c>
      <c r="B4104">
        <f>IF(INDEX('Data Entry'!$H$5:$BE$10004,4104-4,'Visual SPC'!$B$3)="",0,IF(AND(OR('Visual SPC'!$C$4="",'Data Entry'!$C4104&gt;='Visual SPC'!$C$4),OR('Visual SPC'!$E$4="",'Data Entry'!$C4104&lt;='Visual SPC'!$E$4),OR('Visual SPC'!$G$4="",'Data Entry'!$D4104='Visual SPC'!$G$4),OR('Visual SPC'!$I$4="",'Data Entry'!$E4104='Visual SPC'!$I$4),OR('Visual SPC'!$K$4="",'Data Entry'!$F4104='Visual SPC'!$K$4)),1,0))</f>
        <v/>
      </c>
      <c r="C4104">
        <f>C4103+B4104</f>
        <v/>
      </c>
      <c r="D4104">
        <f>IF(B4104=1,INDEX('Data Entry'!$H$5:$BE$10004,4104-4,'Visual SPC'!$B$3),"")</f>
        <v/>
      </c>
      <c r="E4104">
        <f>IF(B4104=1,D4104,E4103)</f>
        <v/>
      </c>
      <c r="F4104">
        <f>IF(AND(B4104=1,C4104&gt;1,E4103&lt;&gt;""),ABS(D4104-E4103),"")</f>
        <v/>
      </c>
    </row>
    <row r="4105">
      <c r="A4105" t="n">
        <v>4105</v>
      </c>
      <c r="B4105">
        <f>IF(INDEX('Data Entry'!$H$5:$BE$10004,4105-4,'Visual SPC'!$B$3)="",0,IF(AND(OR('Visual SPC'!$C$4="",'Data Entry'!$C4105&gt;='Visual SPC'!$C$4),OR('Visual SPC'!$E$4="",'Data Entry'!$C4105&lt;='Visual SPC'!$E$4),OR('Visual SPC'!$G$4="",'Data Entry'!$D4105='Visual SPC'!$G$4),OR('Visual SPC'!$I$4="",'Data Entry'!$E4105='Visual SPC'!$I$4),OR('Visual SPC'!$K$4="",'Data Entry'!$F4105='Visual SPC'!$K$4)),1,0))</f>
        <v/>
      </c>
      <c r="C4105">
        <f>C4104+B4105</f>
        <v/>
      </c>
      <c r="D4105">
        <f>IF(B4105=1,INDEX('Data Entry'!$H$5:$BE$10004,4105-4,'Visual SPC'!$B$3),"")</f>
        <v/>
      </c>
      <c r="E4105">
        <f>IF(B4105=1,D4105,E4104)</f>
        <v/>
      </c>
      <c r="F4105">
        <f>IF(AND(B4105=1,C4105&gt;1,E4104&lt;&gt;""),ABS(D4105-E4104),"")</f>
        <v/>
      </c>
    </row>
    <row r="4106">
      <c r="A4106" t="n">
        <v>4106</v>
      </c>
      <c r="B4106">
        <f>IF(INDEX('Data Entry'!$H$5:$BE$10004,4106-4,'Visual SPC'!$B$3)="",0,IF(AND(OR('Visual SPC'!$C$4="",'Data Entry'!$C4106&gt;='Visual SPC'!$C$4),OR('Visual SPC'!$E$4="",'Data Entry'!$C4106&lt;='Visual SPC'!$E$4),OR('Visual SPC'!$G$4="",'Data Entry'!$D4106='Visual SPC'!$G$4),OR('Visual SPC'!$I$4="",'Data Entry'!$E4106='Visual SPC'!$I$4),OR('Visual SPC'!$K$4="",'Data Entry'!$F4106='Visual SPC'!$K$4)),1,0))</f>
        <v/>
      </c>
      <c r="C4106">
        <f>C4105+B4106</f>
        <v/>
      </c>
      <c r="D4106">
        <f>IF(B4106=1,INDEX('Data Entry'!$H$5:$BE$10004,4106-4,'Visual SPC'!$B$3),"")</f>
        <v/>
      </c>
      <c r="E4106">
        <f>IF(B4106=1,D4106,E4105)</f>
        <v/>
      </c>
      <c r="F4106">
        <f>IF(AND(B4106=1,C4106&gt;1,E4105&lt;&gt;""),ABS(D4106-E4105),"")</f>
        <v/>
      </c>
    </row>
    <row r="4107">
      <c r="A4107" t="n">
        <v>4107</v>
      </c>
      <c r="B4107">
        <f>IF(INDEX('Data Entry'!$H$5:$BE$10004,4107-4,'Visual SPC'!$B$3)="",0,IF(AND(OR('Visual SPC'!$C$4="",'Data Entry'!$C4107&gt;='Visual SPC'!$C$4),OR('Visual SPC'!$E$4="",'Data Entry'!$C4107&lt;='Visual SPC'!$E$4),OR('Visual SPC'!$G$4="",'Data Entry'!$D4107='Visual SPC'!$G$4),OR('Visual SPC'!$I$4="",'Data Entry'!$E4107='Visual SPC'!$I$4),OR('Visual SPC'!$K$4="",'Data Entry'!$F4107='Visual SPC'!$K$4)),1,0))</f>
        <v/>
      </c>
      <c r="C4107">
        <f>C4106+B4107</f>
        <v/>
      </c>
      <c r="D4107">
        <f>IF(B4107=1,INDEX('Data Entry'!$H$5:$BE$10004,4107-4,'Visual SPC'!$B$3),"")</f>
        <v/>
      </c>
      <c r="E4107">
        <f>IF(B4107=1,D4107,E4106)</f>
        <v/>
      </c>
      <c r="F4107">
        <f>IF(AND(B4107=1,C4107&gt;1,E4106&lt;&gt;""),ABS(D4107-E4106),"")</f>
        <v/>
      </c>
    </row>
    <row r="4108">
      <c r="A4108" t="n">
        <v>4108</v>
      </c>
      <c r="B4108">
        <f>IF(INDEX('Data Entry'!$H$5:$BE$10004,4108-4,'Visual SPC'!$B$3)="",0,IF(AND(OR('Visual SPC'!$C$4="",'Data Entry'!$C4108&gt;='Visual SPC'!$C$4),OR('Visual SPC'!$E$4="",'Data Entry'!$C4108&lt;='Visual SPC'!$E$4),OR('Visual SPC'!$G$4="",'Data Entry'!$D4108='Visual SPC'!$G$4),OR('Visual SPC'!$I$4="",'Data Entry'!$E4108='Visual SPC'!$I$4),OR('Visual SPC'!$K$4="",'Data Entry'!$F4108='Visual SPC'!$K$4)),1,0))</f>
        <v/>
      </c>
      <c r="C4108">
        <f>C4107+B4108</f>
        <v/>
      </c>
      <c r="D4108">
        <f>IF(B4108=1,INDEX('Data Entry'!$H$5:$BE$10004,4108-4,'Visual SPC'!$B$3),"")</f>
        <v/>
      </c>
      <c r="E4108">
        <f>IF(B4108=1,D4108,E4107)</f>
        <v/>
      </c>
      <c r="F4108">
        <f>IF(AND(B4108=1,C4108&gt;1,E4107&lt;&gt;""),ABS(D4108-E4107),"")</f>
        <v/>
      </c>
    </row>
    <row r="4109">
      <c r="A4109" t="n">
        <v>4109</v>
      </c>
      <c r="B4109">
        <f>IF(INDEX('Data Entry'!$H$5:$BE$10004,4109-4,'Visual SPC'!$B$3)="",0,IF(AND(OR('Visual SPC'!$C$4="",'Data Entry'!$C4109&gt;='Visual SPC'!$C$4),OR('Visual SPC'!$E$4="",'Data Entry'!$C4109&lt;='Visual SPC'!$E$4),OR('Visual SPC'!$G$4="",'Data Entry'!$D4109='Visual SPC'!$G$4),OR('Visual SPC'!$I$4="",'Data Entry'!$E4109='Visual SPC'!$I$4),OR('Visual SPC'!$K$4="",'Data Entry'!$F4109='Visual SPC'!$K$4)),1,0))</f>
        <v/>
      </c>
      <c r="C4109">
        <f>C4108+B4109</f>
        <v/>
      </c>
      <c r="D4109">
        <f>IF(B4109=1,INDEX('Data Entry'!$H$5:$BE$10004,4109-4,'Visual SPC'!$B$3),"")</f>
        <v/>
      </c>
      <c r="E4109">
        <f>IF(B4109=1,D4109,E4108)</f>
        <v/>
      </c>
      <c r="F4109">
        <f>IF(AND(B4109=1,C4109&gt;1,E4108&lt;&gt;""),ABS(D4109-E4108),"")</f>
        <v/>
      </c>
    </row>
    <row r="4110">
      <c r="A4110" t="n">
        <v>4110</v>
      </c>
      <c r="B4110">
        <f>IF(INDEX('Data Entry'!$H$5:$BE$10004,4110-4,'Visual SPC'!$B$3)="",0,IF(AND(OR('Visual SPC'!$C$4="",'Data Entry'!$C4110&gt;='Visual SPC'!$C$4),OR('Visual SPC'!$E$4="",'Data Entry'!$C4110&lt;='Visual SPC'!$E$4),OR('Visual SPC'!$G$4="",'Data Entry'!$D4110='Visual SPC'!$G$4),OR('Visual SPC'!$I$4="",'Data Entry'!$E4110='Visual SPC'!$I$4),OR('Visual SPC'!$K$4="",'Data Entry'!$F4110='Visual SPC'!$K$4)),1,0))</f>
        <v/>
      </c>
      <c r="C4110">
        <f>C4109+B4110</f>
        <v/>
      </c>
      <c r="D4110">
        <f>IF(B4110=1,INDEX('Data Entry'!$H$5:$BE$10004,4110-4,'Visual SPC'!$B$3),"")</f>
        <v/>
      </c>
      <c r="E4110">
        <f>IF(B4110=1,D4110,E4109)</f>
        <v/>
      </c>
      <c r="F4110">
        <f>IF(AND(B4110=1,C4110&gt;1,E4109&lt;&gt;""),ABS(D4110-E4109),"")</f>
        <v/>
      </c>
    </row>
    <row r="4111">
      <c r="A4111" t="n">
        <v>4111</v>
      </c>
      <c r="B4111">
        <f>IF(INDEX('Data Entry'!$H$5:$BE$10004,4111-4,'Visual SPC'!$B$3)="",0,IF(AND(OR('Visual SPC'!$C$4="",'Data Entry'!$C4111&gt;='Visual SPC'!$C$4),OR('Visual SPC'!$E$4="",'Data Entry'!$C4111&lt;='Visual SPC'!$E$4),OR('Visual SPC'!$G$4="",'Data Entry'!$D4111='Visual SPC'!$G$4),OR('Visual SPC'!$I$4="",'Data Entry'!$E4111='Visual SPC'!$I$4),OR('Visual SPC'!$K$4="",'Data Entry'!$F4111='Visual SPC'!$K$4)),1,0))</f>
        <v/>
      </c>
      <c r="C4111">
        <f>C4110+B4111</f>
        <v/>
      </c>
      <c r="D4111">
        <f>IF(B4111=1,INDEX('Data Entry'!$H$5:$BE$10004,4111-4,'Visual SPC'!$B$3),"")</f>
        <v/>
      </c>
      <c r="E4111">
        <f>IF(B4111=1,D4111,E4110)</f>
        <v/>
      </c>
      <c r="F4111">
        <f>IF(AND(B4111=1,C4111&gt;1,E4110&lt;&gt;""),ABS(D4111-E4110),"")</f>
        <v/>
      </c>
    </row>
    <row r="4112">
      <c r="A4112" t="n">
        <v>4112</v>
      </c>
      <c r="B4112">
        <f>IF(INDEX('Data Entry'!$H$5:$BE$10004,4112-4,'Visual SPC'!$B$3)="",0,IF(AND(OR('Visual SPC'!$C$4="",'Data Entry'!$C4112&gt;='Visual SPC'!$C$4),OR('Visual SPC'!$E$4="",'Data Entry'!$C4112&lt;='Visual SPC'!$E$4),OR('Visual SPC'!$G$4="",'Data Entry'!$D4112='Visual SPC'!$G$4),OR('Visual SPC'!$I$4="",'Data Entry'!$E4112='Visual SPC'!$I$4),OR('Visual SPC'!$K$4="",'Data Entry'!$F4112='Visual SPC'!$K$4)),1,0))</f>
        <v/>
      </c>
      <c r="C4112">
        <f>C4111+B4112</f>
        <v/>
      </c>
      <c r="D4112">
        <f>IF(B4112=1,INDEX('Data Entry'!$H$5:$BE$10004,4112-4,'Visual SPC'!$B$3),"")</f>
        <v/>
      </c>
      <c r="E4112">
        <f>IF(B4112=1,D4112,E4111)</f>
        <v/>
      </c>
      <c r="F4112">
        <f>IF(AND(B4112=1,C4112&gt;1,E4111&lt;&gt;""),ABS(D4112-E4111),"")</f>
        <v/>
      </c>
    </row>
    <row r="4113">
      <c r="A4113" t="n">
        <v>4113</v>
      </c>
      <c r="B4113">
        <f>IF(INDEX('Data Entry'!$H$5:$BE$10004,4113-4,'Visual SPC'!$B$3)="",0,IF(AND(OR('Visual SPC'!$C$4="",'Data Entry'!$C4113&gt;='Visual SPC'!$C$4),OR('Visual SPC'!$E$4="",'Data Entry'!$C4113&lt;='Visual SPC'!$E$4),OR('Visual SPC'!$G$4="",'Data Entry'!$D4113='Visual SPC'!$G$4),OR('Visual SPC'!$I$4="",'Data Entry'!$E4113='Visual SPC'!$I$4),OR('Visual SPC'!$K$4="",'Data Entry'!$F4113='Visual SPC'!$K$4)),1,0))</f>
        <v/>
      </c>
      <c r="C4113">
        <f>C4112+B4113</f>
        <v/>
      </c>
      <c r="D4113">
        <f>IF(B4113=1,INDEX('Data Entry'!$H$5:$BE$10004,4113-4,'Visual SPC'!$B$3),"")</f>
        <v/>
      </c>
      <c r="E4113">
        <f>IF(B4113=1,D4113,E4112)</f>
        <v/>
      </c>
      <c r="F4113">
        <f>IF(AND(B4113=1,C4113&gt;1,E4112&lt;&gt;""),ABS(D4113-E4112),"")</f>
        <v/>
      </c>
    </row>
    <row r="4114">
      <c r="A4114" t="n">
        <v>4114</v>
      </c>
      <c r="B4114">
        <f>IF(INDEX('Data Entry'!$H$5:$BE$10004,4114-4,'Visual SPC'!$B$3)="",0,IF(AND(OR('Visual SPC'!$C$4="",'Data Entry'!$C4114&gt;='Visual SPC'!$C$4),OR('Visual SPC'!$E$4="",'Data Entry'!$C4114&lt;='Visual SPC'!$E$4),OR('Visual SPC'!$G$4="",'Data Entry'!$D4114='Visual SPC'!$G$4),OR('Visual SPC'!$I$4="",'Data Entry'!$E4114='Visual SPC'!$I$4),OR('Visual SPC'!$K$4="",'Data Entry'!$F4114='Visual SPC'!$K$4)),1,0))</f>
        <v/>
      </c>
      <c r="C4114">
        <f>C4113+B4114</f>
        <v/>
      </c>
      <c r="D4114">
        <f>IF(B4114=1,INDEX('Data Entry'!$H$5:$BE$10004,4114-4,'Visual SPC'!$B$3),"")</f>
        <v/>
      </c>
      <c r="E4114">
        <f>IF(B4114=1,D4114,E4113)</f>
        <v/>
      </c>
      <c r="F4114">
        <f>IF(AND(B4114=1,C4114&gt;1,E4113&lt;&gt;""),ABS(D4114-E4113),"")</f>
        <v/>
      </c>
    </row>
    <row r="4115">
      <c r="A4115" t="n">
        <v>4115</v>
      </c>
      <c r="B4115">
        <f>IF(INDEX('Data Entry'!$H$5:$BE$10004,4115-4,'Visual SPC'!$B$3)="",0,IF(AND(OR('Visual SPC'!$C$4="",'Data Entry'!$C4115&gt;='Visual SPC'!$C$4),OR('Visual SPC'!$E$4="",'Data Entry'!$C4115&lt;='Visual SPC'!$E$4),OR('Visual SPC'!$G$4="",'Data Entry'!$D4115='Visual SPC'!$G$4),OR('Visual SPC'!$I$4="",'Data Entry'!$E4115='Visual SPC'!$I$4),OR('Visual SPC'!$K$4="",'Data Entry'!$F4115='Visual SPC'!$K$4)),1,0))</f>
        <v/>
      </c>
      <c r="C4115">
        <f>C4114+B4115</f>
        <v/>
      </c>
      <c r="D4115">
        <f>IF(B4115=1,INDEX('Data Entry'!$H$5:$BE$10004,4115-4,'Visual SPC'!$B$3),"")</f>
        <v/>
      </c>
      <c r="E4115">
        <f>IF(B4115=1,D4115,E4114)</f>
        <v/>
      </c>
      <c r="F4115">
        <f>IF(AND(B4115=1,C4115&gt;1,E4114&lt;&gt;""),ABS(D4115-E4114),"")</f>
        <v/>
      </c>
    </row>
    <row r="4116">
      <c r="A4116" t="n">
        <v>4116</v>
      </c>
      <c r="B4116">
        <f>IF(INDEX('Data Entry'!$H$5:$BE$10004,4116-4,'Visual SPC'!$B$3)="",0,IF(AND(OR('Visual SPC'!$C$4="",'Data Entry'!$C4116&gt;='Visual SPC'!$C$4),OR('Visual SPC'!$E$4="",'Data Entry'!$C4116&lt;='Visual SPC'!$E$4),OR('Visual SPC'!$G$4="",'Data Entry'!$D4116='Visual SPC'!$G$4),OR('Visual SPC'!$I$4="",'Data Entry'!$E4116='Visual SPC'!$I$4),OR('Visual SPC'!$K$4="",'Data Entry'!$F4116='Visual SPC'!$K$4)),1,0))</f>
        <v/>
      </c>
      <c r="C4116">
        <f>C4115+B4116</f>
        <v/>
      </c>
      <c r="D4116">
        <f>IF(B4116=1,INDEX('Data Entry'!$H$5:$BE$10004,4116-4,'Visual SPC'!$B$3),"")</f>
        <v/>
      </c>
      <c r="E4116">
        <f>IF(B4116=1,D4116,E4115)</f>
        <v/>
      </c>
      <c r="F4116">
        <f>IF(AND(B4116=1,C4116&gt;1,E4115&lt;&gt;""),ABS(D4116-E4115),"")</f>
        <v/>
      </c>
    </row>
    <row r="4117">
      <c r="A4117" t="n">
        <v>4117</v>
      </c>
      <c r="B4117">
        <f>IF(INDEX('Data Entry'!$H$5:$BE$10004,4117-4,'Visual SPC'!$B$3)="",0,IF(AND(OR('Visual SPC'!$C$4="",'Data Entry'!$C4117&gt;='Visual SPC'!$C$4),OR('Visual SPC'!$E$4="",'Data Entry'!$C4117&lt;='Visual SPC'!$E$4),OR('Visual SPC'!$G$4="",'Data Entry'!$D4117='Visual SPC'!$G$4),OR('Visual SPC'!$I$4="",'Data Entry'!$E4117='Visual SPC'!$I$4),OR('Visual SPC'!$K$4="",'Data Entry'!$F4117='Visual SPC'!$K$4)),1,0))</f>
        <v/>
      </c>
      <c r="C4117">
        <f>C4116+B4117</f>
        <v/>
      </c>
      <c r="D4117">
        <f>IF(B4117=1,INDEX('Data Entry'!$H$5:$BE$10004,4117-4,'Visual SPC'!$B$3),"")</f>
        <v/>
      </c>
      <c r="E4117">
        <f>IF(B4117=1,D4117,E4116)</f>
        <v/>
      </c>
      <c r="F4117">
        <f>IF(AND(B4117=1,C4117&gt;1,E4116&lt;&gt;""),ABS(D4117-E4116),"")</f>
        <v/>
      </c>
    </row>
    <row r="4118">
      <c r="A4118" t="n">
        <v>4118</v>
      </c>
      <c r="B4118">
        <f>IF(INDEX('Data Entry'!$H$5:$BE$10004,4118-4,'Visual SPC'!$B$3)="",0,IF(AND(OR('Visual SPC'!$C$4="",'Data Entry'!$C4118&gt;='Visual SPC'!$C$4),OR('Visual SPC'!$E$4="",'Data Entry'!$C4118&lt;='Visual SPC'!$E$4),OR('Visual SPC'!$G$4="",'Data Entry'!$D4118='Visual SPC'!$G$4),OR('Visual SPC'!$I$4="",'Data Entry'!$E4118='Visual SPC'!$I$4),OR('Visual SPC'!$K$4="",'Data Entry'!$F4118='Visual SPC'!$K$4)),1,0))</f>
        <v/>
      </c>
      <c r="C4118">
        <f>C4117+B4118</f>
        <v/>
      </c>
      <c r="D4118">
        <f>IF(B4118=1,INDEX('Data Entry'!$H$5:$BE$10004,4118-4,'Visual SPC'!$B$3),"")</f>
        <v/>
      </c>
      <c r="E4118">
        <f>IF(B4118=1,D4118,E4117)</f>
        <v/>
      </c>
      <c r="F4118">
        <f>IF(AND(B4118=1,C4118&gt;1,E4117&lt;&gt;""),ABS(D4118-E4117),"")</f>
        <v/>
      </c>
    </row>
    <row r="4119">
      <c r="A4119" t="n">
        <v>4119</v>
      </c>
      <c r="B4119">
        <f>IF(INDEX('Data Entry'!$H$5:$BE$10004,4119-4,'Visual SPC'!$B$3)="",0,IF(AND(OR('Visual SPC'!$C$4="",'Data Entry'!$C4119&gt;='Visual SPC'!$C$4),OR('Visual SPC'!$E$4="",'Data Entry'!$C4119&lt;='Visual SPC'!$E$4),OR('Visual SPC'!$G$4="",'Data Entry'!$D4119='Visual SPC'!$G$4),OR('Visual SPC'!$I$4="",'Data Entry'!$E4119='Visual SPC'!$I$4),OR('Visual SPC'!$K$4="",'Data Entry'!$F4119='Visual SPC'!$K$4)),1,0))</f>
        <v/>
      </c>
      <c r="C4119">
        <f>C4118+B4119</f>
        <v/>
      </c>
      <c r="D4119">
        <f>IF(B4119=1,INDEX('Data Entry'!$H$5:$BE$10004,4119-4,'Visual SPC'!$B$3),"")</f>
        <v/>
      </c>
      <c r="E4119">
        <f>IF(B4119=1,D4119,E4118)</f>
        <v/>
      </c>
      <c r="F4119">
        <f>IF(AND(B4119=1,C4119&gt;1,E4118&lt;&gt;""),ABS(D4119-E4118),"")</f>
        <v/>
      </c>
    </row>
    <row r="4120">
      <c r="A4120" t="n">
        <v>4120</v>
      </c>
      <c r="B4120">
        <f>IF(INDEX('Data Entry'!$H$5:$BE$10004,4120-4,'Visual SPC'!$B$3)="",0,IF(AND(OR('Visual SPC'!$C$4="",'Data Entry'!$C4120&gt;='Visual SPC'!$C$4),OR('Visual SPC'!$E$4="",'Data Entry'!$C4120&lt;='Visual SPC'!$E$4),OR('Visual SPC'!$G$4="",'Data Entry'!$D4120='Visual SPC'!$G$4),OR('Visual SPC'!$I$4="",'Data Entry'!$E4120='Visual SPC'!$I$4),OR('Visual SPC'!$K$4="",'Data Entry'!$F4120='Visual SPC'!$K$4)),1,0))</f>
        <v/>
      </c>
      <c r="C4120">
        <f>C4119+B4120</f>
        <v/>
      </c>
      <c r="D4120">
        <f>IF(B4120=1,INDEX('Data Entry'!$H$5:$BE$10004,4120-4,'Visual SPC'!$B$3),"")</f>
        <v/>
      </c>
      <c r="E4120">
        <f>IF(B4120=1,D4120,E4119)</f>
        <v/>
      </c>
      <c r="F4120">
        <f>IF(AND(B4120=1,C4120&gt;1,E4119&lt;&gt;""),ABS(D4120-E4119),"")</f>
        <v/>
      </c>
    </row>
    <row r="4121">
      <c r="A4121" t="n">
        <v>4121</v>
      </c>
      <c r="B4121">
        <f>IF(INDEX('Data Entry'!$H$5:$BE$10004,4121-4,'Visual SPC'!$B$3)="",0,IF(AND(OR('Visual SPC'!$C$4="",'Data Entry'!$C4121&gt;='Visual SPC'!$C$4),OR('Visual SPC'!$E$4="",'Data Entry'!$C4121&lt;='Visual SPC'!$E$4),OR('Visual SPC'!$G$4="",'Data Entry'!$D4121='Visual SPC'!$G$4),OR('Visual SPC'!$I$4="",'Data Entry'!$E4121='Visual SPC'!$I$4),OR('Visual SPC'!$K$4="",'Data Entry'!$F4121='Visual SPC'!$K$4)),1,0))</f>
        <v/>
      </c>
      <c r="C4121">
        <f>C4120+B4121</f>
        <v/>
      </c>
      <c r="D4121">
        <f>IF(B4121=1,INDEX('Data Entry'!$H$5:$BE$10004,4121-4,'Visual SPC'!$B$3),"")</f>
        <v/>
      </c>
      <c r="E4121">
        <f>IF(B4121=1,D4121,E4120)</f>
        <v/>
      </c>
      <c r="F4121">
        <f>IF(AND(B4121=1,C4121&gt;1,E4120&lt;&gt;""),ABS(D4121-E4120),"")</f>
        <v/>
      </c>
    </row>
    <row r="4122">
      <c r="A4122" t="n">
        <v>4122</v>
      </c>
      <c r="B4122">
        <f>IF(INDEX('Data Entry'!$H$5:$BE$10004,4122-4,'Visual SPC'!$B$3)="",0,IF(AND(OR('Visual SPC'!$C$4="",'Data Entry'!$C4122&gt;='Visual SPC'!$C$4),OR('Visual SPC'!$E$4="",'Data Entry'!$C4122&lt;='Visual SPC'!$E$4),OR('Visual SPC'!$G$4="",'Data Entry'!$D4122='Visual SPC'!$G$4),OR('Visual SPC'!$I$4="",'Data Entry'!$E4122='Visual SPC'!$I$4),OR('Visual SPC'!$K$4="",'Data Entry'!$F4122='Visual SPC'!$K$4)),1,0))</f>
        <v/>
      </c>
      <c r="C4122">
        <f>C4121+B4122</f>
        <v/>
      </c>
      <c r="D4122">
        <f>IF(B4122=1,INDEX('Data Entry'!$H$5:$BE$10004,4122-4,'Visual SPC'!$B$3),"")</f>
        <v/>
      </c>
      <c r="E4122">
        <f>IF(B4122=1,D4122,E4121)</f>
        <v/>
      </c>
      <c r="F4122">
        <f>IF(AND(B4122=1,C4122&gt;1,E4121&lt;&gt;""),ABS(D4122-E4121),"")</f>
        <v/>
      </c>
    </row>
    <row r="4123">
      <c r="A4123" t="n">
        <v>4123</v>
      </c>
      <c r="B4123">
        <f>IF(INDEX('Data Entry'!$H$5:$BE$10004,4123-4,'Visual SPC'!$B$3)="",0,IF(AND(OR('Visual SPC'!$C$4="",'Data Entry'!$C4123&gt;='Visual SPC'!$C$4),OR('Visual SPC'!$E$4="",'Data Entry'!$C4123&lt;='Visual SPC'!$E$4),OR('Visual SPC'!$G$4="",'Data Entry'!$D4123='Visual SPC'!$G$4),OR('Visual SPC'!$I$4="",'Data Entry'!$E4123='Visual SPC'!$I$4),OR('Visual SPC'!$K$4="",'Data Entry'!$F4123='Visual SPC'!$K$4)),1,0))</f>
        <v/>
      </c>
      <c r="C4123">
        <f>C4122+B4123</f>
        <v/>
      </c>
      <c r="D4123">
        <f>IF(B4123=1,INDEX('Data Entry'!$H$5:$BE$10004,4123-4,'Visual SPC'!$B$3),"")</f>
        <v/>
      </c>
      <c r="E4123">
        <f>IF(B4123=1,D4123,E4122)</f>
        <v/>
      </c>
      <c r="F4123">
        <f>IF(AND(B4123=1,C4123&gt;1,E4122&lt;&gt;""),ABS(D4123-E4122),"")</f>
        <v/>
      </c>
    </row>
    <row r="4124">
      <c r="A4124" t="n">
        <v>4124</v>
      </c>
      <c r="B4124">
        <f>IF(INDEX('Data Entry'!$H$5:$BE$10004,4124-4,'Visual SPC'!$B$3)="",0,IF(AND(OR('Visual SPC'!$C$4="",'Data Entry'!$C4124&gt;='Visual SPC'!$C$4),OR('Visual SPC'!$E$4="",'Data Entry'!$C4124&lt;='Visual SPC'!$E$4),OR('Visual SPC'!$G$4="",'Data Entry'!$D4124='Visual SPC'!$G$4),OR('Visual SPC'!$I$4="",'Data Entry'!$E4124='Visual SPC'!$I$4),OR('Visual SPC'!$K$4="",'Data Entry'!$F4124='Visual SPC'!$K$4)),1,0))</f>
        <v/>
      </c>
      <c r="C4124">
        <f>C4123+B4124</f>
        <v/>
      </c>
      <c r="D4124">
        <f>IF(B4124=1,INDEX('Data Entry'!$H$5:$BE$10004,4124-4,'Visual SPC'!$B$3),"")</f>
        <v/>
      </c>
      <c r="E4124">
        <f>IF(B4124=1,D4124,E4123)</f>
        <v/>
      </c>
      <c r="F4124">
        <f>IF(AND(B4124=1,C4124&gt;1,E4123&lt;&gt;""),ABS(D4124-E4123),"")</f>
        <v/>
      </c>
    </row>
    <row r="4125">
      <c r="A4125" t="n">
        <v>4125</v>
      </c>
      <c r="B4125">
        <f>IF(INDEX('Data Entry'!$H$5:$BE$10004,4125-4,'Visual SPC'!$B$3)="",0,IF(AND(OR('Visual SPC'!$C$4="",'Data Entry'!$C4125&gt;='Visual SPC'!$C$4),OR('Visual SPC'!$E$4="",'Data Entry'!$C4125&lt;='Visual SPC'!$E$4),OR('Visual SPC'!$G$4="",'Data Entry'!$D4125='Visual SPC'!$G$4),OR('Visual SPC'!$I$4="",'Data Entry'!$E4125='Visual SPC'!$I$4),OR('Visual SPC'!$K$4="",'Data Entry'!$F4125='Visual SPC'!$K$4)),1,0))</f>
        <v/>
      </c>
      <c r="C4125">
        <f>C4124+B4125</f>
        <v/>
      </c>
      <c r="D4125">
        <f>IF(B4125=1,INDEX('Data Entry'!$H$5:$BE$10004,4125-4,'Visual SPC'!$B$3),"")</f>
        <v/>
      </c>
      <c r="E4125">
        <f>IF(B4125=1,D4125,E4124)</f>
        <v/>
      </c>
      <c r="F4125">
        <f>IF(AND(B4125=1,C4125&gt;1,E4124&lt;&gt;""),ABS(D4125-E4124),"")</f>
        <v/>
      </c>
    </row>
    <row r="4126">
      <c r="A4126" t="n">
        <v>4126</v>
      </c>
      <c r="B4126">
        <f>IF(INDEX('Data Entry'!$H$5:$BE$10004,4126-4,'Visual SPC'!$B$3)="",0,IF(AND(OR('Visual SPC'!$C$4="",'Data Entry'!$C4126&gt;='Visual SPC'!$C$4),OR('Visual SPC'!$E$4="",'Data Entry'!$C4126&lt;='Visual SPC'!$E$4),OR('Visual SPC'!$G$4="",'Data Entry'!$D4126='Visual SPC'!$G$4),OR('Visual SPC'!$I$4="",'Data Entry'!$E4126='Visual SPC'!$I$4),OR('Visual SPC'!$K$4="",'Data Entry'!$F4126='Visual SPC'!$K$4)),1,0))</f>
        <v/>
      </c>
      <c r="C4126">
        <f>C4125+B4126</f>
        <v/>
      </c>
      <c r="D4126">
        <f>IF(B4126=1,INDEX('Data Entry'!$H$5:$BE$10004,4126-4,'Visual SPC'!$B$3),"")</f>
        <v/>
      </c>
      <c r="E4126">
        <f>IF(B4126=1,D4126,E4125)</f>
        <v/>
      </c>
      <c r="F4126">
        <f>IF(AND(B4126=1,C4126&gt;1,E4125&lt;&gt;""),ABS(D4126-E4125),"")</f>
        <v/>
      </c>
    </row>
    <row r="4127">
      <c r="A4127" t="n">
        <v>4127</v>
      </c>
      <c r="B4127">
        <f>IF(INDEX('Data Entry'!$H$5:$BE$10004,4127-4,'Visual SPC'!$B$3)="",0,IF(AND(OR('Visual SPC'!$C$4="",'Data Entry'!$C4127&gt;='Visual SPC'!$C$4),OR('Visual SPC'!$E$4="",'Data Entry'!$C4127&lt;='Visual SPC'!$E$4),OR('Visual SPC'!$G$4="",'Data Entry'!$D4127='Visual SPC'!$G$4),OR('Visual SPC'!$I$4="",'Data Entry'!$E4127='Visual SPC'!$I$4),OR('Visual SPC'!$K$4="",'Data Entry'!$F4127='Visual SPC'!$K$4)),1,0))</f>
        <v/>
      </c>
      <c r="C4127">
        <f>C4126+B4127</f>
        <v/>
      </c>
      <c r="D4127">
        <f>IF(B4127=1,INDEX('Data Entry'!$H$5:$BE$10004,4127-4,'Visual SPC'!$B$3),"")</f>
        <v/>
      </c>
      <c r="E4127">
        <f>IF(B4127=1,D4127,E4126)</f>
        <v/>
      </c>
      <c r="F4127">
        <f>IF(AND(B4127=1,C4127&gt;1,E4126&lt;&gt;""),ABS(D4127-E4126),"")</f>
        <v/>
      </c>
    </row>
    <row r="4128">
      <c r="A4128" t="n">
        <v>4128</v>
      </c>
      <c r="B4128">
        <f>IF(INDEX('Data Entry'!$H$5:$BE$10004,4128-4,'Visual SPC'!$B$3)="",0,IF(AND(OR('Visual SPC'!$C$4="",'Data Entry'!$C4128&gt;='Visual SPC'!$C$4),OR('Visual SPC'!$E$4="",'Data Entry'!$C4128&lt;='Visual SPC'!$E$4),OR('Visual SPC'!$G$4="",'Data Entry'!$D4128='Visual SPC'!$G$4),OR('Visual SPC'!$I$4="",'Data Entry'!$E4128='Visual SPC'!$I$4),OR('Visual SPC'!$K$4="",'Data Entry'!$F4128='Visual SPC'!$K$4)),1,0))</f>
        <v/>
      </c>
      <c r="C4128">
        <f>C4127+B4128</f>
        <v/>
      </c>
      <c r="D4128">
        <f>IF(B4128=1,INDEX('Data Entry'!$H$5:$BE$10004,4128-4,'Visual SPC'!$B$3),"")</f>
        <v/>
      </c>
      <c r="E4128">
        <f>IF(B4128=1,D4128,E4127)</f>
        <v/>
      </c>
      <c r="F4128">
        <f>IF(AND(B4128=1,C4128&gt;1,E4127&lt;&gt;""),ABS(D4128-E4127),"")</f>
        <v/>
      </c>
    </row>
    <row r="4129">
      <c r="A4129" t="n">
        <v>4129</v>
      </c>
      <c r="B4129">
        <f>IF(INDEX('Data Entry'!$H$5:$BE$10004,4129-4,'Visual SPC'!$B$3)="",0,IF(AND(OR('Visual SPC'!$C$4="",'Data Entry'!$C4129&gt;='Visual SPC'!$C$4),OR('Visual SPC'!$E$4="",'Data Entry'!$C4129&lt;='Visual SPC'!$E$4),OR('Visual SPC'!$G$4="",'Data Entry'!$D4129='Visual SPC'!$G$4),OR('Visual SPC'!$I$4="",'Data Entry'!$E4129='Visual SPC'!$I$4),OR('Visual SPC'!$K$4="",'Data Entry'!$F4129='Visual SPC'!$K$4)),1,0))</f>
        <v/>
      </c>
      <c r="C4129">
        <f>C4128+B4129</f>
        <v/>
      </c>
      <c r="D4129">
        <f>IF(B4129=1,INDEX('Data Entry'!$H$5:$BE$10004,4129-4,'Visual SPC'!$B$3),"")</f>
        <v/>
      </c>
      <c r="E4129">
        <f>IF(B4129=1,D4129,E4128)</f>
        <v/>
      </c>
      <c r="F4129">
        <f>IF(AND(B4129=1,C4129&gt;1,E4128&lt;&gt;""),ABS(D4129-E4128),"")</f>
        <v/>
      </c>
    </row>
    <row r="4130">
      <c r="A4130" t="n">
        <v>4130</v>
      </c>
      <c r="B4130">
        <f>IF(INDEX('Data Entry'!$H$5:$BE$10004,4130-4,'Visual SPC'!$B$3)="",0,IF(AND(OR('Visual SPC'!$C$4="",'Data Entry'!$C4130&gt;='Visual SPC'!$C$4),OR('Visual SPC'!$E$4="",'Data Entry'!$C4130&lt;='Visual SPC'!$E$4),OR('Visual SPC'!$G$4="",'Data Entry'!$D4130='Visual SPC'!$G$4),OR('Visual SPC'!$I$4="",'Data Entry'!$E4130='Visual SPC'!$I$4),OR('Visual SPC'!$K$4="",'Data Entry'!$F4130='Visual SPC'!$K$4)),1,0))</f>
        <v/>
      </c>
      <c r="C4130">
        <f>C4129+B4130</f>
        <v/>
      </c>
      <c r="D4130">
        <f>IF(B4130=1,INDEX('Data Entry'!$H$5:$BE$10004,4130-4,'Visual SPC'!$B$3),"")</f>
        <v/>
      </c>
      <c r="E4130">
        <f>IF(B4130=1,D4130,E4129)</f>
        <v/>
      </c>
      <c r="F4130">
        <f>IF(AND(B4130=1,C4130&gt;1,E4129&lt;&gt;""),ABS(D4130-E4129),"")</f>
        <v/>
      </c>
    </row>
    <row r="4131">
      <c r="A4131" t="n">
        <v>4131</v>
      </c>
      <c r="B4131">
        <f>IF(INDEX('Data Entry'!$H$5:$BE$10004,4131-4,'Visual SPC'!$B$3)="",0,IF(AND(OR('Visual SPC'!$C$4="",'Data Entry'!$C4131&gt;='Visual SPC'!$C$4),OR('Visual SPC'!$E$4="",'Data Entry'!$C4131&lt;='Visual SPC'!$E$4),OR('Visual SPC'!$G$4="",'Data Entry'!$D4131='Visual SPC'!$G$4),OR('Visual SPC'!$I$4="",'Data Entry'!$E4131='Visual SPC'!$I$4),OR('Visual SPC'!$K$4="",'Data Entry'!$F4131='Visual SPC'!$K$4)),1,0))</f>
        <v/>
      </c>
      <c r="C4131">
        <f>C4130+B4131</f>
        <v/>
      </c>
      <c r="D4131">
        <f>IF(B4131=1,INDEX('Data Entry'!$H$5:$BE$10004,4131-4,'Visual SPC'!$B$3),"")</f>
        <v/>
      </c>
      <c r="E4131">
        <f>IF(B4131=1,D4131,E4130)</f>
        <v/>
      </c>
      <c r="F4131">
        <f>IF(AND(B4131=1,C4131&gt;1,E4130&lt;&gt;""),ABS(D4131-E4130),"")</f>
        <v/>
      </c>
    </row>
    <row r="4132">
      <c r="A4132" t="n">
        <v>4132</v>
      </c>
      <c r="B4132">
        <f>IF(INDEX('Data Entry'!$H$5:$BE$10004,4132-4,'Visual SPC'!$B$3)="",0,IF(AND(OR('Visual SPC'!$C$4="",'Data Entry'!$C4132&gt;='Visual SPC'!$C$4),OR('Visual SPC'!$E$4="",'Data Entry'!$C4132&lt;='Visual SPC'!$E$4),OR('Visual SPC'!$G$4="",'Data Entry'!$D4132='Visual SPC'!$G$4),OR('Visual SPC'!$I$4="",'Data Entry'!$E4132='Visual SPC'!$I$4),OR('Visual SPC'!$K$4="",'Data Entry'!$F4132='Visual SPC'!$K$4)),1,0))</f>
        <v/>
      </c>
      <c r="C4132">
        <f>C4131+B4132</f>
        <v/>
      </c>
      <c r="D4132">
        <f>IF(B4132=1,INDEX('Data Entry'!$H$5:$BE$10004,4132-4,'Visual SPC'!$B$3),"")</f>
        <v/>
      </c>
      <c r="E4132">
        <f>IF(B4132=1,D4132,E4131)</f>
        <v/>
      </c>
      <c r="F4132">
        <f>IF(AND(B4132=1,C4132&gt;1,E4131&lt;&gt;""),ABS(D4132-E4131),"")</f>
        <v/>
      </c>
    </row>
    <row r="4133">
      <c r="A4133" t="n">
        <v>4133</v>
      </c>
      <c r="B4133">
        <f>IF(INDEX('Data Entry'!$H$5:$BE$10004,4133-4,'Visual SPC'!$B$3)="",0,IF(AND(OR('Visual SPC'!$C$4="",'Data Entry'!$C4133&gt;='Visual SPC'!$C$4),OR('Visual SPC'!$E$4="",'Data Entry'!$C4133&lt;='Visual SPC'!$E$4),OR('Visual SPC'!$G$4="",'Data Entry'!$D4133='Visual SPC'!$G$4),OR('Visual SPC'!$I$4="",'Data Entry'!$E4133='Visual SPC'!$I$4),OR('Visual SPC'!$K$4="",'Data Entry'!$F4133='Visual SPC'!$K$4)),1,0))</f>
        <v/>
      </c>
      <c r="C4133">
        <f>C4132+B4133</f>
        <v/>
      </c>
      <c r="D4133">
        <f>IF(B4133=1,INDEX('Data Entry'!$H$5:$BE$10004,4133-4,'Visual SPC'!$B$3),"")</f>
        <v/>
      </c>
      <c r="E4133">
        <f>IF(B4133=1,D4133,E4132)</f>
        <v/>
      </c>
      <c r="F4133">
        <f>IF(AND(B4133=1,C4133&gt;1,E4132&lt;&gt;""),ABS(D4133-E4132),"")</f>
        <v/>
      </c>
    </row>
    <row r="4134">
      <c r="A4134" t="n">
        <v>4134</v>
      </c>
      <c r="B4134">
        <f>IF(INDEX('Data Entry'!$H$5:$BE$10004,4134-4,'Visual SPC'!$B$3)="",0,IF(AND(OR('Visual SPC'!$C$4="",'Data Entry'!$C4134&gt;='Visual SPC'!$C$4),OR('Visual SPC'!$E$4="",'Data Entry'!$C4134&lt;='Visual SPC'!$E$4),OR('Visual SPC'!$G$4="",'Data Entry'!$D4134='Visual SPC'!$G$4),OR('Visual SPC'!$I$4="",'Data Entry'!$E4134='Visual SPC'!$I$4),OR('Visual SPC'!$K$4="",'Data Entry'!$F4134='Visual SPC'!$K$4)),1,0))</f>
        <v/>
      </c>
      <c r="C4134">
        <f>C4133+B4134</f>
        <v/>
      </c>
      <c r="D4134">
        <f>IF(B4134=1,INDEX('Data Entry'!$H$5:$BE$10004,4134-4,'Visual SPC'!$B$3),"")</f>
        <v/>
      </c>
      <c r="E4134">
        <f>IF(B4134=1,D4134,E4133)</f>
        <v/>
      </c>
      <c r="F4134">
        <f>IF(AND(B4134=1,C4134&gt;1,E4133&lt;&gt;""),ABS(D4134-E4133),"")</f>
        <v/>
      </c>
    </row>
    <row r="4135">
      <c r="A4135" t="n">
        <v>4135</v>
      </c>
      <c r="B4135">
        <f>IF(INDEX('Data Entry'!$H$5:$BE$10004,4135-4,'Visual SPC'!$B$3)="",0,IF(AND(OR('Visual SPC'!$C$4="",'Data Entry'!$C4135&gt;='Visual SPC'!$C$4),OR('Visual SPC'!$E$4="",'Data Entry'!$C4135&lt;='Visual SPC'!$E$4),OR('Visual SPC'!$G$4="",'Data Entry'!$D4135='Visual SPC'!$G$4),OR('Visual SPC'!$I$4="",'Data Entry'!$E4135='Visual SPC'!$I$4),OR('Visual SPC'!$K$4="",'Data Entry'!$F4135='Visual SPC'!$K$4)),1,0))</f>
        <v/>
      </c>
      <c r="C4135">
        <f>C4134+B4135</f>
        <v/>
      </c>
      <c r="D4135">
        <f>IF(B4135=1,INDEX('Data Entry'!$H$5:$BE$10004,4135-4,'Visual SPC'!$B$3),"")</f>
        <v/>
      </c>
      <c r="E4135">
        <f>IF(B4135=1,D4135,E4134)</f>
        <v/>
      </c>
      <c r="F4135">
        <f>IF(AND(B4135=1,C4135&gt;1,E4134&lt;&gt;""),ABS(D4135-E4134),"")</f>
        <v/>
      </c>
    </row>
    <row r="4136">
      <c r="A4136" t="n">
        <v>4136</v>
      </c>
      <c r="B4136">
        <f>IF(INDEX('Data Entry'!$H$5:$BE$10004,4136-4,'Visual SPC'!$B$3)="",0,IF(AND(OR('Visual SPC'!$C$4="",'Data Entry'!$C4136&gt;='Visual SPC'!$C$4),OR('Visual SPC'!$E$4="",'Data Entry'!$C4136&lt;='Visual SPC'!$E$4),OR('Visual SPC'!$G$4="",'Data Entry'!$D4136='Visual SPC'!$G$4),OR('Visual SPC'!$I$4="",'Data Entry'!$E4136='Visual SPC'!$I$4),OR('Visual SPC'!$K$4="",'Data Entry'!$F4136='Visual SPC'!$K$4)),1,0))</f>
        <v/>
      </c>
      <c r="C4136">
        <f>C4135+B4136</f>
        <v/>
      </c>
      <c r="D4136">
        <f>IF(B4136=1,INDEX('Data Entry'!$H$5:$BE$10004,4136-4,'Visual SPC'!$B$3),"")</f>
        <v/>
      </c>
      <c r="E4136">
        <f>IF(B4136=1,D4136,E4135)</f>
        <v/>
      </c>
      <c r="F4136">
        <f>IF(AND(B4136=1,C4136&gt;1,E4135&lt;&gt;""),ABS(D4136-E4135),"")</f>
        <v/>
      </c>
    </row>
    <row r="4137">
      <c r="A4137" t="n">
        <v>4137</v>
      </c>
      <c r="B4137">
        <f>IF(INDEX('Data Entry'!$H$5:$BE$10004,4137-4,'Visual SPC'!$B$3)="",0,IF(AND(OR('Visual SPC'!$C$4="",'Data Entry'!$C4137&gt;='Visual SPC'!$C$4),OR('Visual SPC'!$E$4="",'Data Entry'!$C4137&lt;='Visual SPC'!$E$4),OR('Visual SPC'!$G$4="",'Data Entry'!$D4137='Visual SPC'!$G$4),OR('Visual SPC'!$I$4="",'Data Entry'!$E4137='Visual SPC'!$I$4),OR('Visual SPC'!$K$4="",'Data Entry'!$F4137='Visual SPC'!$K$4)),1,0))</f>
        <v/>
      </c>
      <c r="C4137">
        <f>C4136+B4137</f>
        <v/>
      </c>
      <c r="D4137">
        <f>IF(B4137=1,INDEX('Data Entry'!$H$5:$BE$10004,4137-4,'Visual SPC'!$B$3),"")</f>
        <v/>
      </c>
      <c r="E4137">
        <f>IF(B4137=1,D4137,E4136)</f>
        <v/>
      </c>
      <c r="F4137">
        <f>IF(AND(B4137=1,C4137&gt;1,E4136&lt;&gt;""),ABS(D4137-E4136),"")</f>
        <v/>
      </c>
    </row>
    <row r="4138">
      <c r="A4138" t="n">
        <v>4138</v>
      </c>
      <c r="B4138">
        <f>IF(INDEX('Data Entry'!$H$5:$BE$10004,4138-4,'Visual SPC'!$B$3)="",0,IF(AND(OR('Visual SPC'!$C$4="",'Data Entry'!$C4138&gt;='Visual SPC'!$C$4),OR('Visual SPC'!$E$4="",'Data Entry'!$C4138&lt;='Visual SPC'!$E$4),OR('Visual SPC'!$G$4="",'Data Entry'!$D4138='Visual SPC'!$G$4),OR('Visual SPC'!$I$4="",'Data Entry'!$E4138='Visual SPC'!$I$4),OR('Visual SPC'!$K$4="",'Data Entry'!$F4138='Visual SPC'!$K$4)),1,0))</f>
        <v/>
      </c>
      <c r="C4138">
        <f>C4137+B4138</f>
        <v/>
      </c>
      <c r="D4138">
        <f>IF(B4138=1,INDEX('Data Entry'!$H$5:$BE$10004,4138-4,'Visual SPC'!$B$3),"")</f>
        <v/>
      </c>
      <c r="E4138">
        <f>IF(B4138=1,D4138,E4137)</f>
        <v/>
      </c>
      <c r="F4138">
        <f>IF(AND(B4138=1,C4138&gt;1,E4137&lt;&gt;""),ABS(D4138-E4137),"")</f>
        <v/>
      </c>
    </row>
    <row r="4139">
      <c r="A4139" t="n">
        <v>4139</v>
      </c>
      <c r="B4139">
        <f>IF(INDEX('Data Entry'!$H$5:$BE$10004,4139-4,'Visual SPC'!$B$3)="",0,IF(AND(OR('Visual SPC'!$C$4="",'Data Entry'!$C4139&gt;='Visual SPC'!$C$4),OR('Visual SPC'!$E$4="",'Data Entry'!$C4139&lt;='Visual SPC'!$E$4),OR('Visual SPC'!$G$4="",'Data Entry'!$D4139='Visual SPC'!$G$4),OR('Visual SPC'!$I$4="",'Data Entry'!$E4139='Visual SPC'!$I$4),OR('Visual SPC'!$K$4="",'Data Entry'!$F4139='Visual SPC'!$K$4)),1,0))</f>
        <v/>
      </c>
      <c r="C4139">
        <f>C4138+B4139</f>
        <v/>
      </c>
      <c r="D4139">
        <f>IF(B4139=1,INDEX('Data Entry'!$H$5:$BE$10004,4139-4,'Visual SPC'!$B$3),"")</f>
        <v/>
      </c>
      <c r="E4139">
        <f>IF(B4139=1,D4139,E4138)</f>
        <v/>
      </c>
      <c r="F4139">
        <f>IF(AND(B4139=1,C4139&gt;1,E4138&lt;&gt;""),ABS(D4139-E4138),"")</f>
        <v/>
      </c>
    </row>
    <row r="4140">
      <c r="A4140" t="n">
        <v>4140</v>
      </c>
      <c r="B4140">
        <f>IF(INDEX('Data Entry'!$H$5:$BE$10004,4140-4,'Visual SPC'!$B$3)="",0,IF(AND(OR('Visual SPC'!$C$4="",'Data Entry'!$C4140&gt;='Visual SPC'!$C$4),OR('Visual SPC'!$E$4="",'Data Entry'!$C4140&lt;='Visual SPC'!$E$4),OR('Visual SPC'!$G$4="",'Data Entry'!$D4140='Visual SPC'!$G$4),OR('Visual SPC'!$I$4="",'Data Entry'!$E4140='Visual SPC'!$I$4),OR('Visual SPC'!$K$4="",'Data Entry'!$F4140='Visual SPC'!$K$4)),1,0))</f>
        <v/>
      </c>
      <c r="C4140">
        <f>C4139+B4140</f>
        <v/>
      </c>
      <c r="D4140">
        <f>IF(B4140=1,INDEX('Data Entry'!$H$5:$BE$10004,4140-4,'Visual SPC'!$B$3),"")</f>
        <v/>
      </c>
      <c r="E4140">
        <f>IF(B4140=1,D4140,E4139)</f>
        <v/>
      </c>
      <c r="F4140">
        <f>IF(AND(B4140=1,C4140&gt;1,E4139&lt;&gt;""),ABS(D4140-E4139),"")</f>
        <v/>
      </c>
    </row>
    <row r="4141">
      <c r="A4141" t="n">
        <v>4141</v>
      </c>
      <c r="B4141">
        <f>IF(INDEX('Data Entry'!$H$5:$BE$10004,4141-4,'Visual SPC'!$B$3)="",0,IF(AND(OR('Visual SPC'!$C$4="",'Data Entry'!$C4141&gt;='Visual SPC'!$C$4),OR('Visual SPC'!$E$4="",'Data Entry'!$C4141&lt;='Visual SPC'!$E$4),OR('Visual SPC'!$G$4="",'Data Entry'!$D4141='Visual SPC'!$G$4),OR('Visual SPC'!$I$4="",'Data Entry'!$E4141='Visual SPC'!$I$4),OR('Visual SPC'!$K$4="",'Data Entry'!$F4141='Visual SPC'!$K$4)),1,0))</f>
        <v/>
      </c>
      <c r="C4141">
        <f>C4140+B4141</f>
        <v/>
      </c>
      <c r="D4141">
        <f>IF(B4141=1,INDEX('Data Entry'!$H$5:$BE$10004,4141-4,'Visual SPC'!$B$3),"")</f>
        <v/>
      </c>
      <c r="E4141">
        <f>IF(B4141=1,D4141,E4140)</f>
        <v/>
      </c>
      <c r="F4141">
        <f>IF(AND(B4141=1,C4141&gt;1,E4140&lt;&gt;""),ABS(D4141-E4140),"")</f>
        <v/>
      </c>
    </row>
    <row r="4142">
      <c r="A4142" t="n">
        <v>4142</v>
      </c>
      <c r="B4142">
        <f>IF(INDEX('Data Entry'!$H$5:$BE$10004,4142-4,'Visual SPC'!$B$3)="",0,IF(AND(OR('Visual SPC'!$C$4="",'Data Entry'!$C4142&gt;='Visual SPC'!$C$4),OR('Visual SPC'!$E$4="",'Data Entry'!$C4142&lt;='Visual SPC'!$E$4),OR('Visual SPC'!$G$4="",'Data Entry'!$D4142='Visual SPC'!$G$4),OR('Visual SPC'!$I$4="",'Data Entry'!$E4142='Visual SPC'!$I$4),OR('Visual SPC'!$K$4="",'Data Entry'!$F4142='Visual SPC'!$K$4)),1,0))</f>
        <v/>
      </c>
      <c r="C4142">
        <f>C4141+B4142</f>
        <v/>
      </c>
      <c r="D4142">
        <f>IF(B4142=1,INDEX('Data Entry'!$H$5:$BE$10004,4142-4,'Visual SPC'!$B$3),"")</f>
        <v/>
      </c>
      <c r="E4142">
        <f>IF(B4142=1,D4142,E4141)</f>
        <v/>
      </c>
      <c r="F4142">
        <f>IF(AND(B4142=1,C4142&gt;1,E4141&lt;&gt;""),ABS(D4142-E4141),"")</f>
        <v/>
      </c>
    </row>
    <row r="4143">
      <c r="A4143" t="n">
        <v>4143</v>
      </c>
      <c r="B4143">
        <f>IF(INDEX('Data Entry'!$H$5:$BE$10004,4143-4,'Visual SPC'!$B$3)="",0,IF(AND(OR('Visual SPC'!$C$4="",'Data Entry'!$C4143&gt;='Visual SPC'!$C$4),OR('Visual SPC'!$E$4="",'Data Entry'!$C4143&lt;='Visual SPC'!$E$4),OR('Visual SPC'!$G$4="",'Data Entry'!$D4143='Visual SPC'!$G$4),OR('Visual SPC'!$I$4="",'Data Entry'!$E4143='Visual SPC'!$I$4),OR('Visual SPC'!$K$4="",'Data Entry'!$F4143='Visual SPC'!$K$4)),1,0))</f>
        <v/>
      </c>
      <c r="C4143">
        <f>C4142+B4143</f>
        <v/>
      </c>
      <c r="D4143">
        <f>IF(B4143=1,INDEX('Data Entry'!$H$5:$BE$10004,4143-4,'Visual SPC'!$B$3),"")</f>
        <v/>
      </c>
      <c r="E4143">
        <f>IF(B4143=1,D4143,E4142)</f>
        <v/>
      </c>
      <c r="F4143">
        <f>IF(AND(B4143=1,C4143&gt;1,E4142&lt;&gt;""),ABS(D4143-E4142),"")</f>
        <v/>
      </c>
    </row>
    <row r="4144">
      <c r="A4144" t="n">
        <v>4144</v>
      </c>
      <c r="B4144">
        <f>IF(INDEX('Data Entry'!$H$5:$BE$10004,4144-4,'Visual SPC'!$B$3)="",0,IF(AND(OR('Visual SPC'!$C$4="",'Data Entry'!$C4144&gt;='Visual SPC'!$C$4),OR('Visual SPC'!$E$4="",'Data Entry'!$C4144&lt;='Visual SPC'!$E$4),OR('Visual SPC'!$G$4="",'Data Entry'!$D4144='Visual SPC'!$G$4),OR('Visual SPC'!$I$4="",'Data Entry'!$E4144='Visual SPC'!$I$4),OR('Visual SPC'!$K$4="",'Data Entry'!$F4144='Visual SPC'!$K$4)),1,0))</f>
        <v/>
      </c>
      <c r="C4144">
        <f>C4143+B4144</f>
        <v/>
      </c>
      <c r="D4144">
        <f>IF(B4144=1,INDEX('Data Entry'!$H$5:$BE$10004,4144-4,'Visual SPC'!$B$3),"")</f>
        <v/>
      </c>
      <c r="E4144">
        <f>IF(B4144=1,D4144,E4143)</f>
        <v/>
      </c>
      <c r="F4144">
        <f>IF(AND(B4144=1,C4144&gt;1,E4143&lt;&gt;""),ABS(D4144-E4143),"")</f>
        <v/>
      </c>
    </row>
    <row r="4145">
      <c r="A4145" t="n">
        <v>4145</v>
      </c>
      <c r="B4145">
        <f>IF(INDEX('Data Entry'!$H$5:$BE$10004,4145-4,'Visual SPC'!$B$3)="",0,IF(AND(OR('Visual SPC'!$C$4="",'Data Entry'!$C4145&gt;='Visual SPC'!$C$4),OR('Visual SPC'!$E$4="",'Data Entry'!$C4145&lt;='Visual SPC'!$E$4),OR('Visual SPC'!$G$4="",'Data Entry'!$D4145='Visual SPC'!$G$4),OR('Visual SPC'!$I$4="",'Data Entry'!$E4145='Visual SPC'!$I$4),OR('Visual SPC'!$K$4="",'Data Entry'!$F4145='Visual SPC'!$K$4)),1,0))</f>
        <v/>
      </c>
      <c r="C4145">
        <f>C4144+B4145</f>
        <v/>
      </c>
      <c r="D4145">
        <f>IF(B4145=1,INDEX('Data Entry'!$H$5:$BE$10004,4145-4,'Visual SPC'!$B$3),"")</f>
        <v/>
      </c>
      <c r="E4145">
        <f>IF(B4145=1,D4145,E4144)</f>
        <v/>
      </c>
      <c r="F4145">
        <f>IF(AND(B4145=1,C4145&gt;1,E4144&lt;&gt;""),ABS(D4145-E4144),"")</f>
        <v/>
      </c>
    </row>
    <row r="4146">
      <c r="A4146" t="n">
        <v>4146</v>
      </c>
      <c r="B4146">
        <f>IF(INDEX('Data Entry'!$H$5:$BE$10004,4146-4,'Visual SPC'!$B$3)="",0,IF(AND(OR('Visual SPC'!$C$4="",'Data Entry'!$C4146&gt;='Visual SPC'!$C$4),OR('Visual SPC'!$E$4="",'Data Entry'!$C4146&lt;='Visual SPC'!$E$4),OR('Visual SPC'!$G$4="",'Data Entry'!$D4146='Visual SPC'!$G$4),OR('Visual SPC'!$I$4="",'Data Entry'!$E4146='Visual SPC'!$I$4),OR('Visual SPC'!$K$4="",'Data Entry'!$F4146='Visual SPC'!$K$4)),1,0))</f>
        <v/>
      </c>
      <c r="C4146">
        <f>C4145+B4146</f>
        <v/>
      </c>
      <c r="D4146">
        <f>IF(B4146=1,INDEX('Data Entry'!$H$5:$BE$10004,4146-4,'Visual SPC'!$B$3),"")</f>
        <v/>
      </c>
      <c r="E4146">
        <f>IF(B4146=1,D4146,E4145)</f>
        <v/>
      </c>
      <c r="F4146">
        <f>IF(AND(B4146=1,C4146&gt;1,E4145&lt;&gt;""),ABS(D4146-E4145),"")</f>
        <v/>
      </c>
    </row>
    <row r="4147">
      <c r="A4147" t="n">
        <v>4147</v>
      </c>
      <c r="B4147">
        <f>IF(INDEX('Data Entry'!$H$5:$BE$10004,4147-4,'Visual SPC'!$B$3)="",0,IF(AND(OR('Visual SPC'!$C$4="",'Data Entry'!$C4147&gt;='Visual SPC'!$C$4),OR('Visual SPC'!$E$4="",'Data Entry'!$C4147&lt;='Visual SPC'!$E$4),OR('Visual SPC'!$G$4="",'Data Entry'!$D4147='Visual SPC'!$G$4),OR('Visual SPC'!$I$4="",'Data Entry'!$E4147='Visual SPC'!$I$4),OR('Visual SPC'!$K$4="",'Data Entry'!$F4147='Visual SPC'!$K$4)),1,0))</f>
        <v/>
      </c>
      <c r="C4147">
        <f>C4146+B4147</f>
        <v/>
      </c>
      <c r="D4147">
        <f>IF(B4147=1,INDEX('Data Entry'!$H$5:$BE$10004,4147-4,'Visual SPC'!$B$3),"")</f>
        <v/>
      </c>
      <c r="E4147">
        <f>IF(B4147=1,D4147,E4146)</f>
        <v/>
      </c>
      <c r="F4147">
        <f>IF(AND(B4147=1,C4147&gt;1,E4146&lt;&gt;""),ABS(D4147-E4146),"")</f>
        <v/>
      </c>
    </row>
    <row r="4148">
      <c r="A4148" t="n">
        <v>4148</v>
      </c>
      <c r="B4148">
        <f>IF(INDEX('Data Entry'!$H$5:$BE$10004,4148-4,'Visual SPC'!$B$3)="",0,IF(AND(OR('Visual SPC'!$C$4="",'Data Entry'!$C4148&gt;='Visual SPC'!$C$4),OR('Visual SPC'!$E$4="",'Data Entry'!$C4148&lt;='Visual SPC'!$E$4),OR('Visual SPC'!$G$4="",'Data Entry'!$D4148='Visual SPC'!$G$4),OR('Visual SPC'!$I$4="",'Data Entry'!$E4148='Visual SPC'!$I$4),OR('Visual SPC'!$K$4="",'Data Entry'!$F4148='Visual SPC'!$K$4)),1,0))</f>
        <v/>
      </c>
      <c r="C4148">
        <f>C4147+B4148</f>
        <v/>
      </c>
      <c r="D4148">
        <f>IF(B4148=1,INDEX('Data Entry'!$H$5:$BE$10004,4148-4,'Visual SPC'!$B$3),"")</f>
        <v/>
      </c>
      <c r="E4148">
        <f>IF(B4148=1,D4148,E4147)</f>
        <v/>
      </c>
      <c r="F4148">
        <f>IF(AND(B4148=1,C4148&gt;1,E4147&lt;&gt;""),ABS(D4148-E4147),"")</f>
        <v/>
      </c>
    </row>
    <row r="4149">
      <c r="A4149" t="n">
        <v>4149</v>
      </c>
      <c r="B4149">
        <f>IF(INDEX('Data Entry'!$H$5:$BE$10004,4149-4,'Visual SPC'!$B$3)="",0,IF(AND(OR('Visual SPC'!$C$4="",'Data Entry'!$C4149&gt;='Visual SPC'!$C$4),OR('Visual SPC'!$E$4="",'Data Entry'!$C4149&lt;='Visual SPC'!$E$4),OR('Visual SPC'!$G$4="",'Data Entry'!$D4149='Visual SPC'!$G$4),OR('Visual SPC'!$I$4="",'Data Entry'!$E4149='Visual SPC'!$I$4),OR('Visual SPC'!$K$4="",'Data Entry'!$F4149='Visual SPC'!$K$4)),1,0))</f>
        <v/>
      </c>
      <c r="C4149">
        <f>C4148+B4149</f>
        <v/>
      </c>
      <c r="D4149">
        <f>IF(B4149=1,INDEX('Data Entry'!$H$5:$BE$10004,4149-4,'Visual SPC'!$B$3),"")</f>
        <v/>
      </c>
      <c r="E4149">
        <f>IF(B4149=1,D4149,E4148)</f>
        <v/>
      </c>
      <c r="F4149">
        <f>IF(AND(B4149=1,C4149&gt;1,E4148&lt;&gt;""),ABS(D4149-E4148),"")</f>
        <v/>
      </c>
    </row>
    <row r="4150">
      <c r="A4150" t="n">
        <v>4150</v>
      </c>
      <c r="B4150">
        <f>IF(INDEX('Data Entry'!$H$5:$BE$10004,4150-4,'Visual SPC'!$B$3)="",0,IF(AND(OR('Visual SPC'!$C$4="",'Data Entry'!$C4150&gt;='Visual SPC'!$C$4),OR('Visual SPC'!$E$4="",'Data Entry'!$C4150&lt;='Visual SPC'!$E$4),OR('Visual SPC'!$G$4="",'Data Entry'!$D4150='Visual SPC'!$G$4),OR('Visual SPC'!$I$4="",'Data Entry'!$E4150='Visual SPC'!$I$4),OR('Visual SPC'!$K$4="",'Data Entry'!$F4150='Visual SPC'!$K$4)),1,0))</f>
        <v/>
      </c>
      <c r="C4150">
        <f>C4149+B4150</f>
        <v/>
      </c>
      <c r="D4150">
        <f>IF(B4150=1,INDEX('Data Entry'!$H$5:$BE$10004,4150-4,'Visual SPC'!$B$3),"")</f>
        <v/>
      </c>
      <c r="E4150">
        <f>IF(B4150=1,D4150,E4149)</f>
        <v/>
      </c>
      <c r="F4150">
        <f>IF(AND(B4150=1,C4150&gt;1,E4149&lt;&gt;""),ABS(D4150-E4149),"")</f>
        <v/>
      </c>
    </row>
    <row r="4151">
      <c r="A4151" t="n">
        <v>4151</v>
      </c>
      <c r="B4151">
        <f>IF(INDEX('Data Entry'!$H$5:$BE$10004,4151-4,'Visual SPC'!$B$3)="",0,IF(AND(OR('Visual SPC'!$C$4="",'Data Entry'!$C4151&gt;='Visual SPC'!$C$4),OR('Visual SPC'!$E$4="",'Data Entry'!$C4151&lt;='Visual SPC'!$E$4),OR('Visual SPC'!$G$4="",'Data Entry'!$D4151='Visual SPC'!$G$4),OR('Visual SPC'!$I$4="",'Data Entry'!$E4151='Visual SPC'!$I$4),OR('Visual SPC'!$K$4="",'Data Entry'!$F4151='Visual SPC'!$K$4)),1,0))</f>
        <v/>
      </c>
      <c r="C4151">
        <f>C4150+B4151</f>
        <v/>
      </c>
      <c r="D4151">
        <f>IF(B4151=1,INDEX('Data Entry'!$H$5:$BE$10004,4151-4,'Visual SPC'!$B$3),"")</f>
        <v/>
      </c>
      <c r="E4151">
        <f>IF(B4151=1,D4151,E4150)</f>
        <v/>
      </c>
      <c r="F4151">
        <f>IF(AND(B4151=1,C4151&gt;1,E4150&lt;&gt;""),ABS(D4151-E4150),"")</f>
        <v/>
      </c>
    </row>
    <row r="4152">
      <c r="A4152" t="n">
        <v>4152</v>
      </c>
      <c r="B4152">
        <f>IF(INDEX('Data Entry'!$H$5:$BE$10004,4152-4,'Visual SPC'!$B$3)="",0,IF(AND(OR('Visual SPC'!$C$4="",'Data Entry'!$C4152&gt;='Visual SPC'!$C$4),OR('Visual SPC'!$E$4="",'Data Entry'!$C4152&lt;='Visual SPC'!$E$4),OR('Visual SPC'!$G$4="",'Data Entry'!$D4152='Visual SPC'!$G$4),OR('Visual SPC'!$I$4="",'Data Entry'!$E4152='Visual SPC'!$I$4),OR('Visual SPC'!$K$4="",'Data Entry'!$F4152='Visual SPC'!$K$4)),1,0))</f>
        <v/>
      </c>
      <c r="C4152">
        <f>C4151+B4152</f>
        <v/>
      </c>
      <c r="D4152">
        <f>IF(B4152=1,INDEX('Data Entry'!$H$5:$BE$10004,4152-4,'Visual SPC'!$B$3),"")</f>
        <v/>
      </c>
      <c r="E4152">
        <f>IF(B4152=1,D4152,E4151)</f>
        <v/>
      </c>
      <c r="F4152">
        <f>IF(AND(B4152=1,C4152&gt;1,E4151&lt;&gt;""),ABS(D4152-E4151),"")</f>
        <v/>
      </c>
    </row>
    <row r="4153">
      <c r="A4153" t="n">
        <v>4153</v>
      </c>
      <c r="B4153">
        <f>IF(INDEX('Data Entry'!$H$5:$BE$10004,4153-4,'Visual SPC'!$B$3)="",0,IF(AND(OR('Visual SPC'!$C$4="",'Data Entry'!$C4153&gt;='Visual SPC'!$C$4),OR('Visual SPC'!$E$4="",'Data Entry'!$C4153&lt;='Visual SPC'!$E$4),OR('Visual SPC'!$G$4="",'Data Entry'!$D4153='Visual SPC'!$G$4),OR('Visual SPC'!$I$4="",'Data Entry'!$E4153='Visual SPC'!$I$4),OR('Visual SPC'!$K$4="",'Data Entry'!$F4153='Visual SPC'!$K$4)),1,0))</f>
        <v/>
      </c>
      <c r="C4153">
        <f>C4152+B4153</f>
        <v/>
      </c>
      <c r="D4153">
        <f>IF(B4153=1,INDEX('Data Entry'!$H$5:$BE$10004,4153-4,'Visual SPC'!$B$3),"")</f>
        <v/>
      </c>
      <c r="E4153">
        <f>IF(B4153=1,D4153,E4152)</f>
        <v/>
      </c>
      <c r="F4153">
        <f>IF(AND(B4153=1,C4153&gt;1,E4152&lt;&gt;""),ABS(D4153-E4152),"")</f>
        <v/>
      </c>
    </row>
    <row r="4154">
      <c r="A4154" t="n">
        <v>4154</v>
      </c>
      <c r="B4154">
        <f>IF(INDEX('Data Entry'!$H$5:$BE$10004,4154-4,'Visual SPC'!$B$3)="",0,IF(AND(OR('Visual SPC'!$C$4="",'Data Entry'!$C4154&gt;='Visual SPC'!$C$4),OR('Visual SPC'!$E$4="",'Data Entry'!$C4154&lt;='Visual SPC'!$E$4),OR('Visual SPC'!$G$4="",'Data Entry'!$D4154='Visual SPC'!$G$4),OR('Visual SPC'!$I$4="",'Data Entry'!$E4154='Visual SPC'!$I$4),OR('Visual SPC'!$K$4="",'Data Entry'!$F4154='Visual SPC'!$K$4)),1,0))</f>
        <v/>
      </c>
      <c r="C4154">
        <f>C4153+B4154</f>
        <v/>
      </c>
      <c r="D4154">
        <f>IF(B4154=1,INDEX('Data Entry'!$H$5:$BE$10004,4154-4,'Visual SPC'!$B$3),"")</f>
        <v/>
      </c>
      <c r="E4154">
        <f>IF(B4154=1,D4154,E4153)</f>
        <v/>
      </c>
      <c r="F4154">
        <f>IF(AND(B4154=1,C4154&gt;1,E4153&lt;&gt;""),ABS(D4154-E4153),"")</f>
        <v/>
      </c>
    </row>
    <row r="4155">
      <c r="A4155" t="n">
        <v>4155</v>
      </c>
      <c r="B4155">
        <f>IF(INDEX('Data Entry'!$H$5:$BE$10004,4155-4,'Visual SPC'!$B$3)="",0,IF(AND(OR('Visual SPC'!$C$4="",'Data Entry'!$C4155&gt;='Visual SPC'!$C$4),OR('Visual SPC'!$E$4="",'Data Entry'!$C4155&lt;='Visual SPC'!$E$4),OR('Visual SPC'!$G$4="",'Data Entry'!$D4155='Visual SPC'!$G$4),OR('Visual SPC'!$I$4="",'Data Entry'!$E4155='Visual SPC'!$I$4),OR('Visual SPC'!$K$4="",'Data Entry'!$F4155='Visual SPC'!$K$4)),1,0))</f>
        <v/>
      </c>
      <c r="C4155">
        <f>C4154+B4155</f>
        <v/>
      </c>
      <c r="D4155">
        <f>IF(B4155=1,INDEX('Data Entry'!$H$5:$BE$10004,4155-4,'Visual SPC'!$B$3),"")</f>
        <v/>
      </c>
      <c r="E4155">
        <f>IF(B4155=1,D4155,E4154)</f>
        <v/>
      </c>
      <c r="F4155">
        <f>IF(AND(B4155=1,C4155&gt;1,E4154&lt;&gt;""),ABS(D4155-E4154),"")</f>
        <v/>
      </c>
    </row>
    <row r="4156">
      <c r="A4156" t="n">
        <v>4156</v>
      </c>
      <c r="B4156">
        <f>IF(INDEX('Data Entry'!$H$5:$BE$10004,4156-4,'Visual SPC'!$B$3)="",0,IF(AND(OR('Visual SPC'!$C$4="",'Data Entry'!$C4156&gt;='Visual SPC'!$C$4),OR('Visual SPC'!$E$4="",'Data Entry'!$C4156&lt;='Visual SPC'!$E$4),OR('Visual SPC'!$G$4="",'Data Entry'!$D4156='Visual SPC'!$G$4),OR('Visual SPC'!$I$4="",'Data Entry'!$E4156='Visual SPC'!$I$4),OR('Visual SPC'!$K$4="",'Data Entry'!$F4156='Visual SPC'!$K$4)),1,0))</f>
        <v/>
      </c>
      <c r="C4156">
        <f>C4155+B4156</f>
        <v/>
      </c>
      <c r="D4156">
        <f>IF(B4156=1,INDEX('Data Entry'!$H$5:$BE$10004,4156-4,'Visual SPC'!$B$3),"")</f>
        <v/>
      </c>
      <c r="E4156">
        <f>IF(B4156=1,D4156,E4155)</f>
        <v/>
      </c>
      <c r="F4156">
        <f>IF(AND(B4156=1,C4156&gt;1,E4155&lt;&gt;""),ABS(D4156-E4155),"")</f>
        <v/>
      </c>
    </row>
    <row r="4157">
      <c r="A4157" t="n">
        <v>4157</v>
      </c>
      <c r="B4157">
        <f>IF(INDEX('Data Entry'!$H$5:$BE$10004,4157-4,'Visual SPC'!$B$3)="",0,IF(AND(OR('Visual SPC'!$C$4="",'Data Entry'!$C4157&gt;='Visual SPC'!$C$4),OR('Visual SPC'!$E$4="",'Data Entry'!$C4157&lt;='Visual SPC'!$E$4),OR('Visual SPC'!$G$4="",'Data Entry'!$D4157='Visual SPC'!$G$4),OR('Visual SPC'!$I$4="",'Data Entry'!$E4157='Visual SPC'!$I$4),OR('Visual SPC'!$K$4="",'Data Entry'!$F4157='Visual SPC'!$K$4)),1,0))</f>
        <v/>
      </c>
      <c r="C4157">
        <f>C4156+B4157</f>
        <v/>
      </c>
      <c r="D4157">
        <f>IF(B4157=1,INDEX('Data Entry'!$H$5:$BE$10004,4157-4,'Visual SPC'!$B$3),"")</f>
        <v/>
      </c>
      <c r="E4157">
        <f>IF(B4157=1,D4157,E4156)</f>
        <v/>
      </c>
      <c r="F4157">
        <f>IF(AND(B4157=1,C4157&gt;1,E4156&lt;&gt;""),ABS(D4157-E4156),"")</f>
        <v/>
      </c>
    </row>
    <row r="4158">
      <c r="A4158" t="n">
        <v>4158</v>
      </c>
      <c r="B4158">
        <f>IF(INDEX('Data Entry'!$H$5:$BE$10004,4158-4,'Visual SPC'!$B$3)="",0,IF(AND(OR('Visual SPC'!$C$4="",'Data Entry'!$C4158&gt;='Visual SPC'!$C$4),OR('Visual SPC'!$E$4="",'Data Entry'!$C4158&lt;='Visual SPC'!$E$4),OR('Visual SPC'!$G$4="",'Data Entry'!$D4158='Visual SPC'!$G$4),OR('Visual SPC'!$I$4="",'Data Entry'!$E4158='Visual SPC'!$I$4),OR('Visual SPC'!$K$4="",'Data Entry'!$F4158='Visual SPC'!$K$4)),1,0))</f>
        <v/>
      </c>
      <c r="C4158">
        <f>C4157+B4158</f>
        <v/>
      </c>
      <c r="D4158">
        <f>IF(B4158=1,INDEX('Data Entry'!$H$5:$BE$10004,4158-4,'Visual SPC'!$B$3),"")</f>
        <v/>
      </c>
      <c r="E4158">
        <f>IF(B4158=1,D4158,E4157)</f>
        <v/>
      </c>
      <c r="F4158">
        <f>IF(AND(B4158=1,C4158&gt;1,E4157&lt;&gt;""),ABS(D4158-E4157),"")</f>
        <v/>
      </c>
    </row>
    <row r="4159">
      <c r="A4159" t="n">
        <v>4159</v>
      </c>
      <c r="B4159">
        <f>IF(INDEX('Data Entry'!$H$5:$BE$10004,4159-4,'Visual SPC'!$B$3)="",0,IF(AND(OR('Visual SPC'!$C$4="",'Data Entry'!$C4159&gt;='Visual SPC'!$C$4),OR('Visual SPC'!$E$4="",'Data Entry'!$C4159&lt;='Visual SPC'!$E$4),OR('Visual SPC'!$G$4="",'Data Entry'!$D4159='Visual SPC'!$G$4),OR('Visual SPC'!$I$4="",'Data Entry'!$E4159='Visual SPC'!$I$4),OR('Visual SPC'!$K$4="",'Data Entry'!$F4159='Visual SPC'!$K$4)),1,0))</f>
        <v/>
      </c>
      <c r="C4159">
        <f>C4158+B4159</f>
        <v/>
      </c>
      <c r="D4159">
        <f>IF(B4159=1,INDEX('Data Entry'!$H$5:$BE$10004,4159-4,'Visual SPC'!$B$3),"")</f>
        <v/>
      </c>
      <c r="E4159">
        <f>IF(B4159=1,D4159,E4158)</f>
        <v/>
      </c>
      <c r="F4159">
        <f>IF(AND(B4159=1,C4159&gt;1,E4158&lt;&gt;""),ABS(D4159-E4158),"")</f>
        <v/>
      </c>
    </row>
    <row r="4160">
      <c r="A4160" t="n">
        <v>4160</v>
      </c>
      <c r="B4160">
        <f>IF(INDEX('Data Entry'!$H$5:$BE$10004,4160-4,'Visual SPC'!$B$3)="",0,IF(AND(OR('Visual SPC'!$C$4="",'Data Entry'!$C4160&gt;='Visual SPC'!$C$4),OR('Visual SPC'!$E$4="",'Data Entry'!$C4160&lt;='Visual SPC'!$E$4),OR('Visual SPC'!$G$4="",'Data Entry'!$D4160='Visual SPC'!$G$4),OR('Visual SPC'!$I$4="",'Data Entry'!$E4160='Visual SPC'!$I$4),OR('Visual SPC'!$K$4="",'Data Entry'!$F4160='Visual SPC'!$K$4)),1,0))</f>
        <v/>
      </c>
      <c r="C4160">
        <f>C4159+B4160</f>
        <v/>
      </c>
      <c r="D4160">
        <f>IF(B4160=1,INDEX('Data Entry'!$H$5:$BE$10004,4160-4,'Visual SPC'!$B$3),"")</f>
        <v/>
      </c>
      <c r="E4160">
        <f>IF(B4160=1,D4160,E4159)</f>
        <v/>
      </c>
      <c r="F4160">
        <f>IF(AND(B4160=1,C4160&gt;1,E4159&lt;&gt;""),ABS(D4160-E4159),"")</f>
        <v/>
      </c>
    </row>
    <row r="4161">
      <c r="A4161" t="n">
        <v>4161</v>
      </c>
      <c r="B4161">
        <f>IF(INDEX('Data Entry'!$H$5:$BE$10004,4161-4,'Visual SPC'!$B$3)="",0,IF(AND(OR('Visual SPC'!$C$4="",'Data Entry'!$C4161&gt;='Visual SPC'!$C$4),OR('Visual SPC'!$E$4="",'Data Entry'!$C4161&lt;='Visual SPC'!$E$4),OR('Visual SPC'!$G$4="",'Data Entry'!$D4161='Visual SPC'!$G$4),OR('Visual SPC'!$I$4="",'Data Entry'!$E4161='Visual SPC'!$I$4),OR('Visual SPC'!$K$4="",'Data Entry'!$F4161='Visual SPC'!$K$4)),1,0))</f>
        <v/>
      </c>
      <c r="C4161">
        <f>C4160+B4161</f>
        <v/>
      </c>
      <c r="D4161">
        <f>IF(B4161=1,INDEX('Data Entry'!$H$5:$BE$10004,4161-4,'Visual SPC'!$B$3),"")</f>
        <v/>
      </c>
      <c r="E4161">
        <f>IF(B4161=1,D4161,E4160)</f>
        <v/>
      </c>
      <c r="F4161">
        <f>IF(AND(B4161=1,C4161&gt;1,E4160&lt;&gt;""),ABS(D4161-E4160),"")</f>
        <v/>
      </c>
    </row>
    <row r="4162">
      <c r="A4162" t="n">
        <v>4162</v>
      </c>
      <c r="B4162">
        <f>IF(INDEX('Data Entry'!$H$5:$BE$10004,4162-4,'Visual SPC'!$B$3)="",0,IF(AND(OR('Visual SPC'!$C$4="",'Data Entry'!$C4162&gt;='Visual SPC'!$C$4),OR('Visual SPC'!$E$4="",'Data Entry'!$C4162&lt;='Visual SPC'!$E$4),OR('Visual SPC'!$G$4="",'Data Entry'!$D4162='Visual SPC'!$G$4),OR('Visual SPC'!$I$4="",'Data Entry'!$E4162='Visual SPC'!$I$4),OR('Visual SPC'!$K$4="",'Data Entry'!$F4162='Visual SPC'!$K$4)),1,0))</f>
        <v/>
      </c>
      <c r="C4162">
        <f>C4161+B4162</f>
        <v/>
      </c>
      <c r="D4162">
        <f>IF(B4162=1,INDEX('Data Entry'!$H$5:$BE$10004,4162-4,'Visual SPC'!$B$3),"")</f>
        <v/>
      </c>
      <c r="E4162">
        <f>IF(B4162=1,D4162,E4161)</f>
        <v/>
      </c>
      <c r="F4162">
        <f>IF(AND(B4162=1,C4162&gt;1,E4161&lt;&gt;""),ABS(D4162-E4161),"")</f>
        <v/>
      </c>
    </row>
    <row r="4163">
      <c r="A4163" t="n">
        <v>4163</v>
      </c>
      <c r="B4163">
        <f>IF(INDEX('Data Entry'!$H$5:$BE$10004,4163-4,'Visual SPC'!$B$3)="",0,IF(AND(OR('Visual SPC'!$C$4="",'Data Entry'!$C4163&gt;='Visual SPC'!$C$4),OR('Visual SPC'!$E$4="",'Data Entry'!$C4163&lt;='Visual SPC'!$E$4),OR('Visual SPC'!$G$4="",'Data Entry'!$D4163='Visual SPC'!$G$4),OR('Visual SPC'!$I$4="",'Data Entry'!$E4163='Visual SPC'!$I$4),OR('Visual SPC'!$K$4="",'Data Entry'!$F4163='Visual SPC'!$K$4)),1,0))</f>
        <v/>
      </c>
      <c r="C4163">
        <f>C4162+B4163</f>
        <v/>
      </c>
      <c r="D4163">
        <f>IF(B4163=1,INDEX('Data Entry'!$H$5:$BE$10004,4163-4,'Visual SPC'!$B$3),"")</f>
        <v/>
      </c>
      <c r="E4163">
        <f>IF(B4163=1,D4163,E4162)</f>
        <v/>
      </c>
      <c r="F4163">
        <f>IF(AND(B4163=1,C4163&gt;1,E4162&lt;&gt;""),ABS(D4163-E4162),"")</f>
        <v/>
      </c>
    </row>
    <row r="4164">
      <c r="A4164" t="n">
        <v>4164</v>
      </c>
      <c r="B4164">
        <f>IF(INDEX('Data Entry'!$H$5:$BE$10004,4164-4,'Visual SPC'!$B$3)="",0,IF(AND(OR('Visual SPC'!$C$4="",'Data Entry'!$C4164&gt;='Visual SPC'!$C$4),OR('Visual SPC'!$E$4="",'Data Entry'!$C4164&lt;='Visual SPC'!$E$4),OR('Visual SPC'!$G$4="",'Data Entry'!$D4164='Visual SPC'!$G$4),OR('Visual SPC'!$I$4="",'Data Entry'!$E4164='Visual SPC'!$I$4),OR('Visual SPC'!$K$4="",'Data Entry'!$F4164='Visual SPC'!$K$4)),1,0))</f>
        <v/>
      </c>
      <c r="C4164">
        <f>C4163+B4164</f>
        <v/>
      </c>
      <c r="D4164">
        <f>IF(B4164=1,INDEX('Data Entry'!$H$5:$BE$10004,4164-4,'Visual SPC'!$B$3),"")</f>
        <v/>
      </c>
      <c r="E4164">
        <f>IF(B4164=1,D4164,E4163)</f>
        <v/>
      </c>
      <c r="F4164">
        <f>IF(AND(B4164=1,C4164&gt;1,E4163&lt;&gt;""),ABS(D4164-E4163),"")</f>
        <v/>
      </c>
    </row>
    <row r="4165">
      <c r="A4165" t="n">
        <v>4165</v>
      </c>
      <c r="B4165">
        <f>IF(INDEX('Data Entry'!$H$5:$BE$10004,4165-4,'Visual SPC'!$B$3)="",0,IF(AND(OR('Visual SPC'!$C$4="",'Data Entry'!$C4165&gt;='Visual SPC'!$C$4),OR('Visual SPC'!$E$4="",'Data Entry'!$C4165&lt;='Visual SPC'!$E$4),OR('Visual SPC'!$G$4="",'Data Entry'!$D4165='Visual SPC'!$G$4),OR('Visual SPC'!$I$4="",'Data Entry'!$E4165='Visual SPC'!$I$4),OR('Visual SPC'!$K$4="",'Data Entry'!$F4165='Visual SPC'!$K$4)),1,0))</f>
        <v/>
      </c>
      <c r="C4165">
        <f>C4164+B4165</f>
        <v/>
      </c>
      <c r="D4165">
        <f>IF(B4165=1,INDEX('Data Entry'!$H$5:$BE$10004,4165-4,'Visual SPC'!$B$3),"")</f>
        <v/>
      </c>
      <c r="E4165">
        <f>IF(B4165=1,D4165,E4164)</f>
        <v/>
      </c>
      <c r="F4165">
        <f>IF(AND(B4165=1,C4165&gt;1,E4164&lt;&gt;""),ABS(D4165-E4164),"")</f>
        <v/>
      </c>
    </row>
    <row r="4166">
      <c r="A4166" t="n">
        <v>4166</v>
      </c>
      <c r="B4166">
        <f>IF(INDEX('Data Entry'!$H$5:$BE$10004,4166-4,'Visual SPC'!$B$3)="",0,IF(AND(OR('Visual SPC'!$C$4="",'Data Entry'!$C4166&gt;='Visual SPC'!$C$4),OR('Visual SPC'!$E$4="",'Data Entry'!$C4166&lt;='Visual SPC'!$E$4),OR('Visual SPC'!$G$4="",'Data Entry'!$D4166='Visual SPC'!$G$4),OR('Visual SPC'!$I$4="",'Data Entry'!$E4166='Visual SPC'!$I$4),OR('Visual SPC'!$K$4="",'Data Entry'!$F4166='Visual SPC'!$K$4)),1,0))</f>
        <v/>
      </c>
      <c r="C4166">
        <f>C4165+B4166</f>
        <v/>
      </c>
      <c r="D4166">
        <f>IF(B4166=1,INDEX('Data Entry'!$H$5:$BE$10004,4166-4,'Visual SPC'!$B$3),"")</f>
        <v/>
      </c>
      <c r="E4166">
        <f>IF(B4166=1,D4166,E4165)</f>
        <v/>
      </c>
      <c r="F4166">
        <f>IF(AND(B4166=1,C4166&gt;1,E4165&lt;&gt;""),ABS(D4166-E4165),"")</f>
        <v/>
      </c>
    </row>
    <row r="4167">
      <c r="A4167" t="n">
        <v>4167</v>
      </c>
      <c r="B4167">
        <f>IF(INDEX('Data Entry'!$H$5:$BE$10004,4167-4,'Visual SPC'!$B$3)="",0,IF(AND(OR('Visual SPC'!$C$4="",'Data Entry'!$C4167&gt;='Visual SPC'!$C$4),OR('Visual SPC'!$E$4="",'Data Entry'!$C4167&lt;='Visual SPC'!$E$4),OR('Visual SPC'!$G$4="",'Data Entry'!$D4167='Visual SPC'!$G$4),OR('Visual SPC'!$I$4="",'Data Entry'!$E4167='Visual SPC'!$I$4),OR('Visual SPC'!$K$4="",'Data Entry'!$F4167='Visual SPC'!$K$4)),1,0))</f>
        <v/>
      </c>
      <c r="C4167">
        <f>C4166+B4167</f>
        <v/>
      </c>
      <c r="D4167">
        <f>IF(B4167=1,INDEX('Data Entry'!$H$5:$BE$10004,4167-4,'Visual SPC'!$B$3),"")</f>
        <v/>
      </c>
      <c r="E4167">
        <f>IF(B4167=1,D4167,E4166)</f>
        <v/>
      </c>
      <c r="F4167">
        <f>IF(AND(B4167=1,C4167&gt;1,E4166&lt;&gt;""),ABS(D4167-E4166),"")</f>
        <v/>
      </c>
    </row>
    <row r="4168">
      <c r="A4168" t="n">
        <v>4168</v>
      </c>
      <c r="B4168">
        <f>IF(INDEX('Data Entry'!$H$5:$BE$10004,4168-4,'Visual SPC'!$B$3)="",0,IF(AND(OR('Visual SPC'!$C$4="",'Data Entry'!$C4168&gt;='Visual SPC'!$C$4),OR('Visual SPC'!$E$4="",'Data Entry'!$C4168&lt;='Visual SPC'!$E$4),OR('Visual SPC'!$G$4="",'Data Entry'!$D4168='Visual SPC'!$G$4),OR('Visual SPC'!$I$4="",'Data Entry'!$E4168='Visual SPC'!$I$4),OR('Visual SPC'!$K$4="",'Data Entry'!$F4168='Visual SPC'!$K$4)),1,0))</f>
        <v/>
      </c>
      <c r="C4168">
        <f>C4167+B4168</f>
        <v/>
      </c>
      <c r="D4168">
        <f>IF(B4168=1,INDEX('Data Entry'!$H$5:$BE$10004,4168-4,'Visual SPC'!$B$3),"")</f>
        <v/>
      </c>
      <c r="E4168">
        <f>IF(B4168=1,D4168,E4167)</f>
        <v/>
      </c>
      <c r="F4168">
        <f>IF(AND(B4168=1,C4168&gt;1,E4167&lt;&gt;""),ABS(D4168-E4167),"")</f>
        <v/>
      </c>
    </row>
    <row r="4169">
      <c r="A4169" t="n">
        <v>4169</v>
      </c>
      <c r="B4169">
        <f>IF(INDEX('Data Entry'!$H$5:$BE$10004,4169-4,'Visual SPC'!$B$3)="",0,IF(AND(OR('Visual SPC'!$C$4="",'Data Entry'!$C4169&gt;='Visual SPC'!$C$4),OR('Visual SPC'!$E$4="",'Data Entry'!$C4169&lt;='Visual SPC'!$E$4),OR('Visual SPC'!$G$4="",'Data Entry'!$D4169='Visual SPC'!$G$4),OR('Visual SPC'!$I$4="",'Data Entry'!$E4169='Visual SPC'!$I$4),OR('Visual SPC'!$K$4="",'Data Entry'!$F4169='Visual SPC'!$K$4)),1,0))</f>
        <v/>
      </c>
      <c r="C4169">
        <f>C4168+B4169</f>
        <v/>
      </c>
      <c r="D4169">
        <f>IF(B4169=1,INDEX('Data Entry'!$H$5:$BE$10004,4169-4,'Visual SPC'!$B$3),"")</f>
        <v/>
      </c>
      <c r="E4169">
        <f>IF(B4169=1,D4169,E4168)</f>
        <v/>
      </c>
      <c r="F4169">
        <f>IF(AND(B4169=1,C4169&gt;1,E4168&lt;&gt;""),ABS(D4169-E4168),"")</f>
        <v/>
      </c>
    </row>
    <row r="4170">
      <c r="A4170" t="n">
        <v>4170</v>
      </c>
      <c r="B4170">
        <f>IF(INDEX('Data Entry'!$H$5:$BE$10004,4170-4,'Visual SPC'!$B$3)="",0,IF(AND(OR('Visual SPC'!$C$4="",'Data Entry'!$C4170&gt;='Visual SPC'!$C$4),OR('Visual SPC'!$E$4="",'Data Entry'!$C4170&lt;='Visual SPC'!$E$4),OR('Visual SPC'!$G$4="",'Data Entry'!$D4170='Visual SPC'!$G$4),OR('Visual SPC'!$I$4="",'Data Entry'!$E4170='Visual SPC'!$I$4),OR('Visual SPC'!$K$4="",'Data Entry'!$F4170='Visual SPC'!$K$4)),1,0))</f>
        <v/>
      </c>
      <c r="C4170">
        <f>C4169+B4170</f>
        <v/>
      </c>
      <c r="D4170">
        <f>IF(B4170=1,INDEX('Data Entry'!$H$5:$BE$10004,4170-4,'Visual SPC'!$B$3),"")</f>
        <v/>
      </c>
      <c r="E4170">
        <f>IF(B4170=1,D4170,E4169)</f>
        <v/>
      </c>
      <c r="F4170">
        <f>IF(AND(B4170=1,C4170&gt;1,E4169&lt;&gt;""),ABS(D4170-E4169),"")</f>
        <v/>
      </c>
    </row>
    <row r="4171">
      <c r="A4171" t="n">
        <v>4171</v>
      </c>
      <c r="B4171">
        <f>IF(INDEX('Data Entry'!$H$5:$BE$10004,4171-4,'Visual SPC'!$B$3)="",0,IF(AND(OR('Visual SPC'!$C$4="",'Data Entry'!$C4171&gt;='Visual SPC'!$C$4),OR('Visual SPC'!$E$4="",'Data Entry'!$C4171&lt;='Visual SPC'!$E$4),OR('Visual SPC'!$G$4="",'Data Entry'!$D4171='Visual SPC'!$G$4),OR('Visual SPC'!$I$4="",'Data Entry'!$E4171='Visual SPC'!$I$4),OR('Visual SPC'!$K$4="",'Data Entry'!$F4171='Visual SPC'!$K$4)),1,0))</f>
        <v/>
      </c>
      <c r="C4171">
        <f>C4170+B4171</f>
        <v/>
      </c>
      <c r="D4171">
        <f>IF(B4171=1,INDEX('Data Entry'!$H$5:$BE$10004,4171-4,'Visual SPC'!$B$3),"")</f>
        <v/>
      </c>
      <c r="E4171">
        <f>IF(B4171=1,D4171,E4170)</f>
        <v/>
      </c>
      <c r="F4171">
        <f>IF(AND(B4171=1,C4171&gt;1,E4170&lt;&gt;""),ABS(D4171-E4170),"")</f>
        <v/>
      </c>
    </row>
    <row r="4172">
      <c r="A4172" t="n">
        <v>4172</v>
      </c>
      <c r="B4172">
        <f>IF(INDEX('Data Entry'!$H$5:$BE$10004,4172-4,'Visual SPC'!$B$3)="",0,IF(AND(OR('Visual SPC'!$C$4="",'Data Entry'!$C4172&gt;='Visual SPC'!$C$4),OR('Visual SPC'!$E$4="",'Data Entry'!$C4172&lt;='Visual SPC'!$E$4),OR('Visual SPC'!$G$4="",'Data Entry'!$D4172='Visual SPC'!$G$4),OR('Visual SPC'!$I$4="",'Data Entry'!$E4172='Visual SPC'!$I$4),OR('Visual SPC'!$K$4="",'Data Entry'!$F4172='Visual SPC'!$K$4)),1,0))</f>
        <v/>
      </c>
      <c r="C4172">
        <f>C4171+B4172</f>
        <v/>
      </c>
      <c r="D4172">
        <f>IF(B4172=1,INDEX('Data Entry'!$H$5:$BE$10004,4172-4,'Visual SPC'!$B$3),"")</f>
        <v/>
      </c>
      <c r="E4172">
        <f>IF(B4172=1,D4172,E4171)</f>
        <v/>
      </c>
      <c r="F4172">
        <f>IF(AND(B4172=1,C4172&gt;1,E4171&lt;&gt;""),ABS(D4172-E4171),"")</f>
        <v/>
      </c>
    </row>
    <row r="4173">
      <c r="A4173" t="n">
        <v>4173</v>
      </c>
      <c r="B4173">
        <f>IF(INDEX('Data Entry'!$H$5:$BE$10004,4173-4,'Visual SPC'!$B$3)="",0,IF(AND(OR('Visual SPC'!$C$4="",'Data Entry'!$C4173&gt;='Visual SPC'!$C$4),OR('Visual SPC'!$E$4="",'Data Entry'!$C4173&lt;='Visual SPC'!$E$4),OR('Visual SPC'!$G$4="",'Data Entry'!$D4173='Visual SPC'!$G$4),OR('Visual SPC'!$I$4="",'Data Entry'!$E4173='Visual SPC'!$I$4),OR('Visual SPC'!$K$4="",'Data Entry'!$F4173='Visual SPC'!$K$4)),1,0))</f>
        <v/>
      </c>
      <c r="C4173">
        <f>C4172+B4173</f>
        <v/>
      </c>
      <c r="D4173">
        <f>IF(B4173=1,INDEX('Data Entry'!$H$5:$BE$10004,4173-4,'Visual SPC'!$B$3),"")</f>
        <v/>
      </c>
      <c r="E4173">
        <f>IF(B4173=1,D4173,E4172)</f>
        <v/>
      </c>
      <c r="F4173">
        <f>IF(AND(B4173=1,C4173&gt;1,E4172&lt;&gt;""),ABS(D4173-E4172),"")</f>
        <v/>
      </c>
    </row>
    <row r="4174">
      <c r="A4174" t="n">
        <v>4174</v>
      </c>
      <c r="B4174">
        <f>IF(INDEX('Data Entry'!$H$5:$BE$10004,4174-4,'Visual SPC'!$B$3)="",0,IF(AND(OR('Visual SPC'!$C$4="",'Data Entry'!$C4174&gt;='Visual SPC'!$C$4),OR('Visual SPC'!$E$4="",'Data Entry'!$C4174&lt;='Visual SPC'!$E$4),OR('Visual SPC'!$G$4="",'Data Entry'!$D4174='Visual SPC'!$G$4),OR('Visual SPC'!$I$4="",'Data Entry'!$E4174='Visual SPC'!$I$4),OR('Visual SPC'!$K$4="",'Data Entry'!$F4174='Visual SPC'!$K$4)),1,0))</f>
        <v/>
      </c>
      <c r="C4174">
        <f>C4173+B4174</f>
        <v/>
      </c>
      <c r="D4174">
        <f>IF(B4174=1,INDEX('Data Entry'!$H$5:$BE$10004,4174-4,'Visual SPC'!$B$3),"")</f>
        <v/>
      </c>
      <c r="E4174">
        <f>IF(B4174=1,D4174,E4173)</f>
        <v/>
      </c>
      <c r="F4174">
        <f>IF(AND(B4174=1,C4174&gt;1,E4173&lt;&gt;""),ABS(D4174-E4173),"")</f>
        <v/>
      </c>
    </row>
    <row r="4175">
      <c r="A4175" t="n">
        <v>4175</v>
      </c>
      <c r="B4175">
        <f>IF(INDEX('Data Entry'!$H$5:$BE$10004,4175-4,'Visual SPC'!$B$3)="",0,IF(AND(OR('Visual SPC'!$C$4="",'Data Entry'!$C4175&gt;='Visual SPC'!$C$4),OR('Visual SPC'!$E$4="",'Data Entry'!$C4175&lt;='Visual SPC'!$E$4),OR('Visual SPC'!$G$4="",'Data Entry'!$D4175='Visual SPC'!$G$4),OR('Visual SPC'!$I$4="",'Data Entry'!$E4175='Visual SPC'!$I$4),OR('Visual SPC'!$K$4="",'Data Entry'!$F4175='Visual SPC'!$K$4)),1,0))</f>
        <v/>
      </c>
      <c r="C4175">
        <f>C4174+B4175</f>
        <v/>
      </c>
      <c r="D4175">
        <f>IF(B4175=1,INDEX('Data Entry'!$H$5:$BE$10004,4175-4,'Visual SPC'!$B$3),"")</f>
        <v/>
      </c>
      <c r="E4175">
        <f>IF(B4175=1,D4175,E4174)</f>
        <v/>
      </c>
      <c r="F4175">
        <f>IF(AND(B4175=1,C4175&gt;1,E4174&lt;&gt;""),ABS(D4175-E4174),"")</f>
        <v/>
      </c>
    </row>
    <row r="4176">
      <c r="A4176" t="n">
        <v>4176</v>
      </c>
      <c r="B4176">
        <f>IF(INDEX('Data Entry'!$H$5:$BE$10004,4176-4,'Visual SPC'!$B$3)="",0,IF(AND(OR('Visual SPC'!$C$4="",'Data Entry'!$C4176&gt;='Visual SPC'!$C$4),OR('Visual SPC'!$E$4="",'Data Entry'!$C4176&lt;='Visual SPC'!$E$4),OR('Visual SPC'!$G$4="",'Data Entry'!$D4176='Visual SPC'!$G$4),OR('Visual SPC'!$I$4="",'Data Entry'!$E4176='Visual SPC'!$I$4),OR('Visual SPC'!$K$4="",'Data Entry'!$F4176='Visual SPC'!$K$4)),1,0))</f>
        <v/>
      </c>
      <c r="C4176">
        <f>C4175+B4176</f>
        <v/>
      </c>
      <c r="D4176">
        <f>IF(B4176=1,INDEX('Data Entry'!$H$5:$BE$10004,4176-4,'Visual SPC'!$B$3),"")</f>
        <v/>
      </c>
      <c r="E4176">
        <f>IF(B4176=1,D4176,E4175)</f>
        <v/>
      </c>
      <c r="F4176">
        <f>IF(AND(B4176=1,C4176&gt;1,E4175&lt;&gt;""),ABS(D4176-E4175),"")</f>
        <v/>
      </c>
    </row>
    <row r="4177">
      <c r="A4177" t="n">
        <v>4177</v>
      </c>
      <c r="B4177">
        <f>IF(INDEX('Data Entry'!$H$5:$BE$10004,4177-4,'Visual SPC'!$B$3)="",0,IF(AND(OR('Visual SPC'!$C$4="",'Data Entry'!$C4177&gt;='Visual SPC'!$C$4),OR('Visual SPC'!$E$4="",'Data Entry'!$C4177&lt;='Visual SPC'!$E$4),OR('Visual SPC'!$G$4="",'Data Entry'!$D4177='Visual SPC'!$G$4),OR('Visual SPC'!$I$4="",'Data Entry'!$E4177='Visual SPC'!$I$4),OR('Visual SPC'!$K$4="",'Data Entry'!$F4177='Visual SPC'!$K$4)),1,0))</f>
        <v/>
      </c>
      <c r="C4177">
        <f>C4176+B4177</f>
        <v/>
      </c>
      <c r="D4177">
        <f>IF(B4177=1,INDEX('Data Entry'!$H$5:$BE$10004,4177-4,'Visual SPC'!$B$3),"")</f>
        <v/>
      </c>
      <c r="E4177">
        <f>IF(B4177=1,D4177,E4176)</f>
        <v/>
      </c>
      <c r="F4177">
        <f>IF(AND(B4177=1,C4177&gt;1,E4176&lt;&gt;""),ABS(D4177-E4176),"")</f>
        <v/>
      </c>
    </row>
    <row r="4178">
      <c r="A4178" t="n">
        <v>4178</v>
      </c>
      <c r="B4178">
        <f>IF(INDEX('Data Entry'!$H$5:$BE$10004,4178-4,'Visual SPC'!$B$3)="",0,IF(AND(OR('Visual SPC'!$C$4="",'Data Entry'!$C4178&gt;='Visual SPC'!$C$4),OR('Visual SPC'!$E$4="",'Data Entry'!$C4178&lt;='Visual SPC'!$E$4),OR('Visual SPC'!$G$4="",'Data Entry'!$D4178='Visual SPC'!$G$4),OR('Visual SPC'!$I$4="",'Data Entry'!$E4178='Visual SPC'!$I$4),OR('Visual SPC'!$K$4="",'Data Entry'!$F4178='Visual SPC'!$K$4)),1,0))</f>
        <v/>
      </c>
      <c r="C4178">
        <f>C4177+B4178</f>
        <v/>
      </c>
      <c r="D4178">
        <f>IF(B4178=1,INDEX('Data Entry'!$H$5:$BE$10004,4178-4,'Visual SPC'!$B$3),"")</f>
        <v/>
      </c>
      <c r="E4178">
        <f>IF(B4178=1,D4178,E4177)</f>
        <v/>
      </c>
      <c r="F4178">
        <f>IF(AND(B4178=1,C4178&gt;1,E4177&lt;&gt;""),ABS(D4178-E4177),"")</f>
        <v/>
      </c>
    </row>
    <row r="4179">
      <c r="A4179" t="n">
        <v>4179</v>
      </c>
      <c r="B4179">
        <f>IF(INDEX('Data Entry'!$H$5:$BE$10004,4179-4,'Visual SPC'!$B$3)="",0,IF(AND(OR('Visual SPC'!$C$4="",'Data Entry'!$C4179&gt;='Visual SPC'!$C$4),OR('Visual SPC'!$E$4="",'Data Entry'!$C4179&lt;='Visual SPC'!$E$4),OR('Visual SPC'!$G$4="",'Data Entry'!$D4179='Visual SPC'!$G$4),OR('Visual SPC'!$I$4="",'Data Entry'!$E4179='Visual SPC'!$I$4),OR('Visual SPC'!$K$4="",'Data Entry'!$F4179='Visual SPC'!$K$4)),1,0))</f>
        <v/>
      </c>
      <c r="C4179">
        <f>C4178+B4179</f>
        <v/>
      </c>
      <c r="D4179">
        <f>IF(B4179=1,INDEX('Data Entry'!$H$5:$BE$10004,4179-4,'Visual SPC'!$B$3),"")</f>
        <v/>
      </c>
      <c r="E4179">
        <f>IF(B4179=1,D4179,E4178)</f>
        <v/>
      </c>
      <c r="F4179">
        <f>IF(AND(B4179=1,C4179&gt;1,E4178&lt;&gt;""),ABS(D4179-E4178),"")</f>
        <v/>
      </c>
    </row>
    <row r="4180">
      <c r="A4180" t="n">
        <v>4180</v>
      </c>
      <c r="B4180">
        <f>IF(INDEX('Data Entry'!$H$5:$BE$10004,4180-4,'Visual SPC'!$B$3)="",0,IF(AND(OR('Visual SPC'!$C$4="",'Data Entry'!$C4180&gt;='Visual SPC'!$C$4),OR('Visual SPC'!$E$4="",'Data Entry'!$C4180&lt;='Visual SPC'!$E$4),OR('Visual SPC'!$G$4="",'Data Entry'!$D4180='Visual SPC'!$G$4),OR('Visual SPC'!$I$4="",'Data Entry'!$E4180='Visual SPC'!$I$4),OR('Visual SPC'!$K$4="",'Data Entry'!$F4180='Visual SPC'!$K$4)),1,0))</f>
        <v/>
      </c>
      <c r="C4180">
        <f>C4179+B4180</f>
        <v/>
      </c>
      <c r="D4180">
        <f>IF(B4180=1,INDEX('Data Entry'!$H$5:$BE$10004,4180-4,'Visual SPC'!$B$3),"")</f>
        <v/>
      </c>
      <c r="E4180">
        <f>IF(B4180=1,D4180,E4179)</f>
        <v/>
      </c>
      <c r="F4180">
        <f>IF(AND(B4180=1,C4180&gt;1,E4179&lt;&gt;""),ABS(D4180-E4179),"")</f>
        <v/>
      </c>
    </row>
    <row r="4181">
      <c r="A4181" t="n">
        <v>4181</v>
      </c>
      <c r="B4181">
        <f>IF(INDEX('Data Entry'!$H$5:$BE$10004,4181-4,'Visual SPC'!$B$3)="",0,IF(AND(OR('Visual SPC'!$C$4="",'Data Entry'!$C4181&gt;='Visual SPC'!$C$4),OR('Visual SPC'!$E$4="",'Data Entry'!$C4181&lt;='Visual SPC'!$E$4),OR('Visual SPC'!$G$4="",'Data Entry'!$D4181='Visual SPC'!$G$4),OR('Visual SPC'!$I$4="",'Data Entry'!$E4181='Visual SPC'!$I$4),OR('Visual SPC'!$K$4="",'Data Entry'!$F4181='Visual SPC'!$K$4)),1,0))</f>
        <v/>
      </c>
      <c r="C4181">
        <f>C4180+B4181</f>
        <v/>
      </c>
      <c r="D4181">
        <f>IF(B4181=1,INDEX('Data Entry'!$H$5:$BE$10004,4181-4,'Visual SPC'!$B$3),"")</f>
        <v/>
      </c>
      <c r="E4181">
        <f>IF(B4181=1,D4181,E4180)</f>
        <v/>
      </c>
      <c r="F4181">
        <f>IF(AND(B4181=1,C4181&gt;1,E4180&lt;&gt;""),ABS(D4181-E4180),"")</f>
        <v/>
      </c>
    </row>
    <row r="4182">
      <c r="A4182" t="n">
        <v>4182</v>
      </c>
      <c r="B4182">
        <f>IF(INDEX('Data Entry'!$H$5:$BE$10004,4182-4,'Visual SPC'!$B$3)="",0,IF(AND(OR('Visual SPC'!$C$4="",'Data Entry'!$C4182&gt;='Visual SPC'!$C$4),OR('Visual SPC'!$E$4="",'Data Entry'!$C4182&lt;='Visual SPC'!$E$4),OR('Visual SPC'!$G$4="",'Data Entry'!$D4182='Visual SPC'!$G$4),OR('Visual SPC'!$I$4="",'Data Entry'!$E4182='Visual SPC'!$I$4),OR('Visual SPC'!$K$4="",'Data Entry'!$F4182='Visual SPC'!$K$4)),1,0))</f>
        <v/>
      </c>
      <c r="C4182">
        <f>C4181+B4182</f>
        <v/>
      </c>
      <c r="D4182">
        <f>IF(B4182=1,INDEX('Data Entry'!$H$5:$BE$10004,4182-4,'Visual SPC'!$B$3),"")</f>
        <v/>
      </c>
      <c r="E4182">
        <f>IF(B4182=1,D4182,E4181)</f>
        <v/>
      </c>
      <c r="F4182">
        <f>IF(AND(B4182=1,C4182&gt;1,E4181&lt;&gt;""),ABS(D4182-E4181),"")</f>
        <v/>
      </c>
    </row>
    <row r="4183">
      <c r="A4183" t="n">
        <v>4183</v>
      </c>
      <c r="B4183">
        <f>IF(INDEX('Data Entry'!$H$5:$BE$10004,4183-4,'Visual SPC'!$B$3)="",0,IF(AND(OR('Visual SPC'!$C$4="",'Data Entry'!$C4183&gt;='Visual SPC'!$C$4),OR('Visual SPC'!$E$4="",'Data Entry'!$C4183&lt;='Visual SPC'!$E$4),OR('Visual SPC'!$G$4="",'Data Entry'!$D4183='Visual SPC'!$G$4),OR('Visual SPC'!$I$4="",'Data Entry'!$E4183='Visual SPC'!$I$4),OR('Visual SPC'!$K$4="",'Data Entry'!$F4183='Visual SPC'!$K$4)),1,0))</f>
        <v/>
      </c>
      <c r="C4183">
        <f>C4182+B4183</f>
        <v/>
      </c>
      <c r="D4183">
        <f>IF(B4183=1,INDEX('Data Entry'!$H$5:$BE$10004,4183-4,'Visual SPC'!$B$3),"")</f>
        <v/>
      </c>
      <c r="E4183">
        <f>IF(B4183=1,D4183,E4182)</f>
        <v/>
      </c>
      <c r="F4183">
        <f>IF(AND(B4183=1,C4183&gt;1,E4182&lt;&gt;""),ABS(D4183-E4182),"")</f>
        <v/>
      </c>
    </row>
    <row r="4184">
      <c r="A4184" t="n">
        <v>4184</v>
      </c>
      <c r="B4184">
        <f>IF(INDEX('Data Entry'!$H$5:$BE$10004,4184-4,'Visual SPC'!$B$3)="",0,IF(AND(OR('Visual SPC'!$C$4="",'Data Entry'!$C4184&gt;='Visual SPC'!$C$4),OR('Visual SPC'!$E$4="",'Data Entry'!$C4184&lt;='Visual SPC'!$E$4),OR('Visual SPC'!$G$4="",'Data Entry'!$D4184='Visual SPC'!$G$4),OR('Visual SPC'!$I$4="",'Data Entry'!$E4184='Visual SPC'!$I$4),OR('Visual SPC'!$K$4="",'Data Entry'!$F4184='Visual SPC'!$K$4)),1,0))</f>
        <v/>
      </c>
      <c r="C4184">
        <f>C4183+B4184</f>
        <v/>
      </c>
      <c r="D4184">
        <f>IF(B4184=1,INDEX('Data Entry'!$H$5:$BE$10004,4184-4,'Visual SPC'!$B$3),"")</f>
        <v/>
      </c>
      <c r="E4184">
        <f>IF(B4184=1,D4184,E4183)</f>
        <v/>
      </c>
      <c r="F4184">
        <f>IF(AND(B4184=1,C4184&gt;1,E4183&lt;&gt;""),ABS(D4184-E4183),"")</f>
        <v/>
      </c>
    </row>
    <row r="4185">
      <c r="A4185" t="n">
        <v>4185</v>
      </c>
      <c r="B4185">
        <f>IF(INDEX('Data Entry'!$H$5:$BE$10004,4185-4,'Visual SPC'!$B$3)="",0,IF(AND(OR('Visual SPC'!$C$4="",'Data Entry'!$C4185&gt;='Visual SPC'!$C$4),OR('Visual SPC'!$E$4="",'Data Entry'!$C4185&lt;='Visual SPC'!$E$4),OR('Visual SPC'!$G$4="",'Data Entry'!$D4185='Visual SPC'!$G$4),OR('Visual SPC'!$I$4="",'Data Entry'!$E4185='Visual SPC'!$I$4),OR('Visual SPC'!$K$4="",'Data Entry'!$F4185='Visual SPC'!$K$4)),1,0))</f>
        <v/>
      </c>
      <c r="C4185">
        <f>C4184+B4185</f>
        <v/>
      </c>
      <c r="D4185">
        <f>IF(B4185=1,INDEX('Data Entry'!$H$5:$BE$10004,4185-4,'Visual SPC'!$B$3),"")</f>
        <v/>
      </c>
      <c r="E4185">
        <f>IF(B4185=1,D4185,E4184)</f>
        <v/>
      </c>
      <c r="F4185">
        <f>IF(AND(B4185=1,C4185&gt;1,E4184&lt;&gt;""),ABS(D4185-E4184),"")</f>
        <v/>
      </c>
    </row>
    <row r="4186">
      <c r="A4186" t="n">
        <v>4186</v>
      </c>
      <c r="B4186">
        <f>IF(INDEX('Data Entry'!$H$5:$BE$10004,4186-4,'Visual SPC'!$B$3)="",0,IF(AND(OR('Visual SPC'!$C$4="",'Data Entry'!$C4186&gt;='Visual SPC'!$C$4),OR('Visual SPC'!$E$4="",'Data Entry'!$C4186&lt;='Visual SPC'!$E$4),OR('Visual SPC'!$G$4="",'Data Entry'!$D4186='Visual SPC'!$G$4),OR('Visual SPC'!$I$4="",'Data Entry'!$E4186='Visual SPC'!$I$4),OR('Visual SPC'!$K$4="",'Data Entry'!$F4186='Visual SPC'!$K$4)),1,0))</f>
        <v/>
      </c>
      <c r="C4186">
        <f>C4185+B4186</f>
        <v/>
      </c>
      <c r="D4186">
        <f>IF(B4186=1,INDEX('Data Entry'!$H$5:$BE$10004,4186-4,'Visual SPC'!$B$3),"")</f>
        <v/>
      </c>
      <c r="E4186">
        <f>IF(B4186=1,D4186,E4185)</f>
        <v/>
      </c>
      <c r="F4186">
        <f>IF(AND(B4186=1,C4186&gt;1,E4185&lt;&gt;""),ABS(D4186-E4185),"")</f>
        <v/>
      </c>
    </row>
    <row r="4187">
      <c r="A4187" t="n">
        <v>4187</v>
      </c>
      <c r="B4187">
        <f>IF(INDEX('Data Entry'!$H$5:$BE$10004,4187-4,'Visual SPC'!$B$3)="",0,IF(AND(OR('Visual SPC'!$C$4="",'Data Entry'!$C4187&gt;='Visual SPC'!$C$4),OR('Visual SPC'!$E$4="",'Data Entry'!$C4187&lt;='Visual SPC'!$E$4),OR('Visual SPC'!$G$4="",'Data Entry'!$D4187='Visual SPC'!$G$4),OR('Visual SPC'!$I$4="",'Data Entry'!$E4187='Visual SPC'!$I$4),OR('Visual SPC'!$K$4="",'Data Entry'!$F4187='Visual SPC'!$K$4)),1,0))</f>
        <v/>
      </c>
      <c r="C4187">
        <f>C4186+B4187</f>
        <v/>
      </c>
      <c r="D4187">
        <f>IF(B4187=1,INDEX('Data Entry'!$H$5:$BE$10004,4187-4,'Visual SPC'!$B$3),"")</f>
        <v/>
      </c>
      <c r="E4187">
        <f>IF(B4187=1,D4187,E4186)</f>
        <v/>
      </c>
      <c r="F4187">
        <f>IF(AND(B4187=1,C4187&gt;1,E4186&lt;&gt;""),ABS(D4187-E4186),"")</f>
        <v/>
      </c>
    </row>
    <row r="4188">
      <c r="A4188" t="n">
        <v>4188</v>
      </c>
      <c r="B4188">
        <f>IF(INDEX('Data Entry'!$H$5:$BE$10004,4188-4,'Visual SPC'!$B$3)="",0,IF(AND(OR('Visual SPC'!$C$4="",'Data Entry'!$C4188&gt;='Visual SPC'!$C$4),OR('Visual SPC'!$E$4="",'Data Entry'!$C4188&lt;='Visual SPC'!$E$4),OR('Visual SPC'!$G$4="",'Data Entry'!$D4188='Visual SPC'!$G$4),OR('Visual SPC'!$I$4="",'Data Entry'!$E4188='Visual SPC'!$I$4),OR('Visual SPC'!$K$4="",'Data Entry'!$F4188='Visual SPC'!$K$4)),1,0))</f>
        <v/>
      </c>
      <c r="C4188">
        <f>C4187+B4188</f>
        <v/>
      </c>
      <c r="D4188">
        <f>IF(B4188=1,INDEX('Data Entry'!$H$5:$BE$10004,4188-4,'Visual SPC'!$B$3),"")</f>
        <v/>
      </c>
      <c r="E4188">
        <f>IF(B4188=1,D4188,E4187)</f>
        <v/>
      </c>
      <c r="F4188">
        <f>IF(AND(B4188=1,C4188&gt;1,E4187&lt;&gt;""),ABS(D4188-E4187),"")</f>
        <v/>
      </c>
    </row>
    <row r="4189">
      <c r="A4189" t="n">
        <v>4189</v>
      </c>
      <c r="B4189">
        <f>IF(INDEX('Data Entry'!$H$5:$BE$10004,4189-4,'Visual SPC'!$B$3)="",0,IF(AND(OR('Visual SPC'!$C$4="",'Data Entry'!$C4189&gt;='Visual SPC'!$C$4),OR('Visual SPC'!$E$4="",'Data Entry'!$C4189&lt;='Visual SPC'!$E$4),OR('Visual SPC'!$G$4="",'Data Entry'!$D4189='Visual SPC'!$G$4),OR('Visual SPC'!$I$4="",'Data Entry'!$E4189='Visual SPC'!$I$4),OR('Visual SPC'!$K$4="",'Data Entry'!$F4189='Visual SPC'!$K$4)),1,0))</f>
        <v/>
      </c>
      <c r="C4189">
        <f>C4188+B4189</f>
        <v/>
      </c>
      <c r="D4189">
        <f>IF(B4189=1,INDEX('Data Entry'!$H$5:$BE$10004,4189-4,'Visual SPC'!$B$3),"")</f>
        <v/>
      </c>
      <c r="E4189">
        <f>IF(B4189=1,D4189,E4188)</f>
        <v/>
      </c>
      <c r="F4189">
        <f>IF(AND(B4189=1,C4189&gt;1,E4188&lt;&gt;""),ABS(D4189-E4188),"")</f>
        <v/>
      </c>
    </row>
    <row r="4190">
      <c r="A4190" t="n">
        <v>4190</v>
      </c>
      <c r="B4190">
        <f>IF(INDEX('Data Entry'!$H$5:$BE$10004,4190-4,'Visual SPC'!$B$3)="",0,IF(AND(OR('Visual SPC'!$C$4="",'Data Entry'!$C4190&gt;='Visual SPC'!$C$4),OR('Visual SPC'!$E$4="",'Data Entry'!$C4190&lt;='Visual SPC'!$E$4),OR('Visual SPC'!$G$4="",'Data Entry'!$D4190='Visual SPC'!$G$4),OR('Visual SPC'!$I$4="",'Data Entry'!$E4190='Visual SPC'!$I$4),OR('Visual SPC'!$K$4="",'Data Entry'!$F4190='Visual SPC'!$K$4)),1,0))</f>
        <v/>
      </c>
      <c r="C4190">
        <f>C4189+B4190</f>
        <v/>
      </c>
      <c r="D4190">
        <f>IF(B4190=1,INDEX('Data Entry'!$H$5:$BE$10004,4190-4,'Visual SPC'!$B$3),"")</f>
        <v/>
      </c>
      <c r="E4190">
        <f>IF(B4190=1,D4190,E4189)</f>
        <v/>
      </c>
      <c r="F4190">
        <f>IF(AND(B4190=1,C4190&gt;1,E4189&lt;&gt;""),ABS(D4190-E4189),"")</f>
        <v/>
      </c>
    </row>
    <row r="4191">
      <c r="A4191" t="n">
        <v>4191</v>
      </c>
      <c r="B4191">
        <f>IF(INDEX('Data Entry'!$H$5:$BE$10004,4191-4,'Visual SPC'!$B$3)="",0,IF(AND(OR('Visual SPC'!$C$4="",'Data Entry'!$C4191&gt;='Visual SPC'!$C$4),OR('Visual SPC'!$E$4="",'Data Entry'!$C4191&lt;='Visual SPC'!$E$4),OR('Visual SPC'!$G$4="",'Data Entry'!$D4191='Visual SPC'!$G$4),OR('Visual SPC'!$I$4="",'Data Entry'!$E4191='Visual SPC'!$I$4),OR('Visual SPC'!$K$4="",'Data Entry'!$F4191='Visual SPC'!$K$4)),1,0))</f>
        <v/>
      </c>
      <c r="C4191">
        <f>C4190+B4191</f>
        <v/>
      </c>
      <c r="D4191">
        <f>IF(B4191=1,INDEX('Data Entry'!$H$5:$BE$10004,4191-4,'Visual SPC'!$B$3),"")</f>
        <v/>
      </c>
      <c r="E4191">
        <f>IF(B4191=1,D4191,E4190)</f>
        <v/>
      </c>
      <c r="F4191">
        <f>IF(AND(B4191=1,C4191&gt;1,E4190&lt;&gt;""),ABS(D4191-E4190),"")</f>
        <v/>
      </c>
    </row>
    <row r="4192">
      <c r="A4192" t="n">
        <v>4192</v>
      </c>
      <c r="B4192">
        <f>IF(INDEX('Data Entry'!$H$5:$BE$10004,4192-4,'Visual SPC'!$B$3)="",0,IF(AND(OR('Visual SPC'!$C$4="",'Data Entry'!$C4192&gt;='Visual SPC'!$C$4),OR('Visual SPC'!$E$4="",'Data Entry'!$C4192&lt;='Visual SPC'!$E$4),OR('Visual SPC'!$G$4="",'Data Entry'!$D4192='Visual SPC'!$G$4),OR('Visual SPC'!$I$4="",'Data Entry'!$E4192='Visual SPC'!$I$4),OR('Visual SPC'!$K$4="",'Data Entry'!$F4192='Visual SPC'!$K$4)),1,0))</f>
        <v/>
      </c>
      <c r="C4192">
        <f>C4191+B4192</f>
        <v/>
      </c>
      <c r="D4192">
        <f>IF(B4192=1,INDEX('Data Entry'!$H$5:$BE$10004,4192-4,'Visual SPC'!$B$3),"")</f>
        <v/>
      </c>
      <c r="E4192">
        <f>IF(B4192=1,D4192,E4191)</f>
        <v/>
      </c>
      <c r="F4192">
        <f>IF(AND(B4192=1,C4192&gt;1,E4191&lt;&gt;""),ABS(D4192-E4191),"")</f>
        <v/>
      </c>
    </row>
    <row r="4193">
      <c r="A4193" t="n">
        <v>4193</v>
      </c>
      <c r="B4193">
        <f>IF(INDEX('Data Entry'!$H$5:$BE$10004,4193-4,'Visual SPC'!$B$3)="",0,IF(AND(OR('Visual SPC'!$C$4="",'Data Entry'!$C4193&gt;='Visual SPC'!$C$4),OR('Visual SPC'!$E$4="",'Data Entry'!$C4193&lt;='Visual SPC'!$E$4),OR('Visual SPC'!$G$4="",'Data Entry'!$D4193='Visual SPC'!$G$4),OR('Visual SPC'!$I$4="",'Data Entry'!$E4193='Visual SPC'!$I$4),OR('Visual SPC'!$K$4="",'Data Entry'!$F4193='Visual SPC'!$K$4)),1,0))</f>
        <v/>
      </c>
      <c r="C4193">
        <f>C4192+B4193</f>
        <v/>
      </c>
      <c r="D4193">
        <f>IF(B4193=1,INDEX('Data Entry'!$H$5:$BE$10004,4193-4,'Visual SPC'!$B$3),"")</f>
        <v/>
      </c>
      <c r="E4193">
        <f>IF(B4193=1,D4193,E4192)</f>
        <v/>
      </c>
      <c r="F4193">
        <f>IF(AND(B4193=1,C4193&gt;1,E4192&lt;&gt;""),ABS(D4193-E4192),"")</f>
        <v/>
      </c>
    </row>
    <row r="4194">
      <c r="A4194" t="n">
        <v>4194</v>
      </c>
      <c r="B4194">
        <f>IF(INDEX('Data Entry'!$H$5:$BE$10004,4194-4,'Visual SPC'!$B$3)="",0,IF(AND(OR('Visual SPC'!$C$4="",'Data Entry'!$C4194&gt;='Visual SPC'!$C$4),OR('Visual SPC'!$E$4="",'Data Entry'!$C4194&lt;='Visual SPC'!$E$4),OR('Visual SPC'!$G$4="",'Data Entry'!$D4194='Visual SPC'!$G$4),OR('Visual SPC'!$I$4="",'Data Entry'!$E4194='Visual SPC'!$I$4),OR('Visual SPC'!$K$4="",'Data Entry'!$F4194='Visual SPC'!$K$4)),1,0))</f>
        <v/>
      </c>
      <c r="C4194">
        <f>C4193+B4194</f>
        <v/>
      </c>
      <c r="D4194">
        <f>IF(B4194=1,INDEX('Data Entry'!$H$5:$BE$10004,4194-4,'Visual SPC'!$B$3),"")</f>
        <v/>
      </c>
      <c r="E4194">
        <f>IF(B4194=1,D4194,E4193)</f>
        <v/>
      </c>
      <c r="F4194">
        <f>IF(AND(B4194=1,C4194&gt;1,E4193&lt;&gt;""),ABS(D4194-E4193),"")</f>
        <v/>
      </c>
    </row>
    <row r="4195">
      <c r="A4195" t="n">
        <v>4195</v>
      </c>
      <c r="B4195">
        <f>IF(INDEX('Data Entry'!$H$5:$BE$10004,4195-4,'Visual SPC'!$B$3)="",0,IF(AND(OR('Visual SPC'!$C$4="",'Data Entry'!$C4195&gt;='Visual SPC'!$C$4),OR('Visual SPC'!$E$4="",'Data Entry'!$C4195&lt;='Visual SPC'!$E$4),OR('Visual SPC'!$G$4="",'Data Entry'!$D4195='Visual SPC'!$G$4),OR('Visual SPC'!$I$4="",'Data Entry'!$E4195='Visual SPC'!$I$4),OR('Visual SPC'!$K$4="",'Data Entry'!$F4195='Visual SPC'!$K$4)),1,0))</f>
        <v/>
      </c>
      <c r="C4195">
        <f>C4194+B4195</f>
        <v/>
      </c>
      <c r="D4195">
        <f>IF(B4195=1,INDEX('Data Entry'!$H$5:$BE$10004,4195-4,'Visual SPC'!$B$3),"")</f>
        <v/>
      </c>
      <c r="E4195">
        <f>IF(B4195=1,D4195,E4194)</f>
        <v/>
      </c>
      <c r="F4195">
        <f>IF(AND(B4195=1,C4195&gt;1,E4194&lt;&gt;""),ABS(D4195-E4194),"")</f>
        <v/>
      </c>
    </row>
    <row r="4196">
      <c r="A4196" t="n">
        <v>4196</v>
      </c>
      <c r="B4196">
        <f>IF(INDEX('Data Entry'!$H$5:$BE$10004,4196-4,'Visual SPC'!$B$3)="",0,IF(AND(OR('Visual SPC'!$C$4="",'Data Entry'!$C4196&gt;='Visual SPC'!$C$4),OR('Visual SPC'!$E$4="",'Data Entry'!$C4196&lt;='Visual SPC'!$E$4),OR('Visual SPC'!$G$4="",'Data Entry'!$D4196='Visual SPC'!$G$4),OR('Visual SPC'!$I$4="",'Data Entry'!$E4196='Visual SPC'!$I$4),OR('Visual SPC'!$K$4="",'Data Entry'!$F4196='Visual SPC'!$K$4)),1,0))</f>
        <v/>
      </c>
      <c r="C4196">
        <f>C4195+B4196</f>
        <v/>
      </c>
      <c r="D4196">
        <f>IF(B4196=1,INDEX('Data Entry'!$H$5:$BE$10004,4196-4,'Visual SPC'!$B$3),"")</f>
        <v/>
      </c>
      <c r="E4196">
        <f>IF(B4196=1,D4196,E4195)</f>
        <v/>
      </c>
      <c r="F4196">
        <f>IF(AND(B4196=1,C4196&gt;1,E4195&lt;&gt;""),ABS(D4196-E4195),"")</f>
        <v/>
      </c>
    </row>
    <row r="4197">
      <c r="A4197" t="n">
        <v>4197</v>
      </c>
      <c r="B4197">
        <f>IF(INDEX('Data Entry'!$H$5:$BE$10004,4197-4,'Visual SPC'!$B$3)="",0,IF(AND(OR('Visual SPC'!$C$4="",'Data Entry'!$C4197&gt;='Visual SPC'!$C$4),OR('Visual SPC'!$E$4="",'Data Entry'!$C4197&lt;='Visual SPC'!$E$4),OR('Visual SPC'!$G$4="",'Data Entry'!$D4197='Visual SPC'!$G$4),OR('Visual SPC'!$I$4="",'Data Entry'!$E4197='Visual SPC'!$I$4),OR('Visual SPC'!$K$4="",'Data Entry'!$F4197='Visual SPC'!$K$4)),1,0))</f>
        <v/>
      </c>
      <c r="C4197">
        <f>C4196+B4197</f>
        <v/>
      </c>
      <c r="D4197">
        <f>IF(B4197=1,INDEX('Data Entry'!$H$5:$BE$10004,4197-4,'Visual SPC'!$B$3),"")</f>
        <v/>
      </c>
      <c r="E4197">
        <f>IF(B4197=1,D4197,E4196)</f>
        <v/>
      </c>
      <c r="F4197">
        <f>IF(AND(B4197=1,C4197&gt;1,E4196&lt;&gt;""),ABS(D4197-E4196),"")</f>
        <v/>
      </c>
    </row>
    <row r="4198">
      <c r="A4198" t="n">
        <v>4198</v>
      </c>
      <c r="B4198">
        <f>IF(INDEX('Data Entry'!$H$5:$BE$10004,4198-4,'Visual SPC'!$B$3)="",0,IF(AND(OR('Visual SPC'!$C$4="",'Data Entry'!$C4198&gt;='Visual SPC'!$C$4),OR('Visual SPC'!$E$4="",'Data Entry'!$C4198&lt;='Visual SPC'!$E$4),OR('Visual SPC'!$G$4="",'Data Entry'!$D4198='Visual SPC'!$G$4),OR('Visual SPC'!$I$4="",'Data Entry'!$E4198='Visual SPC'!$I$4),OR('Visual SPC'!$K$4="",'Data Entry'!$F4198='Visual SPC'!$K$4)),1,0))</f>
        <v/>
      </c>
      <c r="C4198">
        <f>C4197+B4198</f>
        <v/>
      </c>
      <c r="D4198">
        <f>IF(B4198=1,INDEX('Data Entry'!$H$5:$BE$10004,4198-4,'Visual SPC'!$B$3),"")</f>
        <v/>
      </c>
      <c r="E4198">
        <f>IF(B4198=1,D4198,E4197)</f>
        <v/>
      </c>
      <c r="F4198">
        <f>IF(AND(B4198=1,C4198&gt;1,E4197&lt;&gt;""),ABS(D4198-E4197),"")</f>
        <v/>
      </c>
    </row>
    <row r="4199">
      <c r="A4199" t="n">
        <v>4199</v>
      </c>
      <c r="B4199">
        <f>IF(INDEX('Data Entry'!$H$5:$BE$10004,4199-4,'Visual SPC'!$B$3)="",0,IF(AND(OR('Visual SPC'!$C$4="",'Data Entry'!$C4199&gt;='Visual SPC'!$C$4),OR('Visual SPC'!$E$4="",'Data Entry'!$C4199&lt;='Visual SPC'!$E$4),OR('Visual SPC'!$G$4="",'Data Entry'!$D4199='Visual SPC'!$G$4),OR('Visual SPC'!$I$4="",'Data Entry'!$E4199='Visual SPC'!$I$4),OR('Visual SPC'!$K$4="",'Data Entry'!$F4199='Visual SPC'!$K$4)),1,0))</f>
        <v/>
      </c>
      <c r="C4199">
        <f>C4198+B4199</f>
        <v/>
      </c>
      <c r="D4199">
        <f>IF(B4199=1,INDEX('Data Entry'!$H$5:$BE$10004,4199-4,'Visual SPC'!$B$3),"")</f>
        <v/>
      </c>
      <c r="E4199">
        <f>IF(B4199=1,D4199,E4198)</f>
        <v/>
      </c>
      <c r="F4199">
        <f>IF(AND(B4199=1,C4199&gt;1,E4198&lt;&gt;""),ABS(D4199-E4198),"")</f>
        <v/>
      </c>
    </row>
    <row r="4200">
      <c r="A4200" t="n">
        <v>4200</v>
      </c>
      <c r="B4200">
        <f>IF(INDEX('Data Entry'!$H$5:$BE$10004,4200-4,'Visual SPC'!$B$3)="",0,IF(AND(OR('Visual SPC'!$C$4="",'Data Entry'!$C4200&gt;='Visual SPC'!$C$4),OR('Visual SPC'!$E$4="",'Data Entry'!$C4200&lt;='Visual SPC'!$E$4),OR('Visual SPC'!$G$4="",'Data Entry'!$D4200='Visual SPC'!$G$4),OR('Visual SPC'!$I$4="",'Data Entry'!$E4200='Visual SPC'!$I$4),OR('Visual SPC'!$K$4="",'Data Entry'!$F4200='Visual SPC'!$K$4)),1,0))</f>
        <v/>
      </c>
      <c r="C4200">
        <f>C4199+B4200</f>
        <v/>
      </c>
      <c r="D4200">
        <f>IF(B4200=1,INDEX('Data Entry'!$H$5:$BE$10004,4200-4,'Visual SPC'!$B$3),"")</f>
        <v/>
      </c>
      <c r="E4200">
        <f>IF(B4200=1,D4200,E4199)</f>
        <v/>
      </c>
      <c r="F4200">
        <f>IF(AND(B4200=1,C4200&gt;1,E4199&lt;&gt;""),ABS(D4200-E4199),"")</f>
        <v/>
      </c>
    </row>
    <row r="4201">
      <c r="A4201" t="n">
        <v>4201</v>
      </c>
      <c r="B4201">
        <f>IF(INDEX('Data Entry'!$H$5:$BE$10004,4201-4,'Visual SPC'!$B$3)="",0,IF(AND(OR('Visual SPC'!$C$4="",'Data Entry'!$C4201&gt;='Visual SPC'!$C$4),OR('Visual SPC'!$E$4="",'Data Entry'!$C4201&lt;='Visual SPC'!$E$4),OR('Visual SPC'!$G$4="",'Data Entry'!$D4201='Visual SPC'!$G$4),OR('Visual SPC'!$I$4="",'Data Entry'!$E4201='Visual SPC'!$I$4),OR('Visual SPC'!$K$4="",'Data Entry'!$F4201='Visual SPC'!$K$4)),1,0))</f>
        <v/>
      </c>
      <c r="C4201">
        <f>C4200+B4201</f>
        <v/>
      </c>
      <c r="D4201">
        <f>IF(B4201=1,INDEX('Data Entry'!$H$5:$BE$10004,4201-4,'Visual SPC'!$B$3),"")</f>
        <v/>
      </c>
      <c r="E4201">
        <f>IF(B4201=1,D4201,E4200)</f>
        <v/>
      </c>
      <c r="F4201">
        <f>IF(AND(B4201=1,C4201&gt;1,E4200&lt;&gt;""),ABS(D4201-E4200),"")</f>
        <v/>
      </c>
    </row>
    <row r="4202">
      <c r="A4202" t="n">
        <v>4202</v>
      </c>
      <c r="B4202">
        <f>IF(INDEX('Data Entry'!$H$5:$BE$10004,4202-4,'Visual SPC'!$B$3)="",0,IF(AND(OR('Visual SPC'!$C$4="",'Data Entry'!$C4202&gt;='Visual SPC'!$C$4),OR('Visual SPC'!$E$4="",'Data Entry'!$C4202&lt;='Visual SPC'!$E$4),OR('Visual SPC'!$G$4="",'Data Entry'!$D4202='Visual SPC'!$G$4),OR('Visual SPC'!$I$4="",'Data Entry'!$E4202='Visual SPC'!$I$4),OR('Visual SPC'!$K$4="",'Data Entry'!$F4202='Visual SPC'!$K$4)),1,0))</f>
        <v/>
      </c>
      <c r="C4202">
        <f>C4201+B4202</f>
        <v/>
      </c>
      <c r="D4202">
        <f>IF(B4202=1,INDEX('Data Entry'!$H$5:$BE$10004,4202-4,'Visual SPC'!$B$3),"")</f>
        <v/>
      </c>
      <c r="E4202">
        <f>IF(B4202=1,D4202,E4201)</f>
        <v/>
      </c>
      <c r="F4202">
        <f>IF(AND(B4202=1,C4202&gt;1,E4201&lt;&gt;""),ABS(D4202-E4201),"")</f>
        <v/>
      </c>
    </row>
    <row r="4203">
      <c r="A4203" t="n">
        <v>4203</v>
      </c>
      <c r="B4203">
        <f>IF(INDEX('Data Entry'!$H$5:$BE$10004,4203-4,'Visual SPC'!$B$3)="",0,IF(AND(OR('Visual SPC'!$C$4="",'Data Entry'!$C4203&gt;='Visual SPC'!$C$4),OR('Visual SPC'!$E$4="",'Data Entry'!$C4203&lt;='Visual SPC'!$E$4),OR('Visual SPC'!$G$4="",'Data Entry'!$D4203='Visual SPC'!$G$4),OR('Visual SPC'!$I$4="",'Data Entry'!$E4203='Visual SPC'!$I$4),OR('Visual SPC'!$K$4="",'Data Entry'!$F4203='Visual SPC'!$K$4)),1,0))</f>
        <v/>
      </c>
      <c r="C4203">
        <f>C4202+B4203</f>
        <v/>
      </c>
      <c r="D4203">
        <f>IF(B4203=1,INDEX('Data Entry'!$H$5:$BE$10004,4203-4,'Visual SPC'!$B$3),"")</f>
        <v/>
      </c>
      <c r="E4203">
        <f>IF(B4203=1,D4203,E4202)</f>
        <v/>
      </c>
      <c r="F4203">
        <f>IF(AND(B4203=1,C4203&gt;1,E4202&lt;&gt;""),ABS(D4203-E4202),"")</f>
        <v/>
      </c>
    </row>
    <row r="4204">
      <c r="A4204" t="n">
        <v>4204</v>
      </c>
      <c r="B4204">
        <f>IF(INDEX('Data Entry'!$H$5:$BE$10004,4204-4,'Visual SPC'!$B$3)="",0,IF(AND(OR('Visual SPC'!$C$4="",'Data Entry'!$C4204&gt;='Visual SPC'!$C$4),OR('Visual SPC'!$E$4="",'Data Entry'!$C4204&lt;='Visual SPC'!$E$4),OR('Visual SPC'!$G$4="",'Data Entry'!$D4204='Visual SPC'!$G$4),OR('Visual SPC'!$I$4="",'Data Entry'!$E4204='Visual SPC'!$I$4),OR('Visual SPC'!$K$4="",'Data Entry'!$F4204='Visual SPC'!$K$4)),1,0))</f>
        <v/>
      </c>
      <c r="C4204">
        <f>C4203+B4204</f>
        <v/>
      </c>
      <c r="D4204">
        <f>IF(B4204=1,INDEX('Data Entry'!$H$5:$BE$10004,4204-4,'Visual SPC'!$B$3),"")</f>
        <v/>
      </c>
      <c r="E4204">
        <f>IF(B4204=1,D4204,E4203)</f>
        <v/>
      </c>
      <c r="F4204">
        <f>IF(AND(B4204=1,C4204&gt;1,E4203&lt;&gt;""),ABS(D4204-E4203),"")</f>
        <v/>
      </c>
    </row>
    <row r="4205">
      <c r="A4205" t="n">
        <v>4205</v>
      </c>
      <c r="B4205">
        <f>IF(INDEX('Data Entry'!$H$5:$BE$10004,4205-4,'Visual SPC'!$B$3)="",0,IF(AND(OR('Visual SPC'!$C$4="",'Data Entry'!$C4205&gt;='Visual SPC'!$C$4),OR('Visual SPC'!$E$4="",'Data Entry'!$C4205&lt;='Visual SPC'!$E$4),OR('Visual SPC'!$G$4="",'Data Entry'!$D4205='Visual SPC'!$G$4),OR('Visual SPC'!$I$4="",'Data Entry'!$E4205='Visual SPC'!$I$4),OR('Visual SPC'!$K$4="",'Data Entry'!$F4205='Visual SPC'!$K$4)),1,0))</f>
        <v/>
      </c>
      <c r="C4205">
        <f>C4204+B4205</f>
        <v/>
      </c>
      <c r="D4205">
        <f>IF(B4205=1,INDEX('Data Entry'!$H$5:$BE$10004,4205-4,'Visual SPC'!$B$3),"")</f>
        <v/>
      </c>
      <c r="E4205">
        <f>IF(B4205=1,D4205,E4204)</f>
        <v/>
      </c>
      <c r="F4205">
        <f>IF(AND(B4205=1,C4205&gt;1,E4204&lt;&gt;""),ABS(D4205-E4204),"")</f>
        <v/>
      </c>
    </row>
    <row r="4206">
      <c r="A4206" t="n">
        <v>4206</v>
      </c>
      <c r="B4206">
        <f>IF(INDEX('Data Entry'!$H$5:$BE$10004,4206-4,'Visual SPC'!$B$3)="",0,IF(AND(OR('Visual SPC'!$C$4="",'Data Entry'!$C4206&gt;='Visual SPC'!$C$4),OR('Visual SPC'!$E$4="",'Data Entry'!$C4206&lt;='Visual SPC'!$E$4),OR('Visual SPC'!$G$4="",'Data Entry'!$D4206='Visual SPC'!$G$4),OR('Visual SPC'!$I$4="",'Data Entry'!$E4206='Visual SPC'!$I$4),OR('Visual SPC'!$K$4="",'Data Entry'!$F4206='Visual SPC'!$K$4)),1,0))</f>
        <v/>
      </c>
      <c r="C4206">
        <f>C4205+B4206</f>
        <v/>
      </c>
      <c r="D4206">
        <f>IF(B4206=1,INDEX('Data Entry'!$H$5:$BE$10004,4206-4,'Visual SPC'!$B$3),"")</f>
        <v/>
      </c>
      <c r="E4206">
        <f>IF(B4206=1,D4206,E4205)</f>
        <v/>
      </c>
      <c r="F4206">
        <f>IF(AND(B4206=1,C4206&gt;1,E4205&lt;&gt;""),ABS(D4206-E4205),"")</f>
        <v/>
      </c>
    </row>
    <row r="4207">
      <c r="A4207" t="n">
        <v>4207</v>
      </c>
      <c r="B4207">
        <f>IF(INDEX('Data Entry'!$H$5:$BE$10004,4207-4,'Visual SPC'!$B$3)="",0,IF(AND(OR('Visual SPC'!$C$4="",'Data Entry'!$C4207&gt;='Visual SPC'!$C$4),OR('Visual SPC'!$E$4="",'Data Entry'!$C4207&lt;='Visual SPC'!$E$4),OR('Visual SPC'!$G$4="",'Data Entry'!$D4207='Visual SPC'!$G$4),OR('Visual SPC'!$I$4="",'Data Entry'!$E4207='Visual SPC'!$I$4),OR('Visual SPC'!$K$4="",'Data Entry'!$F4207='Visual SPC'!$K$4)),1,0))</f>
        <v/>
      </c>
      <c r="C4207">
        <f>C4206+B4207</f>
        <v/>
      </c>
      <c r="D4207">
        <f>IF(B4207=1,INDEX('Data Entry'!$H$5:$BE$10004,4207-4,'Visual SPC'!$B$3),"")</f>
        <v/>
      </c>
      <c r="E4207">
        <f>IF(B4207=1,D4207,E4206)</f>
        <v/>
      </c>
      <c r="F4207">
        <f>IF(AND(B4207=1,C4207&gt;1,E4206&lt;&gt;""),ABS(D4207-E4206),"")</f>
        <v/>
      </c>
    </row>
    <row r="4208">
      <c r="A4208" t="n">
        <v>4208</v>
      </c>
      <c r="B4208">
        <f>IF(INDEX('Data Entry'!$H$5:$BE$10004,4208-4,'Visual SPC'!$B$3)="",0,IF(AND(OR('Visual SPC'!$C$4="",'Data Entry'!$C4208&gt;='Visual SPC'!$C$4),OR('Visual SPC'!$E$4="",'Data Entry'!$C4208&lt;='Visual SPC'!$E$4),OR('Visual SPC'!$G$4="",'Data Entry'!$D4208='Visual SPC'!$G$4),OR('Visual SPC'!$I$4="",'Data Entry'!$E4208='Visual SPC'!$I$4),OR('Visual SPC'!$K$4="",'Data Entry'!$F4208='Visual SPC'!$K$4)),1,0))</f>
        <v/>
      </c>
      <c r="C4208">
        <f>C4207+B4208</f>
        <v/>
      </c>
      <c r="D4208">
        <f>IF(B4208=1,INDEX('Data Entry'!$H$5:$BE$10004,4208-4,'Visual SPC'!$B$3),"")</f>
        <v/>
      </c>
      <c r="E4208">
        <f>IF(B4208=1,D4208,E4207)</f>
        <v/>
      </c>
      <c r="F4208">
        <f>IF(AND(B4208=1,C4208&gt;1,E4207&lt;&gt;""),ABS(D4208-E4207),"")</f>
        <v/>
      </c>
    </row>
    <row r="4209">
      <c r="A4209" t="n">
        <v>4209</v>
      </c>
      <c r="B4209">
        <f>IF(INDEX('Data Entry'!$H$5:$BE$10004,4209-4,'Visual SPC'!$B$3)="",0,IF(AND(OR('Visual SPC'!$C$4="",'Data Entry'!$C4209&gt;='Visual SPC'!$C$4),OR('Visual SPC'!$E$4="",'Data Entry'!$C4209&lt;='Visual SPC'!$E$4),OR('Visual SPC'!$G$4="",'Data Entry'!$D4209='Visual SPC'!$G$4),OR('Visual SPC'!$I$4="",'Data Entry'!$E4209='Visual SPC'!$I$4),OR('Visual SPC'!$K$4="",'Data Entry'!$F4209='Visual SPC'!$K$4)),1,0))</f>
        <v/>
      </c>
      <c r="C4209">
        <f>C4208+B4209</f>
        <v/>
      </c>
      <c r="D4209">
        <f>IF(B4209=1,INDEX('Data Entry'!$H$5:$BE$10004,4209-4,'Visual SPC'!$B$3),"")</f>
        <v/>
      </c>
      <c r="E4209">
        <f>IF(B4209=1,D4209,E4208)</f>
        <v/>
      </c>
      <c r="F4209">
        <f>IF(AND(B4209=1,C4209&gt;1,E4208&lt;&gt;""),ABS(D4209-E4208),"")</f>
        <v/>
      </c>
    </row>
    <row r="4210">
      <c r="A4210" t="n">
        <v>4210</v>
      </c>
      <c r="B4210">
        <f>IF(INDEX('Data Entry'!$H$5:$BE$10004,4210-4,'Visual SPC'!$B$3)="",0,IF(AND(OR('Visual SPC'!$C$4="",'Data Entry'!$C4210&gt;='Visual SPC'!$C$4),OR('Visual SPC'!$E$4="",'Data Entry'!$C4210&lt;='Visual SPC'!$E$4),OR('Visual SPC'!$G$4="",'Data Entry'!$D4210='Visual SPC'!$G$4),OR('Visual SPC'!$I$4="",'Data Entry'!$E4210='Visual SPC'!$I$4),OR('Visual SPC'!$K$4="",'Data Entry'!$F4210='Visual SPC'!$K$4)),1,0))</f>
        <v/>
      </c>
      <c r="C4210">
        <f>C4209+B4210</f>
        <v/>
      </c>
      <c r="D4210">
        <f>IF(B4210=1,INDEX('Data Entry'!$H$5:$BE$10004,4210-4,'Visual SPC'!$B$3),"")</f>
        <v/>
      </c>
      <c r="E4210">
        <f>IF(B4210=1,D4210,E4209)</f>
        <v/>
      </c>
      <c r="F4210">
        <f>IF(AND(B4210=1,C4210&gt;1,E4209&lt;&gt;""),ABS(D4210-E4209),"")</f>
        <v/>
      </c>
    </row>
    <row r="4211">
      <c r="A4211" t="n">
        <v>4211</v>
      </c>
      <c r="B4211">
        <f>IF(INDEX('Data Entry'!$H$5:$BE$10004,4211-4,'Visual SPC'!$B$3)="",0,IF(AND(OR('Visual SPC'!$C$4="",'Data Entry'!$C4211&gt;='Visual SPC'!$C$4),OR('Visual SPC'!$E$4="",'Data Entry'!$C4211&lt;='Visual SPC'!$E$4),OR('Visual SPC'!$G$4="",'Data Entry'!$D4211='Visual SPC'!$G$4),OR('Visual SPC'!$I$4="",'Data Entry'!$E4211='Visual SPC'!$I$4),OR('Visual SPC'!$K$4="",'Data Entry'!$F4211='Visual SPC'!$K$4)),1,0))</f>
        <v/>
      </c>
      <c r="C4211">
        <f>C4210+B4211</f>
        <v/>
      </c>
      <c r="D4211">
        <f>IF(B4211=1,INDEX('Data Entry'!$H$5:$BE$10004,4211-4,'Visual SPC'!$B$3),"")</f>
        <v/>
      </c>
      <c r="E4211">
        <f>IF(B4211=1,D4211,E4210)</f>
        <v/>
      </c>
      <c r="F4211">
        <f>IF(AND(B4211=1,C4211&gt;1,E4210&lt;&gt;""),ABS(D4211-E4210),"")</f>
        <v/>
      </c>
    </row>
    <row r="4212">
      <c r="A4212" t="n">
        <v>4212</v>
      </c>
      <c r="B4212">
        <f>IF(INDEX('Data Entry'!$H$5:$BE$10004,4212-4,'Visual SPC'!$B$3)="",0,IF(AND(OR('Visual SPC'!$C$4="",'Data Entry'!$C4212&gt;='Visual SPC'!$C$4),OR('Visual SPC'!$E$4="",'Data Entry'!$C4212&lt;='Visual SPC'!$E$4),OR('Visual SPC'!$G$4="",'Data Entry'!$D4212='Visual SPC'!$G$4),OR('Visual SPC'!$I$4="",'Data Entry'!$E4212='Visual SPC'!$I$4),OR('Visual SPC'!$K$4="",'Data Entry'!$F4212='Visual SPC'!$K$4)),1,0))</f>
        <v/>
      </c>
      <c r="C4212">
        <f>C4211+B4212</f>
        <v/>
      </c>
      <c r="D4212">
        <f>IF(B4212=1,INDEX('Data Entry'!$H$5:$BE$10004,4212-4,'Visual SPC'!$B$3),"")</f>
        <v/>
      </c>
      <c r="E4212">
        <f>IF(B4212=1,D4212,E4211)</f>
        <v/>
      </c>
      <c r="F4212">
        <f>IF(AND(B4212=1,C4212&gt;1,E4211&lt;&gt;""),ABS(D4212-E4211),"")</f>
        <v/>
      </c>
    </row>
    <row r="4213">
      <c r="A4213" t="n">
        <v>4213</v>
      </c>
      <c r="B4213">
        <f>IF(INDEX('Data Entry'!$H$5:$BE$10004,4213-4,'Visual SPC'!$B$3)="",0,IF(AND(OR('Visual SPC'!$C$4="",'Data Entry'!$C4213&gt;='Visual SPC'!$C$4),OR('Visual SPC'!$E$4="",'Data Entry'!$C4213&lt;='Visual SPC'!$E$4),OR('Visual SPC'!$G$4="",'Data Entry'!$D4213='Visual SPC'!$G$4),OR('Visual SPC'!$I$4="",'Data Entry'!$E4213='Visual SPC'!$I$4),OR('Visual SPC'!$K$4="",'Data Entry'!$F4213='Visual SPC'!$K$4)),1,0))</f>
        <v/>
      </c>
      <c r="C4213">
        <f>C4212+B4213</f>
        <v/>
      </c>
      <c r="D4213">
        <f>IF(B4213=1,INDEX('Data Entry'!$H$5:$BE$10004,4213-4,'Visual SPC'!$B$3),"")</f>
        <v/>
      </c>
      <c r="E4213">
        <f>IF(B4213=1,D4213,E4212)</f>
        <v/>
      </c>
      <c r="F4213">
        <f>IF(AND(B4213=1,C4213&gt;1,E4212&lt;&gt;""),ABS(D4213-E4212),"")</f>
        <v/>
      </c>
    </row>
    <row r="4214">
      <c r="A4214" t="n">
        <v>4214</v>
      </c>
      <c r="B4214">
        <f>IF(INDEX('Data Entry'!$H$5:$BE$10004,4214-4,'Visual SPC'!$B$3)="",0,IF(AND(OR('Visual SPC'!$C$4="",'Data Entry'!$C4214&gt;='Visual SPC'!$C$4),OR('Visual SPC'!$E$4="",'Data Entry'!$C4214&lt;='Visual SPC'!$E$4),OR('Visual SPC'!$G$4="",'Data Entry'!$D4214='Visual SPC'!$G$4),OR('Visual SPC'!$I$4="",'Data Entry'!$E4214='Visual SPC'!$I$4),OR('Visual SPC'!$K$4="",'Data Entry'!$F4214='Visual SPC'!$K$4)),1,0))</f>
        <v/>
      </c>
      <c r="C4214">
        <f>C4213+B4214</f>
        <v/>
      </c>
      <c r="D4214">
        <f>IF(B4214=1,INDEX('Data Entry'!$H$5:$BE$10004,4214-4,'Visual SPC'!$B$3),"")</f>
        <v/>
      </c>
      <c r="E4214">
        <f>IF(B4214=1,D4214,E4213)</f>
        <v/>
      </c>
      <c r="F4214">
        <f>IF(AND(B4214=1,C4214&gt;1,E4213&lt;&gt;""),ABS(D4214-E4213),"")</f>
        <v/>
      </c>
    </row>
    <row r="4215">
      <c r="A4215" t="n">
        <v>4215</v>
      </c>
      <c r="B4215">
        <f>IF(INDEX('Data Entry'!$H$5:$BE$10004,4215-4,'Visual SPC'!$B$3)="",0,IF(AND(OR('Visual SPC'!$C$4="",'Data Entry'!$C4215&gt;='Visual SPC'!$C$4),OR('Visual SPC'!$E$4="",'Data Entry'!$C4215&lt;='Visual SPC'!$E$4),OR('Visual SPC'!$G$4="",'Data Entry'!$D4215='Visual SPC'!$G$4),OR('Visual SPC'!$I$4="",'Data Entry'!$E4215='Visual SPC'!$I$4),OR('Visual SPC'!$K$4="",'Data Entry'!$F4215='Visual SPC'!$K$4)),1,0))</f>
        <v/>
      </c>
      <c r="C4215">
        <f>C4214+B4215</f>
        <v/>
      </c>
      <c r="D4215">
        <f>IF(B4215=1,INDEX('Data Entry'!$H$5:$BE$10004,4215-4,'Visual SPC'!$B$3),"")</f>
        <v/>
      </c>
      <c r="E4215">
        <f>IF(B4215=1,D4215,E4214)</f>
        <v/>
      </c>
      <c r="F4215">
        <f>IF(AND(B4215=1,C4215&gt;1,E4214&lt;&gt;""),ABS(D4215-E4214),"")</f>
        <v/>
      </c>
    </row>
    <row r="4216">
      <c r="A4216" t="n">
        <v>4216</v>
      </c>
      <c r="B4216">
        <f>IF(INDEX('Data Entry'!$H$5:$BE$10004,4216-4,'Visual SPC'!$B$3)="",0,IF(AND(OR('Visual SPC'!$C$4="",'Data Entry'!$C4216&gt;='Visual SPC'!$C$4),OR('Visual SPC'!$E$4="",'Data Entry'!$C4216&lt;='Visual SPC'!$E$4),OR('Visual SPC'!$G$4="",'Data Entry'!$D4216='Visual SPC'!$G$4),OR('Visual SPC'!$I$4="",'Data Entry'!$E4216='Visual SPC'!$I$4),OR('Visual SPC'!$K$4="",'Data Entry'!$F4216='Visual SPC'!$K$4)),1,0))</f>
        <v/>
      </c>
      <c r="C4216">
        <f>C4215+B4216</f>
        <v/>
      </c>
      <c r="D4216">
        <f>IF(B4216=1,INDEX('Data Entry'!$H$5:$BE$10004,4216-4,'Visual SPC'!$B$3),"")</f>
        <v/>
      </c>
      <c r="E4216">
        <f>IF(B4216=1,D4216,E4215)</f>
        <v/>
      </c>
      <c r="F4216">
        <f>IF(AND(B4216=1,C4216&gt;1,E4215&lt;&gt;""),ABS(D4216-E4215),"")</f>
        <v/>
      </c>
    </row>
    <row r="4217">
      <c r="A4217" t="n">
        <v>4217</v>
      </c>
      <c r="B4217">
        <f>IF(INDEX('Data Entry'!$H$5:$BE$10004,4217-4,'Visual SPC'!$B$3)="",0,IF(AND(OR('Visual SPC'!$C$4="",'Data Entry'!$C4217&gt;='Visual SPC'!$C$4),OR('Visual SPC'!$E$4="",'Data Entry'!$C4217&lt;='Visual SPC'!$E$4),OR('Visual SPC'!$G$4="",'Data Entry'!$D4217='Visual SPC'!$G$4),OR('Visual SPC'!$I$4="",'Data Entry'!$E4217='Visual SPC'!$I$4),OR('Visual SPC'!$K$4="",'Data Entry'!$F4217='Visual SPC'!$K$4)),1,0))</f>
        <v/>
      </c>
      <c r="C4217">
        <f>C4216+B4217</f>
        <v/>
      </c>
      <c r="D4217">
        <f>IF(B4217=1,INDEX('Data Entry'!$H$5:$BE$10004,4217-4,'Visual SPC'!$B$3),"")</f>
        <v/>
      </c>
      <c r="E4217">
        <f>IF(B4217=1,D4217,E4216)</f>
        <v/>
      </c>
      <c r="F4217">
        <f>IF(AND(B4217=1,C4217&gt;1,E4216&lt;&gt;""),ABS(D4217-E4216),"")</f>
        <v/>
      </c>
    </row>
    <row r="4218">
      <c r="A4218" t="n">
        <v>4218</v>
      </c>
      <c r="B4218">
        <f>IF(INDEX('Data Entry'!$H$5:$BE$10004,4218-4,'Visual SPC'!$B$3)="",0,IF(AND(OR('Visual SPC'!$C$4="",'Data Entry'!$C4218&gt;='Visual SPC'!$C$4),OR('Visual SPC'!$E$4="",'Data Entry'!$C4218&lt;='Visual SPC'!$E$4),OR('Visual SPC'!$G$4="",'Data Entry'!$D4218='Visual SPC'!$G$4),OR('Visual SPC'!$I$4="",'Data Entry'!$E4218='Visual SPC'!$I$4),OR('Visual SPC'!$K$4="",'Data Entry'!$F4218='Visual SPC'!$K$4)),1,0))</f>
        <v/>
      </c>
      <c r="C4218">
        <f>C4217+B4218</f>
        <v/>
      </c>
      <c r="D4218">
        <f>IF(B4218=1,INDEX('Data Entry'!$H$5:$BE$10004,4218-4,'Visual SPC'!$B$3),"")</f>
        <v/>
      </c>
      <c r="E4218">
        <f>IF(B4218=1,D4218,E4217)</f>
        <v/>
      </c>
      <c r="F4218">
        <f>IF(AND(B4218=1,C4218&gt;1,E4217&lt;&gt;""),ABS(D4218-E4217),"")</f>
        <v/>
      </c>
    </row>
    <row r="4219">
      <c r="A4219" t="n">
        <v>4219</v>
      </c>
      <c r="B4219">
        <f>IF(INDEX('Data Entry'!$H$5:$BE$10004,4219-4,'Visual SPC'!$B$3)="",0,IF(AND(OR('Visual SPC'!$C$4="",'Data Entry'!$C4219&gt;='Visual SPC'!$C$4),OR('Visual SPC'!$E$4="",'Data Entry'!$C4219&lt;='Visual SPC'!$E$4),OR('Visual SPC'!$G$4="",'Data Entry'!$D4219='Visual SPC'!$G$4),OR('Visual SPC'!$I$4="",'Data Entry'!$E4219='Visual SPC'!$I$4),OR('Visual SPC'!$K$4="",'Data Entry'!$F4219='Visual SPC'!$K$4)),1,0))</f>
        <v/>
      </c>
      <c r="C4219">
        <f>C4218+B4219</f>
        <v/>
      </c>
      <c r="D4219">
        <f>IF(B4219=1,INDEX('Data Entry'!$H$5:$BE$10004,4219-4,'Visual SPC'!$B$3),"")</f>
        <v/>
      </c>
      <c r="E4219">
        <f>IF(B4219=1,D4219,E4218)</f>
        <v/>
      </c>
      <c r="F4219">
        <f>IF(AND(B4219=1,C4219&gt;1,E4218&lt;&gt;""),ABS(D4219-E4218),"")</f>
        <v/>
      </c>
    </row>
    <row r="4220">
      <c r="A4220" t="n">
        <v>4220</v>
      </c>
      <c r="B4220">
        <f>IF(INDEX('Data Entry'!$H$5:$BE$10004,4220-4,'Visual SPC'!$B$3)="",0,IF(AND(OR('Visual SPC'!$C$4="",'Data Entry'!$C4220&gt;='Visual SPC'!$C$4),OR('Visual SPC'!$E$4="",'Data Entry'!$C4220&lt;='Visual SPC'!$E$4),OR('Visual SPC'!$G$4="",'Data Entry'!$D4220='Visual SPC'!$G$4),OR('Visual SPC'!$I$4="",'Data Entry'!$E4220='Visual SPC'!$I$4),OR('Visual SPC'!$K$4="",'Data Entry'!$F4220='Visual SPC'!$K$4)),1,0))</f>
        <v/>
      </c>
      <c r="C4220">
        <f>C4219+B4220</f>
        <v/>
      </c>
      <c r="D4220">
        <f>IF(B4220=1,INDEX('Data Entry'!$H$5:$BE$10004,4220-4,'Visual SPC'!$B$3),"")</f>
        <v/>
      </c>
      <c r="E4220">
        <f>IF(B4220=1,D4220,E4219)</f>
        <v/>
      </c>
      <c r="F4220">
        <f>IF(AND(B4220=1,C4220&gt;1,E4219&lt;&gt;""),ABS(D4220-E4219),"")</f>
        <v/>
      </c>
    </row>
    <row r="4221">
      <c r="A4221" t="n">
        <v>4221</v>
      </c>
      <c r="B4221">
        <f>IF(INDEX('Data Entry'!$H$5:$BE$10004,4221-4,'Visual SPC'!$B$3)="",0,IF(AND(OR('Visual SPC'!$C$4="",'Data Entry'!$C4221&gt;='Visual SPC'!$C$4),OR('Visual SPC'!$E$4="",'Data Entry'!$C4221&lt;='Visual SPC'!$E$4),OR('Visual SPC'!$G$4="",'Data Entry'!$D4221='Visual SPC'!$G$4),OR('Visual SPC'!$I$4="",'Data Entry'!$E4221='Visual SPC'!$I$4),OR('Visual SPC'!$K$4="",'Data Entry'!$F4221='Visual SPC'!$K$4)),1,0))</f>
        <v/>
      </c>
      <c r="C4221">
        <f>C4220+B4221</f>
        <v/>
      </c>
      <c r="D4221">
        <f>IF(B4221=1,INDEX('Data Entry'!$H$5:$BE$10004,4221-4,'Visual SPC'!$B$3),"")</f>
        <v/>
      </c>
      <c r="E4221">
        <f>IF(B4221=1,D4221,E4220)</f>
        <v/>
      </c>
      <c r="F4221">
        <f>IF(AND(B4221=1,C4221&gt;1,E4220&lt;&gt;""),ABS(D4221-E4220),"")</f>
        <v/>
      </c>
    </row>
    <row r="4222">
      <c r="A4222" t="n">
        <v>4222</v>
      </c>
      <c r="B4222">
        <f>IF(INDEX('Data Entry'!$H$5:$BE$10004,4222-4,'Visual SPC'!$B$3)="",0,IF(AND(OR('Visual SPC'!$C$4="",'Data Entry'!$C4222&gt;='Visual SPC'!$C$4),OR('Visual SPC'!$E$4="",'Data Entry'!$C4222&lt;='Visual SPC'!$E$4),OR('Visual SPC'!$G$4="",'Data Entry'!$D4222='Visual SPC'!$G$4),OR('Visual SPC'!$I$4="",'Data Entry'!$E4222='Visual SPC'!$I$4),OR('Visual SPC'!$K$4="",'Data Entry'!$F4222='Visual SPC'!$K$4)),1,0))</f>
        <v/>
      </c>
      <c r="C4222">
        <f>C4221+B4222</f>
        <v/>
      </c>
      <c r="D4222">
        <f>IF(B4222=1,INDEX('Data Entry'!$H$5:$BE$10004,4222-4,'Visual SPC'!$B$3),"")</f>
        <v/>
      </c>
      <c r="E4222">
        <f>IF(B4222=1,D4222,E4221)</f>
        <v/>
      </c>
      <c r="F4222">
        <f>IF(AND(B4222=1,C4222&gt;1,E4221&lt;&gt;""),ABS(D4222-E4221),"")</f>
        <v/>
      </c>
    </row>
    <row r="4223">
      <c r="A4223" t="n">
        <v>4223</v>
      </c>
      <c r="B4223">
        <f>IF(INDEX('Data Entry'!$H$5:$BE$10004,4223-4,'Visual SPC'!$B$3)="",0,IF(AND(OR('Visual SPC'!$C$4="",'Data Entry'!$C4223&gt;='Visual SPC'!$C$4),OR('Visual SPC'!$E$4="",'Data Entry'!$C4223&lt;='Visual SPC'!$E$4),OR('Visual SPC'!$G$4="",'Data Entry'!$D4223='Visual SPC'!$G$4),OR('Visual SPC'!$I$4="",'Data Entry'!$E4223='Visual SPC'!$I$4),OR('Visual SPC'!$K$4="",'Data Entry'!$F4223='Visual SPC'!$K$4)),1,0))</f>
        <v/>
      </c>
      <c r="C4223">
        <f>C4222+B4223</f>
        <v/>
      </c>
      <c r="D4223">
        <f>IF(B4223=1,INDEX('Data Entry'!$H$5:$BE$10004,4223-4,'Visual SPC'!$B$3),"")</f>
        <v/>
      </c>
      <c r="E4223">
        <f>IF(B4223=1,D4223,E4222)</f>
        <v/>
      </c>
      <c r="F4223">
        <f>IF(AND(B4223=1,C4223&gt;1,E4222&lt;&gt;""),ABS(D4223-E4222),"")</f>
        <v/>
      </c>
    </row>
    <row r="4224">
      <c r="A4224" t="n">
        <v>4224</v>
      </c>
      <c r="B4224">
        <f>IF(INDEX('Data Entry'!$H$5:$BE$10004,4224-4,'Visual SPC'!$B$3)="",0,IF(AND(OR('Visual SPC'!$C$4="",'Data Entry'!$C4224&gt;='Visual SPC'!$C$4),OR('Visual SPC'!$E$4="",'Data Entry'!$C4224&lt;='Visual SPC'!$E$4),OR('Visual SPC'!$G$4="",'Data Entry'!$D4224='Visual SPC'!$G$4),OR('Visual SPC'!$I$4="",'Data Entry'!$E4224='Visual SPC'!$I$4),OR('Visual SPC'!$K$4="",'Data Entry'!$F4224='Visual SPC'!$K$4)),1,0))</f>
        <v/>
      </c>
      <c r="C4224">
        <f>C4223+B4224</f>
        <v/>
      </c>
      <c r="D4224">
        <f>IF(B4224=1,INDEX('Data Entry'!$H$5:$BE$10004,4224-4,'Visual SPC'!$B$3),"")</f>
        <v/>
      </c>
      <c r="E4224">
        <f>IF(B4224=1,D4224,E4223)</f>
        <v/>
      </c>
      <c r="F4224">
        <f>IF(AND(B4224=1,C4224&gt;1,E4223&lt;&gt;""),ABS(D4224-E4223),"")</f>
        <v/>
      </c>
    </row>
    <row r="4225">
      <c r="A4225" t="n">
        <v>4225</v>
      </c>
      <c r="B4225">
        <f>IF(INDEX('Data Entry'!$H$5:$BE$10004,4225-4,'Visual SPC'!$B$3)="",0,IF(AND(OR('Visual SPC'!$C$4="",'Data Entry'!$C4225&gt;='Visual SPC'!$C$4),OR('Visual SPC'!$E$4="",'Data Entry'!$C4225&lt;='Visual SPC'!$E$4),OR('Visual SPC'!$G$4="",'Data Entry'!$D4225='Visual SPC'!$G$4),OR('Visual SPC'!$I$4="",'Data Entry'!$E4225='Visual SPC'!$I$4),OR('Visual SPC'!$K$4="",'Data Entry'!$F4225='Visual SPC'!$K$4)),1,0))</f>
        <v/>
      </c>
      <c r="C4225">
        <f>C4224+B4225</f>
        <v/>
      </c>
      <c r="D4225">
        <f>IF(B4225=1,INDEX('Data Entry'!$H$5:$BE$10004,4225-4,'Visual SPC'!$B$3),"")</f>
        <v/>
      </c>
      <c r="E4225">
        <f>IF(B4225=1,D4225,E4224)</f>
        <v/>
      </c>
      <c r="F4225">
        <f>IF(AND(B4225=1,C4225&gt;1,E4224&lt;&gt;""),ABS(D4225-E4224),"")</f>
        <v/>
      </c>
    </row>
    <row r="4226">
      <c r="A4226" t="n">
        <v>4226</v>
      </c>
      <c r="B4226">
        <f>IF(INDEX('Data Entry'!$H$5:$BE$10004,4226-4,'Visual SPC'!$B$3)="",0,IF(AND(OR('Visual SPC'!$C$4="",'Data Entry'!$C4226&gt;='Visual SPC'!$C$4),OR('Visual SPC'!$E$4="",'Data Entry'!$C4226&lt;='Visual SPC'!$E$4),OR('Visual SPC'!$G$4="",'Data Entry'!$D4226='Visual SPC'!$G$4),OR('Visual SPC'!$I$4="",'Data Entry'!$E4226='Visual SPC'!$I$4),OR('Visual SPC'!$K$4="",'Data Entry'!$F4226='Visual SPC'!$K$4)),1,0))</f>
        <v/>
      </c>
      <c r="C4226">
        <f>C4225+B4226</f>
        <v/>
      </c>
      <c r="D4226">
        <f>IF(B4226=1,INDEX('Data Entry'!$H$5:$BE$10004,4226-4,'Visual SPC'!$B$3),"")</f>
        <v/>
      </c>
      <c r="E4226">
        <f>IF(B4226=1,D4226,E4225)</f>
        <v/>
      </c>
      <c r="F4226">
        <f>IF(AND(B4226=1,C4226&gt;1,E4225&lt;&gt;""),ABS(D4226-E4225),"")</f>
        <v/>
      </c>
    </row>
    <row r="4227">
      <c r="A4227" t="n">
        <v>4227</v>
      </c>
      <c r="B4227">
        <f>IF(INDEX('Data Entry'!$H$5:$BE$10004,4227-4,'Visual SPC'!$B$3)="",0,IF(AND(OR('Visual SPC'!$C$4="",'Data Entry'!$C4227&gt;='Visual SPC'!$C$4),OR('Visual SPC'!$E$4="",'Data Entry'!$C4227&lt;='Visual SPC'!$E$4),OR('Visual SPC'!$G$4="",'Data Entry'!$D4227='Visual SPC'!$G$4),OR('Visual SPC'!$I$4="",'Data Entry'!$E4227='Visual SPC'!$I$4),OR('Visual SPC'!$K$4="",'Data Entry'!$F4227='Visual SPC'!$K$4)),1,0))</f>
        <v/>
      </c>
      <c r="C4227">
        <f>C4226+B4227</f>
        <v/>
      </c>
      <c r="D4227">
        <f>IF(B4227=1,INDEX('Data Entry'!$H$5:$BE$10004,4227-4,'Visual SPC'!$B$3),"")</f>
        <v/>
      </c>
      <c r="E4227">
        <f>IF(B4227=1,D4227,E4226)</f>
        <v/>
      </c>
      <c r="F4227">
        <f>IF(AND(B4227=1,C4227&gt;1,E4226&lt;&gt;""),ABS(D4227-E4226),"")</f>
        <v/>
      </c>
    </row>
    <row r="4228">
      <c r="A4228" t="n">
        <v>4228</v>
      </c>
      <c r="B4228">
        <f>IF(INDEX('Data Entry'!$H$5:$BE$10004,4228-4,'Visual SPC'!$B$3)="",0,IF(AND(OR('Visual SPC'!$C$4="",'Data Entry'!$C4228&gt;='Visual SPC'!$C$4),OR('Visual SPC'!$E$4="",'Data Entry'!$C4228&lt;='Visual SPC'!$E$4),OR('Visual SPC'!$G$4="",'Data Entry'!$D4228='Visual SPC'!$G$4),OR('Visual SPC'!$I$4="",'Data Entry'!$E4228='Visual SPC'!$I$4),OR('Visual SPC'!$K$4="",'Data Entry'!$F4228='Visual SPC'!$K$4)),1,0))</f>
        <v/>
      </c>
      <c r="C4228">
        <f>C4227+B4228</f>
        <v/>
      </c>
      <c r="D4228">
        <f>IF(B4228=1,INDEX('Data Entry'!$H$5:$BE$10004,4228-4,'Visual SPC'!$B$3),"")</f>
        <v/>
      </c>
      <c r="E4228">
        <f>IF(B4228=1,D4228,E4227)</f>
        <v/>
      </c>
      <c r="F4228">
        <f>IF(AND(B4228=1,C4228&gt;1,E4227&lt;&gt;""),ABS(D4228-E4227),"")</f>
        <v/>
      </c>
    </row>
    <row r="4229">
      <c r="A4229" t="n">
        <v>4229</v>
      </c>
      <c r="B4229">
        <f>IF(INDEX('Data Entry'!$H$5:$BE$10004,4229-4,'Visual SPC'!$B$3)="",0,IF(AND(OR('Visual SPC'!$C$4="",'Data Entry'!$C4229&gt;='Visual SPC'!$C$4),OR('Visual SPC'!$E$4="",'Data Entry'!$C4229&lt;='Visual SPC'!$E$4),OR('Visual SPC'!$G$4="",'Data Entry'!$D4229='Visual SPC'!$G$4),OR('Visual SPC'!$I$4="",'Data Entry'!$E4229='Visual SPC'!$I$4),OR('Visual SPC'!$K$4="",'Data Entry'!$F4229='Visual SPC'!$K$4)),1,0))</f>
        <v/>
      </c>
      <c r="C4229">
        <f>C4228+B4229</f>
        <v/>
      </c>
      <c r="D4229">
        <f>IF(B4229=1,INDEX('Data Entry'!$H$5:$BE$10004,4229-4,'Visual SPC'!$B$3),"")</f>
        <v/>
      </c>
      <c r="E4229">
        <f>IF(B4229=1,D4229,E4228)</f>
        <v/>
      </c>
      <c r="F4229">
        <f>IF(AND(B4229=1,C4229&gt;1,E4228&lt;&gt;""),ABS(D4229-E4228),"")</f>
        <v/>
      </c>
    </row>
    <row r="4230">
      <c r="A4230" t="n">
        <v>4230</v>
      </c>
      <c r="B4230">
        <f>IF(INDEX('Data Entry'!$H$5:$BE$10004,4230-4,'Visual SPC'!$B$3)="",0,IF(AND(OR('Visual SPC'!$C$4="",'Data Entry'!$C4230&gt;='Visual SPC'!$C$4),OR('Visual SPC'!$E$4="",'Data Entry'!$C4230&lt;='Visual SPC'!$E$4),OR('Visual SPC'!$G$4="",'Data Entry'!$D4230='Visual SPC'!$G$4),OR('Visual SPC'!$I$4="",'Data Entry'!$E4230='Visual SPC'!$I$4),OR('Visual SPC'!$K$4="",'Data Entry'!$F4230='Visual SPC'!$K$4)),1,0))</f>
        <v/>
      </c>
      <c r="C4230">
        <f>C4229+B4230</f>
        <v/>
      </c>
      <c r="D4230">
        <f>IF(B4230=1,INDEX('Data Entry'!$H$5:$BE$10004,4230-4,'Visual SPC'!$B$3),"")</f>
        <v/>
      </c>
      <c r="E4230">
        <f>IF(B4230=1,D4230,E4229)</f>
        <v/>
      </c>
      <c r="F4230">
        <f>IF(AND(B4230=1,C4230&gt;1,E4229&lt;&gt;""),ABS(D4230-E4229),"")</f>
        <v/>
      </c>
    </row>
    <row r="4231">
      <c r="A4231" t="n">
        <v>4231</v>
      </c>
      <c r="B4231">
        <f>IF(INDEX('Data Entry'!$H$5:$BE$10004,4231-4,'Visual SPC'!$B$3)="",0,IF(AND(OR('Visual SPC'!$C$4="",'Data Entry'!$C4231&gt;='Visual SPC'!$C$4),OR('Visual SPC'!$E$4="",'Data Entry'!$C4231&lt;='Visual SPC'!$E$4),OR('Visual SPC'!$G$4="",'Data Entry'!$D4231='Visual SPC'!$G$4),OR('Visual SPC'!$I$4="",'Data Entry'!$E4231='Visual SPC'!$I$4),OR('Visual SPC'!$K$4="",'Data Entry'!$F4231='Visual SPC'!$K$4)),1,0))</f>
        <v/>
      </c>
      <c r="C4231">
        <f>C4230+B4231</f>
        <v/>
      </c>
      <c r="D4231">
        <f>IF(B4231=1,INDEX('Data Entry'!$H$5:$BE$10004,4231-4,'Visual SPC'!$B$3),"")</f>
        <v/>
      </c>
      <c r="E4231">
        <f>IF(B4231=1,D4231,E4230)</f>
        <v/>
      </c>
      <c r="F4231">
        <f>IF(AND(B4231=1,C4231&gt;1,E4230&lt;&gt;""),ABS(D4231-E4230),"")</f>
        <v/>
      </c>
    </row>
    <row r="4232">
      <c r="A4232" t="n">
        <v>4232</v>
      </c>
      <c r="B4232">
        <f>IF(INDEX('Data Entry'!$H$5:$BE$10004,4232-4,'Visual SPC'!$B$3)="",0,IF(AND(OR('Visual SPC'!$C$4="",'Data Entry'!$C4232&gt;='Visual SPC'!$C$4),OR('Visual SPC'!$E$4="",'Data Entry'!$C4232&lt;='Visual SPC'!$E$4),OR('Visual SPC'!$G$4="",'Data Entry'!$D4232='Visual SPC'!$G$4),OR('Visual SPC'!$I$4="",'Data Entry'!$E4232='Visual SPC'!$I$4),OR('Visual SPC'!$K$4="",'Data Entry'!$F4232='Visual SPC'!$K$4)),1,0))</f>
        <v/>
      </c>
      <c r="C4232">
        <f>C4231+B4232</f>
        <v/>
      </c>
      <c r="D4232">
        <f>IF(B4232=1,INDEX('Data Entry'!$H$5:$BE$10004,4232-4,'Visual SPC'!$B$3),"")</f>
        <v/>
      </c>
      <c r="E4232">
        <f>IF(B4232=1,D4232,E4231)</f>
        <v/>
      </c>
      <c r="F4232">
        <f>IF(AND(B4232=1,C4232&gt;1,E4231&lt;&gt;""),ABS(D4232-E4231),"")</f>
        <v/>
      </c>
    </row>
    <row r="4233">
      <c r="A4233" t="n">
        <v>4233</v>
      </c>
      <c r="B4233">
        <f>IF(INDEX('Data Entry'!$H$5:$BE$10004,4233-4,'Visual SPC'!$B$3)="",0,IF(AND(OR('Visual SPC'!$C$4="",'Data Entry'!$C4233&gt;='Visual SPC'!$C$4),OR('Visual SPC'!$E$4="",'Data Entry'!$C4233&lt;='Visual SPC'!$E$4),OR('Visual SPC'!$G$4="",'Data Entry'!$D4233='Visual SPC'!$G$4),OR('Visual SPC'!$I$4="",'Data Entry'!$E4233='Visual SPC'!$I$4),OR('Visual SPC'!$K$4="",'Data Entry'!$F4233='Visual SPC'!$K$4)),1,0))</f>
        <v/>
      </c>
      <c r="C4233">
        <f>C4232+B4233</f>
        <v/>
      </c>
      <c r="D4233">
        <f>IF(B4233=1,INDEX('Data Entry'!$H$5:$BE$10004,4233-4,'Visual SPC'!$B$3),"")</f>
        <v/>
      </c>
      <c r="E4233">
        <f>IF(B4233=1,D4233,E4232)</f>
        <v/>
      </c>
      <c r="F4233">
        <f>IF(AND(B4233=1,C4233&gt;1,E4232&lt;&gt;""),ABS(D4233-E4232),"")</f>
        <v/>
      </c>
    </row>
    <row r="4234">
      <c r="A4234" t="n">
        <v>4234</v>
      </c>
      <c r="B4234">
        <f>IF(INDEX('Data Entry'!$H$5:$BE$10004,4234-4,'Visual SPC'!$B$3)="",0,IF(AND(OR('Visual SPC'!$C$4="",'Data Entry'!$C4234&gt;='Visual SPC'!$C$4),OR('Visual SPC'!$E$4="",'Data Entry'!$C4234&lt;='Visual SPC'!$E$4),OR('Visual SPC'!$G$4="",'Data Entry'!$D4234='Visual SPC'!$G$4),OR('Visual SPC'!$I$4="",'Data Entry'!$E4234='Visual SPC'!$I$4),OR('Visual SPC'!$K$4="",'Data Entry'!$F4234='Visual SPC'!$K$4)),1,0))</f>
        <v/>
      </c>
      <c r="C4234">
        <f>C4233+B4234</f>
        <v/>
      </c>
      <c r="D4234">
        <f>IF(B4234=1,INDEX('Data Entry'!$H$5:$BE$10004,4234-4,'Visual SPC'!$B$3),"")</f>
        <v/>
      </c>
      <c r="E4234">
        <f>IF(B4234=1,D4234,E4233)</f>
        <v/>
      </c>
      <c r="F4234">
        <f>IF(AND(B4234=1,C4234&gt;1,E4233&lt;&gt;""),ABS(D4234-E4233),"")</f>
        <v/>
      </c>
    </row>
    <row r="4235">
      <c r="A4235" t="n">
        <v>4235</v>
      </c>
      <c r="B4235">
        <f>IF(INDEX('Data Entry'!$H$5:$BE$10004,4235-4,'Visual SPC'!$B$3)="",0,IF(AND(OR('Visual SPC'!$C$4="",'Data Entry'!$C4235&gt;='Visual SPC'!$C$4),OR('Visual SPC'!$E$4="",'Data Entry'!$C4235&lt;='Visual SPC'!$E$4),OR('Visual SPC'!$G$4="",'Data Entry'!$D4235='Visual SPC'!$G$4),OR('Visual SPC'!$I$4="",'Data Entry'!$E4235='Visual SPC'!$I$4),OR('Visual SPC'!$K$4="",'Data Entry'!$F4235='Visual SPC'!$K$4)),1,0))</f>
        <v/>
      </c>
      <c r="C4235">
        <f>C4234+B4235</f>
        <v/>
      </c>
      <c r="D4235">
        <f>IF(B4235=1,INDEX('Data Entry'!$H$5:$BE$10004,4235-4,'Visual SPC'!$B$3),"")</f>
        <v/>
      </c>
      <c r="E4235">
        <f>IF(B4235=1,D4235,E4234)</f>
        <v/>
      </c>
      <c r="F4235">
        <f>IF(AND(B4235=1,C4235&gt;1,E4234&lt;&gt;""),ABS(D4235-E4234),"")</f>
        <v/>
      </c>
    </row>
    <row r="4236">
      <c r="A4236" t="n">
        <v>4236</v>
      </c>
      <c r="B4236">
        <f>IF(INDEX('Data Entry'!$H$5:$BE$10004,4236-4,'Visual SPC'!$B$3)="",0,IF(AND(OR('Visual SPC'!$C$4="",'Data Entry'!$C4236&gt;='Visual SPC'!$C$4),OR('Visual SPC'!$E$4="",'Data Entry'!$C4236&lt;='Visual SPC'!$E$4),OR('Visual SPC'!$G$4="",'Data Entry'!$D4236='Visual SPC'!$G$4),OR('Visual SPC'!$I$4="",'Data Entry'!$E4236='Visual SPC'!$I$4),OR('Visual SPC'!$K$4="",'Data Entry'!$F4236='Visual SPC'!$K$4)),1,0))</f>
        <v/>
      </c>
      <c r="C4236">
        <f>C4235+B4236</f>
        <v/>
      </c>
      <c r="D4236">
        <f>IF(B4236=1,INDEX('Data Entry'!$H$5:$BE$10004,4236-4,'Visual SPC'!$B$3),"")</f>
        <v/>
      </c>
      <c r="E4236">
        <f>IF(B4236=1,D4236,E4235)</f>
        <v/>
      </c>
      <c r="F4236">
        <f>IF(AND(B4236=1,C4236&gt;1,E4235&lt;&gt;""),ABS(D4236-E4235),"")</f>
        <v/>
      </c>
    </row>
    <row r="4237">
      <c r="A4237" t="n">
        <v>4237</v>
      </c>
      <c r="B4237">
        <f>IF(INDEX('Data Entry'!$H$5:$BE$10004,4237-4,'Visual SPC'!$B$3)="",0,IF(AND(OR('Visual SPC'!$C$4="",'Data Entry'!$C4237&gt;='Visual SPC'!$C$4),OR('Visual SPC'!$E$4="",'Data Entry'!$C4237&lt;='Visual SPC'!$E$4),OR('Visual SPC'!$G$4="",'Data Entry'!$D4237='Visual SPC'!$G$4),OR('Visual SPC'!$I$4="",'Data Entry'!$E4237='Visual SPC'!$I$4),OR('Visual SPC'!$K$4="",'Data Entry'!$F4237='Visual SPC'!$K$4)),1,0))</f>
        <v/>
      </c>
      <c r="C4237">
        <f>C4236+B4237</f>
        <v/>
      </c>
      <c r="D4237">
        <f>IF(B4237=1,INDEX('Data Entry'!$H$5:$BE$10004,4237-4,'Visual SPC'!$B$3),"")</f>
        <v/>
      </c>
      <c r="E4237">
        <f>IF(B4237=1,D4237,E4236)</f>
        <v/>
      </c>
      <c r="F4237">
        <f>IF(AND(B4237=1,C4237&gt;1,E4236&lt;&gt;""),ABS(D4237-E4236),"")</f>
        <v/>
      </c>
    </row>
    <row r="4238">
      <c r="A4238" t="n">
        <v>4238</v>
      </c>
      <c r="B4238">
        <f>IF(INDEX('Data Entry'!$H$5:$BE$10004,4238-4,'Visual SPC'!$B$3)="",0,IF(AND(OR('Visual SPC'!$C$4="",'Data Entry'!$C4238&gt;='Visual SPC'!$C$4),OR('Visual SPC'!$E$4="",'Data Entry'!$C4238&lt;='Visual SPC'!$E$4),OR('Visual SPC'!$G$4="",'Data Entry'!$D4238='Visual SPC'!$G$4),OR('Visual SPC'!$I$4="",'Data Entry'!$E4238='Visual SPC'!$I$4),OR('Visual SPC'!$K$4="",'Data Entry'!$F4238='Visual SPC'!$K$4)),1,0))</f>
        <v/>
      </c>
      <c r="C4238">
        <f>C4237+B4238</f>
        <v/>
      </c>
      <c r="D4238">
        <f>IF(B4238=1,INDEX('Data Entry'!$H$5:$BE$10004,4238-4,'Visual SPC'!$B$3),"")</f>
        <v/>
      </c>
      <c r="E4238">
        <f>IF(B4238=1,D4238,E4237)</f>
        <v/>
      </c>
      <c r="F4238">
        <f>IF(AND(B4238=1,C4238&gt;1,E4237&lt;&gt;""),ABS(D4238-E4237),"")</f>
        <v/>
      </c>
    </row>
    <row r="4239">
      <c r="A4239" t="n">
        <v>4239</v>
      </c>
      <c r="B4239">
        <f>IF(INDEX('Data Entry'!$H$5:$BE$10004,4239-4,'Visual SPC'!$B$3)="",0,IF(AND(OR('Visual SPC'!$C$4="",'Data Entry'!$C4239&gt;='Visual SPC'!$C$4),OR('Visual SPC'!$E$4="",'Data Entry'!$C4239&lt;='Visual SPC'!$E$4),OR('Visual SPC'!$G$4="",'Data Entry'!$D4239='Visual SPC'!$G$4),OR('Visual SPC'!$I$4="",'Data Entry'!$E4239='Visual SPC'!$I$4),OR('Visual SPC'!$K$4="",'Data Entry'!$F4239='Visual SPC'!$K$4)),1,0))</f>
        <v/>
      </c>
      <c r="C4239">
        <f>C4238+B4239</f>
        <v/>
      </c>
      <c r="D4239">
        <f>IF(B4239=1,INDEX('Data Entry'!$H$5:$BE$10004,4239-4,'Visual SPC'!$B$3),"")</f>
        <v/>
      </c>
      <c r="E4239">
        <f>IF(B4239=1,D4239,E4238)</f>
        <v/>
      </c>
      <c r="F4239">
        <f>IF(AND(B4239=1,C4239&gt;1,E4238&lt;&gt;""),ABS(D4239-E4238),"")</f>
        <v/>
      </c>
    </row>
    <row r="4240">
      <c r="A4240" t="n">
        <v>4240</v>
      </c>
      <c r="B4240">
        <f>IF(INDEX('Data Entry'!$H$5:$BE$10004,4240-4,'Visual SPC'!$B$3)="",0,IF(AND(OR('Visual SPC'!$C$4="",'Data Entry'!$C4240&gt;='Visual SPC'!$C$4),OR('Visual SPC'!$E$4="",'Data Entry'!$C4240&lt;='Visual SPC'!$E$4),OR('Visual SPC'!$G$4="",'Data Entry'!$D4240='Visual SPC'!$G$4),OR('Visual SPC'!$I$4="",'Data Entry'!$E4240='Visual SPC'!$I$4),OR('Visual SPC'!$K$4="",'Data Entry'!$F4240='Visual SPC'!$K$4)),1,0))</f>
        <v/>
      </c>
      <c r="C4240">
        <f>C4239+B4240</f>
        <v/>
      </c>
      <c r="D4240">
        <f>IF(B4240=1,INDEX('Data Entry'!$H$5:$BE$10004,4240-4,'Visual SPC'!$B$3),"")</f>
        <v/>
      </c>
      <c r="E4240">
        <f>IF(B4240=1,D4240,E4239)</f>
        <v/>
      </c>
      <c r="F4240">
        <f>IF(AND(B4240=1,C4240&gt;1,E4239&lt;&gt;""),ABS(D4240-E4239),"")</f>
        <v/>
      </c>
    </row>
    <row r="4241">
      <c r="A4241" t="n">
        <v>4241</v>
      </c>
      <c r="B4241">
        <f>IF(INDEX('Data Entry'!$H$5:$BE$10004,4241-4,'Visual SPC'!$B$3)="",0,IF(AND(OR('Visual SPC'!$C$4="",'Data Entry'!$C4241&gt;='Visual SPC'!$C$4),OR('Visual SPC'!$E$4="",'Data Entry'!$C4241&lt;='Visual SPC'!$E$4),OR('Visual SPC'!$G$4="",'Data Entry'!$D4241='Visual SPC'!$G$4),OR('Visual SPC'!$I$4="",'Data Entry'!$E4241='Visual SPC'!$I$4),OR('Visual SPC'!$K$4="",'Data Entry'!$F4241='Visual SPC'!$K$4)),1,0))</f>
        <v/>
      </c>
      <c r="C4241">
        <f>C4240+B4241</f>
        <v/>
      </c>
      <c r="D4241">
        <f>IF(B4241=1,INDEX('Data Entry'!$H$5:$BE$10004,4241-4,'Visual SPC'!$B$3),"")</f>
        <v/>
      </c>
      <c r="E4241">
        <f>IF(B4241=1,D4241,E4240)</f>
        <v/>
      </c>
      <c r="F4241">
        <f>IF(AND(B4241=1,C4241&gt;1,E4240&lt;&gt;""),ABS(D4241-E4240),"")</f>
        <v/>
      </c>
    </row>
    <row r="4242">
      <c r="A4242" t="n">
        <v>4242</v>
      </c>
      <c r="B4242">
        <f>IF(INDEX('Data Entry'!$H$5:$BE$10004,4242-4,'Visual SPC'!$B$3)="",0,IF(AND(OR('Visual SPC'!$C$4="",'Data Entry'!$C4242&gt;='Visual SPC'!$C$4),OR('Visual SPC'!$E$4="",'Data Entry'!$C4242&lt;='Visual SPC'!$E$4),OR('Visual SPC'!$G$4="",'Data Entry'!$D4242='Visual SPC'!$G$4),OR('Visual SPC'!$I$4="",'Data Entry'!$E4242='Visual SPC'!$I$4),OR('Visual SPC'!$K$4="",'Data Entry'!$F4242='Visual SPC'!$K$4)),1,0))</f>
        <v/>
      </c>
      <c r="C4242">
        <f>C4241+B4242</f>
        <v/>
      </c>
      <c r="D4242">
        <f>IF(B4242=1,INDEX('Data Entry'!$H$5:$BE$10004,4242-4,'Visual SPC'!$B$3),"")</f>
        <v/>
      </c>
      <c r="E4242">
        <f>IF(B4242=1,D4242,E4241)</f>
        <v/>
      </c>
      <c r="F4242">
        <f>IF(AND(B4242=1,C4242&gt;1,E4241&lt;&gt;""),ABS(D4242-E4241),"")</f>
        <v/>
      </c>
    </row>
    <row r="4243">
      <c r="A4243" t="n">
        <v>4243</v>
      </c>
      <c r="B4243">
        <f>IF(INDEX('Data Entry'!$H$5:$BE$10004,4243-4,'Visual SPC'!$B$3)="",0,IF(AND(OR('Visual SPC'!$C$4="",'Data Entry'!$C4243&gt;='Visual SPC'!$C$4),OR('Visual SPC'!$E$4="",'Data Entry'!$C4243&lt;='Visual SPC'!$E$4),OR('Visual SPC'!$G$4="",'Data Entry'!$D4243='Visual SPC'!$G$4),OR('Visual SPC'!$I$4="",'Data Entry'!$E4243='Visual SPC'!$I$4),OR('Visual SPC'!$K$4="",'Data Entry'!$F4243='Visual SPC'!$K$4)),1,0))</f>
        <v/>
      </c>
      <c r="C4243">
        <f>C4242+B4243</f>
        <v/>
      </c>
      <c r="D4243">
        <f>IF(B4243=1,INDEX('Data Entry'!$H$5:$BE$10004,4243-4,'Visual SPC'!$B$3),"")</f>
        <v/>
      </c>
      <c r="E4243">
        <f>IF(B4243=1,D4243,E4242)</f>
        <v/>
      </c>
      <c r="F4243">
        <f>IF(AND(B4243=1,C4243&gt;1,E4242&lt;&gt;""),ABS(D4243-E4242),"")</f>
        <v/>
      </c>
    </row>
    <row r="4244">
      <c r="A4244" t="n">
        <v>4244</v>
      </c>
      <c r="B4244">
        <f>IF(INDEX('Data Entry'!$H$5:$BE$10004,4244-4,'Visual SPC'!$B$3)="",0,IF(AND(OR('Visual SPC'!$C$4="",'Data Entry'!$C4244&gt;='Visual SPC'!$C$4),OR('Visual SPC'!$E$4="",'Data Entry'!$C4244&lt;='Visual SPC'!$E$4),OR('Visual SPC'!$G$4="",'Data Entry'!$D4244='Visual SPC'!$G$4),OR('Visual SPC'!$I$4="",'Data Entry'!$E4244='Visual SPC'!$I$4),OR('Visual SPC'!$K$4="",'Data Entry'!$F4244='Visual SPC'!$K$4)),1,0))</f>
        <v/>
      </c>
      <c r="C4244">
        <f>C4243+B4244</f>
        <v/>
      </c>
      <c r="D4244">
        <f>IF(B4244=1,INDEX('Data Entry'!$H$5:$BE$10004,4244-4,'Visual SPC'!$B$3),"")</f>
        <v/>
      </c>
      <c r="E4244">
        <f>IF(B4244=1,D4244,E4243)</f>
        <v/>
      </c>
      <c r="F4244">
        <f>IF(AND(B4244=1,C4244&gt;1,E4243&lt;&gt;""),ABS(D4244-E4243),"")</f>
        <v/>
      </c>
    </row>
    <row r="4245">
      <c r="A4245" t="n">
        <v>4245</v>
      </c>
      <c r="B4245">
        <f>IF(INDEX('Data Entry'!$H$5:$BE$10004,4245-4,'Visual SPC'!$B$3)="",0,IF(AND(OR('Visual SPC'!$C$4="",'Data Entry'!$C4245&gt;='Visual SPC'!$C$4),OR('Visual SPC'!$E$4="",'Data Entry'!$C4245&lt;='Visual SPC'!$E$4),OR('Visual SPC'!$G$4="",'Data Entry'!$D4245='Visual SPC'!$G$4),OR('Visual SPC'!$I$4="",'Data Entry'!$E4245='Visual SPC'!$I$4),OR('Visual SPC'!$K$4="",'Data Entry'!$F4245='Visual SPC'!$K$4)),1,0))</f>
        <v/>
      </c>
      <c r="C4245">
        <f>C4244+B4245</f>
        <v/>
      </c>
      <c r="D4245">
        <f>IF(B4245=1,INDEX('Data Entry'!$H$5:$BE$10004,4245-4,'Visual SPC'!$B$3),"")</f>
        <v/>
      </c>
      <c r="E4245">
        <f>IF(B4245=1,D4245,E4244)</f>
        <v/>
      </c>
      <c r="F4245">
        <f>IF(AND(B4245=1,C4245&gt;1,E4244&lt;&gt;""),ABS(D4245-E4244),"")</f>
        <v/>
      </c>
    </row>
    <row r="4246">
      <c r="A4246" t="n">
        <v>4246</v>
      </c>
      <c r="B4246">
        <f>IF(INDEX('Data Entry'!$H$5:$BE$10004,4246-4,'Visual SPC'!$B$3)="",0,IF(AND(OR('Visual SPC'!$C$4="",'Data Entry'!$C4246&gt;='Visual SPC'!$C$4),OR('Visual SPC'!$E$4="",'Data Entry'!$C4246&lt;='Visual SPC'!$E$4),OR('Visual SPC'!$G$4="",'Data Entry'!$D4246='Visual SPC'!$G$4),OR('Visual SPC'!$I$4="",'Data Entry'!$E4246='Visual SPC'!$I$4),OR('Visual SPC'!$K$4="",'Data Entry'!$F4246='Visual SPC'!$K$4)),1,0))</f>
        <v/>
      </c>
      <c r="C4246">
        <f>C4245+B4246</f>
        <v/>
      </c>
      <c r="D4246">
        <f>IF(B4246=1,INDEX('Data Entry'!$H$5:$BE$10004,4246-4,'Visual SPC'!$B$3),"")</f>
        <v/>
      </c>
      <c r="E4246">
        <f>IF(B4246=1,D4246,E4245)</f>
        <v/>
      </c>
      <c r="F4246">
        <f>IF(AND(B4246=1,C4246&gt;1,E4245&lt;&gt;""),ABS(D4246-E4245),"")</f>
        <v/>
      </c>
    </row>
    <row r="4247">
      <c r="A4247" t="n">
        <v>4247</v>
      </c>
      <c r="B4247">
        <f>IF(INDEX('Data Entry'!$H$5:$BE$10004,4247-4,'Visual SPC'!$B$3)="",0,IF(AND(OR('Visual SPC'!$C$4="",'Data Entry'!$C4247&gt;='Visual SPC'!$C$4),OR('Visual SPC'!$E$4="",'Data Entry'!$C4247&lt;='Visual SPC'!$E$4),OR('Visual SPC'!$G$4="",'Data Entry'!$D4247='Visual SPC'!$G$4),OR('Visual SPC'!$I$4="",'Data Entry'!$E4247='Visual SPC'!$I$4),OR('Visual SPC'!$K$4="",'Data Entry'!$F4247='Visual SPC'!$K$4)),1,0))</f>
        <v/>
      </c>
      <c r="C4247">
        <f>C4246+B4247</f>
        <v/>
      </c>
      <c r="D4247">
        <f>IF(B4247=1,INDEX('Data Entry'!$H$5:$BE$10004,4247-4,'Visual SPC'!$B$3),"")</f>
        <v/>
      </c>
      <c r="E4247">
        <f>IF(B4247=1,D4247,E4246)</f>
        <v/>
      </c>
      <c r="F4247">
        <f>IF(AND(B4247=1,C4247&gt;1,E4246&lt;&gt;""),ABS(D4247-E4246),"")</f>
        <v/>
      </c>
    </row>
    <row r="4248">
      <c r="A4248" t="n">
        <v>4248</v>
      </c>
      <c r="B4248">
        <f>IF(INDEX('Data Entry'!$H$5:$BE$10004,4248-4,'Visual SPC'!$B$3)="",0,IF(AND(OR('Visual SPC'!$C$4="",'Data Entry'!$C4248&gt;='Visual SPC'!$C$4),OR('Visual SPC'!$E$4="",'Data Entry'!$C4248&lt;='Visual SPC'!$E$4),OR('Visual SPC'!$G$4="",'Data Entry'!$D4248='Visual SPC'!$G$4),OR('Visual SPC'!$I$4="",'Data Entry'!$E4248='Visual SPC'!$I$4),OR('Visual SPC'!$K$4="",'Data Entry'!$F4248='Visual SPC'!$K$4)),1,0))</f>
        <v/>
      </c>
      <c r="C4248">
        <f>C4247+B4248</f>
        <v/>
      </c>
      <c r="D4248">
        <f>IF(B4248=1,INDEX('Data Entry'!$H$5:$BE$10004,4248-4,'Visual SPC'!$B$3),"")</f>
        <v/>
      </c>
      <c r="E4248">
        <f>IF(B4248=1,D4248,E4247)</f>
        <v/>
      </c>
      <c r="F4248">
        <f>IF(AND(B4248=1,C4248&gt;1,E4247&lt;&gt;""),ABS(D4248-E4247),"")</f>
        <v/>
      </c>
    </row>
    <row r="4249">
      <c r="A4249" t="n">
        <v>4249</v>
      </c>
      <c r="B4249">
        <f>IF(INDEX('Data Entry'!$H$5:$BE$10004,4249-4,'Visual SPC'!$B$3)="",0,IF(AND(OR('Visual SPC'!$C$4="",'Data Entry'!$C4249&gt;='Visual SPC'!$C$4),OR('Visual SPC'!$E$4="",'Data Entry'!$C4249&lt;='Visual SPC'!$E$4),OR('Visual SPC'!$G$4="",'Data Entry'!$D4249='Visual SPC'!$G$4),OR('Visual SPC'!$I$4="",'Data Entry'!$E4249='Visual SPC'!$I$4),OR('Visual SPC'!$K$4="",'Data Entry'!$F4249='Visual SPC'!$K$4)),1,0))</f>
        <v/>
      </c>
      <c r="C4249">
        <f>C4248+B4249</f>
        <v/>
      </c>
      <c r="D4249">
        <f>IF(B4249=1,INDEX('Data Entry'!$H$5:$BE$10004,4249-4,'Visual SPC'!$B$3),"")</f>
        <v/>
      </c>
      <c r="E4249">
        <f>IF(B4249=1,D4249,E4248)</f>
        <v/>
      </c>
      <c r="F4249">
        <f>IF(AND(B4249=1,C4249&gt;1,E4248&lt;&gt;""),ABS(D4249-E4248),"")</f>
        <v/>
      </c>
    </row>
    <row r="4250">
      <c r="A4250" t="n">
        <v>4250</v>
      </c>
      <c r="B4250">
        <f>IF(INDEX('Data Entry'!$H$5:$BE$10004,4250-4,'Visual SPC'!$B$3)="",0,IF(AND(OR('Visual SPC'!$C$4="",'Data Entry'!$C4250&gt;='Visual SPC'!$C$4),OR('Visual SPC'!$E$4="",'Data Entry'!$C4250&lt;='Visual SPC'!$E$4),OR('Visual SPC'!$G$4="",'Data Entry'!$D4250='Visual SPC'!$G$4),OR('Visual SPC'!$I$4="",'Data Entry'!$E4250='Visual SPC'!$I$4),OR('Visual SPC'!$K$4="",'Data Entry'!$F4250='Visual SPC'!$K$4)),1,0))</f>
        <v/>
      </c>
      <c r="C4250">
        <f>C4249+B4250</f>
        <v/>
      </c>
      <c r="D4250">
        <f>IF(B4250=1,INDEX('Data Entry'!$H$5:$BE$10004,4250-4,'Visual SPC'!$B$3),"")</f>
        <v/>
      </c>
      <c r="E4250">
        <f>IF(B4250=1,D4250,E4249)</f>
        <v/>
      </c>
      <c r="F4250">
        <f>IF(AND(B4250=1,C4250&gt;1,E4249&lt;&gt;""),ABS(D4250-E4249),"")</f>
        <v/>
      </c>
    </row>
    <row r="4251">
      <c r="A4251" t="n">
        <v>4251</v>
      </c>
      <c r="B4251">
        <f>IF(INDEX('Data Entry'!$H$5:$BE$10004,4251-4,'Visual SPC'!$B$3)="",0,IF(AND(OR('Visual SPC'!$C$4="",'Data Entry'!$C4251&gt;='Visual SPC'!$C$4),OR('Visual SPC'!$E$4="",'Data Entry'!$C4251&lt;='Visual SPC'!$E$4),OR('Visual SPC'!$G$4="",'Data Entry'!$D4251='Visual SPC'!$G$4),OR('Visual SPC'!$I$4="",'Data Entry'!$E4251='Visual SPC'!$I$4),OR('Visual SPC'!$K$4="",'Data Entry'!$F4251='Visual SPC'!$K$4)),1,0))</f>
        <v/>
      </c>
      <c r="C4251">
        <f>C4250+B4251</f>
        <v/>
      </c>
      <c r="D4251">
        <f>IF(B4251=1,INDEX('Data Entry'!$H$5:$BE$10004,4251-4,'Visual SPC'!$B$3),"")</f>
        <v/>
      </c>
      <c r="E4251">
        <f>IF(B4251=1,D4251,E4250)</f>
        <v/>
      </c>
      <c r="F4251">
        <f>IF(AND(B4251=1,C4251&gt;1,E4250&lt;&gt;""),ABS(D4251-E4250),"")</f>
        <v/>
      </c>
    </row>
    <row r="4252">
      <c r="A4252" t="n">
        <v>4252</v>
      </c>
      <c r="B4252">
        <f>IF(INDEX('Data Entry'!$H$5:$BE$10004,4252-4,'Visual SPC'!$B$3)="",0,IF(AND(OR('Visual SPC'!$C$4="",'Data Entry'!$C4252&gt;='Visual SPC'!$C$4),OR('Visual SPC'!$E$4="",'Data Entry'!$C4252&lt;='Visual SPC'!$E$4),OR('Visual SPC'!$G$4="",'Data Entry'!$D4252='Visual SPC'!$G$4),OR('Visual SPC'!$I$4="",'Data Entry'!$E4252='Visual SPC'!$I$4),OR('Visual SPC'!$K$4="",'Data Entry'!$F4252='Visual SPC'!$K$4)),1,0))</f>
        <v/>
      </c>
      <c r="C4252">
        <f>C4251+B4252</f>
        <v/>
      </c>
      <c r="D4252">
        <f>IF(B4252=1,INDEX('Data Entry'!$H$5:$BE$10004,4252-4,'Visual SPC'!$B$3),"")</f>
        <v/>
      </c>
      <c r="E4252">
        <f>IF(B4252=1,D4252,E4251)</f>
        <v/>
      </c>
      <c r="F4252">
        <f>IF(AND(B4252=1,C4252&gt;1,E4251&lt;&gt;""),ABS(D4252-E4251),"")</f>
        <v/>
      </c>
    </row>
    <row r="4253">
      <c r="A4253" t="n">
        <v>4253</v>
      </c>
      <c r="B4253">
        <f>IF(INDEX('Data Entry'!$H$5:$BE$10004,4253-4,'Visual SPC'!$B$3)="",0,IF(AND(OR('Visual SPC'!$C$4="",'Data Entry'!$C4253&gt;='Visual SPC'!$C$4),OR('Visual SPC'!$E$4="",'Data Entry'!$C4253&lt;='Visual SPC'!$E$4),OR('Visual SPC'!$G$4="",'Data Entry'!$D4253='Visual SPC'!$G$4),OR('Visual SPC'!$I$4="",'Data Entry'!$E4253='Visual SPC'!$I$4),OR('Visual SPC'!$K$4="",'Data Entry'!$F4253='Visual SPC'!$K$4)),1,0))</f>
        <v/>
      </c>
      <c r="C4253">
        <f>C4252+B4253</f>
        <v/>
      </c>
      <c r="D4253">
        <f>IF(B4253=1,INDEX('Data Entry'!$H$5:$BE$10004,4253-4,'Visual SPC'!$B$3),"")</f>
        <v/>
      </c>
      <c r="E4253">
        <f>IF(B4253=1,D4253,E4252)</f>
        <v/>
      </c>
      <c r="F4253">
        <f>IF(AND(B4253=1,C4253&gt;1,E4252&lt;&gt;""),ABS(D4253-E4252),"")</f>
        <v/>
      </c>
    </row>
    <row r="4254">
      <c r="A4254" t="n">
        <v>4254</v>
      </c>
      <c r="B4254">
        <f>IF(INDEX('Data Entry'!$H$5:$BE$10004,4254-4,'Visual SPC'!$B$3)="",0,IF(AND(OR('Visual SPC'!$C$4="",'Data Entry'!$C4254&gt;='Visual SPC'!$C$4),OR('Visual SPC'!$E$4="",'Data Entry'!$C4254&lt;='Visual SPC'!$E$4),OR('Visual SPC'!$G$4="",'Data Entry'!$D4254='Visual SPC'!$G$4),OR('Visual SPC'!$I$4="",'Data Entry'!$E4254='Visual SPC'!$I$4),OR('Visual SPC'!$K$4="",'Data Entry'!$F4254='Visual SPC'!$K$4)),1,0))</f>
        <v/>
      </c>
      <c r="C4254">
        <f>C4253+B4254</f>
        <v/>
      </c>
      <c r="D4254">
        <f>IF(B4254=1,INDEX('Data Entry'!$H$5:$BE$10004,4254-4,'Visual SPC'!$B$3),"")</f>
        <v/>
      </c>
      <c r="E4254">
        <f>IF(B4254=1,D4254,E4253)</f>
        <v/>
      </c>
      <c r="F4254">
        <f>IF(AND(B4254=1,C4254&gt;1,E4253&lt;&gt;""),ABS(D4254-E4253),"")</f>
        <v/>
      </c>
    </row>
    <row r="4255">
      <c r="A4255" t="n">
        <v>4255</v>
      </c>
      <c r="B4255">
        <f>IF(INDEX('Data Entry'!$H$5:$BE$10004,4255-4,'Visual SPC'!$B$3)="",0,IF(AND(OR('Visual SPC'!$C$4="",'Data Entry'!$C4255&gt;='Visual SPC'!$C$4),OR('Visual SPC'!$E$4="",'Data Entry'!$C4255&lt;='Visual SPC'!$E$4),OR('Visual SPC'!$G$4="",'Data Entry'!$D4255='Visual SPC'!$G$4),OR('Visual SPC'!$I$4="",'Data Entry'!$E4255='Visual SPC'!$I$4),OR('Visual SPC'!$K$4="",'Data Entry'!$F4255='Visual SPC'!$K$4)),1,0))</f>
        <v/>
      </c>
      <c r="C4255">
        <f>C4254+B4255</f>
        <v/>
      </c>
      <c r="D4255">
        <f>IF(B4255=1,INDEX('Data Entry'!$H$5:$BE$10004,4255-4,'Visual SPC'!$B$3),"")</f>
        <v/>
      </c>
      <c r="E4255">
        <f>IF(B4255=1,D4255,E4254)</f>
        <v/>
      </c>
      <c r="F4255">
        <f>IF(AND(B4255=1,C4255&gt;1,E4254&lt;&gt;""),ABS(D4255-E4254),"")</f>
        <v/>
      </c>
    </row>
    <row r="4256">
      <c r="A4256" t="n">
        <v>4256</v>
      </c>
      <c r="B4256">
        <f>IF(INDEX('Data Entry'!$H$5:$BE$10004,4256-4,'Visual SPC'!$B$3)="",0,IF(AND(OR('Visual SPC'!$C$4="",'Data Entry'!$C4256&gt;='Visual SPC'!$C$4),OR('Visual SPC'!$E$4="",'Data Entry'!$C4256&lt;='Visual SPC'!$E$4),OR('Visual SPC'!$G$4="",'Data Entry'!$D4256='Visual SPC'!$G$4),OR('Visual SPC'!$I$4="",'Data Entry'!$E4256='Visual SPC'!$I$4),OR('Visual SPC'!$K$4="",'Data Entry'!$F4256='Visual SPC'!$K$4)),1,0))</f>
        <v/>
      </c>
      <c r="C4256">
        <f>C4255+B4256</f>
        <v/>
      </c>
      <c r="D4256">
        <f>IF(B4256=1,INDEX('Data Entry'!$H$5:$BE$10004,4256-4,'Visual SPC'!$B$3),"")</f>
        <v/>
      </c>
      <c r="E4256">
        <f>IF(B4256=1,D4256,E4255)</f>
        <v/>
      </c>
      <c r="F4256">
        <f>IF(AND(B4256=1,C4256&gt;1,E4255&lt;&gt;""),ABS(D4256-E4255),"")</f>
        <v/>
      </c>
    </row>
    <row r="4257">
      <c r="A4257" t="n">
        <v>4257</v>
      </c>
      <c r="B4257">
        <f>IF(INDEX('Data Entry'!$H$5:$BE$10004,4257-4,'Visual SPC'!$B$3)="",0,IF(AND(OR('Visual SPC'!$C$4="",'Data Entry'!$C4257&gt;='Visual SPC'!$C$4),OR('Visual SPC'!$E$4="",'Data Entry'!$C4257&lt;='Visual SPC'!$E$4),OR('Visual SPC'!$G$4="",'Data Entry'!$D4257='Visual SPC'!$G$4),OR('Visual SPC'!$I$4="",'Data Entry'!$E4257='Visual SPC'!$I$4),OR('Visual SPC'!$K$4="",'Data Entry'!$F4257='Visual SPC'!$K$4)),1,0))</f>
        <v/>
      </c>
      <c r="C4257">
        <f>C4256+B4257</f>
        <v/>
      </c>
      <c r="D4257">
        <f>IF(B4257=1,INDEX('Data Entry'!$H$5:$BE$10004,4257-4,'Visual SPC'!$B$3),"")</f>
        <v/>
      </c>
      <c r="E4257">
        <f>IF(B4257=1,D4257,E4256)</f>
        <v/>
      </c>
      <c r="F4257">
        <f>IF(AND(B4257=1,C4257&gt;1,E4256&lt;&gt;""),ABS(D4257-E4256),"")</f>
        <v/>
      </c>
    </row>
    <row r="4258">
      <c r="A4258" t="n">
        <v>4258</v>
      </c>
      <c r="B4258">
        <f>IF(INDEX('Data Entry'!$H$5:$BE$10004,4258-4,'Visual SPC'!$B$3)="",0,IF(AND(OR('Visual SPC'!$C$4="",'Data Entry'!$C4258&gt;='Visual SPC'!$C$4),OR('Visual SPC'!$E$4="",'Data Entry'!$C4258&lt;='Visual SPC'!$E$4),OR('Visual SPC'!$G$4="",'Data Entry'!$D4258='Visual SPC'!$G$4),OR('Visual SPC'!$I$4="",'Data Entry'!$E4258='Visual SPC'!$I$4),OR('Visual SPC'!$K$4="",'Data Entry'!$F4258='Visual SPC'!$K$4)),1,0))</f>
        <v/>
      </c>
      <c r="C4258">
        <f>C4257+B4258</f>
        <v/>
      </c>
      <c r="D4258">
        <f>IF(B4258=1,INDEX('Data Entry'!$H$5:$BE$10004,4258-4,'Visual SPC'!$B$3),"")</f>
        <v/>
      </c>
      <c r="E4258">
        <f>IF(B4258=1,D4258,E4257)</f>
        <v/>
      </c>
      <c r="F4258">
        <f>IF(AND(B4258=1,C4258&gt;1,E4257&lt;&gt;""),ABS(D4258-E4257),"")</f>
        <v/>
      </c>
    </row>
    <row r="4259">
      <c r="A4259" t="n">
        <v>4259</v>
      </c>
      <c r="B4259">
        <f>IF(INDEX('Data Entry'!$H$5:$BE$10004,4259-4,'Visual SPC'!$B$3)="",0,IF(AND(OR('Visual SPC'!$C$4="",'Data Entry'!$C4259&gt;='Visual SPC'!$C$4),OR('Visual SPC'!$E$4="",'Data Entry'!$C4259&lt;='Visual SPC'!$E$4),OR('Visual SPC'!$G$4="",'Data Entry'!$D4259='Visual SPC'!$G$4),OR('Visual SPC'!$I$4="",'Data Entry'!$E4259='Visual SPC'!$I$4),OR('Visual SPC'!$K$4="",'Data Entry'!$F4259='Visual SPC'!$K$4)),1,0))</f>
        <v/>
      </c>
      <c r="C4259">
        <f>C4258+B4259</f>
        <v/>
      </c>
      <c r="D4259">
        <f>IF(B4259=1,INDEX('Data Entry'!$H$5:$BE$10004,4259-4,'Visual SPC'!$B$3),"")</f>
        <v/>
      </c>
      <c r="E4259">
        <f>IF(B4259=1,D4259,E4258)</f>
        <v/>
      </c>
      <c r="F4259">
        <f>IF(AND(B4259=1,C4259&gt;1,E4258&lt;&gt;""),ABS(D4259-E4258),"")</f>
        <v/>
      </c>
    </row>
    <row r="4260">
      <c r="A4260" t="n">
        <v>4260</v>
      </c>
      <c r="B4260">
        <f>IF(INDEX('Data Entry'!$H$5:$BE$10004,4260-4,'Visual SPC'!$B$3)="",0,IF(AND(OR('Visual SPC'!$C$4="",'Data Entry'!$C4260&gt;='Visual SPC'!$C$4),OR('Visual SPC'!$E$4="",'Data Entry'!$C4260&lt;='Visual SPC'!$E$4),OR('Visual SPC'!$G$4="",'Data Entry'!$D4260='Visual SPC'!$G$4),OR('Visual SPC'!$I$4="",'Data Entry'!$E4260='Visual SPC'!$I$4),OR('Visual SPC'!$K$4="",'Data Entry'!$F4260='Visual SPC'!$K$4)),1,0))</f>
        <v/>
      </c>
      <c r="C4260">
        <f>C4259+B4260</f>
        <v/>
      </c>
      <c r="D4260">
        <f>IF(B4260=1,INDEX('Data Entry'!$H$5:$BE$10004,4260-4,'Visual SPC'!$B$3),"")</f>
        <v/>
      </c>
      <c r="E4260">
        <f>IF(B4260=1,D4260,E4259)</f>
        <v/>
      </c>
      <c r="F4260">
        <f>IF(AND(B4260=1,C4260&gt;1,E4259&lt;&gt;""),ABS(D4260-E4259),"")</f>
        <v/>
      </c>
    </row>
    <row r="4261">
      <c r="A4261" t="n">
        <v>4261</v>
      </c>
      <c r="B4261">
        <f>IF(INDEX('Data Entry'!$H$5:$BE$10004,4261-4,'Visual SPC'!$B$3)="",0,IF(AND(OR('Visual SPC'!$C$4="",'Data Entry'!$C4261&gt;='Visual SPC'!$C$4),OR('Visual SPC'!$E$4="",'Data Entry'!$C4261&lt;='Visual SPC'!$E$4),OR('Visual SPC'!$G$4="",'Data Entry'!$D4261='Visual SPC'!$G$4),OR('Visual SPC'!$I$4="",'Data Entry'!$E4261='Visual SPC'!$I$4),OR('Visual SPC'!$K$4="",'Data Entry'!$F4261='Visual SPC'!$K$4)),1,0))</f>
        <v/>
      </c>
      <c r="C4261">
        <f>C4260+B4261</f>
        <v/>
      </c>
      <c r="D4261">
        <f>IF(B4261=1,INDEX('Data Entry'!$H$5:$BE$10004,4261-4,'Visual SPC'!$B$3),"")</f>
        <v/>
      </c>
      <c r="E4261">
        <f>IF(B4261=1,D4261,E4260)</f>
        <v/>
      </c>
      <c r="F4261">
        <f>IF(AND(B4261=1,C4261&gt;1,E4260&lt;&gt;""),ABS(D4261-E4260),"")</f>
        <v/>
      </c>
    </row>
    <row r="4262">
      <c r="A4262" t="n">
        <v>4262</v>
      </c>
      <c r="B4262">
        <f>IF(INDEX('Data Entry'!$H$5:$BE$10004,4262-4,'Visual SPC'!$B$3)="",0,IF(AND(OR('Visual SPC'!$C$4="",'Data Entry'!$C4262&gt;='Visual SPC'!$C$4),OR('Visual SPC'!$E$4="",'Data Entry'!$C4262&lt;='Visual SPC'!$E$4),OR('Visual SPC'!$G$4="",'Data Entry'!$D4262='Visual SPC'!$G$4),OR('Visual SPC'!$I$4="",'Data Entry'!$E4262='Visual SPC'!$I$4),OR('Visual SPC'!$K$4="",'Data Entry'!$F4262='Visual SPC'!$K$4)),1,0))</f>
        <v/>
      </c>
      <c r="C4262">
        <f>C4261+B4262</f>
        <v/>
      </c>
      <c r="D4262">
        <f>IF(B4262=1,INDEX('Data Entry'!$H$5:$BE$10004,4262-4,'Visual SPC'!$B$3),"")</f>
        <v/>
      </c>
      <c r="E4262">
        <f>IF(B4262=1,D4262,E4261)</f>
        <v/>
      </c>
      <c r="F4262">
        <f>IF(AND(B4262=1,C4262&gt;1,E4261&lt;&gt;""),ABS(D4262-E4261),"")</f>
        <v/>
      </c>
    </row>
    <row r="4263">
      <c r="A4263" t="n">
        <v>4263</v>
      </c>
      <c r="B4263">
        <f>IF(INDEX('Data Entry'!$H$5:$BE$10004,4263-4,'Visual SPC'!$B$3)="",0,IF(AND(OR('Visual SPC'!$C$4="",'Data Entry'!$C4263&gt;='Visual SPC'!$C$4),OR('Visual SPC'!$E$4="",'Data Entry'!$C4263&lt;='Visual SPC'!$E$4),OR('Visual SPC'!$G$4="",'Data Entry'!$D4263='Visual SPC'!$G$4),OR('Visual SPC'!$I$4="",'Data Entry'!$E4263='Visual SPC'!$I$4),OR('Visual SPC'!$K$4="",'Data Entry'!$F4263='Visual SPC'!$K$4)),1,0))</f>
        <v/>
      </c>
      <c r="C4263">
        <f>C4262+B4263</f>
        <v/>
      </c>
      <c r="D4263">
        <f>IF(B4263=1,INDEX('Data Entry'!$H$5:$BE$10004,4263-4,'Visual SPC'!$B$3),"")</f>
        <v/>
      </c>
      <c r="E4263">
        <f>IF(B4263=1,D4263,E4262)</f>
        <v/>
      </c>
      <c r="F4263">
        <f>IF(AND(B4263=1,C4263&gt;1,E4262&lt;&gt;""),ABS(D4263-E4262),"")</f>
        <v/>
      </c>
    </row>
    <row r="4264">
      <c r="A4264" t="n">
        <v>4264</v>
      </c>
      <c r="B4264">
        <f>IF(INDEX('Data Entry'!$H$5:$BE$10004,4264-4,'Visual SPC'!$B$3)="",0,IF(AND(OR('Visual SPC'!$C$4="",'Data Entry'!$C4264&gt;='Visual SPC'!$C$4),OR('Visual SPC'!$E$4="",'Data Entry'!$C4264&lt;='Visual SPC'!$E$4),OR('Visual SPC'!$G$4="",'Data Entry'!$D4264='Visual SPC'!$G$4),OR('Visual SPC'!$I$4="",'Data Entry'!$E4264='Visual SPC'!$I$4),OR('Visual SPC'!$K$4="",'Data Entry'!$F4264='Visual SPC'!$K$4)),1,0))</f>
        <v/>
      </c>
      <c r="C4264">
        <f>C4263+B4264</f>
        <v/>
      </c>
      <c r="D4264">
        <f>IF(B4264=1,INDEX('Data Entry'!$H$5:$BE$10004,4264-4,'Visual SPC'!$B$3),"")</f>
        <v/>
      </c>
      <c r="E4264">
        <f>IF(B4264=1,D4264,E4263)</f>
        <v/>
      </c>
      <c r="F4264">
        <f>IF(AND(B4264=1,C4264&gt;1,E4263&lt;&gt;""),ABS(D4264-E4263),"")</f>
        <v/>
      </c>
    </row>
    <row r="4265">
      <c r="A4265" t="n">
        <v>4265</v>
      </c>
      <c r="B4265">
        <f>IF(INDEX('Data Entry'!$H$5:$BE$10004,4265-4,'Visual SPC'!$B$3)="",0,IF(AND(OR('Visual SPC'!$C$4="",'Data Entry'!$C4265&gt;='Visual SPC'!$C$4),OR('Visual SPC'!$E$4="",'Data Entry'!$C4265&lt;='Visual SPC'!$E$4),OR('Visual SPC'!$G$4="",'Data Entry'!$D4265='Visual SPC'!$G$4),OR('Visual SPC'!$I$4="",'Data Entry'!$E4265='Visual SPC'!$I$4),OR('Visual SPC'!$K$4="",'Data Entry'!$F4265='Visual SPC'!$K$4)),1,0))</f>
        <v/>
      </c>
      <c r="C4265">
        <f>C4264+B4265</f>
        <v/>
      </c>
      <c r="D4265">
        <f>IF(B4265=1,INDEX('Data Entry'!$H$5:$BE$10004,4265-4,'Visual SPC'!$B$3),"")</f>
        <v/>
      </c>
      <c r="E4265">
        <f>IF(B4265=1,D4265,E4264)</f>
        <v/>
      </c>
      <c r="F4265">
        <f>IF(AND(B4265=1,C4265&gt;1,E4264&lt;&gt;""),ABS(D4265-E4264),"")</f>
        <v/>
      </c>
    </row>
    <row r="4266">
      <c r="A4266" t="n">
        <v>4266</v>
      </c>
      <c r="B4266">
        <f>IF(INDEX('Data Entry'!$H$5:$BE$10004,4266-4,'Visual SPC'!$B$3)="",0,IF(AND(OR('Visual SPC'!$C$4="",'Data Entry'!$C4266&gt;='Visual SPC'!$C$4),OR('Visual SPC'!$E$4="",'Data Entry'!$C4266&lt;='Visual SPC'!$E$4),OR('Visual SPC'!$G$4="",'Data Entry'!$D4266='Visual SPC'!$G$4),OR('Visual SPC'!$I$4="",'Data Entry'!$E4266='Visual SPC'!$I$4),OR('Visual SPC'!$K$4="",'Data Entry'!$F4266='Visual SPC'!$K$4)),1,0))</f>
        <v/>
      </c>
      <c r="C4266">
        <f>C4265+B4266</f>
        <v/>
      </c>
      <c r="D4266">
        <f>IF(B4266=1,INDEX('Data Entry'!$H$5:$BE$10004,4266-4,'Visual SPC'!$B$3),"")</f>
        <v/>
      </c>
      <c r="E4266">
        <f>IF(B4266=1,D4266,E4265)</f>
        <v/>
      </c>
      <c r="F4266">
        <f>IF(AND(B4266=1,C4266&gt;1,E4265&lt;&gt;""),ABS(D4266-E4265),"")</f>
        <v/>
      </c>
    </row>
    <row r="4267">
      <c r="A4267" t="n">
        <v>4267</v>
      </c>
      <c r="B4267">
        <f>IF(INDEX('Data Entry'!$H$5:$BE$10004,4267-4,'Visual SPC'!$B$3)="",0,IF(AND(OR('Visual SPC'!$C$4="",'Data Entry'!$C4267&gt;='Visual SPC'!$C$4),OR('Visual SPC'!$E$4="",'Data Entry'!$C4267&lt;='Visual SPC'!$E$4),OR('Visual SPC'!$G$4="",'Data Entry'!$D4267='Visual SPC'!$G$4),OR('Visual SPC'!$I$4="",'Data Entry'!$E4267='Visual SPC'!$I$4),OR('Visual SPC'!$K$4="",'Data Entry'!$F4267='Visual SPC'!$K$4)),1,0))</f>
        <v/>
      </c>
      <c r="C4267">
        <f>C4266+B4267</f>
        <v/>
      </c>
      <c r="D4267">
        <f>IF(B4267=1,INDEX('Data Entry'!$H$5:$BE$10004,4267-4,'Visual SPC'!$B$3),"")</f>
        <v/>
      </c>
      <c r="E4267">
        <f>IF(B4267=1,D4267,E4266)</f>
        <v/>
      </c>
      <c r="F4267">
        <f>IF(AND(B4267=1,C4267&gt;1,E4266&lt;&gt;""),ABS(D4267-E4266),"")</f>
        <v/>
      </c>
    </row>
    <row r="4268">
      <c r="A4268" t="n">
        <v>4268</v>
      </c>
      <c r="B4268">
        <f>IF(INDEX('Data Entry'!$H$5:$BE$10004,4268-4,'Visual SPC'!$B$3)="",0,IF(AND(OR('Visual SPC'!$C$4="",'Data Entry'!$C4268&gt;='Visual SPC'!$C$4),OR('Visual SPC'!$E$4="",'Data Entry'!$C4268&lt;='Visual SPC'!$E$4),OR('Visual SPC'!$G$4="",'Data Entry'!$D4268='Visual SPC'!$G$4),OR('Visual SPC'!$I$4="",'Data Entry'!$E4268='Visual SPC'!$I$4),OR('Visual SPC'!$K$4="",'Data Entry'!$F4268='Visual SPC'!$K$4)),1,0))</f>
        <v/>
      </c>
      <c r="C4268">
        <f>C4267+B4268</f>
        <v/>
      </c>
      <c r="D4268">
        <f>IF(B4268=1,INDEX('Data Entry'!$H$5:$BE$10004,4268-4,'Visual SPC'!$B$3),"")</f>
        <v/>
      </c>
      <c r="E4268">
        <f>IF(B4268=1,D4268,E4267)</f>
        <v/>
      </c>
      <c r="F4268">
        <f>IF(AND(B4268=1,C4268&gt;1,E4267&lt;&gt;""),ABS(D4268-E4267),"")</f>
        <v/>
      </c>
    </row>
    <row r="4269">
      <c r="A4269" t="n">
        <v>4269</v>
      </c>
      <c r="B4269">
        <f>IF(INDEX('Data Entry'!$H$5:$BE$10004,4269-4,'Visual SPC'!$B$3)="",0,IF(AND(OR('Visual SPC'!$C$4="",'Data Entry'!$C4269&gt;='Visual SPC'!$C$4),OR('Visual SPC'!$E$4="",'Data Entry'!$C4269&lt;='Visual SPC'!$E$4),OR('Visual SPC'!$G$4="",'Data Entry'!$D4269='Visual SPC'!$G$4),OR('Visual SPC'!$I$4="",'Data Entry'!$E4269='Visual SPC'!$I$4),OR('Visual SPC'!$K$4="",'Data Entry'!$F4269='Visual SPC'!$K$4)),1,0))</f>
        <v/>
      </c>
      <c r="C4269">
        <f>C4268+B4269</f>
        <v/>
      </c>
      <c r="D4269">
        <f>IF(B4269=1,INDEX('Data Entry'!$H$5:$BE$10004,4269-4,'Visual SPC'!$B$3),"")</f>
        <v/>
      </c>
      <c r="E4269">
        <f>IF(B4269=1,D4269,E4268)</f>
        <v/>
      </c>
      <c r="F4269">
        <f>IF(AND(B4269=1,C4269&gt;1,E4268&lt;&gt;""),ABS(D4269-E4268),"")</f>
        <v/>
      </c>
    </row>
    <row r="4270">
      <c r="A4270" t="n">
        <v>4270</v>
      </c>
      <c r="B4270">
        <f>IF(INDEX('Data Entry'!$H$5:$BE$10004,4270-4,'Visual SPC'!$B$3)="",0,IF(AND(OR('Visual SPC'!$C$4="",'Data Entry'!$C4270&gt;='Visual SPC'!$C$4),OR('Visual SPC'!$E$4="",'Data Entry'!$C4270&lt;='Visual SPC'!$E$4),OR('Visual SPC'!$G$4="",'Data Entry'!$D4270='Visual SPC'!$G$4),OR('Visual SPC'!$I$4="",'Data Entry'!$E4270='Visual SPC'!$I$4),OR('Visual SPC'!$K$4="",'Data Entry'!$F4270='Visual SPC'!$K$4)),1,0))</f>
        <v/>
      </c>
      <c r="C4270">
        <f>C4269+B4270</f>
        <v/>
      </c>
      <c r="D4270">
        <f>IF(B4270=1,INDEX('Data Entry'!$H$5:$BE$10004,4270-4,'Visual SPC'!$B$3),"")</f>
        <v/>
      </c>
      <c r="E4270">
        <f>IF(B4270=1,D4270,E4269)</f>
        <v/>
      </c>
      <c r="F4270">
        <f>IF(AND(B4270=1,C4270&gt;1,E4269&lt;&gt;""),ABS(D4270-E4269),"")</f>
        <v/>
      </c>
    </row>
    <row r="4271">
      <c r="A4271" t="n">
        <v>4271</v>
      </c>
      <c r="B4271">
        <f>IF(INDEX('Data Entry'!$H$5:$BE$10004,4271-4,'Visual SPC'!$B$3)="",0,IF(AND(OR('Visual SPC'!$C$4="",'Data Entry'!$C4271&gt;='Visual SPC'!$C$4),OR('Visual SPC'!$E$4="",'Data Entry'!$C4271&lt;='Visual SPC'!$E$4),OR('Visual SPC'!$G$4="",'Data Entry'!$D4271='Visual SPC'!$G$4),OR('Visual SPC'!$I$4="",'Data Entry'!$E4271='Visual SPC'!$I$4),OR('Visual SPC'!$K$4="",'Data Entry'!$F4271='Visual SPC'!$K$4)),1,0))</f>
        <v/>
      </c>
      <c r="C4271">
        <f>C4270+B4271</f>
        <v/>
      </c>
      <c r="D4271">
        <f>IF(B4271=1,INDEX('Data Entry'!$H$5:$BE$10004,4271-4,'Visual SPC'!$B$3),"")</f>
        <v/>
      </c>
      <c r="E4271">
        <f>IF(B4271=1,D4271,E4270)</f>
        <v/>
      </c>
      <c r="F4271">
        <f>IF(AND(B4271=1,C4271&gt;1,E4270&lt;&gt;""),ABS(D4271-E4270),"")</f>
        <v/>
      </c>
    </row>
    <row r="4272">
      <c r="A4272" t="n">
        <v>4272</v>
      </c>
      <c r="B4272">
        <f>IF(INDEX('Data Entry'!$H$5:$BE$10004,4272-4,'Visual SPC'!$B$3)="",0,IF(AND(OR('Visual SPC'!$C$4="",'Data Entry'!$C4272&gt;='Visual SPC'!$C$4),OR('Visual SPC'!$E$4="",'Data Entry'!$C4272&lt;='Visual SPC'!$E$4),OR('Visual SPC'!$G$4="",'Data Entry'!$D4272='Visual SPC'!$G$4),OR('Visual SPC'!$I$4="",'Data Entry'!$E4272='Visual SPC'!$I$4),OR('Visual SPC'!$K$4="",'Data Entry'!$F4272='Visual SPC'!$K$4)),1,0))</f>
        <v/>
      </c>
      <c r="C4272">
        <f>C4271+B4272</f>
        <v/>
      </c>
      <c r="D4272">
        <f>IF(B4272=1,INDEX('Data Entry'!$H$5:$BE$10004,4272-4,'Visual SPC'!$B$3),"")</f>
        <v/>
      </c>
      <c r="E4272">
        <f>IF(B4272=1,D4272,E4271)</f>
        <v/>
      </c>
      <c r="F4272">
        <f>IF(AND(B4272=1,C4272&gt;1,E4271&lt;&gt;""),ABS(D4272-E4271),"")</f>
        <v/>
      </c>
    </row>
    <row r="4273">
      <c r="A4273" t="n">
        <v>4273</v>
      </c>
      <c r="B4273">
        <f>IF(INDEX('Data Entry'!$H$5:$BE$10004,4273-4,'Visual SPC'!$B$3)="",0,IF(AND(OR('Visual SPC'!$C$4="",'Data Entry'!$C4273&gt;='Visual SPC'!$C$4),OR('Visual SPC'!$E$4="",'Data Entry'!$C4273&lt;='Visual SPC'!$E$4),OR('Visual SPC'!$G$4="",'Data Entry'!$D4273='Visual SPC'!$G$4),OR('Visual SPC'!$I$4="",'Data Entry'!$E4273='Visual SPC'!$I$4),OR('Visual SPC'!$K$4="",'Data Entry'!$F4273='Visual SPC'!$K$4)),1,0))</f>
        <v/>
      </c>
      <c r="C4273">
        <f>C4272+B4273</f>
        <v/>
      </c>
      <c r="D4273">
        <f>IF(B4273=1,INDEX('Data Entry'!$H$5:$BE$10004,4273-4,'Visual SPC'!$B$3),"")</f>
        <v/>
      </c>
      <c r="E4273">
        <f>IF(B4273=1,D4273,E4272)</f>
        <v/>
      </c>
      <c r="F4273">
        <f>IF(AND(B4273=1,C4273&gt;1,E4272&lt;&gt;""),ABS(D4273-E4272),"")</f>
        <v/>
      </c>
    </row>
    <row r="4274">
      <c r="A4274" t="n">
        <v>4274</v>
      </c>
      <c r="B4274">
        <f>IF(INDEX('Data Entry'!$H$5:$BE$10004,4274-4,'Visual SPC'!$B$3)="",0,IF(AND(OR('Visual SPC'!$C$4="",'Data Entry'!$C4274&gt;='Visual SPC'!$C$4),OR('Visual SPC'!$E$4="",'Data Entry'!$C4274&lt;='Visual SPC'!$E$4),OR('Visual SPC'!$G$4="",'Data Entry'!$D4274='Visual SPC'!$G$4),OR('Visual SPC'!$I$4="",'Data Entry'!$E4274='Visual SPC'!$I$4),OR('Visual SPC'!$K$4="",'Data Entry'!$F4274='Visual SPC'!$K$4)),1,0))</f>
        <v/>
      </c>
      <c r="C4274">
        <f>C4273+B4274</f>
        <v/>
      </c>
      <c r="D4274">
        <f>IF(B4274=1,INDEX('Data Entry'!$H$5:$BE$10004,4274-4,'Visual SPC'!$B$3),"")</f>
        <v/>
      </c>
      <c r="E4274">
        <f>IF(B4274=1,D4274,E4273)</f>
        <v/>
      </c>
      <c r="F4274">
        <f>IF(AND(B4274=1,C4274&gt;1,E4273&lt;&gt;""),ABS(D4274-E4273),"")</f>
        <v/>
      </c>
    </row>
    <row r="4275">
      <c r="A4275" t="n">
        <v>4275</v>
      </c>
      <c r="B4275">
        <f>IF(INDEX('Data Entry'!$H$5:$BE$10004,4275-4,'Visual SPC'!$B$3)="",0,IF(AND(OR('Visual SPC'!$C$4="",'Data Entry'!$C4275&gt;='Visual SPC'!$C$4),OR('Visual SPC'!$E$4="",'Data Entry'!$C4275&lt;='Visual SPC'!$E$4),OR('Visual SPC'!$G$4="",'Data Entry'!$D4275='Visual SPC'!$G$4),OR('Visual SPC'!$I$4="",'Data Entry'!$E4275='Visual SPC'!$I$4),OR('Visual SPC'!$K$4="",'Data Entry'!$F4275='Visual SPC'!$K$4)),1,0))</f>
        <v/>
      </c>
      <c r="C4275">
        <f>C4274+B4275</f>
        <v/>
      </c>
      <c r="D4275">
        <f>IF(B4275=1,INDEX('Data Entry'!$H$5:$BE$10004,4275-4,'Visual SPC'!$B$3),"")</f>
        <v/>
      </c>
      <c r="E4275">
        <f>IF(B4275=1,D4275,E4274)</f>
        <v/>
      </c>
      <c r="F4275">
        <f>IF(AND(B4275=1,C4275&gt;1,E4274&lt;&gt;""),ABS(D4275-E4274),"")</f>
        <v/>
      </c>
    </row>
    <row r="4276">
      <c r="A4276" t="n">
        <v>4276</v>
      </c>
      <c r="B4276">
        <f>IF(INDEX('Data Entry'!$H$5:$BE$10004,4276-4,'Visual SPC'!$B$3)="",0,IF(AND(OR('Visual SPC'!$C$4="",'Data Entry'!$C4276&gt;='Visual SPC'!$C$4),OR('Visual SPC'!$E$4="",'Data Entry'!$C4276&lt;='Visual SPC'!$E$4),OR('Visual SPC'!$G$4="",'Data Entry'!$D4276='Visual SPC'!$G$4),OR('Visual SPC'!$I$4="",'Data Entry'!$E4276='Visual SPC'!$I$4),OR('Visual SPC'!$K$4="",'Data Entry'!$F4276='Visual SPC'!$K$4)),1,0))</f>
        <v/>
      </c>
      <c r="C4276">
        <f>C4275+B4276</f>
        <v/>
      </c>
      <c r="D4276">
        <f>IF(B4276=1,INDEX('Data Entry'!$H$5:$BE$10004,4276-4,'Visual SPC'!$B$3),"")</f>
        <v/>
      </c>
      <c r="E4276">
        <f>IF(B4276=1,D4276,E4275)</f>
        <v/>
      </c>
      <c r="F4276">
        <f>IF(AND(B4276=1,C4276&gt;1,E4275&lt;&gt;""),ABS(D4276-E4275),"")</f>
        <v/>
      </c>
    </row>
    <row r="4277">
      <c r="A4277" t="n">
        <v>4277</v>
      </c>
      <c r="B4277">
        <f>IF(INDEX('Data Entry'!$H$5:$BE$10004,4277-4,'Visual SPC'!$B$3)="",0,IF(AND(OR('Visual SPC'!$C$4="",'Data Entry'!$C4277&gt;='Visual SPC'!$C$4),OR('Visual SPC'!$E$4="",'Data Entry'!$C4277&lt;='Visual SPC'!$E$4),OR('Visual SPC'!$G$4="",'Data Entry'!$D4277='Visual SPC'!$G$4),OR('Visual SPC'!$I$4="",'Data Entry'!$E4277='Visual SPC'!$I$4),OR('Visual SPC'!$K$4="",'Data Entry'!$F4277='Visual SPC'!$K$4)),1,0))</f>
        <v/>
      </c>
      <c r="C4277">
        <f>C4276+B4277</f>
        <v/>
      </c>
      <c r="D4277">
        <f>IF(B4277=1,INDEX('Data Entry'!$H$5:$BE$10004,4277-4,'Visual SPC'!$B$3),"")</f>
        <v/>
      </c>
      <c r="E4277">
        <f>IF(B4277=1,D4277,E4276)</f>
        <v/>
      </c>
      <c r="F4277">
        <f>IF(AND(B4277=1,C4277&gt;1,E4276&lt;&gt;""),ABS(D4277-E4276),"")</f>
        <v/>
      </c>
    </row>
    <row r="4278">
      <c r="A4278" t="n">
        <v>4278</v>
      </c>
      <c r="B4278">
        <f>IF(INDEX('Data Entry'!$H$5:$BE$10004,4278-4,'Visual SPC'!$B$3)="",0,IF(AND(OR('Visual SPC'!$C$4="",'Data Entry'!$C4278&gt;='Visual SPC'!$C$4),OR('Visual SPC'!$E$4="",'Data Entry'!$C4278&lt;='Visual SPC'!$E$4),OR('Visual SPC'!$G$4="",'Data Entry'!$D4278='Visual SPC'!$G$4),OR('Visual SPC'!$I$4="",'Data Entry'!$E4278='Visual SPC'!$I$4),OR('Visual SPC'!$K$4="",'Data Entry'!$F4278='Visual SPC'!$K$4)),1,0))</f>
        <v/>
      </c>
      <c r="C4278">
        <f>C4277+B4278</f>
        <v/>
      </c>
      <c r="D4278">
        <f>IF(B4278=1,INDEX('Data Entry'!$H$5:$BE$10004,4278-4,'Visual SPC'!$B$3),"")</f>
        <v/>
      </c>
      <c r="E4278">
        <f>IF(B4278=1,D4278,E4277)</f>
        <v/>
      </c>
      <c r="F4278">
        <f>IF(AND(B4278=1,C4278&gt;1,E4277&lt;&gt;""),ABS(D4278-E4277),"")</f>
        <v/>
      </c>
    </row>
    <row r="4279">
      <c r="A4279" t="n">
        <v>4279</v>
      </c>
      <c r="B4279">
        <f>IF(INDEX('Data Entry'!$H$5:$BE$10004,4279-4,'Visual SPC'!$B$3)="",0,IF(AND(OR('Visual SPC'!$C$4="",'Data Entry'!$C4279&gt;='Visual SPC'!$C$4),OR('Visual SPC'!$E$4="",'Data Entry'!$C4279&lt;='Visual SPC'!$E$4),OR('Visual SPC'!$G$4="",'Data Entry'!$D4279='Visual SPC'!$G$4),OR('Visual SPC'!$I$4="",'Data Entry'!$E4279='Visual SPC'!$I$4),OR('Visual SPC'!$K$4="",'Data Entry'!$F4279='Visual SPC'!$K$4)),1,0))</f>
        <v/>
      </c>
      <c r="C4279">
        <f>C4278+B4279</f>
        <v/>
      </c>
      <c r="D4279">
        <f>IF(B4279=1,INDEX('Data Entry'!$H$5:$BE$10004,4279-4,'Visual SPC'!$B$3),"")</f>
        <v/>
      </c>
      <c r="E4279">
        <f>IF(B4279=1,D4279,E4278)</f>
        <v/>
      </c>
      <c r="F4279">
        <f>IF(AND(B4279=1,C4279&gt;1,E4278&lt;&gt;""),ABS(D4279-E4278),"")</f>
        <v/>
      </c>
    </row>
    <row r="4280">
      <c r="A4280" t="n">
        <v>4280</v>
      </c>
      <c r="B4280">
        <f>IF(INDEX('Data Entry'!$H$5:$BE$10004,4280-4,'Visual SPC'!$B$3)="",0,IF(AND(OR('Visual SPC'!$C$4="",'Data Entry'!$C4280&gt;='Visual SPC'!$C$4),OR('Visual SPC'!$E$4="",'Data Entry'!$C4280&lt;='Visual SPC'!$E$4),OR('Visual SPC'!$G$4="",'Data Entry'!$D4280='Visual SPC'!$G$4),OR('Visual SPC'!$I$4="",'Data Entry'!$E4280='Visual SPC'!$I$4),OR('Visual SPC'!$K$4="",'Data Entry'!$F4280='Visual SPC'!$K$4)),1,0))</f>
        <v/>
      </c>
      <c r="C4280">
        <f>C4279+B4280</f>
        <v/>
      </c>
      <c r="D4280">
        <f>IF(B4280=1,INDEX('Data Entry'!$H$5:$BE$10004,4280-4,'Visual SPC'!$B$3),"")</f>
        <v/>
      </c>
      <c r="E4280">
        <f>IF(B4280=1,D4280,E4279)</f>
        <v/>
      </c>
      <c r="F4280">
        <f>IF(AND(B4280=1,C4280&gt;1,E4279&lt;&gt;""),ABS(D4280-E4279),"")</f>
        <v/>
      </c>
    </row>
    <row r="4281">
      <c r="A4281" t="n">
        <v>4281</v>
      </c>
      <c r="B4281">
        <f>IF(INDEX('Data Entry'!$H$5:$BE$10004,4281-4,'Visual SPC'!$B$3)="",0,IF(AND(OR('Visual SPC'!$C$4="",'Data Entry'!$C4281&gt;='Visual SPC'!$C$4),OR('Visual SPC'!$E$4="",'Data Entry'!$C4281&lt;='Visual SPC'!$E$4),OR('Visual SPC'!$G$4="",'Data Entry'!$D4281='Visual SPC'!$G$4),OR('Visual SPC'!$I$4="",'Data Entry'!$E4281='Visual SPC'!$I$4),OR('Visual SPC'!$K$4="",'Data Entry'!$F4281='Visual SPC'!$K$4)),1,0))</f>
        <v/>
      </c>
      <c r="C4281">
        <f>C4280+B4281</f>
        <v/>
      </c>
      <c r="D4281">
        <f>IF(B4281=1,INDEX('Data Entry'!$H$5:$BE$10004,4281-4,'Visual SPC'!$B$3),"")</f>
        <v/>
      </c>
      <c r="E4281">
        <f>IF(B4281=1,D4281,E4280)</f>
        <v/>
      </c>
      <c r="F4281">
        <f>IF(AND(B4281=1,C4281&gt;1,E4280&lt;&gt;""),ABS(D4281-E4280),"")</f>
        <v/>
      </c>
    </row>
    <row r="4282">
      <c r="A4282" t="n">
        <v>4282</v>
      </c>
      <c r="B4282">
        <f>IF(INDEX('Data Entry'!$H$5:$BE$10004,4282-4,'Visual SPC'!$B$3)="",0,IF(AND(OR('Visual SPC'!$C$4="",'Data Entry'!$C4282&gt;='Visual SPC'!$C$4),OR('Visual SPC'!$E$4="",'Data Entry'!$C4282&lt;='Visual SPC'!$E$4),OR('Visual SPC'!$G$4="",'Data Entry'!$D4282='Visual SPC'!$G$4),OR('Visual SPC'!$I$4="",'Data Entry'!$E4282='Visual SPC'!$I$4),OR('Visual SPC'!$K$4="",'Data Entry'!$F4282='Visual SPC'!$K$4)),1,0))</f>
        <v/>
      </c>
      <c r="C4282">
        <f>C4281+B4282</f>
        <v/>
      </c>
      <c r="D4282">
        <f>IF(B4282=1,INDEX('Data Entry'!$H$5:$BE$10004,4282-4,'Visual SPC'!$B$3),"")</f>
        <v/>
      </c>
      <c r="E4282">
        <f>IF(B4282=1,D4282,E4281)</f>
        <v/>
      </c>
      <c r="F4282">
        <f>IF(AND(B4282=1,C4282&gt;1,E4281&lt;&gt;""),ABS(D4282-E4281),"")</f>
        <v/>
      </c>
    </row>
    <row r="4283">
      <c r="A4283" t="n">
        <v>4283</v>
      </c>
      <c r="B4283">
        <f>IF(INDEX('Data Entry'!$H$5:$BE$10004,4283-4,'Visual SPC'!$B$3)="",0,IF(AND(OR('Visual SPC'!$C$4="",'Data Entry'!$C4283&gt;='Visual SPC'!$C$4),OR('Visual SPC'!$E$4="",'Data Entry'!$C4283&lt;='Visual SPC'!$E$4),OR('Visual SPC'!$G$4="",'Data Entry'!$D4283='Visual SPC'!$G$4),OR('Visual SPC'!$I$4="",'Data Entry'!$E4283='Visual SPC'!$I$4),OR('Visual SPC'!$K$4="",'Data Entry'!$F4283='Visual SPC'!$K$4)),1,0))</f>
        <v/>
      </c>
      <c r="C4283">
        <f>C4282+B4283</f>
        <v/>
      </c>
      <c r="D4283">
        <f>IF(B4283=1,INDEX('Data Entry'!$H$5:$BE$10004,4283-4,'Visual SPC'!$B$3),"")</f>
        <v/>
      </c>
      <c r="E4283">
        <f>IF(B4283=1,D4283,E4282)</f>
        <v/>
      </c>
      <c r="F4283">
        <f>IF(AND(B4283=1,C4283&gt;1,E4282&lt;&gt;""),ABS(D4283-E4282),"")</f>
        <v/>
      </c>
    </row>
    <row r="4284">
      <c r="A4284" t="n">
        <v>4284</v>
      </c>
      <c r="B4284">
        <f>IF(INDEX('Data Entry'!$H$5:$BE$10004,4284-4,'Visual SPC'!$B$3)="",0,IF(AND(OR('Visual SPC'!$C$4="",'Data Entry'!$C4284&gt;='Visual SPC'!$C$4),OR('Visual SPC'!$E$4="",'Data Entry'!$C4284&lt;='Visual SPC'!$E$4),OR('Visual SPC'!$G$4="",'Data Entry'!$D4284='Visual SPC'!$G$4),OR('Visual SPC'!$I$4="",'Data Entry'!$E4284='Visual SPC'!$I$4),OR('Visual SPC'!$K$4="",'Data Entry'!$F4284='Visual SPC'!$K$4)),1,0))</f>
        <v/>
      </c>
      <c r="C4284">
        <f>C4283+B4284</f>
        <v/>
      </c>
      <c r="D4284">
        <f>IF(B4284=1,INDEX('Data Entry'!$H$5:$BE$10004,4284-4,'Visual SPC'!$B$3),"")</f>
        <v/>
      </c>
      <c r="E4284">
        <f>IF(B4284=1,D4284,E4283)</f>
        <v/>
      </c>
      <c r="F4284">
        <f>IF(AND(B4284=1,C4284&gt;1,E4283&lt;&gt;""),ABS(D4284-E4283),"")</f>
        <v/>
      </c>
    </row>
    <row r="4285">
      <c r="A4285" t="n">
        <v>4285</v>
      </c>
      <c r="B4285">
        <f>IF(INDEX('Data Entry'!$H$5:$BE$10004,4285-4,'Visual SPC'!$B$3)="",0,IF(AND(OR('Visual SPC'!$C$4="",'Data Entry'!$C4285&gt;='Visual SPC'!$C$4),OR('Visual SPC'!$E$4="",'Data Entry'!$C4285&lt;='Visual SPC'!$E$4),OR('Visual SPC'!$G$4="",'Data Entry'!$D4285='Visual SPC'!$G$4),OR('Visual SPC'!$I$4="",'Data Entry'!$E4285='Visual SPC'!$I$4),OR('Visual SPC'!$K$4="",'Data Entry'!$F4285='Visual SPC'!$K$4)),1,0))</f>
        <v/>
      </c>
      <c r="C4285">
        <f>C4284+B4285</f>
        <v/>
      </c>
      <c r="D4285">
        <f>IF(B4285=1,INDEX('Data Entry'!$H$5:$BE$10004,4285-4,'Visual SPC'!$B$3),"")</f>
        <v/>
      </c>
      <c r="E4285">
        <f>IF(B4285=1,D4285,E4284)</f>
        <v/>
      </c>
      <c r="F4285">
        <f>IF(AND(B4285=1,C4285&gt;1,E4284&lt;&gt;""),ABS(D4285-E4284),"")</f>
        <v/>
      </c>
    </row>
    <row r="4286">
      <c r="A4286" t="n">
        <v>4286</v>
      </c>
      <c r="B4286">
        <f>IF(INDEX('Data Entry'!$H$5:$BE$10004,4286-4,'Visual SPC'!$B$3)="",0,IF(AND(OR('Visual SPC'!$C$4="",'Data Entry'!$C4286&gt;='Visual SPC'!$C$4),OR('Visual SPC'!$E$4="",'Data Entry'!$C4286&lt;='Visual SPC'!$E$4),OR('Visual SPC'!$G$4="",'Data Entry'!$D4286='Visual SPC'!$G$4),OR('Visual SPC'!$I$4="",'Data Entry'!$E4286='Visual SPC'!$I$4),OR('Visual SPC'!$K$4="",'Data Entry'!$F4286='Visual SPC'!$K$4)),1,0))</f>
        <v/>
      </c>
      <c r="C4286">
        <f>C4285+B4286</f>
        <v/>
      </c>
      <c r="D4286">
        <f>IF(B4286=1,INDEX('Data Entry'!$H$5:$BE$10004,4286-4,'Visual SPC'!$B$3),"")</f>
        <v/>
      </c>
      <c r="E4286">
        <f>IF(B4286=1,D4286,E4285)</f>
        <v/>
      </c>
      <c r="F4286">
        <f>IF(AND(B4286=1,C4286&gt;1,E4285&lt;&gt;""),ABS(D4286-E4285),"")</f>
        <v/>
      </c>
    </row>
    <row r="4287">
      <c r="A4287" t="n">
        <v>4287</v>
      </c>
      <c r="B4287">
        <f>IF(INDEX('Data Entry'!$H$5:$BE$10004,4287-4,'Visual SPC'!$B$3)="",0,IF(AND(OR('Visual SPC'!$C$4="",'Data Entry'!$C4287&gt;='Visual SPC'!$C$4),OR('Visual SPC'!$E$4="",'Data Entry'!$C4287&lt;='Visual SPC'!$E$4),OR('Visual SPC'!$G$4="",'Data Entry'!$D4287='Visual SPC'!$G$4),OR('Visual SPC'!$I$4="",'Data Entry'!$E4287='Visual SPC'!$I$4),OR('Visual SPC'!$K$4="",'Data Entry'!$F4287='Visual SPC'!$K$4)),1,0))</f>
        <v/>
      </c>
      <c r="C4287">
        <f>C4286+B4287</f>
        <v/>
      </c>
      <c r="D4287">
        <f>IF(B4287=1,INDEX('Data Entry'!$H$5:$BE$10004,4287-4,'Visual SPC'!$B$3),"")</f>
        <v/>
      </c>
      <c r="E4287">
        <f>IF(B4287=1,D4287,E4286)</f>
        <v/>
      </c>
      <c r="F4287">
        <f>IF(AND(B4287=1,C4287&gt;1,E4286&lt;&gt;""),ABS(D4287-E4286),"")</f>
        <v/>
      </c>
    </row>
    <row r="4288">
      <c r="A4288" t="n">
        <v>4288</v>
      </c>
      <c r="B4288">
        <f>IF(INDEX('Data Entry'!$H$5:$BE$10004,4288-4,'Visual SPC'!$B$3)="",0,IF(AND(OR('Visual SPC'!$C$4="",'Data Entry'!$C4288&gt;='Visual SPC'!$C$4),OR('Visual SPC'!$E$4="",'Data Entry'!$C4288&lt;='Visual SPC'!$E$4),OR('Visual SPC'!$G$4="",'Data Entry'!$D4288='Visual SPC'!$G$4),OR('Visual SPC'!$I$4="",'Data Entry'!$E4288='Visual SPC'!$I$4),OR('Visual SPC'!$K$4="",'Data Entry'!$F4288='Visual SPC'!$K$4)),1,0))</f>
        <v/>
      </c>
      <c r="C4288">
        <f>C4287+B4288</f>
        <v/>
      </c>
      <c r="D4288">
        <f>IF(B4288=1,INDEX('Data Entry'!$H$5:$BE$10004,4288-4,'Visual SPC'!$B$3),"")</f>
        <v/>
      </c>
      <c r="E4288">
        <f>IF(B4288=1,D4288,E4287)</f>
        <v/>
      </c>
      <c r="F4288">
        <f>IF(AND(B4288=1,C4288&gt;1,E4287&lt;&gt;""),ABS(D4288-E4287),"")</f>
        <v/>
      </c>
    </row>
    <row r="4289">
      <c r="A4289" t="n">
        <v>4289</v>
      </c>
      <c r="B4289">
        <f>IF(INDEX('Data Entry'!$H$5:$BE$10004,4289-4,'Visual SPC'!$B$3)="",0,IF(AND(OR('Visual SPC'!$C$4="",'Data Entry'!$C4289&gt;='Visual SPC'!$C$4),OR('Visual SPC'!$E$4="",'Data Entry'!$C4289&lt;='Visual SPC'!$E$4),OR('Visual SPC'!$G$4="",'Data Entry'!$D4289='Visual SPC'!$G$4),OR('Visual SPC'!$I$4="",'Data Entry'!$E4289='Visual SPC'!$I$4),OR('Visual SPC'!$K$4="",'Data Entry'!$F4289='Visual SPC'!$K$4)),1,0))</f>
        <v/>
      </c>
      <c r="C4289">
        <f>C4288+B4289</f>
        <v/>
      </c>
      <c r="D4289">
        <f>IF(B4289=1,INDEX('Data Entry'!$H$5:$BE$10004,4289-4,'Visual SPC'!$B$3),"")</f>
        <v/>
      </c>
      <c r="E4289">
        <f>IF(B4289=1,D4289,E4288)</f>
        <v/>
      </c>
      <c r="F4289">
        <f>IF(AND(B4289=1,C4289&gt;1,E4288&lt;&gt;""),ABS(D4289-E4288),"")</f>
        <v/>
      </c>
    </row>
    <row r="4290">
      <c r="A4290" t="n">
        <v>4290</v>
      </c>
      <c r="B4290">
        <f>IF(INDEX('Data Entry'!$H$5:$BE$10004,4290-4,'Visual SPC'!$B$3)="",0,IF(AND(OR('Visual SPC'!$C$4="",'Data Entry'!$C4290&gt;='Visual SPC'!$C$4),OR('Visual SPC'!$E$4="",'Data Entry'!$C4290&lt;='Visual SPC'!$E$4),OR('Visual SPC'!$G$4="",'Data Entry'!$D4290='Visual SPC'!$G$4),OR('Visual SPC'!$I$4="",'Data Entry'!$E4290='Visual SPC'!$I$4),OR('Visual SPC'!$K$4="",'Data Entry'!$F4290='Visual SPC'!$K$4)),1,0))</f>
        <v/>
      </c>
      <c r="C4290">
        <f>C4289+B4290</f>
        <v/>
      </c>
      <c r="D4290">
        <f>IF(B4290=1,INDEX('Data Entry'!$H$5:$BE$10004,4290-4,'Visual SPC'!$B$3),"")</f>
        <v/>
      </c>
      <c r="E4290">
        <f>IF(B4290=1,D4290,E4289)</f>
        <v/>
      </c>
      <c r="F4290">
        <f>IF(AND(B4290=1,C4290&gt;1,E4289&lt;&gt;""),ABS(D4290-E4289),"")</f>
        <v/>
      </c>
    </row>
    <row r="4291">
      <c r="A4291" t="n">
        <v>4291</v>
      </c>
      <c r="B4291">
        <f>IF(INDEX('Data Entry'!$H$5:$BE$10004,4291-4,'Visual SPC'!$B$3)="",0,IF(AND(OR('Visual SPC'!$C$4="",'Data Entry'!$C4291&gt;='Visual SPC'!$C$4),OR('Visual SPC'!$E$4="",'Data Entry'!$C4291&lt;='Visual SPC'!$E$4),OR('Visual SPC'!$G$4="",'Data Entry'!$D4291='Visual SPC'!$G$4),OR('Visual SPC'!$I$4="",'Data Entry'!$E4291='Visual SPC'!$I$4),OR('Visual SPC'!$K$4="",'Data Entry'!$F4291='Visual SPC'!$K$4)),1,0))</f>
        <v/>
      </c>
      <c r="C4291">
        <f>C4290+B4291</f>
        <v/>
      </c>
      <c r="D4291">
        <f>IF(B4291=1,INDEX('Data Entry'!$H$5:$BE$10004,4291-4,'Visual SPC'!$B$3),"")</f>
        <v/>
      </c>
      <c r="E4291">
        <f>IF(B4291=1,D4291,E4290)</f>
        <v/>
      </c>
      <c r="F4291">
        <f>IF(AND(B4291=1,C4291&gt;1,E4290&lt;&gt;""),ABS(D4291-E4290),"")</f>
        <v/>
      </c>
    </row>
    <row r="4292">
      <c r="A4292" t="n">
        <v>4292</v>
      </c>
      <c r="B4292">
        <f>IF(INDEX('Data Entry'!$H$5:$BE$10004,4292-4,'Visual SPC'!$B$3)="",0,IF(AND(OR('Visual SPC'!$C$4="",'Data Entry'!$C4292&gt;='Visual SPC'!$C$4),OR('Visual SPC'!$E$4="",'Data Entry'!$C4292&lt;='Visual SPC'!$E$4),OR('Visual SPC'!$G$4="",'Data Entry'!$D4292='Visual SPC'!$G$4),OR('Visual SPC'!$I$4="",'Data Entry'!$E4292='Visual SPC'!$I$4),OR('Visual SPC'!$K$4="",'Data Entry'!$F4292='Visual SPC'!$K$4)),1,0))</f>
        <v/>
      </c>
      <c r="C4292">
        <f>C4291+B4292</f>
        <v/>
      </c>
      <c r="D4292">
        <f>IF(B4292=1,INDEX('Data Entry'!$H$5:$BE$10004,4292-4,'Visual SPC'!$B$3),"")</f>
        <v/>
      </c>
      <c r="E4292">
        <f>IF(B4292=1,D4292,E4291)</f>
        <v/>
      </c>
      <c r="F4292">
        <f>IF(AND(B4292=1,C4292&gt;1,E4291&lt;&gt;""),ABS(D4292-E4291),"")</f>
        <v/>
      </c>
    </row>
    <row r="4293">
      <c r="A4293" t="n">
        <v>4293</v>
      </c>
      <c r="B4293">
        <f>IF(INDEX('Data Entry'!$H$5:$BE$10004,4293-4,'Visual SPC'!$B$3)="",0,IF(AND(OR('Visual SPC'!$C$4="",'Data Entry'!$C4293&gt;='Visual SPC'!$C$4),OR('Visual SPC'!$E$4="",'Data Entry'!$C4293&lt;='Visual SPC'!$E$4),OR('Visual SPC'!$G$4="",'Data Entry'!$D4293='Visual SPC'!$G$4),OR('Visual SPC'!$I$4="",'Data Entry'!$E4293='Visual SPC'!$I$4),OR('Visual SPC'!$K$4="",'Data Entry'!$F4293='Visual SPC'!$K$4)),1,0))</f>
        <v/>
      </c>
      <c r="C4293">
        <f>C4292+B4293</f>
        <v/>
      </c>
      <c r="D4293">
        <f>IF(B4293=1,INDEX('Data Entry'!$H$5:$BE$10004,4293-4,'Visual SPC'!$B$3),"")</f>
        <v/>
      </c>
      <c r="E4293">
        <f>IF(B4293=1,D4293,E4292)</f>
        <v/>
      </c>
      <c r="F4293">
        <f>IF(AND(B4293=1,C4293&gt;1,E4292&lt;&gt;""),ABS(D4293-E4292),"")</f>
        <v/>
      </c>
    </row>
    <row r="4294">
      <c r="A4294" t="n">
        <v>4294</v>
      </c>
      <c r="B4294">
        <f>IF(INDEX('Data Entry'!$H$5:$BE$10004,4294-4,'Visual SPC'!$B$3)="",0,IF(AND(OR('Visual SPC'!$C$4="",'Data Entry'!$C4294&gt;='Visual SPC'!$C$4),OR('Visual SPC'!$E$4="",'Data Entry'!$C4294&lt;='Visual SPC'!$E$4),OR('Visual SPC'!$G$4="",'Data Entry'!$D4294='Visual SPC'!$G$4),OR('Visual SPC'!$I$4="",'Data Entry'!$E4294='Visual SPC'!$I$4),OR('Visual SPC'!$K$4="",'Data Entry'!$F4294='Visual SPC'!$K$4)),1,0))</f>
        <v/>
      </c>
      <c r="C4294">
        <f>C4293+B4294</f>
        <v/>
      </c>
      <c r="D4294">
        <f>IF(B4294=1,INDEX('Data Entry'!$H$5:$BE$10004,4294-4,'Visual SPC'!$B$3),"")</f>
        <v/>
      </c>
      <c r="E4294">
        <f>IF(B4294=1,D4294,E4293)</f>
        <v/>
      </c>
      <c r="F4294">
        <f>IF(AND(B4294=1,C4294&gt;1,E4293&lt;&gt;""),ABS(D4294-E4293),"")</f>
        <v/>
      </c>
    </row>
    <row r="4295">
      <c r="A4295" t="n">
        <v>4295</v>
      </c>
      <c r="B4295">
        <f>IF(INDEX('Data Entry'!$H$5:$BE$10004,4295-4,'Visual SPC'!$B$3)="",0,IF(AND(OR('Visual SPC'!$C$4="",'Data Entry'!$C4295&gt;='Visual SPC'!$C$4),OR('Visual SPC'!$E$4="",'Data Entry'!$C4295&lt;='Visual SPC'!$E$4),OR('Visual SPC'!$G$4="",'Data Entry'!$D4295='Visual SPC'!$G$4),OR('Visual SPC'!$I$4="",'Data Entry'!$E4295='Visual SPC'!$I$4),OR('Visual SPC'!$K$4="",'Data Entry'!$F4295='Visual SPC'!$K$4)),1,0))</f>
        <v/>
      </c>
      <c r="C4295">
        <f>C4294+B4295</f>
        <v/>
      </c>
      <c r="D4295">
        <f>IF(B4295=1,INDEX('Data Entry'!$H$5:$BE$10004,4295-4,'Visual SPC'!$B$3),"")</f>
        <v/>
      </c>
      <c r="E4295">
        <f>IF(B4295=1,D4295,E4294)</f>
        <v/>
      </c>
      <c r="F4295">
        <f>IF(AND(B4295=1,C4295&gt;1,E4294&lt;&gt;""),ABS(D4295-E4294),"")</f>
        <v/>
      </c>
    </row>
    <row r="4296">
      <c r="A4296" t="n">
        <v>4296</v>
      </c>
      <c r="B4296">
        <f>IF(INDEX('Data Entry'!$H$5:$BE$10004,4296-4,'Visual SPC'!$B$3)="",0,IF(AND(OR('Visual SPC'!$C$4="",'Data Entry'!$C4296&gt;='Visual SPC'!$C$4),OR('Visual SPC'!$E$4="",'Data Entry'!$C4296&lt;='Visual SPC'!$E$4),OR('Visual SPC'!$G$4="",'Data Entry'!$D4296='Visual SPC'!$G$4),OR('Visual SPC'!$I$4="",'Data Entry'!$E4296='Visual SPC'!$I$4),OR('Visual SPC'!$K$4="",'Data Entry'!$F4296='Visual SPC'!$K$4)),1,0))</f>
        <v/>
      </c>
      <c r="C4296">
        <f>C4295+B4296</f>
        <v/>
      </c>
      <c r="D4296">
        <f>IF(B4296=1,INDEX('Data Entry'!$H$5:$BE$10004,4296-4,'Visual SPC'!$B$3),"")</f>
        <v/>
      </c>
      <c r="E4296">
        <f>IF(B4296=1,D4296,E4295)</f>
        <v/>
      </c>
      <c r="F4296">
        <f>IF(AND(B4296=1,C4296&gt;1,E4295&lt;&gt;""),ABS(D4296-E4295),"")</f>
        <v/>
      </c>
    </row>
    <row r="4297">
      <c r="A4297" t="n">
        <v>4297</v>
      </c>
      <c r="B4297">
        <f>IF(INDEX('Data Entry'!$H$5:$BE$10004,4297-4,'Visual SPC'!$B$3)="",0,IF(AND(OR('Visual SPC'!$C$4="",'Data Entry'!$C4297&gt;='Visual SPC'!$C$4),OR('Visual SPC'!$E$4="",'Data Entry'!$C4297&lt;='Visual SPC'!$E$4),OR('Visual SPC'!$G$4="",'Data Entry'!$D4297='Visual SPC'!$G$4),OR('Visual SPC'!$I$4="",'Data Entry'!$E4297='Visual SPC'!$I$4),OR('Visual SPC'!$K$4="",'Data Entry'!$F4297='Visual SPC'!$K$4)),1,0))</f>
        <v/>
      </c>
      <c r="C4297">
        <f>C4296+B4297</f>
        <v/>
      </c>
      <c r="D4297">
        <f>IF(B4297=1,INDEX('Data Entry'!$H$5:$BE$10004,4297-4,'Visual SPC'!$B$3),"")</f>
        <v/>
      </c>
      <c r="E4297">
        <f>IF(B4297=1,D4297,E4296)</f>
        <v/>
      </c>
      <c r="F4297">
        <f>IF(AND(B4297=1,C4297&gt;1,E4296&lt;&gt;""),ABS(D4297-E4296),"")</f>
        <v/>
      </c>
    </row>
    <row r="4298">
      <c r="A4298" t="n">
        <v>4298</v>
      </c>
      <c r="B4298">
        <f>IF(INDEX('Data Entry'!$H$5:$BE$10004,4298-4,'Visual SPC'!$B$3)="",0,IF(AND(OR('Visual SPC'!$C$4="",'Data Entry'!$C4298&gt;='Visual SPC'!$C$4),OR('Visual SPC'!$E$4="",'Data Entry'!$C4298&lt;='Visual SPC'!$E$4),OR('Visual SPC'!$G$4="",'Data Entry'!$D4298='Visual SPC'!$G$4),OR('Visual SPC'!$I$4="",'Data Entry'!$E4298='Visual SPC'!$I$4),OR('Visual SPC'!$K$4="",'Data Entry'!$F4298='Visual SPC'!$K$4)),1,0))</f>
        <v/>
      </c>
      <c r="C4298">
        <f>C4297+B4298</f>
        <v/>
      </c>
      <c r="D4298">
        <f>IF(B4298=1,INDEX('Data Entry'!$H$5:$BE$10004,4298-4,'Visual SPC'!$B$3),"")</f>
        <v/>
      </c>
      <c r="E4298">
        <f>IF(B4298=1,D4298,E4297)</f>
        <v/>
      </c>
      <c r="F4298">
        <f>IF(AND(B4298=1,C4298&gt;1,E4297&lt;&gt;""),ABS(D4298-E4297),"")</f>
        <v/>
      </c>
    </row>
    <row r="4299">
      <c r="A4299" t="n">
        <v>4299</v>
      </c>
      <c r="B4299">
        <f>IF(INDEX('Data Entry'!$H$5:$BE$10004,4299-4,'Visual SPC'!$B$3)="",0,IF(AND(OR('Visual SPC'!$C$4="",'Data Entry'!$C4299&gt;='Visual SPC'!$C$4),OR('Visual SPC'!$E$4="",'Data Entry'!$C4299&lt;='Visual SPC'!$E$4),OR('Visual SPC'!$G$4="",'Data Entry'!$D4299='Visual SPC'!$G$4),OR('Visual SPC'!$I$4="",'Data Entry'!$E4299='Visual SPC'!$I$4),OR('Visual SPC'!$K$4="",'Data Entry'!$F4299='Visual SPC'!$K$4)),1,0))</f>
        <v/>
      </c>
      <c r="C4299">
        <f>C4298+B4299</f>
        <v/>
      </c>
      <c r="D4299">
        <f>IF(B4299=1,INDEX('Data Entry'!$H$5:$BE$10004,4299-4,'Visual SPC'!$B$3),"")</f>
        <v/>
      </c>
      <c r="E4299">
        <f>IF(B4299=1,D4299,E4298)</f>
        <v/>
      </c>
      <c r="F4299">
        <f>IF(AND(B4299=1,C4299&gt;1,E4298&lt;&gt;""),ABS(D4299-E4298),"")</f>
        <v/>
      </c>
    </row>
    <row r="4300">
      <c r="A4300" t="n">
        <v>4300</v>
      </c>
      <c r="B4300">
        <f>IF(INDEX('Data Entry'!$H$5:$BE$10004,4300-4,'Visual SPC'!$B$3)="",0,IF(AND(OR('Visual SPC'!$C$4="",'Data Entry'!$C4300&gt;='Visual SPC'!$C$4),OR('Visual SPC'!$E$4="",'Data Entry'!$C4300&lt;='Visual SPC'!$E$4),OR('Visual SPC'!$G$4="",'Data Entry'!$D4300='Visual SPC'!$G$4),OR('Visual SPC'!$I$4="",'Data Entry'!$E4300='Visual SPC'!$I$4),OR('Visual SPC'!$K$4="",'Data Entry'!$F4300='Visual SPC'!$K$4)),1,0))</f>
        <v/>
      </c>
      <c r="C4300">
        <f>C4299+B4300</f>
        <v/>
      </c>
      <c r="D4300">
        <f>IF(B4300=1,INDEX('Data Entry'!$H$5:$BE$10004,4300-4,'Visual SPC'!$B$3),"")</f>
        <v/>
      </c>
      <c r="E4300">
        <f>IF(B4300=1,D4300,E4299)</f>
        <v/>
      </c>
      <c r="F4300">
        <f>IF(AND(B4300=1,C4300&gt;1,E4299&lt;&gt;""),ABS(D4300-E4299),"")</f>
        <v/>
      </c>
    </row>
    <row r="4301">
      <c r="A4301" t="n">
        <v>4301</v>
      </c>
      <c r="B4301">
        <f>IF(INDEX('Data Entry'!$H$5:$BE$10004,4301-4,'Visual SPC'!$B$3)="",0,IF(AND(OR('Visual SPC'!$C$4="",'Data Entry'!$C4301&gt;='Visual SPC'!$C$4),OR('Visual SPC'!$E$4="",'Data Entry'!$C4301&lt;='Visual SPC'!$E$4),OR('Visual SPC'!$G$4="",'Data Entry'!$D4301='Visual SPC'!$G$4),OR('Visual SPC'!$I$4="",'Data Entry'!$E4301='Visual SPC'!$I$4),OR('Visual SPC'!$K$4="",'Data Entry'!$F4301='Visual SPC'!$K$4)),1,0))</f>
        <v/>
      </c>
      <c r="C4301">
        <f>C4300+B4301</f>
        <v/>
      </c>
      <c r="D4301">
        <f>IF(B4301=1,INDEX('Data Entry'!$H$5:$BE$10004,4301-4,'Visual SPC'!$B$3),"")</f>
        <v/>
      </c>
      <c r="E4301">
        <f>IF(B4301=1,D4301,E4300)</f>
        <v/>
      </c>
      <c r="F4301">
        <f>IF(AND(B4301=1,C4301&gt;1,E4300&lt;&gt;""),ABS(D4301-E4300),"")</f>
        <v/>
      </c>
    </row>
    <row r="4302">
      <c r="A4302" t="n">
        <v>4302</v>
      </c>
      <c r="B4302">
        <f>IF(INDEX('Data Entry'!$H$5:$BE$10004,4302-4,'Visual SPC'!$B$3)="",0,IF(AND(OR('Visual SPC'!$C$4="",'Data Entry'!$C4302&gt;='Visual SPC'!$C$4),OR('Visual SPC'!$E$4="",'Data Entry'!$C4302&lt;='Visual SPC'!$E$4),OR('Visual SPC'!$G$4="",'Data Entry'!$D4302='Visual SPC'!$G$4),OR('Visual SPC'!$I$4="",'Data Entry'!$E4302='Visual SPC'!$I$4),OR('Visual SPC'!$K$4="",'Data Entry'!$F4302='Visual SPC'!$K$4)),1,0))</f>
        <v/>
      </c>
      <c r="C4302">
        <f>C4301+B4302</f>
        <v/>
      </c>
      <c r="D4302">
        <f>IF(B4302=1,INDEX('Data Entry'!$H$5:$BE$10004,4302-4,'Visual SPC'!$B$3),"")</f>
        <v/>
      </c>
      <c r="E4302">
        <f>IF(B4302=1,D4302,E4301)</f>
        <v/>
      </c>
      <c r="F4302">
        <f>IF(AND(B4302=1,C4302&gt;1,E4301&lt;&gt;""),ABS(D4302-E4301),"")</f>
        <v/>
      </c>
    </row>
    <row r="4303">
      <c r="A4303" t="n">
        <v>4303</v>
      </c>
      <c r="B4303">
        <f>IF(INDEX('Data Entry'!$H$5:$BE$10004,4303-4,'Visual SPC'!$B$3)="",0,IF(AND(OR('Visual SPC'!$C$4="",'Data Entry'!$C4303&gt;='Visual SPC'!$C$4),OR('Visual SPC'!$E$4="",'Data Entry'!$C4303&lt;='Visual SPC'!$E$4),OR('Visual SPC'!$G$4="",'Data Entry'!$D4303='Visual SPC'!$G$4),OR('Visual SPC'!$I$4="",'Data Entry'!$E4303='Visual SPC'!$I$4),OR('Visual SPC'!$K$4="",'Data Entry'!$F4303='Visual SPC'!$K$4)),1,0))</f>
        <v/>
      </c>
      <c r="C4303">
        <f>C4302+B4303</f>
        <v/>
      </c>
      <c r="D4303">
        <f>IF(B4303=1,INDEX('Data Entry'!$H$5:$BE$10004,4303-4,'Visual SPC'!$B$3),"")</f>
        <v/>
      </c>
      <c r="E4303">
        <f>IF(B4303=1,D4303,E4302)</f>
        <v/>
      </c>
      <c r="F4303">
        <f>IF(AND(B4303=1,C4303&gt;1,E4302&lt;&gt;""),ABS(D4303-E4302),"")</f>
        <v/>
      </c>
    </row>
    <row r="4304">
      <c r="A4304" t="n">
        <v>4304</v>
      </c>
      <c r="B4304">
        <f>IF(INDEX('Data Entry'!$H$5:$BE$10004,4304-4,'Visual SPC'!$B$3)="",0,IF(AND(OR('Visual SPC'!$C$4="",'Data Entry'!$C4304&gt;='Visual SPC'!$C$4),OR('Visual SPC'!$E$4="",'Data Entry'!$C4304&lt;='Visual SPC'!$E$4),OR('Visual SPC'!$G$4="",'Data Entry'!$D4304='Visual SPC'!$G$4),OR('Visual SPC'!$I$4="",'Data Entry'!$E4304='Visual SPC'!$I$4),OR('Visual SPC'!$K$4="",'Data Entry'!$F4304='Visual SPC'!$K$4)),1,0))</f>
        <v/>
      </c>
      <c r="C4304">
        <f>C4303+B4304</f>
        <v/>
      </c>
      <c r="D4304">
        <f>IF(B4304=1,INDEX('Data Entry'!$H$5:$BE$10004,4304-4,'Visual SPC'!$B$3),"")</f>
        <v/>
      </c>
      <c r="E4304">
        <f>IF(B4304=1,D4304,E4303)</f>
        <v/>
      </c>
      <c r="F4304">
        <f>IF(AND(B4304=1,C4304&gt;1,E4303&lt;&gt;""),ABS(D4304-E4303),"")</f>
        <v/>
      </c>
    </row>
    <row r="4305">
      <c r="A4305" t="n">
        <v>4305</v>
      </c>
      <c r="B4305">
        <f>IF(INDEX('Data Entry'!$H$5:$BE$10004,4305-4,'Visual SPC'!$B$3)="",0,IF(AND(OR('Visual SPC'!$C$4="",'Data Entry'!$C4305&gt;='Visual SPC'!$C$4),OR('Visual SPC'!$E$4="",'Data Entry'!$C4305&lt;='Visual SPC'!$E$4),OR('Visual SPC'!$G$4="",'Data Entry'!$D4305='Visual SPC'!$G$4),OR('Visual SPC'!$I$4="",'Data Entry'!$E4305='Visual SPC'!$I$4),OR('Visual SPC'!$K$4="",'Data Entry'!$F4305='Visual SPC'!$K$4)),1,0))</f>
        <v/>
      </c>
      <c r="C4305">
        <f>C4304+B4305</f>
        <v/>
      </c>
      <c r="D4305">
        <f>IF(B4305=1,INDEX('Data Entry'!$H$5:$BE$10004,4305-4,'Visual SPC'!$B$3),"")</f>
        <v/>
      </c>
      <c r="E4305">
        <f>IF(B4305=1,D4305,E4304)</f>
        <v/>
      </c>
      <c r="F4305">
        <f>IF(AND(B4305=1,C4305&gt;1,E4304&lt;&gt;""),ABS(D4305-E4304),"")</f>
        <v/>
      </c>
    </row>
    <row r="4306">
      <c r="A4306" t="n">
        <v>4306</v>
      </c>
      <c r="B4306">
        <f>IF(INDEX('Data Entry'!$H$5:$BE$10004,4306-4,'Visual SPC'!$B$3)="",0,IF(AND(OR('Visual SPC'!$C$4="",'Data Entry'!$C4306&gt;='Visual SPC'!$C$4),OR('Visual SPC'!$E$4="",'Data Entry'!$C4306&lt;='Visual SPC'!$E$4),OR('Visual SPC'!$G$4="",'Data Entry'!$D4306='Visual SPC'!$G$4),OR('Visual SPC'!$I$4="",'Data Entry'!$E4306='Visual SPC'!$I$4),OR('Visual SPC'!$K$4="",'Data Entry'!$F4306='Visual SPC'!$K$4)),1,0))</f>
        <v/>
      </c>
      <c r="C4306">
        <f>C4305+B4306</f>
        <v/>
      </c>
      <c r="D4306">
        <f>IF(B4306=1,INDEX('Data Entry'!$H$5:$BE$10004,4306-4,'Visual SPC'!$B$3),"")</f>
        <v/>
      </c>
      <c r="E4306">
        <f>IF(B4306=1,D4306,E4305)</f>
        <v/>
      </c>
      <c r="F4306">
        <f>IF(AND(B4306=1,C4306&gt;1,E4305&lt;&gt;""),ABS(D4306-E4305),"")</f>
        <v/>
      </c>
    </row>
    <row r="4307">
      <c r="A4307" t="n">
        <v>4307</v>
      </c>
      <c r="B4307">
        <f>IF(INDEX('Data Entry'!$H$5:$BE$10004,4307-4,'Visual SPC'!$B$3)="",0,IF(AND(OR('Visual SPC'!$C$4="",'Data Entry'!$C4307&gt;='Visual SPC'!$C$4),OR('Visual SPC'!$E$4="",'Data Entry'!$C4307&lt;='Visual SPC'!$E$4),OR('Visual SPC'!$G$4="",'Data Entry'!$D4307='Visual SPC'!$G$4),OR('Visual SPC'!$I$4="",'Data Entry'!$E4307='Visual SPC'!$I$4),OR('Visual SPC'!$K$4="",'Data Entry'!$F4307='Visual SPC'!$K$4)),1,0))</f>
        <v/>
      </c>
      <c r="C4307">
        <f>C4306+B4307</f>
        <v/>
      </c>
      <c r="D4307">
        <f>IF(B4307=1,INDEX('Data Entry'!$H$5:$BE$10004,4307-4,'Visual SPC'!$B$3),"")</f>
        <v/>
      </c>
      <c r="E4307">
        <f>IF(B4307=1,D4307,E4306)</f>
        <v/>
      </c>
      <c r="F4307">
        <f>IF(AND(B4307=1,C4307&gt;1,E4306&lt;&gt;""),ABS(D4307-E4306),"")</f>
        <v/>
      </c>
    </row>
    <row r="4308">
      <c r="A4308" t="n">
        <v>4308</v>
      </c>
      <c r="B4308">
        <f>IF(INDEX('Data Entry'!$H$5:$BE$10004,4308-4,'Visual SPC'!$B$3)="",0,IF(AND(OR('Visual SPC'!$C$4="",'Data Entry'!$C4308&gt;='Visual SPC'!$C$4),OR('Visual SPC'!$E$4="",'Data Entry'!$C4308&lt;='Visual SPC'!$E$4),OR('Visual SPC'!$G$4="",'Data Entry'!$D4308='Visual SPC'!$G$4),OR('Visual SPC'!$I$4="",'Data Entry'!$E4308='Visual SPC'!$I$4),OR('Visual SPC'!$K$4="",'Data Entry'!$F4308='Visual SPC'!$K$4)),1,0))</f>
        <v/>
      </c>
      <c r="C4308">
        <f>C4307+B4308</f>
        <v/>
      </c>
      <c r="D4308">
        <f>IF(B4308=1,INDEX('Data Entry'!$H$5:$BE$10004,4308-4,'Visual SPC'!$B$3),"")</f>
        <v/>
      </c>
      <c r="E4308">
        <f>IF(B4308=1,D4308,E4307)</f>
        <v/>
      </c>
      <c r="F4308">
        <f>IF(AND(B4308=1,C4308&gt;1,E4307&lt;&gt;""),ABS(D4308-E4307),"")</f>
        <v/>
      </c>
    </row>
    <row r="4309">
      <c r="A4309" t="n">
        <v>4309</v>
      </c>
      <c r="B4309">
        <f>IF(INDEX('Data Entry'!$H$5:$BE$10004,4309-4,'Visual SPC'!$B$3)="",0,IF(AND(OR('Visual SPC'!$C$4="",'Data Entry'!$C4309&gt;='Visual SPC'!$C$4),OR('Visual SPC'!$E$4="",'Data Entry'!$C4309&lt;='Visual SPC'!$E$4),OR('Visual SPC'!$G$4="",'Data Entry'!$D4309='Visual SPC'!$G$4),OR('Visual SPC'!$I$4="",'Data Entry'!$E4309='Visual SPC'!$I$4),OR('Visual SPC'!$K$4="",'Data Entry'!$F4309='Visual SPC'!$K$4)),1,0))</f>
        <v/>
      </c>
      <c r="C4309">
        <f>C4308+B4309</f>
        <v/>
      </c>
      <c r="D4309">
        <f>IF(B4309=1,INDEX('Data Entry'!$H$5:$BE$10004,4309-4,'Visual SPC'!$B$3),"")</f>
        <v/>
      </c>
      <c r="E4309">
        <f>IF(B4309=1,D4309,E4308)</f>
        <v/>
      </c>
      <c r="F4309">
        <f>IF(AND(B4309=1,C4309&gt;1,E4308&lt;&gt;""),ABS(D4309-E4308),"")</f>
        <v/>
      </c>
    </row>
    <row r="4310">
      <c r="A4310" t="n">
        <v>4310</v>
      </c>
      <c r="B4310">
        <f>IF(INDEX('Data Entry'!$H$5:$BE$10004,4310-4,'Visual SPC'!$B$3)="",0,IF(AND(OR('Visual SPC'!$C$4="",'Data Entry'!$C4310&gt;='Visual SPC'!$C$4),OR('Visual SPC'!$E$4="",'Data Entry'!$C4310&lt;='Visual SPC'!$E$4),OR('Visual SPC'!$G$4="",'Data Entry'!$D4310='Visual SPC'!$G$4),OR('Visual SPC'!$I$4="",'Data Entry'!$E4310='Visual SPC'!$I$4),OR('Visual SPC'!$K$4="",'Data Entry'!$F4310='Visual SPC'!$K$4)),1,0))</f>
        <v/>
      </c>
      <c r="C4310">
        <f>C4309+B4310</f>
        <v/>
      </c>
      <c r="D4310">
        <f>IF(B4310=1,INDEX('Data Entry'!$H$5:$BE$10004,4310-4,'Visual SPC'!$B$3),"")</f>
        <v/>
      </c>
      <c r="E4310">
        <f>IF(B4310=1,D4310,E4309)</f>
        <v/>
      </c>
      <c r="F4310">
        <f>IF(AND(B4310=1,C4310&gt;1,E4309&lt;&gt;""),ABS(D4310-E4309),"")</f>
        <v/>
      </c>
    </row>
    <row r="4311">
      <c r="A4311" t="n">
        <v>4311</v>
      </c>
      <c r="B4311">
        <f>IF(INDEX('Data Entry'!$H$5:$BE$10004,4311-4,'Visual SPC'!$B$3)="",0,IF(AND(OR('Visual SPC'!$C$4="",'Data Entry'!$C4311&gt;='Visual SPC'!$C$4),OR('Visual SPC'!$E$4="",'Data Entry'!$C4311&lt;='Visual SPC'!$E$4),OR('Visual SPC'!$G$4="",'Data Entry'!$D4311='Visual SPC'!$G$4),OR('Visual SPC'!$I$4="",'Data Entry'!$E4311='Visual SPC'!$I$4),OR('Visual SPC'!$K$4="",'Data Entry'!$F4311='Visual SPC'!$K$4)),1,0))</f>
        <v/>
      </c>
      <c r="C4311">
        <f>C4310+B4311</f>
        <v/>
      </c>
      <c r="D4311">
        <f>IF(B4311=1,INDEX('Data Entry'!$H$5:$BE$10004,4311-4,'Visual SPC'!$B$3),"")</f>
        <v/>
      </c>
      <c r="E4311">
        <f>IF(B4311=1,D4311,E4310)</f>
        <v/>
      </c>
      <c r="F4311">
        <f>IF(AND(B4311=1,C4311&gt;1,E4310&lt;&gt;""),ABS(D4311-E4310),"")</f>
        <v/>
      </c>
    </row>
    <row r="4312">
      <c r="A4312" t="n">
        <v>4312</v>
      </c>
      <c r="B4312">
        <f>IF(INDEX('Data Entry'!$H$5:$BE$10004,4312-4,'Visual SPC'!$B$3)="",0,IF(AND(OR('Visual SPC'!$C$4="",'Data Entry'!$C4312&gt;='Visual SPC'!$C$4),OR('Visual SPC'!$E$4="",'Data Entry'!$C4312&lt;='Visual SPC'!$E$4),OR('Visual SPC'!$G$4="",'Data Entry'!$D4312='Visual SPC'!$G$4),OR('Visual SPC'!$I$4="",'Data Entry'!$E4312='Visual SPC'!$I$4),OR('Visual SPC'!$K$4="",'Data Entry'!$F4312='Visual SPC'!$K$4)),1,0))</f>
        <v/>
      </c>
      <c r="C4312">
        <f>C4311+B4312</f>
        <v/>
      </c>
      <c r="D4312">
        <f>IF(B4312=1,INDEX('Data Entry'!$H$5:$BE$10004,4312-4,'Visual SPC'!$B$3),"")</f>
        <v/>
      </c>
      <c r="E4312">
        <f>IF(B4312=1,D4312,E4311)</f>
        <v/>
      </c>
      <c r="F4312">
        <f>IF(AND(B4312=1,C4312&gt;1,E4311&lt;&gt;""),ABS(D4312-E4311),"")</f>
        <v/>
      </c>
    </row>
    <row r="4313">
      <c r="A4313" t="n">
        <v>4313</v>
      </c>
      <c r="B4313">
        <f>IF(INDEX('Data Entry'!$H$5:$BE$10004,4313-4,'Visual SPC'!$B$3)="",0,IF(AND(OR('Visual SPC'!$C$4="",'Data Entry'!$C4313&gt;='Visual SPC'!$C$4),OR('Visual SPC'!$E$4="",'Data Entry'!$C4313&lt;='Visual SPC'!$E$4),OR('Visual SPC'!$G$4="",'Data Entry'!$D4313='Visual SPC'!$G$4),OR('Visual SPC'!$I$4="",'Data Entry'!$E4313='Visual SPC'!$I$4),OR('Visual SPC'!$K$4="",'Data Entry'!$F4313='Visual SPC'!$K$4)),1,0))</f>
        <v/>
      </c>
      <c r="C4313">
        <f>C4312+B4313</f>
        <v/>
      </c>
      <c r="D4313">
        <f>IF(B4313=1,INDEX('Data Entry'!$H$5:$BE$10004,4313-4,'Visual SPC'!$B$3),"")</f>
        <v/>
      </c>
      <c r="E4313">
        <f>IF(B4313=1,D4313,E4312)</f>
        <v/>
      </c>
      <c r="F4313">
        <f>IF(AND(B4313=1,C4313&gt;1,E4312&lt;&gt;""),ABS(D4313-E4312),"")</f>
        <v/>
      </c>
    </row>
    <row r="4314">
      <c r="A4314" t="n">
        <v>4314</v>
      </c>
      <c r="B4314">
        <f>IF(INDEX('Data Entry'!$H$5:$BE$10004,4314-4,'Visual SPC'!$B$3)="",0,IF(AND(OR('Visual SPC'!$C$4="",'Data Entry'!$C4314&gt;='Visual SPC'!$C$4),OR('Visual SPC'!$E$4="",'Data Entry'!$C4314&lt;='Visual SPC'!$E$4),OR('Visual SPC'!$G$4="",'Data Entry'!$D4314='Visual SPC'!$G$4),OR('Visual SPC'!$I$4="",'Data Entry'!$E4314='Visual SPC'!$I$4),OR('Visual SPC'!$K$4="",'Data Entry'!$F4314='Visual SPC'!$K$4)),1,0))</f>
        <v/>
      </c>
      <c r="C4314">
        <f>C4313+B4314</f>
        <v/>
      </c>
      <c r="D4314">
        <f>IF(B4314=1,INDEX('Data Entry'!$H$5:$BE$10004,4314-4,'Visual SPC'!$B$3),"")</f>
        <v/>
      </c>
      <c r="E4314">
        <f>IF(B4314=1,D4314,E4313)</f>
        <v/>
      </c>
      <c r="F4314">
        <f>IF(AND(B4314=1,C4314&gt;1,E4313&lt;&gt;""),ABS(D4314-E4313),"")</f>
        <v/>
      </c>
    </row>
    <row r="4315">
      <c r="A4315" t="n">
        <v>4315</v>
      </c>
      <c r="B4315">
        <f>IF(INDEX('Data Entry'!$H$5:$BE$10004,4315-4,'Visual SPC'!$B$3)="",0,IF(AND(OR('Visual SPC'!$C$4="",'Data Entry'!$C4315&gt;='Visual SPC'!$C$4),OR('Visual SPC'!$E$4="",'Data Entry'!$C4315&lt;='Visual SPC'!$E$4),OR('Visual SPC'!$G$4="",'Data Entry'!$D4315='Visual SPC'!$G$4),OR('Visual SPC'!$I$4="",'Data Entry'!$E4315='Visual SPC'!$I$4),OR('Visual SPC'!$K$4="",'Data Entry'!$F4315='Visual SPC'!$K$4)),1,0))</f>
        <v/>
      </c>
      <c r="C4315">
        <f>C4314+B4315</f>
        <v/>
      </c>
      <c r="D4315">
        <f>IF(B4315=1,INDEX('Data Entry'!$H$5:$BE$10004,4315-4,'Visual SPC'!$B$3),"")</f>
        <v/>
      </c>
      <c r="E4315">
        <f>IF(B4315=1,D4315,E4314)</f>
        <v/>
      </c>
      <c r="F4315">
        <f>IF(AND(B4315=1,C4315&gt;1,E4314&lt;&gt;""),ABS(D4315-E4314),"")</f>
        <v/>
      </c>
    </row>
    <row r="4316">
      <c r="A4316" t="n">
        <v>4316</v>
      </c>
      <c r="B4316">
        <f>IF(INDEX('Data Entry'!$H$5:$BE$10004,4316-4,'Visual SPC'!$B$3)="",0,IF(AND(OR('Visual SPC'!$C$4="",'Data Entry'!$C4316&gt;='Visual SPC'!$C$4),OR('Visual SPC'!$E$4="",'Data Entry'!$C4316&lt;='Visual SPC'!$E$4),OR('Visual SPC'!$G$4="",'Data Entry'!$D4316='Visual SPC'!$G$4),OR('Visual SPC'!$I$4="",'Data Entry'!$E4316='Visual SPC'!$I$4),OR('Visual SPC'!$K$4="",'Data Entry'!$F4316='Visual SPC'!$K$4)),1,0))</f>
        <v/>
      </c>
      <c r="C4316">
        <f>C4315+B4316</f>
        <v/>
      </c>
      <c r="D4316">
        <f>IF(B4316=1,INDEX('Data Entry'!$H$5:$BE$10004,4316-4,'Visual SPC'!$B$3),"")</f>
        <v/>
      </c>
      <c r="E4316">
        <f>IF(B4316=1,D4316,E4315)</f>
        <v/>
      </c>
      <c r="F4316">
        <f>IF(AND(B4316=1,C4316&gt;1,E4315&lt;&gt;""),ABS(D4316-E4315),"")</f>
        <v/>
      </c>
    </row>
    <row r="4317">
      <c r="A4317" t="n">
        <v>4317</v>
      </c>
      <c r="B4317">
        <f>IF(INDEX('Data Entry'!$H$5:$BE$10004,4317-4,'Visual SPC'!$B$3)="",0,IF(AND(OR('Visual SPC'!$C$4="",'Data Entry'!$C4317&gt;='Visual SPC'!$C$4),OR('Visual SPC'!$E$4="",'Data Entry'!$C4317&lt;='Visual SPC'!$E$4),OR('Visual SPC'!$G$4="",'Data Entry'!$D4317='Visual SPC'!$G$4),OR('Visual SPC'!$I$4="",'Data Entry'!$E4317='Visual SPC'!$I$4),OR('Visual SPC'!$K$4="",'Data Entry'!$F4317='Visual SPC'!$K$4)),1,0))</f>
        <v/>
      </c>
      <c r="C4317">
        <f>C4316+B4317</f>
        <v/>
      </c>
      <c r="D4317">
        <f>IF(B4317=1,INDEX('Data Entry'!$H$5:$BE$10004,4317-4,'Visual SPC'!$B$3),"")</f>
        <v/>
      </c>
      <c r="E4317">
        <f>IF(B4317=1,D4317,E4316)</f>
        <v/>
      </c>
      <c r="F4317">
        <f>IF(AND(B4317=1,C4317&gt;1,E4316&lt;&gt;""),ABS(D4317-E4316),"")</f>
        <v/>
      </c>
    </row>
    <row r="4318">
      <c r="A4318" t="n">
        <v>4318</v>
      </c>
      <c r="B4318">
        <f>IF(INDEX('Data Entry'!$H$5:$BE$10004,4318-4,'Visual SPC'!$B$3)="",0,IF(AND(OR('Visual SPC'!$C$4="",'Data Entry'!$C4318&gt;='Visual SPC'!$C$4),OR('Visual SPC'!$E$4="",'Data Entry'!$C4318&lt;='Visual SPC'!$E$4),OR('Visual SPC'!$G$4="",'Data Entry'!$D4318='Visual SPC'!$G$4),OR('Visual SPC'!$I$4="",'Data Entry'!$E4318='Visual SPC'!$I$4),OR('Visual SPC'!$K$4="",'Data Entry'!$F4318='Visual SPC'!$K$4)),1,0))</f>
        <v/>
      </c>
      <c r="C4318">
        <f>C4317+B4318</f>
        <v/>
      </c>
      <c r="D4318">
        <f>IF(B4318=1,INDEX('Data Entry'!$H$5:$BE$10004,4318-4,'Visual SPC'!$B$3),"")</f>
        <v/>
      </c>
      <c r="E4318">
        <f>IF(B4318=1,D4318,E4317)</f>
        <v/>
      </c>
      <c r="F4318">
        <f>IF(AND(B4318=1,C4318&gt;1,E4317&lt;&gt;""),ABS(D4318-E4317),"")</f>
        <v/>
      </c>
    </row>
    <row r="4319">
      <c r="A4319" t="n">
        <v>4319</v>
      </c>
      <c r="B4319">
        <f>IF(INDEX('Data Entry'!$H$5:$BE$10004,4319-4,'Visual SPC'!$B$3)="",0,IF(AND(OR('Visual SPC'!$C$4="",'Data Entry'!$C4319&gt;='Visual SPC'!$C$4),OR('Visual SPC'!$E$4="",'Data Entry'!$C4319&lt;='Visual SPC'!$E$4),OR('Visual SPC'!$G$4="",'Data Entry'!$D4319='Visual SPC'!$G$4),OR('Visual SPC'!$I$4="",'Data Entry'!$E4319='Visual SPC'!$I$4),OR('Visual SPC'!$K$4="",'Data Entry'!$F4319='Visual SPC'!$K$4)),1,0))</f>
        <v/>
      </c>
      <c r="C4319">
        <f>C4318+B4319</f>
        <v/>
      </c>
      <c r="D4319">
        <f>IF(B4319=1,INDEX('Data Entry'!$H$5:$BE$10004,4319-4,'Visual SPC'!$B$3),"")</f>
        <v/>
      </c>
      <c r="E4319">
        <f>IF(B4319=1,D4319,E4318)</f>
        <v/>
      </c>
      <c r="F4319">
        <f>IF(AND(B4319=1,C4319&gt;1,E4318&lt;&gt;""),ABS(D4319-E4318),"")</f>
        <v/>
      </c>
    </row>
    <row r="4320">
      <c r="A4320" t="n">
        <v>4320</v>
      </c>
      <c r="B4320">
        <f>IF(INDEX('Data Entry'!$H$5:$BE$10004,4320-4,'Visual SPC'!$B$3)="",0,IF(AND(OR('Visual SPC'!$C$4="",'Data Entry'!$C4320&gt;='Visual SPC'!$C$4),OR('Visual SPC'!$E$4="",'Data Entry'!$C4320&lt;='Visual SPC'!$E$4),OR('Visual SPC'!$G$4="",'Data Entry'!$D4320='Visual SPC'!$G$4),OR('Visual SPC'!$I$4="",'Data Entry'!$E4320='Visual SPC'!$I$4),OR('Visual SPC'!$K$4="",'Data Entry'!$F4320='Visual SPC'!$K$4)),1,0))</f>
        <v/>
      </c>
      <c r="C4320">
        <f>C4319+B4320</f>
        <v/>
      </c>
      <c r="D4320">
        <f>IF(B4320=1,INDEX('Data Entry'!$H$5:$BE$10004,4320-4,'Visual SPC'!$B$3),"")</f>
        <v/>
      </c>
      <c r="E4320">
        <f>IF(B4320=1,D4320,E4319)</f>
        <v/>
      </c>
      <c r="F4320">
        <f>IF(AND(B4320=1,C4320&gt;1,E4319&lt;&gt;""),ABS(D4320-E4319),"")</f>
        <v/>
      </c>
    </row>
    <row r="4321">
      <c r="A4321" t="n">
        <v>4321</v>
      </c>
      <c r="B4321">
        <f>IF(INDEX('Data Entry'!$H$5:$BE$10004,4321-4,'Visual SPC'!$B$3)="",0,IF(AND(OR('Visual SPC'!$C$4="",'Data Entry'!$C4321&gt;='Visual SPC'!$C$4),OR('Visual SPC'!$E$4="",'Data Entry'!$C4321&lt;='Visual SPC'!$E$4),OR('Visual SPC'!$G$4="",'Data Entry'!$D4321='Visual SPC'!$G$4),OR('Visual SPC'!$I$4="",'Data Entry'!$E4321='Visual SPC'!$I$4),OR('Visual SPC'!$K$4="",'Data Entry'!$F4321='Visual SPC'!$K$4)),1,0))</f>
        <v/>
      </c>
      <c r="C4321">
        <f>C4320+B4321</f>
        <v/>
      </c>
      <c r="D4321">
        <f>IF(B4321=1,INDEX('Data Entry'!$H$5:$BE$10004,4321-4,'Visual SPC'!$B$3),"")</f>
        <v/>
      </c>
      <c r="E4321">
        <f>IF(B4321=1,D4321,E4320)</f>
        <v/>
      </c>
      <c r="F4321">
        <f>IF(AND(B4321=1,C4321&gt;1,E4320&lt;&gt;""),ABS(D4321-E4320),"")</f>
        <v/>
      </c>
    </row>
    <row r="4322">
      <c r="A4322" t="n">
        <v>4322</v>
      </c>
      <c r="B4322">
        <f>IF(INDEX('Data Entry'!$H$5:$BE$10004,4322-4,'Visual SPC'!$B$3)="",0,IF(AND(OR('Visual SPC'!$C$4="",'Data Entry'!$C4322&gt;='Visual SPC'!$C$4),OR('Visual SPC'!$E$4="",'Data Entry'!$C4322&lt;='Visual SPC'!$E$4),OR('Visual SPC'!$G$4="",'Data Entry'!$D4322='Visual SPC'!$G$4),OR('Visual SPC'!$I$4="",'Data Entry'!$E4322='Visual SPC'!$I$4),OR('Visual SPC'!$K$4="",'Data Entry'!$F4322='Visual SPC'!$K$4)),1,0))</f>
        <v/>
      </c>
      <c r="C4322">
        <f>C4321+B4322</f>
        <v/>
      </c>
      <c r="D4322">
        <f>IF(B4322=1,INDEX('Data Entry'!$H$5:$BE$10004,4322-4,'Visual SPC'!$B$3),"")</f>
        <v/>
      </c>
      <c r="E4322">
        <f>IF(B4322=1,D4322,E4321)</f>
        <v/>
      </c>
      <c r="F4322">
        <f>IF(AND(B4322=1,C4322&gt;1,E4321&lt;&gt;""),ABS(D4322-E4321),"")</f>
        <v/>
      </c>
    </row>
    <row r="4323">
      <c r="A4323" t="n">
        <v>4323</v>
      </c>
      <c r="B4323">
        <f>IF(INDEX('Data Entry'!$H$5:$BE$10004,4323-4,'Visual SPC'!$B$3)="",0,IF(AND(OR('Visual SPC'!$C$4="",'Data Entry'!$C4323&gt;='Visual SPC'!$C$4),OR('Visual SPC'!$E$4="",'Data Entry'!$C4323&lt;='Visual SPC'!$E$4),OR('Visual SPC'!$G$4="",'Data Entry'!$D4323='Visual SPC'!$G$4),OR('Visual SPC'!$I$4="",'Data Entry'!$E4323='Visual SPC'!$I$4),OR('Visual SPC'!$K$4="",'Data Entry'!$F4323='Visual SPC'!$K$4)),1,0))</f>
        <v/>
      </c>
      <c r="C4323">
        <f>C4322+B4323</f>
        <v/>
      </c>
      <c r="D4323">
        <f>IF(B4323=1,INDEX('Data Entry'!$H$5:$BE$10004,4323-4,'Visual SPC'!$B$3),"")</f>
        <v/>
      </c>
      <c r="E4323">
        <f>IF(B4323=1,D4323,E4322)</f>
        <v/>
      </c>
      <c r="F4323">
        <f>IF(AND(B4323=1,C4323&gt;1,E4322&lt;&gt;""),ABS(D4323-E4322),"")</f>
        <v/>
      </c>
    </row>
    <row r="4324">
      <c r="A4324" t="n">
        <v>4324</v>
      </c>
      <c r="B4324">
        <f>IF(INDEX('Data Entry'!$H$5:$BE$10004,4324-4,'Visual SPC'!$B$3)="",0,IF(AND(OR('Visual SPC'!$C$4="",'Data Entry'!$C4324&gt;='Visual SPC'!$C$4),OR('Visual SPC'!$E$4="",'Data Entry'!$C4324&lt;='Visual SPC'!$E$4),OR('Visual SPC'!$G$4="",'Data Entry'!$D4324='Visual SPC'!$G$4),OR('Visual SPC'!$I$4="",'Data Entry'!$E4324='Visual SPC'!$I$4),OR('Visual SPC'!$K$4="",'Data Entry'!$F4324='Visual SPC'!$K$4)),1,0))</f>
        <v/>
      </c>
      <c r="C4324">
        <f>C4323+B4324</f>
        <v/>
      </c>
      <c r="D4324">
        <f>IF(B4324=1,INDEX('Data Entry'!$H$5:$BE$10004,4324-4,'Visual SPC'!$B$3),"")</f>
        <v/>
      </c>
      <c r="E4324">
        <f>IF(B4324=1,D4324,E4323)</f>
        <v/>
      </c>
      <c r="F4324">
        <f>IF(AND(B4324=1,C4324&gt;1,E4323&lt;&gt;""),ABS(D4324-E4323),"")</f>
        <v/>
      </c>
    </row>
    <row r="4325">
      <c r="A4325" t="n">
        <v>4325</v>
      </c>
      <c r="B4325">
        <f>IF(INDEX('Data Entry'!$H$5:$BE$10004,4325-4,'Visual SPC'!$B$3)="",0,IF(AND(OR('Visual SPC'!$C$4="",'Data Entry'!$C4325&gt;='Visual SPC'!$C$4),OR('Visual SPC'!$E$4="",'Data Entry'!$C4325&lt;='Visual SPC'!$E$4),OR('Visual SPC'!$G$4="",'Data Entry'!$D4325='Visual SPC'!$G$4),OR('Visual SPC'!$I$4="",'Data Entry'!$E4325='Visual SPC'!$I$4),OR('Visual SPC'!$K$4="",'Data Entry'!$F4325='Visual SPC'!$K$4)),1,0))</f>
        <v/>
      </c>
      <c r="C4325">
        <f>C4324+B4325</f>
        <v/>
      </c>
      <c r="D4325">
        <f>IF(B4325=1,INDEX('Data Entry'!$H$5:$BE$10004,4325-4,'Visual SPC'!$B$3),"")</f>
        <v/>
      </c>
      <c r="E4325">
        <f>IF(B4325=1,D4325,E4324)</f>
        <v/>
      </c>
      <c r="F4325">
        <f>IF(AND(B4325=1,C4325&gt;1,E4324&lt;&gt;""),ABS(D4325-E4324),"")</f>
        <v/>
      </c>
    </row>
    <row r="4326">
      <c r="A4326" t="n">
        <v>4326</v>
      </c>
      <c r="B4326">
        <f>IF(INDEX('Data Entry'!$H$5:$BE$10004,4326-4,'Visual SPC'!$B$3)="",0,IF(AND(OR('Visual SPC'!$C$4="",'Data Entry'!$C4326&gt;='Visual SPC'!$C$4),OR('Visual SPC'!$E$4="",'Data Entry'!$C4326&lt;='Visual SPC'!$E$4),OR('Visual SPC'!$G$4="",'Data Entry'!$D4326='Visual SPC'!$G$4),OR('Visual SPC'!$I$4="",'Data Entry'!$E4326='Visual SPC'!$I$4),OR('Visual SPC'!$K$4="",'Data Entry'!$F4326='Visual SPC'!$K$4)),1,0))</f>
        <v/>
      </c>
      <c r="C4326">
        <f>C4325+B4326</f>
        <v/>
      </c>
      <c r="D4326">
        <f>IF(B4326=1,INDEX('Data Entry'!$H$5:$BE$10004,4326-4,'Visual SPC'!$B$3),"")</f>
        <v/>
      </c>
      <c r="E4326">
        <f>IF(B4326=1,D4326,E4325)</f>
        <v/>
      </c>
      <c r="F4326">
        <f>IF(AND(B4326=1,C4326&gt;1,E4325&lt;&gt;""),ABS(D4326-E4325),"")</f>
        <v/>
      </c>
    </row>
    <row r="4327">
      <c r="A4327" t="n">
        <v>4327</v>
      </c>
      <c r="B4327">
        <f>IF(INDEX('Data Entry'!$H$5:$BE$10004,4327-4,'Visual SPC'!$B$3)="",0,IF(AND(OR('Visual SPC'!$C$4="",'Data Entry'!$C4327&gt;='Visual SPC'!$C$4),OR('Visual SPC'!$E$4="",'Data Entry'!$C4327&lt;='Visual SPC'!$E$4),OR('Visual SPC'!$G$4="",'Data Entry'!$D4327='Visual SPC'!$G$4),OR('Visual SPC'!$I$4="",'Data Entry'!$E4327='Visual SPC'!$I$4),OR('Visual SPC'!$K$4="",'Data Entry'!$F4327='Visual SPC'!$K$4)),1,0))</f>
        <v/>
      </c>
      <c r="C4327">
        <f>C4326+B4327</f>
        <v/>
      </c>
      <c r="D4327">
        <f>IF(B4327=1,INDEX('Data Entry'!$H$5:$BE$10004,4327-4,'Visual SPC'!$B$3),"")</f>
        <v/>
      </c>
      <c r="E4327">
        <f>IF(B4327=1,D4327,E4326)</f>
        <v/>
      </c>
      <c r="F4327">
        <f>IF(AND(B4327=1,C4327&gt;1,E4326&lt;&gt;""),ABS(D4327-E4326),"")</f>
        <v/>
      </c>
    </row>
    <row r="4328">
      <c r="A4328" t="n">
        <v>4328</v>
      </c>
      <c r="B4328">
        <f>IF(INDEX('Data Entry'!$H$5:$BE$10004,4328-4,'Visual SPC'!$B$3)="",0,IF(AND(OR('Visual SPC'!$C$4="",'Data Entry'!$C4328&gt;='Visual SPC'!$C$4),OR('Visual SPC'!$E$4="",'Data Entry'!$C4328&lt;='Visual SPC'!$E$4),OR('Visual SPC'!$G$4="",'Data Entry'!$D4328='Visual SPC'!$G$4),OR('Visual SPC'!$I$4="",'Data Entry'!$E4328='Visual SPC'!$I$4),OR('Visual SPC'!$K$4="",'Data Entry'!$F4328='Visual SPC'!$K$4)),1,0))</f>
        <v/>
      </c>
      <c r="C4328">
        <f>C4327+B4328</f>
        <v/>
      </c>
      <c r="D4328">
        <f>IF(B4328=1,INDEX('Data Entry'!$H$5:$BE$10004,4328-4,'Visual SPC'!$B$3),"")</f>
        <v/>
      </c>
      <c r="E4328">
        <f>IF(B4328=1,D4328,E4327)</f>
        <v/>
      </c>
      <c r="F4328">
        <f>IF(AND(B4328=1,C4328&gt;1,E4327&lt;&gt;""),ABS(D4328-E4327),"")</f>
        <v/>
      </c>
    </row>
    <row r="4329">
      <c r="A4329" t="n">
        <v>4329</v>
      </c>
      <c r="B4329">
        <f>IF(INDEX('Data Entry'!$H$5:$BE$10004,4329-4,'Visual SPC'!$B$3)="",0,IF(AND(OR('Visual SPC'!$C$4="",'Data Entry'!$C4329&gt;='Visual SPC'!$C$4),OR('Visual SPC'!$E$4="",'Data Entry'!$C4329&lt;='Visual SPC'!$E$4),OR('Visual SPC'!$G$4="",'Data Entry'!$D4329='Visual SPC'!$G$4),OR('Visual SPC'!$I$4="",'Data Entry'!$E4329='Visual SPC'!$I$4),OR('Visual SPC'!$K$4="",'Data Entry'!$F4329='Visual SPC'!$K$4)),1,0))</f>
        <v/>
      </c>
      <c r="C4329">
        <f>C4328+B4329</f>
        <v/>
      </c>
      <c r="D4329">
        <f>IF(B4329=1,INDEX('Data Entry'!$H$5:$BE$10004,4329-4,'Visual SPC'!$B$3),"")</f>
        <v/>
      </c>
      <c r="E4329">
        <f>IF(B4329=1,D4329,E4328)</f>
        <v/>
      </c>
      <c r="F4329">
        <f>IF(AND(B4329=1,C4329&gt;1,E4328&lt;&gt;""),ABS(D4329-E4328),"")</f>
        <v/>
      </c>
    </row>
    <row r="4330">
      <c r="A4330" t="n">
        <v>4330</v>
      </c>
      <c r="B4330">
        <f>IF(INDEX('Data Entry'!$H$5:$BE$10004,4330-4,'Visual SPC'!$B$3)="",0,IF(AND(OR('Visual SPC'!$C$4="",'Data Entry'!$C4330&gt;='Visual SPC'!$C$4),OR('Visual SPC'!$E$4="",'Data Entry'!$C4330&lt;='Visual SPC'!$E$4),OR('Visual SPC'!$G$4="",'Data Entry'!$D4330='Visual SPC'!$G$4),OR('Visual SPC'!$I$4="",'Data Entry'!$E4330='Visual SPC'!$I$4),OR('Visual SPC'!$K$4="",'Data Entry'!$F4330='Visual SPC'!$K$4)),1,0))</f>
        <v/>
      </c>
      <c r="C4330">
        <f>C4329+B4330</f>
        <v/>
      </c>
      <c r="D4330">
        <f>IF(B4330=1,INDEX('Data Entry'!$H$5:$BE$10004,4330-4,'Visual SPC'!$B$3),"")</f>
        <v/>
      </c>
      <c r="E4330">
        <f>IF(B4330=1,D4330,E4329)</f>
        <v/>
      </c>
      <c r="F4330">
        <f>IF(AND(B4330=1,C4330&gt;1,E4329&lt;&gt;""),ABS(D4330-E4329),"")</f>
        <v/>
      </c>
    </row>
    <row r="4331">
      <c r="A4331" t="n">
        <v>4331</v>
      </c>
      <c r="B4331">
        <f>IF(INDEX('Data Entry'!$H$5:$BE$10004,4331-4,'Visual SPC'!$B$3)="",0,IF(AND(OR('Visual SPC'!$C$4="",'Data Entry'!$C4331&gt;='Visual SPC'!$C$4),OR('Visual SPC'!$E$4="",'Data Entry'!$C4331&lt;='Visual SPC'!$E$4),OR('Visual SPC'!$G$4="",'Data Entry'!$D4331='Visual SPC'!$G$4),OR('Visual SPC'!$I$4="",'Data Entry'!$E4331='Visual SPC'!$I$4),OR('Visual SPC'!$K$4="",'Data Entry'!$F4331='Visual SPC'!$K$4)),1,0))</f>
        <v/>
      </c>
      <c r="C4331">
        <f>C4330+B4331</f>
        <v/>
      </c>
      <c r="D4331">
        <f>IF(B4331=1,INDEX('Data Entry'!$H$5:$BE$10004,4331-4,'Visual SPC'!$B$3),"")</f>
        <v/>
      </c>
      <c r="E4331">
        <f>IF(B4331=1,D4331,E4330)</f>
        <v/>
      </c>
      <c r="F4331">
        <f>IF(AND(B4331=1,C4331&gt;1,E4330&lt;&gt;""),ABS(D4331-E4330),"")</f>
        <v/>
      </c>
    </row>
    <row r="4332">
      <c r="A4332" t="n">
        <v>4332</v>
      </c>
      <c r="B4332">
        <f>IF(INDEX('Data Entry'!$H$5:$BE$10004,4332-4,'Visual SPC'!$B$3)="",0,IF(AND(OR('Visual SPC'!$C$4="",'Data Entry'!$C4332&gt;='Visual SPC'!$C$4),OR('Visual SPC'!$E$4="",'Data Entry'!$C4332&lt;='Visual SPC'!$E$4),OR('Visual SPC'!$G$4="",'Data Entry'!$D4332='Visual SPC'!$G$4),OR('Visual SPC'!$I$4="",'Data Entry'!$E4332='Visual SPC'!$I$4),OR('Visual SPC'!$K$4="",'Data Entry'!$F4332='Visual SPC'!$K$4)),1,0))</f>
        <v/>
      </c>
      <c r="C4332">
        <f>C4331+B4332</f>
        <v/>
      </c>
      <c r="D4332">
        <f>IF(B4332=1,INDEX('Data Entry'!$H$5:$BE$10004,4332-4,'Visual SPC'!$B$3),"")</f>
        <v/>
      </c>
      <c r="E4332">
        <f>IF(B4332=1,D4332,E4331)</f>
        <v/>
      </c>
      <c r="F4332">
        <f>IF(AND(B4332=1,C4332&gt;1,E4331&lt;&gt;""),ABS(D4332-E4331),"")</f>
        <v/>
      </c>
    </row>
    <row r="4333">
      <c r="A4333" t="n">
        <v>4333</v>
      </c>
      <c r="B4333">
        <f>IF(INDEX('Data Entry'!$H$5:$BE$10004,4333-4,'Visual SPC'!$B$3)="",0,IF(AND(OR('Visual SPC'!$C$4="",'Data Entry'!$C4333&gt;='Visual SPC'!$C$4),OR('Visual SPC'!$E$4="",'Data Entry'!$C4333&lt;='Visual SPC'!$E$4),OR('Visual SPC'!$G$4="",'Data Entry'!$D4333='Visual SPC'!$G$4),OR('Visual SPC'!$I$4="",'Data Entry'!$E4333='Visual SPC'!$I$4),OR('Visual SPC'!$K$4="",'Data Entry'!$F4333='Visual SPC'!$K$4)),1,0))</f>
        <v/>
      </c>
      <c r="C4333">
        <f>C4332+B4333</f>
        <v/>
      </c>
      <c r="D4333">
        <f>IF(B4333=1,INDEX('Data Entry'!$H$5:$BE$10004,4333-4,'Visual SPC'!$B$3),"")</f>
        <v/>
      </c>
      <c r="E4333">
        <f>IF(B4333=1,D4333,E4332)</f>
        <v/>
      </c>
      <c r="F4333">
        <f>IF(AND(B4333=1,C4333&gt;1,E4332&lt;&gt;""),ABS(D4333-E4332),"")</f>
        <v/>
      </c>
    </row>
    <row r="4334">
      <c r="A4334" t="n">
        <v>4334</v>
      </c>
      <c r="B4334">
        <f>IF(INDEX('Data Entry'!$H$5:$BE$10004,4334-4,'Visual SPC'!$B$3)="",0,IF(AND(OR('Visual SPC'!$C$4="",'Data Entry'!$C4334&gt;='Visual SPC'!$C$4),OR('Visual SPC'!$E$4="",'Data Entry'!$C4334&lt;='Visual SPC'!$E$4),OR('Visual SPC'!$G$4="",'Data Entry'!$D4334='Visual SPC'!$G$4),OR('Visual SPC'!$I$4="",'Data Entry'!$E4334='Visual SPC'!$I$4),OR('Visual SPC'!$K$4="",'Data Entry'!$F4334='Visual SPC'!$K$4)),1,0))</f>
        <v/>
      </c>
      <c r="C4334">
        <f>C4333+B4334</f>
        <v/>
      </c>
      <c r="D4334">
        <f>IF(B4334=1,INDEX('Data Entry'!$H$5:$BE$10004,4334-4,'Visual SPC'!$B$3),"")</f>
        <v/>
      </c>
      <c r="E4334">
        <f>IF(B4334=1,D4334,E4333)</f>
        <v/>
      </c>
      <c r="F4334">
        <f>IF(AND(B4334=1,C4334&gt;1,E4333&lt;&gt;""),ABS(D4334-E4333),"")</f>
        <v/>
      </c>
    </row>
    <row r="4335">
      <c r="A4335" t="n">
        <v>4335</v>
      </c>
      <c r="B4335">
        <f>IF(INDEX('Data Entry'!$H$5:$BE$10004,4335-4,'Visual SPC'!$B$3)="",0,IF(AND(OR('Visual SPC'!$C$4="",'Data Entry'!$C4335&gt;='Visual SPC'!$C$4),OR('Visual SPC'!$E$4="",'Data Entry'!$C4335&lt;='Visual SPC'!$E$4),OR('Visual SPC'!$G$4="",'Data Entry'!$D4335='Visual SPC'!$G$4),OR('Visual SPC'!$I$4="",'Data Entry'!$E4335='Visual SPC'!$I$4),OR('Visual SPC'!$K$4="",'Data Entry'!$F4335='Visual SPC'!$K$4)),1,0))</f>
        <v/>
      </c>
      <c r="C4335">
        <f>C4334+B4335</f>
        <v/>
      </c>
      <c r="D4335">
        <f>IF(B4335=1,INDEX('Data Entry'!$H$5:$BE$10004,4335-4,'Visual SPC'!$B$3),"")</f>
        <v/>
      </c>
      <c r="E4335">
        <f>IF(B4335=1,D4335,E4334)</f>
        <v/>
      </c>
      <c r="F4335">
        <f>IF(AND(B4335=1,C4335&gt;1,E4334&lt;&gt;""),ABS(D4335-E4334),"")</f>
        <v/>
      </c>
    </row>
    <row r="4336">
      <c r="A4336" t="n">
        <v>4336</v>
      </c>
      <c r="B4336">
        <f>IF(INDEX('Data Entry'!$H$5:$BE$10004,4336-4,'Visual SPC'!$B$3)="",0,IF(AND(OR('Visual SPC'!$C$4="",'Data Entry'!$C4336&gt;='Visual SPC'!$C$4),OR('Visual SPC'!$E$4="",'Data Entry'!$C4336&lt;='Visual SPC'!$E$4),OR('Visual SPC'!$G$4="",'Data Entry'!$D4336='Visual SPC'!$G$4),OR('Visual SPC'!$I$4="",'Data Entry'!$E4336='Visual SPC'!$I$4),OR('Visual SPC'!$K$4="",'Data Entry'!$F4336='Visual SPC'!$K$4)),1,0))</f>
        <v/>
      </c>
      <c r="C4336">
        <f>C4335+B4336</f>
        <v/>
      </c>
      <c r="D4336">
        <f>IF(B4336=1,INDEX('Data Entry'!$H$5:$BE$10004,4336-4,'Visual SPC'!$B$3),"")</f>
        <v/>
      </c>
      <c r="E4336">
        <f>IF(B4336=1,D4336,E4335)</f>
        <v/>
      </c>
      <c r="F4336">
        <f>IF(AND(B4336=1,C4336&gt;1,E4335&lt;&gt;""),ABS(D4336-E4335),"")</f>
        <v/>
      </c>
    </row>
    <row r="4337">
      <c r="A4337" t="n">
        <v>4337</v>
      </c>
      <c r="B4337">
        <f>IF(INDEX('Data Entry'!$H$5:$BE$10004,4337-4,'Visual SPC'!$B$3)="",0,IF(AND(OR('Visual SPC'!$C$4="",'Data Entry'!$C4337&gt;='Visual SPC'!$C$4),OR('Visual SPC'!$E$4="",'Data Entry'!$C4337&lt;='Visual SPC'!$E$4),OR('Visual SPC'!$G$4="",'Data Entry'!$D4337='Visual SPC'!$G$4),OR('Visual SPC'!$I$4="",'Data Entry'!$E4337='Visual SPC'!$I$4),OR('Visual SPC'!$K$4="",'Data Entry'!$F4337='Visual SPC'!$K$4)),1,0))</f>
        <v/>
      </c>
      <c r="C4337">
        <f>C4336+B4337</f>
        <v/>
      </c>
      <c r="D4337">
        <f>IF(B4337=1,INDEX('Data Entry'!$H$5:$BE$10004,4337-4,'Visual SPC'!$B$3),"")</f>
        <v/>
      </c>
      <c r="E4337">
        <f>IF(B4337=1,D4337,E4336)</f>
        <v/>
      </c>
      <c r="F4337">
        <f>IF(AND(B4337=1,C4337&gt;1,E4336&lt;&gt;""),ABS(D4337-E4336),"")</f>
        <v/>
      </c>
    </row>
    <row r="4338">
      <c r="A4338" t="n">
        <v>4338</v>
      </c>
      <c r="B4338">
        <f>IF(INDEX('Data Entry'!$H$5:$BE$10004,4338-4,'Visual SPC'!$B$3)="",0,IF(AND(OR('Visual SPC'!$C$4="",'Data Entry'!$C4338&gt;='Visual SPC'!$C$4),OR('Visual SPC'!$E$4="",'Data Entry'!$C4338&lt;='Visual SPC'!$E$4),OR('Visual SPC'!$G$4="",'Data Entry'!$D4338='Visual SPC'!$G$4),OR('Visual SPC'!$I$4="",'Data Entry'!$E4338='Visual SPC'!$I$4),OR('Visual SPC'!$K$4="",'Data Entry'!$F4338='Visual SPC'!$K$4)),1,0))</f>
        <v/>
      </c>
      <c r="C4338">
        <f>C4337+B4338</f>
        <v/>
      </c>
      <c r="D4338">
        <f>IF(B4338=1,INDEX('Data Entry'!$H$5:$BE$10004,4338-4,'Visual SPC'!$B$3),"")</f>
        <v/>
      </c>
      <c r="E4338">
        <f>IF(B4338=1,D4338,E4337)</f>
        <v/>
      </c>
      <c r="F4338">
        <f>IF(AND(B4338=1,C4338&gt;1,E4337&lt;&gt;""),ABS(D4338-E4337),"")</f>
        <v/>
      </c>
    </row>
    <row r="4339">
      <c r="A4339" t="n">
        <v>4339</v>
      </c>
      <c r="B4339">
        <f>IF(INDEX('Data Entry'!$H$5:$BE$10004,4339-4,'Visual SPC'!$B$3)="",0,IF(AND(OR('Visual SPC'!$C$4="",'Data Entry'!$C4339&gt;='Visual SPC'!$C$4),OR('Visual SPC'!$E$4="",'Data Entry'!$C4339&lt;='Visual SPC'!$E$4),OR('Visual SPC'!$G$4="",'Data Entry'!$D4339='Visual SPC'!$G$4),OR('Visual SPC'!$I$4="",'Data Entry'!$E4339='Visual SPC'!$I$4),OR('Visual SPC'!$K$4="",'Data Entry'!$F4339='Visual SPC'!$K$4)),1,0))</f>
        <v/>
      </c>
      <c r="C4339">
        <f>C4338+B4339</f>
        <v/>
      </c>
      <c r="D4339">
        <f>IF(B4339=1,INDEX('Data Entry'!$H$5:$BE$10004,4339-4,'Visual SPC'!$B$3),"")</f>
        <v/>
      </c>
      <c r="E4339">
        <f>IF(B4339=1,D4339,E4338)</f>
        <v/>
      </c>
      <c r="F4339">
        <f>IF(AND(B4339=1,C4339&gt;1,E4338&lt;&gt;""),ABS(D4339-E4338),"")</f>
        <v/>
      </c>
    </row>
    <row r="4340">
      <c r="A4340" t="n">
        <v>4340</v>
      </c>
      <c r="B4340">
        <f>IF(INDEX('Data Entry'!$H$5:$BE$10004,4340-4,'Visual SPC'!$B$3)="",0,IF(AND(OR('Visual SPC'!$C$4="",'Data Entry'!$C4340&gt;='Visual SPC'!$C$4),OR('Visual SPC'!$E$4="",'Data Entry'!$C4340&lt;='Visual SPC'!$E$4),OR('Visual SPC'!$G$4="",'Data Entry'!$D4340='Visual SPC'!$G$4),OR('Visual SPC'!$I$4="",'Data Entry'!$E4340='Visual SPC'!$I$4),OR('Visual SPC'!$K$4="",'Data Entry'!$F4340='Visual SPC'!$K$4)),1,0))</f>
        <v/>
      </c>
      <c r="C4340">
        <f>C4339+B4340</f>
        <v/>
      </c>
      <c r="D4340">
        <f>IF(B4340=1,INDEX('Data Entry'!$H$5:$BE$10004,4340-4,'Visual SPC'!$B$3),"")</f>
        <v/>
      </c>
      <c r="E4340">
        <f>IF(B4340=1,D4340,E4339)</f>
        <v/>
      </c>
      <c r="F4340">
        <f>IF(AND(B4340=1,C4340&gt;1,E4339&lt;&gt;""),ABS(D4340-E4339),"")</f>
        <v/>
      </c>
    </row>
    <row r="4341">
      <c r="A4341" t="n">
        <v>4341</v>
      </c>
      <c r="B4341">
        <f>IF(INDEX('Data Entry'!$H$5:$BE$10004,4341-4,'Visual SPC'!$B$3)="",0,IF(AND(OR('Visual SPC'!$C$4="",'Data Entry'!$C4341&gt;='Visual SPC'!$C$4),OR('Visual SPC'!$E$4="",'Data Entry'!$C4341&lt;='Visual SPC'!$E$4),OR('Visual SPC'!$G$4="",'Data Entry'!$D4341='Visual SPC'!$G$4),OR('Visual SPC'!$I$4="",'Data Entry'!$E4341='Visual SPC'!$I$4),OR('Visual SPC'!$K$4="",'Data Entry'!$F4341='Visual SPC'!$K$4)),1,0))</f>
        <v/>
      </c>
      <c r="C4341">
        <f>C4340+B4341</f>
        <v/>
      </c>
      <c r="D4341">
        <f>IF(B4341=1,INDEX('Data Entry'!$H$5:$BE$10004,4341-4,'Visual SPC'!$B$3),"")</f>
        <v/>
      </c>
      <c r="E4341">
        <f>IF(B4341=1,D4341,E4340)</f>
        <v/>
      </c>
      <c r="F4341">
        <f>IF(AND(B4341=1,C4341&gt;1,E4340&lt;&gt;""),ABS(D4341-E4340),"")</f>
        <v/>
      </c>
    </row>
    <row r="4342">
      <c r="A4342" t="n">
        <v>4342</v>
      </c>
      <c r="B4342">
        <f>IF(INDEX('Data Entry'!$H$5:$BE$10004,4342-4,'Visual SPC'!$B$3)="",0,IF(AND(OR('Visual SPC'!$C$4="",'Data Entry'!$C4342&gt;='Visual SPC'!$C$4),OR('Visual SPC'!$E$4="",'Data Entry'!$C4342&lt;='Visual SPC'!$E$4),OR('Visual SPC'!$G$4="",'Data Entry'!$D4342='Visual SPC'!$G$4),OR('Visual SPC'!$I$4="",'Data Entry'!$E4342='Visual SPC'!$I$4),OR('Visual SPC'!$K$4="",'Data Entry'!$F4342='Visual SPC'!$K$4)),1,0))</f>
        <v/>
      </c>
      <c r="C4342">
        <f>C4341+B4342</f>
        <v/>
      </c>
      <c r="D4342">
        <f>IF(B4342=1,INDEX('Data Entry'!$H$5:$BE$10004,4342-4,'Visual SPC'!$B$3),"")</f>
        <v/>
      </c>
      <c r="E4342">
        <f>IF(B4342=1,D4342,E4341)</f>
        <v/>
      </c>
      <c r="F4342">
        <f>IF(AND(B4342=1,C4342&gt;1,E4341&lt;&gt;""),ABS(D4342-E4341),"")</f>
        <v/>
      </c>
    </row>
    <row r="4343">
      <c r="A4343" t="n">
        <v>4343</v>
      </c>
      <c r="B4343">
        <f>IF(INDEX('Data Entry'!$H$5:$BE$10004,4343-4,'Visual SPC'!$B$3)="",0,IF(AND(OR('Visual SPC'!$C$4="",'Data Entry'!$C4343&gt;='Visual SPC'!$C$4),OR('Visual SPC'!$E$4="",'Data Entry'!$C4343&lt;='Visual SPC'!$E$4),OR('Visual SPC'!$G$4="",'Data Entry'!$D4343='Visual SPC'!$G$4),OR('Visual SPC'!$I$4="",'Data Entry'!$E4343='Visual SPC'!$I$4),OR('Visual SPC'!$K$4="",'Data Entry'!$F4343='Visual SPC'!$K$4)),1,0))</f>
        <v/>
      </c>
      <c r="C4343">
        <f>C4342+B4343</f>
        <v/>
      </c>
      <c r="D4343">
        <f>IF(B4343=1,INDEX('Data Entry'!$H$5:$BE$10004,4343-4,'Visual SPC'!$B$3),"")</f>
        <v/>
      </c>
      <c r="E4343">
        <f>IF(B4343=1,D4343,E4342)</f>
        <v/>
      </c>
      <c r="F4343">
        <f>IF(AND(B4343=1,C4343&gt;1,E4342&lt;&gt;""),ABS(D4343-E4342),"")</f>
        <v/>
      </c>
    </row>
    <row r="4344">
      <c r="A4344" t="n">
        <v>4344</v>
      </c>
      <c r="B4344">
        <f>IF(INDEX('Data Entry'!$H$5:$BE$10004,4344-4,'Visual SPC'!$B$3)="",0,IF(AND(OR('Visual SPC'!$C$4="",'Data Entry'!$C4344&gt;='Visual SPC'!$C$4),OR('Visual SPC'!$E$4="",'Data Entry'!$C4344&lt;='Visual SPC'!$E$4),OR('Visual SPC'!$G$4="",'Data Entry'!$D4344='Visual SPC'!$G$4),OR('Visual SPC'!$I$4="",'Data Entry'!$E4344='Visual SPC'!$I$4),OR('Visual SPC'!$K$4="",'Data Entry'!$F4344='Visual SPC'!$K$4)),1,0))</f>
        <v/>
      </c>
      <c r="C4344">
        <f>C4343+B4344</f>
        <v/>
      </c>
      <c r="D4344">
        <f>IF(B4344=1,INDEX('Data Entry'!$H$5:$BE$10004,4344-4,'Visual SPC'!$B$3),"")</f>
        <v/>
      </c>
      <c r="E4344">
        <f>IF(B4344=1,D4344,E4343)</f>
        <v/>
      </c>
      <c r="F4344">
        <f>IF(AND(B4344=1,C4344&gt;1,E4343&lt;&gt;""),ABS(D4344-E4343),"")</f>
        <v/>
      </c>
    </row>
    <row r="4345">
      <c r="A4345" t="n">
        <v>4345</v>
      </c>
      <c r="B4345">
        <f>IF(INDEX('Data Entry'!$H$5:$BE$10004,4345-4,'Visual SPC'!$B$3)="",0,IF(AND(OR('Visual SPC'!$C$4="",'Data Entry'!$C4345&gt;='Visual SPC'!$C$4),OR('Visual SPC'!$E$4="",'Data Entry'!$C4345&lt;='Visual SPC'!$E$4),OR('Visual SPC'!$G$4="",'Data Entry'!$D4345='Visual SPC'!$G$4),OR('Visual SPC'!$I$4="",'Data Entry'!$E4345='Visual SPC'!$I$4),OR('Visual SPC'!$K$4="",'Data Entry'!$F4345='Visual SPC'!$K$4)),1,0))</f>
        <v/>
      </c>
      <c r="C4345">
        <f>C4344+B4345</f>
        <v/>
      </c>
      <c r="D4345">
        <f>IF(B4345=1,INDEX('Data Entry'!$H$5:$BE$10004,4345-4,'Visual SPC'!$B$3),"")</f>
        <v/>
      </c>
      <c r="E4345">
        <f>IF(B4345=1,D4345,E4344)</f>
        <v/>
      </c>
      <c r="F4345">
        <f>IF(AND(B4345=1,C4345&gt;1,E4344&lt;&gt;""),ABS(D4345-E4344),"")</f>
        <v/>
      </c>
    </row>
    <row r="4346">
      <c r="A4346" t="n">
        <v>4346</v>
      </c>
      <c r="B4346">
        <f>IF(INDEX('Data Entry'!$H$5:$BE$10004,4346-4,'Visual SPC'!$B$3)="",0,IF(AND(OR('Visual SPC'!$C$4="",'Data Entry'!$C4346&gt;='Visual SPC'!$C$4),OR('Visual SPC'!$E$4="",'Data Entry'!$C4346&lt;='Visual SPC'!$E$4),OR('Visual SPC'!$G$4="",'Data Entry'!$D4346='Visual SPC'!$G$4),OR('Visual SPC'!$I$4="",'Data Entry'!$E4346='Visual SPC'!$I$4),OR('Visual SPC'!$K$4="",'Data Entry'!$F4346='Visual SPC'!$K$4)),1,0))</f>
        <v/>
      </c>
      <c r="C4346">
        <f>C4345+B4346</f>
        <v/>
      </c>
      <c r="D4346">
        <f>IF(B4346=1,INDEX('Data Entry'!$H$5:$BE$10004,4346-4,'Visual SPC'!$B$3),"")</f>
        <v/>
      </c>
      <c r="E4346">
        <f>IF(B4346=1,D4346,E4345)</f>
        <v/>
      </c>
      <c r="F4346">
        <f>IF(AND(B4346=1,C4346&gt;1,E4345&lt;&gt;""),ABS(D4346-E4345),"")</f>
        <v/>
      </c>
    </row>
    <row r="4347">
      <c r="A4347" t="n">
        <v>4347</v>
      </c>
      <c r="B4347">
        <f>IF(INDEX('Data Entry'!$H$5:$BE$10004,4347-4,'Visual SPC'!$B$3)="",0,IF(AND(OR('Visual SPC'!$C$4="",'Data Entry'!$C4347&gt;='Visual SPC'!$C$4),OR('Visual SPC'!$E$4="",'Data Entry'!$C4347&lt;='Visual SPC'!$E$4),OR('Visual SPC'!$G$4="",'Data Entry'!$D4347='Visual SPC'!$G$4),OR('Visual SPC'!$I$4="",'Data Entry'!$E4347='Visual SPC'!$I$4),OR('Visual SPC'!$K$4="",'Data Entry'!$F4347='Visual SPC'!$K$4)),1,0))</f>
        <v/>
      </c>
      <c r="C4347">
        <f>C4346+B4347</f>
        <v/>
      </c>
      <c r="D4347">
        <f>IF(B4347=1,INDEX('Data Entry'!$H$5:$BE$10004,4347-4,'Visual SPC'!$B$3),"")</f>
        <v/>
      </c>
      <c r="E4347">
        <f>IF(B4347=1,D4347,E4346)</f>
        <v/>
      </c>
      <c r="F4347">
        <f>IF(AND(B4347=1,C4347&gt;1,E4346&lt;&gt;""),ABS(D4347-E4346),"")</f>
        <v/>
      </c>
    </row>
    <row r="4348">
      <c r="A4348" t="n">
        <v>4348</v>
      </c>
      <c r="B4348">
        <f>IF(INDEX('Data Entry'!$H$5:$BE$10004,4348-4,'Visual SPC'!$B$3)="",0,IF(AND(OR('Visual SPC'!$C$4="",'Data Entry'!$C4348&gt;='Visual SPC'!$C$4),OR('Visual SPC'!$E$4="",'Data Entry'!$C4348&lt;='Visual SPC'!$E$4),OR('Visual SPC'!$G$4="",'Data Entry'!$D4348='Visual SPC'!$G$4),OR('Visual SPC'!$I$4="",'Data Entry'!$E4348='Visual SPC'!$I$4),OR('Visual SPC'!$K$4="",'Data Entry'!$F4348='Visual SPC'!$K$4)),1,0))</f>
        <v/>
      </c>
      <c r="C4348">
        <f>C4347+B4348</f>
        <v/>
      </c>
      <c r="D4348">
        <f>IF(B4348=1,INDEX('Data Entry'!$H$5:$BE$10004,4348-4,'Visual SPC'!$B$3),"")</f>
        <v/>
      </c>
      <c r="E4348">
        <f>IF(B4348=1,D4348,E4347)</f>
        <v/>
      </c>
      <c r="F4348">
        <f>IF(AND(B4348=1,C4348&gt;1,E4347&lt;&gt;""),ABS(D4348-E4347),"")</f>
        <v/>
      </c>
    </row>
    <row r="4349">
      <c r="A4349" t="n">
        <v>4349</v>
      </c>
      <c r="B4349">
        <f>IF(INDEX('Data Entry'!$H$5:$BE$10004,4349-4,'Visual SPC'!$B$3)="",0,IF(AND(OR('Visual SPC'!$C$4="",'Data Entry'!$C4349&gt;='Visual SPC'!$C$4),OR('Visual SPC'!$E$4="",'Data Entry'!$C4349&lt;='Visual SPC'!$E$4),OR('Visual SPC'!$G$4="",'Data Entry'!$D4349='Visual SPC'!$G$4),OR('Visual SPC'!$I$4="",'Data Entry'!$E4349='Visual SPC'!$I$4),OR('Visual SPC'!$K$4="",'Data Entry'!$F4349='Visual SPC'!$K$4)),1,0))</f>
        <v/>
      </c>
      <c r="C4349">
        <f>C4348+B4349</f>
        <v/>
      </c>
      <c r="D4349">
        <f>IF(B4349=1,INDEX('Data Entry'!$H$5:$BE$10004,4349-4,'Visual SPC'!$B$3),"")</f>
        <v/>
      </c>
      <c r="E4349">
        <f>IF(B4349=1,D4349,E4348)</f>
        <v/>
      </c>
      <c r="F4349">
        <f>IF(AND(B4349=1,C4349&gt;1,E4348&lt;&gt;""),ABS(D4349-E4348),"")</f>
        <v/>
      </c>
    </row>
    <row r="4350">
      <c r="A4350" t="n">
        <v>4350</v>
      </c>
      <c r="B4350">
        <f>IF(INDEX('Data Entry'!$H$5:$BE$10004,4350-4,'Visual SPC'!$B$3)="",0,IF(AND(OR('Visual SPC'!$C$4="",'Data Entry'!$C4350&gt;='Visual SPC'!$C$4),OR('Visual SPC'!$E$4="",'Data Entry'!$C4350&lt;='Visual SPC'!$E$4),OR('Visual SPC'!$G$4="",'Data Entry'!$D4350='Visual SPC'!$G$4),OR('Visual SPC'!$I$4="",'Data Entry'!$E4350='Visual SPC'!$I$4),OR('Visual SPC'!$K$4="",'Data Entry'!$F4350='Visual SPC'!$K$4)),1,0))</f>
        <v/>
      </c>
      <c r="C4350">
        <f>C4349+B4350</f>
        <v/>
      </c>
      <c r="D4350">
        <f>IF(B4350=1,INDEX('Data Entry'!$H$5:$BE$10004,4350-4,'Visual SPC'!$B$3),"")</f>
        <v/>
      </c>
      <c r="E4350">
        <f>IF(B4350=1,D4350,E4349)</f>
        <v/>
      </c>
      <c r="F4350">
        <f>IF(AND(B4350=1,C4350&gt;1,E4349&lt;&gt;""),ABS(D4350-E4349),"")</f>
        <v/>
      </c>
    </row>
    <row r="4351">
      <c r="A4351" t="n">
        <v>4351</v>
      </c>
      <c r="B4351">
        <f>IF(INDEX('Data Entry'!$H$5:$BE$10004,4351-4,'Visual SPC'!$B$3)="",0,IF(AND(OR('Visual SPC'!$C$4="",'Data Entry'!$C4351&gt;='Visual SPC'!$C$4),OR('Visual SPC'!$E$4="",'Data Entry'!$C4351&lt;='Visual SPC'!$E$4),OR('Visual SPC'!$G$4="",'Data Entry'!$D4351='Visual SPC'!$G$4),OR('Visual SPC'!$I$4="",'Data Entry'!$E4351='Visual SPC'!$I$4),OR('Visual SPC'!$K$4="",'Data Entry'!$F4351='Visual SPC'!$K$4)),1,0))</f>
        <v/>
      </c>
      <c r="C4351">
        <f>C4350+B4351</f>
        <v/>
      </c>
      <c r="D4351">
        <f>IF(B4351=1,INDEX('Data Entry'!$H$5:$BE$10004,4351-4,'Visual SPC'!$B$3),"")</f>
        <v/>
      </c>
      <c r="E4351">
        <f>IF(B4351=1,D4351,E4350)</f>
        <v/>
      </c>
      <c r="F4351">
        <f>IF(AND(B4351=1,C4351&gt;1,E4350&lt;&gt;""),ABS(D4351-E4350),"")</f>
        <v/>
      </c>
    </row>
    <row r="4352">
      <c r="A4352" t="n">
        <v>4352</v>
      </c>
      <c r="B4352">
        <f>IF(INDEX('Data Entry'!$H$5:$BE$10004,4352-4,'Visual SPC'!$B$3)="",0,IF(AND(OR('Visual SPC'!$C$4="",'Data Entry'!$C4352&gt;='Visual SPC'!$C$4),OR('Visual SPC'!$E$4="",'Data Entry'!$C4352&lt;='Visual SPC'!$E$4),OR('Visual SPC'!$G$4="",'Data Entry'!$D4352='Visual SPC'!$G$4),OR('Visual SPC'!$I$4="",'Data Entry'!$E4352='Visual SPC'!$I$4),OR('Visual SPC'!$K$4="",'Data Entry'!$F4352='Visual SPC'!$K$4)),1,0))</f>
        <v/>
      </c>
      <c r="C4352">
        <f>C4351+B4352</f>
        <v/>
      </c>
      <c r="D4352">
        <f>IF(B4352=1,INDEX('Data Entry'!$H$5:$BE$10004,4352-4,'Visual SPC'!$B$3),"")</f>
        <v/>
      </c>
      <c r="E4352">
        <f>IF(B4352=1,D4352,E4351)</f>
        <v/>
      </c>
      <c r="F4352">
        <f>IF(AND(B4352=1,C4352&gt;1,E4351&lt;&gt;""),ABS(D4352-E4351),"")</f>
        <v/>
      </c>
    </row>
    <row r="4353">
      <c r="A4353" t="n">
        <v>4353</v>
      </c>
      <c r="B4353">
        <f>IF(INDEX('Data Entry'!$H$5:$BE$10004,4353-4,'Visual SPC'!$B$3)="",0,IF(AND(OR('Visual SPC'!$C$4="",'Data Entry'!$C4353&gt;='Visual SPC'!$C$4),OR('Visual SPC'!$E$4="",'Data Entry'!$C4353&lt;='Visual SPC'!$E$4),OR('Visual SPC'!$G$4="",'Data Entry'!$D4353='Visual SPC'!$G$4),OR('Visual SPC'!$I$4="",'Data Entry'!$E4353='Visual SPC'!$I$4),OR('Visual SPC'!$K$4="",'Data Entry'!$F4353='Visual SPC'!$K$4)),1,0))</f>
        <v/>
      </c>
      <c r="C4353">
        <f>C4352+B4353</f>
        <v/>
      </c>
      <c r="D4353">
        <f>IF(B4353=1,INDEX('Data Entry'!$H$5:$BE$10004,4353-4,'Visual SPC'!$B$3),"")</f>
        <v/>
      </c>
      <c r="E4353">
        <f>IF(B4353=1,D4353,E4352)</f>
        <v/>
      </c>
      <c r="F4353">
        <f>IF(AND(B4353=1,C4353&gt;1,E4352&lt;&gt;""),ABS(D4353-E4352),"")</f>
        <v/>
      </c>
    </row>
    <row r="4354">
      <c r="A4354" t="n">
        <v>4354</v>
      </c>
      <c r="B4354">
        <f>IF(INDEX('Data Entry'!$H$5:$BE$10004,4354-4,'Visual SPC'!$B$3)="",0,IF(AND(OR('Visual SPC'!$C$4="",'Data Entry'!$C4354&gt;='Visual SPC'!$C$4),OR('Visual SPC'!$E$4="",'Data Entry'!$C4354&lt;='Visual SPC'!$E$4),OR('Visual SPC'!$G$4="",'Data Entry'!$D4354='Visual SPC'!$G$4),OR('Visual SPC'!$I$4="",'Data Entry'!$E4354='Visual SPC'!$I$4),OR('Visual SPC'!$K$4="",'Data Entry'!$F4354='Visual SPC'!$K$4)),1,0))</f>
        <v/>
      </c>
      <c r="C4354">
        <f>C4353+B4354</f>
        <v/>
      </c>
      <c r="D4354">
        <f>IF(B4354=1,INDEX('Data Entry'!$H$5:$BE$10004,4354-4,'Visual SPC'!$B$3),"")</f>
        <v/>
      </c>
      <c r="E4354">
        <f>IF(B4354=1,D4354,E4353)</f>
        <v/>
      </c>
      <c r="F4354">
        <f>IF(AND(B4354=1,C4354&gt;1,E4353&lt;&gt;""),ABS(D4354-E4353),"")</f>
        <v/>
      </c>
    </row>
    <row r="4355">
      <c r="A4355" t="n">
        <v>4355</v>
      </c>
      <c r="B4355">
        <f>IF(INDEX('Data Entry'!$H$5:$BE$10004,4355-4,'Visual SPC'!$B$3)="",0,IF(AND(OR('Visual SPC'!$C$4="",'Data Entry'!$C4355&gt;='Visual SPC'!$C$4),OR('Visual SPC'!$E$4="",'Data Entry'!$C4355&lt;='Visual SPC'!$E$4),OR('Visual SPC'!$G$4="",'Data Entry'!$D4355='Visual SPC'!$G$4),OR('Visual SPC'!$I$4="",'Data Entry'!$E4355='Visual SPC'!$I$4),OR('Visual SPC'!$K$4="",'Data Entry'!$F4355='Visual SPC'!$K$4)),1,0))</f>
        <v/>
      </c>
      <c r="C4355">
        <f>C4354+B4355</f>
        <v/>
      </c>
      <c r="D4355">
        <f>IF(B4355=1,INDEX('Data Entry'!$H$5:$BE$10004,4355-4,'Visual SPC'!$B$3),"")</f>
        <v/>
      </c>
      <c r="E4355">
        <f>IF(B4355=1,D4355,E4354)</f>
        <v/>
      </c>
      <c r="F4355">
        <f>IF(AND(B4355=1,C4355&gt;1,E4354&lt;&gt;""),ABS(D4355-E4354),"")</f>
        <v/>
      </c>
    </row>
    <row r="4356">
      <c r="A4356" t="n">
        <v>4356</v>
      </c>
      <c r="B4356">
        <f>IF(INDEX('Data Entry'!$H$5:$BE$10004,4356-4,'Visual SPC'!$B$3)="",0,IF(AND(OR('Visual SPC'!$C$4="",'Data Entry'!$C4356&gt;='Visual SPC'!$C$4),OR('Visual SPC'!$E$4="",'Data Entry'!$C4356&lt;='Visual SPC'!$E$4),OR('Visual SPC'!$G$4="",'Data Entry'!$D4356='Visual SPC'!$G$4),OR('Visual SPC'!$I$4="",'Data Entry'!$E4356='Visual SPC'!$I$4),OR('Visual SPC'!$K$4="",'Data Entry'!$F4356='Visual SPC'!$K$4)),1,0))</f>
        <v/>
      </c>
      <c r="C4356">
        <f>C4355+B4356</f>
        <v/>
      </c>
      <c r="D4356">
        <f>IF(B4356=1,INDEX('Data Entry'!$H$5:$BE$10004,4356-4,'Visual SPC'!$B$3),"")</f>
        <v/>
      </c>
      <c r="E4356">
        <f>IF(B4356=1,D4356,E4355)</f>
        <v/>
      </c>
      <c r="F4356">
        <f>IF(AND(B4356=1,C4356&gt;1,E4355&lt;&gt;""),ABS(D4356-E4355),"")</f>
        <v/>
      </c>
    </row>
    <row r="4357">
      <c r="A4357" t="n">
        <v>4357</v>
      </c>
      <c r="B4357">
        <f>IF(INDEX('Data Entry'!$H$5:$BE$10004,4357-4,'Visual SPC'!$B$3)="",0,IF(AND(OR('Visual SPC'!$C$4="",'Data Entry'!$C4357&gt;='Visual SPC'!$C$4),OR('Visual SPC'!$E$4="",'Data Entry'!$C4357&lt;='Visual SPC'!$E$4),OR('Visual SPC'!$G$4="",'Data Entry'!$D4357='Visual SPC'!$G$4),OR('Visual SPC'!$I$4="",'Data Entry'!$E4357='Visual SPC'!$I$4),OR('Visual SPC'!$K$4="",'Data Entry'!$F4357='Visual SPC'!$K$4)),1,0))</f>
        <v/>
      </c>
      <c r="C4357">
        <f>C4356+B4357</f>
        <v/>
      </c>
      <c r="D4357">
        <f>IF(B4357=1,INDEX('Data Entry'!$H$5:$BE$10004,4357-4,'Visual SPC'!$B$3),"")</f>
        <v/>
      </c>
      <c r="E4357">
        <f>IF(B4357=1,D4357,E4356)</f>
        <v/>
      </c>
      <c r="F4357">
        <f>IF(AND(B4357=1,C4357&gt;1,E4356&lt;&gt;""),ABS(D4357-E4356),"")</f>
        <v/>
      </c>
    </row>
    <row r="4358">
      <c r="A4358" t="n">
        <v>4358</v>
      </c>
      <c r="B4358">
        <f>IF(INDEX('Data Entry'!$H$5:$BE$10004,4358-4,'Visual SPC'!$B$3)="",0,IF(AND(OR('Visual SPC'!$C$4="",'Data Entry'!$C4358&gt;='Visual SPC'!$C$4),OR('Visual SPC'!$E$4="",'Data Entry'!$C4358&lt;='Visual SPC'!$E$4),OR('Visual SPC'!$G$4="",'Data Entry'!$D4358='Visual SPC'!$G$4),OR('Visual SPC'!$I$4="",'Data Entry'!$E4358='Visual SPC'!$I$4),OR('Visual SPC'!$K$4="",'Data Entry'!$F4358='Visual SPC'!$K$4)),1,0))</f>
        <v/>
      </c>
      <c r="C4358">
        <f>C4357+B4358</f>
        <v/>
      </c>
      <c r="D4358">
        <f>IF(B4358=1,INDEX('Data Entry'!$H$5:$BE$10004,4358-4,'Visual SPC'!$B$3),"")</f>
        <v/>
      </c>
      <c r="E4358">
        <f>IF(B4358=1,D4358,E4357)</f>
        <v/>
      </c>
      <c r="F4358">
        <f>IF(AND(B4358=1,C4358&gt;1,E4357&lt;&gt;""),ABS(D4358-E4357),"")</f>
        <v/>
      </c>
    </row>
    <row r="4359">
      <c r="A4359" t="n">
        <v>4359</v>
      </c>
      <c r="B4359">
        <f>IF(INDEX('Data Entry'!$H$5:$BE$10004,4359-4,'Visual SPC'!$B$3)="",0,IF(AND(OR('Visual SPC'!$C$4="",'Data Entry'!$C4359&gt;='Visual SPC'!$C$4),OR('Visual SPC'!$E$4="",'Data Entry'!$C4359&lt;='Visual SPC'!$E$4),OR('Visual SPC'!$G$4="",'Data Entry'!$D4359='Visual SPC'!$G$4),OR('Visual SPC'!$I$4="",'Data Entry'!$E4359='Visual SPC'!$I$4),OR('Visual SPC'!$K$4="",'Data Entry'!$F4359='Visual SPC'!$K$4)),1,0))</f>
        <v/>
      </c>
      <c r="C4359">
        <f>C4358+B4359</f>
        <v/>
      </c>
      <c r="D4359">
        <f>IF(B4359=1,INDEX('Data Entry'!$H$5:$BE$10004,4359-4,'Visual SPC'!$B$3),"")</f>
        <v/>
      </c>
      <c r="E4359">
        <f>IF(B4359=1,D4359,E4358)</f>
        <v/>
      </c>
      <c r="F4359">
        <f>IF(AND(B4359=1,C4359&gt;1,E4358&lt;&gt;""),ABS(D4359-E4358),"")</f>
        <v/>
      </c>
    </row>
    <row r="4360">
      <c r="A4360" t="n">
        <v>4360</v>
      </c>
      <c r="B4360">
        <f>IF(INDEX('Data Entry'!$H$5:$BE$10004,4360-4,'Visual SPC'!$B$3)="",0,IF(AND(OR('Visual SPC'!$C$4="",'Data Entry'!$C4360&gt;='Visual SPC'!$C$4),OR('Visual SPC'!$E$4="",'Data Entry'!$C4360&lt;='Visual SPC'!$E$4),OR('Visual SPC'!$G$4="",'Data Entry'!$D4360='Visual SPC'!$G$4),OR('Visual SPC'!$I$4="",'Data Entry'!$E4360='Visual SPC'!$I$4),OR('Visual SPC'!$K$4="",'Data Entry'!$F4360='Visual SPC'!$K$4)),1,0))</f>
        <v/>
      </c>
      <c r="C4360">
        <f>C4359+B4360</f>
        <v/>
      </c>
      <c r="D4360">
        <f>IF(B4360=1,INDEX('Data Entry'!$H$5:$BE$10004,4360-4,'Visual SPC'!$B$3),"")</f>
        <v/>
      </c>
      <c r="E4360">
        <f>IF(B4360=1,D4360,E4359)</f>
        <v/>
      </c>
      <c r="F4360">
        <f>IF(AND(B4360=1,C4360&gt;1,E4359&lt;&gt;""),ABS(D4360-E4359),"")</f>
        <v/>
      </c>
    </row>
    <row r="4361">
      <c r="A4361" t="n">
        <v>4361</v>
      </c>
      <c r="B4361">
        <f>IF(INDEX('Data Entry'!$H$5:$BE$10004,4361-4,'Visual SPC'!$B$3)="",0,IF(AND(OR('Visual SPC'!$C$4="",'Data Entry'!$C4361&gt;='Visual SPC'!$C$4),OR('Visual SPC'!$E$4="",'Data Entry'!$C4361&lt;='Visual SPC'!$E$4),OR('Visual SPC'!$G$4="",'Data Entry'!$D4361='Visual SPC'!$G$4),OR('Visual SPC'!$I$4="",'Data Entry'!$E4361='Visual SPC'!$I$4),OR('Visual SPC'!$K$4="",'Data Entry'!$F4361='Visual SPC'!$K$4)),1,0))</f>
        <v/>
      </c>
      <c r="C4361">
        <f>C4360+B4361</f>
        <v/>
      </c>
      <c r="D4361">
        <f>IF(B4361=1,INDEX('Data Entry'!$H$5:$BE$10004,4361-4,'Visual SPC'!$B$3),"")</f>
        <v/>
      </c>
      <c r="E4361">
        <f>IF(B4361=1,D4361,E4360)</f>
        <v/>
      </c>
      <c r="F4361">
        <f>IF(AND(B4361=1,C4361&gt;1,E4360&lt;&gt;""),ABS(D4361-E4360),"")</f>
        <v/>
      </c>
    </row>
    <row r="4362">
      <c r="A4362" t="n">
        <v>4362</v>
      </c>
      <c r="B4362">
        <f>IF(INDEX('Data Entry'!$H$5:$BE$10004,4362-4,'Visual SPC'!$B$3)="",0,IF(AND(OR('Visual SPC'!$C$4="",'Data Entry'!$C4362&gt;='Visual SPC'!$C$4),OR('Visual SPC'!$E$4="",'Data Entry'!$C4362&lt;='Visual SPC'!$E$4),OR('Visual SPC'!$G$4="",'Data Entry'!$D4362='Visual SPC'!$G$4),OR('Visual SPC'!$I$4="",'Data Entry'!$E4362='Visual SPC'!$I$4),OR('Visual SPC'!$K$4="",'Data Entry'!$F4362='Visual SPC'!$K$4)),1,0))</f>
        <v/>
      </c>
      <c r="C4362">
        <f>C4361+B4362</f>
        <v/>
      </c>
      <c r="D4362">
        <f>IF(B4362=1,INDEX('Data Entry'!$H$5:$BE$10004,4362-4,'Visual SPC'!$B$3),"")</f>
        <v/>
      </c>
      <c r="E4362">
        <f>IF(B4362=1,D4362,E4361)</f>
        <v/>
      </c>
      <c r="F4362">
        <f>IF(AND(B4362=1,C4362&gt;1,E4361&lt;&gt;""),ABS(D4362-E4361),"")</f>
        <v/>
      </c>
    </row>
    <row r="4363">
      <c r="A4363" t="n">
        <v>4363</v>
      </c>
      <c r="B4363">
        <f>IF(INDEX('Data Entry'!$H$5:$BE$10004,4363-4,'Visual SPC'!$B$3)="",0,IF(AND(OR('Visual SPC'!$C$4="",'Data Entry'!$C4363&gt;='Visual SPC'!$C$4),OR('Visual SPC'!$E$4="",'Data Entry'!$C4363&lt;='Visual SPC'!$E$4),OR('Visual SPC'!$G$4="",'Data Entry'!$D4363='Visual SPC'!$G$4),OR('Visual SPC'!$I$4="",'Data Entry'!$E4363='Visual SPC'!$I$4),OR('Visual SPC'!$K$4="",'Data Entry'!$F4363='Visual SPC'!$K$4)),1,0))</f>
        <v/>
      </c>
      <c r="C4363">
        <f>C4362+B4363</f>
        <v/>
      </c>
      <c r="D4363">
        <f>IF(B4363=1,INDEX('Data Entry'!$H$5:$BE$10004,4363-4,'Visual SPC'!$B$3),"")</f>
        <v/>
      </c>
      <c r="E4363">
        <f>IF(B4363=1,D4363,E4362)</f>
        <v/>
      </c>
      <c r="F4363">
        <f>IF(AND(B4363=1,C4363&gt;1,E4362&lt;&gt;""),ABS(D4363-E4362),"")</f>
        <v/>
      </c>
    </row>
    <row r="4364">
      <c r="A4364" t="n">
        <v>4364</v>
      </c>
      <c r="B4364">
        <f>IF(INDEX('Data Entry'!$H$5:$BE$10004,4364-4,'Visual SPC'!$B$3)="",0,IF(AND(OR('Visual SPC'!$C$4="",'Data Entry'!$C4364&gt;='Visual SPC'!$C$4),OR('Visual SPC'!$E$4="",'Data Entry'!$C4364&lt;='Visual SPC'!$E$4),OR('Visual SPC'!$G$4="",'Data Entry'!$D4364='Visual SPC'!$G$4),OR('Visual SPC'!$I$4="",'Data Entry'!$E4364='Visual SPC'!$I$4),OR('Visual SPC'!$K$4="",'Data Entry'!$F4364='Visual SPC'!$K$4)),1,0))</f>
        <v/>
      </c>
      <c r="C4364">
        <f>C4363+B4364</f>
        <v/>
      </c>
      <c r="D4364">
        <f>IF(B4364=1,INDEX('Data Entry'!$H$5:$BE$10004,4364-4,'Visual SPC'!$B$3),"")</f>
        <v/>
      </c>
      <c r="E4364">
        <f>IF(B4364=1,D4364,E4363)</f>
        <v/>
      </c>
      <c r="F4364">
        <f>IF(AND(B4364=1,C4364&gt;1,E4363&lt;&gt;""),ABS(D4364-E4363),"")</f>
        <v/>
      </c>
    </row>
    <row r="4365">
      <c r="A4365" t="n">
        <v>4365</v>
      </c>
      <c r="B4365">
        <f>IF(INDEX('Data Entry'!$H$5:$BE$10004,4365-4,'Visual SPC'!$B$3)="",0,IF(AND(OR('Visual SPC'!$C$4="",'Data Entry'!$C4365&gt;='Visual SPC'!$C$4),OR('Visual SPC'!$E$4="",'Data Entry'!$C4365&lt;='Visual SPC'!$E$4),OR('Visual SPC'!$G$4="",'Data Entry'!$D4365='Visual SPC'!$G$4),OR('Visual SPC'!$I$4="",'Data Entry'!$E4365='Visual SPC'!$I$4),OR('Visual SPC'!$K$4="",'Data Entry'!$F4365='Visual SPC'!$K$4)),1,0))</f>
        <v/>
      </c>
      <c r="C4365">
        <f>C4364+B4365</f>
        <v/>
      </c>
      <c r="D4365">
        <f>IF(B4365=1,INDEX('Data Entry'!$H$5:$BE$10004,4365-4,'Visual SPC'!$B$3),"")</f>
        <v/>
      </c>
      <c r="E4365">
        <f>IF(B4365=1,D4365,E4364)</f>
        <v/>
      </c>
      <c r="F4365">
        <f>IF(AND(B4365=1,C4365&gt;1,E4364&lt;&gt;""),ABS(D4365-E4364),"")</f>
        <v/>
      </c>
    </row>
    <row r="4366">
      <c r="A4366" t="n">
        <v>4366</v>
      </c>
      <c r="B4366">
        <f>IF(INDEX('Data Entry'!$H$5:$BE$10004,4366-4,'Visual SPC'!$B$3)="",0,IF(AND(OR('Visual SPC'!$C$4="",'Data Entry'!$C4366&gt;='Visual SPC'!$C$4),OR('Visual SPC'!$E$4="",'Data Entry'!$C4366&lt;='Visual SPC'!$E$4),OR('Visual SPC'!$G$4="",'Data Entry'!$D4366='Visual SPC'!$G$4),OR('Visual SPC'!$I$4="",'Data Entry'!$E4366='Visual SPC'!$I$4),OR('Visual SPC'!$K$4="",'Data Entry'!$F4366='Visual SPC'!$K$4)),1,0))</f>
        <v/>
      </c>
      <c r="C4366">
        <f>C4365+B4366</f>
        <v/>
      </c>
      <c r="D4366">
        <f>IF(B4366=1,INDEX('Data Entry'!$H$5:$BE$10004,4366-4,'Visual SPC'!$B$3),"")</f>
        <v/>
      </c>
      <c r="E4366">
        <f>IF(B4366=1,D4366,E4365)</f>
        <v/>
      </c>
      <c r="F4366">
        <f>IF(AND(B4366=1,C4366&gt;1,E4365&lt;&gt;""),ABS(D4366-E4365),"")</f>
        <v/>
      </c>
    </row>
    <row r="4367">
      <c r="A4367" t="n">
        <v>4367</v>
      </c>
      <c r="B4367">
        <f>IF(INDEX('Data Entry'!$H$5:$BE$10004,4367-4,'Visual SPC'!$B$3)="",0,IF(AND(OR('Visual SPC'!$C$4="",'Data Entry'!$C4367&gt;='Visual SPC'!$C$4),OR('Visual SPC'!$E$4="",'Data Entry'!$C4367&lt;='Visual SPC'!$E$4),OR('Visual SPC'!$G$4="",'Data Entry'!$D4367='Visual SPC'!$G$4),OR('Visual SPC'!$I$4="",'Data Entry'!$E4367='Visual SPC'!$I$4),OR('Visual SPC'!$K$4="",'Data Entry'!$F4367='Visual SPC'!$K$4)),1,0))</f>
        <v/>
      </c>
      <c r="C4367">
        <f>C4366+B4367</f>
        <v/>
      </c>
      <c r="D4367">
        <f>IF(B4367=1,INDEX('Data Entry'!$H$5:$BE$10004,4367-4,'Visual SPC'!$B$3),"")</f>
        <v/>
      </c>
      <c r="E4367">
        <f>IF(B4367=1,D4367,E4366)</f>
        <v/>
      </c>
      <c r="F4367">
        <f>IF(AND(B4367=1,C4367&gt;1,E4366&lt;&gt;""),ABS(D4367-E4366),"")</f>
        <v/>
      </c>
    </row>
    <row r="4368">
      <c r="A4368" t="n">
        <v>4368</v>
      </c>
      <c r="B4368">
        <f>IF(INDEX('Data Entry'!$H$5:$BE$10004,4368-4,'Visual SPC'!$B$3)="",0,IF(AND(OR('Visual SPC'!$C$4="",'Data Entry'!$C4368&gt;='Visual SPC'!$C$4),OR('Visual SPC'!$E$4="",'Data Entry'!$C4368&lt;='Visual SPC'!$E$4),OR('Visual SPC'!$G$4="",'Data Entry'!$D4368='Visual SPC'!$G$4),OR('Visual SPC'!$I$4="",'Data Entry'!$E4368='Visual SPC'!$I$4),OR('Visual SPC'!$K$4="",'Data Entry'!$F4368='Visual SPC'!$K$4)),1,0))</f>
        <v/>
      </c>
      <c r="C4368">
        <f>C4367+B4368</f>
        <v/>
      </c>
      <c r="D4368">
        <f>IF(B4368=1,INDEX('Data Entry'!$H$5:$BE$10004,4368-4,'Visual SPC'!$B$3),"")</f>
        <v/>
      </c>
      <c r="E4368">
        <f>IF(B4368=1,D4368,E4367)</f>
        <v/>
      </c>
      <c r="F4368">
        <f>IF(AND(B4368=1,C4368&gt;1,E4367&lt;&gt;""),ABS(D4368-E4367),"")</f>
        <v/>
      </c>
    </row>
    <row r="4369">
      <c r="A4369" t="n">
        <v>4369</v>
      </c>
      <c r="B4369">
        <f>IF(INDEX('Data Entry'!$H$5:$BE$10004,4369-4,'Visual SPC'!$B$3)="",0,IF(AND(OR('Visual SPC'!$C$4="",'Data Entry'!$C4369&gt;='Visual SPC'!$C$4),OR('Visual SPC'!$E$4="",'Data Entry'!$C4369&lt;='Visual SPC'!$E$4),OR('Visual SPC'!$G$4="",'Data Entry'!$D4369='Visual SPC'!$G$4),OR('Visual SPC'!$I$4="",'Data Entry'!$E4369='Visual SPC'!$I$4),OR('Visual SPC'!$K$4="",'Data Entry'!$F4369='Visual SPC'!$K$4)),1,0))</f>
        <v/>
      </c>
      <c r="C4369">
        <f>C4368+B4369</f>
        <v/>
      </c>
      <c r="D4369">
        <f>IF(B4369=1,INDEX('Data Entry'!$H$5:$BE$10004,4369-4,'Visual SPC'!$B$3),"")</f>
        <v/>
      </c>
      <c r="E4369">
        <f>IF(B4369=1,D4369,E4368)</f>
        <v/>
      </c>
      <c r="F4369">
        <f>IF(AND(B4369=1,C4369&gt;1,E4368&lt;&gt;""),ABS(D4369-E4368),"")</f>
        <v/>
      </c>
    </row>
    <row r="4370">
      <c r="A4370" t="n">
        <v>4370</v>
      </c>
      <c r="B4370">
        <f>IF(INDEX('Data Entry'!$H$5:$BE$10004,4370-4,'Visual SPC'!$B$3)="",0,IF(AND(OR('Visual SPC'!$C$4="",'Data Entry'!$C4370&gt;='Visual SPC'!$C$4),OR('Visual SPC'!$E$4="",'Data Entry'!$C4370&lt;='Visual SPC'!$E$4),OR('Visual SPC'!$G$4="",'Data Entry'!$D4370='Visual SPC'!$G$4),OR('Visual SPC'!$I$4="",'Data Entry'!$E4370='Visual SPC'!$I$4),OR('Visual SPC'!$K$4="",'Data Entry'!$F4370='Visual SPC'!$K$4)),1,0))</f>
        <v/>
      </c>
      <c r="C4370">
        <f>C4369+B4370</f>
        <v/>
      </c>
      <c r="D4370">
        <f>IF(B4370=1,INDEX('Data Entry'!$H$5:$BE$10004,4370-4,'Visual SPC'!$B$3),"")</f>
        <v/>
      </c>
      <c r="E4370">
        <f>IF(B4370=1,D4370,E4369)</f>
        <v/>
      </c>
      <c r="F4370">
        <f>IF(AND(B4370=1,C4370&gt;1,E4369&lt;&gt;""),ABS(D4370-E4369),"")</f>
        <v/>
      </c>
    </row>
    <row r="4371">
      <c r="A4371" t="n">
        <v>4371</v>
      </c>
      <c r="B4371">
        <f>IF(INDEX('Data Entry'!$H$5:$BE$10004,4371-4,'Visual SPC'!$B$3)="",0,IF(AND(OR('Visual SPC'!$C$4="",'Data Entry'!$C4371&gt;='Visual SPC'!$C$4),OR('Visual SPC'!$E$4="",'Data Entry'!$C4371&lt;='Visual SPC'!$E$4),OR('Visual SPC'!$G$4="",'Data Entry'!$D4371='Visual SPC'!$G$4),OR('Visual SPC'!$I$4="",'Data Entry'!$E4371='Visual SPC'!$I$4),OR('Visual SPC'!$K$4="",'Data Entry'!$F4371='Visual SPC'!$K$4)),1,0))</f>
        <v/>
      </c>
      <c r="C4371">
        <f>C4370+B4371</f>
        <v/>
      </c>
      <c r="D4371">
        <f>IF(B4371=1,INDEX('Data Entry'!$H$5:$BE$10004,4371-4,'Visual SPC'!$B$3),"")</f>
        <v/>
      </c>
      <c r="E4371">
        <f>IF(B4371=1,D4371,E4370)</f>
        <v/>
      </c>
      <c r="F4371">
        <f>IF(AND(B4371=1,C4371&gt;1,E4370&lt;&gt;""),ABS(D4371-E4370),"")</f>
        <v/>
      </c>
    </row>
    <row r="4372">
      <c r="A4372" t="n">
        <v>4372</v>
      </c>
      <c r="B4372">
        <f>IF(INDEX('Data Entry'!$H$5:$BE$10004,4372-4,'Visual SPC'!$B$3)="",0,IF(AND(OR('Visual SPC'!$C$4="",'Data Entry'!$C4372&gt;='Visual SPC'!$C$4),OR('Visual SPC'!$E$4="",'Data Entry'!$C4372&lt;='Visual SPC'!$E$4),OR('Visual SPC'!$G$4="",'Data Entry'!$D4372='Visual SPC'!$G$4),OR('Visual SPC'!$I$4="",'Data Entry'!$E4372='Visual SPC'!$I$4),OR('Visual SPC'!$K$4="",'Data Entry'!$F4372='Visual SPC'!$K$4)),1,0))</f>
        <v/>
      </c>
      <c r="C4372">
        <f>C4371+B4372</f>
        <v/>
      </c>
      <c r="D4372">
        <f>IF(B4372=1,INDEX('Data Entry'!$H$5:$BE$10004,4372-4,'Visual SPC'!$B$3),"")</f>
        <v/>
      </c>
      <c r="E4372">
        <f>IF(B4372=1,D4372,E4371)</f>
        <v/>
      </c>
      <c r="F4372">
        <f>IF(AND(B4372=1,C4372&gt;1,E4371&lt;&gt;""),ABS(D4372-E4371),"")</f>
        <v/>
      </c>
    </row>
    <row r="4373">
      <c r="A4373" t="n">
        <v>4373</v>
      </c>
      <c r="B4373">
        <f>IF(INDEX('Data Entry'!$H$5:$BE$10004,4373-4,'Visual SPC'!$B$3)="",0,IF(AND(OR('Visual SPC'!$C$4="",'Data Entry'!$C4373&gt;='Visual SPC'!$C$4),OR('Visual SPC'!$E$4="",'Data Entry'!$C4373&lt;='Visual SPC'!$E$4),OR('Visual SPC'!$G$4="",'Data Entry'!$D4373='Visual SPC'!$G$4),OR('Visual SPC'!$I$4="",'Data Entry'!$E4373='Visual SPC'!$I$4),OR('Visual SPC'!$K$4="",'Data Entry'!$F4373='Visual SPC'!$K$4)),1,0))</f>
        <v/>
      </c>
      <c r="C4373">
        <f>C4372+B4373</f>
        <v/>
      </c>
      <c r="D4373">
        <f>IF(B4373=1,INDEX('Data Entry'!$H$5:$BE$10004,4373-4,'Visual SPC'!$B$3),"")</f>
        <v/>
      </c>
      <c r="E4373">
        <f>IF(B4373=1,D4373,E4372)</f>
        <v/>
      </c>
      <c r="F4373">
        <f>IF(AND(B4373=1,C4373&gt;1,E4372&lt;&gt;""),ABS(D4373-E4372),"")</f>
        <v/>
      </c>
    </row>
    <row r="4374">
      <c r="A4374" t="n">
        <v>4374</v>
      </c>
      <c r="B4374">
        <f>IF(INDEX('Data Entry'!$H$5:$BE$10004,4374-4,'Visual SPC'!$B$3)="",0,IF(AND(OR('Visual SPC'!$C$4="",'Data Entry'!$C4374&gt;='Visual SPC'!$C$4),OR('Visual SPC'!$E$4="",'Data Entry'!$C4374&lt;='Visual SPC'!$E$4),OR('Visual SPC'!$G$4="",'Data Entry'!$D4374='Visual SPC'!$G$4),OR('Visual SPC'!$I$4="",'Data Entry'!$E4374='Visual SPC'!$I$4),OR('Visual SPC'!$K$4="",'Data Entry'!$F4374='Visual SPC'!$K$4)),1,0))</f>
        <v/>
      </c>
      <c r="C4374">
        <f>C4373+B4374</f>
        <v/>
      </c>
      <c r="D4374">
        <f>IF(B4374=1,INDEX('Data Entry'!$H$5:$BE$10004,4374-4,'Visual SPC'!$B$3),"")</f>
        <v/>
      </c>
      <c r="E4374">
        <f>IF(B4374=1,D4374,E4373)</f>
        <v/>
      </c>
      <c r="F4374">
        <f>IF(AND(B4374=1,C4374&gt;1,E4373&lt;&gt;""),ABS(D4374-E4373),"")</f>
        <v/>
      </c>
    </row>
    <row r="4375">
      <c r="A4375" t="n">
        <v>4375</v>
      </c>
      <c r="B4375">
        <f>IF(INDEX('Data Entry'!$H$5:$BE$10004,4375-4,'Visual SPC'!$B$3)="",0,IF(AND(OR('Visual SPC'!$C$4="",'Data Entry'!$C4375&gt;='Visual SPC'!$C$4),OR('Visual SPC'!$E$4="",'Data Entry'!$C4375&lt;='Visual SPC'!$E$4),OR('Visual SPC'!$G$4="",'Data Entry'!$D4375='Visual SPC'!$G$4),OR('Visual SPC'!$I$4="",'Data Entry'!$E4375='Visual SPC'!$I$4),OR('Visual SPC'!$K$4="",'Data Entry'!$F4375='Visual SPC'!$K$4)),1,0))</f>
        <v/>
      </c>
      <c r="C4375">
        <f>C4374+B4375</f>
        <v/>
      </c>
      <c r="D4375">
        <f>IF(B4375=1,INDEX('Data Entry'!$H$5:$BE$10004,4375-4,'Visual SPC'!$B$3),"")</f>
        <v/>
      </c>
      <c r="E4375">
        <f>IF(B4375=1,D4375,E4374)</f>
        <v/>
      </c>
      <c r="F4375">
        <f>IF(AND(B4375=1,C4375&gt;1,E4374&lt;&gt;""),ABS(D4375-E4374),"")</f>
        <v/>
      </c>
    </row>
    <row r="4376">
      <c r="A4376" t="n">
        <v>4376</v>
      </c>
      <c r="B4376">
        <f>IF(INDEX('Data Entry'!$H$5:$BE$10004,4376-4,'Visual SPC'!$B$3)="",0,IF(AND(OR('Visual SPC'!$C$4="",'Data Entry'!$C4376&gt;='Visual SPC'!$C$4),OR('Visual SPC'!$E$4="",'Data Entry'!$C4376&lt;='Visual SPC'!$E$4),OR('Visual SPC'!$G$4="",'Data Entry'!$D4376='Visual SPC'!$G$4),OR('Visual SPC'!$I$4="",'Data Entry'!$E4376='Visual SPC'!$I$4),OR('Visual SPC'!$K$4="",'Data Entry'!$F4376='Visual SPC'!$K$4)),1,0))</f>
        <v/>
      </c>
      <c r="C4376">
        <f>C4375+B4376</f>
        <v/>
      </c>
      <c r="D4376">
        <f>IF(B4376=1,INDEX('Data Entry'!$H$5:$BE$10004,4376-4,'Visual SPC'!$B$3),"")</f>
        <v/>
      </c>
      <c r="E4376">
        <f>IF(B4376=1,D4376,E4375)</f>
        <v/>
      </c>
      <c r="F4376">
        <f>IF(AND(B4376=1,C4376&gt;1,E4375&lt;&gt;""),ABS(D4376-E4375),"")</f>
        <v/>
      </c>
    </row>
    <row r="4377">
      <c r="A4377" t="n">
        <v>4377</v>
      </c>
      <c r="B4377">
        <f>IF(INDEX('Data Entry'!$H$5:$BE$10004,4377-4,'Visual SPC'!$B$3)="",0,IF(AND(OR('Visual SPC'!$C$4="",'Data Entry'!$C4377&gt;='Visual SPC'!$C$4),OR('Visual SPC'!$E$4="",'Data Entry'!$C4377&lt;='Visual SPC'!$E$4),OR('Visual SPC'!$G$4="",'Data Entry'!$D4377='Visual SPC'!$G$4),OR('Visual SPC'!$I$4="",'Data Entry'!$E4377='Visual SPC'!$I$4),OR('Visual SPC'!$K$4="",'Data Entry'!$F4377='Visual SPC'!$K$4)),1,0))</f>
        <v/>
      </c>
      <c r="C4377">
        <f>C4376+B4377</f>
        <v/>
      </c>
      <c r="D4377">
        <f>IF(B4377=1,INDEX('Data Entry'!$H$5:$BE$10004,4377-4,'Visual SPC'!$B$3),"")</f>
        <v/>
      </c>
      <c r="E4377">
        <f>IF(B4377=1,D4377,E4376)</f>
        <v/>
      </c>
      <c r="F4377">
        <f>IF(AND(B4377=1,C4377&gt;1,E4376&lt;&gt;""),ABS(D4377-E4376),"")</f>
        <v/>
      </c>
    </row>
    <row r="4378">
      <c r="A4378" t="n">
        <v>4378</v>
      </c>
      <c r="B4378">
        <f>IF(INDEX('Data Entry'!$H$5:$BE$10004,4378-4,'Visual SPC'!$B$3)="",0,IF(AND(OR('Visual SPC'!$C$4="",'Data Entry'!$C4378&gt;='Visual SPC'!$C$4),OR('Visual SPC'!$E$4="",'Data Entry'!$C4378&lt;='Visual SPC'!$E$4),OR('Visual SPC'!$G$4="",'Data Entry'!$D4378='Visual SPC'!$G$4),OR('Visual SPC'!$I$4="",'Data Entry'!$E4378='Visual SPC'!$I$4),OR('Visual SPC'!$K$4="",'Data Entry'!$F4378='Visual SPC'!$K$4)),1,0))</f>
        <v/>
      </c>
      <c r="C4378">
        <f>C4377+B4378</f>
        <v/>
      </c>
      <c r="D4378">
        <f>IF(B4378=1,INDEX('Data Entry'!$H$5:$BE$10004,4378-4,'Visual SPC'!$B$3),"")</f>
        <v/>
      </c>
      <c r="E4378">
        <f>IF(B4378=1,D4378,E4377)</f>
        <v/>
      </c>
      <c r="F4378">
        <f>IF(AND(B4378=1,C4378&gt;1,E4377&lt;&gt;""),ABS(D4378-E4377),"")</f>
        <v/>
      </c>
    </row>
    <row r="4379">
      <c r="A4379" t="n">
        <v>4379</v>
      </c>
      <c r="B4379">
        <f>IF(INDEX('Data Entry'!$H$5:$BE$10004,4379-4,'Visual SPC'!$B$3)="",0,IF(AND(OR('Visual SPC'!$C$4="",'Data Entry'!$C4379&gt;='Visual SPC'!$C$4),OR('Visual SPC'!$E$4="",'Data Entry'!$C4379&lt;='Visual SPC'!$E$4),OR('Visual SPC'!$G$4="",'Data Entry'!$D4379='Visual SPC'!$G$4),OR('Visual SPC'!$I$4="",'Data Entry'!$E4379='Visual SPC'!$I$4),OR('Visual SPC'!$K$4="",'Data Entry'!$F4379='Visual SPC'!$K$4)),1,0))</f>
        <v/>
      </c>
      <c r="C4379">
        <f>C4378+B4379</f>
        <v/>
      </c>
      <c r="D4379">
        <f>IF(B4379=1,INDEX('Data Entry'!$H$5:$BE$10004,4379-4,'Visual SPC'!$B$3),"")</f>
        <v/>
      </c>
      <c r="E4379">
        <f>IF(B4379=1,D4379,E4378)</f>
        <v/>
      </c>
      <c r="F4379">
        <f>IF(AND(B4379=1,C4379&gt;1,E4378&lt;&gt;""),ABS(D4379-E4378),"")</f>
        <v/>
      </c>
    </row>
    <row r="4380">
      <c r="A4380" t="n">
        <v>4380</v>
      </c>
      <c r="B4380">
        <f>IF(INDEX('Data Entry'!$H$5:$BE$10004,4380-4,'Visual SPC'!$B$3)="",0,IF(AND(OR('Visual SPC'!$C$4="",'Data Entry'!$C4380&gt;='Visual SPC'!$C$4),OR('Visual SPC'!$E$4="",'Data Entry'!$C4380&lt;='Visual SPC'!$E$4),OR('Visual SPC'!$G$4="",'Data Entry'!$D4380='Visual SPC'!$G$4),OR('Visual SPC'!$I$4="",'Data Entry'!$E4380='Visual SPC'!$I$4),OR('Visual SPC'!$K$4="",'Data Entry'!$F4380='Visual SPC'!$K$4)),1,0))</f>
        <v/>
      </c>
      <c r="C4380">
        <f>C4379+B4380</f>
        <v/>
      </c>
      <c r="D4380">
        <f>IF(B4380=1,INDEX('Data Entry'!$H$5:$BE$10004,4380-4,'Visual SPC'!$B$3),"")</f>
        <v/>
      </c>
      <c r="E4380">
        <f>IF(B4380=1,D4380,E4379)</f>
        <v/>
      </c>
      <c r="F4380">
        <f>IF(AND(B4380=1,C4380&gt;1,E4379&lt;&gt;""),ABS(D4380-E4379),"")</f>
        <v/>
      </c>
    </row>
    <row r="4381">
      <c r="A4381" t="n">
        <v>4381</v>
      </c>
      <c r="B4381">
        <f>IF(INDEX('Data Entry'!$H$5:$BE$10004,4381-4,'Visual SPC'!$B$3)="",0,IF(AND(OR('Visual SPC'!$C$4="",'Data Entry'!$C4381&gt;='Visual SPC'!$C$4),OR('Visual SPC'!$E$4="",'Data Entry'!$C4381&lt;='Visual SPC'!$E$4),OR('Visual SPC'!$G$4="",'Data Entry'!$D4381='Visual SPC'!$G$4),OR('Visual SPC'!$I$4="",'Data Entry'!$E4381='Visual SPC'!$I$4),OR('Visual SPC'!$K$4="",'Data Entry'!$F4381='Visual SPC'!$K$4)),1,0))</f>
        <v/>
      </c>
      <c r="C4381">
        <f>C4380+B4381</f>
        <v/>
      </c>
      <c r="D4381">
        <f>IF(B4381=1,INDEX('Data Entry'!$H$5:$BE$10004,4381-4,'Visual SPC'!$B$3),"")</f>
        <v/>
      </c>
      <c r="E4381">
        <f>IF(B4381=1,D4381,E4380)</f>
        <v/>
      </c>
      <c r="F4381">
        <f>IF(AND(B4381=1,C4381&gt;1,E4380&lt;&gt;""),ABS(D4381-E4380),"")</f>
        <v/>
      </c>
    </row>
    <row r="4382">
      <c r="A4382" t="n">
        <v>4382</v>
      </c>
      <c r="B4382">
        <f>IF(INDEX('Data Entry'!$H$5:$BE$10004,4382-4,'Visual SPC'!$B$3)="",0,IF(AND(OR('Visual SPC'!$C$4="",'Data Entry'!$C4382&gt;='Visual SPC'!$C$4),OR('Visual SPC'!$E$4="",'Data Entry'!$C4382&lt;='Visual SPC'!$E$4),OR('Visual SPC'!$G$4="",'Data Entry'!$D4382='Visual SPC'!$G$4),OR('Visual SPC'!$I$4="",'Data Entry'!$E4382='Visual SPC'!$I$4),OR('Visual SPC'!$K$4="",'Data Entry'!$F4382='Visual SPC'!$K$4)),1,0))</f>
        <v/>
      </c>
      <c r="C4382">
        <f>C4381+B4382</f>
        <v/>
      </c>
      <c r="D4382">
        <f>IF(B4382=1,INDEX('Data Entry'!$H$5:$BE$10004,4382-4,'Visual SPC'!$B$3),"")</f>
        <v/>
      </c>
      <c r="E4382">
        <f>IF(B4382=1,D4382,E4381)</f>
        <v/>
      </c>
      <c r="F4382">
        <f>IF(AND(B4382=1,C4382&gt;1,E4381&lt;&gt;""),ABS(D4382-E4381),"")</f>
        <v/>
      </c>
    </row>
    <row r="4383">
      <c r="A4383" t="n">
        <v>4383</v>
      </c>
      <c r="B4383">
        <f>IF(INDEX('Data Entry'!$H$5:$BE$10004,4383-4,'Visual SPC'!$B$3)="",0,IF(AND(OR('Visual SPC'!$C$4="",'Data Entry'!$C4383&gt;='Visual SPC'!$C$4),OR('Visual SPC'!$E$4="",'Data Entry'!$C4383&lt;='Visual SPC'!$E$4),OR('Visual SPC'!$G$4="",'Data Entry'!$D4383='Visual SPC'!$G$4),OR('Visual SPC'!$I$4="",'Data Entry'!$E4383='Visual SPC'!$I$4),OR('Visual SPC'!$K$4="",'Data Entry'!$F4383='Visual SPC'!$K$4)),1,0))</f>
        <v/>
      </c>
      <c r="C4383">
        <f>C4382+B4383</f>
        <v/>
      </c>
      <c r="D4383">
        <f>IF(B4383=1,INDEX('Data Entry'!$H$5:$BE$10004,4383-4,'Visual SPC'!$B$3),"")</f>
        <v/>
      </c>
      <c r="E4383">
        <f>IF(B4383=1,D4383,E4382)</f>
        <v/>
      </c>
      <c r="F4383">
        <f>IF(AND(B4383=1,C4383&gt;1,E4382&lt;&gt;""),ABS(D4383-E4382),"")</f>
        <v/>
      </c>
    </row>
    <row r="4384">
      <c r="A4384" t="n">
        <v>4384</v>
      </c>
      <c r="B4384">
        <f>IF(INDEX('Data Entry'!$H$5:$BE$10004,4384-4,'Visual SPC'!$B$3)="",0,IF(AND(OR('Visual SPC'!$C$4="",'Data Entry'!$C4384&gt;='Visual SPC'!$C$4),OR('Visual SPC'!$E$4="",'Data Entry'!$C4384&lt;='Visual SPC'!$E$4),OR('Visual SPC'!$G$4="",'Data Entry'!$D4384='Visual SPC'!$G$4),OR('Visual SPC'!$I$4="",'Data Entry'!$E4384='Visual SPC'!$I$4),OR('Visual SPC'!$K$4="",'Data Entry'!$F4384='Visual SPC'!$K$4)),1,0))</f>
        <v/>
      </c>
      <c r="C4384">
        <f>C4383+B4384</f>
        <v/>
      </c>
      <c r="D4384">
        <f>IF(B4384=1,INDEX('Data Entry'!$H$5:$BE$10004,4384-4,'Visual SPC'!$B$3),"")</f>
        <v/>
      </c>
      <c r="E4384">
        <f>IF(B4384=1,D4384,E4383)</f>
        <v/>
      </c>
      <c r="F4384">
        <f>IF(AND(B4384=1,C4384&gt;1,E4383&lt;&gt;""),ABS(D4384-E4383),"")</f>
        <v/>
      </c>
    </row>
    <row r="4385">
      <c r="A4385" t="n">
        <v>4385</v>
      </c>
      <c r="B4385">
        <f>IF(INDEX('Data Entry'!$H$5:$BE$10004,4385-4,'Visual SPC'!$B$3)="",0,IF(AND(OR('Visual SPC'!$C$4="",'Data Entry'!$C4385&gt;='Visual SPC'!$C$4),OR('Visual SPC'!$E$4="",'Data Entry'!$C4385&lt;='Visual SPC'!$E$4),OR('Visual SPC'!$G$4="",'Data Entry'!$D4385='Visual SPC'!$G$4),OR('Visual SPC'!$I$4="",'Data Entry'!$E4385='Visual SPC'!$I$4),OR('Visual SPC'!$K$4="",'Data Entry'!$F4385='Visual SPC'!$K$4)),1,0))</f>
        <v/>
      </c>
      <c r="C4385">
        <f>C4384+B4385</f>
        <v/>
      </c>
      <c r="D4385">
        <f>IF(B4385=1,INDEX('Data Entry'!$H$5:$BE$10004,4385-4,'Visual SPC'!$B$3),"")</f>
        <v/>
      </c>
      <c r="E4385">
        <f>IF(B4385=1,D4385,E4384)</f>
        <v/>
      </c>
      <c r="F4385">
        <f>IF(AND(B4385=1,C4385&gt;1,E4384&lt;&gt;""),ABS(D4385-E4384),"")</f>
        <v/>
      </c>
    </row>
    <row r="4386">
      <c r="A4386" t="n">
        <v>4386</v>
      </c>
      <c r="B4386">
        <f>IF(INDEX('Data Entry'!$H$5:$BE$10004,4386-4,'Visual SPC'!$B$3)="",0,IF(AND(OR('Visual SPC'!$C$4="",'Data Entry'!$C4386&gt;='Visual SPC'!$C$4),OR('Visual SPC'!$E$4="",'Data Entry'!$C4386&lt;='Visual SPC'!$E$4),OR('Visual SPC'!$G$4="",'Data Entry'!$D4386='Visual SPC'!$G$4),OR('Visual SPC'!$I$4="",'Data Entry'!$E4386='Visual SPC'!$I$4),OR('Visual SPC'!$K$4="",'Data Entry'!$F4386='Visual SPC'!$K$4)),1,0))</f>
        <v/>
      </c>
      <c r="C4386">
        <f>C4385+B4386</f>
        <v/>
      </c>
      <c r="D4386">
        <f>IF(B4386=1,INDEX('Data Entry'!$H$5:$BE$10004,4386-4,'Visual SPC'!$B$3),"")</f>
        <v/>
      </c>
      <c r="E4386">
        <f>IF(B4386=1,D4386,E4385)</f>
        <v/>
      </c>
      <c r="F4386">
        <f>IF(AND(B4386=1,C4386&gt;1,E4385&lt;&gt;""),ABS(D4386-E4385),"")</f>
        <v/>
      </c>
    </row>
    <row r="4387">
      <c r="A4387" t="n">
        <v>4387</v>
      </c>
      <c r="B4387">
        <f>IF(INDEX('Data Entry'!$H$5:$BE$10004,4387-4,'Visual SPC'!$B$3)="",0,IF(AND(OR('Visual SPC'!$C$4="",'Data Entry'!$C4387&gt;='Visual SPC'!$C$4),OR('Visual SPC'!$E$4="",'Data Entry'!$C4387&lt;='Visual SPC'!$E$4),OR('Visual SPC'!$G$4="",'Data Entry'!$D4387='Visual SPC'!$G$4),OR('Visual SPC'!$I$4="",'Data Entry'!$E4387='Visual SPC'!$I$4),OR('Visual SPC'!$K$4="",'Data Entry'!$F4387='Visual SPC'!$K$4)),1,0))</f>
        <v/>
      </c>
      <c r="C4387">
        <f>C4386+B4387</f>
        <v/>
      </c>
      <c r="D4387">
        <f>IF(B4387=1,INDEX('Data Entry'!$H$5:$BE$10004,4387-4,'Visual SPC'!$B$3),"")</f>
        <v/>
      </c>
      <c r="E4387">
        <f>IF(B4387=1,D4387,E4386)</f>
        <v/>
      </c>
      <c r="F4387">
        <f>IF(AND(B4387=1,C4387&gt;1,E4386&lt;&gt;""),ABS(D4387-E4386),"")</f>
        <v/>
      </c>
    </row>
    <row r="4388">
      <c r="A4388" t="n">
        <v>4388</v>
      </c>
      <c r="B4388">
        <f>IF(INDEX('Data Entry'!$H$5:$BE$10004,4388-4,'Visual SPC'!$B$3)="",0,IF(AND(OR('Visual SPC'!$C$4="",'Data Entry'!$C4388&gt;='Visual SPC'!$C$4),OR('Visual SPC'!$E$4="",'Data Entry'!$C4388&lt;='Visual SPC'!$E$4),OR('Visual SPC'!$G$4="",'Data Entry'!$D4388='Visual SPC'!$G$4),OR('Visual SPC'!$I$4="",'Data Entry'!$E4388='Visual SPC'!$I$4),OR('Visual SPC'!$K$4="",'Data Entry'!$F4388='Visual SPC'!$K$4)),1,0))</f>
        <v/>
      </c>
      <c r="C4388">
        <f>C4387+B4388</f>
        <v/>
      </c>
      <c r="D4388">
        <f>IF(B4388=1,INDEX('Data Entry'!$H$5:$BE$10004,4388-4,'Visual SPC'!$B$3),"")</f>
        <v/>
      </c>
      <c r="E4388">
        <f>IF(B4388=1,D4388,E4387)</f>
        <v/>
      </c>
      <c r="F4388">
        <f>IF(AND(B4388=1,C4388&gt;1,E4387&lt;&gt;""),ABS(D4388-E4387),"")</f>
        <v/>
      </c>
    </row>
    <row r="4389">
      <c r="A4389" t="n">
        <v>4389</v>
      </c>
      <c r="B4389">
        <f>IF(INDEX('Data Entry'!$H$5:$BE$10004,4389-4,'Visual SPC'!$B$3)="",0,IF(AND(OR('Visual SPC'!$C$4="",'Data Entry'!$C4389&gt;='Visual SPC'!$C$4),OR('Visual SPC'!$E$4="",'Data Entry'!$C4389&lt;='Visual SPC'!$E$4),OR('Visual SPC'!$G$4="",'Data Entry'!$D4389='Visual SPC'!$G$4),OR('Visual SPC'!$I$4="",'Data Entry'!$E4389='Visual SPC'!$I$4),OR('Visual SPC'!$K$4="",'Data Entry'!$F4389='Visual SPC'!$K$4)),1,0))</f>
        <v/>
      </c>
      <c r="C4389">
        <f>C4388+B4389</f>
        <v/>
      </c>
      <c r="D4389">
        <f>IF(B4389=1,INDEX('Data Entry'!$H$5:$BE$10004,4389-4,'Visual SPC'!$B$3),"")</f>
        <v/>
      </c>
      <c r="E4389">
        <f>IF(B4389=1,D4389,E4388)</f>
        <v/>
      </c>
      <c r="F4389">
        <f>IF(AND(B4389=1,C4389&gt;1,E4388&lt;&gt;""),ABS(D4389-E4388),"")</f>
        <v/>
      </c>
    </row>
    <row r="4390">
      <c r="A4390" t="n">
        <v>4390</v>
      </c>
      <c r="B4390">
        <f>IF(INDEX('Data Entry'!$H$5:$BE$10004,4390-4,'Visual SPC'!$B$3)="",0,IF(AND(OR('Visual SPC'!$C$4="",'Data Entry'!$C4390&gt;='Visual SPC'!$C$4),OR('Visual SPC'!$E$4="",'Data Entry'!$C4390&lt;='Visual SPC'!$E$4),OR('Visual SPC'!$G$4="",'Data Entry'!$D4390='Visual SPC'!$G$4),OR('Visual SPC'!$I$4="",'Data Entry'!$E4390='Visual SPC'!$I$4),OR('Visual SPC'!$K$4="",'Data Entry'!$F4390='Visual SPC'!$K$4)),1,0))</f>
        <v/>
      </c>
      <c r="C4390">
        <f>C4389+B4390</f>
        <v/>
      </c>
      <c r="D4390">
        <f>IF(B4390=1,INDEX('Data Entry'!$H$5:$BE$10004,4390-4,'Visual SPC'!$B$3),"")</f>
        <v/>
      </c>
      <c r="E4390">
        <f>IF(B4390=1,D4390,E4389)</f>
        <v/>
      </c>
      <c r="F4390">
        <f>IF(AND(B4390=1,C4390&gt;1,E4389&lt;&gt;""),ABS(D4390-E4389),"")</f>
        <v/>
      </c>
    </row>
    <row r="4391">
      <c r="A4391" t="n">
        <v>4391</v>
      </c>
      <c r="B4391">
        <f>IF(INDEX('Data Entry'!$H$5:$BE$10004,4391-4,'Visual SPC'!$B$3)="",0,IF(AND(OR('Visual SPC'!$C$4="",'Data Entry'!$C4391&gt;='Visual SPC'!$C$4),OR('Visual SPC'!$E$4="",'Data Entry'!$C4391&lt;='Visual SPC'!$E$4),OR('Visual SPC'!$G$4="",'Data Entry'!$D4391='Visual SPC'!$G$4),OR('Visual SPC'!$I$4="",'Data Entry'!$E4391='Visual SPC'!$I$4),OR('Visual SPC'!$K$4="",'Data Entry'!$F4391='Visual SPC'!$K$4)),1,0))</f>
        <v/>
      </c>
      <c r="C4391">
        <f>C4390+B4391</f>
        <v/>
      </c>
      <c r="D4391">
        <f>IF(B4391=1,INDEX('Data Entry'!$H$5:$BE$10004,4391-4,'Visual SPC'!$B$3),"")</f>
        <v/>
      </c>
      <c r="E4391">
        <f>IF(B4391=1,D4391,E4390)</f>
        <v/>
      </c>
      <c r="F4391">
        <f>IF(AND(B4391=1,C4391&gt;1,E4390&lt;&gt;""),ABS(D4391-E4390),"")</f>
        <v/>
      </c>
    </row>
    <row r="4392">
      <c r="A4392" t="n">
        <v>4392</v>
      </c>
      <c r="B4392">
        <f>IF(INDEX('Data Entry'!$H$5:$BE$10004,4392-4,'Visual SPC'!$B$3)="",0,IF(AND(OR('Visual SPC'!$C$4="",'Data Entry'!$C4392&gt;='Visual SPC'!$C$4),OR('Visual SPC'!$E$4="",'Data Entry'!$C4392&lt;='Visual SPC'!$E$4),OR('Visual SPC'!$G$4="",'Data Entry'!$D4392='Visual SPC'!$G$4),OR('Visual SPC'!$I$4="",'Data Entry'!$E4392='Visual SPC'!$I$4),OR('Visual SPC'!$K$4="",'Data Entry'!$F4392='Visual SPC'!$K$4)),1,0))</f>
        <v/>
      </c>
      <c r="C4392">
        <f>C4391+B4392</f>
        <v/>
      </c>
      <c r="D4392">
        <f>IF(B4392=1,INDEX('Data Entry'!$H$5:$BE$10004,4392-4,'Visual SPC'!$B$3),"")</f>
        <v/>
      </c>
      <c r="E4392">
        <f>IF(B4392=1,D4392,E4391)</f>
        <v/>
      </c>
      <c r="F4392">
        <f>IF(AND(B4392=1,C4392&gt;1,E4391&lt;&gt;""),ABS(D4392-E4391),"")</f>
        <v/>
      </c>
    </row>
    <row r="4393">
      <c r="A4393" t="n">
        <v>4393</v>
      </c>
      <c r="B4393">
        <f>IF(INDEX('Data Entry'!$H$5:$BE$10004,4393-4,'Visual SPC'!$B$3)="",0,IF(AND(OR('Visual SPC'!$C$4="",'Data Entry'!$C4393&gt;='Visual SPC'!$C$4),OR('Visual SPC'!$E$4="",'Data Entry'!$C4393&lt;='Visual SPC'!$E$4),OR('Visual SPC'!$G$4="",'Data Entry'!$D4393='Visual SPC'!$G$4),OR('Visual SPC'!$I$4="",'Data Entry'!$E4393='Visual SPC'!$I$4),OR('Visual SPC'!$K$4="",'Data Entry'!$F4393='Visual SPC'!$K$4)),1,0))</f>
        <v/>
      </c>
      <c r="C4393">
        <f>C4392+B4393</f>
        <v/>
      </c>
      <c r="D4393">
        <f>IF(B4393=1,INDEX('Data Entry'!$H$5:$BE$10004,4393-4,'Visual SPC'!$B$3),"")</f>
        <v/>
      </c>
      <c r="E4393">
        <f>IF(B4393=1,D4393,E4392)</f>
        <v/>
      </c>
      <c r="F4393">
        <f>IF(AND(B4393=1,C4393&gt;1,E4392&lt;&gt;""),ABS(D4393-E4392),"")</f>
        <v/>
      </c>
    </row>
    <row r="4394">
      <c r="A4394" t="n">
        <v>4394</v>
      </c>
      <c r="B4394">
        <f>IF(INDEX('Data Entry'!$H$5:$BE$10004,4394-4,'Visual SPC'!$B$3)="",0,IF(AND(OR('Visual SPC'!$C$4="",'Data Entry'!$C4394&gt;='Visual SPC'!$C$4),OR('Visual SPC'!$E$4="",'Data Entry'!$C4394&lt;='Visual SPC'!$E$4),OR('Visual SPC'!$G$4="",'Data Entry'!$D4394='Visual SPC'!$G$4),OR('Visual SPC'!$I$4="",'Data Entry'!$E4394='Visual SPC'!$I$4),OR('Visual SPC'!$K$4="",'Data Entry'!$F4394='Visual SPC'!$K$4)),1,0))</f>
        <v/>
      </c>
      <c r="C4394">
        <f>C4393+B4394</f>
        <v/>
      </c>
      <c r="D4394">
        <f>IF(B4394=1,INDEX('Data Entry'!$H$5:$BE$10004,4394-4,'Visual SPC'!$B$3),"")</f>
        <v/>
      </c>
      <c r="E4394">
        <f>IF(B4394=1,D4394,E4393)</f>
        <v/>
      </c>
      <c r="F4394">
        <f>IF(AND(B4394=1,C4394&gt;1,E4393&lt;&gt;""),ABS(D4394-E4393),"")</f>
        <v/>
      </c>
    </row>
    <row r="4395">
      <c r="A4395" t="n">
        <v>4395</v>
      </c>
      <c r="B4395">
        <f>IF(INDEX('Data Entry'!$H$5:$BE$10004,4395-4,'Visual SPC'!$B$3)="",0,IF(AND(OR('Visual SPC'!$C$4="",'Data Entry'!$C4395&gt;='Visual SPC'!$C$4),OR('Visual SPC'!$E$4="",'Data Entry'!$C4395&lt;='Visual SPC'!$E$4),OR('Visual SPC'!$G$4="",'Data Entry'!$D4395='Visual SPC'!$G$4),OR('Visual SPC'!$I$4="",'Data Entry'!$E4395='Visual SPC'!$I$4),OR('Visual SPC'!$K$4="",'Data Entry'!$F4395='Visual SPC'!$K$4)),1,0))</f>
        <v/>
      </c>
      <c r="C4395">
        <f>C4394+B4395</f>
        <v/>
      </c>
      <c r="D4395">
        <f>IF(B4395=1,INDEX('Data Entry'!$H$5:$BE$10004,4395-4,'Visual SPC'!$B$3),"")</f>
        <v/>
      </c>
      <c r="E4395">
        <f>IF(B4395=1,D4395,E4394)</f>
        <v/>
      </c>
      <c r="F4395">
        <f>IF(AND(B4395=1,C4395&gt;1,E4394&lt;&gt;""),ABS(D4395-E4394),"")</f>
        <v/>
      </c>
    </row>
    <row r="4396">
      <c r="A4396" t="n">
        <v>4396</v>
      </c>
      <c r="B4396">
        <f>IF(INDEX('Data Entry'!$H$5:$BE$10004,4396-4,'Visual SPC'!$B$3)="",0,IF(AND(OR('Visual SPC'!$C$4="",'Data Entry'!$C4396&gt;='Visual SPC'!$C$4),OR('Visual SPC'!$E$4="",'Data Entry'!$C4396&lt;='Visual SPC'!$E$4),OR('Visual SPC'!$G$4="",'Data Entry'!$D4396='Visual SPC'!$G$4),OR('Visual SPC'!$I$4="",'Data Entry'!$E4396='Visual SPC'!$I$4),OR('Visual SPC'!$K$4="",'Data Entry'!$F4396='Visual SPC'!$K$4)),1,0))</f>
        <v/>
      </c>
      <c r="C4396">
        <f>C4395+B4396</f>
        <v/>
      </c>
      <c r="D4396">
        <f>IF(B4396=1,INDEX('Data Entry'!$H$5:$BE$10004,4396-4,'Visual SPC'!$B$3),"")</f>
        <v/>
      </c>
      <c r="E4396">
        <f>IF(B4396=1,D4396,E4395)</f>
        <v/>
      </c>
      <c r="F4396">
        <f>IF(AND(B4396=1,C4396&gt;1,E4395&lt;&gt;""),ABS(D4396-E4395),"")</f>
        <v/>
      </c>
    </row>
    <row r="4397">
      <c r="A4397" t="n">
        <v>4397</v>
      </c>
      <c r="B4397">
        <f>IF(INDEX('Data Entry'!$H$5:$BE$10004,4397-4,'Visual SPC'!$B$3)="",0,IF(AND(OR('Visual SPC'!$C$4="",'Data Entry'!$C4397&gt;='Visual SPC'!$C$4),OR('Visual SPC'!$E$4="",'Data Entry'!$C4397&lt;='Visual SPC'!$E$4),OR('Visual SPC'!$G$4="",'Data Entry'!$D4397='Visual SPC'!$G$4),OR('Visual SPC'!$I$4="",'Data Entry'!$E4397='Visual SPC'!$I$4),OR('Visual SPC'!$K$4="",'Data Entry'!$F4397='Visual SPC'!$K$4)),1,0))</f>
        <v/>
      </c>
      <c r="C4397">
        <f>C4396+B4397</f>
        <v/>
      </c>
      <c r="D4397">
        <f>IF(B4397=1,INDEX('Data Entry'!$H$5:$BE$10004,4397-4,'Visual SPC'!$B$3),"")</f>
        <v/>
      </c>
      <c r="E4397">
        <f>IF(B4397=1,D4397,E4396)</f>
        <v/>
      </c>
      <c r="F4397">
        <f>IF(AND(B4397=1,C4397&gt;1,E4396&lt;&gt;""),ABS(D4397-E4396),"")</f>
        <v/>
      </c>
    </row>
    <row r="4398">
      <c r="A4398" t="n">
        <v>4398</v>
      </c>
      <c r="B4398">
        <f>IF(INDEX('Data Entry'!$H$5:$BE$10004,4398-4,'Visual SPC'!$B$3)="",0,IF(AND(OR('Visual SPC'!$C$4="",'Data Entry'!$C4398&gt;='Visual SPC'!$C$4),OR('Visual SPC'!$E$4="",'Data Entry'!$C4398&lt;='Visual SPC'!$E$4),OR('Visual SPC'!$G$4="",'Data Entry'!$D4398='Visual SPC'!$G$4),OR('Visual SPC'!$I$4="",'Data Entry'!$E4398='Visual SPC'!$I$4),OR('Visual SPC'!$K$4="",'Data Entry'!$F4398='Visual SPC'!$K$4)),1,0))</f>
        <v/>
      </c>
      <c r="C4398">
        <f>C4397+B4398</f>
        <v/>
      </c>
      <c r="D4398">
        <f>IF(B4398=1,INDEX('Data Entry'!$H$5:$BE$10004,4398-4,'Visual SPC'!$B$3),"")</f>
        <v/>
      </c>
      <c r="E4398">
        <f>IF(B4398=1,D4398,E4397)</f>
        <v/>
      </c>
      <c r="F4398">
        <f>IF(AND(B4398=1,C4398&gt;1,E4397&lt;&gt;""),ABS(D4398-E4397),"")</f>
        <v/>
      </c>
    </row>
    <row r="4399">
      <c r="A4399" t="n">
        <v>4399</v>
      </c>
      <c r="B4399">
        <f>IF(INDEX('Data Entry'!$H$5:$BE$10004,4399-4,'Visual SPC'!$B$3)="",0,IF(AND(OR('Visual SPC'!$C$4="",'Data Entry'!$C4399&gt;='Visual SPC'!$C$4),OR('Visual SPC'!$E$4="",'Data Entry'!$C4399&lt;='Visual SPC'!$E$4),OR('Visual SPC'!$G$4="",'Data Entry'!$D4399='Visual SPC'!$G$4),OR('Visual SPC'!$I$4="",'Data Entry'!$E4399='Visual SPC'!$I$4),OR('Visual SPC'!$K$4="",'Data Entry'!$F4399='Visual SPC'!$K$4)),1,0))</f>
        <v/>
      </c>
      <c r="C4399">
        <f>C4398+B4399</f>
        <v/>
      </c>
      <c r="D4399">
        <f>IF(B4399=1,INDEX('Data Entry'!$H$5:$BE$10004,4399-4,'Visual SPC'!$B$3),"")</f>
        <v/>
      </c>
      <c r="E4399">
        <f>IF(B4399=1,D4399,E4398)</f>
        <v/>
      </c>
      <c r="F4399">
        <f>IF(AND(B4399=1,C4399&gt;1,E4398&lt;&gt;""),ABS(D4399-E4398),"")</f>
        <v/>
      </c>
    </row>
    <row r="4400">
      <c r="A4400" t="n">
        <v>4400</v>
      </c>
      <c r="B4400">
        <f>IF(INDEX('Data Entry'!$H$5:$BE$10004,4400-4,'Visual SPC'!$B$3)="",0,IF(AND(OR('Visual SPC'!$C$4="",'Data Entry'!$C4400&gt;='Visual SPC'!$C$4),OR('Visual SPC'!$E$4="",'Data Entry'!$C4400&lt;='Visual SPC'!$E$4),OR('Visual SPC'!$G$4="",'Data Entry'!$D4400='Visual SPC'!$G$4),OR('Visual SPC'!$I$4="",'Data Entry'!$E4400='Visual SPC'!$I$4),OR('Visual SPC'!$K$4="",'Data Entry'!$F4400='Visual SPC'!$K$4)),1,0))</f>
        <v/>
      </c>
      <c r="C4400">
        <f>C4399+B4400</f>
        <v/>
      </c>
      <c r="D4400">
        <f>IF(B4400=1,INDEX('Data Entry'!$H$5:$BE$10004,4400-4,'Visual SPC'!$B$3),"")</f>
        <v/>
      </c>
      <c r="E4400">
        <f>IF(B4400=1,D4400,E4399)</f>
        <v/>
      </c>
      <c r="F4400">
        <f>IF(AND(B4400=1,C4400&gt;1,E4399&lt;&gt;""),ABS(D4400-E4399),"")</f>
        <v/>
      </c>
    </row>
    <row r="4401">
      <c r="A4401" t="n">
        <v>4401</v>
      </c>
      <c r="B4401">
        <f>IF(INDEX('Data Entry'!$H$5:$BE$10004,4401-4,'Visual SPC'!$B$3)="",0,IF(AND(OR('Visual SPC'!$C$4="",'Data Entry'!$C4401&gt;='Visual SPC'!$C$4),OR('Visual SPC'!$E$4="",'Data Entry'!$C4401&lt;='Visual SPC'!$E$4),OR('Visual SPC'!$G$4="",'Data Entry'!$D4401='Visual SPC'!$G$4),OR('Visual SPC'!$I$4="",'Data Entry'!$E4401='Visual SPC'!$I$4),OR('Visual SPC'!$K$4="",'Data Entry'!$F4401='Visual SPC'!$K$4)),1,0))</f>
        <v/>
      </c>
      <c r="C4401">
        <f>C4400+B4401</f>
        <v/>
      </c>
      <c r="D4401">
        <f>IF(B4401=1,INDEX('Data Entry'!$H$5:$BE$10004,4401-4,'Visual SPC'!$B$3),"")</f>
        <v/>
      </c>
      <c r="E4401">
        <f>IF(B4401=1,D4401,E4400)</f>
        <v/>
      </c>
      <c r="F4401">
        <f>IF(AND(B4401=1,C4401&gt;1,E4400&lt;&gt;""),ABS(D4401-E4400),"")</f>
        <v/>
      </c>
    </row>
    <row r="4402">
      <c r="A4402" t="n">
        <v>4402</v>
      </c>
      <c r="B4402">
        <f>IF(INDEX('Data Entry'!$H$5:$BE$10004,4402-4,'Visual SPC'!$B$3)="",0,IF(AND(OR('Visual SPC'!$C$4="",'Data Entry'!$C4402&gt;='Visual SPC'!$C$4),OR('Visual SPC'!$E$4="",'Data Entry'!$C4402&lt;='Visual SPC'!$E$4),OR('Visual SPC'!$G$4="",'Data Entry'!$D4402='Visual SPC'!$G$4),OR('Visual SPC'!$I$4="",'Data Entry'!$E4402='Visual SPC'!$I$4),OR('Visual SPC'!$K$4="",'Data Entry'!$F4402='Visual SPC'!$K$4)),1,0))</f>
        <v/>
      </c>
      <c r="C4402">
        <f>C4401+B4402</f>
        <v/>
      </c>
      <c r="D4402">
        <f>IF(B4402=1,INDEX('Data Entry'!$H$5:$BE$10004,4402-4,'Visual SPC'!$B$3),"")</f>
        <v/>
      </c>
      <c r="E4402">
        <f>IF(B4402=1,D4402,E4401)</f>
        <v/>
      </c>
      <c r="F4402">
        <f>IF(AND(B4402=1,C4402&gt;1,E4401&lt;&gt;""),ABS(D4402-E4401),"")</f>
        <v/>
      </c>
    </row>
    <row r="4403">
      <c r="A4403" t="n">
        <v>4403</v>
      </c>
      <c r="B4403">
        <f>IF(INDEX('Data Entry'!$H$5:$BE$10004,4403-4,'Visual SPC'!$B$3)="",0,IF(AND(OR('Visual SPC'!$C$4="",'Data Entry'!$C4403&gt;='Visual SPC'!$C$4),OR('Visual SPC'!$E$4="",'Data Entry'!$C4403&lt;='Visual SPC'!$E$4),OR('Visual SPC'!$G$4="",'Data Entry'!$D4403='Visual SPC'!$G$4),OR('Visual SPC'!$I$4="",'Data Entry'!$E4403='Visual SPC'!$I$4),OR('Visual SPC'!$K$4="",'Data Entry'!$F4403='Visual SPC'!$K$4)),1,0))</f>
        <v/>
      </c>
      <c r="C4403">
        <f>C4402+B4403</f>
        <v/>
      </c>
      <c r="D4403">
        <f>IF(B4403=1,INDEX('Data Entry'!$H$5:$BE$10004,4403-4,'Visual SPC'!$B$3),"")</f>
        <v/>
      </c>
      <c r="E4403">
        <f>IF(B4403=1,D4403,E4402)</f>
        <v/>
      </c>
      <c r="F4403">
        <f>IF(AND(B4403=1,C4403&gt;1,E4402&lt;&gt;""),ABS(D4403-E4402),"")</f>
        <v/>
      </c>
    </row>
    <row r="4404">
      <c r="A4404" t="n">
        <v>4404</v>
      </c>
      <c r="B4404">
        <f>IF(INDEX('Data Entry'!$H$5:$BE$10004,4404-4,'Visual SPC'!$B$3)="",0,IF(AND(OR('Visual SPC'!$C$4="",'Data Entry'!$C4404&gt;='Visual SPC'!$C$4),OR('Visual SPC'!$E$4="",'Data Entry'!$C4404&lt;='Visual SPC'!$E$4),OR('Visual SPC'!$G$4="",'Data Entry'!$D4404='Visual SPC'!$G$4),OR('Visual SPC'!$I$4="",'Data Entry'!$E4404='Visual SPC'!$I$4),OR('Visual SPC'!$K$4="",'Data Entry'!$F4404='Visual SPC'!$K$4)),1,0))</f>
        <v/>
      </c>
      <c r="C4404">
        <f>C4403+B4404</f>
        <v/>
      </c>
      <c r="D4404">
        <f>IF(B4404=1,INDEX('Data Entry'!$H$5:$BE$10004,4404-4,'Visual SPC'!$B$3),"")</f>
        <v/>
      </c>
      <c r="E4404">
        <f>IF(B4404=1,D4404,E4403)</f>
        <v/>
      </c>
      <c r="F4404">
        <f>IF(AND(B4404=1,C4404&gt;1,E4403&lt;&gt;""),ABS(D4404-E4403),"")</f>
        <v/>
      </c>
    </row>
    <row r="4405">
      <c r="A4405" t="n">
        <v>4405</v>
      </c>
      <c r="B4405">
        <f>IF(INDEX('Data Entry'!$H$5:$BE$10004,4405-4,'Visual SPC'!$B$3)="",0,IF(AND(OR('Visual SPC'!$C$4="",'Data Entry'!$C4405&gt;='Visual SPC'!$C$4),OR('Visual SPC'!$E$4="",'Data Entry'!$C4405&lt;='Visual SPC'!$E$4),OR('Visual SPC'!$G$4="",'Data Entry'!$D4405='Visual SPC'!$G$4),OR('Visual SPC'!$I$4="",'Data Entry'!$E4405='Visual SPC'!$I$4),OR('Visual SPC'!$K$4="",'Data Entry'!$F4405='Visual SPC'!$K$4)),1,0))</f>
        <v/>
      </c>
      <c r="C4405">
        <f>C4404+B4405</f>
        <v/>
      </c>
      <c r="D4405">
        <f>IF(B4405=1,INDEX('Data Entry'!$H$5:$BE$10004,4405-4,'Visual SPC'!$B$3),"")</f>
        <v/>
      </c>
      <c r="E4405">
        <f>IF(B4405=1,D4405,E4404)</f>
        <v/>
      </c>
      <c r="F4405">
        <f>IF(AND(B4405=1,C4405&gt;1,E4404&lt;&gt;""),ABS(D4405-E4404),"")</f>
        <v/>
      </c>
    </row>
    <row r="4406">
      <c r="A4406" t="n">
        <v>4406</v>
      </c>
      <c r="B4406">
        <f>IF(INDEX('Data Entry'!$H$5:$BE$10004,4406-4,'Visual SPC'!$B$3)="",0,IF(AND(OR('Visual SPC'!$C$4="",'Data Entry'!$C4406&gt;='Visual SPC'!$C$4),OR('Visual SPC'!$E$4="",'Data Entry'!$C4406&lt;='Visual SPC'!$E$4),OR('Visual SPC'!$G$4="",'Data Entry'!$D4406='Visual SPC'!$G$4),OR('Visual SPC'!$I$4="",'Data Entry'!$E4406='Visual SPC'!$I$4),OR('Visual SPC'!$K$4="",'Data Entry'!$F4406='Visual SPC'!$K$4)),1,0))</f>
        <v/>
      </c>
      <c r="C4406">
        <f>C4405+B4406</f>
        <v/>
      </c>
      <c r="D4406">
        <f>IF(B4406=1,INDEX('Data Entry'!$H$5:$BE$10004,4406-4,'Visual SPC'!$B$3),"")</f>
        <v/>
      </c>
      <c r="E4406">
        <f>IF(B4406=1,D4406,E4405)</f>
        <v/>
      </c>
      <c r="F4406">
        <f>IF(AND(B4406=1,C4406&gt;1,E4405&lt;&gt;""),ABS(D4406-E4405),"")</f>
        <v/>
      </c>
    </row>
    <row r="4407">
      <c r="A4407" t="n">
        <v>4407</v>
      </c>
      <c r="B4407">
        <f>IF(INDEX('Data Entry'!$H$5:$BE$10004,4407-4,'Visual SPC'!$B$3)="",0,IF(AND(OR('Visual SPC'!$C$4="",'Data Entry'!$C4407&gt;='Visual SPC'!$C$4),OR('Visual SPC'!$E$4="",'Data Entry'!$C4407&lt;='Visual SPC'!$E$4),OR('Visual SPC'!$G$4="",'Data Entry'!$D4407='Visual SPC'!$G$4),OR('Visual SPC'!$I$4="",'Data Entry'!$E4407='Visual SPC'!$I$4),OR('Visual SPC'!$K$4="",'Data Entry'!$F4407='Visual SPC'!$K$4)),1,0))</f>
        <v/>
      </c>
      <c r="C4407">
        <f>C4406+B4407</f>
        <v/>
      </c>
      <c r="D4407">
        <f>IF(B4407=1,INDEX('Data Entry'!$H$5:$BE$10004,4407-4,'Visual SPC'!$B$3),"")</f>
        <v/>
      </c>
      <c r="E4407">
        <f>IF(B4407=1,D4407,E4406)</f>
        <v/>
      </c>
      <c r="F4407">
        <f>IF(AND(B4407=1,C4407&gt;1,E4406&lt;&gt;""),ABS(D4407-E4406),"")</f>
        <v/>
      </c>
    </row>
    <row r="4408">
      <c r="A4408" t="n">
        <v>4408</v>
      </c>
      <c r="B4408">
        <f>IF(INDEX('Data Entry'!$H$5:$BE$10004,4408-4,'Visual SPC'!$B$3)="",0,IF(AND(OR('Visual SPC'!$C$4="",'Data Entry'!$C4408&gt;='Visual SPC'!$C$4),OR('Visual SPC'!$E$4="",'Data Entry'!$C4408&lt;='Visual SPC'!$E$4),OR('Visual SPC'!$G$4="",'Data Entry'!$D4408='Visual SPC'!$G$4),OR('Visual SPC'!$I$4="",'Data Entry'!$E4408='Visual SPC'!$I$4),OR('Visual SPC'!$K$4="",'Data Entry'!$F4408='Visual SPC'!$K$4)),1,0))</f>
        <v/>
      </c>
      <c r="C4408">
        <f>C4407+B4408</f>
        <v/>
      </c>
      <c r="D4408">
        <f>IF(B4408=1,INDEX('Data Entry'!$H$5:$BE$10004,4408-4,'Visual SPC'!$B$3),"")</f>
        <v/>
      </c>
      <c r="E4408">
        <f>IF(B4408=1,D4408,E4407)</f>
        <v/>
      </c>
      <c r="F4408">
        <f>IF(AND(B4408=1,C4408&gt;1,E4407&lt;&gt;""),ABS(D4408-E4407),"")</f>
        <v/>
      </c>
    </row>
    <row r="4409">
      <c r="A4409" t="n">
        <v>4409</v>
      </c>
      <c r="B4409">
        <f>IF(INDEX('Data Entry'!$H$5:$BE$10004,4409-4,'Visual SPC'!$B$3)="",0,IF(AND(OR('Visual SPC'!$C$4="",'Data Entry'!$C4409&gt;='Visual SPC'!$C$4),OR('Visual SPC'!$E$4="",'Data Entry'!$C4409&lt;='Visual SPC'!$E$4),OR('Visual SPC'!$G$4="",'Data Entry'!$D4409='Visual SPC'!$G$4),OR('Visual SPC'!$I$4="",'Data Entry'!$E4409='Visual SPC'!$I$4),OR('Visual SPC'!$K$4="",'Data Entry'!$F4409='Visual SPC'!$K$4)),1,0))</f>
        <v/>
      </c>
      <c r="C4409">
        <f>C4408+B4409</f>
        <v/>
      </c>
      <c r="D4409">
        <f>IF(B4409=1,INDEX('Data Entry'!$H$5:$BE$10004,4409-4,'Visual SPC'!$B$3),"")</f>
        <v/>
      </c>
      <c r="E4409">
        <f>IF(B4409=1,D4409,E4408)</f>
        <v/>
      </c>
      <c r="F4409">
        <f>IF(AND(B4409=1,C4409&gt;1,E4408&lt;&gt;""),ABS(D4409-E4408),"")</f>
        <v/>
      </c>
    </row>
    <row r="4410">
      <c r="A4410" t="n">
        <v>4410</v>
      </c>
      <c r="B4410">
        <f>IF(INDEX('Data Entry'!$H$5:$BE$10004,4410-4,'Visual SPC'!$B$3)="",0,IF(AND(OR('Visual SPC'!$C$4="",'Data Entry'!$C4410&gt;='Visual SPC'!$C$4),OR('Visual SPC'!$E$4="",'Data Entry'!$C4410&lt;='Visual SPC'!$E$4),OR('Visual SPC'!$G$4="",'Data Entry'!$D4410='Visual SPC'!$G$4),OR('Visual SPC'!$I$4="",'Data Entry'!$E4410='Visual SPC'!$I$4),OR('Visual SPC'!$K$4="",'Data Entry'!$F4410='Visual SPC'!$K$4)),1,0))</f>
        <v/>
      </c>
      <c r="C4410">
        <f>C4409+B4410</f>
        <v/>
      </c>
      <c r="D4410">
        <f>IF(B4410=1,INDEX('Data Entry'!$H$5:$BE$10004,4410-4,'Visual SPC'!$B$3),"")</f>
        <v/>
      </c>
      <c r="E4410">
        <f>IF(B4410=1,D4410,E4409)</f>
        <v/>
      </c>
      <c r="F4410">
        <f>IF(AND(B4410=1,C4410&gt;1,E4409&lt;&gt;""),ABS(D4410-E4409),"")</f>
        <v/>
      </c>
    </row>
    <row r="4411">
      <c r="A4411" t="n">
        <v>4411</v>
      </c>
      <c r="B4411">
        <f>IF(INDEX('Data Entry'!$H$5:$BE$10004,4411-4,'Visual SPC'!$B$3)="",0,IF(AND(OR('Visual SPC'!$C$4="",'Data Entry'!$C4411&gt;='Visual SPC'!$C$4),OR('Visual SPC'!$E$4="",'Data Entry'!$C4411&lt;='Visual SPC'!$E$4),OR('Visual SPC'!$G$4="",'Data Entry'!$D4411='Visual SPC'!$G$4),OR('Visual SPC'!$I$4="",'Data Entry'!$E4411='Visual SPC'!$I$4),OR('Visual SPC'!$K$4="",'Data Entry'!$F4411='Visual SPC'!$K$4)),1,0))</f>
        <v/>
      </c>
      <c r="C4411">
        <f>C4410+B4411</f>
        <v/>
      </c>
      <c r="D4411">
        <f>IF(B4411=1,INDEX('Data Entry'!$H$5:$BE$10004,4411-4,'Visual SPC'!$B$3),"")</f>
        <v/>
      </c>
      <c r="E4411">
        <f>IF(B4411=1,D4411,E4410)</f>
        <v/>
      </c>
      <c r="F4411">
        <f>IF(AND(B4411=1,C4411&gt;1,E4410&lt;&gt;""),ABS(D4411-E4410),"")</f>
        <v/>
      </c>
    </row>
    <row r="4412">
      <c r="A4412" t="n">
        <v>4412</v>
      </c>
      <c r="B4412">
        <f>IF(INDEX('Data Entry'!$H$5:$BE$10004,4412-4,'Visual SPC'!$B$3)="",0,IF(AND(OR('Visual SPC'!$C$4="",'Data Entry'!$C4412&gt;='Visual SPC'!$C$4),OR('Visual SPC'!$E$4="",'Data Entry'!$C4412&lt;='Visual SPC'!$E$4),OR('Visual SPC'!$G$4="",'Data Entry'!$D4412='Visual SPC'!$G$4),OR('Visual SPC'!$I$4="",'Data Entry'!$E4412='Visual SPC'!$I$4),OR('Visual SPC'!$K$4="",'Data Entry'!$F4412='Visual SPC'!$K$4)),1,0))</f>
        <v/>
      </c>
      <c r="C4412">
        <f>C4411+B4412</f>
        <v/>
      </c>
      <c r="D4412">
        <f>IF(B4412=1,INDEX('Data Entry'!$H$5:$BE$10004,4412-4,'Visual SPC'!$B$3),"")</f>
        <v/>
      </c>
      <c r="E4412">
        <f>IF(B4412=1,D4412,E4411)</f>
        <v/>
      </c>
      <c r="F4412">
        <f>IF(AND(B4412=1,C4412&gt;1,E4411&lt;&gt;""),ABS(D4412-E4411),"")</f>
        <v/>
      </c>
    </row>
    <row r="4413">
      <c r="A4413" t="n">
        <v>4413</v>
      </c>
      <c r="B4413">
        <f>IF(INDEX('Data Entry'!$H$5:$BE$10004,4413-4,'Visual SPC'!$B$3)="",0,IF(AND(OR('Visual SPC'!$C$4="",'Data Entry'!$C4413&gt;='Visual SPC'!$C$4),OR('Visual SPC'!$E$4="",'Data Entry'!$C4413&lt;='Visual SPC'!$E$4),OR('Visual SPC'!$G$4="",'Data Entry'!$D4413='Visual SPC'!$G$4),OR('Visual SPC'!$I$4="",'Data Entry'!$E4413='Visual SPC'!$I$4),OR('Visual SPC'!$K$4="",'Data Entry'!$F4413='Visual SPC'!$K$4)),1,0))</f>
        <v/>
      </c>
      <c r="C4413">
        <f>C4412+B4413</f>
        <v/>
      </c>
      <c r="D4413">
        <f>IF(B4413=1,INDEX('Data Entry'!$H$5:$BE$10004,4413-4,'Visual SPC'!$B$3),"")</f>
        <v/>
      </c>
      <c r="E4413">
        <f>IF(B4413=1,D4413,E4412)</f>
        <v/>
      </c>
      <c r="F4413">
        <f>IF(AND(B4413=1,C4413&gt;1,E4412&lt;&gt;""),ABS(D4413-E4412),"")</f>
        <v/>
      </c>
    </row>
    <row r="4414">
      <c r="A4414" t="n">
        <v>4414</v>
      </c>
      <c r="B4414">
        <f>IF(INDEX('Data Entry'!$H$5:$BE$10004,4414-4,'Visual SPC'!$B$3)="",0,IF(AND(OR('Visual SPC'!$C$4="",'Data Entry'!$C4414&gt;='Visual SPC'!$C$4),OR('Visual SPC'!$E$4="",'Data Entry'!$C4414&lt;='Visual SPC'!$E$4),OR('Visual SPC'!$G$4="",'Data Entry'!$D4414='Visual SPC'!$G$4),OR('Visual SPC'!$I$4="",'Data Entry'!$E4414='Visual SPC'!$I$4),OR('Visual SPC'!$K$4="",'Data Entry'!$F4414='Visual SPC'!$K$4)),1,0))</f>
        <v/>
      </c>
      <c r="C4414">
        <f>C4413+B4414</f>
        <v/>
      </c>
      <c r="D4414">
        <f>IF(B4414=1,INDEX('Data Entry'!$H$5:$BE$10004,4414-4,'Visual SPC'!$B$3),"")</f>
        <v/>
      </c>
      <c r="E4414">
        <f>IF(B4414=1,D4414,E4413)</f>
        <v/>
      </c>
      <c r="F4414">
        <f>IF(AND(B4414=1,C4414&gt;1,E4413&lt;&gt;""),ABS(D4414-E4413),"")</f>
        <v/>
      </c>
    </row>
    <row r="4415">
      <c r="A4415" t="n">
        <v>4415</v>
      </c>
      <c r="B4415">
        <f>IF(INDEX('Data Entry'!$H$5:$BE$10004,4415-4,'Visual SPC'!$B$3)="",0,IF(AND(OR('Visual SPC'!$C$4="",'Data Entry'!$C4415&gt;='Visual SPC'!$C$4),OR('Visual SPC'!$E$4="",'Data Entry'!$C4415&lt;='Visual SPC'!$E$4),OR('Visual SPC'!$G$4="",'Data Entry'!$D4415='Visual SPC'!$G$4),OR('Visual SPC'!$I$4="",'Data Entry'!$E4415='Visual SPC'!$I$4),OR('Visual SPC'!$K$4="",'Data Entry'!$F4415='Visual SPC'!$K$4)),1,0))</f>
        <v/>
      </c>
      <c r="C4415">
        <f>C4414+B4415</f>
        <v/>
      </c>
      <c r="D4415">
        <f>IF(B4415=1,INDEX('Data Entry'!$H$5:$BE$10004,4415-4,'Visual SPC'!$B$3),"")</f>
        <v/>
      </c>
      <c r="E4415">
        <f>IF(B4415=1,D4415,E4414)</f>
        <v/>
      </c>
      <c r="F4415">
        <f>IF(AND(B4415=1,C4415&gt;1,E4414&lt;&gt;""),ABS(D4415-E4414),"")</f>
        <v/>
      </c>
    </row>
    <row r="4416">
      <c r="A4416" t="n">
        <v>4416</v>
      </c>
      <c r="B4416">
        <f>IF(INDEX('Data Entry'!$H$5:$BE$10004,4416-4,'Visual SPC'!$B$3)="",0,IF(AND(OR('Visual SPC'!$C$4="",'Data Entry'!$C4416&gt;='Visual SPC'!$C$4),OR('Visual SPC'!$E$4="",'Data Entry'!$C4416&lt;='Visual SPC'!$E$4),OR('Visual SPC'!$G$4="",'Data Entry'!$D4416='Visual SPC'!$G$4),OR('Visual SPC'!$I$4="",'Data Entry'!$E4416='Visual SPC'!$I$4),OR('Visual SPC'!$K$4="",'Data Entry'!$F4416='Visual SPC'!$K$4)),1,0))</f>
        <v/>
      </c>
      <c r="C4416">
        <f>C4415+B4416</f>
        <v/>
      </c>
      <c r="D4416">
        <f>IF(B4416=1,INDEX('Data Entry'!$H$5:$BE$10004,4416-4,'Visual SPC'!$B$3),"")</f>
        <v/>
      </c>
      <c r="E4416">
        <f>IF(B4416=1,D4416,E4415)</f>
        <v/>
      </c>
      <c r="F4416">
        <f>IF(AND(B4416=1,C4416&gt;1,E4415&lt;&gt;""),ABS(D4416-E4415),"")</f>
        <v/>
      </c>
    </row>
    <row r="4417">
      <c r="A4417" t="n">
        <v>4417</v>
      </c>
      <c r="B4417">
        <f>IF(INDEX('Data Entry'!$H$5:$BE$10004,4417-4,'Visual SPC'!$B$3)="",0,IF(AND(OR('Visual SPC'!$C$4="",'Data Entry'!$C4417&gt;='Visual SPC'!$C$4),OR('Visual SPC'!$E$4="",'Data Entry'!$C4417&lt;='Visual SPC'!$E$4),OR('Visual SPC'!$G$4="",'Data Entry'!$D4417='Visual SPC'!$G$4),OR('Visual SPC'!$I$4="",'Data Entry'!$E4417='Visual SPC'!$I$4),OR('Visual SPC'!$K$4="",'Data Entry'!$F4417='Visual SPC'!$K$4)),1,0))</f>
        <v/>
      </c>
      <c r="C4417">
        <f>C4416+B4417</f>
        <v/>
      </c>
      <c r="D4417">
        <f>IF(B4417=1,INDEX('Data Entry'!$H$5:$BE$10004,4417-4,'Visual SPC'!$B$3),"")</f>
        <v/>
      </c>
      <c r="E4417">
        <f>IF(B4417=1,D4417,E4416)</f>
        <v/>
      </c>
      <c r="F4417">
        <f>IF(AND(B4417=1,C4417&gt;1,E4416&lt;&gt;""),ABS(D4417-E4416),"")</f>
        <v/>
      </c>
    </row>
    <row r="4418">
      <c r="A4418" t="n">
        <v>4418</v>
      </c>
      <c r="B4418">
        <f>IF(INDEX('Data Entry'!$H$5:$BE$10004,4418-4,'Visual SPC'!$B$3)="",0,IF(AND(OR('Visual SPC'!$C$4="",'Data Entry'!$C4418&gt;='Visual SPC'!$C$4),OR('Visual SPC'!$E$4="",'Data Entry'!$C4418&lt;='Visual SPC'!$E$4),OR('Visual SPC'!$G$4="",'Data Entry'!$D4418='Visual SPC'!$G$4),OR('Visual SPC'!$I$4="",'Data Entry'!$E4418='Visual SPC'!$I$4),OR('Visual SPC'!$K$4="",'Data Entry'!$F4418='Visual SPC'!$K$4)),1,0))</f>
        <v/>
      </c>
      <c r="C4418">
        <f>C4417+B4418</f>
        <v/>
      </c>
      <c r="D4418">
        <f>IF(B4418=1,INDEX('Data Entry'!$H$5:$BE$10004,4418-4,'Visual SPC'!$B$3),"")</f>
        <v/>
      </c>
      <c r="E4418">
        <f>IF(B4418=1,D4418,E4417)</f>
        <v/>
      </c>
      <c r="F4418">
        <f>IF(AND(B4418=1,C4418&gt;1,E4417&lt;&gt;""),ABS(D4418-E4417),"")</f>
        <v/>
      </c>
    </row>
    <row r="4419">
      <c r="A4419" t="n">
        <v>4419</v>
      </c>
      <c r="B4419">
        <f>IF(INDEX('Data Entry'!$H$5:$BE$10004,4419-4,'Visual SPC'!$B$3)="",0,IF(AND(OR('Visual SPC'!$C$4="",'Data Entry'!$C4419&gt;='Visual SPC'!$C$4),OR('Visual SPC'!$E$4="",'Data Entry'!$C4419&lt;='Visual SPC'!$E$4),OR('Visual SPC'!$G$4="",'Data Entry'!$D4419='Visual SPC'!$G$4),OR('Visual SPC'!$I$4="",'Data Entry'!$E4419='Visual SPC'!$I$4),OR('Visual SPC'!$K$4="",'Data Entry'!$F4419='Visual SPC'!$K$4)),1,0))</f>
        <v/>
      </c>
      <c r="C4419">
        <f>C4418+B4419</f>
        <v/>
      </c>
      <c r="D4419">
        <f>IF(B4419=1,INDEX('Data Entry'!$H$5:$BE$10004,4419-4,'Visual SPC'!$B$3),"")</f>
        <v/>
      </c>
      <c r="E4419">
        <f>IF(B4419=1,D4419,E4418)</f>
        <v/>
      </c>
      <c r="F4419">
        <f>IF(AND(B4419=1,C4419&gt;1,E4418&lt;&gt;""),ABS(D4419-E4418),"")</f>
        <v/>
      </c>
    </row>
    <row r="4420">
      <c r="A4420" t="n">
        <v>4420</v>
      </c>
      <c r="B4420">
        <f>IF(INDEX('Data Entry'!$H$5:$BE$10004,4420-4,'Visual SPC'!$B$3)="",0,IF(AND(OR('Visual SPC'!$C$4="",'Data Entry'!$C4420&gt;='Visual SPC'!$C$4),OR('Visual SPC'!$E$4="",'Data Entry'!$C4420&lt;='Visual SPC'!$E$4),OR('Visual SPC'!$G$4="",'Data Entry'!$D4420='Visual SPC'!$G$4),OR('Visual SPC'!$I$4="",'Data Entry'!$E4420='Visual SPC'!$I$4),OR('Visual SPC'!$K$4="",'Data Entry'!$F4420='Visual SPC'!$K$4)),1,0))</f>
        <v/>
      </c>
      <c r="C4420">
        <f>C4419+B4420</f>
        <v/>
      </c>
      <c r="D4420">
        <f>IF(B4420=1,INDEX('Data Entry'!$H$5:$BE$10004,4420-4,'Visual SPC'!$B$3),"")</f>
        <v/>
      </c>
      <c r="E4420">
        <f>IF(B4420=1,D4420,E4419)</f>
        <v/>
      </c>
      <c r="F4420">
        <f>IF(AND(B4420=1,C4420&gt;1,E4419&lt;&gt;""),ABS(D4420-E4419),"")</f>
        <v/>
      </c>
    </row>
    <row r="4421">
      <c r="A4421" t="n">
        <v>4421</v>
      </c>
      <c r="B4421">
        <f>IF(INDEX('Data Entry'!$H$5:$BE$10004,4421-4,'Visual SPC'!$B$3)="",0,IF(AND(OR('Visual SPC'!$C$4="",'Data Entry'!$C4421&gt;='Visual SPC'!$C$4),OR('Visual SPC'!$E$4="",'Data Entry'!$C4421&lt;='Visual SPC'!$E$4),OR('Visual SPC'!$G$4="",'Data Entry'!$D4421='Visual SPC'!$G$4),OR('Visual SPC'!$I$4="",'Data Entry'!$E4421='Visual SPC'!$I$4),OR('Visual SPC'!$K$4="",'Data Entry'!$F4421='Visual SPC'!$K$4)),1,0))</f>
        <v/>
      </c>
      <c r="C4421">
        <f>C4420+B4421</f>
        <v/>
      </c>
      <c r="D4421">
        <f>IF(B4421=1,INDEX('Data Entry'!$H$5:$BE$10004,4421-4,'Visual SPC'!$B$3),"")</f>
        <v/>
      </c>
      <c r="E4421">
        <f>IF(B4421=1,D4421,E4420)</f>
        <v/>
      </c>
      <c r="F4421">
        <f>IF(AND(B4421=1,C4421&gt;1,E4420&lt;&gt;""),ABS(D4421-E4420),"")</f>
        <v/>
      </c>
    </row>
    <row r="4422">
      <c r="A4422" t="n">
        <v>4422</v>
      </c>
      <c r="B4422">
        <f>IF(INDEX('Data Entry'!$H$5:$BE$10004,4422-4,'Visual SPC'!$B$3)="",0,IF(AND(OR('Visual SPC'!$C$4="",'Data Entry'!$C4422&gt;='Visual SPC'!$C$4),OR('Visual SPC'!$E$4="",'Data Entry'!$C4422&lt;='Visual SPC'!$E$4),OR('Visual SPC'!$G$4="",'Data Entry'!$D4422='Visual SPC'!$G$4),OR('Visual SPC'!$I$4="",'Data Entry'!$E4422='Visual SPC'!$I$4),OR('Visual SPC'!$K$4="",'Data Entry'!$F4422='Visual SPC'!$K$4)),1,0))</f>
        <v/>
      </c>
      <c r="C4422">
        <f>C4421+B4422</f>
        <v/>
      </c>
      <c r="D4422">
        <f>IF(B4422=1,INDEX('Data Entry'!$H$5:$BE$10004,4422-4,'Visual SPC'!$B$3),"")</f>
        <v/>
      </c>
      <c r="E4422">
        <f>IF(B4422=1,D4422,E4421)</f>
        <v/>
      </c>
      <c r="F4422">
        <f>IF(AND(B4422=1,C4422&gt;1,E4421&lt;&gt;""),ABS(D4422-E4421),"")</f>
        <v/>
      </c>
    </row>
    <row r="4423">
      <c r="A4423" t="n">
        <v>4423</v>
      </c>
      <c r="B4423">
        <f>IF(INDEX('Data Entry'!$H$5:$BE$10004,4423-4,'Visual SPC'!$B$3)="",0,IF(AND(OR('Visual SPC'!$C$4="",'Data Entry'!$C4423&gt;='Visual SPC'!$C$4),OR('Visual SPC'!$E$4="",'Data Entry'!$C4423&lt;='Visual SPC'!$E$4),OR('Visual SPC'!$G$4="",'Data Entry'!$D4423='Visual SPC'!$G$4),OR('Visual SPC'!$I$4="",'Data Entry'!$E4423='Visual SPC'!$I$4),OR('Visual SPC'!$K$4="",'Data Entry'!$F4423='Visual SPC'!$K$4)),1,0))</f>
        <v/>
      </c>
      <c r="C4423">
        <f>C4422+B4423</f>
        <v/>
      </c>
      <c r="D4423">
        <f>IF(B4423=1,INDEX('Data Entry'!$H$5:$BE$10004,4423-4,'Visual SPC'!$B$3),"")</f>
        <v/>
      </c>
      <c r="E4423">
        <f>IF(B4423=1,D4423,E4422)</f>
        <v/>
      </c>
      <c r="F4423">
        <f>IF(AND(B4423=1,C4423&gt;1,E4422&lt;&gt;""),ABS(D4423-E4422),"")</f>
        <v/>
      </c>
    </row>
    <row r="4424">
      <c r="A4424" t="n">
        <v>4424</v>
      </c>
      <c r="B4424">
        <f>IF(INDEX('Data Entry'!$H$5:$BE$10004,4424-4,'Visual SPC'!$B$3)="",0,IF(AND(OR('Visual SPC'!$C$4="",'Data Entry'!$C4424&gt;='Visual SPC'!$C$4),OR('Visual SPC'!$E$4="",'Data Entry'!$C4424&lt;='Visual SPC'!$E$4),OR('Visual SPC'!$G$4="",'Data Entry'!$D4424='Visual SPC'!$G$4),OR('Visual SPC'!$I$4="",'Data Entry'!$E4424='Visual SPC'!$I$4),OR('Visual SPC'!$K$4="",'Data Entry'!$F4424='Visual SPC'!$K$4)),1,0))</f>
        <v/>
      </c>
      <c r="C4424">
        <f>C4423+B4424</f>
        <v/>
      </c>
      <c r="D4424">
        <f>IF(B4424=1,INDEX('Data Entry'!$H$5:$BE$10004,4424-4,'Visual SPC'!$B$3),"")</f>
        <v/>
      </c>
      <c r="E4424">
        <f>IF(B4424=1,D4424,E4423)</f>
        <v/>
      </c>
      <c r="F4424">
        <f>IF(AND(B4424=1,C4424&gt;1,E4423&lt;&gt;""),ABS(D4424-E4423),"")</f>
        <v/>
      </c>
    </row>
    <row r="4425">
      <c r="A4425" t="n">
        <v>4425</v>
      </c>
      <c r="B4425">
        <f>IF(INDEX('Data Entry'!$H$5:$BE$10004,4425-4,'Visual SPC'!$B$3)="",0,IF(AND(OR('Visual SPC'!$C$4="",'Data Entry'!$C4425&gt;='Visual SPC'!$C$4),OR('Visual SPC'!$E$4="",'Data Entry'!$C4425&lt;='Visual SPC'!$E$4),OR('Visual SPC'!$G$4="",'Data Entry'!$D4425='Visual SPC'!$G$4),OR('Visual SPC'!$I$4="",'Data Entry'!$E4425='Visual SPC'!$I$4),OR('Visual SPC'!$K$4="",'Data Entry'!$F4425='Visual SPC'!$K$4)),1,0))</f>
        <v/>
      </c>
      <c r="C4425">
        <f>C4424+B4425</f>
        <v/>
      </c>
      <c r="D4425">
        <f>IF(B4425=1,INDEX('Data Entry'!$H$5:$BE$10004,4425-4,'Visual SPC'!$B$3),"")</f>
        <v/>
      </c>
      <c r="E4425">
        <f>IF(B4425=1,D4425,E4424)</f>
        <v/>
      </c>
      <c r="F4425">
        <f>IF(AND(B4425=1,C4425&gt;1,E4424&lt;&gt;""),ABS(D4425-E4424),"")</f>
        <v/>
      </c>
    </row>
    <row r="4426">
      <c r="A4426" t="n">
        <v>4426</v>
      </c>
      <c r="B4426">
        <f>IF(INDEX('Data Entry'!$H$5:$BE$10004,4426-4,'Visual SPC'!$B$3)="",0,IF(AND(OR('Visual SPC'!$C$4="",'Data Entry'!$C4426&gt;='Visual SPC'!$C$4),OR('Visual SPC'!$E$4="",'Data Entry'!$C4426&lt;='Visual SPC'!$E$4),OR('Visual SPC'!$G$4="",'Data Entry'!$D4426='Visual SPC'!$G$4),OR('Visual SPC'!$I$4="",'Data Entry'!$E4426='Visual SPC'!$I$4),OR('Visual SPC'!$K$4="",'Data Entry'!$F4426='Visual SPC'!$K$4)),1,0))</f>
        <v/>
      </c>
      <c r="C4426">
        <f>C4425+B4426</f>
        <v/>
      </c>
      <c r="D4426">
        <f>IF(B4426=1,INDEX('Data Entry'!$H$5:$BE$10004,4426-4,'Visual SPC'!$B$3),"")</f>
        <v/>
      </c>
      <c r="E4426">
        <f>IF(B4426=1,D4426,E4425)</f>
        <v/>
      </c>
      <c r="F4426">
        <f>IF(AND(B4426=1,C4426&gt;1,E4425&lt;&gt;""),ABS(D4426-E4425),"")</f>
        <v/>
      </c>
    </row>
    <row r="4427">
      <c r="A4427" t="n">
        <v>4427</v>
      </c>
      <c r="B4427">
        <f>IF(INDEX('Data Entry'!$H$5:$BE$10004,4427-4,'Visual SPC'!$B$3)="",0,IF(AND(OR('Visual SPC'!$C$4="",'Data Entry'!$C4427&gt;='Visual SPC'!$C$4),OR('Visual SPC'!$E$4="",'Data Entry'!$C4427&lt;='Visual SPC'!$E$4),OR('Visual SPC'!$G$4="",'Data Entry'!$D4427='Visual SPC'!$G$4),OR('Visual SPC'!$I$4="",'Data Entry'!$E4427='Visual SPC'!$I$4),OR('Visual SPC'!$K$4="",'Data Entry'!$F4427='Visual SPC'!$K$4)),1,0))</f>
        <v/>
      </c>
      <c r="C4427">
        <f>C4426+B4427</f>
        <v/>
      </c>
      <c r="D4427">
        <f>IF(B4427=1,INDEX('Data Entry'!$H$5:$BE$10004,4427-4,'Visual SPC'!$B$3),"")</f>
        <v/>
      </c>
      <c r="E4427">
        <f>IF(B4427=1,D4427,E4426)</f>
        <v/>
      </c>
      <c r="F4427">
        <f>IF(AND(B4427=1,C4427&gt;1,E4426&lt;&gt;""),ABS(D4427-E4426),"")</f>
        <v/>
      </c>
    </row>
    <row r="4428">
      <c r="A4428" t="n">
        <v>4428</v>
      </c>
      <c r="B4428">
        <f>IF(INDEX('Data Entry'!$H$5:$BE$10004,4428-4,'Visual SPC'!$B$3)="",0,IF(AND(OR('Visual SPC'!$C$4="",'Data Entry'!$C4428&gt;='Visual SPC'!$C$4),OR('Visual SPC'!$E$4="",'Data Entry'!$C4428&lt;='Visual SPC'!$E$4),OR('Visual SPC'!$G$4="",'Data Entry'!$D4428='Visual SPC'!$G$4),OR('Visual SPC'!$I$4="",'Data Entry'!$E4428='Visual SPC'!$I$4),OR('Visual SPC'!$K$4="",'Data Entry'!$F4428='Visual SPC'!$K$4)),1,0))</f>
        <v/>
      </c>
      <c r="C4428">
        <f>C4427+B4428</f>
        <v/>
      </c>
      <c r="D4428">
        <f>IF(B4428=1,INDEX('Data Entry'!$H$5:$BE$10004,4428-4,'Visual SPC'!$B$3),"")</f>
        <v/>
      </c>
      <c r="E4428">
        <f>IF(B4428=1,D4428,E4427)</f>
        <v/>
      </c>
      <c r="F4428">
        <f>IF(AND(B4428=1,C4428&gt;1,E4427&lt;&gt;""),ABS(D4428-E4427),"")</f>
        <v/>
      </c>
    </row>
    <row r="4429">
      <c r="A4429" t="n">
        <v>4429</v>
      </c>
      <c r="B4429">
        <f>IF(INDEX('Data Entry'!$H$5:$BE$10004,4429-4,'Visual SPC'!$B$3)="",0,IF(AND(OR('Visual SPC'!$C$4="",'Data Entry'!$C4429&gt;='Visual SPC'!$C$4),OR('Visual SPC'!$E$4="",'Data Entry'!$C4429&lt;='Visual SPC'!$E$4),OR('Visual SPC'!$G$4="",'Data Entry'!$D4429='Visual SPC'!$G$4),OR('Visual SPC'!$I$4="",'Data Entry'!$E4429='Visual SPC'!$I$4),OR('Visual SPC'!$K$4="",'Data Entry'!$F4429='Visual SPC'!$K$4)),1,0))</f>
        <v/>
      </c>
      <c r="C4429">
        <f>C4428+B4429</f>
        <v/>
      </c>
      <c r="D4429">
        <f>IF(B4429=1,INDEX('Data Entry'!$H$5:$BE$10004,4429-4,'Visual SPC'!$B$3),"")</f>
        <v/>
      </c>
      <c r="E4429">
        <f>IF(B4429=1,D4429,E4428)</f>
        <v/>
      </c>
      <c r="F4429">
        <f>IF(AND(B4429=1,C4429&gt;1,E4428&lt;&gt;""),ABS(D4429-E4428),"")</f>
        <v/>
      </c>
    </row>
    <row r="4430">
      <c r="A4430" t="n">
        <v>4430</v>
      </c>
      <c r="B4430">
        <f>IF(INDEX('Data Entry'!$H$5:$BE$10004,4430-4,'Visual SPC'!$B$3)="",0,IF(AND(OR('Visual SPC'!$C$4="",'Data Entry'!$C4430&gt;='Visual SPC'!$C$4),OR('Visual SPC'!$E$4="",'Data Entry'!$C4430&lt;='Visual SPC'!$E$4),OR('Visual SPC'!$G$4="",'Data Entry'!$D4430='Visual SPC'!$G$4),OR('Visual SPC'!$I$4="",'Data Entry'!$E4430='Visual SPC'!$I$4),OR('Visual SPC'!$K$4="",'Data Entry'!$F4430='Visual SPC'!$K$4)),1,0))</f>
        <v/>
      </c>
      <c r="C4430">
        <f>C4429+B4430</f>
        <v/>
      </c>
      <c r="D4430">
        <f>IF(B4430=1,INDEX('Data Entry'!$H$5:$BE$10004,4430-4,'Visual SPC'!$B$3),"")</f>
        <v/>
      </c>
      <c r="E4430">
        <f>IF(B4430=1,D4430,E4429)</f>
        <v/>
      </c>
      <c r="F4430">
        <f>IF(AND(B4430=1,C4430&gt;1,E4429&lt;&gt;""),ABS(D4430-E4429),"")</f>
        <v/>
      </c>
    </row>
    <row r="4431">
      <c r="A4431" t="n">
        <v>4431</v>
      </c>
      <c r="B4431">
        <f>IF(INDEX('Data Entry'!$H$5:$BE$10004,4431-4,'Visual SPC'!$B$3)="",0,IF(AND(OR('Visual SPC'!$C$4="",'Data Entry'!$C4431&gt;='Visual SPC'!$C$4),OR('Visual SPC'!$E$4="",'Data Entry'!$C4431&lt;='Visual SPC'!$E$4),OR('Visual SPC'!$G$4="",'Data Entry'!$D4431='Visual SPC'!$G$4),OR('Visual SPC'!$I$4="",'Data Entry'!$E4431='Visual SPC'!$I$4),OR('Visual SPC'!$K$4="",'Data Entry'!$F4431='Visual SPC'!$K$4)),1,0))</f>
        <v/>
      </c>
      <c r="C4431">
        <f>C4430+B4431</f>
        <v/>
      </c>
      <c r="D4431">
        <f>IF(B4431=1,INDEX('Data Entry'!$H$5:$BE$10004,4431-4,'Visual SPC'!$B$3),"")</f>
        <v/>
      </c>
      <c r="E4431">
        <f>IF(B4431=1,D4431,E4430)</f>
        <v/>
      </c>
      <c r="F4431">
        <f>IF(AND(B4431=1,C4431&gt;1,E4430&lt;&gt;""),ABS(D4431-E4430),"")</f>
        <v/>
      </c>
    </row>
    <row r="4432">
      <c r="A4432" t="n">
        <v>4432</v>
      </c>
      <c r="B4432">
        <f>IF(INDEX('Data Entry'!$H$5:$BE$10004,4432-4,'Visual SPC'!$B$3)="",0,IF(AND(OR('Visual SPC'!$C$4="",'Data Entry'!$C4432&gt;='Visual SPC'!$C$4),OR('Visual SPC'!$E$4="",'Data Entry'!$C4432&lt;='Visual SPC'!$E$4),OR('Visual SPC'!$G$4="",'Data Entry'!$D4432='Visual SPC'!$G$4),OR('Visual SPC'!$I$4="",'Data Entry'!$E4432='Visual SPC'!$I$4),OR('Visual SPC'!$K$4="",'Data Entry'!$F4432='Visual SPC'!$K$4)),1,0))</f>
        <v/>
      </c>
      <c r="C4432">
        <f>C4431+B4432</f>
        <v/>
      </c>
      <c r="D4432">
        <f>IF(B4432=1,INDEX('Data Entry'!$H$5:$BE$10004,4432-4,'Visual SPC'!$B$3),"")</f>
        <v/>
      </c>
      <c r="E4432">
        <f>IF(B4432=1,D4432,E4431)</f>
        <v/>
      </c>
      <c r="F4432">
        <f>IF(AND(B4432=1,C4432&gt;1,E4431&lt;&gt;""),ABS(D4432-E4431),"")</f>
        <v/>
      </c>
    </row>
    <row r="4433">
      <c r="A4433" t="n">
        <v>4433</v>
      </c>
      <c r="B4433">
        <f>IF(INDEX('Data Entry'!$H$5:$BE$10004,4433-4,'Visual SPC'!$B$3)="",0,IF(AND(OR('Visual SPC'!$C$4="",'Data Entry'!$C4433&gt;='Visual SPC'!$C$4),OR('Visual SPC'!$E$4="",'Data Entry'!$C4433&lt;='Visual SPC'!$E$4),OR('Visual SPC'!$G$4="",'Data Entry'!$D4433='Visual SPC'!$G$4),OR('Visual SPC'!$I$4="",'Data Entry'!$E4433='Visual SPC'!$I$4),OR('Visual SPC'!$K$4="",'Data Entry'!$F4433='Visual SPC'!$K$4)),1,0))</f>
        <v/>
      </c>
      <c r="C4433">
        <f>C4432+B4433</f>
        <v/>
      </c>
      <c r="D4433">
        <f>IF(B4433=1,INDEX('Data Entry'!$H$5:$BE$10004,4433-4,'Visual SPC'!$B$3),"")</f>
        <v/>
      </c>
      <c r="E4433">
        <f>IF(B4433=1,D4433,E4432)</f>
        <v/>
      </c>
      <c r="F4433">
        <f>IF(AND(B4433=1,C4433&gt;1,E4432&lt;&gt;""),ABS(D4433-E4432),"")</f>
        <v/>
      </c>
    </row>
    <row r="4434">
      <c r="A4434" t="n">
        <v>4434</v>
      </c>
      <c r="B4434">
        <f>IF(INDEX('Data Entry'!$H$5:$BE$10004,4434-4,'Visual SPC'!$B$3)="",0,IF(AND(OR('Visual SPC'!$C$4="",'Data Entry'!$C4434&gt;='Visual SPC'!$C$4),OR('Visual SPC'!$E$4="",'Data Entry'!$C4434&lt;='Visual SPC'!$E$4),OR('Visual SPC'!$G$4="",'Data Entry'!$D4434='Visual SPC'!$G$4),OR('Visual SPC'!$I$4="",'Data Entry'!$E4434='Visual SPC'!$I$4),OR('Visual SPC'!$K$4="",'Data Entry'!$F4434='Visual SPC'!$K$4)),1,0))</f>
        <v/>
      </c>
      <c r="C4434">
        <f>C4433+B4434</f>
        <v/>
      </c>
      <c r="D4434">
        <f>IF(B4434=1,INDEX('Data Entry'!$H$5:$BE$10004,4434-4,'Visual SPC'!$B$3),"")</f>
        <v/>
      </c>
      <c r="E4434">
        <f>IF(B4434=1,D4434,E4433)</f>
        <v/>
      </c>
      <c r="F4434">
        <f>IF(AND(B4434=1,C4434&gt;1,E4433&lt;&gt;""),ABS(D4434-E4433),"")</f>
        <v/>
      </c>
    </row>
    <row r="4435">
      <c r="A4435" t="n">
        <v>4435</v>
      </c>
      <c r="B4435">
        <f>IF(INDEX('Data Entry'!$H$5:$BE$10004,4435-4,'Visual SPC'!$B$3)="",0,IF(AND(OR('Visual SPC'!$C$4="",'Data Entry'!$C4435&gt;='Visual SPC'!$C$4),OR('Visual SPC'!$E$4="",'Data Entry'!$C4435&lt;='Visual SPC'!$E$4),OR('Visual SPC'!$G$4="",'Data Entry'!$D4435='Visual SPC'!$G$4),OR('Visual SPC'!$I$4="",'Data Entry'!$E4435='Visual SPC'!$I$4),OR('Visual SPC'!$K$4="",'Data Entry'!$F4435='Visual SPC'!$K$4)),1,0))</f>
        <v/>
      </c>
      <c r="C4435">
        <f>C4434+B4435</f>
        <v/>
      </c>
      <c r="D4435">
        <f>IF(B4435=1,INDEX('Data Entry'!$H$5:$BE$10004,4435-4,'Visual SPC'!$B$3),"")</f>
        <v/>
      </c>
      <c r="E4435">
        <f>IF(B4435=1,D4435,E4434)</f>
        <v/>
      </c>
      <c r="F4435">
        <f>IF(AND(B4435=1,C4435&gt;1,E4434&lt;&gt;""),ABS(D4435-E4434),"")</f>
        <v/>
      </c>
    </row>
    <row r="4436">
      <c r="A4436" t="n">
        <v>4436</v>
      </c>
      <c r="B4436">
        <f>IF(INDEX('Data Entry'!$H$5:$BE$10004,4436-4,'Visual SPC'!$B$3)="",0,IF(AND(OR('Visual SPC'!$C$4="",'Data Entry'!$C4436&gt;='Visual SPC'!$C$4),OR('Visual SPC'!$E$4="",'Data Entry'!$C4436&lt;='Visual SPC'!$E$4),OR('Visual SPC'!$G$4="",'Data Entry'!$D4436='Visual SPC'!$G$4),OR('Visual SPC'!$I$4="",'Data Entry'!$E4436='Visual SPC'!$I$4),OR('Visual SPC'!$K$4="",'Data Entry'!$F4436='Visual SPC'!$K$4)),1,0))</f>
        <v/>
      </c>
      <c r="C4436">
        <f>C4435+B4436</f>
        <v/>
      </c>
      <c r="D4436">
        <f>IF(B4436=1,INDEX('Data Entry'!$H$5:$BE$10004,4436-4,'Visual SPC'!$B$3),"")</f>
        <v/>
      </c>
      <c r="E4436">
        <f>IF(B4436=1,D4436,E4435)</f>
        <v/>
      </c>
      <c r="F4436">
        <f>IF(AND(B4436=1,C4436&gt;1,E4435&lt;&gt;""),ABS(D4436-E4435),"")</f>
        <v/>
      </c>
    </row>
    <row r="4437">
      <c r="A4437" t="n">
        <v>4437</v>
      </c>
      <c r="B4437">
        <f>IF(INDEX('Data Entry'!$H$5:$BE$10004,4437-4,'Visual SPC'!$B$3)="",0,IF(AND(OR('Visual SPC'!$C$4="",'Data Entry'!$C4437&gt;='Visual SPC'!$C$4),OR('Visual SPC'!$E$4="",'Data Entry'!$C4437&lt;='Visual SPC'!$E$4),OR('Visual SPC'!$G$4="",'Data Entry'!$D4437='Visual SPC'!$G$4),OR('Visual SPC'!$I$4="",'Data Entry'!$E4437='Visual SPC'!$I$4),OR('Visual SPC'!$K$4="",'Data Entry'!$F4437='Visual SPC'!$K$4)),1,0))</f>
        <v/>
      </c>
      <c r="C4437">
        <f>C4436+B4437</f>
        <v/>
      </c>
      <c r="D4437">
        <f>IF(B4437=1,INDEX('Data Entry'!$H$5:$BE$10004,4437-4,'Visual SPC'!$B$3),"")</f>
        <v/>
      </c>
      <c r="E4437">
        <f>IF(B4437=1,D4437,E4436)</f>
        <v/>
      </c>
      <c r="F4437">
        <f>IF(AND(B4437=1,C4437&gt;1,E4436&lt;&gt;""),ABS(D4437-E4436),"")</f>
        <v/>
      </c>
    </row>
    <row r="4438">
      <c r="A4438" t="n">
        <v>4438</v>
      </c>
      <c r="B4438">
        <f>IF(INDEX('Data Entry'!$H$5:$BE$10004,4438-4,'Visual SPC'!$B$3)="",0,IF(AND(OR('Visual SPC'!$C$4="",'Data Entry'!$C4438&gt;='Visual SPC'!$C$4),OR('Visual SPC'!$E$4="",'Data Entry'!$C4438&lt;='Visual SPC'!$E$4),OR('Visual SPC'!$G$4="",'Data Entry'!$D4438='Visual SPC'!$G$4),OR('Visual SPC'!$I$4="",'Data Entry'!$E4438='Visual SPC'!$I$4),OR('Visual SPC'!$K$4="",'Data Entry'!$F4438='Visual SPC'!$K$4)),1,0))</f>
        <v/>
      </c>
      <c r="C4438">
        <f>C4437+B4438</f>
        <v/>
      </c>
      <c r="D4438">
        <f>IF(B4438=1,INDEX('Data Entry'!$H$5:$BE$10004,4438-4,'Visual SPC'!$B$3),"")</f>
        <v/>
      </c>
      <c r="E4438">
        <f>IF(B4438=1,D4438,E4437)</f>
        <v/>
      </c>
      <c r="F4438">
        <f>IF(AND(B4438=1,C4438&gt;1,E4437&lt;&gt;""),ABS(D4438-E4437),"")</f>
        <v/>
      </c>
    </row>
    <row r="4439">
      <c r="A4439" t="n">
        <v>4439</v>
      </c>
      <c r="B4439">
        <f>IF(INDEX('Data Entry'!$H$5:$BE$10004,4439-4,'Visual SPC'!$B$3)="",0,IF(AND(OR('Visual SPC'!$C$4="",'Data Entry'!$C4439&gt;='Visual SPC'!$C$4),OR('Visual SPC'!$E$4="",'Data Entry'!$C4439&lt;='Visual SPC'!$E$4),OR('Visual SPC'!$G$4="",'Data Entry'!$D4439='Visual SPC'!$G$4),OR('Visual SPC'!$I$4="",'Data Entry'!$E4439='Visual SPC'!$I$4),OR('Visual SPC'!$K$4="",'Data Entry'!$F4439='Visual SPC'!$K$4)),1,0))</f>
        <v/>
      </c>
      <c r="C4439">
        <f>C4438+B4439</f>
        <v/>
      </c>
      <c r="D4439">
        <f>IF(B4439=1,INDEX('Data Entry'!$H$5:$BE$10004,4439-4,'Visual SPC'!$B$3),"")</f>
        <v/>
      </c>
      <c r="E4439">
        <f>IF(B4439=1,D4439,E4438)</f>
        <v/>
      </c>
      <c r="F4439">
        <f>IF(AND(B4439=1,C4439&gt;1,E4438&lt;&gt;""),ABS(D4439-E4438),"")</f>
        <v/>
      </c>
    </row>
    <row r="4440">
      <c r="A4440" t="n">
        <v>4440</v>
      </c>
      <c r="B4440">
        <f>IF(INDEX('Data Entry'!$H$5:$BE$10004,4440-4,'Visual SPC'!$B$3)="",0,IF(AND(OR('Visual SPC'!$C$4="",'Data Entry'!$C4440&gt;='Visual SPC'!$C$4),OR('Visual SPC'!$E$4="",'Data Entry'!$C4440&lt;='Visual SPC'!$E$4),OR('Visual SPC'!$G$4="",'Data Entry'!$D4440='Visual SPC'!$G$4),OR('Visual SPC'!$I$4="",'Data Entry'!$E4440='Visual SPC'!$I$4),OR('Visual SPC'!$K$4="",'Data Entry'!$F4440='Visual SPC'!$K$4)),1,0))</f>
        <v/>
      </c>
      <c r="C4440">
        <f>C4439+B4440</f>
        <v/>
      </c>
      <c r="D4440">
        <f>IF(B4440=1,INDEX('Data Entry'!$H$5:$BE$10004,4440-4,'Visual SPC'!$B$3),"")</f>
        <v/>
      </c>
      <c r="E4440">
        <f>IF(B4440=1,D4440,E4439)</f>
        <v/>
      </c>
      <c r="F4440">
        <f>IF(AND(B4440=1,C4440&gt;1,E4439&lt;&gt;""),ABS(D4440-E4439),"")</f>
        <v/>
      </c>
    </row>
    <row r="4441">
      <c r="A4441" t="n">
        <v>4441</v>
      </c>
      <c r="B4441">
        <f>IF(INDEX('Data Entry'!$H$5:$BE$10004,4441-4,'Visual SPC'!$B$3)="",0,IF(AND(OR('Visual SPC'!$C$4="",'Data Entry'!$C4441&gt;='Visual SPC'!$C$4),OR('Visual SPC'!$E$4="",'Data Entry'!$C4441&lt;='Visual SPC'!$E$4),OR('Visual SPC'!$G$4="",'Data Entry'!$D4441='Visual SPC'!$G$4),OR('Visual SPC'!$I$4="",'Data Entry'!$E4441='Visual SPC'!$I$4),OR('Visual SPC'!$K$4="",'Data Entry'!$F4441='Visual SPC'!$K$4)),1,0))</f>
        <v/>
      </c>
      <c r="C4441">
        <f>C4440+B4441</f>
        <v/>
      </c>
      <c r="D4441">
        <f>IF(B4441=1,INDEX('Data Entry'!$H$5:$BE$10004,4441-4,'Visual SPC'!$B$3),"")</f>
        <v/>
      </c>
      <c r="E4441">
        <f>IF(B4441=1,D4441,E4440)</f>
        <v/>
      </c>
      <c r="F4441">
        <f>IF(AND(B4441=1,C4441&gt;1,E4440&lt;&gt;""),ABS(D4441-E4440),"")</f>
        <v/>
      </c>
    </row>
    <row r="4442">
      <c r="A4442" t="n">
        <v>4442</v>
      </c>
      <c r="B4442">
        <f>IF(INDEX('Data Entry'!$H$5:$BE$10004,4442-4,'Visual SPC'!$B$3)="",0,IF(AND(OR('Visual SPC'!$C$4="",'Data Entry'!$C4442&gt;='Visual SPC'!$C$4),OR('Visual SPC'!$E$4="",'Data Entry'!$C4442&lt;='Visual SPC'!$E$4),OR('Visual SPC'!$G$4="",'Data Entry'!$D4442='Visual SPC'!$G$4),OR('Visual SPC'!$I$4="",'Data Entry'!$E4442='Visual SPC'!$I$4),OR('Visual SPC'!$K$4="",'Data Entry'!$F4442='Visual SPC'!$K$4)),1,0))</f>
        <v/>
      </c>
      <c r="C4442">
        <f>C4441+B4442</f>
        <v/>
      </c>
      <c r="D4442">
        <f>IF(B4442=1,INDEX('Data Entry'!$H$5:$BE$10004,4442-4,'Visual SPC'!$B$3),"")</f>
        <v/>
      </c>
      <c r="E4442">
        <f>IF(B4442=1,D4442,E4441)</f>
        <v/>
      </c>
      <c r="F4442">
        <f>IF(AND(B4442=1,C4442&gt;1,E4441&lt;&gt;""),ABS(D4442-E4441),"")</f>
        <v/>
      </c>
    </row>
    <row r="4443">
      <c r="A4443" t="n">
        <v>4443</v>
      </c>
      <c r="B4443">
        <f>IF(INDEX('Data Entry'!$H$5:$BE$10004,4443-4,'Visual SPC'!$B$3)="",0,IF(AND(OR('Visual SPC'!$C$4="",'Data Entry'!$C4443&gt;='Visual SPC'!$C$4),OR('Visual SPC'!$E$4="",'Data Entry'!$C4443&lt;='Visual SPC'!$E$4),OR('Visual SPC'!$G$4="",'Data Entry'!$D4443='Visual SPC'!$G$4),OR('Visual SPC'!$I$4="",'Data Entry'!$E4443='Visual SPC'!$I$4),OR('Visual SPC'!$K$4="",'Data Entry'!$F4443='Visual SPC'!$K$4)),1,0))</f>
        <v/>
      </c>
      <c r="C4443">
        <f>C4442+B4443</f>
        <v/>
      </c>
      <c r="D4443">
        <f>IF(B4443=1,INDEX('Data Entry'!$H$5:$BE$10004,4443-4,'Visual SPC'!$B$3),"")</f>
        <v/>
      </c>
      <c r="E4443">
        <f>IF(B4443=1,D4443,E4442)</f>
        <v/>
      </c>
      <c r="F4443">
        <f>IF(AND(B4443=1,C4443&gt;1,E4442&lt;&gt;""),ABS(D4443-E4442),"")</f>
        <v/>
      </c>
    </row>
    <row r="4444">
      <c r="A4444" t="n">
        <v>4444</v>
      </c>
      <c r="B4444">
        <f>IF(INDEX('Data Entry'!$H$5:$BE$10004,4444-4,'Visual SPC'!$B$3)="",0,IF(AND(OR('Visual SPC'!$C$4="",'Data Entry'!$C4444&gt;='Visual SPC'!$C$4),OR('Visual SPC'!$E$4="",'Data Entry'!$C4444&lt;='Visual SPC'!$E$4),OR('Visual SPC'!$G$4="",'Data Entry'!$D4444='Visual SPC'!$G$4),OR('Visual SPC'!$I$4="",'Data Entry'!$E4444='Visual SPC'!$I$4),OR('Visual SPC'!$K$4="",'Data Entry'!$F4444='Visual SPC'!$K$4)),1,0))</f>
        <v/>
      </c>
      <c r="C4444">
        <f>C4443+B4444</f>
        <v/>
      </c>
      <c r="D4444">
        <f>IF(B4444=1,INDEX('Data Entry'!$H$5:$BE$10004,4444-4,'Visual SPC'!$B$3),"")</f>
        <v/>
      </c>
      <c r="E4444">
        <f>IF(B4444=1,D4444,E4443)</f>
        <v/>
      </c>
      <c r="F4444">
        <f>IF(AND(B4444=1,C4444&gt;1,E4443&lt;&gt;""),ABS(D4444-E4443),"")</f>
        <v/>
      </c>
    </row>
    <row r="4445">
      <c r="A4445" t="n">
        <v>4445</v>
      </c>
      <c r="B4445">
        <f>IF(INDEX('Data Entry'!$H$5:$BE$10004,4445-4,'Visual SPC'!$B$3)="",0,IF(AND(OR('Visual SPC'!$C$4="",'Data Entry'!$C4445&gt;='Visual SPC'!$C$4),OR('Visual SPC'!$E$4="",'Data Entry'!$C4445&lt;='Visual SPC'!$E$4),OR('Visual SPC'!$G$4="",'Data Entry'!$D4445='Visual SPC'!$G$4),OR('Visual SPC'!$I$4="",'Data Entry'!$E4445='Visual SPC'!$I$4),OR('Visual SPC'!$K$4="",'Data Entry'!$F4445='Visual SPC'!$K$4)),1,0))</f>
        <v/>
      </c>
      <c r="C4445">
        <f>C4444+B4445</f>
        <v/>
      </c>
      <c r="D4445">
        <f>IF(B4445=1,INDEX('Data Entry'!$H$5:$BE$10004,4445-4,'Visual SPC'!$B$3),"")</f>
        <v/>
      </c>
      <c r="E4445">
        <f>IF(B4445=1,D4445,E4444)</f>
        <v/>
      </c>
      <c r="F4445">
        <f>IF(AND(B4445=1,C4445&gt;1,E4444&lt;&gt;""),ABS(D4445-E4444),"")</f>
        <v/>
      </c>
    </row>
    <row r="4446">
      <c r="A4446" t="n">
        <v>4446</v>
      </c>
      <c r="B4446">
        <f>IF(INDEX('Data Entry'!$H$5:$BE$10004,4446-4,'Visual SPC'!$B$3)="",0,IF(AND(OR('Visual SPC'!$C$4="",'Data Entry'!$C4446&gt;='Visual SPC'!$C$4),OR('Visual SPC'!$E$4="",'Data Entry'!$C4446&lt;='Visual SPC'!$E$4),OR('Visual SPC'!$G$4="",'Data Entry'!$D4446='Visual SPC'!$G$4),OR('Visual SPC'!$I$4="",'Data Entry'!$E4446='Visual SPC'!$I$4),OR('Visual SPC'!$K$4="",'Data Entry'!$F4446='Visual SPC'!$K$4)),1,0))</f>
        <v/>
      </c>
      <c r="C4446">
        <f>C4445+B4446</f>
        <v/>
      </c>
      <c r="D4446">
        <f>IF(B4446=1,INDEX('Data Entry'!$H$5:$BE$10004,4446-4,'Visual SPC'!$B$3),"")</f>
        <v/>
      </c>
      <c r="E4446">
        <f>IF(B4446=1,D4446,E4445)</f>
        <v/>
      </c>
      <c r="F4446">
        <f>IF(AND(B4446=1,C4446&gt;1,E4445&lt;&gt;""),ABS(D4446-E4445),"")</f>
        <v/>
      </c>
    </row>
    <row r="4447">
      <c r="A4447" t="n">
        <v>4447</v>
      </c>
      <c r="B4447">
        <f>IF(INDEX('Data Entry'!$H$5:$BE$10004,4447-4,'Visual SPC'!$B$3)="",0,IF(AND(OR('Visual SPC'!$C$4="",'Data Entry'!$C4447&gt;='Visual SPC'!$C$4),OR('Visual SPC'!$E$4="",'Data Entry'!$C4447&lt;='Visual SPC'!$E$4),OR('Visual SPC'!$G$4="",'Data Entry'!$D4447='Visual SPC'!$G$4),OR('Visual SPC'!$I$4="",'Data Entry'!$E4447='Visual SPC'!$I$4),OR('Visual SPC'!$K$4="",'Data Entry'!$F4447='Visual SPC'!$K$4)),1,0))</f>
        <v/>
      </c>
      <c r="C4447">
        <f>C4446+B4447</f>
        <v/>
      </c>
      <c r="D4447">
        <f>IF(B4447=1,INDEX('Data Entry'!$H$5:$BE$10004,4447-4,'Visual SPC'!$B$3),"")</f>
        <v/>
      </c>
      <c r="E4447">
        <f>IF(B4447=1,D4447,E4446)</f>
        <v/>
      </c>
      <c r="F4447">
        <f>IF(AND(B4447=1,C4447&gt;1,E4446&lt;&gt;""),ABS(D4447-E4446),"")</f>
        <v/>
      </c>
    </row>
    <row r="4448">
      <c r="A4448" t="n">
        <v>4448</v>
      </c>
      <c r="B4448">
        <f>IF(INDEX('Data Entry'!$H$5:$BE$10004,4448-4,'Visual SPC'!$B$3)="",0,IF(AND(OR('Visual SPC'!$C$4="",'Data Entry'!$C4448&gt;='Visual SPC'!$C$4),OR('Visual SPC'!$E$4="",'Data Entry'!$C4448&lt;='Visual SPC'!$E$4),OR('Visual SPC'!$G$4="",'Data Entry'!$D4448='Visual SPC'!$G$4),OR('Visual SPC'!$I$4="",'Data Entry'!$E4448='Visual SPC'!$I$4),OR('Visual SPC'!$K$4="",'Data Entry'!$F4448='Visual SPC'!$K$4)),1,0))</f>
        <v/>
      </c>
      <c r="C4448">
        <f>C4447+B4448</f>
        <v/>
      </c>
      <c r="D4448">
        <f>IF(B4448=1,INDEX('Data Entry'!$H$5:$BE$10004,4448-4,'Visual SPC'!$B$3),"")</f>
        <v/>
      </c>
      <c r="E4448">
        <f>IF(B4448=1,D4448,E4447)</f>
        <v/>
      </c>
      <c r="F4448">
        <f>IF(AND(B4448=1,C4448&gt;1,E4447&lt;&gt;""),ABS(D4448-E4447),"")</f>
        <v/>
      </c>
    </row>
    <row r="4449">
      <c r="A4449" t="n">
        <v>4449</v>
      </c>
      <c r="B4449">
        <f>IF(INDEX('Data Entry'!$H$5:$BE$10004,4449-4,'Visual SPC'!$B$3)="",0,IF(AND(OR('Visual SPC'!$C$4="",'Data Entry'!$C4449&gt;='Visual SPC'!$C$4),OR('Visual SPC'!$E$4="",'Data Entry'!$C4449&lt;='Visual SPC'!$E$4),OR('Visual SPC'!$G$4="",'Data Entry'!$D4449='Visual SPC'!$G$4),OR('Visual SPC'!$I$4="",'Data Entry'!$E4449='Visual SPC'!$I$4),OR('Visual SPC'!$K$4="",'Data Entry'!$F4449='Visual SPC'!$K$4)),1,0))</f>
        <v/>
      </c>
      <c r="C4449">
        <f>C4448+B4449</f>
        <v/>
      </c>
      <c r="D4449">
        <f>IF(B4449=1,INDEX('Data Entry'!$H$5:$BE$10004,4449-4,'Visual SPC'!$B$3),"")</f>
        <v/>
      </c>
      <c r="E4449">
        <f>IF(B4449=1,D4449,E4448)</f>
        <v/>
      </c>
      <c r="F4449">
        <f>IF(AND(B4449=1,C4449&gt;1,E4448&lt;&gt;""),ABS(D4449-E4448),"")</f>
        <v/>
      </c>
    </row>
    <row r="4450">
      <c r="A4450" t="n">
        <v>4450</v>
      </c>
      <c r="B4450">
        <f>IF(INDEX('Data Entry'!$H$5:$BE$10004,4450-4,'Visual SPC'!$B$3)="",0,IF(AND(OR('Visual SPC'!$C$4="",'Data Entry'!$C4450&gt;='Visual SPC'!$C$4),OR('Visual SPC'!$E$4="",'Data Entry'!$C4450&lt;='Visual SPC'!$E$4),OR('Visual SPC'!$G$4="",'Data Entry'!$D4450='Visual SPC'!$G$4),OR('Visual SPC'!$I$4="",'Data Entry'!$E4450='Visual SPC'!$I$4),OR('Visual SPC'!$K$4="",'Data Entry'!$F4450='Visual SPC'!$K$4)),1,0))</f>
        <v/>
      </c>
      <c r="C4450">
        <f>C4449+B4450</f>
        <v/>
      </c>
      <c r="D4450">
        <f>IF(B4450=1,INDEX('Data Entry'!$H$5:$BE$10004,4450-4,'Visual SPC'!$B$3),"")</f>
        <v/>
      </c>
      <c r="E4450">
        <f>IF(B4450=1,D4450,E4449)</f>
        <v/>
      </c>
      <c r="F4450">
        <f>IF(AND(B4450=1,C4450&gt;1,E4449&lt;&gt;""),ABS(D4450-E4449),"")</f>
        <v/>
      </c>
    </row>
    <row r="4451">
      <c r="A4451" t="n">
        <v>4451</v>
      </c>
      <c r="B4451">
        <f>IF(INDEX('Data Entry'!$H$5:$BE$10004,4451-4,'Visual SPC'!$B$3)="",0,IF(AND(OR('Visual SPC'!$C$4="",'Data Entry'!$C4451&gt;='Visual SPC'!$C$4),OR('Visual SPC'!$E$4="",'Data Entry'!$C4451&lt;='Visual SPC'!$E$4),OR('Visual SPC'!$G$4="",'Data Entry'!$D4451='Visual SPC'!$G$4),OR('Visual SPC'!$I$4="",'Data Entry'!$E4451='Visual SPC'!$I$4),OR('Visual SPC'!$K$4="",'Data Entry'!$F4451='Visual SPC'!$K$4)),1,0))</f>
        <v/>
      </c>
      <c r="C4451">
        <f>C4450+B4451</f>
        <v/>
      </c>
      <c r="D4451">
        <f>IF(B4451=1,INDEX('Data Entry'!$H$5:$BE$10004,4451-4,'Visual SPC'!$B$3),"")</f>
        <v/>
      </c>
      <c r="E4451">
        <f>IF(B4451=1,D4451,E4450)</f>
        <v/>
      </c>
      <c r="F4451">
        <f>IF(AND(B4451=1,C4451&gt;1,E4450&lt;&gt;""),ABS(D4451-E4450),"")</f>
        <v/>
      </c>
    </row>
    <row r="4452">
      <c r="A4452" t="n">
        <v>4452</v>
      </c>
      <c r="B4452">
        <f>IF(INDEX('Data Entry'!$H$5:$BE$10004,4452-4,'Visual SPC'!$B$3)="",0,IF(AND(OR('Visual SPC'!$C$4="",'Data Entry'!$C4452&gt;='Visual SPC'!$C$4),OR('Visual SPC'!$E$4="",'Data Entry'!$C4452&lt;='Visual SPC'!$E$4),OR('Visual SPC'!$G$4="",'Data Entry'!$D4452='Visual SPC'!$G$4),OR('Visual SPC'!$I$4="",'Data Entry'!$E4452='Visual SPC'!$I$4),OR('Visual SPC'!$K$4="",'Data Entry'!$F4452='Visual SPC'!$K$4)),1,0))</f>
        <v/>
      </c>
      <c r="C4452">
        <f>C4451+B4452</f>
        <v/>
      </c>
      <c r="D4452">
        <f>IF(B4452=1,INDEX('Data Entry'!$H$5:$BE$10004,4452-4,'Visual SPC'!$B$3),"")</f>
        <v/>
      </c>
      <c r="E4452">
        <f>IF(B4452=1,D4452,E4451)</f>
        <v/>
      </c>
      <c r="F4452">
        <f>IF(AND(B4452=1,C4452&gt;1,E4451&lt;&gt;""),ABS(D4452-E4451),"")</f>
        <v/>
      </c>
    </row>
    <row r="4453">
      <c r="A4453" t="n">
        <v>4453</v>
      </c>
      <c r="B4453">
        <f>IF(INDEX('Data Entry'!$H$5:$BE$10004,4453-4,'Visual SPC'!$B$3)="",0,IF(AND(OR('Visual SPC'!$C$4="",'Data Entry'!$C4453&gt;='Visual SPC'!$C$4),OR('Visual SPC'!$E$4="",'Data Entry'!$C4453&lt;='Visual SPC'!$E$4),OR('Visual SPC'!$G$4="",'Data Entry'!$D4453='Visual SPC'!$G$4),OR('Visual SPC'!$I$4="",'Data Entry'!$E4453='Visual SPC'!$I$4),OR('Visual SPC'!$K$4="",'Data Entry'!$F4453='Visual SPC'!$K$4)),1,0))</f>
        <v/>
      </c>
      <c r="C4453">
        <f>C4452+B4453</f>
        <v/>
      </c>
      <c r="D4453">
        <f>IF(B4453=1,INDEX('Data Entry'!$H$5:$BE$10004,4453-4,'Visual SPC'!$B$3),"")</f>
        <v/>
      </c>
      <c r="E4453">
        <f>IF(B4453=1,D4453,E4452)</f>
        <v/>
      </c>
      <c r="F4453">
        <f>IF(AND(B4453=1,C4453&gt;1,E4452&lt;&gt;""),ABS(D4453-E4452),"")</f>
        <v/>
      </c>
    </row>
    <row r="4454">
      <c r="A4454" t="n">
        <v>4454</v>
      </c>
      <c r="B4454">
        <f>IF(INDEX('Data Entry'!$H$5:$BE$10004,4454-4,'Visual SPC'!$B$3)="",0,IF(AND(OR('Visual SPC'!$C$4="",'Data Entry'!$C4454&gt;='Visual SPC'!$C$4),OR('Visual SPC'!$E$4="",'Data Entry'!$C4454&lt;='Visual SPC'!$E$4),OR('Visual SPC'!$G$4="",'Data Entry'!$D4454='Visual SPC'!$G$4),OR('Visual SPC'!$I$4="",'Data Entry'!$E4454='Visual SPC'!$I$4),OR('Visual SPC'!$K$4="",'Data Entry'!$F4454='Visual SPC'!$K$4)),1,0))</f>
        <v/>
      </c>
      <c r="C4454">
        <f>C4453+B4454</f>
        <v/>
      </c>
      <c r="D4454">
        <f>IF(B4454=1,INDEX('Data Entry'!$H$5:$BE$10004,4454-4,'Visual SPC'!$B$3),"")</f>
        <v/>
      </c>
      <c r="E4454">
        <f>IF(B4454=1,D4454,E4453)</f>
        <v/>
      </c>
      <c r="F4454">
        <f>IF(AND(B4454=1,C4454&gt;1,E4453&lt;&gt;""),ABS(D4454-E4453),"")</f>
        <v/>
      </c>
    </row>
    <row r="4455">
      <c r="A4455" t="n">
        <v>4455</v>
      </c>
      <c r="B4455">
        <f>IF(INDEX('Data Entry'!$H$5:$BE$10004,4455-4,'Visual SPC'!$B$3)="",0,IF(AND(OR('Visual SPC'!$C$4="",'Data Entry'!$C4455&gt;='Visual SPC'!$C$4),OR('Visual SPC'!$E$4="",'Data Entry'!$C4455&lt;='Visual SPC'!$E$4),OR('Visual SPC'!$G$4="",'Data Entry'!$D4455='Visual SPC'!$G$4),OR('Visual SPC'!$I$4="",'Data Entry'!$E4455='Visual SPC'!$I$4),OR('Visual SPC'!$K$4="",'Data Entry'!$F4455='Visual SPC'!$K$4)),1,0))</f>
        <v/>
      </c>
      <c r="C4455">
        <f>C4454+B4455</f>
        <v/>
      </c>
      <c r="D4455">
        <f>IF(B4455=1,INDEX('Data Entry'!$H$5:$BE$10004,4455-4,'Visual SPC'!$B$3),"")</f>
        <v/>
      </c>
      <c r="E4455">
        <f>IF(B4455=1,D4455,E4454)</f>
        <v/>
      </c>
      <c r="F4455">
        <f>IF(AND(B4455=1,C4455&gt;1,E4454&lt;&gt;""),ABS(D4455-E4454),"")</f>
        <v/>
      </c>
    </row>
    <row r="4456">
      <c r="A4456" t="n">
        <v>4456</v>
      </c>
      <c r="B4456">
        <f>IF(INDEX('Data Entry'!$H$5:$BE$10004,4456-4,'Visual SPC'!$B$3)="",0,IF(AND(OR('Visual SPC'!$C$4="",'Data Entry'!$C4456&gt;='Visual SPC'!$C$4),OR('Visual SPC'!$E$4="",'Data Entry'!$C4456&lt;='Visual SPC'!$E$4),OR('Visual SPC'!$G$4="",'Data Entry'!$D4456='Visual SPC'!$G$4),OR('Visual SPC'!$I$4="",'Data Entry'!$E4456='Visual SPC'!$I$4),OR('Visual SPC'!$K$4="",'Data Entry'!$F4456='Visual SPC'!$K$4)),1,0))</f>
        <v/>
      </c>
      <c r="C4456">
        <f>C4455+B4456</f>
        <v/>
      </c>
      <c r="D4456">
        <f>IF(B4456=1,INDEX('Data Entry'!$H$5:$BE$10004,4456-4,'Visual SPC'!$B$3),"")</f>
        <v/>
      </c>
      <c r="E4456">
        <f>IF(B4456=1,D4456,E4455)</f>
        <v/>
      </c>
      <c r="F4456">
        <f>IF(AND(B4456=1,C4456&gt;1,E4455&lt;&gt;""),ABS(D4456-E4455),"")</f>
        <v/>
      </c>
    </row>
    <row r="4457">
      <c r="A4457" t="n">
        <v>4457</v>
      </c>
      <c r="B4457">
        <f>IF(INDEX('Data Entry'!$H$5:$BE$10004,4457-4,'Visual SPC'!$B$3)="",0,IF(AND(OR('Visual SPC'!$C$4="",'Data Entry'!$C4457&gt;='Visual SPC'!$C$4),OR('Visual SPC'!$E$4="",'Data Entry'!$C4457&lt;='Visual SPC'!$E$4),OR('Visual SPC'!$G$4="",'Data Entry'!$D4457='Visual SPC'!$G$4),OR('Visual SPC'!$I$4="",'Data Entry'!$E4457='Visual SPC'!$I$4),OR('Visual SPC'!$K$4="",'Data Entry'!$F4457='Visual SPC'!$K$4)),1,0))</f>
        <v/>
      </c>
      <c r="C4457">
        <f>C4456+B4457</f>
        <v/>
      </c>
      <c r="D4457">
        <f>IF(B4457=1,INDEX('Data Entry'!$H$5:$BE$10004,4457-4,'Visual SPC'!$B$3),"")</f>
        <v/>
      </c>
      <c r="E4457">
        <f>IF(B4457=1,D4457,E4456)</f>
        <v/>
      </c>
      <c r="F4457">
        <f>IF(AND(B4457=1,C4457&gt;1,E4456&lt;&gt;""),ABS(D4457-E4456),"")</f>
        <v/>
      </c>
    </row>
    <row r="4458">
      <c r="A4458" t="n">
        <v>4458</v>
      </c>
      <c r="B4458">
        <f>IF(INDEX('Data Entry'!$H$5:$BE$10004,4458-4,'Visual SPC'!$B$3)="",0,IF(AND(OR('Visual SPC'!$C$4="",'Data Entry'!$C4458&gt;='Visual SPC'!$C$4),OR('Visual SPC'!$E$4="",'Data Entry'!$C4458&lt;='Visual SPC'!$E$4),OR('Visual SPC'!$G$4="",'Data Entry'!$D4458='Visual SPC'!$G$4),OR('Visual SPC'!$I$4="",'Data Entry'!$E4458='Visual SPC'!$I$4),OR('Visual SPC'!$K$4="",'Data Entry'!$F4458='Visual SPC'!$K$4)),1,0))</f>
        <v/>
      </c>
      <c r="C4458">
        <f>C4457+B4458</f>
        <v/>
      </c>
      <c r="D4458">
        <f>IF(B4458=1,INDEX('Data Entry'!$H$5:$BE$10004,4458-4,'Visual SPC'!$B$3),"")</f>
        <v/>
      </c>
      <c r="E4458">
        <f>IF(B4458=1,D4458,E4457)</f>
        <v/>
      </c>
      <c r="F4458">
        <f>IF(AND(B4458=1,C4458&gt;1,E4457&lt;&gt;""),ABS(D4458-E4457),"")</f>
        <v/>
      </c>
    </row>
    <row r="4459">
      <c r="A4459" t="n">
        <v>4459</v>
      </c>
      <c r="B4459">
        <f>IF(INDEX('Data Entry'!$H$5:$BE$10004,4459-4,'Visual SPC'!$B$3)="",0,IF(AND(OR('Visual SPC'!$C$4="",'Data Entry'!$C4459&gt;='Visual SPC'!$C$4),OR('Visual SPC'!$E$4="",'Data Entry'!$C4459&lt;='Visual SPC'!$E$4),OR('Visual SPC'!$G$4="",'Data Entry'!$D4459='Visual SPC'!$G$4),OR('Visual SPC'!$I$4="",'Data Entry'!$E4459='Visual SPC'!$I$4),OR('Visual SPC'!$K$4="",'Data Entry'!$F4459='Visual SPC'!$K$4)),1,0))</f>
        <v/>
      </c>
      <c r="C4459">
        <f>C4458+B4459</f>
        <v/>
      </c>
      <c r="D4459">
        <f>IF(B4459=1,INDEX('Data Entry'!$H$5:$BE$10004,4459-4,'Visual SPC'!$B$3),"")</f>
        <v/>
      </c>
      <c r="E4459">
        <f>IF(B4459=1,D4459,E4458)</f>
        <v/>
      </c>
      <c r="F4459">
        <f>IF(AND(B4459=1,C4459&gt;1,E4458&lt;&gt;""),ABS(D4459-E4458),"")</f>
        <v/>
      </c>
    </row>
    <row r="4460">
      <c r="A4460" t="n">
        <v>4460</v>
      </c>
      <c r="B4460">
        <f>IF(INDEX('Data Entry'!$H$5:$BE$10004,4460-4,'Visual SPC'!$B$3)="",0,IF(AND(OR('Visual SPC'!$C$4="",'Data Entry'!$C4460&gt;='Visual SPC'!$C$4),OR('Visual SPC'!$E$4="",'Data Entry'!$C4460&lt;='Visual SPC'!$E$4),OR('Visual SPC'!$G$4="",'Data Entry'!$D4460='Visual SPC'!$G$4),OR('Visual SPC'!$I$4="",'Data Entry'!$E4460='Visual SPC'!$I$4),OR('Visual SPC'!$K$4="",'Data Entry'!$F4460='Visual SPC'!$K$4)),1,0))</f>
        <v/>
      </c>
      <c r="C4460">
        <f>C4459+B4460</f>
        <v/>
      </c>
      <c r="D4460">
        <f>IF(B4460=1,INDEX('Data Entry'!$H$5:$BE$10004,4460-4,'Visual SPC'!$B$3),"")</f>
        <v/>
      </c>
      <c r="E4460">
        <f>IF(B4460=1,D4460,E4459)</f>
        <v/>
      </c>
      <c r="F4460">
        <f>IF(AND(B4460=1,C4460&gt;1,E4459&lt;&gt;""),ABS(D4460-E4459),"")</f>
        <v/>
      </c>
    </row>
    <row r="4461">
      <c r="A4461" t="n">
        <v>4461</v>
      </c>
      <c r="B4461">
        <f>IF(INDEX('Data Entry'!$H$5:$BE$10004,4461-4,'Visual SPC'!$B$3)="",0,IF(AND(OR('Visual SPC'!$C$4="",'Data Entry'!$C4461&gt;='Visual SPC'!$C$4),OR('Visual SPC'!$E$4="",'Data Entry'!$C4461&lt;='Visual SPC'!$E$4),OR('Visual SPC'!$G$4="",'Data Entry'!$D4461='Visual SPC'!$G$4),OR('Visual SPC'!$I$4="",'Data Entry'!$E4461='Visual SPC'!$I$4),OR('Visual SPC'!$K$4="",'Data Entry'!$F4461='Visual SPC'!$K$4)),1,0))</f>
        <v/>
      </c>
      <c r="C4461">
        <f>C4460+B4461</f>
        <v/>
      </c>
      <c r="D4461">
        <f>IF(B4461=1,INDEX('Data Entry'!$H$5:$BE$10004,4461-4,'Visual SPC'!$B$3),"")</f>
        <v/>
      </c>
      <c r="E4461">
        <f>IF(B4461=1,D4461,E4460)</f>
        <v/>
      </c>
      <c r="F4461">
        <f>IF(AND(B4461=1,C4461&gt;1,E4460&lt;&gt;""),ABS(D4461-E4460),"")</f>
        <v/>
      </c>
    </row>
    <row r="4462">
      <c r="A4462" t="n">
        <v>4462</v>
      </c>
      <c r="B4462">
        <f>IF(INDEX('Data Entry'!$H$5:$BE$10004,4462-4,'Visual SPC'!$B$3)="",0,IF(AND(OR('Visual SPC'!$C$4="",'Data Entry'!$C4462&gt;='Visual SPC'!$C$4),OR('Visual SPC'!$E$4="",'Data Entry'!$C4462&lt;='Visual SPC'!$E$4),OR('Visual SPC'!$G$4="",'Data Entry'!$D4462='Visual SPC'!$G$4),OR('Visual SPC'!$I$4="",'Data Entry'!$E4462='Visual SPC'!$I$4),OR('Visual SPC'!$K$4="",'Data Entry'!$F4462='Visual SPC'!$K$4)),1,0))</f>
        <v/>
      </c>
      <c r="C4462">
        <f>C4461+B4462</f>
        <v/>
      </c>
      <c r="D4462">
        <f>IF(B4462=1,INDEX('Data Entry'!$H$5:$BE$10004,4462-4,'Visual SPC'!$B$3),"")</f>
        <v/>
      </c>
      <c r="E4462">
        <f>IF(B4462=1,D4462,E4461)</f>
        <v/>
      </c>
      <c r="F4462">
        <f>IF(AND(B4462=1,C4462&gt;1,E4461&lt;&gt;""),ABS(D4462-E4461),"")</f>
        <v/>
      </c>
    </row>
    <row r="4463">
      <c r="A4463" t="n">
        <v>4463</v>
      </c>
      <c r="B4463">
        <f>IF(INDEX('Data Entry'!$H$5:$BE$10004,4463-4,'Visual SPC'!$B$3)="",0,IF(AND(OR('Visual SPC'!$C$4="",'Data Entry'!$C4463&gt;='Visual SPC'!$C$4),OR('Visual SPC'!$E$4="",'Data Entry'!$C4463&lt;='Visual SPC'!$E$4),OR('Visual SPC'!$G$4="",'Data Entry'!$D4463='Visual SPC'!$G$4),OR('Visual SPC'!$I$4="",'Data Entry'!$E4463='Visual SPC'!$I$4),OR('Visual SPC'!$K$4="",'Data Entry'!$F4463='Visual SPC'!$K$4)),1,0))</f>
        <v/>
      </c>
      <c r="C4463">
        <f>C4462+B4463</f>
        <v/>
      </c>
      <c r="D4463">
        <f>IF(B4463=1,INDEX('Data Entry'!$H$5:$BE$10004,4463-4,'Visual SPC'!$B$3),"")</f>
        <v/>
      </c>
      <c r="E4463">
        <f>IF(B4463=1,D4463,E4462)</f>
        <v/>
      </c>
      <c r="F4463">
        <f>IF(AND(B4463=1,C4463&gt;1,E4462&lt;&gt;""),ABS(D4463-E4462),"")</f>
        <v/>
      </c>
    </row>
    <row r="4464">
      <c r="A4464" t="n">
        <v>4464</v>
      </c>
      <c r="B4464">
        <f>IF(INDEX('Data Entry'!$H$5:$BE$10004,4464-4,'Visual SPC'!$B$3)="",0,IF(AND(OR('Visual SPC'!$C$4="",'Data Entry'!$C4464&gt;='Visual SPC'!$C$4),OR('Visual SPC'!$E$4="",'Data Entry'!$C4464&lt;='Visual SPC'!$E$4),OR('Visual SPC'!$G$4="",'Data Entry'!$D4464='Visual SPC'!$G$4),OR('Visual SPC'!$I$4="",'Data Entry'!$E4464='Visual SPC'!$I$4),OR('Visual SPC'!$K$4="",'Data Entry'!$F4464='Visual SPC'!$K$4)),1,0))</f>
        <v/>
      </c>
      <c r="C4464">
        <f>C4463+B4464</f>
        <v/>
      </c>
      <c r="D4464">
        <f>IF(B4464=1,INDEX('Data Entry'!$H$5:$BE$10004,4464-4,'Visual SPC'!$B$3),"")</f>
        <v/>
      </c>
      <c r="E4464">
        <f>IF(B4464=1,D4464,E4463)</f>
        <v/>
      </c>
      <c r="F4464">
        <f>IF(AND(B4464=1,C4464&gt;1,E4463&lt;&gt;""),ABS(D4464-E4463),"")</f>
        <v/>
      </c>
    </row>
    <row r="4465">
      <c r="A4465" t="n">
        <v>4465</v>
      </c>
      <c r="B4465">
        <f>IF(INDEX('Data Entry'!$H$5:$BE$10004,4465-4,'Visual SPC'!$B$3)="",0,IF(AND(OR('Visual SPC'!$C$4="",'Data Entry'!$C4465&gt;='Visual SPC'!$C$4),OR('Visual SPC'!$E$4="",'Data Entry'!$C4465&lt;='Visual SPC'!$E$4),OR('Visual SPC'!$G$4="",'Data Entry'!$D4465='Visual SPC'!$G$4),OR('Visual SPC'!$I$4="",'Data Entry'!$E4465='Visual SPC'!$I$4),OR('Visual SPC'!$K$4="",'Data Entry'!$F4465='Visual SPC'!$K$4)),1,0))</f>
        <v/>
      </c>
      <c r="C4465">
        <f>C4464+B4465</f>
        <v/>
      </c>
      <c r="D4465">
        <f>IF(B4465=1,INDEX('Data Entry'!$H$5:$BE$10004,4465-4,'Visual SPC'!$B$3),"")</f>
        <v/>
      </c>
      <c r="E4465">
        <f>IF(B4465=1,D4465,E4464)</f>
        <v/>
      </c>
      <c r="F4465">
        <f>IF(AND(B4465=1,C4465&gt;1,E4464&lt;&gt;""),ABS(D4465-E4464),"")</f>
        <v/>
      </c>
    </row>
    <row r="4466">
      <c r="A4466" t="n">
        <v>4466</v>
      </c>
      <c r="B4466">
        <f>IF(INDEX('Data Entry'!$H$5:$BE$10004,4466-4,'Visual SPC'!$B$3)="",0,IF(AND(OR('Visual SPC'!$C$4="",'Data Entry'!$C4466&gt;='Visual SPC'!$C$4),OR('Visual SPC'!$E$4="",'Data Entry'!$C4466&lt;='Visual SPC'!$E$4),OR('Visual SPC'!$G$4="",'Data Entry'!$D4466='Visual SPC'!$G$4),OR('Visual SPC'!$I$4="",'Data Entry'!$E4466='Visual SPC'!$I$4),OR('Visual SPC'!$K$4="",'Data Entry'!$F4466='Visual SPC'!$K$4)),1,0))</f>
        <v/>
      </c>
      <c r="C4466">
        <f>C4465+B4466</f>
        <v/>
      </c>
      <c r="D4466">
        <f>IF(B4466=1,INDEX('Data Entry'!$H$5:$BE$10004,4466-4,'Visual SPC'!$B$3),"")</f>
        <v/>
      </c>
      <c r="E4466">
        <f>IF(B4466=1,D4466,E4465)</f>
        <v/>
      </c>
      <c r="F4466">
        <f>IF(AND(B4466=1,C4466&gt;1,E4465&lt;&gt;""),ABS(D4466-E4465),"")</f>
        <v/>
      </c>
    </row>
    <row r="4467">
      <c r="A4467" t="n">
        <v>4467</v>
      </c>
      <c r="B4467">
        <f>IF(INDEX('Data Entry'!$H$5:$BE$10004,4467-4,'Visual SPC'!$B$3)="",0,IF(AND(OR('Visual SPC'!$C$4="",'Data Entry'!$C4467&gt;='Visual SPC'!$C$4),OR('Visual SPC'!$E$4="",'Data Entry'!$C4467&lt;='Visual SPC'!$E$4),OR('Visual SPC'!$G$4="",'Data Entry'!$D4467='Visual SPC'!$G$4),OR('Visual SPC'!$I$4="",'Data Entry'!$E4467='Visual SPC'!$I$4),OR('Visual SPC'!$K$4="",'Data Entry'!$F4467='Visual SPC'!$K$4)),1,0))</f>
        <v/>
      </c>
      <c r="C4467">
        <f>C4466+B4467</f>
        <v/>
      </c>
      <c r="D4467">
        <f>IF(B4467=1,INDEX('Data Entry'!$H$5:$BE$10004,4467-4,'Visual SPC'!$B$3),"")</f>
        <v/>
      </c>
      <c r="E4467">
        <f>IF(B4467=1,D4467,E4466)</f>
        <v/>
      </c>
      <c r="F4467">
        <f>IF(AND(B4467=1,C4467&gt;1,E4466&lt;&gt;""),ABS(D4467-E4466),"")</f>
        <v/>
      </c>
    </row>
    <row r="4468">
      <c r="A4468" t="n">
        <v>4468</v>
      </c>
      <c r="B4468">
        <f>IF(INDEX('Data Entry'!$H$5:$BE$10004,4468-4,'Visual SPC'!$B$3)="",0,IF(AND(OR('Visual SPC'!$C$4="",'Data Entry'!$C4468&gt;='Visual SPC'!$C$4),OR('Visual SPC'!$E$4="",'Data Entry'!$C4468&lt;='Visual SPC'!$E$4),OR('Visual SPC'!$G$4="",'Data Entry'!$D4468='Visual SPC'!$G$4),OR('Visual SPC'!$I$4="",'Data Entry'!$E4468='Visual SPC'!$I$4),OR('Visual SPC'!$K$4="",'Data Entry'!$F4468='Visual SPC'!$K$4)),1,0))</f>
        <v/>
      </c>
      <c r="C4468">
        <f>C4467+B4468</f>
        <v/>
      </c>
      <c r="D4468">
        <f>IF(B4468=1,INDEX('Data Entry'!$H$5:$BE$10004,4468-4,'Visual SPC'!$B$3),"")</f>
        <v/>
      </c>
      <c r="E4468">
        <f>IF(B4468=1,D4468,E4467)</f>
        <v/>
      </c>
      <c r="F4468">
        <f>IF(AND(B4468=1,C4468&gt;1,E4467&lt;&gt;""),ABS(D4468-E4467),"")</f>
        <v/>
      </c>
    </row>
    <row r="4469">
      <c r="A4469" t="n">
        <v>4469</v>
      </c>
      <c r="B4469">
        <f>IF(INDEX('Data Entry'!$H$5:$BE$10004,4469-4,'Visual SPC'!$B$3)="",0,IF(AND(OR('Visual SPC'!$C$4="",'Data Entry'!$C4469&gt;='Visual SPC'!$C$4),OR('Visual SPC'!$E$4="",'Data Entry'!$C4469&lt;='Visual SPC'!$E$4),OR('Visual SPC'!$G$4="",'Data Entry'!$D4469='Visual SPC'!$G$4),OR('Visual SPC'!$I$4="",'Data Entry'!$E4469='Visual SPC'!$I$4),OR('Visual SPC'!$K$4="",'Data Entry'!$F4469='Visual SPC'!$K$4)),1,0))</f>
        <v/>
      </c>
      <c r="C4469">
        <f>C4468+B4469</f>
        <v/>
      </c>
      <c r="D4469">
        <f>IF(B4469=1,INDEX('Data Entry'!$H$5:$BE$10004,4469-4,'Visual SPC'!$B$3),"")</f>
        <v/>
      </c>
      <c r="E4469">
        <f>IF(B4469=1,D4469,E4468)</f>
        <v/>
      </c>
      <c r="F4469">
        <f>IF(AND(B4469=1,C4469&gt;1,E4468&lt;&gt;""),ABS(D4469-E4468),"")</f>
        <v/>
      </c>
    </row>
    <row r="4470">
      <c r="A4470" t="n">
        <v>4470</v>
      </c>
      <c r="B4470">
        <f>IF(INDEX('Data Entry'!$H$5:$BE$10004,4470-4,'Visual SPC'!$B$3)="",0,IF(AND(OR('Visual SPC'!$C$4="",'Data Entry'!$C4470&gt;='Visual SPC'!$C$4),OR('Visual SPC'!$E$4="",'Data Entry'!$C4470&lt;='Visual SPC'!$E$4),OR('Visual SPC'!$G$4="",'Data Entry'!$D4470='Visual SPC'!$G$4),OR('Visual SPC'!$I$4="",'Data Entry'!$E4470='Visual SPC'!$I$4),OR('Visual SPC'!$K$4="",'Data Entry'!$F4470='Visual SPC'!$K$4)),1,0))</f>
        <v/>
      </c>
      <c r="C4470">
        <f>C4469+B4470</f>
        <v/>
      </c>
      <c r="D4470">
        <f>IF(B4470=1,INDEX('Data Entry'!$H$5:$BE$10004,4470-4,'Visual SPC'!$B$3),"")</f>
        <v/>
      </c>
      <c r="E4470">
        <f>IF(B4470=1,D4470,E4469)</f>
        <v/>
      </c>
      <c r="F4470">
        <f>IF(AND(B4470=1,C4470&gt;1,E4469&lt;&gt;""),ABS(D4470-E4469),"")</f>
        <v/>
      </c>
    </row>
    <row r="4471">
      <c r="A4471" t="n">
        <v>4471</v>
      </c>
      <c r="B4471">
        <f>IF(INDEX('Data Entry'!$H$5:$BE$10004,4471-4,'Visual SPC'!$B$3)="",0,IF(AND(OR('Visual SPC'!$C$4="",'Data Entry'!$C4471&gt;='Visual SPC'!$C$4),OR('Visual SPC'!$E$4="",'Data Entry'!$C4471&lt;='Visual SPC'!$E$4),OR('Visual SPC'!$G$4="",'Data Entry'!$D4471='Visual SPC'!$G$4),OR('Visual SPC'!$I$4="",'Data Entry'!$E4471='Visual SPC'!$I$4),OR('Visual SPC'!$K$4="",'Data Entry'!$F4471='Visual SPC'!$K$4)),1,0))</f>
        <v/>
      </c>
      <c r="C4471">
        <f>C4470+B4471</f>
        <v/>
      </c>
      <c r="D4471">
        <f>IF(B4471=1,INDEX('Data Entry'!$H$5:$BE$10004,4471-4,'Visual SPC'!$B$3),"")</f>
        <v/>
      </c>
      <c r="E4471">
        <f>IF(B4471=1,D4471,E4470)</f>
        <v/>
      </c>
      <c r="F4471">
        <f>IF(AND(B4471=1,C4471&gt;1,E4470&lt;&gt;""),ABS(D4471-E4470),"")</f>
        <v/>
      </c>
    </row>
    <row r="4472">
      <c r="A4472" t="n">
        <v>4472</v>
      </c>
      <c r="B4472">
        <f>IF(INDEX('Data Entry'!$H$5:$BE$10004,4472-4,'Visual SPC'!$B$3)="",0,IF(AND(OR('Visual SPC'!$C$4="",'Data Entry'!$C4472&gt;='Visual SPC'!$C$4),OR('Visual SPC'!$E$4="",'Data Entry'!$C4472&lt;='Visual SPC'!$E$4),OR('Visual SPC'!$G$4="",'Data Entry'!$D4472='Visual SPC'!$G$4),OR('Visual SPC'!$I$4="",'Data Entry'!$E4472='Visual SPC'!$I$4),OR('Visual SPC'!$K$4="",'Data Entry'!$F4472='Visual SPC'!$K$4)),1,0))</f>
        <v/>
      </c>
      <c r="C4472">
        <f>C4471+B4472</f>
        <v/>
      </c>
      <c r="D4472">
        <f>IF(B4472=1,INDEX('Data Entry'!$H$5:$BE$10004,4472-4,'Visual SPC'!$B$3),"")</f>
        <v/>
      </c>
      <c r="E4472">
        <f>IF(B4472=1,D4472,E4471)</f>
        <v/>
      </c>
      <c r="F4472">
        <f>IF(AND(B4472=1,C4472&gt;1,E4471&lt;&gt;""),ABS(D4472-E4471),"")</f>
        <v/>
      </c>
    </row>
    <row r="4473">
      <c r="A4473" t="n">
        <v>4473</v>
      </c>
      <c r="B4473">
        <f>IF(INDEX('Data Entry'!$H$5:$BE$10004,4473-4,'Visual SPC'!$B$3)="",0,IF(AND(OR('Visual SPC'!$C$4="",'Data Entry'!$C4473&gt;='Visual SPC'!$C$4),OR('Visual SPC'!$E$4="",'Data Entry'!$C4473&lt;='Visual SPC'!$E$4),OR('Visual SPC'!$G$4="",'Data Entry'!$D4473='Visual SPC'!$G$4),OR('Visual SPC'!$I$4="",'Data Entry'!$E4473='Visual SPC'!$I$4),OR('Visual SPC'!$K$4="",'Data Entry'!$F4473='Visual SPC'!$K$4)),1,0))</f>
        <v/>
      </c>
      <c r="C4473">
        <f>C4472+B4473</f>
        <v/>
      </c>
      <c r="D4473">
        <f>IF(B4473=1,INDEX('Data Entry'!$H$5:$BE$10004,4473-4,'Visual SPC'!$B$3),"")</f>
        <v/>
      </c>
      <c r="E4473">
        <f>IF(B4473=1,D4473,E4472)</f>
        <v/>
      </c>
      <c r="F4473">
        <f>IF(AND(B4473=1,C4473&gt;1,E4472&lt;&gt;""),ABS(D4473-E4472),"")</f>
        <v/>
      </c>
    </row>
    <row r="4474">
      <c r="A4474" t="n">
        <v>4474</v>
      </c>
      <c r="B4474">
        <f>IF(INDEX('Data Entry'!$H$5:$BE$10004,4474-4,'Visual SPC'!$B$3)="",0,IF(AND(OR('Visual SPC'!$C$4="",'Data Entry'!$C4474&gt;='Visual SPC'!$C$4),OR('Visual SPC'!$E$4="",'Data Entry'!$C4474&lt;='Visual SPC'!$E$4),OR('Visual SPC'!$G$4="",'Data Entry'!$D4474='Visual SPC'!$G$4),OR('Visual SPC'!$I$4="",'Data Entry'!$E4474='Visual SPC'!$I$4),OR('Visual SPC'!$K$4="",'Data Entry'!$F4474='Visual SPC'!$K$4)),1,0))</f>
        <v/>
      </c>
      <c r="C4474">
        <f>C4473+B4474</f>
        <v/>
      </c>
      <c r="D4474">
        <f>IF(B4474=1,INDEX('Data Entry'!$H$5:$BE$10004,4474-4,'Visual SPC'!$B$3),"")</f>
        <v/>
      </c>
      <c r="E4474">
        <f>IF(B4474=1,D4474,E4473)</f>
        <v/>
      </c>
      <c r="F4474">
        <f>IF(AND(B4474=1,C4474&gt;1,E4473&lt;&gt;""),ABS(D4474-E4473),"")</f>
        <v/>
      </c>
    </row>
    <row r="4475">
      <c r="A4475" t="n">
        <v>4475</v>
      </c>
      <c r="B4475">
        <f>IF(INDEX('Data Entry'!$H$5:$BE$10004,4475-4,'Visual SPC'!$B$3)="",0,IF(AND(OR('Visual SPC'!$C$4="",'Data Entry'!$C4475&gt;='Visual SPC'!$C$4),OR('Visual SPC'!$E$4="",'Data Entry'!$C4475&lt;='Visual SPC'!$E$4),OR('Visual SPC'!$G$4="",'Data Entry'!$D4475='Visual SPC'!$G$4),OR('Visual SPC'!$I$4="",'Data Entry'!$E4475='Visual SPC'!$I$4),OR('Visual SPC'!$K$4="",'Data Entry'!$F4475='Visual SPC'!$K$4)),1,0))</f>
        <v/>
      </c>
      <c r="C4475">
        <f>C4474+B4475</f>
        <v/>
      </c>
      <c r="D4475">
        <f>IF(B4475=1,INDEX('Data Entry'!$H$5:$BE$10004,4475-4,'Visual SPC'!$B$3),"")</f>
        <v/>
      </c>
      <c r="E4475">
        <f>IF(B4475=1,D4475,E4474)</f>
        <v/>
      </c>
      <c r="F4475">
        <f>IF(AND(B4475=1,C4475&gt;1,E4474&lt;&gt;""),ABS(D4475-E4474),"")</f>
        <v/>
      </c>
    </row>
    <row r="4476">
      <c r="A4476" t="n">
        <v>4476</v>
      </c>
      <c r="B4476">
        <f>IF(INDEX('Data Entry'!$H$5:$BE$10004,4476-4,'Visual SPC'!$B$3)="",0,IF(AND(OR('Visual SPC'!$C$4="",'Data Entry'!$C4476&gt;='Visual SPC'!$C$4),OR('Visual SPC'!$E$4="",'Data Entry'!$C4476&lt;='Visual SPC'!$E$4),OR('Visual SPC'!$G$4="",'Data Entry'!$D4476='Visual SPC'!$G$4),OR('Visual SPC'!$I$4="",'Data Entry'!$E4476='Visual SPC'!$I$4),OR('Visual SPC'!$K$4="",'Data Entry'!$F4476='Visual SPC'!$K$4)),1,0))</f>
        <v/>
      </c>
      <c r="C4476">
        <f>C4475+B4476</f>
        <v/>
      </c>
      <c r="D4476">
        <f>IF(B4476=1,INDEX('Data Entry'!$H$5:$BE$10004,4476-4,'Visual SPC'!$B$3),"")</f>
        <v/>
      </c>
      <c r="E4476">
        <f>IF(B4476=1,D4476,E4475)</f>
        <v/>
      </c>
      <c r="F4476">
        <f>IF(AND(B4476=1,C4476&gt;1,E4475&lt;&gt;""),ABS(D4476-E4475),"")</f>
        <v/>
      </c>
    </row>
    <row r="4477">
      <c r="A4477" t="n">
        <v>4477</v>
      </c>
      <c r="B4477">
        <f>IF(INDEX('Data Entry'!$H$5:$BE$10004,4477-4,'Visual SPC'!$B$3)="",0,IF(AND(OR('Visual SPC'!$C$4="",'Data Entry'!$C4477&gt;='Visual SPC'!$C$4),OR('Visual SPC'!$E$4="",'Data Entry'!$C4477&lt;='Visual SPC'!$E$4),OR('Visual SPC'!$G$4="",'Data Entry'!$D4477='Visual SPC'!$G$4),OR('Visual SPC'!$I$4="",'Data Entry'!$E4477='Visual SPC'!$I$4),OR('Visual SPC'!$K$4="",'Data Entry'!$F4477='Visual SPC'!$K$4)),1,0))</f>
        <v/>
      </c>
      <c r="C4477">
        <f>C4476+B4477</f>
        <v/>
      </c>
      <c r="D4477">
        <f>IF(B4477=1,INDEX('Data Entry'!$H$5:$BE$10004,4477-4,'Visual SPC'!$B$3),"")</f>
        <v/>
      </c>
      <c r="E4477">
        <f>IF(B4477=1,D4477,E4476)</f>
        <v/>
      </c>
      <c r="F4477">
        <f>IF(AND(B4477=1,C4477&gt;1,E4476&lt;&gt;""),ABS(D4477-E4476),"")</f>
        <v/>
      </c>
    </row>
    <row r="4478">
      <c r="A4478" t="n">
        <v>4478</v>
      </c>
      <c r="B4478">
        <f>IF(INDEX('Data Entry'!$H$5:$BE$10004,4478-4,'Visual SPC'!$B$3)="",0,IF(AND(OR('Visual SPC'!$C$4="",'Data Entry'!$C4478&gt;='Visual SPC'!$C$4),OR('Visual SPC'!$E$4="",'Data Entry'!$C4478&lt;='Visual SPC'!$E$4),OR('Visual SPC'!$G$4="",'Data Entry'!$D4478='Visual SPC'!$G$4),OR('Visual SPC'!$I$4="",'Data Entry'!$E4478='Visual SPC'!$I$4),OR('Visual SPC'!$K$4="",'Data Entry'!$F4478='Visual SPC'!$K$4)),1,0))</f>
        <v/>
      </c>
      <c r="C4478">
        <f>C4477+B4478</f>
        <v/>
      </c>
      <c r="D4478">
        <f>IF(B4478=1,INDEX('Data Entry'!$H$5:$BE$10004,4478-4,'Visual SPC'!$B$3),"")</f>
        <v/>
      </c>
      <c r="E4478">
        <f>IF(B4478=1,D4478,E4477)</f>
        <v/>
      </c>
      <c r="F4478">
        <f>IF(AND(B4478=1,C4478&gt;1,E4477&lt;&gt;""),ABS(D4478-E4477),"")</f>
        <v/>
      </c>
    </row>
    <row r="4479">
      <c r="A4479" t="n">
        <v>4479</v>
      </c>
      <c r="B4479">
        <f>IF(INDEX('Data Entry'!$H$5:$BE$10004,4479-4,'Visual SPC'!$B$3)="",0,IF(AND(OR('Visual SPC'!$C$4="",'Data Entry'!$C4479&gt;='Visual SPC'!$C$4),OR('Visual SPC'!$E$4="",'Data Entry'!$C4479&lt;='Visual SPC'!$E$4),OR('Visual SPC'!$G$4="",'Data Entry'!$D4479='Visual SPC'!$G$4),OR('Visual SPC'!$I$4="",'Data Entry'!$E4479='Visual SPC'!$I$4),OR('Visual SPC'!$K$4="",'Data Entry'!$F4479='Visual SPC'!$K$4)),1,0))</f>
        <v/>
      </c>
      <c r="C4479">
        <f>C4478+B4479</f>
        <v/>
      </c>
      <c r="D4479">
        <f>IF(B4479=1,INDEX('Data Entry'!$H$5:$BE$10004,4479-4,'Visual SPC'!$B$3),"")</f>
        <v/>
      </c>
      <c r="E4479">
        <f>IF(B4479=1,D4479,E4478)</f>
        <v/>
      </c>
      <c r="F4479">
        <f>IF(AND(B4479=1,C4479&gt;1,E4478&lt;&gt;""),ABS(D4479-E4478),"")</f>
        <v/>
      </c>
    </row>
    <row r="4480">
      <c r="A4480" t="n">
        <v>4480</v>
      </c>
      <c r="B4480">
        <f>IF(INDEX('Data Entry'!$H$5:$BE$10004,4480-4,'Visual SPC'!$B$3)="",0,IF(AND(OR('Visual SPC'!$C$4="",'Data Entry'!$C4480&gt;='Visual SPC'!$C$4),OR('Visual SPC'!$E$4="",'Data Entry'!$C4480&lt;='Visual SPC'!$E$4),OR('Visual SPC'!$G$4="",'Data Entry'!$D4480='Visual SPC'!$G$4),OR('Visual SPC'!$I$4="",'Data Entry'!$E4480='Visual SPC'!$I$4),OR('Visual SPC'!$K$4="",'Data Entry'!$F4480='Visual SPC'!$K$4)),1,0))</f>
        <v/>
      </c>
      <c r="C4480">
        <f>C4479+B4480</f>
        <v/>
      </c>
      <c r="D4480">
        <f>IF(B4480=1,INDEX('Data Entry'!$H$5:$BE$10004,4480-4,'Visual SPC'!$B$3),"")</f>
        <v/>
      </c>
      <c r="E4480">
        <f>IF(B4480=1,D4480,E4479)</f>
        <v/>
      </c>
      <c r="F4480">
        <f>IF(AND(B4480=1,C4480&gt;1,E4479&lt;&gt;""),ABS(D4480-E4479),"")</f>
        <v/>
      </c>
    </row>
    <row r="4481">
      <c r="A4481" t="n">
        <v>4481</v>
      </c>
      <c r="B4481">
        <f>IF(INDEX('Data Entry'!$H$5:$BE$10004,4481-4,'Visual SPC'!$B$3)="",0,IF(AND(OR('Visual SPC'!$C$4="",'Data Entry'!$C4481&gt;='Visual SPC'!$C$4),OR('Visual SPC'!$E$4="",'Data Entry'!$C4481&lt;='Visual SPC'!$E$4),OR('Visual SPC'!$G$4="",'Data Entry'!$D4481='Visual SPC'!$G$4),OR('Visual SPC'!$I$4="",'Data Entry'!$E4481='Visual SPC'!$I$4),OR('Visual SPC'!$K$4="",'Data Entry'!$F4481='Visual SPC'!$K$4)),1,0))</f>
        <v/>
      </c>
      <c r="C4481">
        <f>C4480+B4481</f>
        <v/>
      </c>
      <c r="D4481">
        <f>IF(B4481=1,INDEX('Data Entry'!$H$5:$BE$10004,4481-4,'Visual SPC'!$B$3),"")</f>
        <v/>
      </c>
      <c r="E4481">
        <f>IF(B4481=1,D4481,E4480)</f>
        <v/>
      </c>
      <c r="F4481">
        <f>IF(AND(B4481=1,C4481&gt;1,E4480&lt;&gt;""),ABS(D4481-E4480),"")</f>
        <v/>
      </c>
    </row>
    <row r="4482">
      <c r="A4482" t="n">
        <v>4482</v>
      </c>
      <c r="B4482">
        <f>IF(INDEX('Data Entry'!$H$5:$BE$10004,4482-4,'Visual SPC'!$B$3)="",0,IF(AND(OR('Visual SPC'!$C$4="",'Data Entry'!$C4482&gt;='Visual SPC'!$C$4),OR('Visual SPC'!$E$4="",'Data Entry'!$C4482&lt;='Visual SPC'!$E$4),OR('Visual SPC'!$G$4="",'Data Entry'!$D4482='Visual SPC'!$G$4),OR('Visual SPC'!$I$4="",'Data Entry'!$E4482='Visual SPC'!$I$4),OR('Visual SPC'!$K$4="",'Data Entry'!$F4482='Visual SPC'!$K$4)),1,0))</f>
        <v/>
      </c>
      <c r="C4482">
        <f>C4481+B4482</f>
        <v/>
      </c>
      <c r="D4482">
        <f>IF(B4482=1,INDEX('Data Entry'!$H$5:$BE$10004,4482-4,'Visual SPC'!$B$3),"")</f>
        <v/>
      </c>
      <c r="E4482">
        <f>IF(B4482=1,D4482,E4481)</f>
        <v/>
      </c>
      <c r="F4482">
        <f>IF(AND(B4482=1,C4482&gt;1,E4481&lt;&gt;""),ABS(D4482-E4481),"")</f>
        <v/>
      </c>
    </row>
    <row r="4483">
      <c r="A4483" t="n">
        <v>4483</v>
      </c>
      <c r="B4483">
        <f>IF(INDEX('Data Entry'!$H$5:$BE$10004,4483-4,'Visual SPC'!$B$3)="",0,IF(AND(OR('Visual SPC'!$C$4="",'Data Entry'!$C4483&gt;='Visual SPC'!$C$4),OR('Visual SPC'!$E$4="",'Data Entry'!$C4483&lt;='Visual SPC'!$E$4),OR('Visual SPC'!$G$4="",'Data Entry'!$D4483='Visual SPC'!$G$4),OR('Visual SPC'!$I$4="",'Data Entry'!$E4483='Visual SPC'!$I$4),OR('Visual SPC'!$K$4="",'Data Entry'!$F4483='Visual SPC'!$K$4)),1,0))</f>
        <v/>
      </c>
      <c r="C4483">
        <f>C4482+B4483</f>
        <v/>
      </c>
      <c r="D4483">
        <f>IF(B4483=1,INDEX('Data Entry'!$H$5:$BE$10004,4483-4,'Visual SPC'!$B$3),"")</f>
        <v/>
      </c>
      <c r="E4483">
        <f>IF(B4483=1,D4483,E4482)</f>
        <v/>
      </c>
      <c r="F4483">
        <f>IF(AND(B4483=1,C4483&gt;1,E4482&lt;&gt;""),ABS(D4483-E4482),"")</f>
        <v/>
      </c>
    </row>
    <row r="4484">
      <c r="A4484" t="n">
        <v>4484</v>
      </c>
      <c r="B4484">
        <f>IF(INDEX('Data Entry'!$H$5:$BE$10004,4484-4,'Visual SPC'!$B$3)="",0,IF(AND(OR('Visual SPC'!$C$4="",'Data Entry'!$C4484&gt;='Visual SPC'!$C$4),OR('Visual SPC'!$E$4="",'Data Entry'!$C4484&lt;='Visual SPC'!$E$4),OR('Visual SPC'!$G$4="",'Data Entry'!$D4484='Visual SPC'!$G$4),OR('Visual SPC'!$I$4="",'Data Entry'!$E4484='Visual SPC'!$I$4),OR('Visual SPC'!$K$4="",'Data Entry'!$F4484='Visual SPC'!$K$4)),1,0))</f>
        <v/>
      </c>
      <c r="C4484">
        <f>C4483+B4484</f>
        <v/>
      </c>
      <c r="D4484">
        <f>IF(B4484=1,INDEX('Data Entry'!$H$5:$BE$10004,4484-4,'Visual SPC'!$B$3),"")</f>
        <v/>
      </c>
      <c r="E4484">
        <f>IF(B4484=1,D4484,E4483)</f>
        <v/>
      </c>
      <c r="F4484">
        <f>IF(AND(B4484=1,C4484&gt;1,E4483&lt;&gt;""),ABS(D4484-E4483),"")</f>
        <v/>
      </c>
    </row>
    <row r="4485">
      <c r="A4485" t="n">
        <v>4485</v>
      </c>
      <c r="B4485">
        <f>IF(INDEX('Data Entry'!$H$5:$BE$10004,4485-4,'Visual SPC'!$B$3)="",0,IF(AND(OR('Visual SPC'!$C$4="",'Data Entry'!$C4485&gt;='Visual SPC'!$C$4),OR('Visual SPC'!$E$4="",'Data Entry'!$C4485&lt;='Visual SPC'!$E$4),OR('Visual SPC'!$G$4="",'Data Entry'!$D4485='Visual SPC'!$G$4),OR('Visual SPC'!$I$4="",'Data Entry'!$E4485='Visual SPC'!$I$4),OR('Visual SPC'!$K$4="",'Data Entry'!$F4485='Visual SPC'!$K$4)),1,0))</f>
        <v/>
      </c>
      <c r="C4485">
        <f>C4484+B4485</f>
        <v/>
      </c>
      <c r="D4485">
        <f>IF(B4485=1,INDEX('Data Entry'!$H$5:$BE$10004,4485-4,'Visual SPC'!$B$3),"")</f>
        <v/>
      </c>
      <c r="E4485">
        <f>IF(B4485=1,D4485,E4484)</f>
        <v/>
      </c>
      <c r="F4485">
        <f>IF(AND(B4485=1,C4485&gt;1,E4484&lt;&gt;""),ABS(D4485-E4484),"")</f>
        <v/>
      </c>
    </row>
    <row r="4486">
      <c r="A4486" t="n">
        <v>4486</v>
      </c>
      <c r="B4486">
        <f>IF(INDEX('Data Entry'!$H$5:$BE$10004,4486-4,'Visual SPC'!$B$3)="",0,IF(AND(OR('Visual SPC'!$C$4="",'Data Entry'!$C4486&gt;='Visual SPC'!$C$4),OR('Visual SPC'!$E$4="",'Data Entry'!$C4486&lt;='Visual SPC'!$E$4),OR('Visual SPC'!$G$4="",'Data Entry'!$D4486='Visual SPC'!$G$4),OR('Visual SPC'!$I$4="",'Data Entry'!$E4486='Visual SPC'!$I$4),OR('Visual SPC'!$K$4="",'Data Entry'!$F4486='Visual SPC'!$K$4)),1,0))</f>
        <v/>
      </c>
      <c r="C4486">
        <f>C4485+B4486</f>
        <v/>
      </c>
      <c r="D4486">
        <f>IF(B4486=1,INDEX('Data Entry'!$H$5:$BE$10004,4486-4,'Visual SPC'!$B$3),"")</f>
        <v/>
      </c>
      <c r="E4486">
        <f>IF(B4486=1,D4486,E4485)</f>
        <v/>
      </c>
      <c r="F4486">
        <f>IF(AND(B4486=1,C4486&gt;1,E4485&lt;&gt;""),ABS(D4486-E4485),"")</f>
        <v/>
      </c>
    </row>
    <row r="4487">
      <c r="A4487" t="n">
        <v>4487</v>
      </c>
      <c r="B4487">
        <f>IF(INDEX('Data Entry'!$H$5:$BE$10004,4487-4,'Visual SPC'!$B$3)="",0,IF(AND(OR('Visual SPC'!$C$4="",'Data Entry'!$C4487&gt;='Visual SPC'!$C$4),OR('Visual SPC'!$E$4="",'Data Entry'!$C4487&lt;='Visual SPC'!$E$4),OR('Visual SPC'!$G$4="",'Data Entry'!$D4487='Visual SPC'!$G$4),OR('Visual SPC'!$I$4="",'Data Entry'!$E4487='Visual SPC'!$I$4),OR('Visual SPC'!$K$4="",'Data Entry'!$F4487='Visual SPC'!$K$4)),1,0))</f>
        <v/>
      </c>
      <c r="C4487">
        <f>C4486+B4487</f>
        <v/>
      </c>
      <c r="D4487">
        <f>IF(B4487=1,INDEX('Data Entry'!$H$5:$BE$10004,4487-4,'Visual SPC'!$B$3),"")</f>
        <v/>
      </c>
      <c r="E4487">
        <f>IF(B4487=1,D4487,E4486)</f>
        <v/>
      </c>
      <c r="F4487">
        <f>IF(AND(B4487=1,C4487&gt;1,E4486&lt;&gt;""),ABS(D4487-E4486),"")</f>
        <v/>
      </c>
    </row>
    <row r="4488">
      <c r="A4488" t="n">
        <v>4488</v>
      </c>
      <c r="B4488">
        <f>IF(INDEX('Data Entry'!$H$5:$BE$10004,4488-4,'Visual SPC'!$B$3)="",0,IF(AND(OR('Visual SPC'!$C$4="",'Data Entry'!$C4488&gt;='Visual SPC'!$C$4),OR('Visual SPC'!$E$4="",'Data Entry'!$C4488&lt;='Visual SPC'!$E$4),OR('Visual SPC'!$G$4="",'Data Entry'!$D4488='Visual SPC'!$G$4),OR('Visual SPC'!$I$4="",'Data Entry'!$E4488='Visual SPC'!$I$4),OR('Visual SPC'!$K$4="",'Data Entry'!$F4488='Visual SPC'!$K$4)),1,0))</f>
        <v/>
      </c>
      <c r="C4488">
        <f>C4487+B4488</f>
        <v/>
      </c>
      <c r="D4488">
        <f>IF(B4488=1,INDEX('Data Entry'!$H$5:$BE$10004,4488-4,'Visual SPC'!$B$3),"")</f>
        <v/>
      </c>
      <c r="E4488">
        <f>IF(B4488=1,D4488,E4487)</f>
        <v/>
      </c>
      <c r="F4488">
        <f>IF(AND(B4488=1,C4488&gt;1,E4487&lt;&gt;""),ABS(D4488-E4487),"")</f>
        <v/>
      </c>
    </row>
    <row r="4489">
      <c r="A4489" t="n">
        <v>4489</v>
      </c>
      <c r="B4489">
        <f>IF(INDEX('Data Entry'!$H$5:$BE$10004,4489-4,'Visual SPC'!$B$3)="",0,IF(AND(OR('Visual SPC'!$C$4="",'Data Entry'!$C4489&gt;='Visual SPC'!$C$4),OR('Visual SPC'!$E$4="",'Data Entry'!$C4489&lt;='Visual SPC'!$E$4),OR('Visual SPC'!$G$4="",'Data Entry'!$D4489='Visual SPC'!$G$4),OR('Visual SPC'!$I$4="",'Data Entry'!$E4489='Visual SPC'!$I$4),OR('Visual SPC'!$K$4="",'Data Entry'!$F4489='Visual SPC'!$K$4)),1,0))</f>
        <v/>
      </c>
      <c r="C4489">
        <f>C4488+B4489</f>
        <v/>
      </c>
      <c r="D4489">
        <f>IF(B4489=1,INDEX('Data Entry'!$H$5:$BE$10004,4489-4,'Visual SPC'!$B$3),"")</f>
        <v/>
      </c>
      <c r="E4489">
        <f>IF(B4489=1,D4489,E4488)</f>
        <v/>
      </c>
      <c r="F4489">
        <f>IF(AND(B4489=1,C4489&gt;1,E4488&lt;&gt;""),ABS(D4489-E4488),"")</f>
        <v/>
      </c>
    </row>
    <row r="4490">
      <c r="A4490" t="n">
        <v>4490</v>
      </c>
      <c r="B4490">
        <f>IF(INDEX('Data Entry'!$H$5:$BE$10004,4490-4,'Visual SPC'!$B$3)="",0,IF(AND(OR('Visual SPC'!$C$4="",'Data Entry'!$C4490&gt;='Visual SPC'!$C$4),OR('Visual SPC'!$E$4="",'Data Entry'!$C4490&lt;='Visual SPC'!$E$4),OR('Visual SPC'!$G$4="",'Data Entry'!$D4490='Visual SPC'!$G$4),OR('Visual SPC'!$I$4="",'Data Entry'!$E4490='Visual SPC'!$I$4),OR('Visual SPC'!$K$4="",'Data Entry'!$F4490='Visual SPC'!$K$4)),1,0))</f>
        <v/>
      </c>
      <c r="C4490">
        <f>C4489+B4490</f>
        <v/>
      </c>
      <c r="D4490">
        <f>IF(B4490=1,INDEX('Data Entry'!$H$5:$BE$10004,4490-4,'Visual SPC'!$B$3),"")</f>
        <v/>
      </c>
      <c r="E4490">
        <f>IF(B4490=1,D4490,E4489)</f>
        <v/>
      </c>
      <c r="F4490">
        <f>IF(AND(B4490=1,C4490&gt;1,E4489&lt;&gt;""),ABS(D4490-E4489),"")</f>
        <v/>
      </c>
    </row>
    <row r="4491">
      <c r="A4491" t="n">
        <v>4491</v>
      </c>
      <c r="B4491">
        <f>IF(INDEX('Data Entry'!$H$5:$BE$10004,4491-4,'Visual SPC'!$B$3)="",0,IF(AND(OR('Visual SPC'!$C$4="",'Data Entry'!$C4491&gt;='Visual SPC'!$C$4),OR('Visual SPC'!$E$4="",'Data Entry'!$C4491&lt;='Visual SPC'!$E$4),OR('Visual SPC'!$G$4="",'Data Entry'!$D4491='Visual SPC'!$G$4),OR('Visual SPC'!$I$4="",'Data Entry'!$E4491='Visual SPC'!$I$4),OR('Visual SPC'!$K$4="",'Data Entry'!$F4491='Visual SPC'!$K$4)),1,0))</f>
        <v/>
      </c>
      <c r="C4491">
        <f>C4490+B4491</f>
        <v/>
      </c>
      <c r="D4491">
        <f>IF(B4491=1,INDEX('Data Entry'!$H$5:$BE$10004,4491-4,'Visual SPC'!$B$3),"")</f>
        <v/>
      </c>
      <c r="E4491">
        <f>IF(B4491=1,D4491,E4490)</f>
        <v/>
      </c>
      <c r="F4491">
        <f>IF(AND(B4491=1,C4491&gt;1,E4490&lt;&gt;""),ABS(D4491-E4490),"")</f>
        <v/>
      </c>
    </row>
    <row r="4492">
      <c r="A4492" t="n">
        <v>4492</v>
      </c>
      <c r="B4492">
        <f>IF(INDEX('Data Entry'!$H$5:$BE$10004,4492-4,'Visual SPC'!$B$3)="",0,IF(AND(OR('Visual SPC'!$C$4="",'Data Entry'!$C4492&gt;='Visual SPC'!$C$4),OR('Visual SPC'!$E$4="",'Data Entry'!$C4492&lt;='Visual SPC'!$E$4),OR('Visual SPC'!$G$4="",'Data Entry'!$D4492='Visual SPC'!$G$4),OR('Visual SPC'!$I$4="",'Data Entry'!$E4492='Visual SPC'!$I$4),OR('Visual SPC'!$K$4="",'Data Entry'!$F4492='Visual SPC'!$K$4)),1,0))</f>
        <v/>
      </c>
      <c r="C4492">
        <f>C4491+B4492</f>
        <v/>
      </c>
      <c r="D4492">
        <f>IF(B4492=1,INDEX('Data Entry'!$H$5:$BE$10004,4492-4,'Visual SPC'!$B$3),"")</f>
        <v/>
      </c>
      <c r="E4492">
        <f>IF(B4492=1,D4492,E4491)</f>
        <v/>
      </c>
      <c r="F4492">
        <f>IF(AND(B4492=1,C4492&gt;1,E4491&lt;&gt;""),ABS(D4492-E4491),"")</f>
        <v/>
      </c>
    </row>
    <row r="4493">
      <c r="A4493" t="n">
        <v>4493</v>
      </c>
      <c r="B4493">
        <f>IF(INDEX('Data Entry'!$H$5:$BE$10004,4493-4,'Visual SPC'!$B$3)="",0,IF(AND(OR('Visual SPC'!$C$4="",'Data Entry'!$C4493&gt;='Visual SPC'!$C$4),OR('Visual SPC'!$E$4="",'Data Entry'!$C4493&lt;='Visual SPC'!$E$4),OR('Visual SPC'!$G$4="",'Data Entry'!$D4493='Visual SPC'!$G$4),OR('Visual SPC'!$I$4="",'Data Entry'!$E4493='Visual SPC'!$I$4),OR('Visual SPC'!$K$4="",'Data Entry'!$F4493='Visual SPC'!$K$4)),1,0))</f>
        <v/>
      </c>
      <c r="C4493">
        <f>C4492+B4493</f>
        <v/>
      </c>
      <c r="D4493">
        <f>IF(B4493=1,INDEX('Data Entry'!$H$5:$BE$10004,4493-4,'Visual SPC'!$B$3),"")</f>
        <v/>
      </c>
      <c r="E4493">
        <f>IF(B4493=1,D4493,E4492)</f>
        <v/>
      </c>
      <c r="F4493">
        <f>IF(AND(B4493=1,C4493&gt;1,E4492&lt;&gt;""),ABS(D4493-E4492),"")</f>
        <v/>
      </c>
    </row>
    <row r="4494">
      <c r="A4494" t="n">
        <v>4494</v>
      </c>
      <c r="B4494">
        <f>IF(INDEX('Data Entry'!$H$5:$BE$10004,4494-4,'Visual SPC'!$B$3)="",0,IF(AND(OR('Visual SPC'!$C$4="",'Data Entry'!$C4494&gt;='Visual SPC'!$C$4),OR('Visual SPC'!$E$4="",'Data Entry'!$C4494&lt;='Visual SPC'!$E$4),OR('Visual SPC'!$G$4="",'Data Entry'!$D4494='Visual SPC'!$G$4),OR('Visual SPC'!$I$4="",'Data Entry'!$E4494='Visual SPC'!$I$4),OR('Visual SPC'!$K$4="",'Data Entry'!$F4494='Visual SPC'!$K$4)),1,0))</f>
        <v/>
      </c>
      <c r="C4494">
        <f>C4493+B4494</f>
        <v/>
      </c>
      <c r="D4494">
        <f>IF(B4494=1,INDEX('Data Entry'!$H$5:$BE$10004,4494-4,'Visual SPC'!$B$3),"")</f>
        <v/>
      </c>
      <c r="E4494">
        <f>IF(B4494=1,D4494,E4493)</f>
        <v/>
      </c>
      <c r="F4494">
        <f>IF(AND(B4494=1,C4494&gt;1,E4493&lt;&gt;""),ABS(D4494-E4493),"")</f>
        <v/>
      </c>
    </row>
    <row r="4495">
      <c r="A4495" t="n">
        <v>4495</v>
      </c>
      <c r="B4495">
        <f>IF(INDEX('Data Entry'!$H$5:$BE$10004,4495-4,'Visual SPC'!$B$3)="",0,IF(AND(OR('Visual SPC'!$C$4="",'Data Entry'!$C4495&gt;='Visual SPC'!$C$4),OR('Visual SPC'!$E$4="",'Data Entry'!$C4495&lt;='Visual SPC'!$E$4),OR('Visual SPC'!$G$4="",'Data Entry'!$D4495='Visual SPC'!$G$4),OR('Visual SPC'!$I$4="",'Data Entry'!$E4495='Visual SPC'!$I$4),OR('Visual SPC'!$K$4="",'Data Entry'!$F4495='Visual SPC'!$K$4)),1,0))</f>
        <v/>
      </c>
      <c r="C4495">
        <f>C4494+B4495</f>
        <v/>
      </c>
      <c r="D4495">
        <f>IF(B4495=1,INDEX('Data Entry'!$H$5:$BE$10004,4495-4,'Visual SPC'!$B$3),"")</f>
        <v/>
      </c>
      <c r="E4495">
        <f>IF(B4495=1,D4495,E4494)</f>
        <v/>
      </c>
      <c r="F4495">
        <f>IF(AND(B4495=1,C4495&gt;1,E4494&lt;&gt;""),ABS(D4495-E4494),"")</f>
        <v/>
      </c>
    </row>
    <row r="4496">
      <c r="A4496" t="n">
        <v>4496</v>
      </c>
      <c r="B4496">
        <f>IF(INDEX('Data Entry'!$H$5:$BE$10004,4496-4,'Visual SPC'!$B$3)="",0,IF(AND(OR('Visual SPC'!$C$4="",'Data Entry'!$C4496&gt;='Visual SPC'!$C$4),OR('Visual SPC'!$E$4="",'Data Entry'!$C4496&lt;='Visual SPC'!$E$4),OR('Visual SPC'!$G$4="",'Data Entry'!$D4496='Visual SPC'!$G$4),OR('Visual SPC'!$I$4="",'Data Entry'!$E4496='Visual SPC'!$I$4),OR('Visual SPC'!$K$4="",'Data Entry'!$F4496='Visual SPC'!$K$4)),1,0))</f>
        <v/>
      </c>
      <c r="C4496">
        <f>C4495+B4496</f>
        <v/>
      </c>
      <c r="D4496">
        <f>IF(B4496=1,INDEX('Data Entry'!$H$5:$BE$10004,4496-4,'Visual SPC'!$B$3),"")</f>
        <v/>
      </c>
      <c r="E4496">
        <f>IF(B4496=1,D4496,E4495)</f>
        <v/>
      </c>
      <c r="F4496">
        <f>IF(AND(B4496=1,C4496&gt;1,E4495&lt;&gt;""),ABS(D4496-E4495),"")</f>
        <v/>
      </c>
    </row>
    <row r="4497">
      <c r="A4497" t="n">
        <v>4497</v>
      </c>
      <c r="B4497">
        <f>IF(INDEX('Data Entry'!$H$5:$BE$10004,4497-4,'Visual SPC'!$B$3)="",0,IF(AND(OR('Visual SPC'!$C$4="",'Data Entry'!$C4497&gt;='Visual SPC'!$C$4),OR('Visual SPC'!$E$4="",'Data Entry'!$C4497&lt;='Visual SPC'!$E$4),OR('Visual SPC'!$G$4="",'Data Entry'!$D4497='Visual SPC'!$G$4),OR('Visual SPC'!$I$4="",'Data Entry'!$E4497='Visual SPC'!$I$4),OR('Visual SPC'!$K$4="",'Data Entry'!$F4497='Visual SPC'!$K$4)),1,0))</f>
        <v/>
      </c>
      <c r="C4497">
        <f>C4496+B4497</f>
        <v/>
      </c>
      <c r="D4497">
        <f>IF(B4497=1,INDEX('Data Entry'!$H$5:$BE$10004,4497-4,'Visual SPC'!$B$3),"")</f>
        <v/>
      </c>
      <c r="E4497">
        <f>IF(B4497=1,D4497,E4496)</f>
        <v/>
      </c>
      <c r="F4497">
        <f>IF(AND(B4497=1,C4497&gt;1,E4496&lt;&gt;""),ABS(D4497-E4496),"")</f>
        <v/>
      </c>
    </row>
    <row r="4498">
      <c r="A4498" t="n">
        <v>4498</v>
      </c>
      <c r="B4498">
        <f>IF(INDEX('Data Entry'!$H$5:$BE$10004,4498-4,'Visual SPC'!$B$3)="",0,IF(AND(OR('Visual SPC'!$C$4="",'Data Entry'!$C4498&gt;='Visual SPC'!$C$4),OR('Visual SPC'!$E$4="",'Data Entry'!$C4498&lt;='Visual SPC'!$E$4),OR('Visual SPC'!$G$4="",'Data Entry'!$D4498='Visual SPC'!$G$4),OR('Visual SPC'!$I$4="",'Data Entry'!$E4498='Visual SPC'!$I$4),OR('Visual SPC'!$K$4="",'Data Entry'!$F4498='Visual SPC'!$K$4)),1,0))</f>
        <v/>
      </c>
      <c r="C4498">
        <f>C4497+B4498</f>
        <v/>
      </c>
      <c r="D4498">
        <f>IF(B4498=1,INDEX('Data Entry'!$H$5:$BE$10004,4498-4,'Visual SPC'!$B$3),"")</f>
        <v/>
      </c>
      <c r="E4498">
        <f>IF(B4498=1,D4498,E4497)</f>
        <v/>
      </c>
      <c r="F4498">
        <f>IF(AND(B4498=1,C4498&gt;1,E4497&lt;&gt;""),ABS(D4498-E4497),"")</f>
        <v/>
      </c>
    </row>
    <row r="4499">
      <c r="A4499" t="n">
        <v>4499</v>
      </c>
      <c r="B4499">
        <f>IF(INDEX('Data Entry'!$H$5:$BE$10004,4499-4,'Visual SPC'!$B$3)="",0,IF(AND(OR('Visual SPC'!$C$4="",'Data Entry'!$C4499&gt;='Visual SPC'!$C$4),OR('Visual SPC'!$E$4="",'Data Entry'!$C4499&lt;='Visual SPC'!$E$4),OR('Visual SPC'!$G$4="",'Data Entry'!$D4499='Visual SPC'!$G$4),OR('Visual SPC'!$I$4="",'Data Entry'!$E4499='Visual SPC'!$I$4),OR('Visual SPC'!$K$4="",'Data Entry'!$F4499='Visual SPC'!$K$4)),1,0))</f>
        <v/>
      </c>
      <c r="C4499">
        <f>C4498+B4499</f>
        <v/>
      </c>
      <c r="D4499">
        <f>IF(B4499=1,INDEX('Data Entry'!$H$5:$BE$10004,4499-4,'Visual SPC'!$B$3),"")</f>
        <v/>
      </c>
      <c r="E4499">
        <f>IF(B4499=1,D4499,E4498)</f>
        <v/>
      </c>
      <c r="F4499">
        <f>IF(AND(B4499=1,C4499&gt;1,E4498&lt;&gt;""),ABS(D4499-E4498),"")</f>
        <v/>
      </c>
    </row>
    <row r="4500">
      <c r="A4500" t="n">
        <v>4500</v>
      </c>
      <c r="B4500">
        <f>IF(INDEX('Data Entry'!$H$5:$BE$10004,4500-4,'Visual SPC'!$B$3)="",0,IF(AND(OR('Visual SPC'!$C$4="",'Data Entry'!$C4500&gt;='Visual SPC'!$C$4),OR('Visual SPC'!$E$4="",'Data Entry'!$C4500&lt;='Visual SPC'!$E$4),OR('Visual SPC'!$G$4="",'Data Entry'!$D4500='Visual SPC'!$G$4),OR('Visual SPC'!$I$4="",'Data Entry'!$E4500='Visual SPC'!$I$4),OR('Visual SPC'!$K$4="",'Data Entry'!$F4500='Visual SPC'!$K$4)),1,0))</f>
        <v/>
      </c>
      <c r="C4500">
        <f>C4499+B4500</f>
        <v/>
      </c>
      <c r="D4500">
        <f>IF(B4500=1,INDEX('Data Entry'!$H$5:$BE$10004,4500-4,'Visual SPC'!$B$3),"")</f>
        <v/>
      </c>
      <c r="E4500">
        <f>IF(B4500=1,D4500,E4499)</f>
        <v/>
      </c>
      <c r="F4500">
        <f>IF(AND(B4500=1,C4500&gt;1,E4499&lt;&gt;""),ABS(D4500-E4499),"")</f>
        <v/>
      </c>
    </row>
    <row r="4501">
      <c r="A4501" t="n">
        <v>4501</v>
      </c>
      <c r="B4501">
        <f>IF(INDEX('Data Entry'!$H$5:$BE$10004,4501-4,'Visual SPC'!$B$3)="",0,IF(AND(OR('Visual SPC'!$C$4="",'Data Entry'!$C4501&gt;='Visual SPC'!$C$4),OR('Visual SPC'!$E$4="",'Data Entry'!$C4501&lt;='Visual SPC'!$E$4),OR('Visual SPC'!$G$4="",'Data Entry'!$D4501='Visual SPC'!$G$4),OR('Visual SPC'!$I$4="",'Data Entry'!$E4501='Visual SPC'!$I$4),OR('Visual SPC'!$K$4="",'Data Entry'!$F4501='Visual SPC'!$K$4)),1,0))</f>
        <v/>
      </c>
      <c r="C4501">
        <f>C4500+B4501</f>
        <v/>
      </c>
      <c r="D4501">
        <f>IF(B4501=1,INDEX('Data Entry'!$H$5:$BE$10004,4501-4,'Visual SPC'!$B$3),"")</f>
        <v/>
      </c>
      <c r="E4501">
        <f>IF(B4501=1,D4501,E4500)</f>
        <v/>
      </c>
      <c r="F4501">
        <f>IF(AND(B4501=1,C4501&gt;1,E4500&lt;&gt;""),ABS(D4501-E4500),"")</f>
        <v/>
      </c>
    </row>
    <row r="4502">
      <c r="A4502" t="n">
        <v>4502</v>
      </c>
      <c r="B4502">
        <f>IF(INDEX('Data Entry'!$H$5:$BE$10004,4502-4,'Visual SPC'!$B$3)="",0,IF(AND(OR('Visual SPC'!$C$4="",'Data Entry'!$C4502&gt;='Visual SPC'!$C$4),OR('Visual SPC'!$E$4="",'Data Entry'!$C4502&lt;='Visual SPC'!$E$4),OR('Visual SPC'!$G$4="",'Data Entry'!$D4502='Visual SPC'!$G$4),OR('Visual SPC'!$I$4="",'Data Entry'!$E4502='Visual SPC'!$I$4),OR('Visual SPC'!$K$4="",'Data Entry'!$F4502='Visual SPC'!$K$4)),1,0))</f>
        <v/>
      </c>
      <c r="C4502">
        <f>C4501+B4502</f>
        <v/>
      </c>
      <c r="D4502">
        <f>IF(B4502=1,INDEX('Data Entry'!$H$5:$BE$10004,4502-4,'Visual SPC'!$B$3),"")</f>
        <v/>
      </c>
      <c r="E4502">
        <f>IF(B4502=1,D4502,E4501)</f>
        <v/>
      </c>
      <c r="F4502">
        <f>IF(AND(B4502=1,C4502&gt;1,E4501&lt;&gt;""),ABS(D4502-E4501),"")</f>
        <v/>
      </c>
    </row>
    <row r="4503">
      <c r="A4503" t="n">
        <v>4503</v>
      </c>
      <c r="B4503">
        <f>IF(INDEX('Data Entry'!$H$5:$BE$10004,4503-4,'Visual SPC'!$B$3)="",0,IF(AND(OR('Visual SPC'!$C$4="",'Data Entry'!$C4503&gt;='Visual SPC'!$C$4),OR('Visual SPC'!$E$4="",'Data Entry'!$C4503&lt;='Visual SPC'!$E$4),OR('Visual SPC'!$G$4="",'Data Entry'!$D4503='Visual SPC'!$G$4),OR('Visual SPC'!$I$4="",'Data Entry'!$E4503='Visual SPC'!$I$4),OR('Visual SPC'!$K$4="",'Data Entry'!$F4503='Visual SPC'!$K$4)),1,0))</f>
        <v/>
      </c>
      <c r="C4503">
        <f>C4502+B4503</f>
        <v/>
      </c>
      <c r="D4503">
        <f>IF(B4503=1,INDEX('Data Entry'!$H$5:$BE$10004,4503-4,'Visual SPC'!$B$3),"")</f>
        <v/>
      </c>
      <c r="E4503">
        <f>IF(B4503=1,D4503,E4502)</f>
        <v/>
      </c>
      <c r="F4503">
        <f>IF(AND(B4503=1,C4503&gt;1,E4502&lt;&gt;""),ABS(D4503-E4502),"")</f>
        <v/>
      </c>
    </row>
    <row r="4504">
      <c r="A4504" t="n">
        <v>4504</v>
      </c>
      <c r="B4504">
        <f>IF(INDEX('Data Entry'!$H$5:$BE$10004,4504-4,'Visual SPC'!$B$3)="",0,IF(AND(OR('Visual SPC'!$C$4="",'Data Entry'!$C4504&gt;='Visual SPC'!$C$4),OR('Visual SPC'!$E$4="",'Data Entry'!$C4504&lt;='Visual SPC'!$E$4),OR('Visual SPC'!$G$4="",'Data Entry'!$D4504='Visual SPC'!$G$4),OR('Visual SPC'!$I$4="",'Data Entry'!$E4504='Visual SPC'!$I$4),OR('Visual SPC'!$K$4="",'Data Entry'!$F4504='Visual SPC'!$K$4)),1,0))</f>
        <v/>
      </c>
      <c r="C4504">
        <f>C4503+B4504</f>
        <v/>
      </c>
      <c r="D4504">
        <f>IF(B4504=1,INDEX('Data Entry'!$H$5:$BE$10004,4504-4,'Visual SPC'!$B$3),"")</f>
        <v/>
      </c>
      <c r="E4504">
        <f>IF(B4504=1,D4504,E4503)</f>
        <v/>
      </c>
      <c r="F4504">
        <f>IF(AND(B4504=1,C4504&gt;1,E4503&lt;&gt;""),ABS(D4504-E4503),"")</f>
        <v/>
      </c>
    </row>
    <row r="4505">
      <c r="A4505" t="n">
        <v>4505</v>
      </c>
      <c r="B4505">
        <f>IF(INDEX('Data Entry'!$H$5:$BE$10004,4505-4,'Visual SPC'!$B$3)="",0,IF(AND(OR('Visual SPC'!$C$4="",'Data Entry'!$C4505&gt;='Visual SPC'!$C$4),OR('Visual SPC'!$E$4="",'Data Entry'!$C4505&lt;='Visual SPC'!$E$4),OR('Visual SPC'!$G$4="",'Data Entry'!$D4505='Visual SPC'!$G$4),OR('Visual SPC'!$I$4="",'Data Entry'!$E4505='Visual SPC'!$I$4),OR('Visual SPC'!$K$4="",'Data Entry'!$F4505='Visual SPC'!$K$4)),1,0))</f>
        <v/>
      </c>
      <c r="C4505">
        <f>C4504+B4505</f>
        <v/>
      </c>
      <c r="D4505">
        <f>IF(B4505=1,INDEX('Data Entry'!$H$5:$BE$10004,4505-4,'Visual SPC'!$B$3),"")</f>
        <v/>
      </c>
      <c r="E4505">
        <f>IF(B4505=1,D4505,E4504)</f>
        <v/>
      </c>
      <c r="F4505">
        <f>IF(AND(B4505=1,C4505&gt;1,E4504&lt;&gt;""),ABS(D4505-E4504),"")</f>
        <v/>
      </c>
    </row>
    <row r="4506">
      <c r="A4506" t="n">
        <v>4506</v>
      </c>
      <c r="B4506">
        <f>IF(INDEX('Data Entry'!$H$5:$BE$10004,4506-4,'Visual SPC'!$B$3)="",0,IF(AND(OR('Visual SPC'!$C$4="",'Data Entry'!$C4506&gt;='Visual SPC'!$C$4),OR('Visual SPC'!$E$4="",'Data Entry'!$C4506&lt;='Visual SPC'!$E$4),OR('Visual SPC'!$G$4="",'Data Entry'!$D4506='Visual SPC'!$G$4),OR('Visual SPC'!$I$4="",'Data Entry'!$E4506='Visual SPC'!$I$4),OR('Visual SPC'!$K$4="",'Data Entry'!$F4506='Visual SPC'!$K$4)),1,0))</f>
        <v/>
      </c>
      <c r="C4506">
        <f>C4505+B4506</f>
        <v/>
      </c>
      <c r="D4506">
        <f>IF(B4506=1,INDEX('Data Entry'!$H$5:$BE$10004,4506-4,'Visual SPC'!$B$3),"")</f>
        <v/>
      </c>
      <c r="E4506">
        <f>IF(B4506=1,D4506,E4505)</f>
        <v/>
      </c>
      <c r="F4506">
        <f>IF(AND(B4506=1,C4506&gt;1,E4505&lt;&gt;""),ABS(D4506-E4505),"")</f>
        <v/>
      </c>
    </row>
    <row r="4507">
      <c r="A4507" t="n">
        <v>4507</v>
      </c>
      <c r="B4507">
        <f>IF(INDEX('Data Entry'!$H$5:$BE$10004,4507-4,'Visual SPC'!$B$3)="",0,IF(AND(OR('Visual SPC'!$C$4="",'Data Entry'!$C4507&gt;='Visual SPC'!$C$4),OR('Visual SPC'!$E$4="",'Data Entry'!$C4507&lt;='Visual SPC'!$E$4),OR('Visual SPC'!$G$4="",'Data Entry'!$D4507='Visual SPC'!$G$4),OR('Visual SPC'!$I$4="",'Data Entry'!$E4507='Visual SPC'!$I$4),OR('Visual SPC'!$K$4="",'Data Entry'!$F4507='Visual SPC'!$K$4)),1,0))</f>
        <v/>
      </c>
      <c r="C4507">
        <f>C4506+B4507</f>
        <v/>
      </c>
      <c r="D4507">
        <f>IF(B4507=1,INDEX('Data Entry'!$H$5:$BE$10004,4507-4,'Visual SPC'!$B$3),"")</f>
        <v/>
      </c>
      <c r="E4507">
        <f>IF(B4507=1,D4507,E4506)</f>
        <v/>
      </c>
      <c r="F4507">
        <f>IF(AND(B4507=1,C4507&gt;1,E4506&lt;&gt;""),ABS(D4507-E4506),"")</f>
        <v/>
      </c>
    </row>
    <row r="4508">
      <c r="A4508" t="n">
        <v>4508</v>
      </c>
      <c r="B4508">
        <f>IF(INDEX('Data Entry'!$H$5:$BE$10004,4508-4,'Visual SPC'!$B$3)="",0,IF(AND(OR('Visual SPC'!$C$4="",'Data Entry'!$C4508&gt;='Visual SPC'!$C$4),OR('Visual SPC'!$E$4="",'Data Entry'!$C4508&lt;='Visual SPC'!$E$4),OR('Visual SPC'!$G$4="",'Data Entry'!$D4508='Visual SPC'!$G$4),OR('Visual SPC'!$I$4="",'Data Entry'!$E4508='Visual SPC'!$I$4),OR('Visual SPC'!$K$4="",'Data Entry'!$F4508='Visual SPC'!$K$4)),1,0))</f>
        <v/>
      </c>
      <c r="C4508">
        <f>C4507+B4508</f>
        <v/>
      </c>
      <c r="D4508">
        <f>IF(B4508=1,INDEX('Data Entry'!$H$5:$BE$10004,4508-4,'Visual SPC'!$B$3),"")</f>
        <v/>
      </c>
      <c r="E4508">
        <f>IF(B4508=1,D4508,E4507)</f>
        <v/>
      </c>
      <c r="F4508">
        <f>IF(AND(B4508=1,C4508&gt;1,E4507&lt;&gt;""),ABS(D4508-E4507),"")</f>
        <v/>
      </c>
    </row>
    <row r="4509">
      <c r="A4509" t="n">
        <v>4509</v>
      </c>
      <c r="B4509">
        <f>IF(INDEX('Data Entry'!$H$5:$BE$10004,4509-4,'Visual SPC'!$B$3)="",0,IF(AND(OR('Visual SPC'!$C$4="",'Data Entry'!$C4509&gt;='Visual SPC'!$C$4),OR('Visual SPC'!$E$4="",'Data Entry'!$C4509&lt;='Visual SPC'!$E$4),OR('Visual SPC'!$G$4="",'Data Entry'!$D4509='Visual SPC'!$G$4),OR('Visual SPC'!$I$4="",'Data Entry'!$E4509='Visual SPC'!$I$4),OR('Visual SPC'!$K$4="",'Data Entry'!$F4509='Visual SPC'!$K$4)),1,0))</f>
        <v/>
      </c>
      <c r="C4509">
        <f>C4508+B4509</f>
        <v/>
      </c>
      <c r="D4509">
        <f>IF(B4509=1,INDEX('Data Entry'!$H$5:$BE$10004,4509-4,'Visual SPC'!$B$3),"")</f>
        <v/>
      </c>
      <c r="E4509">
        <f>IF(B4509=1,D4509,E4508)</f>
        <v/>
      </c>
      <c r="F4509">
        <f>IF(AND(B4509=1,C4509&gt;1,E4508&lt;&gt;""),ABS(D4509-E4508),"")</f>
        <v/>
      </c>
    </row>
    <row r="4510">
      <c r="A4510" t="n">
        <v>4510</v>
      </c>
      <c r="B4510">
        <f>IF(INDEX('Data Entry'!$H$5:$BE$10004,4510-4,'Visual SPC'!$B$3)="",0,IF(AND(OR('Visual SPC'!$C$4="",'Data Entry'!$C4510&gt;='Visual SPC'!$C$4),OR('Visual SPC'!$E$4="",'Data Entry'!$C4510&lt;='Visual SPC'!$E$4),OR('Visual SPC'!$G$4="",'Data Entry'!$D4510='Visual SPC'!$G$4),OR('Visual SPC'!$I$4="",'Data Entry'!$E4510='Visual SPC'!$I$4),OR('Visual SPC'!$K$4="",'Data Entry'!$F4510='Visual SPC'!$K$4)),1,0))</f>
        <v/>
      </c>
      <c r="C4510">
        <f>C4509+B4510</f>
        <v/>
      </c>
      <c r="D4510">
        <f>IF(B4510=1,INDEX('Data Entry'!$H$5:$BE$10004,4510-4,'Visual SPC'!$B$3),"")</f>
        <v/>
      </c>
      <c r="E4510">
        <f>IF(B4510=1,D4510,E4509)</f>
        <v/>
      </c>
      <c r="F4510">
        <f>IF(AND(B4510=1,C4510&gt;1,E4509&lt;&gt;""),ABS(D4510-E4509),"")</f>
        <v/>
      </c>
    </row>
    <row r="4511">
      <c r="A4511" t="n">
        <v>4511</v>
      </c>
      <c r="B4511">
        <f>IF(INDEX('Data Entry'!$H$5:$BE$10004,4511-4,'Visual SPC'!$B$3)="",0,IF(AND(OR('Visual SPC'!$C$4="",'Data Entry'!$C4511&gt;='Visual SPC'!$C$4),OR('Visual SPC'!$E$4="",'Data Entry'!$C4511&lt;='Visual SPC'!$E$4),OR('Visual SPC'!$G$4="",'Data Entry'!$D4511='Visual SPC'!$G$4),OR('Visual SPC'!$I$4="",'Data Entry'!$E4511='Visual SPC'!$I$4),OR('Visual SPC'!$K$4="",'Data Entry'!$F4511='Visual SPC'!$K$4)),1,0))</f>
        <v/>
      </c>
      <c r="C4511">
        <f>C4510+B4511</f>
        <v/>
      </c>
      <c r="D4511">
        <f>IF(B4511=1,INDEX('Data Entry'!$H$5:$BE$10004,4511-4,'Visual SPC'!$B$3),"")</f>
        <v/>
      </c>
      <c r="E4511">
        <f>IF(B4511=1,D4511,E4510)</f>
        <v/>
      </c>
      <c r="F4511">
        <f>IF(AND(B4511=1,C4511&gt;1,E4510&lt;&gt;""),ABS(D4511-E4510),"")</f>
        <v/>
      </c>
    </row>
    <row r="4512">
      <c r="A4512" t="n">
        <v>4512</v>
      </c>
      <c r="B4512">
        <f>IF(INDEX('Data Entry'!$H$5:$BE$10004,4512-4,'Visual SPC'!$B$3)="",0,IF(AND(OR('Visual SPC'!$C$4="",'Data Entry'!$C4512&gt;='Visual SPC'!$C$4),OR('Visual SPC'!$E$4="",'Data Entry'!$C4512&lt;='Visual SPC'!$E$4),OR('Visual SPC'!$G$4="",'Data Entry'!$D4512='Visual SPC'!$G$4),OR('Visual SPC'!$I$4="",'Data Entry'!$E4512='Visual SPC'!$I$4),OR('Visual SPC'!$K$4="",'Data Entry'!$F4512='Visual SPC'!$K$4)),1,0))</f>
        <v/>
      </c>
      <c r="C4512">
        <f>C4511+B4512</f>
        <v/>
      </c>
      <c r="D4512">
        <f>IF(B4512=1,INDEX('Data Entry'!$H$5:$BE$10004,4512-4,'Visual SPC'!$B$3),"")</f>
        <v/>
      </c>
      <c r="E4512">
        <f>IF(B4512=1,D4512,E4511)</f>
        <v/>
      </c>
      <c r="F4512">
        <f>IF(AND(B4512=1,C4512&gt;1,E4511&lt;&gt;""),ABS(D4512-E4511),"")</f>
        <v/>
      </c>
    </row>
    <row r="4513">
      <c r="A4513" t="n">
        <v>4513</v>
      </c>
      <c r="B4513">
        <f>IF(INDEX('Data Entry'!$H$5:$BE$10004,4513-4,'Visual SPC'!$B$3)="",0,IF(AND(OR('Visual SPC'!$C$4="",'Data Entry'!$C4513&gt;='Visual SPC'!$C$4),OR('Visual SPC'!$E$4="",'Data Entry'!$C4513&lt;='Visual SPC'!$E$4),OR('Visual SPC'!$G$4="",'Data Entry'!$D4513='Visual SPC'!$G$4),OR('Visual SPC'!$I$4="",'Data Entry'!$E4513='Visual SPC'!$I$4),OR('Visual SPC'!$K$4="",'Data Entry'!$F4513='Visual SPC'!$K$4)),1,0))</f>
        <v/>
      </c>
      <c r="C4513">
        <f>C4512+B4513</f>
        <v/>
      </c>
      <c r="D4513">
        <f>IF(B4513=1,INDEX('Data Entry'!$H$5:$BE$10004,4513-4,'Visual SPC'!$B$3),"")</f>
        <v/>
      </c>
      <c r="E4513">
        <f>IF(B4513=1,D4513,E4512)</f>
        <v/>
      </c>
      <c r="F4513">
        <f>IF(AND(B4513=1,C4513&gt;1,E4512&lt;&gt;""),ABS(D4513-E4512),"")</f>
        <v/>
      </c>
    </row>
    <row r="4514">
      <c r="A4514" t="n">
        <v>4514</v>
      </c>
      <c r="B4514">
        <f>IF(INDEX('Data Entry'!$H$5:$BE$10004,4514-4,'Visual SPC'!$B$3)="",0,IF(AND(OR('Visual SPC'!$C$4="",'Data Entry'!$C4514&gt;='Visual SPC'!$C$4),OR('Visual SPC'!$E$4="",'Data Entry'!$C4514&lt;='Visual SPC'!$E$4),OR('Visual SPC'!$G$4="",'Data Entry'!$D4514='Visual SPC'!$G$4),OR('Visual SPC'!$I$4="",'Data Entry'!$E4514='Visual SPC'!$I$4),OR('Visual SPC'!$K$4="",'Data Entry'!$F4514='Visual SPC'!$K$4)),1,0))</f>
        <v/>
      </c>
      <c r="C4514">
        <f>C4513+B4514</f>
        <v/>
      </c>
      <c r="D4514">
        <f>IF(B4514=1,INDEX('Data Entry'!$H$5:$BE$10004,4514-4,'Visual SPC'!$B$3),"")</f>
        <v/>
      </c>
      <c r="E4514">
        <f>IF(B4514=1,D4514,E4513)</f>
        <v/>
      </c>
      <c r="F4514">
        <f>IF(AND(B4514=1,C4514&gt;1,E4513&lt;&gt;""),ABS(D4514-E4513),"")</f>
        <v/>
      </c>
    </row>
    <row r="4515">
      <c r="A4515" t="n">
        <v>4515</v>
      </c>
      <c r="B4515">
        <f>IF(INDEX('Data Entry'!$H$5:$BE$10004,4515-4,'Visual SPC'!$B$3)="",0,IF(AND(OR('Visual SPC'!$C$4="",'Data Entry'!$C4515&gt;='Visual SPC'!$C$4),OR('Visual SPC'!$E$4="",'Data Entry'!$C4515&lt;='Visual SPC'!$E$4),OR('Visual SPC'!$G$4="",'Data Entry'!$D4515='Visual SPC'!$G$4),OR('Visual SPC'!$I$4="",'Data Entry'!$E4515='Visual SPC'!$I$4),OR('Visual SPC'!$K$4="",'Data Entry'!$F4515='Visual SPC'!$K$4)),1,0))</f>
        <v/>
      </c>
      <c r="C4515">
        <f>C4514+B4515</f>
        <v/>
      </c>
      <c r="D4515">
        <f>IF(B4515=1,INDEX('Data Entry'!$H$5:$BE$10004,4515-4,'Visual SPC'!$B$3),"")</f>
        <v/>
      </c>
      <c r="E4515">
        <f>IF(B4515=1,D4515,E4514)</f>
        <v/>
      </c>
      <c r="F4515">
        <f>IF(AND(B4515=1,C4515&gt;1,E4514&lt;&gt;""),ABS(D4515-E4514),"")</f>
        <v/>
      </c>
    </row>
    <row r="4516">
      <c r="A4516" t="n">
        <v>4516</v>
      </c>
      <c r="B4516">
        <f>IF(INDEX('Data Entry'!$H$5:$BE$10004,4516-4,'Visual SPC'!$B$3)="",0,IF(AND(OR('Visual SPC'!$C$4="",'Data Entry'!$C4516&gt;='Visual SPC'!$C$4),OR('Visual SPC'!$E$4="",'Data Entry'!$C4516&lt;='Visual SPC'!$E$4),OR('Visual SPC'!$G$4="",'Data Entry'!$D4516='Visual SPC'!$G$4),OR('Visual SPC'!$I$4="",'Data Entry'!$E4516='Visual SPC'!$I$4),OR('Visual SPC'!$K$4="",'Data Entry'!$F4516='Visual SPC'!$K$4)),1,0))</f>
        <v/>
      </c>
      <c r="C4516">
        <f>C4515+B4516</f>
        <v/>
      </c>
      <c r="D4516">
        <f>IF(B4516=1,INDEX('Data Entry'!$H$5:$BE$10004,4516-4,'Visual SPC'!$B$3),"")</f>
        <v/>
      </c>
      <c r="E4516">
        <f>IF(B4516=1,D4516,E4515)</f>
        <v/>
      </c>
      <c r="F4516">
        <f>IF(AND(B4516=1,C4516&gt;1,E4515&lt;&gt;""),ABS(D4516-E4515),"")</f>
        <v/>
      </c>
    </row>
    <row r="4517">
      <c r="A4517" t="n">
        <v>4517</v>
      </c>
      <c r="B4517">
        <f>IF(INDEX('Data Entry'!$H$5:$BE$10004,4517-4,'Visual SPC'!$B$3)="",0,IF(AND(OR('Visual SPC'!$C$4="",'Data Entry'!$C4517&gt;='Visual SPC'!$C$4),OR('Visual SPC'!$E$4="",'Data Entry'!$C4517&lt;='Visual SPC'!$E$4),OR('Visual SPC'!$G$4="",'Data Entry'!$D4517='Visual SPC'!$G$4),OR('Visual SPC'!$I$4="",'Data Entry'!$E4517='Visual SPC'!$I$4),OR('Visual SPC'!$K$4="",'Data Entry'!$F4517='Visual SPC'!$K$4)),1,0))</f>
        <v/>
      </c>
      <c r="C4517">
        <f>C4516+B4517</f>
        <v/>
      </c>
      <c r="D4517">
        <f>IF(B4517=1,INDEX('Data Entry'!$H$5:$BE$10004,4517-4,'Visual SPC'!$B$3),"")</f>
        <v/>
      </c>
      <c r="E4517">
        <f>IF(B4517=1,D4517,E4516)</f>
        <v/>
      </c>
      <c r="F4517">
        <f>IF(AND(B4517=1,C4517&gt;1,E4516&lt;&gt;""),ABS(D4517-E4516),"")</f>
        <v/>
      </c>
    </row>
    <row r="4518">
      <c r="A4518" t="n">
        <v>4518</v>
      </c>
      <c r="B4518">
        <f>IF(INDEX('Data Entry'!$H$5:$BE$10004,4518-4,'Visual SPC'!$B$3)="",0,IF(AND(OR('Visual SPC'!$C$4="",'Data Entry'!$C4518&gt;='Visual SPC'!$C$4),OR('Visual SPC'!$E$4="",'Data Entry'!$C4518&lt;='Visual SPC'!$E$4),OR('Visual SPC'!$G$4="",'Data Entry'!$D4518='Visual SPC'!$G$4),OR('Visual SPC'!$I$4="",'Data Entry'!$E4518='Visual SPC'!$I$4),OR('Visual SPC'!$K$4="",'Data Entry'!$F4518='Visual SPC'!$K$4)),1,0))</f>
        <v/>
      </c>
      <c r="C4518">
        <f>C4517+B4518</f>
        <v/>
      </c>
      <c r="D4518">
        <f>IF(B4518=1,INDEX('Data Entry'!$H$5:$BE$10004,4518-4,'Visual SPC'!$B$3),"")</f>
        <v/>
      </c>
      <c r="E4518">
        <f>IF(B4518=1,D4518,E4517)</f>
        <v/>
      </c>
      <c r="F4518">
        <f>IF(AND(B4518=1,C4518&gt;1,E4517&lt;&gt;""),ABS(D4518-E4517),"")</f>
        <v/>
      </c>
    </row>
    <row r="4519">
      <c r="A4519" t="n">
        <v>4519</v>
      </c>
      <c r="B4519">
        <f>IF(INDEX('Data Entry'!$H$5:$BE$10004,4519-4,'Visual SPC'!$B$3)="",0,IF(AND(OR('Visual SPC'!$C$4="",'Data Entry'!$C4519&gt;='Visual SPC'!$C$4),OR('Visual SPC'!$E$4="",'Data Entry'!$C4519&lt;='Visual SPC'!$E$4),OR('Visual SPC'!$G$4="",'Data Entry'!$D4519='Visual SPC'!$G$4),OR('Visual SPC'!$I$4="",'Data Entry'!$E4519='Visual SPC'!$I$4),OR('Visual SPC'!$K$4="",'Data Entry'!$F4519='Visual SPC'!$K$4)),1,0))</f>
        <v/>
      </c>
      <c r="C4519">
        <f>C4518+B4519</f>
        <v/>
      </c>
      <c r="D4519">
        <f>IF(B4519=1,INDEX('Data Entry'!$H$5:$BE$10004,4519-4,'Visual SPC'!$B$3),"")</f>
        <v/>
      </c>
      <c r="E4519">
        <f>IF(B4519=1,D4519,E4518)</f>
        <v/>
      </c>
      <c r="F4519">
        <f>IF(AND(B4519=1,C4519&gt;1,E4518&lt;&gt;""),ABS(D4519-E4518),"")</f>
        <v/>
      </c>
    </row>
    <row r="4520">
      <c r="A4520" t="n">
        <v>4520</v>
      </c>
      <c r="B4520">
        <f>IF(INDEX('Data Entry'!$H$5:$BE$10004,4520-4,'Visual SPC'!$B$3)="",0,IF(AND(OR('Visual SPC'!$C$4="",'Data Entry'!$C4520&gt;='Visual SPC'!$C$4),OR('Visual SPC'!$E$4="",'Data Entry'!$C4520&lt;='Visual SPC'!$E$4),OR('Visual SPC'!$G$4="",'Data Entry'!$D4520='Visual SPC'!$G$4),OR('Visual SPC'!$I$4="",'Data Entry'!$E4520='Visual SPC'!$I$4),OR('Visual SPC'!$K$4="",'Data Entry'!$F4520='Visual SPC'!$K$4)),1,0))</f>
        <v/>
      </c>
      <c r="C4520">
        <f>C4519+B4520</f>
        <v/>
      </c>
      <c r="D4520">
        <f>IF(B4520=1,INDEX('Data Entry'!$H$5:$BE$10004,4520-4,'Visual SPC'!$B$3),"")</f>
        <v/>
      </c>
      <c r="E4520">
        <f>IF(B4520=1,D4520,E4519)</f>
        <v/>
      </c>
      <c r="F4520">
        <f>IF(AND(B4520=1,C4520&gt;1,E4519&lt;&gt;""),ABS(D4520-E4519),"")</f>
        <v/>
      </c>
    </row>
    <row r="4521">
      <c r="A4521" t="n">
        <v>4521</v>
      </c>
      <c r="B4521">
        <f>IF(INDEX('Data Entry'!$H$5:$BE$10004,4521-4,'Visual SPC'!$B$3)="",0,IF(AND(OR('Visual SPC'!$C$4="",'Data Entry'!$C4521&gt;='Visual SPC'!$C$4),OR('Visual SPC'!$E$4="",'Data Entry'!$C4521&lt;='Visual SPC'!$E$4),OR('Visual SPC'!$G$4="",'Data Entry'!$D4521='Visual SPC'!$G$4),OR('Visual SPC'!$I$4="",'Data Entry'!$E4521='Visual SPC'!$I$4),OR('Visual SPC'!$K$4="",'Data Entry'!$F4521='Visual SPC'!$K$4)),1,0))</f>
        <v/>
      </c>
      <c r="C4521">
        <f>C4520+B4521</f>
        <v/>
      </c>
      <c r="D4521">
        <f>IF(B4521=1,INDEX('Data Entry'!$H$5:$BE$10004,4521-4,'Visual SPC'!$B$3),"")</f>
        <v/>
      </c>
      <c r="E4521">
        <f>IF(B4521=1,D4521,E4520)</f>
        <v/>
      </c>
      <c r="F4521">
        <f>IF(AND(B4521=1,C4521&gt;1,E4520&lt;&gt;""),ABS(D4521-E4520),"")</f>
        <v/>
      </c>
    </row>
    <row r="4522">
      <c r="A4522" t="n">
        <v>4522</v>
      </c>
      <c r="B4522">
        <f>IF(INDEX('Data Entry'!$H$5:$BE$10004,4522-4,'Visual SPC'!$B$3)="",0,IF(AND(OR('Visual SPC'!$C$4="",'Data Entry'!$C4522&gt;='Visual SPC'!$C$4),OR('Visual SPC'!$E$4="",'Data Entry'!$C4522&lt;='Visual SPC'!$E$4),OR('Visual SPC'!$G$4="",'Data Entry'!$D4522='Visual SPC'!$G$4),OR('Visual SPC'!$I$4="",'Data Entry'!$E4522='Visual SPC'!$I$4),OR('Visual SPC'!$K$4="",'Data Entry'!$F4522='Visual SPC'!$K$4)),1,0))</f>
        <v/>
      </c>
      <c r="C4522">
        <f>C4521+B4522</f>
        <v/>
      </c>
      <c r="D4522">
        <f>IF(B4522=1,INDEX('Data Entry'!$H$5:$BE$10004,4522-4,'Visual SPC'!$B$3),"")</f>
        <v/>
      </c>
      <c r="E4522">
        <f>IF(B4522=1,D4522,E4521)</f>
        <v/>
      </c>
      <c r="F4522">
        <f>IF(AND(B4522=1,C4522&gt;1,E4521&lt;&gt;""),ABS(D4522-E4521),"")</f>
        <v/>
      </c>
    </row>
    <row r="4523">
      <c r="A4523" t="n">
        <v>4523</v>
      </c>
      <c r="B4523">
        <f>IF(INDEX('Data Entry'!$H$5:$BE$10004,4523-4,'Visual SPC'!$B$3)="",0,IF(AND(OR('Visual SPC'!$C$4="",'Data Entry'!$C4523&gt;='Visual SPC'!$C$4),OR('Visual SPC'!$E$4="",'Data Entry'!$C4523&lt;='Visual SPC'!$E$4),OR('Visual SPC'!$G$4="",'Data Entry'!$D4523='Visual SPC'!$G$4),OR('Visual SPC'!$I$4="",'Data Entry'!$E4523='Visual SPC'!$I$4),OR('Visual SPC'!$K$4="",'Data Entry'!$F4523='Visual SPC'!$K$4)),1,0))</f>
        <v/>
      </c>
      <c r="C4523">
        <f>C4522+B4523</f>
        <v/>
      </c>
      <c r="D4523">
        <f>IF(B4523=1,INDEX('Data Entry'!$H$5:$BE$10004,4523-4,'Visual SPC'!$B$3),"")</f>
        <v/>
      </c>
      <c r="E4523">
        <f>IF(B4523=1,D4523,E4522)</f>
        <v/>
      </c>
      <c r="F4523">
        <f>IF(AND(B4523=1,C4523&gt;1,E4522&lt;&gt;""),ABS(D4523-E4522),"")</f>
        <v/>
      </c>
    </row>
    <row r="4524">
      <c r="A4524" t="n">
        <v>4524</v>
      </c>
      <c r="B4524">
        <f>IF(INDEX('Data Entry'!$H$5:$BE$10004,4524-4,'Visual SPC'!$B$3)="",0,IF(AND(OR('Visual SPC'!$C$4="",'Data Entry'!$C4524&gt;='Visual SPC'!$C$4),OR('Visual SPC'!$E$4="",'Data Entry'!$C4524&lt;='Visual SPC'!$E$4),OR('Visual SPC'!$G$4="",'Data Entry'!$D4524='Visual SPC'!$G$4),OR('Visual SPC'!$I$4="",'Data Entry'!$E4524='Visual SPC'!$I$4),OR('Visual SPC'!$K$4="",'Data Entry'!$F4524='Visual SPC'!$K$4)),1,0))</f>
        <v/>
      </c>
      <c r="C4524">
        <f>C4523+B4524</f>
        <v/>
      </c>
      <c r="D4524">
        <f>IF(B4524=1,INDEX('Data Entry'!$H$5:$BE$10004,4524-4,'Visual SPC'!$B$3),"")</f>
        <v/>
      </c>
      <c r="E4524">
        <f>IF(B4524=1,D4524,E4523)</f>
        <v/>
      </c>
      <c r="F4524">
        <f>IF(AND(B4524=1,C4524&gt;1,E4523&lt;&gt;""),ABS(D4524-E4523),"")</f>
        <v/>
      </c>
    </row>
    <row r="4525">
      <c r="A4525" t="n">
        <v>4525</v>
      </c>
      <c r="B4525">
        <f>IF(INDEX('Data Entry'!$H$5:$BE$10004,4525-4,'Visual SPC'!$B$3)="",0,IF(AND(OR('Visual SPC'!$C$4="",'Data Entry'!$C4525&gt;='Visual SPC'!$C$4),OR('Visual SPC'!$E$4="",'Data Entry'!$C4525&lt;='Visual SPC'!$E$4),OR('Visual SPC'!$G$4="",'Data Entry'!$D4525='Visual SPC'!$G$4),OR('Visual SPC'!$I$4="",'Data Entry'!$E4525='Visual SPC'!$I$4),OR('Visual SPC'!$K$4="",'Data Entry'!$F4525='Visual SPC'!$K$4)),1,0))</f>
        <v/>
      </c>
      <c r="C4525">
        <f>C4524+B4525</f>
        <v/>
      </c>
      <c r="D4525">
        <f>IF(B4525=1,INDEX('Data Entry'!$H$5:$BE$10004,4525-4,'Visual SPC'!$B$3),"")</f>
        <v/>
      </c>
      <c r="E4525">
        <f>IF(B4525=1,D4525,E4524)</f>
        <v/>
      </c>
      <c r="F4525">
        <f>IF(AND(B4525=1,C4525&gt;1,E4524&lt;&gt;""),ABS(D4525-E4524),"")</f>
        <v/>
      </c>
    </row>
    <row r="4526">
      <c r="A4526" t="n">
        <v>4526</v>
      </c>
      <c r="B4526">
        <f>IF(INDEX('Data Entry'!$H$5:$BE$10004,4526-4,'Visual SPC'!$B$3)="",0,IF(AND(OR('Visual SPC'!$C$4="",'Data Entry'!$C4526&gt;='Visual SPC'!$C$4),OR('Visual SPC'!$E$4="",'Data Entry'!$C4526&lt;='Visual SPC'!$E$4),OR('Visual SPC'!$G$4="",'Data Entry'!$D4526='Visual SPC'!$G$4),OR('Visual SPC'!$I$4="",'Data Entry'!$E4526='Visual SPC'!$I$4),OR('Visual SPC'!$K$4="",'Data Entry'!$F4526='Visual SPC'!$K$4)),1,0))</f>
        <v/>
      </c>
      <c r="C4526">
        <f>C4525+B4526</f>
        <v/>
      </c>
      <c r="D4526">
        <f>IF(B4526=1,INDEX('Data Entry'!$H$5:$BE$10004,4526-4,'Visual SPC'!$B$3),"")</f>
        <v/>
      </c>
      <c r="E4526">
        <f>IF(B4526=1,D4526,E4525)</f>
        <v/>
      </c>
      <c r="F4526">
        <f>IF(AND(B4526=1,C4526&gt;1,E4525&lt;&gt;""),ABS(D4526-E4525),"")</f>
        <v/>
      </c>
    </row>
    <row r="4527">
      <c r="A4527" t="n">
        <v>4527</v>
      </c>
      <c r="B4527">
        <f>IF(INDEX('Data Entry'!$H$5:$BE$10004,4527-4,'Visual SPC'!$B$3)="",0,IF(AND(OR('Visual SPC'!$C$4="",'Data Entry'!$C4527&gt;='Visual SPC'!$C$4),OR('Visual SPC'!$E$4="",'Data Entry'!$C4527&lt;='Visual SPC'!$E$4),OR('Visual SPC'!$G$4="",'Data Entry'!$D4527='Visual SPC'!$G$4),OR('Visual SPC'!$I$4="",'Data Entry'!$E4527='Visual SPC'!$I$4),OR('Visual SPC'!$K$4="",'Data Entry'!$F4527='Visual SPC'!$K$4)),1,0))</f>
        <v/>
      </c>
      <c r="C4527">
        <f>C4526+B4527</f>
        <v/>
      </c>
      <c r="D4527">
        <f>IF(B4527=1,INDEX('Data Entry'!$H$5:$BE$10004,4527-4,'Visual SPC'!$B$3),"")</f>
        <v/>
      </c>
      <c r="E4527">
        <f>IF(B4527=1,D4527,E4526)</f>
        <v/>
      </c>
      <c r="F4527">
        <f>IF(AND(B4527=1,C4527&gt;1,E4526&lt;&gt;""),ABS(D4527-E4526),"")</f>
        <v/>
      </c>
    </row>
    <row r="4528">
      <c r="A4528" t="n">
        <v>4528</v>
      </c>
      <c r="B4528">
        <f>IF(INDEX('Data Entry'!$H$5:$BE$10004,4528-4,'Visual SPC'!$B$3)="",0,IF(AND(OR('Visual SPC'!$C$4="",'Data Entry'!$C4528&gt;='Visual SPC'!$C$4),OR('Visual SPC'!$E$4="",'Data Entry'!$C4528&lt;='Visual SPC'!$E$4),OR('Visual SPC'!$G$4="",'Data Entry'!$D4528='Visual SPC'!$G$4),OR('Visual SPC'!$I$4="",'Data Entry'!$E4528='Visual SPC'!$I$4),OR('Visual SPC'!$K$4="",'Data Entry'!$F4528='Visual SPC'!$K$4)),1,0))</f>
        <v/>
      </c>
      <c r="C4528">
        <f>C4527+B4528</f>
        <v/>
      </c>
      <c r="D4528">
        <f>IF(B4528=1,INDEX('Data Entry'!$H$5:$BE$10004,4528-4,'Visual SPC'!$B$3),"")</f>
        <v/>
      </c>
      <c r="E4528">
        <f>IF(B4528=1,D4528,E4527)</f>
        <v/>
      </c>
      <c r="F4528">
        <f>IF(AND(B4528=1,C4528&gt;1,E4527&lt;&gt;""),ABS(D4528-E4527),"")</f>
        <v/>
      </c>
    </row>
    <row r="4529">
      <c r="A4529" t="n">
        <v>4529</v>
      </c>
      <c r="B4529">
        <f>IF(INDEX('Data Entry'!$H$5:$BE$10004,4529-4,'Visual SPC'!$B$3)="",0,IF(AND(OR('Visual SPC'!$C$4="",'Data Entry'!$C4529&gt;='Visual SPC'!$C$4),OR('Visual SPC'!$E$4="",'Data Entry'!$C4529&lt;='Visual SPC'!$E$4),OR('Visual SPC'!$G$4="",'Data Entry'!$D4529='Visual SPC'!$G$4),OR('Visual SPC'!$I$4="",'Data Entry'!$E4529='Visual SPC'!$I$4),OR('Visual SPC'!$K$4="",'Data Entry'!$F4529='Visual SPC'!$K$4)),1,0))</f>
        <v/>
      </c>
      <c r="C4529">
        <f>C4528+B4529</f>
        <v/>
      </c>
      <c r="D4529">
        <f>IF(B4529=1,INDEX('Data Entry'!$H$5:$BE$10004,4529-4,'Visual SPC'!$B$3),"")</f>
        <v/>
      </c>
      <c r="E4529">
        <f>IF(B4529=1,D4529,E4528)</f>
        <v/>
      </c>
      <c r="F4529">
        <f>IF(AND(B4529=1,C4529&gt;1,E4528&lt;&gt;""),ABS(D4529-E4528),"")</f>
        <v/>
      </c>
    </row>
    <row r="4530">
      <c r="A4530" t="n">
        <v>4530</v>
      </c>
      <c r="B4530">
        <f>IF(INDEX('Data Entry'!$H$5:$BE$10004,4530-4,'Visual SPC'!$B$3)="",0,IF(AND(OR('Visual SPC'!$C$4="",'Data Entry'!$C4530&gt;='Visual SPC'!$C$4),OR('Visual SPC'!$E$4="",'Data Entry'!$C4530&lt;='Visual SPC'!$E$4),OR('Visual SPC'!$G$4="",'Data Entry'!$D4530='Visual SPC'!$G$4),OR('Visual SPC'!$I$4="",'Data Entry'!$E4530='Visual SPC'!$I$4),OR('Visual SPC'!$K$4="",'Data Entry'!$F4530='Visual SPC'!$K$4)),1,0))</f>
        <v/>
      </c>
      <c r="C4530">
        <f>C4529+B4530</f>
        <v/>
      </c>
      <c r="D4530">
        <f>IF(B4530=1,INDEX('Data Entry'!$H$5:$BE$10004,4530-4,'Visual SPC'!$B$3),"")</f>
        <v/>
      </c>
      <c r="E4530">
        <f>IF(B4530=1,D4530,E4529)</f>
        <v/>
      </c>
      <c r="F4530">
        <f>IF(AND(B4530=1,C4530&gt;1,E4529&lt;&gt;""),ABS(D4530-E4529),"")</f>
        <v/>
      </c>
    </row>
    <row r="4531">
      <c r="A4531" t="n">
        <v>4531</v>
      </c>
      <c r="B4531">
        <f>IF(INDEX('Data Entry'!$H$5:$BE$10004,4531-4,'Visual SPC'!$B$3)="",0,IF(AND(OR('Visual SPC'!$C$4="",'Data Entry'!$C4531&gt;='Visual SPC'!$C$4),OR('Visual SPC'!$E$4="",'Data Entry'!$C4531&lt;='Visual SPC'!$E$4),OR('Visual SPC'!$G$4="",'Data Entry'!$D4531='Visual SPC'!$G$4),OR('Visual SPC'!$I$4="",'Data Entry'!$E4531='Visual SPC'!$I$4),OR('Visual SPC'!$K$4="",'Data Entry'!$F4531='Visual SPC'!$K$4)),1,0))</f>
        <v/>
      </c>
      <c r="C4531">
        <f>C4530+B4531</f>
        <v/>
      </c>
      <c r="D4531">
        <f>IF(B4531=1,INDEX('Data Entry'!$H$5:$BE$10004,4531-4,'Visual SPC'!$B$3),"")</f>
        <v/>
      </c>
      <c r="E4531">
        <f>IF(B4531=1,D4531,E4530)</f>
        <v/>
      </c>
      <c r="F4531">
        <f>IF(AND(B4531=1,C4531&gt;1,E4530&lt;&gt;""),ABS(D4531-E4530),"")</f>
        <v/>
      </c>
    </row>
    <row r="4532">
      <c r="A4532" t="n">
        <v>4532</v>
      </c>
      <c r="B4532">
        <f>IF(INDEX('Data Entry'!$H$5:$BE$10004,4532-4,'Visual SPC'!$B$3)="",0,IF(AND(OR('Visual SPC'!$C$4="",'Data Entry'!$C4532&gt;='Visual SPC'!$C$4),OR('Visual SPC'!$E$4="",'Data Entry'!$C4532&lt;='Visual SPC'!$E$4),OR('Visual SPC'!$G$4="",'Data Entry'!$D4532='Visual SPC'!$G$4),OR('Visual SPC'!$I$4="",'Data Entry'!$E4532='Visual SPC'!$I$4),OR('Visual SPC'!$K$4="",'Data Entry'!$F4532='Visual SPC'!$K$4)),1,0))</f>
        <v/>
      </c>
      <c r="C4532">
        <f>C4531+B4532</f>
        <v/>
      </c>
      <c r="D4532">
        <f>IF(B4532=1,INDEX('Data Entry'!$H$5:$BE$10004,4532-4,'Visual SPC'!$B$3),"")</f>
        <v/>
      </c>
      <c r="E4532">
        <f>IF(B4532=1,D4532,E4531)</f>
        <v/>
      </c>
      <c r="F4532">
        <f>IF(AND(B4532=1,C4532&gt;1,E4531&lt;&gt;""),ABS(D4532-E4531),"")</f>
        <v/>
      </c>
    </row>
    <row r="4533">
      <c r="A4533" t="n">
        <v>4533</v>
      </c>
      <c r="B4533">
        <f>IF(INDEX('Data Entry'!$H$5:$BE$10004,4533-4,'Visual SPC'!$B$3)="",0,IF(AND(OR('Visual SPC'!$C$4="",'Data Entry'!$C4533&gt;='Visual SPC'!$C$4),OR('Visual SPC'!$E$4="",'Data Entry'!$C4533&lt;='Visual SPC'!$E$4),OR('Visual SPC'!$G$4="",'Data Entry'!$D4533='Visual SPC'!$G$4),OR('Visual SPC'!$I$4="",'Data Entry'!$E4533='Visual SPC'!$I$4),OR('Visual SPC'!$K$4="",'Data Entry'!$F4533='Visual SPC'!$K$4)),1,0))</f>
        <v/>
      </c>
      <c r="C4533">
        <f>C4532+B4533</f>
        <v/>
      </c>
      <c r="D4533">
        <f>IF(B4533=1,INDEX('Data Entry'!$H$5:$BE$10004,4533-4,'Visual SPC'!$B$3),"")</f>
        <v/>
      </c>
      <c r="E4533">
        <f>IF(B4533=1,D4533,E4532)</f>
        <v/>
      </c>
      <c r="F4533">
        <f>IF(AND(B4533=1,C4533&gt;1,E4532&lt;&gt;""),ABS(D4533-E4532),"")</f>
        <v/>
      </c>
    </row>
    <row r="4534">
      <c r="A4534" t="n">
        <v>4534</v>
      </c>
      <c r="B4534">
        <f>IF(INDEX('Data Entry'!$H$5:$BE$10004,4534-4,'Visual SPC'!$B$3)="",0,IF(AND(OR('Visual SPC'!$C$4="",'Data Entry'!$C4534&gt;='Visual SPC'!$C$4),OR('Visual SPC'!$E$4="",'Data Entry'!$C4534&lt;='Visual SPC'!$E$4),OR('Visual SPC'!$G$4="",'Data Entry'!$D4534='Visual SPC'!$G$4),OR('Visual SPC'!$I$4="",'Data Entry'!$E4534='Visual SPC'!$I$4),OR('Visual SPC'!$K$4="",'Data Entry'!$F4534='Visual SPC'!$K$4)),1,0))</f>
        <v/>
      </c>
      <c r="C4534">
        <f>C4533+B4534</f>
        <v/>
      </c>
      <c r="D4534">
        <f>IF(B4534=1,INDEX('Data Entry'!$H$5:$BE$10004,4534-4,'Visual SPC'!$B$3),"")</f>
        <v/>
      </c>
      <c r="E4534">
        <f>IF(B4534=1,D4534,E4533)</f>
        <v/>
      </c>
      <c r="F4534">
        <f>IF(AND(B4534=1,C4534&gt;1,E4533&lt;&gt;""),ABS(D4534-E4533),"")</f>
        <v/>
      </c>
    </row>
    <row r="4535">
      <c r="A4535" t="n">
        <v>4535</v>
      </c>
      <c r="B4535">
        <f>IF(INDEX('Data Entry'!$H$5:$BE$10004,4535-4,'Visual SPC'!$B$3)="",0,IF(AND(OR('Visual SPC'!$C$4="",'Data Entry'!$C4535&gt;='Visual SPC'!$C$4),OR('Visual SPC'!$E$4="",'Data Entry'!$C4535&lt;='Visual SPC'!$E$4),OR('Visual SPC'!$G$4="",'Data Entry'!$D4535='Visual SPC'!$G$4),OR('Visual SPC'!$I$4="",'Data Entry'!$E4535='Visual SPC'!$I$4),OR('Visual SPC'!$K$4="",'Data Entry'!$F4535='Visual SPC'!$K$4)),1,0))</f>
        <v/>
      </c>
      <c r="C4535">
        <f>C4534+B4535</f>
        <v/>
      </c>
      <c r="D4535">
        <f>IF(B4535=1,INDEX('Data Entry'!$H$5:$BE$10004,4535-4,'Visual SPC'!$B$3),"")</f>
        <v/>
      </c>
      <c r="E4535">
        <f>IF(B4535=1,D4535,E4534)</f>
        <v/>
      </c>
      <c r="F4535">
        <f>IF(AND(B4535=1,C4535&gt;1,E4534&lt;&gt;""),ABS(D4535-E4534),"")</f>
        <v/>
      </c>
    </row>
    <row r="4536">
      <c r="A4536" t="n">
        <v>4536</v>
      </c>
      <c r="B4536">
        <f>IF(INDEX('Data Entry'!$H$5:$BE$10004,4536-4,'Visual SPC'!$B$3)="",0,IF(AND(OR('Visual SPC'!$C$4="",'Data Entry'!$C4536&gt;='Visual SPC'!$C$4),OR('Visual SPC'!$E$4="",'Data Entry'!$C4536&lt;='Visual SPC'!$E$4),OR('Visual SPC'!$G$4="",'Data Entry'!$D4536='Visual SPC'!$G$4),OR('Visual SPC'!$I$4="",'Data Entry'!$E4536='Visual SPC'!$I$4),OR('Visual SPC'!$K$4="",'Data Entry'!$F4536='Visual SPC'!$K$4)),1,0))</f>
        <v/>
      </c>
      <c r="C4536">
        <f>C4535+B4536</f>
        <v/>
      </c>
      <c r="D4536">
        <f>IF(B4536=1,INDEX('Data Entry'!$H$5:$BE$10004,4536-4,'Visual SPC'!$B$3),"")</f>
        <v/>
      </c>
      <c r="E4536">
        <f>IF(B4536=1,D4536,E4535)</f>
        <v/>
      </c>
      <c r="F4536">
        <f>IF(AND(B4536=1,C4536&gt;1,E4535&lt;&gt;""),ABS(D4536-E4535),"")</f>
        <v/>
      </c>
    </row>
    <row r="4537">
      <c r="A4537" t="n">
        <v>4537</v>
      </c>
      <c r="B4537">
        <f>IF(INDEX('Data Entry'!$H$5:$BE$10004,4537-4,'Visual SPC'!$B$3)="",0,IF(AND(OR('Visual SPC'!$C$4="",'Data Entry'!$C4537&gt;='Visual SPC'!$C$4),OR('Visual SPC'!$E$4="",'Data Entry'!$C4537&lt;='Visual SPC'!$E$4),OR('Visual SPC'!$G$4="",'Data Entry'!$D4537='Visual SPC'!$G$4),OR('Visual SPC'!$I$4="",'Data Entry'!$E4537='Visual SPC'!$I$4),OR('Visual SPC'!$K$4="",'Data Entry'!$F4537='Visual SPC'!$K$4)),1,0))</f>
        <v/>
      </c>
      <c r="C4537">
        <f>C4536+B4537</f>
        <v/>
      </c>
      <c r="D4537">
        <f>IF(B4537=1,INDEX('Data Entry'!$H$5:$BE$10004,4537-4,'Visual SPC'!$B$3),"")</f>
        <v/>
      </c>
      <c r="E4537">
        <f>IF(B4537=1,D4537,E4536)</f>
        <v/>
      </c>
      <c r="F4537">
        <f>IF(AND(B4537=1,C4537&gt;1,E4536&lt;&gt;""),ABS(D4537-E4536),"")</f>
        <v/>
      </c>
    </row>
    <row r="4538">
      <c r="A4538" t="n">
        <v>4538</v>
      </c>
      <c r="B4538">
        <f>IF(INDEX('Data Entry'!$H$5:$BE$10004,4538-4,'Visual SPC'!$B$3)="",0,IF(AND(OR('Visual SPC'!$C$4="",'Data Entry'!$C4538&gt;='Visual SPC'!$C$4),OR('Visual SPC'!$E$4="",'Data Entry'!$C4538&lt;='Visual SPC'!$E$4),OR('Visual SPC'!$G$4="",'Data Entry'!$D4538='Visual SPC'!$G$4),OR('Visual SPC'!$I$4="",'Data Entry'!$E4538='Visual SPC'!$I$4),OR('Visual SPC'!$K$4="",'Data Entry'!$F4538='Visual SPC'!$K$4)),1,0))</f>
        <v/>
      </c>
      <c r="C4538">
        <f>C4537+B4538</f>
        <v/>
      </c>
      <c r="D4538">
        <f>IF(B4538=1,INDEX('Data Entry'!$H$5:$BE$10004,4538-4,'Visual SPC'!$B$3),"")</f>
        <v/>
      </c>
      <c r="E4538">
        <f>IF(B4538=1,D4538,E4537)</f>
        <v/>
      </c>
      <c r="F4538">
        <f>IF(AND(B4538=1,C4538&gt;1,E4537&lt;&gt;""),ABS(D4538-E4537),"")</f>
        <v/>
      </c>
    </row>
    <row r="4539">
      <c r="A4539" t="n">
        <v>4539</v>
      </c>
      <c r="B4539">
        <f>IF(INDEX('Data Entry'!$H$5:$BE$10004,4539-4,'Visual SPC'!$B$3)="",0,IF(AND(OR('Visual SPC'!$C$4="",'Data Entry'!$C4539&gt;='Visual SPC'!$C$4),OR('Visual SPC'!$E$4="",'Data Entry'!$C4539&lt;='Visual SPC'!$E$4),OR('Visual SPC'!$G$4="",'Data Entry'!$D4539='Visual SPC'!$G$4),OR('Visual SPC'!$I$4="",'Data Entry'!$E4539='Visual SPC'!$I$4),OR('Visual SPC'!$K$4="",'Data Entry'!$F4539='Visual SPC'!$K$4)),1,0))</f>
        <v/>
      </c>
      <c r="C4539">
        <f>C4538+B4539</f>
        <v/>
      </c>
      <c r="D4539">
        <f>IF(B4539=1,INDEX('Data Entry'!$H$5:$BE$10004,4539-4,'Visual SPC'!$B$3),"")</f>
        <v/>
      </c>
      <c r="E4539">
        <f>IF(B4539=1,D4539,E4538)</f>
        <v/>
      </c>
      <c r="F4539">
        <f>IF(AND(B4539=1,C4539&gt;1,E4538&lt;&gt;""),ABS(D4539-E4538),"")</f>
        <v/>
      </c>
    </row>
    <row r="4540">
      <c r="A4540" t="n">
        <v>4540</v>
      </c>
      <c r="B4540">
        <f>IF(INDEX('Data Entry'!$H$5:$BE$10004,4540-4,'Visual SPC'!$B$3)="",0,IF(AND(OR('Visual SPC'!$C$4="",'Data Entry'!$C4540&gt;='Visual SPC'!$C$4),OR('Visual SPC'!$E$4="",'Data Entry'!$C4540&lt;='Visual SPC'!$E$4),OR('Visual SPC'!$G$4="",'Data Entry'!$D4540='Visual SPC'!$G$4),OR('Visual SPC'!$I$4="",'Data Entry'!$E4540='Visual SPC'!$I$4),OR('Visual SPC'!$K$4="",'Data Entry'!$F4540='Visual SPC'!$K$4)),1,0))</f>
        <v/>
      </c>
      <c r="C4540">
        <f>C4539+B4540</f>
        <v/>
      </c>
      <c r="D4540">
        <f>IF(B4540=1,INDEX('Data Entry'!$H$5:$BE$10004,4540-4,'Visual SPC'!$B$3),"")</f>
        <v/>
      </c>
      <c r="E4540">
        <f>IF(B4540=1,D4540,E4539)</f>
        <v/>
      </c>
      <c r="F4540">
        <f>IF(AND(B4540=1,C4540&gt;1,E4539&lt;&gt;""),ABS(D4540-E4539),"")</f>
        <v/>
      </c>
    </row>
    <row r="4541">
      <c r="A4541" t="n">
        <v>4541</v>
      </c>
      <c r="B4541">
        <f>IF(INDEX('Data Entry'!$H$5:$BE$10004,4541-4,'Visual SPC'!$B$3)="",0,IF(AND(OR('Visual SPC'!$C$4="",'Data Entry'!$C4541&gt;='Visual SPC'!$C$4),OR('Visual SPC'!$E$4="",'Data Entry'!$C4541&lt;='Visual SPC'!$E$4),OR('Visual SPC'!$G$4="",'Data Entry'!$D4541='Visual SPC'!$G$4),OR('Visual SPC'!$I$4="",'Data Entry'!$E4541='Visual SPC'!$I$4),OR('Visual SPC'!$K$4="",'Data Entry'!$F4541='Visual SPC'!$K$4)),1,0))</f>
        <v/>
      </c>
      <c r="C4541">
        <f>C4540+B4541</f>
        <v/>
      </c>
      <c r="D4541">
        <f>IF(B4541=1,INDEX('Data Entry'!$H$5:$BE$10004,4541-4,'Visual SPC'!$B$3),"")</f>
        <v/>
      </c>
      <c r="E4541">
        <f>IF(B4541=1,D4541,E4540)</f>
        <v/>
      </c>
      <c r="F4541">
        <f>IF(AND(B4541=1,C4541&gt;1,E4540&lt;&gt;""),ABS(D4541-E4540),"")</f>
        <v/>
      </c>
    </row>
    <row r="4542">
      <c r="A4542" t="n">
        <v>4542</v>
      </c>
      <c r="B4542">
        <f>IF(INDEX('Data Entry'!$H$5:$BE$10004,4542-4,'Visual SPC'!$B$3)="",0,IF(AND(OR('Visual SPC'!$C$4="",'Data Entry'!$C4542&gt;='Visual SPC'!$C$4),OR('Visual SPC'!$E$4="",'Data Entry'!$C4542&lt;='Visual SPC'!$E$4),OR('Visual SPC'!$G$4="",'Data Entry'!$D4542='Visual SPC'!$G$4),OR('Visual SPC'!$I$4="",'Data Entry'!$E4542='Visual SPC'!$I$4),OR('Visual SPC'!$K$4="",'Data Entry'!$F4542='Visual SPC'!$K$4)),1,0))</f>
        <v/>
      </c>
      <c r="C4542">
        <f>C4541+B4542</f>
        <v/>
      </c>
      <c r="D4542">
        <f>IF(B4542=1,INDEX('Data Entry'!$H$5:$BE$10004,4542-4,'Visual SPC'!$B$3),"")</f>
        <v/>
      </c>
      <c r="E4542">
        <f>IF(B4542=1,D4542,E4541)</f>
        <v/>
      </c>
      <c r="F4542">
        <f>IF(AND(B4542=1,C4542&gt;1,E4541&lt;&gt;""),ABS(D4542-E4541),"")</f>
        <v/>
      </c>
    </row>
    <row r="4543">
      <c r="A4543" t="n">
        <v>4543</v>
      </c>
      <c r="B4543">
        <f>IF(INDEX('Data Entry'!$H$5:$BE$10004,4543-4,'Visual SPC'!$B$3)="",0,IF(AND(OR('Visual SPC'!$C$4="",'Data Entry'!$C4543&gt;='Visual SPC'!$C$4),OR('Visual SPC'!$E$4="",'Data Entry'!$C4543&lt;='Visual SPC'!$E$4),OR('Visual SPC'!$G$4="",'Data Entry'!$D4543='Visual SPC'!$G$4),OR('Visual SPC'!$I$4="",'Data Entry'!$E4543='Visual SPC'!$I$4),OR('Visual SPC'!$K$4="",'Data Entry'!$F4543='Visual SPC'!$K$4)),1,0))</f>
        <v/>
      </c>
      <c r="C4543">
        <f>C4542+B4543</f>
        <v/>
      </c>
      <c r="D4543">
        <f>IF(B4543=1,INDEX('Data Entry'!$H$5:$BE$10004,4543-4,'Visual SPC'!$B$3),"")</f>
        <v/>
      </c>
      <c r="E4543">
        <f>IF(B4543=1,D4543,E4542)</f>
        <v/>
      </c>
      <c r="F4543">
        <f>IF(AND(B4543=1,C4543&gt;1,E4542&lt;&gt;""),ABS(D4543-E4542),"")</f>
        <v/>
      </c>
    </row>
    <row r="4544">
      <c r="A4544" t="n">
        <v>4544</v>
      </c>
      <c r="B4544">
        <f>IF(INDEX('Data Entry'!$H$5:$BE$10004,4544-4,'Visual SPC'!$B$3)="",0,IF(AND(OR('Visual SPC'!$C$4="",'Data Entry'!$C4544&gt;='Visual SPC'!$C$4),OR('Visual SPC'!$E$4="",'Data Entry'!$C4544&lt;='Visual SPC'!$E$4),OR('Visual SPC'!$G$4="",'Data Entry'!$D4544='Visual SPC'!$G$4),OR('Visual SPC'!$I$4="",'Data Entry'!$E4544='Visual SPC'!$I$4),OR('Visual SPC'!$K$4="",'Data Entry'!$F4544='Visual SPC'!$K$4)),1,0))</f>
        <v/>
      </c>
      <c r="C4544">
        <f>C4543+B4544</f>
        <v/>
      </c>
      <c r="D4544">
        <f>IF(B4544=1,INDEX('Data Entry'!$H$5:$BE$10004,4544-4,'Visual SPC'!$B$3),"")</f>
        <v/>
      </c>
      <c r="E4544">
        <f>IF(B4544=1,D4544,E4543)</f>
        <v/>
      </c>
      <c r="F4544">
        <f>IF(AND(B4544=1,C4544&gt;1,E4543&lt;&gt;""),ABS(D4544-E4543),"")</f>
        <v/>
      </c>
    </row>
    <row r="4545">
      <c r="A4545" t="n">
        <v>4545</v>
      </c>
      <c r="B4545">
        <f>IF(INDEX('Data Entry'!$H$5:$BE$10004,4545-4,'Visual SPC'!$B$3)="",0,IF(AND(OR('Visual SPC'!$C$4="",'Data Entry'!$C4545&gt;='Visual SPC'!$C$4),OR('Visual SPC'!$E$4="",'Data Entry'!$C4545&lt;='Visual SPC'!$E$4),OR('Visual SPC'!$G$4="",'Data Entry'!$D4545='Visual SPC'!$G$4),OR('Visual SPC'!$I$4="",'Data Entry'!$E4545='Visual SPC'!$I$4),OR('Visual SPC'!$K$4="",'Data Entry'!$F4545='Visual SPC'!$K$4)),1,0))</f>
        <v/>
      </c>
      <c r="C4545">
        <f>C4544+B4545</f>
        <v/>
      </c>
      <c r="D4545">
        <f>IF(B4545=1,INDEX('Data Entry'!$H$5:$BE$10004,4545-4,'Visual SPC'!$B$3),"")</f>
        <v/>
      </c>
      <c r="E4545">
        <f>IF(B4545=1,D4545,E4544)</f>
        <v/>
      </c>
      <c r="F4545">
        <f>IF(AND(B4545=1,C4545&gt;1,E4544&lt;&gt;""),ABS(D4545-E4544),"")</f>
        <v/>
      </c>
    </row>
    <row r="4546">
      <c r="A4546" t="n">
        <v>4546</v>
      </c>
      <c r="B4546">
        <f>IF(INDEX('Data Entry'!$H$5:$BE$10004,4546-4,'Visual SPC'!$B$3)="",0,IF(AND(OR('Visual SPC'!$C$4="",'Data Entry'!$C4546&gt;='Visual SPC'!$C$4),OR('Visual SPC'!$E$4="",'Data Entry'!$C4546&lt;='Visual SPC'!$E$4),OR('Visual SPC'!$G$4="",'Data Entry'!$D4546='Visual SPC'!$G$4),OR('Visual SPC'!$I$4="",'Data Entry'!$E4546='Visual SPC'!$I$4),OR('Visual SPC'!$K$4="",'Data Entry'!$F4546='Visual SPC'!$K$4)),1,0))</f>
        <v/>
      </c>
      <c r="C4546">
        <f>C4545+B4546</f>
        <v/>
      </c>
      <c r="D4546">
        <f>IF(B4546=1,INDEX('Data Entry'!$H$5:$BE$10004,4546-4,'Visual SPC'!$B$3),"")</f>
        <v/>
      </c>
      <c r="E4546">
        <f>IF(B4546=1,D4546,E4545)</f>
        <v/>
      </c>
      <c r="F4546">
        <f>IF(AND(B4546=1,C4546&gt;1,E4545&lt;&gt;""),ABS(D4546-E4545),"")</f>
        <v/>
      </c>
    </row>
    <row r="4547">
      <c r="A4547" t="n">
        <v>4547</v>
      </c>
      <c r="B4547">
        <f>IF(INDEX('Data Entry'!$H$5:$BE$10004,4547-4,'Visual SPC'!$B$3)="",0,IF(AND(OR('Visual SPC'!$C$4="",'Data Entry'!$C4547&gt;='Visual SPC'!$C$4),OR('Visual SPC'!$E$4="",'Data Entry'!$C4547&lt;='Visual SPC'!$E$4),OR('Visual SPC'!$G$4="",'Data Entry'!$D4547='Visual SPC'!$G$4),OR('Visual SPC'!$I$4="",'Data Entry'!$E4547='Visual SPC'!$I$4),OR('Visual SPC'!$K$4="",'Data Entry'!$F4547='Visual SPC'!$K$4)),1,0))</f>
        <v/>
      </c>
      <c r="C4547">
        <f>C4546+B4547</f>
        <v/>
      </c>
      <c r="D4547">
        <f>IF(B4547=1,INDEX('Data Entry'!$H$5:$BE$10004,4547-4,'Visual SPC'!$B$3),"")</f>
        <v/>
      </c>
      <c r="E4547">
        <f>IF(B4547=1,D4547,E4546)</f>
        <v/>
      </c>
      <c r="F4547">
        <f>IF(AND(B4547=1,C4547&gt;1,E4546&lt;&gt;""),ABS(D4547-E4546),"")</f>
        <v/>
      </c>
    </row>
    <row r="4548">
      <c r="A4548" t="n">
        <v>4548</v>
      </c>
      <c r="B4548">
        <f>IF(INDEX('Data Entry'!$H$5:$BE$10004,4548-4,'Visual SPC'!$B$3)="",0,IF(AND(OR('Visual SPC'!$C$4="",'Data Entry'!$C4548&gt;='Visual SPC'!$C$4),OR('Visual SPC'!$E$4="",'Data Entry'!$C4548&lt;='Visual SPC'!$E$4),OR('Visual SPC'!$G$4="",'Data Entry'!$D4548='Visual SPC'!$G$4),OR('Visual SPC'!$I$4="",'Data Entry'!$E4548='Visual SPC'!$I$4),OR('Visual SPC'!$K$4="",'Data Entry'!$F4548='Visual SPC'!$K$4)),1,0))</f>
        <v/>
      </c>
      <c r="C4548">
        <f>C4547+B4548</f>
        <v/>
      </c>
      <c r="D4548">
        <f>IF(B4548=1,INDEX('Data Entry'!$H$5:$BE$10004,4548-4,'Visual SPC'!$B$3),"")</f>
        <v/>
      </c>
      <c r="E4548">
        <f>IF(B4548=1,D4548,E4547)</f>
        <v/>
      </c>
      <c r="F4548">
        <f>IF(AND(B4548=1,C4548&gt;1,E4547&lt;&gt;""),ABS(D4548-E4547),"")</f>
        <v/>
      </c>
    </row>
    <row r="4549">
      <c r="A4549" t="n">
        <v>4549</v>
      </c>
      <c r="B4549">
        <f>IF(INDEX('Data Entry'!$H$5:$BE$10004,4549-4,'Visual SPC'!$B$3)="",0,IF(AND(OR('Visual SPC'!$C$4="",'Data Entry'!$C4549&gt;='Visual SPC'!$C$4),OR('Visual SPC'!$E$4="",'Data Entry'!$C4549&lt;='Visual SPC'!$E$4),OR('Visual SPC'!$G$4="",'Data Entry'!$D4549='Visual SPC'!$G$4),OR('Visual SPC'!$I$4="",'Data Entry'!$E4549='Visual SPC'!$I$4),OR('Visual SPC'!$K$4="",'Data Entry'!$F4549='Visual SPC'!$K$4)),1,0))</f>
        <v/>
      </c>
      <c r="C4549">
        <f>C4548+B4549</f>
        <v/>
      </c>
      <c r="D4549">
        <f>IF(B4549=1,INDEX('Data Entry'!$H$5:$BE$10004,4549-4,'Visual SPC'!$B$3),"")</f>
        <v/>
      </c>
      <c r="E4549">
        <f>IF(B4549=1,D4549,E4548)</f>
        <v/>
      </c>
      <c r="F4549">
        <f>IF(AND(B4549=1,C4549&gt;1,E4548&lt;&gt;""),ABS(D4549-E4548),"")</f>
        <v/>
      </c>
    </row>
    <row r="4550">
      <c r="A4550" t="n">
        <v>4550</v>
      </c>
      <c r="B4550">
        <f>IF(INDEX('Data Entry'!$H$5:$BE$10004,4550-4,'Visual SPC'!$B$3)="",0,IF(AND(OR('Visual SPC'!$C$4="",'Data Entry'!$C4550&gt;='Visual SPC'!$C$4),OR('Visual SPC'!$E$4="",'Data Entry'!$C4550&lt;='Visual SPC'!$E$4),OR('Visual SPC'!$G$4="",'Data Entry'!$D4550='Visual SPC'!$G$4),OR('Visual SPC'!$I$4="",'Data Entry'!$E4550='Visual SPC'!$I$4),OR('Visual SPC'!$K$4="",'Data Entry'!$F4550='Visual SPC'!$K$4)),1,0))</f>
        <v/>
      </c>
      <c r="C4550">
        <f>C4549+B4550</f>
        <v/>
      </c>
      <c r="D4550">
        <f>IF(B4550=1,INDEX('Data Entry'!$H$5:$BE$10004,4550-4,'Visual SPC'!$B$3),"")</f>
        <v/>
      </c>
      <c r="E4550">
        <f>IF(B4550=1,D4550,E4549)</f>
        <v/>
      </c>
      <c r="F4550">
        <f>IF(AND(B4550=1,C4550&gt;1,E4549&lt;&gt;""),ABS(D4550-E4549),"")</f>
        <v/>
      </c>
    </row>
    <row r="4551">
      <c r="A4551" t="n">
        <v>4551</v>
      </c>
      <c r="B4551">
        <f>IF(INDEX('Data Entry'!$H$5:$BE$10004,4551-4,'Visual SPC'!$B$3)="",0,IF(AND(OR('Visual SPC'!$C$4="",'Data Entry'!$C4551&gt;='Visual SPC'!$C$4),OR('Visual SPC'!$E$4="",'Data Entry'!$C4551&lt;='Visual SPC'!$E$4),OR('Visual SPC'!$G$4="",'Data Entry'!$D4551='Visual SPC'!$G$4),OR('Visual SPC'!$I$4="",'Data Entry'!$E4551='Visual SPC'!$I$4),OR('Visual SPC'!$K$4="",'Data Entry'!$F4551='Visual SPC'!$K$4)),1,0))</f>
        <v/>
      </c>
      <c r="C4551">
        <f>C4550+B4551</f>
        <v/>
      </c>
      <c r="D4551">
        <f>IF(B4551=1,INDEX('Data Entry'!$H$5:$BE$10004,4551-4,'Visual SPC'!$B$3),"")</f>
        <v/>
      </c>
      <c r="E4551">
        <f>IF(B4551=1,D4551,E4550)</f>
        <v/>
      </c>
      <c r="F4551">
        <f>IF(AND(B4551=1,C4551&gt;1,E4550&lt;&gt;""),ABS(D4551-E4550),"")</f>
        <v/>
      </c>
    </row>
    <row r="4552">
      <c r="A4552" t="n">
        <v>4552</v>
      </c>
      <c r="B4552">
        <f>IF(INDEX('Data Entry'!$H$5:$BE$10004,4552-4,'Visual SPC'!$B$3)="",0,IF(AND(OR('Visual SPC'!$C$4="",'Data Entry'!$C4552&gt;='Visual SPC'!$C$4),OR('Visual SPC'!$E$4="",'Data Entry'!$C4552&lt;='Visual SPC'!$E$4),OR('Visual SPC'!$G$4="",'Data Entry'!$D4552='Visual SPC'!$G$4),OR('Visual SPC'!$I$4="",'Data Entry'!$E4552='Visual SPC'!$I$4),OR('Visual SPC'!$K$4="",'Data Entry'!$F4552='Visual SPC'!$K$4)),1,0))</f>
        <v/>
      </c>
      <c r="C4552">
        <f>C4551+B4552</f>
        <v/>
      </c>
      <c r="D4552">
        <f>IF(B4552=1,INDEX('Data Entry'!$H$5:$BE$10004,4552-4,'Visual SPC'!$B$3),"")</f>
        <v/>
      </c>
      <c r="E4552">
        <f>IF(B4552=1,D4552,E4551)</f>
        <v/>
      </c>
      <c r="F4552">
        <f>IF(AND(B4552=1,C4552&gt;1,E4551&lt;&gt;""),ABS(D4552-E4551),"")</f>
        <v/>
      </c>
    </row>
    <row r="4553">
      <c r="A4553" t="n">
        <v>4553</v>
      </c>
      <c r="B4553">
        <f>IF(INDEX('Data Entry'!$H$5:$BE$10004,4553-4,'Visual SPC'!$B$3)="",0,IF(AND(OR('Visual SPC'!$C$4="",'Data Entry'!$C4553&gt;='Visual SPC'!$C$4),OR('Visual SPC'!$E$4="",'Data Entry'!$C4553&lt;='Visual SPC'!$E$4),OR('Visual SPC'!$G$4="",'Data Entry'!$D4553='Visual SPC'!$G$4),OR('Visual SPC'!$I$4="",'Data Entry'!$E4553='Visual SPC'!$I$4),OR('Visual SPC'!$K$4="",'Data Entry'!$F4553='Visual SPC'!$K$4)),1,0))</f>
        <v/>
      </c>
      <c r="C4553">
        <f>C4552+B4553</f>
        <v/>
      </c>
      <c r="D4553">
        <f>IF(B4553=1,INDEX('Data Entry'!$H$5:$BE$10004,4553-4,'Visual SPC'!$B$3),"")</f>
        <v/>
      </c>
      <c r="E4553">
        <f>IF(B4553=1,D4553,E4552)</f>
        <v/>
      </c>
      <c r="F4553">
        <f>IF(AND(B4553=1,C4553&gt;1,E4552&lt;&gt;""),ABS(D4553-E4552),"")</f>
        <v/>
      </c>
    </row>
    <row r="4554">
      <c r="A4554" t="n">
        <v>4554</v>
      </c>
      <c r="B4554">
        <f>IF(INDEX('Data Entry'!$H$5:$BE$10004,4554-4,'Visual SPC'!$B$3)="",0,IF(AND(OR('Visual SPC'!$C$4="",'Data Entry'!$C4554&gt;='Visual SPC'!$C$4),OR('Visual SPC'!$E$4="",'Data Entry'!$C4554&lt;='Visual SPC'!$E$4),OR('Visual SPC'!$G$4="",'Data Entry'!$D4554='Visual SPC'!$G$4),OR('Visual SPC'!$I$4="",'Data Entry'!$E4554='Visual SPC'!$I$4),OR('Visual SPC'!$K$4="",'Data Entry'!$F4554='Visual SPC'!$K$4)),1,0))</f>
        <v/>
      </c>
      <c r="C4554">
        <f>C4553+B4554</f>
        <v/>
      </c>
      <c r="D4554">
        <f>IF(B4554=1,INDEX('Data Entry'!$H$5:$BE$10004,4554-4,'Visual SPC'!$B$3),"")</f>
        <v/>
      </c>
      <c r="E4554">
        <f>IF(B4554=1,D4554,E4553)</f>
        <v/>
      </c>
      <c r="F4554">
        <f>IF(AND(B4554=1,C4554&gt;1,E4553&lt;&gt;""),ABS(D4554-E4553),"")</f>
        <v/>
      </c>
    </row>
    <row r="4555">
      <c r="A4555" t="n">
        <v>4555</v>
      </c>
      <c r="B4555">
        <f>IF(INDEX('Data Entry'!$H$5:$BE$10004,4555-4,'Visual SPC'!$B$3)="",0,IF(AND(OR('Visual SPC'!$C$4="",'Data Entry'!$C4555&gt;='Visual SPC'!$C$4),OR('Visual SPC'!$E$4="",'Data Entry'!$C4555&lt;='Visual SPC'!$E$4),OR('Visual SPC'!$G$4="",'Data Entry'!$D4555='Visual SPC'!$G$4),OR('Visual SPC'!$I$4="",'Data Entry'!$E4555='Visual SPC'!$I$4),OR('Visual SPC'!$K$4="",'Data Entry'!$F4555='Visual SPC'!$K$4)),1,0))</f>
        <v/>
      </c>
      <c r="C4555">
        <f>C4554+B4555</f>
        <v/>
      </c>
      <c r="D4555">
        <f>IF(B4555=1,INDEX('Data Entry'!$H$5:$BE$10004,4555-4,'Visual SPC'!$B$3),"")</f>
        <v/>
      </c>
      <c r="E4555">
        <f>IF(B4555=1,D4555,E4554)</f>
        <v/>
      </c>
      <c r="F4555">
        <f>IF(AND(B4555=1,C4555&gt;1,E4554&lt;&gt;""),ABS(D4555-E4554),"")</f>
        <v/>
      </c>
    </row>
    <row r="4556">
      <c r="A4556" t="n">
        <v>4556</v>
      </c>
      <c r="B4556">
        <f>IF(INDEX('Data Entry'!$H$5:$BE$10004,4556-4,'Visual SPC'!$B$3)="",0,IF(AND(OR('Visual SPC'!$C$4="",'Data Entry'!$C4556&gt;='Visual SPC'!$C$4),OR('Visual SPC'!$E$4="",'Data Entry'!$C4556&lt;='Visual SPC'!$E$4),OR('Visual SPC'!$G$4="",'Data Entry'!$D4556='Visual SPC'!$G$4),OR('Visual SPC'!$I$4="",'Data Entry'!$E4556='Visual SPC'!$I$4),OR('Visual SPC'!$K$4="",'Data Entry'!$F4556='Visual SPC'!$K$4)),1,0))</f>
        <v/>
      </c>
      <c r="C4556">
        <f>C4555+B4556</f>
        <v/>
      </c>
      <c r="D4556">
        <f>IF(B4556=1,INDEX('Data Entry'!$H$5:$BE$10004,4556-4,'Visual SPC'!$B$3),"")</f>
        <v/>
      </c>
      <c r="E4556">
        <f>IF(B4556=1,D4556,E4555)</f>
        <v/>
      </c>
      <c r="F4556">
        <f>IF(AND(B4556=1,C4556&gt;1,E4555&lt;&gt;""),ABS(D4556-E4555),"")</f>
        <v/>
      </c>
    </row>
    <row r="4557">
      <c r="A4557" t="n">
        <v>4557</v>
      </c>
      <c r="B4557">
        <f>IF(INDEX('Data Entry'!$H$5:$BE$10004,4557-4,'Visual SPC'!$B$3)="",0,IF(AND(OR('Visual SPC'!$C$4="",'Data Entry'!$C4557&gt;='Visual SPC'!$C$4),OR('Visual SPC'!$E$4="",'Data Entry'!$C4557&lt;='Visual SPC'!$E$4),OR('Visual SPC'!$G$4="",'Data Entry'!$D4557='Visual SPC'!$G$4),OR('Visual SPC'!$I$4="",'Data Entry'!$E4557='Visual SPC'!$I$4),OR('Visual SPC'!$K$4="",'Data Entry'!$F4557='Visual SPC'!$K$4)),1,0))</f>
        <v/>
      </c>
      <c r="C4557">
        <f>C4556+B4557</f>
        <v/>
      </c>
      <c r="D4557">
        <f>IF(B4557=1,INDEX('Data Entry'!$H$5:$BE$10004,4557-4,'Visual SPC'!$B$3),"")</f>
        <v/>
      </c>
      <c r="E4557">
        <f>IF(B4557=1,D4557,E4556)</f>
        <v/>
      </c>
      <c r="F4557">
        <f>IF(AND(B4557=1,C4557&gt;1,E4556&lt;&gt;""),ABS(D4557-E4556),"")</f>
        <v/>
      </c>
    </row>
    <row r="4558">
      <c r="A4558" t="n">
        <v>4558</v>
      </c>
      <c r="B4558">
        <f>IF(INDEX('Data Entry'!$H$5:$BE$10004,4558-4,'Visual SPC'!$B$3)="",0,IF(AND(OR('Visual SPC'!$C$4="",'Data Entry'!$C4558&gt;='Visual SPC'!$C$4),OR('Visual SPC'!$E$4="",'Data Entry'!$C4558&lt;='Visual SPC'!$E$4),OR('Visual SPC'!$G$4="",'Data Entry'!$D4558='Visual SPC'!$G$4),OR('Visual SPC'!$I$4="",'Data Entry'!$E4558='Visual SPC'!$I$4),OR('Visual SPC'!$K$4="",'Data Entry'!$F4558='Visual SPC'!$K$4)),1,0))</f>
        <v/>
      </c>
      <c r="C4558">
        <f>C4557+B4558</f>
        <v/>
      </c>
      <c r="D4558">
        <f>IF(B4558=1,INDEX('Data Entry'!$H$5:$BE$10004,4558-4,'Visual SPC'!$B$3),"")</f>
        <v/>
      </c>
      <c r="E4558">
        <f>IF(B4558=1,D4558,E4557)</f>
        <v/>
      </c>
      <c r="F4558">
        <f>IF(AND(B4558=1,C4558&gt;1,E4557&lt;&gt;""),ABS(D4558-E4557),"")</f>
        <v/>
      </c>
    </row>
    <row r="4559">
      <c r="A4559" t="n">
        <v>4559</v>
      </c>
      <c r="B4559">
        <f>IF(INDEX('Data Entry'!$H$5:$BE$10004,4559-4,'Visual SPC'!$B$3)="",0,IF(AND(OR('Visual SPC'!$C$4="",'Data Entry'!$C4559&gt;='Visual SPC'!$C$4),OR('Visual SPC'!$E$4="",'Data Entry'!$C4559&lt;='Visual SPC'!$E$4),OR('Visual SPC'!$G$4="",'Data Entry'!$D4559='Visual SPC'!$G$4),OR('Visual SPC'!$I$4="",'Data Entry'!$E4559='Visual SPC'!$I$4),OR('Visual SPC'!$K$4="",'Data Entry'!$F4559='Visual SPC'!$K$4)),1,0))</f>
        <v/>
      </c>
      <c r="C4559">
        <f>C4558+B4559</f>
        <v/>
      </c>
      <c r="D4559">
        <f>IF(B4559=1,INDEX('Data Entry'!$H$5:$BE$10004,4559-4,'Visual SPC'!$B$3),"")</f>
        <v/>
      </c>
      <c r="E4559">
        <f>IF(B4559=1,D4559,E4558)</f>
        <v/>
      </c>
      <c r="F4559">
        <f>IF(AND(B4559=1,C4559&gt;1,E4558&lt;&gt;""),ABS(D4559-E4558),"")</f>
        <v/>
      </c>
    </row>
    <row r="4560">
      <c r="A4560" t="n">
        <v>4560</v>
      </c>
      <c r="B4560">
        <f>IF(INDEX('Data Entry'!$H$5:$BE$10004,4560-4,'Visual SPC'!$B$3)="",0,IF(AND(OR('Visual SPC'!$C$4="",'Data Entry'!$C4560&gt;='Visual SPC'!$C$4),OR('Visual SPC'!$E$4="",'Data Entry'!$C4560&lt;='Visual SPC'!$E$4),OR('Visual SPC'!$G$4="",'Data Entry'!$D4560='Visual SPC'!$G$4),OR('Visual SPC'!$I$4="",'Data Entry'!$E4560='Visual SPC'!$I$4),OR('Visual SPC'!$K$4="",'Data Entry'!$F4560='Visual SPC'!$K$4)),1,0))</f>
        <v/>
      </c>
      <c r="C4560">
        <f>C4559+B4560</f>
        <v/>
      </c>
      <c r="D4560">
        <f>IF(B4560=1,INDEX('Data Entry'!$H$5:$BE$10004,4560-4,'Visual SPC'!$B$3),"")</f>
        <v/>
      </c>
      <c r="E4560">
        <f>IF(B4560=1,D4560,E4559)</f>
        <v/>
      </c>
      <c r="F4560">
        <f>IF(AND(B4560=1,C4560&gt;1,E4559&lt;&gt;""),ABS(D4560-E4559),"")</f>
        <v/>
      </c>
    </row>
    <row r="4561">
      <c r="A4561" t="n">
        <v>4561</v>
      </c>
      <c r="B4561">
        <f>IF(INDEX('Data Entry'!$H$5:$BE$10004,4561-4,'Visual SPC'!$B$3)="",0,IF(AND(OR('Visual SPC'!$C$4="",'Data Entry'!$C4561&gt;='Visual SPC'!$C$4),OR('Visual SPC'!$E$4="",'Data Entry'!$C4561&lt;='Visual SPC'!$E$4),OR('Visual SPC'!$G$4="",'Data Entry'!$D4561='Visual SPC'!$G$4),OR('Visual SPC'!$I$4="",'Data Entry'!$E4561='Visual SPC'!$I$4),OR('Visual SPC'!$K$4="",'Data Entry'!$F4561='Visual SPC'!$K$4)),1,0))</f>
        <v/>
      </c>
      <c r="C4561">
        <f>C4560+B4561</f>
        <v/>
      </c>
      <c r="D4561">
        <f>IF(B4561=1,INDEX('Data Entry'!$H$5:$BE$10004,4561-4,'Visual SPC'!$B$3),"")</f>
        <v/>
      </c>
      <c r="E4561">
        <f>IF(B4561=1,D4561,E4560)</f>
        <v/>
      </c>
      <c r="F4561">
        <f>IF(AND(B4561=1,C4561&gt;1,E4560&lt;&gt;""),ABS(D4561-E4560),"")</f>
        <v/>
      </c>
    </row>
    <row r="4562">
      <c r="A4562" t="n">
        <v>4562</v>
      </c>
      <c r="B4562">
        <f>IF(INDEX('Data Entry'!$H$5:$BE$10004,4562-4,'Visual SPC'!$B$3)="",0,IF(AND(OR('Visual SPC'!$C$4="",'Data Entry'!$C4562&gt;='Visual SPC'!$C$4),OR('Visual SPC'!$E$4="",'Data Entry'!$C4562&lt;='Visual SPC'!$E$4),OR('Visual SPC'!$G$4="",'Data Entry'!$D4562='Visual SPC'!$G$4),OR('Visual SPC'!$I$4="",'Data Entry'!$E4562='Visual SPC'!$I$4),OR('Visual SPC'!$K$4="",'Data Entry'!$F4562='Visual SPC'!$K$4)),1,0))</f>
        <v/>
      </c>
      <c r="C4562">
        <f>C4561+B4562</f>
        <v/>
      </c>
      <c r="D4562">
        <f>IF(B4562=1,INDEX('Data Entry'!$H$5:$BE$10004,4562-4,'Visual SPC'!$B$3),"")</f>
        <v/>
      </c>
      <c r="E4562">
        <f>IF(B4562=1,D4562,E4561)</f>
        <v/>
      </c>
      <c r="F4562">
        <f>IF(AND(B4562=1,C4562&gt;1,E4561&lt;&gt;""),ABS(D4562-E4561),"")</f>
        <v/>
      </c>
    </row>
    <row r="4563">
      <c r="A4563" t="n">
        <v>4563</v>
      </c>
      <c r="B4563">
        <f>IF(INDEX('Data Entry'!$H$5:$BE$10004,4563-4,'Visual SPC'!$B$3)="",0,IF(AND(OR('Visual SPC'!$C$4="",'Data Entry'!$C4563&gt;='Visual SPC'!$C$4),OR('Visual SPC'!$E$4="",'Data Entry'!$C4563&lt;='Visual SPC'!$E$4),OR('Visual SPC'!$G$4="",'Data Entry'!$D4563='Visual SPC'!$G$4),OR('Visual SPC'!$I$4="",'Data Entry'!$E4563='Visual SPC'!$I$4),OR('Visual SPC'!$K$4="",'Data Entry'!$F4563='Visual SPC'!$K$4)),1,0))</f>
        <v/>
      </c>
      <c r="C4563">
        <f>C4562+B4563</f>
        <v/>
      </c>
      <c r="D4563">
        <f>IF(B4563=1,INDEX('Data Entry'!$H$5:$BE$10004,4563-4,'Visual SPC'!$B$3),"")</f>
        <v/>
      </c>
      <c r="E4563">
        <f>IF(B4563=1,D4563,E4562)</f>
        <v/>
      </c>
      <c r="F4563">
        <f>IF(AND(B4563=1,C4563&gt;1,E4562&lt;&gt;""),ABS(D4563-E4562),"")</f>
        <v/>
      </c>
    </row>
    <row r="4564">
      <c r="A4564" t="n">
        <v>4564</v>
      </c>
      <c r="B4564">
        <f>IF(INDEX('Data Entry'!$H$5:$BE$10004,4564-4,'Visual SPC'!$B$3)="",0,IF(AND(OR('Visual SPC'!$C$4="",'Data Entry'!$C4564&gt;='Visual SPC'!$C$4),OR('Visual SPC'!$E$4="",'Data Entry'!$C4564&lt;='Visual SPC'!$E$4),OR('Visual SPC'!$G$4="",'Data Entry'!$D4564='Visual SPC'!$G$4),OR('Visual SPC'!$I$4="",'Data Entry'!$E4564='Visual SPC'!$I$4),OR('Visual SPC'!$K$4="",'Data Entry'!$F4564='Visual SPC'!$K$4)),1,0))</f>
        <v/>
      </c>
      <c r="C4564">
        <f>C4563+B4564</f>
        <v/>
      </c>
      <c r="D4564">
        <f>IF(B4564=1,INDEX('Data Entry'!$H$5:$BE$10004,4564-4,'Visual SPC'!$B$3),"")</f>
        <v/>
      </c>
      <c r="E4564">
        <f>IF(B4564=1,D4564,E4563)</f>
        <v/>
      </c>
      <c r="F4564">
        <f>IF(AND(B4564=1,C4564&gt;1,E4563&lt;&gt;""),ABS(D4564-E4563),"")</f>
        <v/>
      </c>
    </row>
    <row r="4565">
      <c r="A4565" t="n">
        <v>4565</v>
      </c>
      <c r="B4565">
        <f>IF(INDEX('Data Entry'!$H$5:$BE$10004,4565-4,'Visual SPC'!$B$3)="",0,IF(AND(OR('Visual SPC'!$C$4="",'Data Entry'!$C4565&gt;='Visual SPC'!$C$4),OR('Visual SPC'!$E$4="",'Data Entry'!$C4565&lt;='Visual SPC'!$E$4),OR('Visual SPC'!$G$4="",'Data Entry'!$D4565='Visual SPC'!$G$4),OR('Visual SPC'!$I$4="",'Data Entry'!$E4565='Visual SPC'!$I$4),OR('Visual SPC'!$K$4="",'Data Entry'!$F4565='Visual SPC'!$K$4)),1,0))</f>
        <v/>
      </c>
      <c r="C4565">
        <f>C4564+B4565</f>
        <v/>
      </c>
      <c r="D4565">
        <f>IF(B4565=1,INDEX('Data Entry'!$H$5:$BE$10004,4565-4,'Visual SPC'!$B$3),"")</f>
        <v/>
      </c>
      <c r="E4565">
        <f>IF(B4565=1,D4565,E4564)</f>
        <v/>
      </c>
      <c r="F4565">
        <f>IF(AND(B4565=1,C4565&gt;1,E4564&lt;&gt;""),ABS(D4565-E4564),"")</f>
        <v/>
      </c>
    </row>
    <row r="4566">
      <c r="A4566" t="n">
        <v>4566</v>
      </c>
      <c r="B4566">
        <f>IF(INDEX('Data Entry'!$H$5:$BE$10004,4566-4,'Visual SPC'!$B$3)="",0,IF(AND(OR('Visual SPC'!$C$4="",'Data Entry'!$C4566&gt;='Visual SPC'!$C$4),OR('Visual SPC'!$E$4="",'Data Entry'!$C4566&lt;='Visual SPC'!$E$4),OR('Visual SPC'!$G$4="",'Data Entry'!$D4566='Visual SPC'!$G$4),OR('Visual SPC'!$I$4="",'Data Entry'!$E4566='Visual SPC'!$I$4),OR('Visual SPC'!$K$4="",'Data Entry'!$F4566='Visual SPC'!$K$4)),1,0))</f>
        <v/>
      </c>
      <c r="C4566">
        <f>C4565+B4566</f>
        <v/>
      </c>
      <c r="D4566">
        <f>IF(B4566=1,INDEX('Data Entry'!$H$5:$BE$10004,4566-4,'Visual SPC'!$B$3),"")</f>
        <v/>
      </c>
      <c r="E4566">
        <f>IF(B4566=1,D4566,E4565)</f>
        <v/>
      </c>
      <c r="F4566">
        <f>IF(AND(B4566=1,C4566&gt;1,E4565&lt;&gt;""),ABS(D4566-E4565),"")</f>
        <v/>
      </c>
    </row>
    <row r="4567">
      <c r="A4567" t="n">
        <v>4567</v>
      </c>
      <c r="B4567">
        <f>IF(INDEX('Data Entry'!$H$5:$BE$10004,4567-4,'Visual SPC'!$B$3)="",0,IF(AND(OR('Visual SPC'!$C$4="",'Data Entry'!$C4567&gt;='Visual SPC'!$C$4),OR('Visual SPC'!$E$4="",'Data Entry'!$C4567&lt;='Visual SPC'!$E$4),OR('Visual SPC'!$G$4="",'Data Entry'!$D4567='Visual SPC'!$G$4),OR('Visual SPC'!$I$4="",'Data Entry'!$E4567='Visual SPC'!$I$4),OR('Visual SPC'!$K$4="",'Data Entry'!$F4567='Visual SPC'!$K$4)),1,0))</f>
        <v/>
      </c>
      <c r="C4567">
        <f>C4566+B4567</f>
        <v/>
      </c>
      <c r="D4567">
        <f>IF(B4567=1,INDEX('Data Entry'!$H$5:$BE$10004,4567-4,'Visual SPC'!$B$3),"")</f>
        <v/>
      </c>
      <c r="E4567">
        <f>IF(B4567=1,D4567,E4566)</f>
        <v/>
      </c>
      <c r="F4567">
        <f>IF(AND(B4567=1,C4567&gt;1,E4566&lt;&gt;""),ABS(D4567-E4566),"")</f>
        <v/>
      </c>
    </row>
    <row r="4568">
      <c r="A4568" t="n">
        <v>4568</v>
      </c>
      <c r="B4568">
        <f>IF(INDEX('Data Entry'!$H$5:$BE$10004,4568-4,'Visual SPC'!$B$3)="",0,IF(AND(OR('Visual SPC'!$C$4="",'Data Entry'!$C4568&gt;='Visual SPC'!$C$4),OR('Visual SPC'!$E$4="",'Data Entry'!$C4568&lt;='Visual SPC'!$E$4),OR('Visual SPC'!$G$4="",'Data Entry'!$D4568='Visual SPC'!$G$4),OR('Visual SPC'!$I$4="",'Data Entry'!$E4568='Visual SPC'!$I$4),OR('Visual SPC'!$K$4="",'Data Entry'!$F4568='Visual SPC'!$K$4)),1,0))</f>
        <v/>
      </c>
      <c r="C4568">
        <f>C4567+B4568</f>
        <v/>
      </c>
      <c r="D4568">
        <f>IF(B4568=1,INDEX('Data Entry'!$H$5:$BE$10004,4568-4,'Visual SPC'!$B$3),"")</f>
        <v/>
      </c>
      <c r="E4568">
        <f>IF(B4568=1,D4568,E4567)</f>
        <v/>
      </c>
      <c r="F4568">
        <f>IF(AND(B4568=1,C4568&gt;1,E4567&lt;&gt;""),ABS(D4568-E4567),"")</f>
        <v/>
      </c>
    </row>
    <row r="4569">
      <c r="A4569" t="n">
        <v>4569</v>
      </c>
      <c r="B4569">
        <f>IF(INDEX('Data Entry'!$H$5:$BE$10004,4569-4,'Visual SPC'!$B$3)="",0,IF(AND(OR('Visual SPC'!$C$4="",'Data Entry'!$C4569&gt;='Visual SPC'!$C$4),OR('Visual SPC'!$E$4="",'Data Entry'!$C4569&lt;='Visual SPC'!$E$4),OR('Visual SPC'!$G$4="",'Data Entry'!$D4569='Visual SPC'!$G$4),OR('Visual SPC'!$I$4="",'Data Entry'!$E4569='Visual SPC'!$I$4),OR('Visual SPC'!$K$4="",'Data Entry'!$F4569='Visual SPC'!$K$4)),1,0))</f>
        <v/>
      </c>
      <c r="C4569">
        <f>C4568+B4569</f>
        <v/>
      </c>
      <c r="D4569">
        <f>IF(B4569=1,INDEX('Data Entry'!$H$5:$BE$10004,4569-4,'Visual SPC'!$B$3),"")</f>
        <v/>
      </c>
      <c r="E4569">
        <f>IF(B4569=1,D4569,E4568)</f>
        <v/>
      </c>
      <c r="F4569">
        <f>IF(AND(B4569=1,C4569&gt;1,E4568&lt;&gt;""),ABS(D4569-E4568),"")</f>
        <v/>
      </c>
    </row>
    <row r="4570">
      <c r="A4570" t="n">
        <v>4570</v>
      </c>
      <c r="B4570">
        <f>IF(INDEX('Data Entry'!$H$5:$BE$10004,4570-4,'Visual SPC'!$B$3)="",0,IF(AND(OR('Visual SPC'!$C$4="",'Data Entry'!$C4570&gt;='Visual SPC'!$C$4),OR('Visual SPC'!$E$4="",'Data Entry'!$C4570&lt;='Visual SPC'!$E$4),OR('Visual SPC'!$G$4="",'Data Entry'!$D4570='Visual SPC'!$G$4),OR('Visual SPC'!$I$4="",'Data Entry'!$E4570='Visual SPC'!$I$4),OR('Visual SPC'!$K$4="",'Data Entry'!$F4570='Visual SPC'!$K$4)),1,0))</f>
        <v/>
      </c>
      <c r="C4570">
        <f>C4569+B4570</f>
        <v/>
      </c>
      <c r="D4570">
        <f>IF(B4570=1,INDEX('Data Entry'!$H$5:$BE$10004,4570-4,'Visual SPC'!$B$3),"")</f>
        <v/>
      </c>
      <c r="E4570">
        <f>IF(B4570=1,D4570,E4569)</f>
        <v/>
      </c>
      <c r="F4570">
        <f>IF(AND(B4570=1,C4570&gt;1,E4569&lt;&gt;""),ABS(D4570-E4569),"")</f>
        <v/>
      </c>
    </row>
    <row r="4571">
      <c r="A4571" t="n">
        <v>4571</v>
      </c>
      <c r="B4571">
        <f>IF(INDEX('Data Entry'!$H$5:$BE$10004,4571-4,'Visual SPC'!$B$3)="",0,IF(AND(OR('Visual SPC'!$C$4="",'Data Entry'!$C4571&gt;='Visual SPC'!$C$4),OR('Visual SPC'!$E$4="",'Data Entry'!$C4571&lt;='Visual SPC'!$E$4),OR('Visual SPC'!$G$4="",'Data Entry'!$D4571='Visual SPC'!$G$4),OR('Visual SPC'!$I$4="",'Data Entry'!$E4571='Visual SPC'!$I$4),OR('Visual SPC'!$K$4="",'Data Entry'!$F4571='Visual SPC'!$K$4)),1,0))</f>
        <v/>
      </c>
      <c r="C4571">
        <f>C4570+B4571</f>
        <v/>
      </c>
      <c r="D4571">
        <f>IF(B4571=1,INDEX('Data Entry'!$H$5:$BE$10004,4571-4,'Visual SPC'!$B$3),"")</f>
        <v/>
      </c>
      <c r="E4571">
        <f>IF(B4571=1,D4571,E4570)</f>
        <v/>
      </c>
      <c r="F4571">
        <f>IF(AND(B4571=1,C4571&gt;1,E4570&lt;&gt;""),ABS(D4571-E4570),"")</f>
        <v/>
      </c>
    </row>
    <row r="4572">
      <c r="A4572" t="n">
        <v>4572</v>
      </c>
      <c r="B4572">
        <f>IF(INDEX('Data Entry'!$H$5:$BE$10004,4572-4,'Visual SPC'!$B$3)="",0,IF(AND(OR('Visual SPC'!$C$4="",'Data Entry'!$C4572&gt;='Visual SPC'!$C$4),OR('Visual SPC'!$E$4="",'Data Entry'!$C4572&lt;='Visual SPC'!$E$4),OR('Visual SPC'!$G$4="",'Data Entry'!$D4572='Visual SPC'!$G$4),OR('Visual SPC'!$I$4="",'Data Entry'!$E4572='Visual SPC'!$I$4),OR('Visual SPC'!$K$4="",'Data Entry'!$F4572='Visual SPC'!$K$4)),1,0))</f>
        <v/>
      </c>
      <c r="C4572">
        <f>C4571+B4572</f>
        <v/>
      </c>
      <c r="D4572">
        <f>IF(B4572=1,INDEX('Data Entry'!$H$5:$BE$10004,4572-4,'Visual SPC'!$B$3),"")</f>
        <v/>
      </c>
      <c r="E4572">
        <f>IF(B4572=1,D4572,E4571)</f>
        <v/>
      </c>
      <c r="F4572">
        <f>IF(AND(B4572=1,C4572&gt;1,E4571&lt;&gt;""),ABS(D4572-E4571),"")</f>
        <v/>
      </c>
    </row>
    <row r="4573">
      <c r="A4573" t="n">
        <v>4573</v>
      </c>
      <c r="B4573">
        <f>IF(INDEX('Data Entry'!$H$5:$BE$10004,4573-4,'Visual SPC'!$B$3)="",0,IF(AND(OR('Visual SPC'!$C$4="",'Data Entry'!$C4573&gt;='Visual SPC'!$C$4),OR('Visual SPC'!$E$4="",'Data Entry'!$C4573&lt;='Visual SPC'!$E$4),OR('Visual SPC'!$G$4="",'Data Entry'!$D4573='Visual SPC'!$G$4),OR('Visual SPC'!$I$4="",'Data Entry'!$E4573='Visual SPC'!$I$4),OR('Visual SPC'!$K$4="",'Data Entry'!$F4573='Visual SPC'!$K$4)),1,0))</f>
        <v/>
      </c>
      <c r="C4573">
        <f>C4572+B4573</f>
        <v/>
      </c>
      <c r="D4573">
        <f>IF(B4573=1,INDEX('Data Entry'!$H$5:$BE$10004,4573-4,'Visual SPC'!$B$3),"")</f>
        <v/>
      </c>
      <c r="E4573">
        <f>IF(B4573=1,D4573,E4572)</f>
        <v/>
      </c>
      <c r="F4573">
        <f>IF(AND(B4573=1,C4573&gt;1,E4572&lt;&gt;""),ABS(D4573-E4572),"")</f>
        <v/>
      </c>
    </row>
    <row r="4574">
      <c r="A4574" t="n">
        <v>4574</v>
      </c>
      <c r="B4574">
        <f>IF(INDEX('Data Entry'!$H$5:$BE$10004,4574-4,'Visual SPC'!$B$3)="",0,IF(AND(OR('Visual SPC'!$C$4="",'Data Entry'!$C4574&gt;='Visual SPC'!$C$4),OR('Visual SPC'!$E$4="",'Data Entry'!$C4574&lt;='Visual SPC'!$E$4),OR('Visual SPC'!$G$4="",'Data Entry'!$D4574='Visual SPC'!$G$4),OR('Visual SPC'!$I$4="",'Data Entry'!$E4574='Visual SPC'!$I$4),OR('Visual SPC'!$K$4="",'Data Entry'!$F4574='Visual SPC'!$K$4)),1,0))</f>
        <v/>
      </c>
      <c r="C4574">
        <f>C4573+B4574</f>
        <v/>
      </c>
      <c r="D4574">
        <f>IF(B4574=1,INDEX('Data Entry'!$H$5:$BE$10004,4574-4,'Visual SPC'!$B$3),"")</f>
        <v/>
      </c>
      <c r="E4574">
        <f>IF(B4574=1,D4574,E4573)</f>
        <v/>
      </c>
      <c r="F4574">
        <f>IF(AND(B4574=1,C4574&gt;1,E4573&lt;&gt;""),ABS(D4574-E4573),"")</f>
        <v/>
      </c>
    </row>
    <row r="4575">
      <c r="A4575" t="n">
        <v>4575</v>
      </c>
      <c r="B4575">
        <f>IF(INDEX('Data Entry'!$H$5:$BE$10004,4575-4,'Visual SPC'!$B$3)="",0,IF(AND(OR('Visual SPC'!$C$4="",'Data Entry'!$C4575&gt;='Visual SPC'!$C$4),OR('Visual SPC'!$E$4="",'Data Entry'!$C4575&lt;='Visual SPC'!$E$4),OR('Visual SPC'!$G$4="",'Data Entry'!$D4575='Visual SPC'!$G$4),OR('Visual SPC'!$I$4="",'Data Entry'!$E4575='Visual SPC'!$I$4),OR('Visual SPC'!$K$4="",'Data Entry'!$F4575='Visual SPC'!$K$4)),1,0))</f>
        <v/>
      </c>
      <c r="C4575">
        <f>C4574+B4575</f>
        <v/>
      </c>
      <c r="D4575">
        <f>IF(B4575=1,INDEX('Data Entry'!$H$5:$BE$10004,4575-4,'Visual SPC'!$B$3),"")</f>
        <v/>
      </c>
      <c r="E4575">
        <f>IF(B4575=1,D4575,E4574)</f>
        <v/>
      </c>
      <c r="F4575">
        <f>IF(AND(B4575=1,C4575&gt;1,E4574&lt;&gt;""),ABS(D4575-E4574),"")</f>
        <v/>
      </c>
    </row>
    <row r="4576">
      <c r="A4576" t="n">
        <v>4576</v>
      </c>
      <c r="B4576">
        <f>IF(INDEX('Data Entry'!$H$5:$BE$10004,4576-4,'Visual SPC'!$B$3)="",0,IF(AND(OR('Visual SPC'!$C$4="",'Data Entry'!$C4576&gt;='Visual SPC'!$C$4),OR('Visual SPC'!$E$4="",'Data Entry'!$C4576&lt;='Visual SPC'!$E$4),OR('Visual SPC'!$G$4="",'Data Entry'!$D4576='Visual SPC'!$G$4),OR('Visual SPC'!$I$4="",'Data Entry'!$E4576='Visual SPC'!$I$4),OR('Visual SPC'!$K$4="",'Data Entry'!$F4576='Visual SPC'!$K$4)),1,0))</f>
        <v/>
      </c>
      <c r="C4576">
        <f>C4575+B4576</f>
        <v/>
      </c>
      <c r="D4576">
        <f>IF(B4576=1,INDEX('Data Entry'!$H$5:$BE$10004,4576-4,'Visual SPC'!$B$3),"")</f>
        <v/>
      </c>
      <c r="E4576">
        <f>IF(B4576=1,D4576,E4575)</f>
        <v/>
      </c>
      <c r="F4576">
        <f>IF(AND(B4576=1,C4576&gt;1,E4575&lt;&gt;""),ABS(D4576-E4575),"")</f>
        <v/>
      </c>
    </row>
    <row r="4577">
      <c r="A4577" t="n">
        <v>4577</v>
      </c>
      <c r="B4577">
        <f>IF(INDEX('Data Entry'!$H$5:$BE$10004,4577-4,'Visual SPC'!$B$3)="",0,IF(AND(OR('Visual SPC'!$C$4="",'Data Entry'!$C4577&gt;='Visual SPC'!$C$4),OR('Visual SPC'!$E$4="",'Data Entry'!$C4577&lt;='Visual SPC'!$E$4),OR('Visual SPC'!$G$4="",'Data Entry'!$D4577='Visual SPC'!$G$4),OR('Visual SPC'!$I$4="",'Data Entry'!$E4577='Visual SPC'!$I$4),OR('Visual SPC'!$K$4="",'Data Entry'!$F4577='Visual SPC'!$K$4)),1,0))</f>
        <v/>
      </c>
      <c r="C4577">
        <f>C4576+B4577</f>
        <v/>
      </c>
      <c r="D4577">
        <f>IF(B4577=1,INDEX('Data Entry'!$H$5:$BE$10004,4577-4,'Visual SPC'!$B$3),"")</f>
        <v/>
      </c>
      <c r="E4577">
        <f>IF(B4577=1,D4577,E4576)</f>
        <v/>
      </c>
      <c r="F4577">
        <f>IF(AND(B4577=1,C4577&gt;1,E4576&lt;&gt;""),ABS(D4577-E4576),"")</f>
        <v/>
      </c>
    </row>
    <row r="4578">
      <c r="A4578" t="n">
        <v>4578</v>
      </c>
      <c r="B4578">
        <f>IF(INDEX('Data Entry'!$H$5:$BE$10004,4578-4,'Visual SPC'!$B$3)="",0,IF(AND(OR('Visual SPC'!$C$4="",'Data Entry'!$C4578&gt;='Visual SPC'!$C$4),OR('Visual SPC'!$E$4="",'Data Entry'!$C4578&lt;='Visual SPC'!$E$4),OR('Visual SPC'!$G$4="",'Data Entry'!$D4578='Visual SPC'!$G$4),OR('Visual SPC'!$I$4="",'Data Entry'!$E4578='Visual SPC'!$I$4),OR('Visual SPC'!$K$4="",'Data Entry'!$F4578='Visual SPC'!$K$4)),1,0))</f>
        <v/>
      </c>
      <c r="C4578">
        <f>C4577+B4578</f>
        <v/>
      </c>
      <c r="D4578">
        <f>IF(B4578=1,INDEX('Data Entry'!$H$5:$BE$10004,4578-4,'Visual SPC'!$B$3),"")</f>
        <v/>
      </c>
      <c r="E4578">
        <f>IF(B4578=1,D4578,E4577)</f>
        <v/>
      </c>
      <c r="F4578">
        <f>IF(AND(B4578=1,C4578&gt;1,E4577&lt;&gt;""),ABS(D4578-E4577),"")</f>
        <v/>
      </c>
    </row>
    <row r="4579">
      <c r="A4579" t="n">
        <v>4579</v>
      </c>
      <c r="B4579">
        <f>IF(INDEX('Data Entry'!$H$5:$BE$10004,4579-4,'Visual SPC'!$B$3)="",0,IF(AND(OR('Visual SPC'!$C$4="",'Data Entry'!$C4579&gt;='Visual SPC'!$C$4),OR('Visual SPC'!$E$4="",'Data Entry'!$C4579&lt;='Visual SPC'!$E$4),OR('Visual SPC'!$G$4="",'Data Entry'!$D4579='Visual SPC'!$G$4),OR('Visual SPC'!$I$4="",'Data Entry'!$E4579='Visual SPC'!$I$4),OR('Visual SPC'!$K$4="",'Data Entry'!$F4579='Visual SPC'!$K$4)),1,0))</f>
        <v/>
      </c>
      <c r="C4579">
        <f>C4578+B4579</f>
        <v/>
      </c>
      <c r="D4579">
        <f>IF(B4579=1,INDEX('Data Entry'!$H$5:$BE$10004,4579-4,'Visual SPC'!$B$3),"")</f>
        <v/>
      </c>
      <c r="E4579">
        <f>IF(B4579=1,D4579,E4578)</f>
        <v/>
      </c>
      <c r="F4579">
        <f>IF(AND(B4579=1,C4579&gt;1,E4578&lt;&gt;""),ABS(D4579-E4578),"")</f>
        <v/>
      </c>
    </row>
    <row r="4580">
      <c r="A4580" t="n">
        <v>4580</v>
      </c>
      <c r="B4580">
        <f>IF(INDEX('Data Entry'!$H$5:$BE$10004,4580-4,'Visual SPC'!$B$3)="",0,IF(AND(OR('Visual SPC'!$C$4="",'Data Entry'!$C4580&gt;='Visual SPC'!$C$4),OR('Visual SPC'!$E$4="",'Data Entry'!$C4580&lt;='Visual SPC'!$E$4),OR('Visual SPC'!$G$4="",'Data Entry'!$D4580='Visual SPC'!$G$4),OR('Visual SPC'!$I$4="",'Data Entry'!$E4580='Visual SPC'!$I$4),OR('Visual SPC'!$K$4="",'Data Entry'!$F4580='Visual SPC'!$K$4)),1,0))</f>
        <v/>
      </c>
      <c r="C4580">
        <f>C4579+B4580</f>
        <v/>
      </c>
      <c r="D4580">
        <f>IF(B4580=1,INDEX('Data Entry'!$H$5:$BE$10004,4580-4,'Visual SPC'!$B$3),"")</f>
        <v/>
      </c>
      <c r="E4580">
        <f>IF(B4580=1,D4580,E4579)</f>
        <v/>
      </c>
      <c r="F4580">
        <f>IF(AND(B4580=1,C4580&gt;1,E4579&lt;&gt;""),ABS(D4580-E4579),"")</f>
        <v/>
      </c>
    </row>
    <row r="4581">
      <c r="A4581" t="n">
        <v>4581</v>
      </c>
      <c r="B4581">
        <f>IF(INDEX('Data Entry'!$H$5:$BE$10004,4581-4,'Visual SPC'!$B$3)="",0,IF(AND(OR('Visual SPC'!$C$4="",'Data Entry'!$C4581&gt;='Visual SPC'!$C$4),OR('Visual SPC'!$E$4="",'Data Entry'!$C4581&lt;='Visual SPC'!$E$4),OR('Visual SPC'!$G$4="",'Data Entry'!$D4581='Visual SPC'!$G$4),OR('Visual SPC'!$I$4="",'Data Entry'!$E4581='Visual SPC'!$I$4),OR('Visual SPC'!$K$4="",'Data Entry'!$F4581='Visual SPC'!$K$4)),1,0))</f>
        <v/>
      </c>
      <c r="C4581">
        <f>C4580+B4581</f>
        <v/>
      </c>
      <c r="D4581">
        <f>IF(B4581=1,INDEX('Data Entry'!$H$5:$BE$10004,4581-4,'Visual SPC'!$B$3),"")</f>
        <v/>
      </c>
      <c r="E4581">
        <f>IF(B4581=1,D4581,E4580)</f>
        <v/>
      </c>
      <c r="F4581">
        <f>IF(AND(B4581=1,C4581&gt;1,E4580&lt;&gt;""),ABS(D4581-E4580),"")</f>
        <v/>
      </c>
    </row>
    <row r="4582">
      <c r="A4582" t="n">
        <v>4582</v>
      </c>
      <c r="B4582">
        <f>IF(INDEX('Data Entry'!$H$5:$BE$10004,4582-4,'Visual SPC'!$B$3)="",0,IF(AND(OR('Visual SPC'!$C$4="",'Data Entry'!$C4582&gt;='Visual SPC'!$C$4),OR('Visual SPC'!$E$4="",'Data Entry'!$C4582&lt;='Visual SPC'!$E$4),OR('Visual SPC'!$G$4="",'Data Entry'!$D4582='Visual SPC'!$G$4),OR('Visual SPC'!$I$4="",'Data Entry'!$E4582='Visual SPC'!$I$4),OR('Visual SPC'!$K$4="",'Data Entry'!$F4582='Visual SPC'!$K$4)),1,0))</f>
        <v/>
      </c>
      <c r="C4582">
        <f>C4581+B4582</f>
        <v/>
      </c>
      <c r="D4582">
        <f>IF(B4582=1,INDEX('Data Entry'!$H$5:$BE$10004,4582-4,'Visual SPC'!$B$3),"")</f>
        <v/>
      </c>
      <c r="E4582">
        <f>IF(B4582=1,D4582,E4581)</f>
        <v/>
      </c>
      <c r="F4582">
        <f>IF(AND(B4582=1,C4582&gt;1,E4581&lt;&gt;""),ABS(D4582-E4581),"")</f>
        <v/>
      </c>
    </row>
    <row r="4583">
      <c r="A4583" t="n">
        <v>4583</v>
      </c>
      <c r="B4583">
        <f>IF(INDEX('Data Entry'!$H$5:$BE$10004,4583-4,'Visual SPC'!$B$3)="",0,IF(AND(OR('Visual SPC'!$C$4="",'Data Entry'!$C4583&gt;='Visual SPC'!$C$4),OR('Visual SPC'!$E$4="",'Data Entry'!$C4583&lt;='Visual SPC'!$E$4),OR('Visual SPC'!$G$4="",'Data Entry'!$D4583='Visual SPC'!$G$4),OR('Visual SPC'!$I$4="",'Data Entry'!$E4583='Visual SPC'!$I$4),OR('Visual SPC'!$K$4="",'Data Entry'!$F4583='Visual SPC'!$K$4)),1,0))</f>
        <v/>
      </c>
      <c r="C4583">
        <f>C4582+B4583</f>
        <v/>
      </c>
      <c r="D4583">
        <f>IF(B4583=1,INDEX('Data Entry'!$H$5:$BE$10004,4583-4,'Visual SPC'!$B$3),"")</f>
        <v/>
      </c>
      <c r="E4583">
        <f>IF(B4583=1,D4583,E4582)</f>
        <v/>
      </c>
      <c r="F4583">
        <f>IF(AND(B4583=1,C4583&gt;1,E4582&lt;&gt;""),ABS(D4583-E4582),"")</f>
        <v/>
      </c>
    </row>
    <row r="4584">
      <c r="A4584" t="n">
        <v>4584</v>
      </c>
      <c r="B4584">
        <f>IF(INDEX('Data Entry'!$H$5:$BE$10004,4584-4,'Visual SPC'!$B$3)="",0,IF(AND(OR('Visual SPC'!$C$4="",'Data Entry'!$C4584&gt;='Visual SPC'!$C$4),OR('Visual SPC'!$E$4="",'Data Entry'!$C4584&lt;='Visual SPC'!$E$4),OR('Visual SPC'!$G$4="",'Data Entry'!$D4584='Visual SPC'!$G$4),OR('Visual SPC'!$I$4="",'Data Entry'!$E4584='Visual SPC'!$I$4),OR('Visual SPC'!$K$4="",'Data Entry'!$F4584='Visual SPC'!$K$4)),1,0))</f>
        <v/>
      </c>
      <c r="C4584">
        <f>C4583+B4584</f>
        <v/>
      </c>
      <c r="D4584">
        <f>IF(B4584=1,INDEX('Data Entry'!$H$5:$BE$10004,4584-4,'Visual SPC'!$B$3),"")</f>
        <v/>
      </c>
      <c r="E4584">
        <f>IF(B4584=1,D4584,E4583)</f>
        <v/>
      </c>
      <c r="F4584">
        <f>IF(AND(B4584=1,C4584&gt;1,E4583&lt;&gt;""),ABS(D4584-E4583),"")</f>
        <v/>
      </c>
    </row>
    <row r="4585">
      <c r="A4585" t="n">
        <v>4585</v>
      </c>
      <c r="B4585">
        <f>IF(INDEX('Data Entry'!$H$5:$BE$10004,4585-4,'Visual SPC'!$B$3)="",0,IF(AND(OR('Visual SPC'!$C$4="",'Data Entry'!$C4585&gt;='Visual SPC'!$C$4),OR('Visual SPC'!$E$4="",'Data Entry'!$C4585&lt;='Visual SPC'!$E$4),OR('Visual SPC'!$G$4="",'Data Entry'!$D4585='Visual SPC'!$G$4),OR('Visual SPC'!$I$4="",'Data Entry'!$E4585='Visual SPC'!$I$4),OR('Visual SPC'!$K$4="",'Data Entry'!$F4585='Visual SPC'!$K$4)),1,0))</f>
        <v/>
      </c>
      <c r="C4585">
        <f>C4584+B4585</f>
        <v/>
      </c>
      <c r="D4585">
        <f>IF(B4585=1,INDEX('Data Entry'!$H$5:$BE$10004,4585-4,'Visual SPC'!$B$3),"")</f>
        <v/>
      </c>
      <c r="E4585">
        <f>IF(B4585=1,D4585,E4584)</f>
        <v/>
      </c>
      <c r="F4585">
        <f>IF(AND(B4585=1,C4585&gt;1,E4584&lt;&gt;""),ABS(D4585-E4584),"")</f>
        <v/>
      </c>
    </row>
    <row r="4586">
      <c r="A4586" t="n">
        <v>4586</v>
      </c>
      <c r="B4586">
        <f>IF(INDEX('Data Entry'!$H$5:$BE$10004,4586-4,'Visual SPC'!$B$3)="",0,IF(AND(OR('Visual SPC'!$C$4="",'Data Entry'!$C4586&gt;='Visual SPC'!$C$4),OR('Visual SPC'!$E$4="",'Data Entry'!$C4586&lt;='Visual SPC'!$E$4),OR('Visual SPC'!$G$4="",'Data Entry'!$D4586='Visual SPC'!$G$4),OR('Visual SPC'!$I$4="",'Data Entry'!$E4586='Visual SPC'!$I$4),OR('Visual SPC'!$K$4="",'Data Entry'!$F4586='Visual SPC'!$K$4)),1,0))</f>
        <v/>
      </c>
      <c r="C4586">
        <f>C4585+B4586</f>
        <v/>
      </c>
      <c r="D4586">
        <f>IF(B4586=1,INDEX('Data Entry'!$H$5:$BE$10004,4586-4,'Visual SPC'!$B$3),"")</f>
        <v/>
      </c>
      <c r="E4586">
        <f>IF(B4586=1,D4586,E4585)</f>
        <v/>
      </c>
      <c r="F4586">
        <f>IF(AND(B4586=1,C4586&gt;1,E4585&lt;&gt;""),ABS(D4586-E4585),"")</f>
        <v/>
      </c>
    </row>
    <row r="4587">
      <c r="A4587" t="n">
        <v>4587</v>
      </c>
      <c r="B4587">
        <f>IF(INDEX('Data Entry'!$H$5:$BE$10004,4587-4,'Visual SPC'!$B$3)="",0,IF(AND(OR('Visual SPC'!$C$4="",'Data Entry'!$C4587&gt;='Visual SPC'!$C$4),OR('Visual SPC'!$E$4="",'Data Entry'!$C4587&lt;='Visual SPC'!$E$4),OR('Visual SPC'!$G$4="",'Data Entry'!$D4587='Visual SPC'!$G$4),OR('Visual SPC'!$I$4="",'Data Entry'!$E4587='Visual SPC'!$I$4),OR('Visual SPC'!$K$4="",'Data Entry'!$F4587='Visual SPC'!$K$4)),1,0))</f>
        <v/>
      </c>
      <c r="C4587">
        <f>C4586+B4587</f>
        <v/>
      </c>
      <c r="D4587">
        <f>IF(B4587=1,INDEX('Data Entry'!$H$5:$BE$10004,4587-4,'Visual SPC'!$B$3),"")</f>
        <v/>
      </c>
      <c r="E4587">
        <f>IF(B4587=1,D4587,E4586)</f>
        <v/>
      </c>
      <c r="F4587">
        <f>IF(AND(B4587=1,C4587&gt;1,E4586&lt;&gt;""),ABS(D4587-E4586),"")</f>
        <v/>
      </c>
    </row>
    <row r="4588">
      <c r="A4588" t="n">
        <v>4588</v>
      </c>
      <c r="B4588">
        <f>IF(INDEX('Data Entry'!$H$5:$BE$10004,4588-4,'Visual SPC'!$B$3)="",0,IF(AND(OR('Visual SPC'!$C$4="",'Data Entry'!$C4588&gt;='Visual SPC'!$C$4),OR('Visual SPC'!$E$4="",'Data Entry'!$C4588&lt;='Visual SPC'!$E$4),OR('Visual SPC'!$G$4="",'Data Entry'!$D4588='Visual SPC'!$G$4),OR('Visual SPC'!$I$4="",'Data Entry'!$E4588='Visual SPC'!$I$4),OR('Visual SPC'!$K$4="",'Data Entry'!$F4588='Visual SPC'!$K$4)),1,0))</f>
        <v/>
      </c>
      <c r="C4588">
        <f>C4587+B4588</f>
        <v/>
      </c>
      <c r="D4588">
        <f>IF(B4588=1,INDEX('Data Entry'!$H$5:$BE$10004,4588-4,'Visual SPC'!$B$3),"")</f>
        <v/>
      </c>
      <c r="E4588">
        <f>IF(B4588=1,D4588,E4587)</f>
        <v/>
      </c>
      <c r="F4588">
        <f>IF(AND(B4588=1,C4588&gt;1,E4587&lt;&gt;""),ABS(D4588-E4587),"")</f>
        <v/>
      </c>
    </row>
    <row r="4589">
      <c r="A4589" t="n">
        <v>4589</v>
      </c>
      <c r="B4589">
        <f>IF(INDEX('Data Entry'!$H$5:$BE$10004,4589-4,'Visual SPC'!$B$3)="",0,IF(AND(OR('Visual SPC'!$C$4="",'Data Entry'!$C4589&gt;='Visual SPC'!$C$4),OR('Visual SPC'!$E$4="",'Data Entry'!$C4589&lt;='Visual SPC'!$E$4),OR('Visual SPC'!$G$4="",'Data Entry'!$D4589='Visual SPC'!$G$4),OR('Visual SPC'!$I$4="",'Data Entry'!$E4589='Visual SPC'!$I$4),OR('Visual SPC'!$K$4="",'Data Entry'!$F4589='Visual SPC'!$K$4)),1,0))</f>
        <v/>
      </c>
      <c r="C4589">
        <f>C4588+B4589</f>
        <v/>
      </c>
      <c r="D4589">
        <f>IF(B4589=1,INDEX('Data Entry'!$H$5:$BE$10004,4589-4,'Visual SPC'!$B$3),"")</f>
        <v/>
      </c>
      <c r="E4589">
        <f>IF(B4589=1,D4589,E4588)</f>
        <v/>
      </c>
      <c r="F4589">
        <f>IF(AND(B4589=1,C4589&gt;1,E4588&lt;&gt;""),ABS(D4589-E4588),"")</f>
        <v/>
      </c>
    </row>
    <row r="4590">
      <c r="A4590" t="n">
        <v>4590</v>
      </c>
      <c r="B4590">
        <f>IF(INDEX('Data Entry'!$H$5:$BE$10004,4590-4,'Visual SPC'!$B$3)="",0,IF(AND(OR('Visual SPC'!$C$4="",'Data Entry'!$C4590&gt;='Visual SPC'!$C$4),OR('Visual SPC'!$E$4="",'Data Entry'!$C4590&lt;='Visual SPC'!$E$4),OR('Visual SPC'!$G$4="",'Data Entry'!$D4590='Visual SPC'!$G$4),OR('Visual SPC'!$I$4="",'Data Entry'!$E4590='Visual SPC'!$I$4),OR('Visual SPC'!$K$4="",'Data Entry'!$F4590='Visual SPC'!$K$4)),1,0))</f>
        <v/>
      </c>
      <c r="C4590">
        <f>C4589+B4590</f>
        <v/>
      </c>
      <c r="D4590">
        <f>IF(B4590=1,INDEX('Data Entry'!$H$5:$BE$10004,4590-4,'Visual SPC'!$B$3),"")</f>
        <v/>
      </c>
      <c r="E4590">
        <f>IF(B4590=1,D4590,E4589)</f>
        <v/>
      </c>
      <c r="F4590">
        <f>IF(AND(B4590=1,C4590&gt;1,E4589&lt;&gt;""),ABS(D4590-E4589),"")</f>
        <v/>
      </c>
    </row>
    <row r="4591">
      <c r="A4591" t="n">
        <v>4591</v>
      </c>
      <c r="B4591">
        <f>IF(INDEX('Data Entry'!$H$5:$BE$10004,4591-4,'Visual SPC'!$B$3)="",0,IF(AND(OR('Visual SPC'!$C$4="",'Data Entry'!$C4591&gt;='Visual SPC'!$C$4),OR('Visual SPC'!$E$4="",'Data Entry'!$C4591&lt;='Visual SPC'!$E$4),OR('Visual SPC'!$G$4="",'Data Entry'!$D4591='Visual SPC'!$G$4),OR('Visual SPC'!$I$4="",'Data Entry'!$E4591='Visual SPC'!$I$4),OR('Visual SPC'!$K$4="",'Data Entry'!$F4591='Visual SPC'!$K$4)),1,0))</f>
        <v/>
      </c>
      <c r="C4591">
        <f>C4590+B4591</f>
        <v/>
      </c>
      <c r="D4591">
        <f>IF(B4591=1,INDEX('Data Entry'!$H$5:$BE$10004,4591-4,'Visual SPC'!$B$3),"")</f>
        <v/>
      </c>
      <c r="E4591">
        <f>IF(B4591=1,D4591,E4590)</f>
        <v/>
      </c>
      <c r="F4591">
        <f>IF(AND(B4591=1,C4591&gt;1,E4590&lt;&gt;""),ABS(D4591-E4590),"")</f>
        <v/>
      </c>
    </row>
    <row r="4592">
      <c r="A4592" t="n">
        <v>4592</v>
      </c>
      <c r="B4592">
        <f>IF(INDEX('Data Entry'!$H$5:$BE$10004,4592-4,'Visual SPC'!$B$3)="",0,IF(AND(OR('Visual SPC'!$C$4="",'Data Entry'!$C4592&gt;='Visual SPC'!$C$4),OR('Visual SPC'!$E$4="",'Data Entry'!$C4592&lt;='Visual SPC'!$E$4),OR('Visual SPC'!$G$4="",'Data Entry'!$D4592='Visual SPC'!$G$4),OR('Visual SPC'!$I$4="",'Data Entry'!$E4592='Visual SPC'!$I$4),OR('Visual SPC'!$K$4="",'Data Entry'!$F4592='Visual SPC'!$K$4)),1,0))</f>
        <v/>
      </c>
      <c r="C4592">
        <f>C4591+B4592</f>
        <v/>
      </c>
      <c r="D4592">
        <f>IF(B4592=1,INDEX('Data Entry'!$H$5:$BE$10004,4592-4,'Visual SPC'!$B$3),"")</f>
        <v/>
      </c>
      <c r="E4592">
        <f>IF(B4592=1,D4592,E4591)</f>
        <v/>
      </c>
      <c r="F4592">
        <f>IF(AND(B4592=1,C4592&gt;1,E4591&lt;&gt;""),ABS(D4592-E4591),"")</f>
        <v/>
      </c>
    </row>
    <row r="4593">
      <c r="A4593" t="n">
        <v>4593</v>
      </c>
      <c r="B4593">
        <f>IF(INDEX('Data Entry'!$H$5:$BE$10004,4593-4,'Visual SPC'!$B$3)="",0,IF(AND(OR('Visual SPC'!$C$4="",'Data Entry'!$C4593&gt;='Visual SPC'!$C$4),OR('Visual SPC'!$E$4="",'Data Entry'!$C4593&lt;='Visual SPC'!$E$4),OR('Visual SPC'!$G$4="",'Data Entry'!$D4593='Visual SPC'!$G$4),OR('Visual SPC'!$I$4="",'Data Entry'!$E4593='Visual SPC'!$I$4),OR('Visual SPC'!$K$4="",'Data Entry'!$F4593='Visual SPC'!$K$4)),1,0))</f>
        <v/>
      </c>
      <c r="C4593">
        <f>C4592+B4593</f>
        <v/>
      </c>
      <c r="D4593">
        <f>IF(B4593=1,INDEX('Data Entry'!$H$5:$BE$10004,4593-4,'Visual SPC'!$B$3),"")</f>
        <v/>
      </c>
      <c r="E4593">
        <f>IF(B4593=1,D4593,E4592)</f>
        <v/>
      </c>
      <c r="F4593">
        <f>IF(AND(B4593=1,C4593&gt;1,E4592&lt;&gt;""),ABS(D4593-E4592),"")</f>
        <v/>
      </c>
    </row>
    <row r="4594">
      <c r="A4594" t="n">
        <v>4594</v>
      </c>
      <c r="B4594">
        <f>IF(INDEX('Data Entry'!$H$5:$BE$10004,4594-4,'Visual SPC'!$B$3)="",0,IF(AND(OR('Visual SPC'!$C$4="",'Data Entry'!$C4594&gt;='Visual SPC'!$C$4),OR('Visual SPC'!$E$4="",'Data Entry'!$C4594&lt;='Visual SPC'!$E$4),OR('Visual SPC'!$G$4="",'Data Entry'!$D4594='Visual SPC'!$G$4),OR('Visual SPC'!$I$4="",'Data Entry'!$E4594='Visual SPC'!$I$4),OR('Visual SPC'!$K$4="",'Data Entry'!$F4594='Visual SPC'!$K$4)),1,0))</f>
        <v/>
      </c>
      <c r="C4594">
        <f>C4593+B4594</f>
        <v/>
      </c>
      <c r="D4594">
        <f>IF(B4594=1,INDEX('Data Entry'!$H$5:$BE$10004,4594-4,'Visual SPC'!$B$3),"")</f>
        <v/>
      </c>
      <c r="E4594">
        <f>IF(B4594=1,D4594,E4593)</f>
        <v/>
      </c>
      <c r="F4594">
        <f>IF(AND(B4594=1,C4594&gt;1,E4593&lt;&gt;""),ABS(D4594-E4593),"")</f>
        <v/>
      </c>
    </row>
    <row r="4595">
      <c r="A4595" t="n">
        <v>4595</v>
      </c>
      <c r="B4595">
        <f>IF(INDEX('Data Entry'!$H$5:$BE$10004,4595-4,'Visual SPC'!$B$3)="",0,IF(AND(OR('Visual SPC'!$C$4="",'Data Entry'!$C4595&gt;='Visual SPC'!$C$4),OR('Visual SPC'!$E$4="",'Data Entry'!$C4595&lt;='Visual SPC'!$E$4),OR('Visual SPC'!$G$4="",'Data Entry'!$D4595='Visual SPC'!$G$4),OR('Visual SPC'!$I$4="",'Data Entry'!$E4595='Visual SPC'!$I$4),OR('Visual SPC'!$K$4="",'Data Entry'!$F4595='Visual SPC'!$K$4)),1,0))</f>
        <v/>
      </c>
      <c r="C4595">
        <f>C4594+B4595</f>
        <v/>
      </c>
      <c r="D4595">
        <f>IF(B4595=1,INDEX('Data Entry'!$H$5:$BE$10004,4595-4,'Visual SPC'!$B$3),"")</f>
        <v/>
      </c>
      <c r="E4595">
        <f>IF(B4595=1,D4595,E4594)</f>
        <v/>
      </c>
      <c r="F4595">
        <f>IF(AND(B4595=1,C4595&gt;1,E4594&lt;&gt;""),ABS(D4595-E4594),"")</f>
        <v/>
      </c>
    </row>
    <row r="4596">
      <c r="A4596" t="n">
        <v>4596</v>
      </c>
      <c r="B4596">
        <f>IF(INDEX('Data Entry'!$H$5:$BE$10004,4596-4,'Visual SPC'!$B$3)="",0,IF(AND(OR('Visual SPC'!$C$4="",'Data Entry'!$C4596&gt;='Visual SPC'!$C$4),OR('Visual SPC'!$E$4="",'Data Entry'!$C4596&lt;='Visual SPC'!$E$4),OR('Visual SPC'!$G$4="",'Data Entry'!$D4596='Visual SPC'!$G$4),OR('Visual SPC'!$I$4="",'Data Entry'!$E4596='Visual SPC'!$I$4),OR('Visual SPC'!$K$4="",'Data Entry'!$F4596='Visual SPC'!$K$4)),1,0))</f>
        <v/>
      </c>
      <c r="C4596">
        <f>C4595+B4596</f>
        <v/>
      </c>
      <c r="D4596">
        <f>IF(B4596=1,INDEX('Data Entry'!$H$5:$BE$10004,4596-4,'Visual SPC'!$B$3),"")</f>
        <v/>
      </c>
      <c r="E4596">
        <f>IF(B4596=1,D4596,E4595)</f>
        <v/>
      </c>
      <c r="F4596">
        <f>IF(AND(B4596=1,C4596&gt;1,E4595&lt;&gt;""),ABS(D4596-E4595),"")</f>
        <v/>
      </c>
    </row>
    <row r="4597">
      <c r="A4597" t="n">
        <v>4597</v>
      </c>
      <c r="B4597">
        <f>IF(INDEX('Data Entry'!$H$5:$BE$10004,4597-4,'Visual SPC'!$B$3)="",0,IF(AND(OR('Visual SPC'!$C$4="",'Data Entry'!$C4597&gt;='Visual SPC'!$C$4),OR('Visual SPC'!$E$4="",'Data Entry'!$C4597&lt;='Visual SPC'!$E$4),OR('Visual SPC'!$G$4="",'Data Entry'!$D4597='Visual SPC'!$G$4),OR('Visual SPC'!$I$4="",'Data Entry'!$E4597='Visual SPC'!$I$4),OR('Visual SPC'!$K$4="",'Data Entry'!$F4597='Visual SPC'!$K$4)),1,0))</f>
        <v/>
      </c>
      <c r="C4597">
        <f>C4596+B4597</f>
        <v/>
      </c>
      <c r="D4597">
        <f>IF(B4597=1,INDEX('Data Entry'!$H$5:$BE$10004,4597-4,'Visual SPC'!$B$3),"")</f>
        <v/>
      </c>
      <c r="E4597">
        <f>IF(B4597=1,D4597,E4596)</f>
        <v/>
      </c>
      <c r="F4597">
        <f>IF(AND(B4597=1,C4597&gt;1,E4596&lt;&gt;""),ABS(D4597-E4596),"")</f>
        <v/>
      </c>
    </row>
    <row r="4598">
      <c r="A4598" t="n">
        <v>4598</v>
      </c>
      <c r="B4598">
        <f>IF(INDEX('Data Entry'!$H$5:$BE$10004,4598-4,'Visual SPC'!$B$3)="",0,IF(AND(OR('Visual SPC'!$C$4="",'Data Entry'!$C4598&gt;='Visual SPC'!$C$4),OR('Visual SPC'!$E$4="",'Data Entry'!$C4598&lt;='Visual SPC'!$E$4),OR('Visual SPC'!$G$4="",'Data Entry'!$D4598='Visual SPC'!$G$4),OR('Visual SPC'!$I$4="",'Data Entry'!$E4598='Visual SPC'!$I$4),OR('Visual SPC'!$K$4="",'Data Entry'!$F4598='Visual SPC'!$K$4)),1,0))</f>
        <v/>
      </c>
      <c r="C4598">
        <f>C4597+B4598</f>
        <v/>
      </c>
      <c r="D4598">
        <f>IF(B4598=1,INDEX('Data Entry'!$H$5:$BE$10004,4598-4,'Visual SPC'!$B$3),"")</f>
        <v/>
      </c>
      <c r="E4598">
        <f>IF(B4598=1,D4598,E4597)</f>
        <v/>
      </c>
      <c r="F4598">
        <f>IF(AND(B4598=1,C4598&gt;1,E4597&lt;&gt;""),ABS(D4598-E4597),"")</f>
        <v/>
      </c>
    </row>
    <row r="4599">
      <c r="A4599" t="n">
        <v>4599</v>
      </c>
      <c r="B4599">
        <f>IF(INDEX('Data Entry'!$H$5:$BE$10004,4599-4,'Visual SPC'!$B$3)="",0,IF(AND(OR('Visual SPC'!$C$4="",'Data Entry'!$C4599&gt;='Visual SPC'!$C$4),OR('Visual SPC'!$E$4="",'Data Entry'!$C4599&lt;='Visual SPC'!$E$4),OR('Visual SPC'!$G$4="",'Data Entry'!$D4599='Visual SPC'!$G$4),OR('Visual SPC'!$I$4="",'Data Entry'!$E4599='Visual SPC'!$I$4),OR('Visual SPC'!$K$4="",'Data Entry'!$F4599='Visual SPC'!$K$4)),1,0))</f>
        <v/>
      </c>
      <c r="C4599">
        <f>C4598+B4599</f>
        <v/>
      </c>
      <c r="D4599">
        <f>IF(B4599=1,INDEX('Data Entry'!$H$5:$BE$10004,4599-4,'Visual SPC'!$B$3),"")</f>
        <v/>
      </c>
      <c r="E4599">
        <f>IF(B4599=1,D4599,E4598)</f>
        <v/>
      </c>
      <c r="F4599">
        <f>IF(AND(B4599=1,C4599&gt;1,E4598&lt;&gt;""),ABS(D4599-E4598),"")</f>
        <v/>
      </c>
    </row>
    <row r="4600">
      <c r="A4600" t="n">
        <v>4600</v>
      </c>
      <c r="B4600">
        <f>IF(INDEX('Data Entry'!$H$5:$BE$10004,4600-4,'Visual SPC'!$B$3)="",0,IF(AND(OR('Visual SPC'!$C$4="",'Data Entry'!$C4600&gt;='Visual SPC'!$C$4),OR('Visual SPC'!$E$4="",'Data Entry'!$C4600&lt;='Visual SPC'!$E$4),OR('Visual SPC'!$G$4="",'Data Entry'!$D4600='Visual SPC'!$G$4),OR('Visual SPC'!$I$4="",'Data Entry'!$E4600='Visual SPC'!$I$4),OR('Visual SPC'!$K$4="",'Data Entry'!$F4600='Visual SPC'!$K$4)),1,0))</f>
        <v/>
      </c>
      <c r="C4600">
        <f>C4599+B4600</f>
        <v/>
      </c>
      <c r="D4600">
        <f>IF(B4600=1,INDEX('Data Entry'!$H$5:$BE$10004,4600-4,'Visual SPC'!$B$3),"")</f>
        <v/>
      </c>
      <c r="E4600">
        <f>IF(B4600=1,D4600,E4599)</f>
        <v/>
      </c>
      <c r="F4600">
        <f>IF(AND(B4600=1,C4600&gt;1,E4599&lt;&gt;""),ABS(D4600-E4599),"")</f>
        <v/>
      </c>
    </row>
    <row r="4601">
      <c r="A4601" t="n">
        <v>4601</v>
      </c>
      <c r="B4601">
        <f>IF(INDEX('Data Entry'!$H$5:$BE$10004,4601-4,'Visual SPC'!$B$3)="",0,IF(AND(OR('Visual SPC'!$C$4="",'Data Entry'!$C4601&gt;='Visual SPC'!$C$4),OR('Visual SPC'!$E$4="",'Data Entry'!$C4601&lt;='Visual SPC'!$E$4),OR('Visual SPC'!$G$4="",'Data Entry'!$D4601='Visual SPC'!$G$4),OR('Visual SPC'!$I$4="",'Data Entry'!$E4601='Visual SPC'!$I$4),OR('Visual SPC'!$K$4="",'Data Entry'!$F4601='Visual SPC'!$K$4)),1,0))</f>
        <v/>
      </c>
      <c r="C4601">
        <f>C4600+B4601</f>
        <v/>
      </c>
      <c r="D4601">
        <f>IF(B4601=1,INDEX('Data Entry'!$H$5:$BE$10004,4601-4,'Visual SPC'!$B$3),"")</f>
        <v/>
      </c>
      <c r="E4601">
        <f>IF(B4601=1,D4601,E4600)</f>
        <v/>
      </c>
      <c r="F4601">
        <f>IF(AND(B4601=1,C4601&gt;1,E4600&lt;&gt;""),ABS(D4601-E4600),"")</f>
        <v/>
      </c>
    </row>
    <row r="4602">
      <c r="A4602" t="n">
        <v>4602</v>
      </c>
      <c r="B4602">
        <f>IF(INDEX('Data Entry'!$H$5:$BE$10004,4602-4,'Visual SPC'!$B$3)="",0,IF(AND(OR('Visual SPC'!$C$4="",'Data Entry'!$C4602&gt;='Visual SPC'!$C$4),OR('Visual SPC'!$E$4="",'Data Entry'!$C4602&lt;='Visual SPC'!$E$4),OR('Visual SPC'!$G$4="",'Data Entry'!$D4602='Visual SPC'!$G$4),OR('Visual SPC'!$I$4="",'Data Entry'!$E4602='Visual SPC'!$I$4),OR('Visual SPC'!$K$4="",'Data Entry'!$F4602='Visual SPC'!$K$4)),1,0))</f>
        <v/>
      </c>
      <c r="C4602">
        <f>C4601+B4602</f>
        <v/>
      </c>
      <c r="D4602">
        <f>IF(B4602=1,INDEX('Data Entry'!$H$5:$BE$10004,4602-4,'Visual SPC'!$B$3),"")</f>
        <v/>
      </c>
      <c r="E4602">
        <f>IF(B4602=1,D4602,E4601)</f>
        <v/>
      </c>
      <c r="F4602">
        <f>IF(AND(B4602=1,C4602&gt;1,E4601&lt;&gt;""),ABS(D4602-E4601),"")</f>
        <v/>
      </c>
    </row>
    <row r="4603">
      <c r="A4603" t="n">
        <v>4603</v>
      </c>
      <c r="B4603">
        <f>IF(INDEX('Data Entry'!$H$5:$BE$10004,4603-4,'Visual SPC'!$B$3)="",0,IF(AND(OR('Visual SPC'!$C$4="",'Data Entry'!$C4603&gt;='Visual SPC'!$C$4),OR('Visual SPC'!$E$4="",'Data Entry'!$C4603&lt;='Visual SPC'!$E$4),OR('Visual SPC'!$G$4="",'Data Entry'!$D4603='Visual SPC'!$G$4),OR('Visual SPC'!$I$4="",'Data Entry'!$E4603='Visual SPC'!$I$4),OR('Visual SPC'!$K$4="",'Data Entry'!$F4603='Visual SPC'!$K$4)),1,0))</f>
        <v/>
      </c>
      <c r="C4603">
        <f>C4602+B4603</f>
        <v/>
      </c>
      <c r="D4603">
        <f>IF(B4603=1,INDEX('Data Entry'!$H$5:$BE$10004,4603-4,'Visual SPC'!$B$3),"")</f>
        <v/>
      </c>
      <c r="E4603">
        <f>IF(B4603=1,D4603,E4602)</f>
        <v/>
      </c>
      <c r="F4603">
        <f>IF(AND(B4603=1,C4603&gt;1,E4602&lt;&gt;""),ABS(D4603-E4602),"")</f>
        <v/>
      </c>
    </row>
    <row r="4604">
      <c r="A4604" t="n">
        <v>4604</v>
      </c>
      <c r="B4604">
        <f>IF(INDEX('Data Entry'!$H$5:$BE$10004,4604-4,'Visual SPC'!$B$3)="",0,IF(AND(OR('Visual SPC'!$C$4="",'Data Entry'!$C4604&gt;='Visual SPC'!$C$4),OR('Visual SPC'!$E$4="",'Data Entry'!$C4604&lt;='Visual SPC'!$E$4),OR('Visual SPC'!$G$4="",'Data Entry'!$D4604='Visual SPC'!$G$4),OR('Visual SPC'!$I$4="",'Data Entry'!$E4604='Visual SPC'!$I$4),OR('Visual SPC'!$K$4="",'Data Entry'!$F4604='Visual SPC'!$K$4)),1,0))</f>
        <v/>
      </c>
      <c r="C4604">
        <f>C4603+B4604</f>
        <v/>
      </c>
      <c r="D4604">
        <f>IF(B4604=1,INDEX('Data Entry'!$H$5:$BE$10004,4604-4,'Visual SPC'!$B$3),"")</f>
        <v/>
      </c>
      <c r="E4604">
        <f>IF(B4604=1,D4604,E4603)</f>
        <v/>
      </c>
      <c r="F4604">
        <f>IF(AND(B4604=1,C4604&gt;1,E4603&lt;&gt;""),ABS(D4604-E4603),"")</f>
        <v/>
      </c>
    </row>
    <row r="4605">
      <c r="A4605" t="n">
        <v>4605</v>
      </c>
      <c r="B4605">
        <f>IF(INDEX('Data Entry'!$H$5:$BE$10004,4605-4,'Visual SPC'!$B$3)="",0,IF(AND(OR('Visual SPC'!$C$4="",'Data Entry'!$C4605&gt;='Visual SPC'!$C$4),OR('Visual SPC'!$E$4="",'Data Entry'!$C4605&lt;='Visual SPC'!$E$4),OR('Visual SPC'!$G$4="",'Data Entry'!$D4605='Visual SPC'!$G$4),OR('Visual SPC'!$I$4="",'Data Entry'!$E4605='Visual SPC'!$I$4),OR('Visual SPC'!$K$4="",'Data Entry'!$F4605='Visual SPC'!$K$4)),1,0))</f>
        <v/>
      </c>
      <c r="C4605">
        <f>C4604+B4605</f>
        <v/>
      </c>
      <c r="D4605">
        <f>IF(B4605=1,INDEX('Data Entry'!$H$5:$BE$10004,4605-4,'Visual SPC'!$B$3),"")</f>
        <v/>
      </c>
      <c r="E4605">
        <f>IF(B4605=1,D4605,E4604)</f>
        <v/>
      </c>
      <c r="F4605">
        <f>IF(AND(B4605=1,C4605&gt;1,E4604&lt;&gt;""),ABS(D4605-E4604),"")</f>
        <v/>
      </c>
    </row>
    <row r="4606">
      <c r="A4606" t="n">
        <v>4606</v>
      </c>
      <c r="B4606">
        <f>IF(INDEX('Data Entry'!$H$5:$BE$10004,4606-4,'Visual SPC'!$B$3)="",0,IF(AND(OR('Visual SPC'!$C$4="",'Data Entry'!$C4606&gt;='Visual SPC'!$C$4),OR('Visual SPC'!$E$4="",'Data Entry'!$C4606&lt;='Visual SPC'!$E$4),OR('Visual SPC'!$G$4="",'Data Entry'!$D4606='Visual SPC'!$G$4),OR('Visual SPC'!$I$4="",'Data Entry'!$E4606='Visual SPC'!$I$4),OR('Visual SPC'!$K$4="",'Data Entry'!$F4606='Visual SPC'!$K$4)),1,0))</f>
        <v/>
      </c>
      <c r="C4606">
        <f>C4605+B4606</f>
        <v/>
      </c>
      <c r="D4606">
        <f>IF(B4606=1,INDEX('Data Entry'!$H$5:$BE$10004,4606-4,'Visual SPC'!$B$3),"")</f>
        <v/>
      </c>
      <c r="E4606">
        <f>IF(B4606=1,D4606,E4605)</f>
        <v/>
      </c>
      <c r="F4606">
        <f>IF(AND(B4606=1,C4606&gt;1,E4605&lt;&gt;""),ABS(D4606-E4605),"")</f>
        <v/>
      </c>
    </row>
    <row r="4607">
      <c r="A4607" t="n">
        <v>4607</v>
      </c>
      <c r="B4607">
        <f>IF(INDEX('Data Entry'!$H$5:$BE$10004,4607-4,'Visual SPC'!$B$3)="",0,IF(AND(OR('Visual SPC'!$C$4="",'Data Entry'!$C4607&gt;='Visual SPC'!$C$4),OR('Visual SPC'!$E$4="",'Data Entry'!$C4607&lt;='Visual SPC'!$E$4),OR('Visual SPC'!$G$4="",'Data Entry'!$D4607='Visual SPC'!$G$4),OR('Visual SPC'!$I$4="",'Data Entry'!$E4607='Visual SPC'!$I$4),OR('Visual SPC'!$K$4="",'Data Entry'!$F4607='Visual SPC'!$K$4)),1,0))</f>
        <v/>
      </c>
      <c r="C4607">
        <f>C4606+B4607</f>
        <v/>
      </c>
      <c r="D4607">
        <f>IF(B4607=1,INDEX('Data Entry'!$H$5:$BE$10004,4607-4,'Visual SPC'!$B$3),"")</f>
        <v/>
      </c>
      <c r="E4607">
        <f>IF(B4607=1,D4607,E4606)</f>
        <v/>
      </c>
      <c r="F4607">
        <f>IF(AND(B4607=1,C4607&gt;1,E4606&lt;&gt;""),ABS(D4607-E4606),"")</f>
        <v/>
      </c>
    </row>
    <row r="4608">
      <c r="A4608" t="n">
        <v>4608</v>
      </c>
      <c r="B4608">
        <f>IF(INDEX('Data Entry'!$H$5:$BE$10004,4608-4,'Visual SPC'!$B$3)="",0,IF(AND(OR('Visual SPC'!$C$4="",'Data Entry'!$C4608&gt;='Visual SPC'!$C$4),OR('Visual SPC'!$E$4="",'Data Entry'!$C4608&lt;='Visual SPC'!$E$4),OR('Visual SPC'!$G$4="",'Data Entry'!$D4608='Visual SPC'!$G$4),OR('Visual SPC'!$I$4="",'Data Entry'!$E4608='Visual SPC'!$I$4),OR('Visual SPC'!$K$4="",'Data Entry'!$F4608='Visual SPC'!$K$4)),1,0))</f>
        <v/>
      </c>
      <c r="C4608">
        <f>C4607+B4608</f>
        <v/>
      </c>
      <c r="D4608">
        <f>IF(B4608=1,INDEX('Data Entry'!$H$5:$BE$10004,4608-4,'Visual SPC'!$B$3),"")</f>
        <v/>
      </c>
      <c r="E4608">
        <f>IF(B4608=1,D4608,E4607)</f>
        <v/>
      </c>
      <c r="F4608">
        <f>IF(AND(B4608=1,C4608&gt;1,E4607&lt;&gt;""),ABS(D4608-E4607),"")</f>
        <v/>
      </c>
    </row>
    <row r="4609">
      <c r="A4609" t="n">
        <v>4609</v>
      </c>
      <c r="B4609">
        <f>IF(INDEX('Data Entry'!$H$5:$BE$10004,4609-4,'Visual SPC'!$B$3)="",0,IF(AND(OR('Visual SPC'!$C$4="",'Data Entry'!$C4609&gt;='Visual SPC'!$C$4),OR('Visual SPC'!$E$4="",'Data Entry'!$C4609&lt;='Visual SPC'!$E$4),OR('Visual SPC'!$G$4="",'Data Entry'!$D4609='Visual SPC'!$G$4),OR('Visual SPC'!$I$4="",'Data Entry'!$E4609='Visual SPC'!$I$4),OR('Visual SPC'!$K$4="",'Data Entry'!$F4609='Visual SPC'!$K$4)),1,0))</f>
        <v/>
      </c>
      <c r="C4609">
        <f>C4608+B4609</f>
        <v/>
      </c>
      <c r="D4609">
        <f>IF(B4609=1,INDEX('Data Entry'!$H$5:$BE$10004,4609-4,'Visual SPC'!$B$3),"")</f>
        <v/>
      </c>
      <c r="E4609">
        <f>IF(B4609=1,D4609,E4608)</f>
        <v/>
      </c>
      <c r="F4609">
        <f>IF(AND(B4609=1,C4609&gt;1,E4608&lt;&gt;""),ABS(D4609-E4608),"")</f>
        <v/>
      </c>
    </row>
    <row r="4610">
      <c r="A4610" t="n">
        <v>4610</v>
      </c>
      <c r="B4610">
        <f>IF(INDEX('Data Entry'!$H$5:$BE$10004,4610-4,'Visual SPC'!$B$3)="",0,IF(AND(OR('Visual SPC'!$C$4="",'Data Entry'!$C4610&gt;='Visual SPC'!$C$4),OR('Visual SPC'!$E$4="",'Data Entry'!$C4610&lt;='Visual SPC'!$E$4),OR('Visual SPC'!$G$4="",'Data Entry'!$D4610='Visual SPC'!$G$4),OR('Visual SPC'!$I$4="",'Data Entry'!$E4610='Visual SPC'!$I$4),OR('Visual SPC'!$K$4="",'Data Entry'!$F4610='Visual SPC'!$K$4)),1,0))</f>
        <v/>
      </c>
      <c r="C4610">
        <f>C4609+B4610</f>
        <v/>
      </c>
      <c r="D4610">
        <f>IF(B4610=1,INDEX('Data Entry'!$H$5:$BE$10004,4610-4,'Visual SPC'!$B$3),"")</f>
        <v/>
      </c>
      <c r="E4610">
        <f>IF(B4610=1,D4610,E4609)</f>
        <v/>
      </c>
      <c r="F4610">
        <f>IF(AND(B4610=1,C4610&gt;1,E4609&lt;&gt;""),ABS(D4610-E4609),"")</f>
        <v/>
      </c>
    </row>
    <row r="4611">
      <c r="A4611" t="n">
        <v>4611</v>
      </c>
      <c r="B4611">
        <f>IF(INDEX('Data Entry'!$H$5:$BE$10004,4611-4,'Visual SPC'!$B$3)="",0,IF(AND(OR('Visual SPC'!$C$4="",'Data Entry'!$C4611&gt;='Visual SPC'!$C$4),OR('Visual SPC'!$E$4="",'Data Entry'!$C4611&lt;='Visual SPC'!$E$4),OR('Visual SPC'!$G$4="",'Data Entry'!$D4611='Visual SPC'!$G$4),OR('Visual SPC'!$I$4="",'Data Entry'!$E4611='Visual SPC'!$I$4),OR('Visual SPC'!$K$4="",'Data Entry'!$F4611='Visual SPC'!$K$4)),1,0))</f>
        <v/>
      </c>
      <c r="C4611">
        <f>C4610+B4611</f>
        <v/>
      </c>
      <c r="D4611">
        <f>IF(B4611=1,INDEX('Data Entry'!$H$5:$BE$10004,4611-4,'Visual SPC'!$B$3),"")</f>
        <v/>
      </c>
      <c r="E4611">
        <f>IF(B4611=1,D4611,E4610)</f>
        <v/>
      </c>
      <c r="F4611">
        <f>IF(AND(B4611=1,C4611&gt;1,E4610&lt;&gt;""),ABS(D4611-E4610),"")</f>
        <v/>
      </c>
    </row>
    <row r="4612">
      <c r="A4612" t="n">
        <v>4612</v>
      </c>
      <c r="B4612">
        <f>IF(INDEX('Data Entry'!$H$5:$BE$10004,4612-4,'Visual SPC'!$B$3)="",0,IF(AND(OR('Visual SPC'!$C$4="",'Data Entry'!$C4612&gt;='Visual SPC'!$C$4),OR('Visual SPC'!$E$4="",'Data Entry'!$C4612&lt;='Visual SPC'!$E$4),OR('Visual SPC'!$G$4="",'Data Entry'!$D4612='Visual SPC'!$G$4),OR('Visual SPC'!$I$4="",'Data Entry'!$E4612='Visual SPC'!$I$4),OR('Visual SPC'!$K$4="",'Data Entry'!$F4612='Visual SPC'!$K$4)),1,0))</f>
        <v/>
      </c>
      <c r="C4612">
        <f>C4611+B4612</f>
        <v/>
      </c>
      <c r="D4612">
        <f>IF(B4612=1,INDEX('Data Entry'!$H$5:$BE$10004,4612-4,'Visual SPC'!$B$3),"")</f>
        <v/>
      </c>
      <c r="E4612">
        <f>IF(B4612=1,D4612,E4611)</f>
        <v/>
      </c>
      <c r="F4612">
        <f>IF(AND(B4612=1,C4612&gt;1,E4611&lt;&gt;""),ABS(D4612-E4611),"")</f>
        <v/>
      </c>
    </row>
    <row r="4613">
      <c r="A4613" t="n">
        <v>4613</v>
      </c>
      <c r="B4613">
        <f>IF(INDEX('Data Entry'!$H$5:$BE$10004,4613-4,'Visual SPC'!$B$3)="",0,IF(AND(OR('Visual SPC'!$C$4="",'Data Entry'!$C4613&gt;='Visual SPC'!$C$4),OR('Visual SPC'!$E$4="",'Data Entry'!$C4613&lt;='Visual SPC'!$E$4),OR('Visual SPC'!$G$4="",'Data Entry'!$D4613='Visual SPC'!$G$4),OR('Visual SPC'!$I$4="",'Data Entry'!$E4613='Visual SPC'!$I$4),OR('Visual SPC'!$K$4="",'Data Entry'!$F4613='Visual SPC'!$K$4)),1,0))</f>
        <v/>
      </c>
      <c r="C4613">
        <f>C4612+B4613</f>
        <v/>
      </c>
      <c r="D4613">
        <f>IF(B4613=1,INDEX('Data Entry'!$H$5:$BE$10004,4613-4,'Visual SPC'!$B$3),"")</f>
        <v/>
      </c>
      <c r="E4613">
        <f>IF(B4613=1,D4613,E4612)</f>
        <v/>
      </c>
      <c r="F4613">
        <f>IF(AND(B4613=1,C4613&gt;1,E4612&lt;&gt;""),ABS(D4613-E4612),"")</f>
        <v/>
      </c>
    </row>
    <row r="4614">
      <c r="A4614" t="n">
        <v>4614</v>
      </c>
      <c r="B4614">
        <f>IF(INDEX('Data Entry'!$H$5:$BE$10004,4614-4,'Visual SPC'!$B$3)="",0,IF(AND(OR('Visual SPC'!$C$4="",'Data Entry'!$C4614&gt;='Visual SPC'!$C$4),OR('Visual SPC'!$E$4="",'Data Entry'!$C4614&lt;='Visual SPC'!$E$4),OR('Visual SPC'!$G$4="",'Data Entry'!$D4614='Visual SPC'!$G$4),OR('Visual SPC'!$I$4="",'Data Entry'!$E4614='Visual SPC'!$I$4),OR('Visual SPC'!$K$4="",'Data Entry'!$F4614='Visual SPC'!$K$4)),1,0))</f>
        <v/>
      </c>
      <c r="C4614">
        <f>C4613+B4614</f>
        <v/>
      </c>
      <c r="D4614">
        <f>IF(B4614=1,INDEX('Data Entry'!$H$5:$BE$10004,4614-4,'Visual SPC'!$B$3),"")</f>
        <v/>
      </c>
      <c r="E4614">
        <f>IF(B4614=1,D4614,E4613)</f>
        <v/>
      </c>
      <c r="F4614">
        <f>IF(AND(B4614=1,C4614&gt;1,E4613&lt;&gt;""),ABS(D4614-E4613),"")</f>
        <v/>
      </c>
    </row>
    <row r="4615">
      <c r="A4615" t="n">
        <v>4615</v>
      </c>
      <c r="B4615">
        <f>IF(INDEX('Data Entry'!$H$5:$BE$10004,4615-4,'Visual SPC'!$B$3)="",0,IF(AND(OR('Visual SPC'!$C$4="",'Data Entry'!$C4615&gt;='Visual SPC'!$C$4),OR('Visual SPC'!$E$4="",'Data Entry'!$C4615&lt;='Visual SPC'!$E$4),OR('Visual SPC'!$G$4="",'Data Entry'!$D4615='Visual SPC'!$G$4),OR('Visual SPC'!$I$4="",'Data Entry'!$E4615='Visual SPC'!$I$4),OR('Visual SPC'!$K$4="",'Data Entry'!$F4615='Visual SPC'!$K$4)),1,0))</f>
        <v/>
      </c>
      <c r="C4615">
        <f>C4614+B4615</f>
        <v/>
      </c>
      <c r="D4615">
        <f>IF(B4615=1,INDEX('Data Entry'!$H$5:$BE$10004,4615-4,'Visual SPC'!$B$3),"")</f>
        <v/>
      </c>
      <c r="E4615">
        <f>IF(B4615=1,D4615,E4614)</f>
        <v/>
      </c>
      <c r="F4615">
        <f>IF(AND(B4615=1,C4615&gt;1,E4614&lt;&gt;""),ABS(D4615-E4614),"")</f>
        <v/>
      </c>
    </row>
    <row r="4616">
      <c r="A4616" t="n">
        <v>4616</v>
      </c>
      <c r="B4616">
        <f>IF(INDEX('Data Entry'!$H$5:$BE$10004,4616-4,'Visual SPC'!$B$3)="",0,IF(AND(OR('Visual SPC'!$C$4="",'Data Entry'!$C4616&gt;='Visual SPC'!$C$4),OR('Visual SPC'!$E$4="",'Data Entry'!$C4616&lt;='Visual SPC'!$E$4),OR('Visual SPC'!$G$4="",'Data Entry'!$D4616='Visual SPC'!$G$4),OR('Visual SPC'!$I$4="",'Data Entry'!$E4616='Visual SPC'!$I$4),OR('Visual SPC'!$K$4="",'Data Entry'!$F4616='Visual SPC'!$K$4)),1,0))</f>
        <v/>
      </c>
      <c r="C4616">
        <f>C4615+B4616</f>
        <v/>
      </c>
      <c r="D4616">
        <f>IF(B4616=1,INDEX('Data Entry'!$H$5:$BE$10004,4616-4,'Visual SPC'!$B$3),"")</f>
        <v/>
      </c>
      <c r="E4616">
        <f>IF(B4616=1,D4616,E4615)</f>
        <v/>
      </c>
      <c r="F4616">
        <f>IF(AND(B4616=1,C4616&gt;1,E4615&lt;&gt;""),ABS(D4616-E4615),"")</f>
        <v/>
      </c>
    </row>
    <row r="4617">
      <c r="A4617" t="n">
        <v>4617</v>
      </c>
      <c r="B4617">
        <f>IF(INDEX('Data Entry'!$H$5:$BE$10004,4617-4,'Visual SPC'!$B$3)="",0,IF(AND(OR('Visual SPC'!$C$4="",'Data Entry'!$C4617&gt;='Visual SPC'!$C$4),OR('Visual SPC'!$E$4="",'Data Entry'!$C4617&lt;='Visual SPC'!$E$4),OR('Visual SPC'!$G$4="",'Data Entry'!$D4617='Visual SPC'!$G$4),OR('Visual SPC'!$I$4="",'Data Entry'!$E4617='Visual SPC'!$I$4),OR('Visual SPC'!$K$4="",'Data Entry'!$F4617='Visual SPC'!$K$4)),1,0))</f>
        <v/>
      </c>
      <c r="C4617">
        <f>C4616+B4617</f>
        <v/>
      </c>
      <c r="D4617">
        <f>IF(B4617=1,INDEX('Data Entry'!$H$5:$BE$10004,4617-4,'Visual SPC'!$B$3),"")</f>
        <v/>
      </c>
      <c r="E4617">
        <f>IF(B4617=1,D4617,E4616)</f>
        <v/>
      </c>
      <c r="F4617">
        <f>IF(AND(B4617=1,C4617&gt;1,E4616&lt;&gt;""),ABS(D4617-E4616),"")</f>
        <v/>
      </c>
    </row>
    <row r="4618">
      <c r="A4618" t="n">
        <v>4618</v>
      </c>
      <c r="B4618">
        <f>IF(INDEX('Data Entry'!$H$5:$BE$10004,4618-4,'Visual SPC'!$B$3)="",0,IF(AND(OR('Visual SPC'!$C$4="",'Data Entry'!$C4618&gt;='Visual SPC'!$C$4),OR('Visual SPC'!$E$4="",'Data Entry'!$C4618&lt;='Visual SPC'!$E$4),OR('Visual SPC'!$G$4="",'Data Entry'!$D4618='Visual SPC'!$G$4),OR('Visual SPC'!$I$4="",'Data Entry'!$E4618='Visual SPC'!$I$4),OR('Visual SPC'!$K$4="",'Data Entry'!$F4618='Visual SPC'!$K$4)),1,0))</f>
        <v/>
      </c>
      <c r="C4618">
        <f>C4617+B4618</f>
        <v/>
      </c>
      <c r="D4618">
        <f>IF(B4618=1,INDEX('Data Entry'!$H$5:$BE$10004,4618-4,'Visual SPC'!$B$3),"")</f>
        <v/>
      </c>
      <c r="E4618">
        <f>IF(B4618=1,D4618,E4617)</f>
        <v/>
      </c>
      <c r="F4618">
        <f>IF(AND(B4618=1,C4618&gt;1,E4617&lt;&gt;""),ABS(D4618-E4617),"")</f>
        <v/>
      </c>
    </row>
    <row r="4619">
      <c r="A4619" t="n">
        <v>4619</v>
      </c>
      <c r="B4619">
        <f>IF(INDEX('Data Entry'!$H$5:$BE$10004,4619-4,'Visual SPC'!$B$3)="",0,IF(AND(OR('Visual SPC'!$C$4="",'Data Entry'!$C4619&gt;='Visual SPC'!$C$4),OR('Visual SPC'!$E$4="",'Data Entry'!$C4619&lt;='Visual SPC'!$E$4),OR('Visual SPC'!$G$4="",'Data Entry'!$D4619='Visual SPC'!$G$4),OR('Visual SPC'!$I$4="",'Data Entry'!$E4619='Visual SPC'!$I$4),OR('Visual SPC'!$K$4="",'Data Entry'!$F4619='Visual SPC'!$K$4)),1,0))</f>
        <v/>
      </c>
      <c r="C4619">
        <f>C4618+B4619</f>
        <v/>
      </c>
      <c r="D4619">
        <f>IF(B4619=1,INDEX('Data Entry'!$H$5:$BE$10004,4619-4,'Visual SPC'!$B$3),"")</f>
        <v/>
      </c>
      <c r="E4619">
        <f>IF(B4619=1,D4619,E4618)</f>
        <v/>
      </c>
      <c r="F4619">
        <f>IF(AND(B4619=1,C4619&gt;1,E4618&lt;&gt;""),ABS(D4619-E4618),"")</f>
        <v/>
      </c>
    </row>
    <row r="4620">
      <c r="A4620" t="n">
        <v>4620</v>
      </c>
      <c r="B4620">
        <f>IF(INDEX('Data Entry'!$H$5:$BE$10004,4620-4,'Visual SPC'!$B$3)="",0,IF(AND(OR('Visual SPC'!$C$4="",'Data Entry'!$C4620&gt;='Visual SPC'!$C$4),OR('Visual SPC'!$E$4="",'Data Entry'!$C4620&lt;='Visual SPC'!$E$4),OR('Visual SPC'!$G$4="",'Data Entry'!$D4620='Visual SPC'!$G$4),OR('Visual SPC'!$I$4="",'Data Entry'!$E4620='Visual SPC'!$I$4),OR('Visual SPC'!$K$4="",'Data Entry'!$F4620='Visual SPC'!$K$4)),1,0))</f>
        <v/>
      </c>
      <c r="C4620">
        <f>C4619+B4620</f>
        <v/>
      </c>
      <c r="D4620">
        <f>IF(B4620=1,INDEX('Data Entry'!$H$5:$BE$10004,4620-4,'Visual SPC'!$B$3),"")</f>
        <v/>
      </c>
      <c r="E4620">
        <f>IF(B4620=1,D4620,E4619)</f>
        <v/>
      </c>
      <c r="F4620">
        <f>IF(AND(B4620=1,C4620&gt;1,E4619&lt;&gt;""),ABS(D4620-E4619),"")</f>
        <v/>
      </c>
    </row>
    <row r="4621">
      <c r="A4621" t="n">
        <v>4621</v>
      </c>
      <c r="B4621">
        <f>IF(INDEX('Data Entry'!$H$5:$BE$10004,4621-4,'Visual SPC'!$B$3)="",0,IF(AND(OR('Visual SPC'!$C$4="",'Data Entry'!$C4621&gt;='Visual SPC'!$C$4),OR('Visual SPC'!$E$4="",'Data Entry'!$C4621&lt;='Visual SPC'!$E$4),OR('Visual SPC'!$G$4="",'Data Entry'!$D4621='Visual SPC'!$G$4),OR('Visual SPC'!$I$4="",'Data Entry'!$E4621='Visual SPC'!$I$4),OR('Visual SPC'!$K$4="",'Data Entry'!$F4621='Visual SPC'!$K$4)),1,0))</f>
        <v/>
      </c>
      <c r="C4621">
        <f>C4620+B4621</f>
        <v/>
      </c>
      <c r="D4621">
        <f>IF(B4621=1,INDEX('Data Entry'!$H$5:$BE$10004,4621-4,'Visual SPC'!$B$3),"")</f>
        <v/>
      </c>
      <c r="E4621">
        <f>IF(B4621=1,D4621,E4620)</f>
        <v/>
      </c>
      <c r="F4621">
        <f>IF(AND(B4621=1,C4621&gt;1,E4620&lt;&gt;""),ABS(D4621-E4620),"")</f>
        <v/>
      </c>
    </row>
    <row r="4622">
      <c r="A4622" t="n">
        <v>4622</v>
      </c>
      <c r="B4622">
        <f>IF(INDEX('Data Entry'!$H$5:$BE$10004,4622-4,'Visual SPC'!$B$3)="",0,IF(AND(OR('Visual SPC'!$C$4="",'Data Entry'!$C4622&gt;='Visual SPC'!$C$4),OR('Visual SPC'!$E$4="",'Data Entry'!$C4622&lt;='Visual SPC'!$E$4),OR('Visual SPC'!$G$4="",'Data Entry'!$D4622='Visual SPC'!$G$4),OR('Visual SPC'!$I$4="",'Data Entry'!$E4622='Visual SPC'!$I$4),OR('Visual SPC'!$K$4="",'Data Entry'!$F4622='Visual SPC'!$K$4)),1,0))</f>
        <v/>
      </c>
      <c r="C4622">
        <f>C4621+B4622</f>
        <v/>
      </c>
      <c r="D4622">
        <f>IF(B4622=1,INDEX('Data Entry'!$H$5:$BE$10004,4622-4,'Visual SPC'!$B$3),"")</f>
        <v/>
      </c>
      <c r="E4622">
        <f>IF(B4622=1,D4622,E4621)</f>
        <v/>
      </c>
      <c r="F4622">
        <f>IF(AND(B4622=1,C4622&gt;1,E4621&lt;&gt;""),ABS(D4622-E4621),"")</f>
        <v/>
      </c>
    </row>
    <row r="4623">
      <c r="A4623" t="n">
        <v>4623</v>
      </c>
      <c r="B4623">
        <f>IF(INDEX('Data Entry'!$H$5:$BE$10004,4623-4,'Visual SPC'!$B$3)="",0,IF(AND(OR('Visual SPC'!$C$4="",'Data Entry'!$C4623&gt;='Visual SPC'!$C$4),OR('Visual SPC'!$E$4="",'Data Entry'!$C4623&lt;='Visual SPC'!$E$4),OR('Visual SPC'!$G$4="",'Data Entry'!$D4623='Visual SPC'!$G$4),OR('Visual SPC'!$I$4="",'Data Entry'!$E4623='Visual SPC'!$I$4),OR('Visual SPC'!$K$4="",'Data Entry'!$F4623='Visual SPC'!$K$4)),1,0))</f>
        <v/>
      </c>
      <c r="C4623">
        <f>C4622+B4623</f>
        <v/>
      </c>
      <c r="D4623">
        <f>IF(B4623=1,INDEX('Data Entry'!$H$5:$BE$10004,4623-4,'Visual SPC'!$B$3),"")</f>
        <v/>
      </c>
      <c r="E4623">
        <f>IF(B4623=1,D4623,E4622)</f>
        <v/>
      </c>
      <c r="F4623">
        <f>IF(AND(B4623=1,C4623&gt;1,E4622&lt;&gt;""),ABS(D4623-E4622),"")</f>
        <v/>
      </c>
    </row>
    <row r="4624">
      <c r="A4624" t="n">
        <v>4624</v>
      </c>
      <c r="B4624">
        <f>IF(INDEX('Data Entry'!$H$5:$BE$10004,4624-4,'Visual SPC'!$B$3)="",0,IF(AND(OR('Visual SPC'!$C$4="",'Data Entry'!$C4624&gt;='Visual SPC'!$C$4),OR('Visual SPC'!$E$4="",'Data Entry'!$C4624&lt;='Visual SPC'!$E$4),OR('Visual SPC'!$G$4="",'Data Entry'!$D4624='Visual SPC'!$G$4),OR('Visual SPC'!$I$4="",'Data Entry'!$E4624='Visual SPC'!$I$4),OR('Visual SPC'!$K$4="",'Data Entry'!$F4624='Visual SPC'!$K$4)),1,0))</f>
        <v/>
      </c>
      <c r="C4624">
        <f>C4623+B4624</f>
        <v/>
      </c>
      <c r="D4624">
        <f>IF(B4624=1,INDEX('Data Entry'!$H$5:$BE$10004,4624-4,'Visual SPC'!$B$3),"")</f>
        <v/>
      </c>
      <c r="E4624">
        <f>IF(B4624=1,D4624,E4623)</f>
        <v/>
      </c>
      <c r="F4624">
        <f>IF(AND(B4624=1,C4624&gt;1,E4623&lt;&gt;""),ABS(D4624-E4623),"")</f>
        <v/>
      </c>
    </row>
    <row r="4625">
      <c r="A4625" t="n">
        <v>4625</v>
      </c>
      <c r="B4625">
        <f>IF(INDEX('Data Entry'!$H$5:$BE$10004,4625-4,'Visual SPC'!$B$3)="",0,IF(AND(OR('Visual SPC'!$C$4="",'Data Entry'!$C4625&gt;='Visual SPC'!$C$4),OR('Visual SPC'!$E$4="",'Data Entry'!$C4625&lt;='Visual SPC'!$E$4),OR('Visual SPC'!$G$4="",'Data Entry'!$D4625='Visual SPC'!$G$4),OR('Visual SPC'!$I$4="",'Data Entry'!$E4625='Visual SPC'!$I$4),OR('Visual SPC'!$K$4="",'Data Entry'!$F4625='Visual SPC'!$K$4)),1,0))</f>
        <v/>
      </c>
      <c r="C4625">
        <f>C4624+B4625</f>
        <v/>
      </c>
      <c r="D4625">
        <f>IF(B4625=1,INDEX('Data Entry'!$H$5:$BE$10004,4625-4,'Visual SPC'!$B$3),"")</f>
        <v/>
      </c>
      <c r="E4625">
        <f>IF(B4625=1,D4625,E4624)</f>
        <v/>
      </c>
      <c r="F4625">
        <f>IF(AND(B4625=1,C4625&gt;1,E4624&lt;&gt;""),ABS(D4625-E4624),"")</f>
        <v/>
      </c>
    </row>
    <row r="4626">
      <c r="A4626" t="n">
        <v>4626</v>
      </c>
      <c r="B4626">
        <f>IF(INDEX('Data Entry'!$H$5:$BE$10004,4626-4,'Visual SPC'!$B$3)="",0,IF(AND(OR('Visual SPC'!$C$4="",'Data Entry'!$C4626&gt;='Visual SPC'!$C$4),OR('Visual SPC'!$E$4="",'Data Entry'!$C4626&lt;='Visual SPC'!$E$4),OR('Visual SPC'!$G$4="",'Data Entry'!$D4626='Visual SPC'!$G$4),OR('Visual SPC'!$I$4="",'Data Entry'!$E4626='Visual SPC'!$I$4),OR('Visual SPC'!$K$4="",'Data Entry'!$F4626='Visual SPC'!$K$4)),1,0))</f>
        <v/>
      </c>
      <c r="C4626">
        <f>C4625+B4626</f>
        <v/>
      </c>
      <c r="D4626">
        <f>IF(B4626=1,INDEX('Data Entry'!$H$5:$BE$10004,4626-4,'Visual SPC'!$B$3),"")</f>
        <v/>
      </c>
      <c r="E4626">
        <f>IF(B4626=1,D4626,E4625)</f>
        <v/>
      </c>
      <c r="F4626">
        <f>IF(AND(B4626=1,C4626&gt;1,E4625&lt;&gt;""),ABS(D4626-E4625),"")</f>
        <v/>
      </c>
    </row>
    <row r="4627">
      <c r="A4627" t="n">
        <v>4627</v>
      </c>
      <c r="B4627">
        <f>IF(INDEX('Data Entry'!$H$5:$BE$10004,4627-4,'Visual SPC'!$B$3)="",0,IF(AND(OR('Visual SPC'!$C$4="",'Data Entry'!$C4627&gt;='Visual SPC'!$C$4),OR('Visual SPC'!$E$4="",'Data Entry'!$C4627&lt;='Visual SPC'!$E$4),OR('Visual SPC'!$G$4="",'Data Entry'!$D4627='Visual SPC'!$G$4),OR('Visual SPC'!$I$4="",'Data Entry'!$E4627='Visual SPC'!$I$4),OR('Visual SPC'!$K$4="",'Data Entry'!$F4627='Visual SPC'!$K$4)),1,0))</f>
        <v/>
      </c>
      <c r="C4627">
        <f>C4626+B4627</f>
        <v/>
      </c>
      <c r="D4627">
        <f>IF(B4627=1,INDEX('Data Entry'!$H$5:$BE$10004,4627-4,'Visual SPC'!$B$3),"")</f>
        <v/>
      </c>
      <c r="E4627">
        <f>IF(B4627=1,D4627,E4626)</f>
        <v/>
      </c>
      <c r="F4627">
        <f>IF(AND(B4627=1,C4627&gt;1,E4626&lt;&gt;""),ABS(D4627-E4626),"")</f>
        <v/>
      </c>
    </row>
    <row r="4628">
      <c r="A4628" t="n">
        <v>4628</v>
      </c>
      <c r="B4628">
        <f>IF(INDEX('Data Entry'!$H$5:$BE$10004,4628-4,'Visual SPC'!$B$3)="",0,IF(AND(OR('Visual SPC'!$C$4="",'Data Entry'!$C4628&gt;='Visual SPC'!$C$4),OR('Visual SPC'!$E$4="",'Data Entry'!$C4628&lt;='Visual SPC'!$E$4),OR('Visual SPC'!$G$4="",'Data Entry'!$D4628='Visual SPC'!$G$4),OR('Visual SPC'!$I$4="",'Data Entry'!$E4628='Visual SPC'!$I$4),OR('Visual SPC'!$K$4="",'Data Entry'!$F4628='Visual SPC'!$K$4)),1,0))</f>
        <v/>
      </c>
      <c r="C4628">
        <f>C4627+B4628</f>
        <v/>
      </c>
      <c r="D4628">
        <f>IF(B4628=1,INDEX('Data Entry'!$H$5:$BE$10004,4628-4,'Visual SPC'!$B$3),"")</f>
        <v/>
      </c>
      <c r="E4628">
        <f>IF(B4628=1,D4628,E4627)</f>
        <v/>
      </c>
      <c r="F4628">
        <f>IF(AND(B4628=1,C4628&gt;1,E4627&lt;&gt;""),ABS(D4628-E4627),"")</f>
        <v/>
      </c>
    </row>
    <row r="4629">
      <c r="A4629" t="n">
        <v>4629</v>
      </c>
      <c r="B4629">
        <f>IF(INDEX('Data Entry'!$H$5:$BE$10004,4629-4,'Visual SPC'!$B$3)="",0,IF(AND(OR('Visual SPC'!$C$4="",'Data Entry'!$C4629&gt;='Visual SPC'!$C$4),OR('Visual SPC'!$E$4="",'Data Entry'!$C4629&lt;='Visual SPC'!$E$4),OR('Visual SPC'!$G$4="",'Data Entry'!$D4629='Visual SPC'!$G$4),OR('Visual SPC'!$I$4="",'Data Entry'!$E4629='Visual SPC'!$I$4),OR('Visual SPC'!$K$4="",'Data Entry'!$F4629='Visual SPC'!$K$4)),1,0))</f>
        <v/>
      </c>
      <c r="C4629">
        <f>C4628+B4629</f>
        <v/>
      </c>
      <c r="D4629">
        <f>IF(B4629=1,INDEX('Data Entry'!$H$5:$BE$10004,4629-4,'Visual SPC'!$B$3),"")</f>
        <v/>
      </c>
      <c r="E4629">
        <f>IF(B4629=1,D4629,E4628)</f>
        <v/>
      </c>
      <c r="F4629">
        <f>IF(AND(B4629=1,C4629&gt;1,E4628&lt;&gt;""),ABS(D4629-E4628),"")</f>
        <v/>
      </c>
    </row>
    <row r="4630">
      <c r="A4630" t="n">
        <v>4630</v>
      </c>
      <c r="B4630">
        <f>IF(INDEX('Data Entry'!$H$5:$BE$10004,4630-4,'Visual SPC'!$B$3)="",0,IF(AND(OR('Visual SPC'!$C$4="",'Data Entry'!$C4630&gt;='Visual SPC'!$C$4),OR('Visual SPC'!$E$4="",'Data Entry'!$C4630&lt;='Visual SPC'!$E$4),OR('Visual SPC'!$G$4="",'Data Entry'!$D4630='Visual SPC'!$G$4),OR('Visual SPC'!$I$4="",'Data Entry'!$E4630='Visual SPC'!$I$4),OR('Visual SPC'!$K$4="",'Data Entry'!$F4630='Visual SPC'!$K$4)),1,0))</f>
        <v/>
      </c>
      <c r="C4630">
        <f>C4629+B4630</f>
        <v/>
      </c>
      <c r="D4630">
        <f>IF(B4630=1,INDEX('Data Entry'!$H$5:$BE$10004,4630-4,'Visual SPC'!$B$3),"")</f>
        <v/>
      </c>
      <c r="E4630">
        <f>IF(B4630=1,D4630,E4629)</f>
        <v/>
      </c>
      <c r="F4630">
        <f>IF(AND(B4630=1,C4630&gt;1,E4629&lt;&gt;""),ABS(D4630-E4629),"")</f>
        <v/>
      </c>
    </row>
    <row r="4631">
      <c r="A4631" t="n">
        <v>4631</v>
      </c>
      <c r="B4631">
        <f>IF(INDEX('Data Entry'!$H$5:$BE$10004,4631-4,'Visual SPC'!$B$3)="",0,IF(AND(OR('Visual SPC'!$C$4="",'Data Entry'!$C4631&gt;='Visual SPC'!$C$4),OR('Visual SPC'!$E$4="",'Data Entry'!$C4631&lt;='Visual SPC'!$E$4),OR('Visual SPC'!$G$4="",'Data Entry'!$D4631='Visual SPC'!$G$4),OR('Visual SPC'!$I$4="",'Data Entry'!$E4631='Visual SPC'!$I$4),OR('Visual SPC'!$K$4="",'Data Entry'!$F4631='Visual SPC'!$K$4)),1,0))</f>
        <v/>
      </c>
      <c r="C4631">
        <f>C4630+B4631</f>
        <v/>
      </c>
      <c r="D4631">
        <f>IF(B4631=1,INDEX('Data Entry'!$H$5:$BE$10004,4631-4,'Visual SPC'!$B$3),"")</f>
        <v/>
      </c>
      <c r="E4631">
        <f>IF(B4631=1,D4631,E4630)</f>
        <v/>
      </c>
      <c r="F4631">
        <f>IF(AND(B4631=1,C4631&gt;1,E4630&lt;&gt;""),ABS(D4631-E4630),"")</f>
        <v/>
      </c>
    </row>
    <row r="4632">
      <c r="A4632" t="n">
        <v>4632</v>
      </c>
      <c r="B4632">
        <f>IF(INDEX('Data Entry'!$H$5:$BE$10004,4632-4,'Visual SPC'!$B$3)="",0,IF(AND(OR('Visual SPC'!$C$4="",'Data Entry'!$C4632&gt;='Visual SPC'!$C$4),OR('Visual SPC'!$E$4="",'Data Entry'!$C4632&lt;='Visual SPC'!$E$4),OR('Visual SPC'!$G$4="",'Data Entry'!$D4632='Visual SPC'!$G$4),OR('Visual SPC'!$I$4="",'Data Entry'!$E4632='Visual SPC'!$I$4),OR('Visual SPC'!$K$4="",'Data Entry'!$F4632='Visual SPC'!$K$4)),1,0))</f>
        <v/>
      </c>
      <c r="C4632">
        <f>C4631+B4632</f>
        <v/>
      </c>
      <c r="D4632">
        <f>IF(B4632=1,INDEX('Data Entry'!$H$5:$BE$10004,4632-4,'Visual SPC'!$B$3),"")</f>
        <v/>
      </c>
      <c r="E4632">
        <f>IF(B4632=1,D4632,E4631)</f>
        <v/>
      </c>
      <c r="F4632">
        <f>IF(AND(B4632=1,C4632&gt;1,E4631&lt;&gt;""),ABS(D4632-E4631),"")</f>
        <v/>
      </c>
    </row>
    <row r="4633">
      <c r="A4633" t="n">
        <v>4633</v>
      </c>
      <c r="B4633">
        <f>IF(INDEX('Data Entry'!$H$5:$BE$10004,4633-4,'Visual SPC'!$B$3)="",0,IF(AND(OR('Visual SPC'!$C$4="",'Data Entry'!$C4633&gt;='Visual SPC'!$C$4),OR('Visual SPC'!$E$4="",'Data Entry'!$C4633&lt;='Visual SPC'!$E$4),OR('Visual SPC'!$G$4="",'Data Entry'!$D4633='Visual SPC'!$G$4),OR('Visual SPC'!$I$4="",'Data Entry'!$E4633='Visual SPC'!$I$4),OR('Visual SPC'!$K$4="",'Data Entry'!$F4633='Visual SPC'!$K$4)),1,0))</f>
        <v/>
      </c>
      <c r="C4633">
        <f>C4632+B4633</f>
        <v/>
      </c>
      <c r="D4633">
        <f>IF(B4633=1,INDEX('Data Entry'!$H$5:$BE$10004,4633-4,'Visual SPC'!$B$3),"")</f>
        <v/>
      </c>
      <c r="E4633">
        <f>IF(B4633=1,D4633,E4632)</f>
        <v/>
      </c>
      <c r="F4633">
        <f>IF(AND(B4633=1,C4633&gt;1,E4632&lt;&gt;""),ABS(D4633-E4632),"")</f>
        <v/>
      </c>
    </row>
    <row r="4634">
      <c r="A4634" t="n">
        <v>4634</v>
      </c>
      <c r="B4634">
        <f>IF(INDEX('Data Entry'!$H$5:$BE$10004,4634-4,'Visual SPC'!$B$3)="",0,IF(AND(OR('Visual SPC'!$C$4="",'Data Entry'!$C4634&gt;='Visual SPC'!$C$4),OR('Visual SPC'!$E$4="",'Data Entry'!$C4634&lt;='Visual SPC'!$E$4),OR('Visual SPC'!$G$4="",'Data Entry'!$D4634='Visual SPC'!$G$4),OR('Visual SPC'!$I$4="",'Data Entry'!$E4634='Visual SPC'!$I$4),OR('Visual SPC'!$K$4="",'Data Entry'!$F4634='Visual SPC'!$K$4)),1,0))</f>
        <v/>
      </c>
      <c r="C4634">
        <f>C4633+B4634</f>
        <v/>
      </c>
      <c r="D4634">
        <f>IF(B4634=1,INDEX('Data Entry'!$H$5:$BE$10004,4634-4,'Visual SPC'!$B$3),"")</f>
        <v/>
      </c>
      <c r="E4634">
        <f>IF(B4634=1,D4634,E4633)</f>
        <v/>
      </c>
      <c r="F4634">
        <f>IF(AND(B4634=1,C4634&gt;1,E4633&lt;&gt;""),ABS(D4634-E4633),"")</f>
        <v/>
      </c>
    </row>
    <row r="4635">
      <c r="A4635" t="n">
        <v>4635</v>
      </c>
      <c r="B4635">
        <f>IF(INDEX('Data Entry'!$H$5:$BE$10004,4635-4,'Visual SPC'!$B$3)="",0,IF(AND(OR('Visual SPC'!$C$4="",'Data Entry'!$C4635&gt;='Visual SPC'!$C$4),OR('Visual SPC'!$E$4="",'Data Entry'!$C4635&lt;='Visual SPC'!$E$4),OR('Visual SPC'!$G$4="",'Data Entry'!$D4635='Visual SPC'!$G$4),OR('Visual SPC'!$I$4="",'Data Entry'!$E4635='Visual SPC'!$I$4),OR('Visual SPC'!$K$4="",'Data Entry'!$F4635='Visual SPC'!$K$4)),1,0))</f>
        <v/>
      </c>
      <c r="C4635">
        <f>C4634+B4635</f>
        <v/>
      </c>
      <c r="D4635">
        <f>IF(B4635=1,INDEX('Data Entry'!$H$5:$BE$10004,4635-4,'Visual SPC'!$B$3),"")</f>
        <v/>
      </c>
      <c r="E4635">
        <f>IF(B4635=1,D4635,E4634)</f>
        <v/>
      </c>
      <c r="F4635">
        <f>IF(AND(B4635=1,C4635&gt;1,E4634&lt;&gt;""),ABS(D4635-E4634),"")</f>
        <v/>
      </c>
    </row>
    <row r="4636">
      <c r="A4636" t="n">
        <v>4636</v>
      </c>
      <c r="B4636">
        <f>IF(INDEX('Data Entry'!$H$5:$BE$10004,4636-4,'Visual SPC'!$B$3)="",0,IF(AND(OR('Visual SPC'!$C$4="",'Data Entry'!$C4636&gt;='Visual SPC'!$C$4),OR('Visual SPC'!$E$4="",'Data Entry'!$C4636&lt;='Visual SPC'!$E$4),OR('Visual SPC'!$G$4="",'Data Entry'!$D4636='Visual SPC'!$G$4),OR('Visual SPC'!$I$4="",'Data Entry'!$E4636='Visual SPC'!$I$4),OR('Visual SPC'!$K$4="",'Data Entry'!$F4636='Visual SPC'!$K$4)),1,0))</f>
        <v/>
      </c>
      <c r="C4636">
        <f>C4635+B4636</f>
        <v/>
      </c>
      <c r="D4636">
        <f>IF(B4636=1,INDEX('Data Entry'!$H$5:$BE$10004,4636-4,'Visual SPC'!$B$3),"")</f>
        <v/>
      </c>
      <c r="E4636">
        <f>IF(B4636=1,D4636,E4635)</f>
        <v/>
      </c>
      <c r="F4636">
        <f>IF(AND(B4636=1,C4636&gt;1,E4635&lt;&gt;""),ABS(D4636-E4635),"")</f>
        <v/>
      </c>
    </row>
    <row r="4637">
      <c r="A4637" t="n">
        <v>4637</v>
      </c>
      <c r="B4637">
        <f>IF(INDEX('Data Entry'!$H$5:$BE$10004,4637-4,'Visual SPC'!$B$3)="",0,IF(AND(OR('Visual SPC'!$C$4="",'Data Entry'!$C4637&gt;='Visual SPC'!$C$4),OR('Visual SPC'!$E$4="",'Data Entry'!$C4637&lt;='Visual SPC'!$E$4),OR('Visual SPC'!$G$4="",'Data Entry'!$D4637='Visual SPC'!$G$4),OR('Visual SPC'!$I$4="",'Data Entry'!$E4637='Visual SPC'!$I$4),OR('Visual SPC'!$K$4="",'Data Entry'!$F4637='Visual SPC'!$K$4)),1,0))</f>
        <v/>
      </c>
      <c r="C4637">
        <f>C4636+B4637</f>
        <v/>
      </c>
      <c r="D4637">
        <f>IF(B4637=1,INDEX('Data Entry'!$H$5:$BE$10004,4637-4,'Visual SPC'!$B$3),"")</f>
        <v/>
      </c>
      <c r="E4637">
        <f>IF(B4637=1,D4637,E4636)</f>
        <v/>
      </c>
      <c r="F4637">
        <f>IF(AND(B4637=1,C4637&gt;1,E4636&lt;&gt;""),ABS(D4637-E4636),"")</f>
        <v/>
      </c>
    </row>
    <row r="4638">
      <c r="A4638" t="n">
        <v>4638</v>
      </c>
      <c r="B4638">
        <f>IF(INDEX('Data Entry'!$H$5:$BE$10004,4638-4,'Visual SPC'!$B$3)="",0,IF(AND(OR('Visual SPC'!$C$4="",'Data Entry'!$C4638&gt;='Visual SPC'!$C$4),OR('Visual SPC'!$E$4="",'Data Entry'!$C4638&lt;='Visual SPC'!$E$4),OR('Visual SPC'!$G$4="",'Data Entry'!$D4638='Visual SPC'!$G$4),OR('Visual SPC'!$I$4="",'Data Entry'!$E4638='Visual SPC'!$I$4),OR('Visual SPC'!$K$4="",'Data Entry'!$F4638='Visual SPC'!$K$4)),1,0))</f>
        <v/>
      </c>
      <c r="C4638">
        <f>C4637+B4638</f>
        <v/>
      </c>
      <c r="D4638">
        <f>IF(B4638=1,INDEX('Data Entry'!$H$5:$BE$10004,4638-4,'Visual SPC'!$B$3),"")</f>
        <v/>
      </c>
      <c r="E4638">
        <f>IF(B4638=1,D4638,E4637)</f>
        <v/>
      </c>
      <c r="F4638">
        <f>IF(AND(B4638=1,C4638&gt;1,E4637&lt;&gt;""),ABS(D4638-E4637),"")</f>
        <v/>
      </c>
    </row>
    <row r="4639">
      <c r="A4639" t="n">
        <v>4639</v>
      </c>
      <c r="B4639">
        <f>IF(INDEX('Data Entry'!$H$5:$BE$10004,4639-4,'Visual SPC'!$B$3)="",0,IF(AND(OR('Visual SPC'!$C$4="",'Data Entry'!$C4639&gt;='Visual SPC'!$C$4),OR('Visual SPC'!$E$4="",'Data Entry'!$C4639&lt;='Visual SPC'!$E$4),OR('Visual SPC'!$G$4="",'Data Entry'!$D4639='Visual SPC'!$G$4),OR('Visual SPC'!$I$4="",'Data Entry'!$E4639='Visual SPC'!$I$4),OR('Visual SPC'!$K$4="",'Data Entry'!$F4639='Visual SPC'!$K$4)),1,0))</f>
        <v/>
      </c>
      <c r="C4639">
        <f>C4638+B4639</f>
        <v/>
      </c>
      <c r="D4639">
        <f>IF(B4639=1,INDEX('Data Entry'!$H$5:$BE$10004,4639-4,'Visual SPC'!$B$3),"")</f>
        <v/>
      </c>
      <c r="E4639">
        <f>IF(B4639=1,D4639,E4638)</f>
        <v/>
      </c>
      <c r="F4639">
        <f>IF(AND(B4639=1,C4639&gt;1,E4638&lt;&gt;""),ABS(D4639-E4638),"")</f>
        <v/>
      </c>
    </row>
    <row r="4640">
      <c r="A4640" t="n">
        <v>4640</v>
      </c>
      <c r="B4640">
        <f>IF(INDEX('Data Entry'!$H$5:$BE$10004,4640-4,'Visual SPC'!$B$3)="",0,IF(AND(OR('Visual SPC'!$C$4="",'Data Entry'!$C4640&gt;='Visual SPC'!$C$4),OR('Visual SPC'!$E$4="",'Data Entry'!$C4640&lt;='Visual SPC'!$E$4),OR('Visual SPC'!$G$4="",'Data Entry'!$D4640='Visual SPC'!$G$4),OR('Visual SPC'!$I$4="",'Data Entry'!$E4640='Visual SPC'!$I$4),OR('Visual SPC'!$K$4="",'Data Entry'!$F4640='Visual SPC'!$K$4)),1,0))</f>
        <v/>
      </c>
      <c r="C4640">
        <f>C4639+B4640</f>
        <v/>
      </c>
      <c r="D4640">
        <f>IF(B4640=1,INDEX('Data Entry'!$H$5:$BE$10004,4640-4,'Visual SPC'!$B$3),"")</f>
        <v/>
      </c>
      <c r="E4640">
        <f>IF(B4640=1,D4640,E4639)</f>
        <v/>
      </c>
      <c r="F4640">
        <f>IF(AND(B4640=1,C4640&gt;1,E4639&lt;&gt;""),ABS(D4640-E4639),"")</f>
        <v/>
      </c>
    </row>
    <row r="4641">
      <c r="A4641" t="n">
        <v>4641</v>
      </c>
      <c r="B4641">
        <f>IF(INDEX('Data Entry'!$H$5:$BE$10004,4641-4,'Visual SPC'!$B$3)="",0,IF(AND(OR('Visual SPC'!$C$4="",'Data Entry'!$C4641&gt;='Visual SPC'!$C$4),OR('Visual SPC'!$E$4="",'Data Entry'!$C4641&lt;='Visual SPC'!$E$4),OR('Visual SPC'!$G$4="",'Data Entry'!$D4641='Visual SPC'!$G$4),OR('Visual SPC'!$I$4="",'Data Entry'!$E4641='Visual SPC'!$I$4),OR('Visual SPC'!$K$4="",'Data Entry'!$F4641='Visual SPC'!$K$4)),1,0))</f>
        <v/>
      </c>
      <c r="C4641">
        <f>C4640+B4641</f>
        <v/>
      </c>
      <c r="D4641">
        <f>IF(B4641=1,INDEX('Data Entry'!$H$5:$BE$10004,4641-4,'Visual SPC'!$B$3),"")</f>
        <v/>
      </c>
      <c r="E4641">
        <f>IF(B4641=1,D4641,E4640)</f>
        <v/>
      </c>
      <c r="F4641">
        <f>IF(AND(B4641=1,C4641&gt;1,E4640&lt;&gt;""),ABS(D4641-E4640),"")</f>
        <v/>
      </c>
    </row>
    <row r="4642">
      <c r="A4642" t="n">
        <v>4642</v>
      </c>
      <c r="B4642">
        <f>IF(INDEX('Data Entry'!$H$5:$BE$10004,4642-4,'Visual SPC'!$B$3)="",0,IF(AND(OR('Visual SPC'!$C$4="",'Data Entry'!$C4642&gt;='Visual SPC'!$C$4),OR('Visual SPC'!$E$4="",'Data Entry'!$C4642&lt;='Visual SPC'!$E$4),OR('Visual SPC'!$G$4="",'Data Entry'!$D4642='Visual SPC'!$G$4),OR('Visual SPC'!$I$4="",'Data Entry'!$E4642='Visual SPC'!$I$4),OR('Visual SPC'!$K$4="",'Data Entry'!$F4642='Visual SPC'!$K$4)),1,0))</f>
        <v/>
      </c>
      <c r="C4642">
        <f>C4641+B4642</f>
        <v/>
      </c>
      <c r="D4642">
        <f>IF(B4642=1,INDEX('Data Entry'!$H$5:$BE$10004,4642-4,'Visual SPC'!$B$3),"")</f>
        <v/>
      </c>
      <c r="E4642">
        <f>IF(B4642=1,D4642,E4641)</f>
        <v/>
      </c>
      <c r="F4642">
        <f>IF(AND(B4642=1,C4642&gt;1,E4641&lt;&gt;""),ABS(D4642-E4641),"")</f>
        <v/>
      </c>
    </row>
    <row r="4643">
      <c r="A4643" t="n">
        <v>4643</v>
      </c>
      <c r="B4643">
        <f>IF(INDEX('Data Entry'!$H$5:$BE$10004,4643-4,'Visual SPC'!$B$3)="",0,IF(AND(OR('Visual SPC'!$C$4="",'Data Entry'!$C4643&gt;='Visual SPC'!$C$4),OR('Visual SPC'!$E$4="",'Data Entry'!$C4643&lt;='Visual SPC'!$E$4),OR('Visual SPC'!$G$4="",'Data Entry'!$D4643='Visual SPC'!$G$4),OR('Visual SPC'!$I$4="",'Data Entry'!$E4643='Visual SPC'!$I$4),OR('Visual SPC'!$K$4="",'Data Entry'!$F4643='Visual SPC'!$K$4)),1,0))</f>
        <v/>
      </c>
      <c r="C4643">
        <f>C4642+B4643</f>
        <v/>
      </c>
      <c r="D4643">
        <f>IF(B4643=1,INDEX('Data Entry'!$H$5:$BE$10004,4643-4,'Visual SPC'!$B$3),"")</f>
        <v/>
      </c>
      <c r="E4643">
        <f>IF(B4643=1,D4643,E4642)</f>
        <v/>
      </c>
      <c r="F4643">
        <f>IF(AND(B4643=1,C4643&gt;1,E4642&lt;&gt;""),ABS(D4643-E4642),"")</f>
        <v/>
      </c>
    </row>
    <row r="4644">
      <c r="A4644" t="n">
        <v>4644</v>
      </c>
      <c r="B4644">
        <f>IF(INDEX('Data Entry'!$H$5:$BE$10004,4644-4,'Visual SPC'!$B$3)="",0,IF(AND(OR('Visual SPC'!$C$4="",'Data Entry'!$C4644&gt;='Visual SPC'!$C$4),OR('Visual SPC'!$E$4="",'Data Entry'!$C4644&lt;='Visual SPC'!$E$4),OR('Visual SPC'!$G$4="",'Data Entry'!$D4644='Visual SPC'!$G$4),OR('Visual SPC'!$I$4="",'Data Entry'!$E4644='Visual SPC'!$I$4),OR('Visual SPC'!$K$4="",'Data Entry'!$F4644='Visual SPC'!$K$4)),1,0))</f>
        <v/>
      </c>
      <c r="C4644">
        <f>C4643+B4644</f>
        <v/>
      </c>
      <c r="D4644">
        <f>IF(B4644=1,INDEX('Data Entry'!$H$5:$BE$10004,4644-4,'Visual SPC'!$B$3),"")</f>
        <v/>
      </c>
      <c r="E4644">
        <f>IF(B4644=1,D4644,E4643)</f>
        <v/>
      </c>
      <c r="F4644">
        <f>IF(AND(B4644=1,C4644&gt;1,E4643&lt;&gt;""),ABS(D4644-E4643),"")</f>
        <v/>
      </c>
    </row>
    <row r="4645">
      <c r="A4645" t="n">
        <v>4645</v>
      </c>
      <c r="B4645">
        <f>IF(INDEX('Data Entry'!$H$5:$BE$10004,4645-4,'Visual SPC'!$B$3)="",0,IF(AND(OR('Visual SPC'!$C$4="",'Data Entry'!$C4645&gt;='Visual SPC'!$C$4),OR('Visual SPC'!$E$4="",'Data Entry'!$C4645&lt;='Visual SPC'!$E$4),OR('Visual SPC'!$G$4="",'Data Entry'!$D4645='Visual SPC'!$G$4),OR('Visual SPC'!$I$4="",'Data Entry'!$E4645='Visual SPC'!$I$4),OR('Visual SPC'!$K$4="",'Data Entry'!$F4645='Visual SPC'!$K$4)),1,0))</f>
        <v/>
      </c>
      <c r="C4645">
        <f>C4644+B4645</f>
        <v/>
      </c>
      <c r="D4645">
        <f>IF(B4645=1,INDEX('Data Entry'!$H$5:$BE$10004,4645-4,'Visual SPC'!$B$3),"")</f>
        <v/>
      </c>
      <c r="E4645">
        <f>IF(B4645=1,D4645,E4644)</f>
        <v/>
      </c>
      <c r="F4645">
        <f>IF(AND(B4645=1,C4645&gt;1,E4644&lt;&gt;""),ABS(D4645-E4644),"")</f>
        <v/>
      </c>
    </row>
    <row r="4646">
      <c r="A4646" t="n">
        <v>4646</v>
      </c>
      <c r="B4646">
        <f>IF(INDEX('Data Entry'!$H$5:$BE$10004,4646-4,'Visual SPC'!$B$3)="",0,IF(AND(OR('Visual SPC'!$C$4="",'Data Entry'!$C4646&gt;='Visual SPC'!$C$4),OR('Visual SPC'!$E$4="",'Data Entry'!$C4646&lt;='Visual SPC'!$E$4),OR('Visual SPC'!$G$4="",'Data Entry'!$D4646='Visual SPC'!$G$4),OR('Visual SPC'!$I$4="",'Data Entry'!$E4646='Visual SPC'!$I$4),OR('Visual SPC'!$K$4="",'Data Entry'!$F4646='Visual SPC'!$K$4)),1,0))</f>
        <v/>
      </c>
      <c r="C4646">
        <f>C4645+B4646</f>
        <v/>
      </c>
      <c r="D4646">
        <f>IF(B4646=1,INDEX('Data Entry'!$H$5:$BE$10004,4646-4,'Visual SPC'!$B$3),"")</f>
        <v/>
      </c>
      <c r="E4646">
        <f>IF(B4646=1,D4646,E4645)</f>
        <v/>
      </c>
      <c r="F4646">
        <f>IF(AND(B4646=1,C4646&gt;1,E4645&lt;&gt;""),ABS(D4646-E4645),"")</f>
        <v/>
      </c>
    </row>
    <row r="4647">
      <c r="A4647" t="n">
        <v>4647</v>
      </c>
      <c r="B4647">
        <f>IF(INDEX('Data Entry'!$H$5:$BE$10004,4647-4,'Visual SPC'!$B$3)="",0,IF(AND(OR('Visual SPC'!$C$4="",'Data Entry'!$C4647&gt;='Visual SPC'!$C$4),OR('Visual SPC'!$E$4="",'Data Entry'!$C4647&lt;='Visual SPC'!$E$4),OR('Visual SPC'!$G$4="",'Data Entry'!$D4647='Visual SPC'!$G$4),OR('Visual SPC'!$I$4="",'Data Entry'!$E4647='Visual SPC'!$I$4),OR('Visual SPC'!$K$4="",'Data Entry'!$F4647='Visual SPC'!$K$4)),1,0))</f>
        <v/>
      </c>
      <c r="C4647">
        <f>C4646+B4647</f>
        <v/>
      </c>
      <c r="D4647">
        <f>IF(B4647=1,INDEX('Data Entry'!$H$5:$BE$10004,4647-4,'Visual SPC'!$B$3),"")</f>
        <v/>
      </c>
      <c r="E4647">
        <f>IF(B4647=1,D4647,E4646)</f>
        <v/>
      </c>
      <c r="F4647">
        <f>IF(AND(B4647=1,C4647&gt;1,E4646&lt;&gt;""),ABS(D4647-E4646),"")</f>
        <v/>
      </c>
    </row>
    <row r="4648">
      <c r="A4648" t="n">
        <v>4648</v>
      </c>
      <c r="B4648">
        <f>IF(INDEX('Data Entry'!$H$5:$BE$10004,4648-4,'Visual SPC'!$B$3)="",0,IF(AND(OR('Visual SPC'!$C$4="",'Data Entry'!$C4648&gt;='Visual SPC'!$C$4),OR('Visual SPC'!$E$4="",'Data Entry'!$C4648&lt;='Visual SPC'!$E$4),OR('Visual SPC'!$G$4="",'Data Entry'!$D4648='Visual SPC'!$G$4),OR('Visual SPC'!$I$4="",'Data Entry'!$E4648='Visual SPC'!$I$4),OR('Visual SPC'!$K$4="",'Data Entry'!$F4648='Visual SPC'!$K$4)),1,0))</f>
        <v/>
      </c>
      <c r="C4648">
        <f>C4647+B4648</f>
        <v/>
      </c>
      <c r="D4648">
        <f>IF(B4648=1,INDEX('Data Entry'!$H$5:$BE$10004,4648-4,'Visual SPC'!$B$3),"")</f>
        <v/>
      </c>
      <c r="E4648">
        <f>IF(B4648=1,D4648,E4647)</f>
        <v/>
      </c>
      <c r="F4648">
        <f>IF(AND(B4648=1,C4648&gt;1,E4647&lt;&gt;""),ABS(D4648-E4647),"")</f>
        <v/>
      </c>
    </row>
    <row r="4649">
      <c r="A4649" t="n">
        <v>4649</v>
      </c>
      <c r="B4649">
        <f>IF(INDEX('Data Entry'!$H$5:$BE$10004,4649-4,'Visual SPC'!$B$3)="",0,IF(AND(OR('Visual SPC'!$C$4="",'Data Entry'!$C4649&gt;='Visual SPC'!$C$4),OR('Visual SPC'!$E$4="",'Data Entry'!$C4649&lt;='Visual SPC'!$E$4),OR('Visual SPC'!$G$4="",'Data Entry'!$D4649='Visual SPC'!$G$4),OR('Visual SPC'!$I$4="",'Data Entry'!$E4649='Visual SPC'!$I$4),OR('Visual SPC'!$K$4="",'Data Entry'!$F4649='Visual SPC'!$K$4)),1,0))</f>
        <v/>
      </c>
      <c r="C4649">
        <f>C4648+B4649</f>
        <v/>
      </c>
      <c r="D4649">
        <f>IF(B4649=1,INDEX('Data Entry'!$H$5:$BE$10004,4649-4,'Visual SPC'!$B$3),"")</f>
        <v/>
      </c>
      <c r="E4649">
        <f>IF(B4649=1,D4649,E4648)</f>
        <v/>
      </c>
      <c r="F4649">
        <f>IF(AND(B4649=1,C4649&gt;1,E4648&lt;&gt;""),ABS(D4649-E4648),"")</f>
        <v/>
      </c>
    </row>
    <row r="4650">
      <c r="A4650" t="n">
        <v>4650</v>
      </c>
      <c r="B4650">
        <f>IF(INDEX('Data Entry'!$H$5:$BE$10004,4650-4,'Visual SPC'!$B$3)="",0,IF(AND(OR('Visual SPC'!$C$4="",'Data Entry'!$C4650&gt;='Visual SPC'!$C$4),OR('Visual SPC'!$E$4="",'Data Entry'!$C4650&lt;='Visual SPC'!$E$4),OR('Visual SPC'!$G$4="",'Data Entry'!$D4650='Visual SPC'!$G$4),OR('Visual SPC'!$I$4="",'Data Entry'!$E4650='Visual SPC'!$I$4),OR('Visual SPC'!$K$4="",'Data Entry'!$F4650='Visual SPC'!$K$4)),1,0))</f>
        <v/>
      </c>
      <c r="C4650">
        <f>C4649+B4650</f>
        <v/>
      </c>
      <c r="D4650">
        <f>IF(B4650=1,INDEX('Data Entry'!$H$5:$BE$10004,4650-4,'Visual SPC'!$B$3),"")</f>
        <v/>
      </c>
      <c r="E4650">
        <f>IF(B4650=1,D4650,E4649)</f>
        <v/>
      </c>
      <c r="F4650">
        <f>IF(AND(B4650=1,C4650&gt;1,E4649&lt;&gt;""),ABS(D4650-E4649),"")</f>
        <v/>
      </c>
    </row>
    <row r="4651">
      <c r="A4651" t="n">
        <v>4651</v>
      </c>
      <c r="B4651">
        <f>IF(INDEX('Data Entry'!$H$5:$BE$10004,4651-4,'Visual SPC'!$B$3)="",0,IF(AND(OR('Visual SPC'!$C$4="",'Data Entry'!$C4651&gt;='Visual SPC'!$C$4),OR('Visual SPC'!$E$4="",'Data Entry'!$C4651&lt;='Visual SPC'!$E$4),OR('Visual SPC'!$G$4="",'Data Entry'!$D4651='Visual SPC'!$G$4),OR('Visual SPC'!$I$4="",'Data Entry'!$E4651='Visual SPC'!$I$4),OR('Visual SPC'!$K$4="",'Data Entry'!$F4651='Visual SPC'!$K$4)),1,0))</f>
        <v/>
      </c>
      <c r="C4651">
        <f>C4650+B4651</f>
        <v/>
      </c>
      <c r="D4651">
        <f>IF(B4651=1,INDEX('Data Entry'!$H$5:$BE$10004,4651-4,'Visual SPC'!$B$3),"")</f>
        <v/>
      </c>
      <c r="E4651">
        <f>IF(B4651=1,D4651,E4650)</f>
        <v/>
      </c>
      <c r="F4651">
        <f>IF(AND(B4651=1,C4651&gt;1,E4650&lt;&gt;""),ABS(D4651-E4650),"")</f>
        <v/>
      </c>
    </row>
    <row r="4652">
      <c r="A4652" t="n">
        <v>4652</v>
      </c>
      <c r="B4652">
        <f>IF(INDEX('Data Entry'!$H$5:$BE$10004,4652-4,'Visual SPC'!$B$3)="",0,IF(AND(OR('Visual SPC'!$C$4="",'Data Entry'!$C4652&gt;='Visual SPC'!$C$4),OR('Visual SPC'!$E$4="",'Data Entry'!$C4652&lt;='Visual SPC'!$E$4),OR('Visual SPC'!$G$4="",'Data Entry'!$D4652='Visual SPC'!$G$4),OR('Visual SPC'!$I$4="",'Data Entry'!$E4652='Visual SPC'!$I$4),OR('Visual SPC'!$K$4="",'Data Entry'!$F4652='Visual SPC'!$K$4)),1,0))</f>
        <v/>
      </c>
      <c r="C4652">
        <f>C4651+B4652</f>
        <v/>
      </c>
      <c r="D4652">
        <f>IF(B4652=1,INDEX('Data Entry'!$H$5:$BE$10004,4652-4,'Visual SPC'!$B$3),"")</f>
        <v/>
      </c>
      <c r="E4652">
        <f>IF(B4652=1,D4652,E4651)</f>
        <v/>
      </c>
      <c r="F4652">
        <f>IF(AND(B4652=1,C4652&gt;1,E4651&lt;&gt;""),ABS(D4652-E4651),"")</f>
        <v/>
      </c>
    </row>
    <row r="4653">
      <c r="A4653" t="n">
        <v>4653</v>
      </c>
      <c r="B4653">
        <f>IF(INDEX('Data Entry'!$H$5:$BE$10004,4653-4,'Visual SPC'!$B$3)="",0,IF(AND(OR('Visual SPC'!$C$4="",'Data Entry'!$C4653&gt;='Visual SPC'!$C$4),OR('Visual SPC'!$E$4="",'Data Entry'!$C4653&lt;='Visual SPC'!$E$4),OR('Visual SPC'!$G$4="",'Data Entry'!$D4653='Visual SPC'!$G$4),OR('Visual SPC'!$I$4="",'Data Entry'!$E4653='Visual SPC'!$I$4),OR('Visual SPC'!$K$4="",'Data Entry'!$F4653='Visual SPC'!$K$4)),1,0))</f>
        <v/>
      </c>
      <c r="C4653">
        <f>C4652+B4653</f>
        <v/>
      </c>
      <c r="D4653">
        <f>IF(B4653=1,INDEX('Data Entry'!$H$5:$BE$10004,4653-4,'Visual SPC'!$B$3),"")</f>
        <v/>
      </c>
      <c r="E4653">
        <f>IF(B4653=1,D4653,E4652)</f>
        <v/>
      </c>
      <c r="F4653">
        <f>IF(AND(B4653=1,C4653&gt;1,E4652&lt;&gt;""),ABS(D4653-E4652),"")</f>
        <v/>
      </c>
    </row>
    <row r="4654">
      <c r="A4654" t="n">
        <v>4654</v>
      </c>
      <c r="B4654">
        <f>IF(INDEX('Data Entry'!$H$5:$BE$10004,4654-4,'Visual SPC'!$B$3)="",0,IF(AND(OR('Visual SPC'!$C$4="",'Data Entry'!$C4654&gt;='Visual SPC'!$C$4),OR('Visual SPC'!$E$4="",'Data Entry'!$C4654&lt;='Visual SPC'!$E$4),OR('Visual SPC'!$G$4="",'Data Entry'!$D4654='Visual SPC'!$G$4),OR('Visual SPC'!$I$4="",'Data Entry'!$E4654='Visual SPC'!$I$4),OR('Visual SPC'!$K$4="",'Data Entry'!$F4654='Visual SPC'!$K$4)),1,0))</f>
        <v/>
      </c>
      <c r="C4654">
        <f>C4653+B4654</f>
        <v/>
      </c>
      <c r="D4654">
        <f>IF(B4654=1,INDEX('Data Entry'!$H$5:$BE$10004,4654-4,'Visual SPC'!$B$3),"")</f>
        <v/>
      </c>
      <c r="E4654">
        <f>IF(B4654=1,D4654,E4653)</f>
        <v/>
      </c>
      <c r="F4654">
        <f>IF(AND(B4654=1,C4654&gt;1,E4653&lt;&gt;""),ABS(D4654-E4653),"")</f>
        <v/>
      </c>
    </row>
    <row r="4655">
      <c r="A4655" t="n">
        <v>4655</v>
      </c>
      <c r="B4655">
        <f>IF(INDEX('Data Entry'!$H$5:$BE$10004,4655-4,'Visual SPC'!$B$3)="",0,IF(AND(OR('Visual SPC'!$C$4="",'Data Entry'!$C4655&gt;='Visual SPC'!$C$4),OR('Visual SPC'!$E$4="",'Data Entry'!$C4655&lt;='Visual SPC'!$E$4),OR('Visual SPC'!$G$4="",'Data Entry'!$D4655='Visual SPC'!$G$4),OR('Visual SPC'!$I$4="",'Data Entry'!$E4655='Visual SPC'!$I$4),OR('Visual SPC'!$K$4="",'Data Entry'!$F4655='Visual SPC'!$K$4)),1,0))</f>
        <v/>
      </c>
      <c r="C4655">
        <f>C4654+B4655</f>
        <v/>
      </c>
      <c r="D4655">
        <f>IF(B4655=1,INDEX('Data Entry'!$H$5:$BE$10004,4655-4,'Visual SPC'!$B$3),"")</f>
        <v/>
      </c>
      <c r="E4655">
        <f>IF(B4655=1,D4655,E4654)</f>
        <v/>
      </c>
      <c r="F4655">
        <f>IF(AND(B4655=1,C4655&gt;1,E4654&lt;&gt;""),ABS(D4655-E4654),"")</f>
        <v/>
      </c>
    </row>
    <row r="4656">
      <c r="A4656" t="n">
        <v>4656</v>
      </c>
      <c r="B4656">
        <f>IF(INDEX('Data Entry'!$H$5:$BE$10004,4656-4,'Visual SPC'!$B$3)="",0,IF(AND(OR('Visual SPC'!$C$4="",'Data Entry'!$C4656&gt;='Visual SPC'!$C$4),OR('Visual SPC'!$E$4="",'Data Entry'!$C4656&lt;='Visual SPC'!$E$4),OR('Visual SPC'!$G$4="",'Data Entry'!$D4656='Visual SPC'!$G$4),OR('Visual SPC'!$I$4="",'Data Entry'!$E4656='Visual SPC'!$I$4),OR('Visual SPC'!$K$4="",'Data Entry'!$F4656='Visual SPC'!$K$4)),1,0))</f>
        <v/>
      </c>
      <c r="C4656">
        <f>C4655+B4656</f>
        <v/>
      </c>
      <c r="D4656">
        <f>IF(B4656=1,INDEX('Data Entry'!$H$5:$BE$10004,4656-4,'Visual SPC'!$B$3),"")</f>
        <v/>
      </c>
      <c r="E4656">
        <f>IF(B4656=1,D4656,E4655)</f>
        <v/>
      </c>
      <c r="F4656">
        <f>IF(AND(B4656=1,C4656&gt;1,E4655&lt;&gt;""),ABS(D4656-E4655),"")</f>
        <v/>
      </c>
    </row>
    <row r="4657">
      <c r="A4657" t="n">
        <v>4657</v>
      </c>
      <c r="B4657">
        <f>IF(INDEX('Data Entry'!$H$5:$BE$10004,4657-4,'Visual SPC'!$B$3)="",0,IF(AND(OR('Visual SPC'!$C$4="",'Data Entry'!$C4657&gt;='Visual SPC'!$C$4),OR('Visual SPC'!$E$4="",'Data Entry'!$C4657&lt;='Visual SPC'!$E$4),OR('Visual SPC'!$G$4="",'Data Entry'!$D4657='Visual SPC'!$G$4),OR('Visual SPC'!$I$4="",'Data Entry'!$E4657='Visual SPC'!$I$4),OR('Visual SPC'!$K$4="",'Data Entry'!$F4657='Visual SPC'!$K$4)),1,0))</f>
        <v/>
      </c>
      <c r="C4657">
        <f>C4656+B4657</f>
        <v/>
      </c>
      <c r="D4657">
        <f>IF(B4657=1,INDEX('Data Entry'!$H$5:$BE$10004,4657-4,'Visual SPC'!$B$3),"")</f>
        <v/>
      </c>
      <c r="E4657">
        <f>IF(B4657=1,D4657,E4656)</f>
        <v/>
      </c>
      <c r="F4657">
        <f>IF(AND(B4657=1,C4657&gt;1,E4656&lt;&gt;""),ABS(D4657-E4656),"")</f>
        <v/>
      </c>
    </row>
    <row r="4658">
      <c r="A4658" t="n">
        <v>4658</v>
      </c>
      <c r="B4658">
        <f>IF(INDEX('Data Entry'!$H$5:$BE$10004,4658-4,'Visual SPC'!$B$3)="",0,IF(AND(OR('Visual SPC'!$C$4="",'Data Entry'!$C4658&gt;='Visual SPC'!$C$4),OR('Visual SPC'!$E$4="",'Data Entry'!$C4658&lt;='Visual SPC'!$E$4),OR('Visual SPC'!$G$4="",'Data Entry'!$D4658='Visual SPC'!$G$4),OR('Visual SPC'!$I$4="",'Data Entry'!$E4658='Visual SPC'!$I$4),OR('Visual SPC'!$K$4="",'Data Entry'!$F4658='Visual SPC'!$K$4)),1,0))</f>
        <v/>
      </c>
      <c r="C4658">
        <f>C4657+B4658</f>
        <v/>
      </c>
      <c r="D4658">
        <f>IF(B4658=1,INDEX('Data Entry'!$H$5:$BE$10004,4658-4,'Visual SPC'!$B$3),"")</f>
        <v/>
      </c>
      <c r="E4658">
        <f>IF(B4658=1,D4658,E4657)</f>
        <v/>
      </c>
      <c r="F4658">
        <f>IF(AND(B4658=1,C4658&gt;1,E4657&lt;&gt;""),ABS(D4658-E4657),"")</f>
        <v/>
      </c>
    </row>
    <row r="4659">
      <c r="A4659" t="n">
        <v>4659</v>
      </c>
      <c r="B4659">
        <f>IF(INDEX('Data Entry'!$H$5:$BE$10004,4659-4,'Visual SPC'!$B$3)="",0,IF(AND(OR('Visual SPC'!$C$4="",'Data Entry'!$C4659&gt;='Visual SPC'!$C$4),OR('Visual SPC'!$E$4="",'Data Entry'!$C4659&lt;='Visual SPC'!$E$4),OR('Visual SPC'!$G$4="",'Data Entry'!$D4659='Visual SPC'!$G$4),OR('Visual SPC'!$I$4="",'Data Entry'!$E4659='Visual SPC'!$I$4),OR('Visual SPC'!$K$4="",'Data Entry'!$F4659='Visual SPC'!$K$4)),1,0))</f>
        <v/>
      </c>
      <c r="C4659">
        <f>C4658+B4659</f>
        <v/>
      </c>
      <c r="D4659">
        <f>IF(B4659=1,INDEX('Data Entry'!$H$5:$BE$10004,4659-4,'Visual SPC'!$B$3),"")</f>
        <v/>
      </c>
      <c r="E4659">
        <f>IF(B4659=1,D4659,E4658)</f>
        <v/>
      </c>
      <c r="F4659">
        <f>IF(AND(B4659=1,C4659&gt;1,E4658&lt;&gt;""),ABS(D4659-E4658),"")</f>
        <v/>
      </c>
    </row>
    <row r="4660">
      <c r="A4660" t="n">
        <v>4660</v>
      </c>
      <c r="B4660">
        <f>IF(INDEX('Data Entry'!$H$5:$BE$10004,4660-4,'Visual SPC'!$B$3)="",0,IF(AND(OR('Visual SPC'!$C$4="",'Data Entry'!$C4660&gt;='Visual SPC'!$C$4),OR('Visual SPC'!$E$4="",'Data Entry'!$C4660&lt;='Visual SPC'!$E$4),OR('Visual SPC'!$G$4="",'Data Entry'!$D4660='Visual SPC'!$G$4),OR('Visual SPC'!$I$4="",'Data Entry'!$E4660='Visual SPC'!$I$4),OR('Visual SPC'!$K$4="",'Data Entry'!$F4660='Visual SPC'!$K$4)),1,0))</f>
        <v/>
      </c>
      <c r="C4660">
        <f>C4659+B4660</f>
        <v/>
      </c>
      <c r="D4660">
        <f>IF(B4660=1,INDEX('Data Entry'!$H$5:$BE$10004,4660-4,'Visual SPC'!$B$3),"")</f>
        <v/>
      </c>
      <c r="E4660">
        <f>IF(B4660=1,D4660,E4659)</f>
        <v/>
      </c>
      <c r="F4660">
        <f>IF(AND(B4660=1,C4660&gt;1,E4659&lt;&gt;""),ABS(D4660-E4659),"")</f>
        <v/>
      </c>
    </row>
    <row r="4661">
      <c r="A4661" t="n">
        <v>4661</v>
      </c>
      <c r="B4661">
        <f>IF(INDEX('Data Entry'!$H$5:$BE$10004,4661-4,'Visual SPC'!$B$3)="",0,IF(AND(OR('Visual SPC'!$C$4="",'Data Entry'!$C4661&gt;='Visual SPC'!$C$4),OR('Visual SPC'!$E$4="",'Data Entry'!$C4661&lt;='Visual SPC'!$E$4),OR('Visual SPC'!$G$4="",'Data Entry'!$D4661='Visual SPC'!$G$4),OR('Visual SPC'!$I$4="",'Data Entry'!$E4661='Visual SPC'!$I$4),OR('Visual SPC'!$K$4="",'Data Entry'!$F4661='Visual SPC'!$K$4)),1,0))</f>
        <v/>
      </c>
      <c r="C4661">
        <f>C4660+B4661</f>
        <v/>
      </c>
      <c r="D4661">
        <f>IF(B4661=1,INDEX('Data Entry'!$H$5:$BE$10004,4661-4,'Visual SPC'!$B$3),"")</f>
        <v/>
      </c>
      <c r="E4661">
        <f>IF(B4661=1,D4661,E4660)</f>
        <v/>
      </c>
      <c r="F4661">
        <f>IF(AND(B4661=1,C4661&gt;1,E4660&lt;&gt;""),ABS(D4661-E4660),"")</f>
        <v/>
      </c>
    </row>
    <row r="4662">
      <c r="A4662" t="n">
        <v>4662</v>
      </c>
      <c r="B4662">
        <f>IF(INDEX('Data Entry'!$H$5:$BE$10004,4662-4,'Visual SPC'!$B$3)="",0,IF(AND(OR('Visual SPC'!$C$4="",'Data Entry'!$C4662&gt;='Visual SPC'!$C$4),OR('Visual SPC'!$E$4="",'Data Entry'!$C4662&lt;='Visual SPC'!$E$4),OR('Visual SPC'!$G$4="",'Data Entry'!$D4662='Visual SPC'!$G$4),OR('Visual SPC'!$I$4="",'Data Entry'!$E4662='Visual SPC'!$I$4),OR('Visual SPC'!$K$4="",'Data Entry'!$F4662='Visual SPC'!$K$4)),1,0))</f>
        <v/>
      </c>
      <c r="C4662">
        <f>C4661+B4662</f>
        <v/>
      </c>
      <c r="D4662">
        <f>IF(B4662=1,INDEX('Data Entry'!$H$5:$BE$10004,4662-4,'Visual SPC'!$B$3),"")</f>
        <v/>
      </c>
      <c r="E4662">
        <f>IF(B4662=1,D4662,E4661)</f>
        <v/>
      </c>
      <c r="F4662">
        <f>IF(AND(B4662=1,C4662&gt;1,E4661&lt;&gt;""),ABS(D4662-E4661),"")</f>
        <v/>
      </c>
    </row>
    <row r="4663">
      <c r="A4663" t="n">
        <v>4663</v>
      </c>
      <c r="B4663">
        <f>IF(INDEX('Data Entry'!$H$5:$BE$10004,4663-4,'Visual SPC'!$B$3)="",0,IF(AND(OR('Visual SPC'!$C$4="",'Data Entry'!$C4663&gt;='Visual SPC'!$C$4),OR('Visual SPC'!$E$4="",'Data Entry'!$C4663&lt;='Visual SPC'!$E$4),OR('Visual SPC'!$G$4="",'Data Entry'!$D4663='Visual SPC'!$G$4),OR('Visual SPC'!$I$4="",'Data Entry'!$E4663='Visual SPC'!$I$4),OR('Visual SPC'!$K$4="",'Data Entry'!$F4663='Visual SPC'!$K$4)),1,0))</f>
        <v/>
      </c>
      <c r="C4663">
        <f>C4662+B4663</f>
        <v/>
      </c>
      <c r="D4663">
        <f>IF(B4663=1,INDEX('Data Entry'!$H$5:$BE$10004,4663-4,'Visual SPC'!$B$3),"")</f>
        <v/>
      </c>
      <c r="E4663">
        <f>IF(B4663=1,D4663,E4662)</f>
        <v/>
      </c>
      <c r="F4663">
        <f>IF(AND(B4663=1,C4663&gt;1,E4662&lt;&gt;""),ABS(D4663-E4662),"")</f>
        <v/>
      </c>
    </row>
    <row r="4664">
      <c r="A4664" t="n">
        <v>4664</v>
      </c>
      <c r="B4664">
        <f>IF(INDEX('Data Entry'!$H$5:$BE$10004,4664-4,'Visual SPC'!$B$3)="",0,IF(AND(OR('Visual SPC'!$C$4="",'Data Entry'!$C4664&gt;='Visual SPC'!$C$4),OR('Visual SPC'!$E$4="",'Data Entry'!$C4664&lt;='Visual SPC'!$E$4),OR('Visual SPC'!$G$4="",'Data Entry'!$D4664='Visual SPC'!$G$4),OR('Visual SPC'!$I$4="",'Data Entry'!$E4664='Visual SPC'!$I$4),OR('Visual SPC'!$K$4="",'Data Entry'!$F4664='Visual SPC'!$K$4)),1,0))</f>
        <v/>
      </c>
      <c r="C4664">
        <f>C4663+B4664</f>
        <v/>
      </c>
      <c r="D4664">
        <f>IF(B4664=1,INDEX('Data Entry'!$H$5:$BE$10004,4664-4,'Visual SPC'!$B$3),"")</f>
        <v/>
      </c>
      <c r="E4664">
        <f>IF(B4664=1,D4664,E4663)</f>
        <v/>
      </c>
      <c r="F4664">
        <f>IF(AND(B4664=1,C4664&gt;1,E4663&lt;&gt;""),ABS(D4664-E4663),"")</f>
        <v/>
      </c>
    </row>
    <row r="4665">
      <c r="A4665" t="n">
        <v>4665</v>
      </c>
      <c r="B4665">
        <f>IF(INDEX('Data Entry'!$H$5:$BE$10004,4665-4,'Visual SPC'!$B$3)="",0,IF(AND(OR('Visual SPC'!$C$4="",'Data Entry'!$C4665&gt;='Visual SPC'!$C$4),OR('Visual SPC'!$E$4="",'Data Entry'!$C4665&lt;='Visual SPC'!$E$4),OR('Visual SPC'!$G$4="",'Data Entry'!$D4665='Visual SPC'!$G$4),OR('Visual SPC'!$I$4="",'Data Entry'!$E4665='Visual SPC'!$I$4),OR('Visual SPC'!$K$4="",'Data Entry'!$F4665='Visual SPC'!$K$4)),1,0))</f>
        <v/>
      </c>
      <c r="C4665">
        <f>C4664+B4665</f>
        <v/>
      </c>
      <c r="D4665">
        <f>IF(B4665=1,INDEX('Data Entry'!$H$5:$BE$10004,4665-4,'Visual SPC'!$B$3),"")</f>
        <v/>
      </c>
      <c r="E4665">
        <f>IF(B4665=1,D4665,E4664)</f>
        <v/>
      </c>
      <c r="F4665">
        <f>IF(AND(B4665=1,C4665&gt;1,E4664&lt;&gt;""),ABS(D4665-E4664),"")</f>
        <v/>
      </c>
    </row>
    <row r="4666">
      <c r="A4666" t="n">
        <v>4666</v>
      </c>
      <c r="B4666">
        <f>IF(INDEX('Data Entry'!$H$5:$BE$10004,4666-4,'Visual SPC'!$B$3)="",0,IF(AND(OR('Visual SPC'!$C$4="",'Data Entry'!$C4666&gt;='Visual SPC'!$C$4),OR('Visual SPC'!$E$4="",'Data Entry'!$C4666&lt;='Visual SPC'!$E$4),OR('Visual SPC'!$G$4="",'Data Entry'!$D4666='Visual SPC'!$G$4),OR('Visual SPC'!$I$4="",'Data Entry'!$E4666='Visual SPC'!$I$4),OR('Visual SPC'!$K$4="",'Data Entry'!$F4666='Visual SPC'!$K$4)),1,0))</f>
        <v/>
      </c>
      <c r="C4666">
        <f>C4665+B4666</f>
        <v/>
      </c>
      <c r="D4666">
        <f>IF(B4666=1,INDEX('Data Entry'!$H$5:$BE$10004,4666-4,'Visual SPC'!$B$3),"")</f>
        <v/>
      </c>
      <c r="E4666">
        <f>IF(B4666=1,D4666,E4665)</f>
        <v/>
      </c>
      <c r="F4666">
        <f>IF(AND(B4666=1,C4666&gt;1,E4665&lt;&gt;""),ABS(D4666-E4665),"")</f>
        <v/>
      </c>
    </row>
    <row r="4667">
      <c r="A4667" t="n">
        <v>4667</v>
      </c>
      <c r="B4667">
        <f>IF(INDEX('Data Entry'!$H$5:$BE$10004,4667-4,'Visual SPC'!$B$3)="",0,IF(AND(OR('Visual SPC'!$C$4="",'Data Entry'!$C4667&gt;='Visual SPC'!$C$4),OR('Visual SPC'!$E$4="",'Data Entry'!$C4667&lt;='Visual SPC'!$E$4),OR('Visual SPC'!$G$4="",'Data Entry'!$D4667='Visual SPC'!$G$4),OR('Visual SPC'!$I$4="",'Data Entry'!$E4667='Visual SPC'!$I$4),OR('Visual SPC'!$K$4="",'Data Entry'!$F4667='Visual SPC'!$K$4)),1,0))</f>
        <v/>
      </c>
      <c r="C4667">
        <f>C4666+B4667</f>
        <v/>
      </c>
      <c r="D4667">
        <f>IF(B4667=1,INDEX('Data Entry'!$H$5:$BE$10004,4667-4,'Visual SPC'!$B$3),"")</f>
        <v/>
      </c>
      <c r="E4667">
        <f>IF(B4667=1,D4667,E4666)</f>
        <v/>
      </c>
      <c r="F4667">
        <f>IF(AND(B4667=1,C4667&gt;1,E4666&lt;&gt;""),ABS(D4667-E4666),"")</f>
        <v/>
      </c>
    </row>
    <row r="4668">
      <c r="A4668" t="n">
        <v>4668</v>
      </c>
      <c r="B4668">
        <f>IF(INDEX('Data Entry'!$H$5:$BE$10004,4668-4,'Visual SPC'!$B$3)="",0,IF(AND(OR('Visual SPC'!$C$4="",'Data Entry'!$C4668&gt;='Visual SPC'!$C$4),OR('Visual SPC'!$E$4="",'Data Entry'!$C4668&lt;='Visual SPC'!$E$4),OR('Visual SPC'!$G$4="",'Data Entry'!$D4668='Visual SPC'!$G$4),OR('Visual SPC'!$I$4="",'Data Entry'!$E4668='Visual SPC'!$I$4),OR('Visual SPC'!$K$4="",'Data Entry'!$F4668='Visual SPC'!$K$4)),1,0))</f>
        <v/>
      </c>
      <c r="C4668">
        <f>C4667+B4668</f>
        <v/>
      </c>
      <c r="D4668">
        <f>IF(B4668=1,INDEX('Data Entry'!$H$5:$BE$10004,4668-4,'Visual SPC'!$B$3),"")</f>
        <v/>
      </c>
      <c r="E4668">
        <f>IF(B4668=1,D4668,E4667)</f>
        <v/>
      </c>
      <c r="F4668">
        <f>IF(AND(B4668=1,C4668&gt;1,E4667&lt;&gt;""),ABS(D4668-E4667),"")</f>
        <v/>
      </c>
    </row>
    <row r="4669">
      <c r="A4669" t="n">
        <v>4669</v>
      </c>
      <c r="B4669">
        <f>IF(INDEX('Data Entry'!$H$5:$BE$10004,4669-4,'Visual SPC'!$B$3)="",0,IF(AND(OR('Visual SPC'!$C$4="",'Data Entry'!$C4669&gt;='Visual SPC'!$C$4),OR('Visual SPC'!$E$4="",'Data Entry'!$C4669&lt;='Visual SPC'!$E$4),OR('Visual SPC'!$G$4="",'Data Entry'!$D4669='Visual SPC'!$G$4),OR('Visual SPC'!$I$4="",'Data Entry'!$E4669='Visual SPC'!$I$4),OR('Visual SPC'!$K$4="",'Data Entry'!$F4669='Visual SPC'!$K$4)),1,0))</f>
        <v/>
      </c>
      <c r="C4669">
        <f>C4668+B4669</f>
        <v/>
      </c>
      <c r="D4669">
        <f>IF(B4669=1,INDEX('Data Entry'!$H$5:$BE$10004,4669-4,'Visual SPC'!$B$3),"")</f>
        <v/>
      </c>
      <c r="E4669">
        <f>IF(B4669=1,D4669,E4668)</f>
        <v/>
      </c>
      <c r="F4669">
        <f>IF(AND(B4669=1,C4669&gt;1,E4668&lt;&gt;""),ABS(D4669-E4668),"")</f>
        <v/>
      </c>
    </row>
    <row r="4670">
      <c r="A4670" t="n">
        <v>4670</v>
      </c>
      <c r="B4670">
        <f>IF(INDEX('Data Entry'!$H$5:$BE$10004,4670-4,'Visual SPC'!$B$3)="",0,IF(AND(OR('Visual SPC'!$C$4="",'Data Entry'!$C4670&gt;='Visual SPC'!$C$4),OR('Visual SPC'!$E$4="",'Data Entry'!$C4670&lt;='Visual SPC'!$E$4),OR('Visual SPC'!$G$4="",'Data Entry'!$D4670='Visual SPC'!$G$4),OR('Visual SPC'!$I$4="",'Data Entry'!$E4670='Visual SPC'!$I$4),OR('Visual SPC'!$K$4="",'Data Entry'!$F4670='Visual SPC'!$K$4)),1,0))</f>
        <v/>
      </c>
      <c r="C4670">
        <f>C4669+B4670</f>
        <v/>
      </c>
      <c r="D4670">
        <f>IF(B4670=1,INDEX('Data Entry'!$H$5:$BE$10004,4670-4,'Visual SPC'!$B$3),"")</f>
        <v/>
      </c>
      <c r="E4670">
        <f>IF(B4670=1,D4670,E4669)</f>
        <v/>
      </c>
      <c r="F4670">
        <f>IF(AND(B4670=1,C4670&gt;1,E4669&lt;&gt;""),ABS(D4670-E4669),"")</f>
        <v/>
      </c>
    </row>
    <row r="4671">
      <c r="A4671" t="n">
        <v>4671</v>
      </c>
      <c r="B4671">
        <f>IF(INDEX('Data Entry'!$H$5:$BE$10004,4671-4,'Visual SPC'!$B$3)="",0,IF(AND(OR('Visual SPC'!$C$4="",'Data Entry'!$C4671&gt;='Visual SPC'!$C$4),OR('Visual SPC'!$E$4="",'Data Entry'!$C4671&lt;='Visual SPC'!$E$4),OR('Visual SPC'!$G$4="",'Data Entry'!$D4671='Visual SPC'!$G$4),OR('Visual SPC'!$I$4="",'Data Entry'!$E4671='Visual SPC'!$I$4),OR('Visual SPC'!$K$4="",'Data Entry'!$F4671='Visual SPC'!$K$4)),1,0))</f>
        <v/>
      </c>
      <c r="C4671">
        <f>C4670+B4671</f>
        <v/>
      </c>
      <c r="D4671">
        <f>IF(B4671=1,INDEX('Data Entry'!$H$5:$BE$10004,4671-4,'Visual SPC'!$B$3),"")</f>
        <v/>
      </c>
      <c r="E4671">
        <f>IF(B4671=1,D4671,E4670)</f>
        <v/>
      </c>
      <c r="F4671">
        <f>IF(AND(B4671=1,C4671&gt;1,E4670&lt;&gt;""),ABS(D4671-E4670),"")</f>
        <v/>
      </c>
    </row>
    <row r="4672">
      <c r="A4672" t="n">
        <v>4672</v>
      </c>
      <c r="B4672">
        <f>IF(INDEX('Data Entry'!$H$5:$BE$10004,4672-4,'Visual SPC'!$B$3)="",0,IF(AND(OR('Visual SPC'!$C$4="",'Data Entry'!$C4672&gt;='Visual SPC'!$C$4),OR('Visual SPC'!$E$4="",'Data Entry'!$C4672&lt;='Visual SPC'!$E$4),OR('Visual SPC'!$G$4="",'Data Entry'!$D4672='Visual SPC'!$G$4),OR('Visual SPC'!$I$4="",'Data Entry'!$E4672='Visual SPC'!$I$4),OR('Visual SPC'!$K$4="",'Data Entry'!$F4672='Visual SPC'!$K$4)),1,0))</f>
        <v/>
      </c>
      <c r="C4672">
        <f>C4671+B4672</f>
        <v/>
      </c>
      <c r="D4672">
        <f>IF(B4672=1,INDEX('Data Entry'!$H$5:$BE$10004,4672-4,'Visual SPC'!$B$3),"")</f>
        <v/>
      </c>
      <c r="E4672">
        <f>IF(B4672=1,D4672,E4671)</f>
        <v/>
      </c>
      <c r="F4672">
        <f>IF(AND(B4672=1,C4672&gt;1,E4671&lt;&gt;""),ABS(D4672-E4671),"")</f>
        <v/>
      </c>
    </row>
    <row r="4673">
      <c r="A4673" t="n">
        <v>4673</v>
      </c>
      <c r="B4673">
        <f>IF(INDEX('Data Entry'!$H$5:$BE$10004,4673-4,'Visual SPC'!$B$3)="",0,IF(AND(OR('Visual SPC'!$C$4="",'Data Entry'!$C4673&gt;='Visual SPC'!$C$4),OR('Visual SPC'!$E$4="",'Data Entry'!$C4673&lt;='Visual SPC'!$E$4),OR('Visual SPC'!$G$4="",'Data Entry'!$D4673='Visual SPC'!$G$4),OR('Visual SPC'!$I$4="",'Data Entry'!$E4673='Visual SPC'!$I$4),OR('Visual SPC'!$K$4="",'Data Entry'!$F4673='Visual SPC'!$K$4)),1,0))</f>
        <v/>
      </c>
      <c r="C4673">
        <f>C4672+B4673</f>
        <v/>
      </c>
      <c r="D4673">
        <f>IF(B4673=1,INDEX('Data Entry'!$H$5:$BE$10004,4673-4,'Visual SPC'!$B$3),"")</f>
        <v/>
      </c>
      <c r="E4673">
        <f>IF(B4673=1,D4673,E4672)</f>
        <v/>
      </c>
      <c r="F4673">
        <f>IF(AND(B4673=1,C4673&gt;1,E4672&lt;&gt;""),ABS(D4673-E4672),"")</f>
        <v/>
      </c>
    </row>
    <row r="4674">
      <c r="A4674" t="n">
        <v>4674</v>
      </c>
      <c r="B4674">
        <f>IF(INDEX('Data Entry'!$H$5:$BE$10004,4674-4,'Visual SPC'!$B$3)="",0,IF(AND(OR('Visual SPC'!$C$4="",'Data Entry'!$C4674&gt;='Visual SPC'!$C$4),OR('Visual SPC'!$E$4="",'Data Entry'!$C4674&lt;='Visual SPC'!$E$4),OR('Visual SPC'!$G$4="",'Data Entry'!$D4674='Visual SPC'!$G$4),OR('Visual SPC'!$I$4="",'Data Entry'!$E4674='Visual SPC'!$I$4),OR('Visual SPC'!$K$4="",'Data Entry'!$F4674='Visual SPC'!$K$4)),1,0))</f>
        <v/>
      </c>
      <c r="C4674">
        <f>C4673+B4674</f>
        <v/>
      </c>
      <c r="D4674">
        <f>IF(B4674=1,INDEX('Data Entry'!$H$5:$BE$10004,4674-4,'Visual SPC'!$B$3),"")</f>
        <v/>
      </c>
      <c r="E4674">
        <f>IF(B4674=1,D4674,E4673)</f>
        <v/>
      </c>
      <c r="F4674">
        <f>IF(AND(B4674=1,C4674&gt;1,E4673&lt;&gt;""),ABS(D4674-E4673),"")</f>
        <v/>
      </c>
    </row>
    <row r="4675">
      <c r="A4675" t="n">
        <v>4675</v>
      </c>
      <c r="B4675">
        <f>IF(INDEX('Data Entry'!$H$5:$BE$10004,4675-4,'Visual SPC'!$B$3)="",0,IF(AND(OR('Visual SPC'!$C$4="",'Data Entry'!$C4675&gt;='Visual SPC'!$C$4),OR('Visual SPC'!$E$4="",'Data Entry'!$C4675&lt;='Visual SPC'!$E$4),OR('Visual SPC'!$G$4="",'Data Entry'!$D4675='Visual SPC'!$G$4),OR('Visual SPC'!$I$4="",'Data Entry'!$E4675='Visual SPC'!$I$4),OR('Visual SPC'!$K$4="",'Data Entry'!$F4675='Visual SPC'!$K$4)),1,0))</f>
        <v/>
      </c>
      <c r="C4675">
        <f>C4674+B4675</f>
        <v/>
      </c>
      <c r="D4675">
        <f>IF(B4675=1,INDEX('Data Entry'!$H$5:$BE$10004,4675-4,'Visual SPC'!$B$3),"")</f>
        <v/>
      </c>
      <c r="E4675">
        <f>IF(B4675=1,D4675,E4674)</f>
        <v/>
      </c>
      <c r="F4675">
        <f>IF(AND(B4675=1,C4675&gt;1,E4674&lt;&gt;""),ABS(D4675-E4674),"")</f>
        <v/>
      </c>
    </row>
    <row r="4676">
      <c r="A4676" t="n">
        <v>4676</v>
      </c>
      <c r="B4676">
        <f>IF(INDEX('Data Entry'!$H$5:$BE$10004,4676-4,'Visual SPC'!$B$3)="",0,IF(AND(OR('Visual SPC'!$C$4="",'Data Entry'!$C4676&gt;='Visual SPC'!$C$4),OR('Visual SPC'!$E$4="",'Data Entry'!$C4676&lt;='Visual SPC'!$E$4),OR('Visual SPC'!$G$4="",'Data Entry'!$D4676='Visual SPC'!$G$4),OR('Visual SPC'!$I$4="",'Data Entry'!$E4676='Visual SPC'!$I$4),OR('Visual SPC'!$K$4="",'Data Entry'!$F4676='Visual SPC'!$K$4)),1,0))</f>
        <v/>
      </c>
      <c r="C4676">
        <f>C4675+B4676</f>
        <v/>
      </c>
      <c r="D4676">
        <f>IF(B4676=1,INDEX('Data Entry'!$H$5:$BE$10004,4676-4,'Visual SPC'!$B$3),"")</f>
        <v/>
      </c>
      <c r="E4676">
        <f>IF(B4676=1,D4676,E4675)</f>
        <v/>
      </c>
      <c r="F4676">
        <f>IF(AND(B4676=1,C4676&gt;1,E4675&lt;&gt;""),ABS(D4676-E4675),"")</f>
        <v/>
      </c>
    </row>
    <row r="4677">
      <c r="A4677" t="n">
        <v>4677</v>
      </c>
      <c r="B4677">
        <f>IF(INDEX('Data Entry'!$H$5:$BE$10004,4677-4,'Visual SPC'!$B$3)="",0,IF(AND(OR('Visual SPC'!$C$4="",'Data Entry'!$C4677&gt;='Visual SPC'!$C$4),OR('Visual SPC'!$E$4="",'Data Entry'!$C4677&lt;='Visual SPC'!$E$4),OR('Visual SPC'!$G$4="",'Data Entry'!$D4677='Visual SPC'!$G$4),OR('Visual SPC'!$I$4="",'Data Entry'!$E4677='Visual SPC'!$I$4),OR('Visual SPC'!$K$4="",'Data Entry'!$F4677='Visual SPC'!$K$4)),1,0))</f>
        <v/>
      </c>
      <c r="C4677">
        <f>C4676+B4677</f>
        <v/>
      </c>
      <c r="D4677">
        <f>IF(B4677=1,INDEX('Data Entry'!$H$5:$BE$10004,4677-4,'Visual SPC'!$B$3),"")</f>
        <v/>
      </c>
      <c r="E4677">
        <f>IF(B4677=1,D4677,E4676)</f>
        <v/>
      </c>
      <c r="F4677">
        <f>IF(AND(B4677=1,C4677&gt;1,E4676&lt;&gt;""),ABS(D4677-E4676),"")</f>
        <v/>
      </c>
    </row>
    <row r="4678">
      <c r="A4678" t="n">
        <v>4678</v>
      </c>
      <c r="B4678">
        <f>IF(INDEX('Data Entry'!$H$5:$BE$10004,4678-4,'Visual SPC'!$B$3)="",0,IF(AND(OR('Visual SPC'!$C$4="",'Data Entry'!$C4678&gt;='Visual SPC'!$C$4),OR('Visual SPC'!$E$4="",'Data Entry'!$C4678&lt;='Visual SPC'!$E$4),OR('Visual SPC'!$G$4="",'Data Entry'!$D4678='Visual SPC'!$G$4),OR('Visual SPC'!$I$4="",'Data Entry'!$E4678='Visual SPC'!$I$4),OR('Visual SPC'!$K$4="",'Data Entry'!$F4678='Visual SPC'!$K$4)),1,0))</f>
        <v/>
      </c>
      <c r="C4678">
        <f>C4677+B4678</f>
        <v/>
      </c>
      <c r="D4678">
        <f>IF(B4678=1,INDEX('Data Entry'!$H$5:$BE$10004,4678-4,'Visual SPC'!$B$3),"")</f>
        <v/>
      </c>
      <c r="E4678">
        <f>IF(B4678=1,D4678,E4677)</f>
        <v/>
      </c>
      <c r="F4678">
        <f>IF(AND(B4678=1,C4678&gt;1,E4677&lt;&gt;""),ABS(D4678-E4677),"")</f>
        <v/>
      </c>
    </row>
    <row r="4679">
      <c r="A4679" t="n">
        <v>4679</v>
      </c>
      <c r="B4679">
        <f>IF(INDEX('Data Entry'!$H$5:$BE$10004,4679-4,'Visual SPC'!$B$3)="",0,IF(AND(OR('Visual SPC'!$C$4="",'Data Entry'!$C4679&gt;='Visual SPC'!$C$4),OR('Visual SPC'!$E$4="",'Data Entry'!$C4679&lt;='Visual SPC'!$E$4),OR('Visual SPC'!$G$4="",'Data Entry'!$D4679='Visual SPC'!$G$4),OR('Visual SPC'!$I$4="",'Data Entry'!$E4679='Visual SPC'!$I$4),OR('Visual SPC'!$K$4="",'Data Entry'!$F4679='Visual SPC'!$K$4)),1,0))</f>
        <v/>
      </c>
      <c r="C4679">
        <f>C4678+B4679</f>
        <v/>
      </c>
      <c r="D4679">
        <f>IF(B4679=1,INDEX('Data Entry'!$H$5:$BE$10004,4679-4,'Visual SPC'!$B$3),"")</f>
        <v/>
      </c>
      <c r="E4679">
        <f>IF(B4679=1,D4679,E4678)</f>
        <v/>
      </c>
      <c r="F4679">
        <f>IF(AND(B4679=1,C4679&gt;1,E4678&lt;&gt;""),ABS(D4679-E4678),"")</f>
        <v/>
      </c>
    </row>
    <row r="4680">
      <c r="A4680" t="n">
        <v>4680</v>
      </c>
      <c r="B4680">
        <f>IF(INDEX('Data Entry'!$H$5:$BE$10004,4680-4,'Visual SPC'!$B$3)="",0,IF(AND(OR('Visual SPC'!$C$4="",'Data Entry'!$C4680&gt;='Visual SPC'!$C$4),OR('Visual SPC'!$E$4="",'Data Entry'!$C4680&lt;='Visual SPC'!$E$4),OR('Visual SPC'!$G$4="",'Data Entry'!$D4680='Visual SPC'!$G$4),OR('Visual SPC'!$I$4="",'Data Entry'!$E4680='Visual SPC'!$I$4),OR('Visual SPC'!$K$4="",'Data Entry'!$F4680='Visual SPC'!$K$4)),1,0))</f>
        <v/>
      </c>
      <c r="C4680">
        <f>C4679+B4680</f>
        <v/>
      </c>
      <c r="D4680">
        <f>IF(B4680=1,INDEX('Data Entry'!$H$5:$BE$10004,4680-4,'Visual SPC'!$B$3),"")</f>
        <v/>
      </c>
      <c r="E4680">
        <f>IF(B4680=1,D4680,E4679)</f>
        <v/>
      </c>
      <c r="F4680">
        <f>IF(AND(B4680=1,C4680&gt;1,E4679&lt;&gt;""),ABS(D4680-E4679),"")</f>
        <v/>
      </c>
    </row>
    <row r="4681">
      <c r="A4681" t="n">
        <v>4681</v>
      </c>
      <c r="B4681">
        <f>IF(INDEX('Data Entry'!$H$5:$BE$10004,4681-4,'Visual SPC'!$B$3)="",0,IF(AND(OR('Visual SPC'!$C$4="",'Data Entry'!$C4681&gt;='Visual SPC'!$C$4),OR('Visual SPC'!$E$4="",'Data Entry'!$C4681&lt;='Visual SPC'!$E$4),OR('Visual SPC'!$G$4="",'Data Entry'!$D4681='Visual SPC'!$G$4),OR('Visual SPC'!$I$4="",'Data Entry'!$E4681='Visual SPC'!$I$4),OR('Visual SPC'!$K$4="",'Data Entry'!$F4681='Visual SPC'!$K$4)),1,0))</f>
        <v/>
      </c>
      <c r="C4681">
        <f>C4680+B4681</f>
        <v/>
      </c>
      <c r="D4681">
        <f>IF(B4681=1,INDEX('Data Entry'!$H$5:$BE$10004,4681-4,'Visual SPC'!$B$3),"")</f>
        <v/>
      </c>
      <c r="E4681">
        <f>IF(B4681=1,D4681,E4680)</f>
        <v/>
      </c>
      <c r="F4681">
        <f>IF(AND(B4681=1,C4681&gt;1,E4680&lt;&gt;""),ABS(D4681-E4680),"")</f>
        <v/>
      </c>
    </row>
    <row r="4682">
      <c r="A4682" t="n">
        <v>4682</v>
      </c>
      <c r="B4682">
        <f>IF(INDEX('Data Entry'!$H$5:$BE$10004,4682-4,'Visual SPC'!$B$3)="",0,IF(AND(OR('Visual SPC'!$C$4="",'Data Entry'!$C4682&gt;='Visual SPC'!$C$4),OR('Visual SPC'!$E$4="",'Data Entry'!$C4682&lt;='Visual SPC'!$E$4),OR('Visual SPC'!$G$4="",'Data Entry'!$D4682='Visual SPC'!$G$4),OR('Visual SPC'!$I$4="",'Data Entry'!$E4682='Visual SPC'!$I$4),OR('Visual SPC'!$K$4="",'Data Entry'!$F4682='Visual SPC'!$K$4)),1,0))</f>
        <v/>
      </c>
      <c r="C4682">
        <f>C4681+B4682</f>
        <v/>
      </c>
      <c r="D4682">
        <f>IF(B4682=1,INDEX('Data Entry'!$H$5:$BE$10004,4682-4,'Visual SPC'!$B$3),"")</f>
        <v/>
      </c>
      <c r="E4682">
        <f>IF(B4682=1,D4682,E4681)</f>
        <v/>
      </c>
      <c r="F4682">
        <f>IF(AND(B4682=1,C4682&gt;1,E4681&lt;&gt;""),ABS(D4682-E4681),"")</f>
        <v/>
      </c>
    </row>
    <row r="4683">
      <c r="A4683" t="n">
        <v>4683</v>
      </c>
      <c r="B4683">
        <f>IF(INDEX('Data Entry'!$H$5:$BE$10004,4683-4,'Visual SPC'!$B$3)="",0,IF(AND(OR('Visual SPC'!$C$4="",'Data Entry'!$C4683&gt;='Visual SPC'!$C$4),OR('Visual SPC'!$E$4="",'Data Entry'!$C4683&lt;='Visual SPC'!$E$4),OR('Visual SPC'!$G$4="",'Data Entry'!$D4683='Visual SPC'!$G$4),OR('Visual SPC'!$I$4="",'Data Entry'!$E4683='Visual SPC'!$I$4),OR('Visual SPC'!$K$4="",'Data Entry'!$F4683='Visual SPC'!$K$4)),1,0))</f>
        <v/>
      </c>
      <c r="C4683">
        <f>C4682+B4683</f>
        <v/>
      </c>
      <c r="D4683">
        <f>IF(B4683=1,INDEX('Data Entry'!$H$5:$BE$10004,4683-4,'Visual SPC'!$B$3),"")</f>
        <v/>
      </c>
      <c r="E4683">
        <f>IF(B4683=1,D4683,E4682)</f>
        <v/>
      </c>
      <c r="F4683">
        <f>IF(AND(B4683=1,C4683&gt;1,E4682&lt;&gt;""),ABS(D4683-E4682),"")</f>
        <v/>
      </c>
    </row>
    <row r="4684">
      <c r="A4684" t="n">
        <v>4684</v>
      </c>
      <c r="B4684">
        <f>IF(INDEX('Data Entry'!$H$5:$BE$10004,4684-4,'Visual SPC'!$B$3)="",0,IF(AND(OR('Visual SPC'!$C$4="",'Data Entry'!$C4684&gt;='Visual SPC'!$C$4),OR('Visual SPC'!$E$4="",'Data Entry'!$C4684&lt;='Visual SPC'!$E$4),OR('Visual SPC'!$G$4="",'Data Entry'!$D4684='Visual SPC'!$G$4),OR('Visual SPC'!$I$4="",'Data Entry'!$E4684='Visual SPC'!$I$4),OR('Visual SPC'!$K$4="",'Data Entry'!$F4684='Visual SPC'!$K$4)),1,0))</f>
        <v/>
      </c>
      <c r="C4684">
        <f>C4683+B4684</f>
        <v/>
      </c>
      <c r="D4684">
        <f>IF(B4684=1,INDEX('Data Entry'!$H$5:$BE$10004,4684-4,'Visual SPC'!$B$3),"")</f>
        <v/>
      </c>
      <c r="E4684">
        <f>IF(B4684=1,D4684,E4683)</f>
        <v/>
      </c>
      <c r="F4684">
        <f>IF(AND(B4684=1,C4684&gt;1,E4683&lt;&gt;""),ABS(D4684-E4683),"")</f>
        <v/>
      </c>
    </row>
    <row r="4685">
      <c r="A4685" t="n">
        <v>4685</v>
      </c>
      <c r="B4685">
        <f>IF(INDEX('Data Entry'!$H$5:$BE$10004,4685-4,'Visual SPC'!$B$3)="",0,IF(AND(OR('Visual SPC'!$C$4="",'Data Entry'!$C4685&gt;='Visual SPC'!$C$4),OR('Visual SPC'!$E$4="",'Data Entry'!$C4685&lt;='Visual SPC'!$E$4),OR('Visual SPC'!$G$4="",'Data Entry'!$D4685='Visual SPC'!$G$4),OR('Visual SPC'!$I$4="",'Data Entry'!$E4685='Visual SPC'!$I$4),OR('Visual SPC'!$K$4="",'Data Entry'!$F4685='Visual SPC'!$K$4)),1,0))</f>
        <v/>
      </c>
      <c r="C4685">
        <f>C4684+B4685</f>
        <v/>
      </c>
      <c r="D4685">
        <f>IF(B4685=1,INDEX('Data Entry'!$H$5:$BE$10004,4685-4,'Visual SPC'!$B$3),"")</f>
        <v/>
      </c>
      <c r="E4685">
        <f>IF(B4685=1,D4685,E4684)</f>
        <v/>
      </c>
      <c r="F4685">
        <f>IF(AND(B4685=1,C4685&gt;1,E4684&lt;&gt;""),ABS(D4685-E4684),"")</f>
        <v/>
      </c>
    </row>
    <row r="4686">
      <c r="A4686" t="n">
        <v>4686</v>
      </c>
      <c r="B4686">
        <f>IF(INDEX('Data Entry'!$H$5:$BE$10004,4686-4,'Visual SPC'!$B$3)="",0,IF(AND(OR('Visual SPC'!$C$4="",'Data Entry'!$C4686&gt;='Visual SPC'!$C$4),OR('Visual SPC'!$E$4="",'Data Entry'!$C4686&lt;='Visual SPC'!$E$4),OR('Visual SPC'!$G$4="",'Data Entry'!$D4686='Visual SPC'!$G$4),OR('Visual SPC'!$I$4="",'Data Entry'!$E4686='Visual SPC'!$I$4),OR('Visual SPC'!$K$4="",'Data Entry'!$F4686='Visual SPC'!$K$4)),1,0))</f>
        <v/>
      </c>
      <c r="C4686">
        <f>C4685+B4686</f>
        <v/>
      </c>
      <c r="D4686">
        <f>IF(B4686=1,INDEX('Data Entry'!$H$5:$BE$10004,4686-4,'Visual SPC'!$B$3),"")</f>
        <v/>
      </c>
      <c r="E4686">
        <f>IF(B4686=1,D4686,E4685)</f>
        <v/>
      </c>
      <c r="F4686">
        <f>IF(AND(B4686=1,C4686&gt;1,E4685&lt;&gt;""),ABS(D4686-E4685),"")</f>
        <v/>
      </c>
    </row>
    <row r="4687">
      <c r="A4687" t="n">
        <v>4687</v>
      </c>
      <c r="B4687">
        <f>IF(INDEX('Data Entry'!$H$5:$BE$10004,4687-4,'Visual SPC'!$B$3)="",0,IF(AND(OR('Visual SPC'!$C$4="",'Data Entry'!$C4687&gt;='Visual SPC'!$C$4),OR('Visual SPC'!$E$4="",'Data Entry'!$C4687&lt;='Visual SPC'!$E$4),OR('Visual SPC'!$G$4="",'Data Entry'!$D4687='Visual SPC'!$G$4),OR('Visual SPC'!$I$4="",'Data Entry'!$E4687='Visual SPC'!$I$4),OR('Visual SPC'!$K$4="",'Data Entry'!$F4687='Visual SPC'!$K$4)),1,0))</f>
        <v/>
      </c>
      <c r="C4687">
        <f>C4686+B4687</f>
        <v/>
      </c>
      <c r="D4687">
        <f>IF(B4687=1,INDEX('Data Entry'!$H$5:$BE$10004,4687-4,'Visual SPC'!$B$3),"")</f>
        <v/>
      </c>
      <c r="E4687">
        <f>IF(B4687=1,D4687,E4686)</f>
        <v/>
      </c>
      <c r="F4687">
        <f>IF(AND(B4687=1,C4687&gt;1,E4686&lt;&gt;""),ABS(D4687-E4686),"")</f>
        <v/>
      </c>
    </row>
    <row r="4688">
      <c r="A4688" t="n">
        <v>4688</v>
      </c>
      <c r="B4688">
        <f>IF(INDEX('Data Entry'!$H$5:$BE$10004,4688-4,'Visual SPC'!$B$3)="",0,IF(AND(OR('Visual SPC'!$C$4="",'Data Entry'!$C4688&gt;='Visual SPC'!$C$4),OR('Visual SPC'!$E$4="",'Data Entry'!$C4688&lt;='Visual SPC'!$E$4),OR('Visual SPC'!$G$4="",'Data Entry'!$D4688='Visual SPC'!$G$4),OR('Visual SPC'!$I$4="",'Data Entry'!$E4688='Visual SPC'!$I$4),OR('Visual SPC'!$K$4="",'Data Entry'!$F4688='Visual SPC'!$K$4)),1,0))</f>
        <v/>
      </c>
      <c r="C4688">
        <f>C4687+B4688</f>
        <v/>
      </c>
      <c r="D4688">
        <f>IF(B4688=1,INDEX('Data Entry'!$H$5:$BE$10004,4688-4,'Visual SPC'!$B$3),"")</f>
        <v/>
      </c>
      <c r="E4688">
        <f>IF(B4688=1,D4688,E4687)</f>
        <v/>
      </c>
      <c r="F4688">
        <f>IF(AND(B4688=1,C4688&gt;1,E4687&lt;&gt;""),ABS(D4688-E4687),"")</f>
        <v/>
      </c>
    </row>
    <row r="4689">
      <c r="A4689" t="n">
        <v>4689</v>
      </c>
      <c r="B4689">
        <f>IF(INDEX('Data Entry'!$H$5:$BE$10004,4689-4,'Visual SPC'!$B$3)="",0,IF(AND(OR('Visual SPC'!$C$4="",'Data Entry'!$C4689&gt;='Visual SPC'!$C$4),OR('Visual SPC'!$E$4="",'Data Entry'!$C4689&lt;='Visual SPC'!$E$4),OR('Visual SPC'!$G$4="",'Data Entry'!$D4689='Visual SPC'!$G$4),OR('Visual SPC'!$I$4="",'Data Entry'!$E4689='Visual SPC'!$I$4),OR('Visual SPC'!$K$4="",'Data Entry'!$F4689='Visual SPC'!$K$4)),1,0))</f>
        <v/>
      </c>
      <c r="C4689">
        <f>C4688+B4689</f>
        <v/>
      </c>
      <c r="D4689">
        <f>IF(B4689=1,INDEX('Data Entry'!$H$5:$BE$10004,4689-4,'Visual SPC'!$B$3),"")</f>
        <v/>
      </c>
      <c r="E4689">
        <f>IF(B4689=1,D4689,E4688)</f>
        <v/>
      </c>
      <c r="F4689">
        <f>IF(AND(B4689=1,C4689&gt;1,E4688&lt;&gt;""),ABS(D4689-E4688),"")</f>
        <v/>
      </c>
    </row>
    <row r="4690">
      <c r="A4690" t="n">
        <v>4690</v>
      </c>
      <c r="B4690">
        <f>IF(INDEX('Data Entry'!$H$5:$BE$10004,4690-4,'Visual SPC'!$B$3)="",0,IF(AND(OR('Visual SPC'!$C$4="",'Data Entry'!$C4690&gt;='Visual SPC'!$C$4),OR('Visual SPC'!$E$4="",'Data Entry'!$C4690&lt;='Visual SPC'!$E$4),OR('Visual SPC'!$G$4="",'Data Entry'!$D4690='Visual SPC'!$G$4),OR('Visual SPC'!$I$4="",'Data Entry'!$E4690='Visual SPC'!$I$4),OR('Visual SPC'!$K$4="",'Data Entry'!$F4690='Visual SPC'!$K$4)),1,0))</f>
        <v/>
      </c>
      <c r="C4690">
        <f>C4689+B4690</f>
        <v/>
      </c>
      <c r="D4690">
        <f>IF(B4690=1,INDEX('Data Entry'!$H$5:$BE$10004,4690-4,'Visual SPC'!$B$3),"")</f>
        <v/>
      </c>
      <c r="E4690">
        <f>IF(B4690=1,D4690,E4689)</f>
        <v/>
      </c>
      <c r="F4690">
        <f>IF(AND(B4690=1,C4690&gt;1,E4689&lt;&gt;""),ABS(D4690-E4689),"")</f>
        <v/>
      </c>
    </row>
    <row r="4691">
      <c r="A4691" t="n">
        <v>4691</v>
      </c>
      <c r="B4691">
        <f>IF(INDEX('Data Entry'!$H$5:$BE$10004,4691-4,'Visual SPC'!$B$3)="",0,IF(AND(OR('Visual SPC'!$C$4="",'Data Entry'!$C4691&gt;='Visual SPC'!$C$4),OR('Visual SPC'!$E$4="",'Data Entry'!$C4691&lt;='Visual SPC'!$E$4),OR('Visual SPC'!$G$4="",'Data Entry'!$D4691='Visual SPC'!$G$4),OR('Visual SPC'!$I$4="",'Data Entry'!$E4691='Visual SPC'!$I$4),OR('Visual SPC'!$K$4="",'Data Entry'!$F4691='Visual SPC'!$K$4)),1,0))</f>
        <v/>
      </c>
      <c r="C4691">
        <f>C4690+B4691</f>
        <v/>
      </c>
      <c r="D4691">
        <f>IF(B4691=1,INDEX('Data Entry'!$H$5:$BE$10004,4691-4,'Visual SPC'!$B$3),"")</f>
        <v/>
      </c>
      <c r="E4691">
        <f>IF(B4691=1,D4691,E4690)</f>
        <v/>
      </c>
      <c r="F4691">
        <f>IF(AND(B4691=1,C4691&gt;1,E4690&lt;&gt;""),ABS(D4691-E4690),"")</f>
        <v/>
      </c>
    </row>
    <row r="4692">
      <c r="A4692" t="n">
        <v>4692</v>
      </c>
      <c r="B4692">
        <f>IF(INDEX('Data Entry'!$H$5:$BE$10004,4692-4,'Visual SPC'!$B$3)="",0,IF(AND(OR('Visual SPC'!$C$4="",'Data Entry'!$C4692&gt;='Visual SPC'!$C$4),OR('Visual SPC'!$E$4="",'Data Entry'!$C4692&lt;='Visual SPC'!$E$4),OR('Visual SPC'!$G$4="",'Data Entry'!$D4692='Visual SPC'!$G$4),OR('Visual SPC'!$I$4="",'Data Entry'!$E4692='Visual SPC'!$I$4),OR('Visual SPC'!$K$4="",'Data Entry'!$F4692='Visual SPC'!$K$4)),1,0))</f>
        <v/>
      </c>
      <c r="C4692">
        <f>C4691+B4692</f>
        <v/>
      </c>
      <c r="D4692">
        <f>IF(B4692=1,INDEX('Data Entry'!$H$5:$BE$10004,4692-4,'Visual SPC'!$B$3),"")</f>
        <v/>
      </c>
      <c r="E4692">
        <f>IF(B4692=1,D4692,E4691)</f>
        <v/>
      </c>
      <c r="F4692">
        <f>IF(AND(B4692=1,C4692&gt;1,E4691&lt;&gt;""),ABS(D4692-E4691),"")</f>
        <v/>
      </c>
    </row>
    <row r="4693">
      <c r="A4693" t="n">
        <v>4693</v>
      </c>
      <c r="B4693">
        <f>IF(INDEX('Data Entry'!$H$5:$BE$10004,4693-4,'Visual SPC'!$B$3)="",0,IF(AND(OR('Visual SPC'!$C$4="",'Data Entry'!$C4693&gt;='Visual SPC'!$C$4),OR('Visual SPC'!$E$4="",'Data Entry'!$C4693&lt;='Visual SPC'!$E$4),OR('Visual SPC'!$G$4="",'Data Entry'!$D4693='Visual SPC'!$G$4),OR('Visual SPC'!$I$4="",'Data Entry'!$E4693='Visual SPC'!$I$4),OR('Visual SPC'!$K$4="",'Data Entry'!$F4693='Visual SPC'!$K$4)),1,0))</f>
        <v/>
      </c>
      <c r="C4693">
        <f>C4692+B4693</f>
        <v/>
      </c>
      <c r="D4693">
        <f>IF(B4693=1,INDEX('Data Entry'!$H$5:$BE$10004,4693-4,'Visual SPC'!$B$3),"")</f>
        <v/>
      </c>
      <c r="E4693">
        <f>IF(B4693=1,D4693,E4692)</f>
        <v/>
      </c>
      <c r="F4693">
        <f>IF(AND(B4693=1,C4693&gt;1,E4692&lt;&gt;""),ABS(D4693-E4692),"")</f>
        <v/>
      </c>
    </row>
    <row r="4694">
      <c r="A4694" t="n">
        <v>4694</v>
      </c>
      <c r="B4694">
        <f>IF(INDEX('Data Entry'!$H$5:$BE$10004,4694-4,'Visual SPC'!$B$3)="",0,IF(AND(OR('Visual SPC'!$C$4="",'Data Entry'!$C4694&gt;='Visual SPC'!$C$4),OR('Visual SPC'!$E$4="",'Data Entry'!$C4694&lt;='Visual SPC'!$E$4),OR('Visual SPC'!$G$4="",'Data Entry'!$D4694='Visual SPC'!$G$4),OR('Visual SPC'!$I$4="",'Data Entry'!$E4694='Visual SPC'!$I$4),OR('Visual SPC'!$K$4="",'Data Entry'!$F4694='Visual SPC'!$K$4)),1,0))</f>
        <v/>
      </c>
      <c r="C4694">
        <f>C4693+B4694</f>
        <v/>
      </c>
      <c r="D4694">
        <f>IF(B4694=1,INDEX('Data Entry'!$H$5:$BE$10004,4694-4,'Visual SPC'!$B$3),"")</f>
        <v/>
      </c>
      <c r="E4694">
        <f>IF(B4694=1,D4694,E4693)</f>
        <v/>
      </c>
      <c r="F4694">
        <f>IF(AND(B4694=1,C4694&gt;1,E4693&lt;&gt;""),ABS(D4694-E4693),"")</f>
        <v/>
      </c>
    </row>
    <row r="4695">
      <c r="A4695" t="n">
        <v>4695</v>
      </c>
      <c r="B4695">
        <f>IF(INDEX('Data Entry'!$H$5:$BE$10004,4695-4,'Visual SPC'!$B$3)="",0,IF(AND(OR('Visual SPC'!$C$4="",'Data Entry'!$C4695&gt;='Visual SPC'!$C$4),OR('Visual SPC'!$E$4="",'Data Entry'!$C4695&lt;='Visual SPC'!$E$4),OR('Visual SPC'!$G$4="",'Data Entry'!$D4695='Visual SPC'!$G$4),OR('Visual SPC'!$I$4="",'Data Entry'!$E4695='Visual SPC'!$I$4),OR('Visual SPC'!$K$4="",'Data Entry'!$F4695='Visual SPC'!$K$4)),1,0))</f>
        <v/>
      </c>
      <c r="C4695">
        <f>C4694+B4695</f>
        <v/>
      </c>
      <c r="D4695">
        <f>IF(B4695=1,INDEX('Data Entry'!$H$5:$BE$10004,4695-4,'Visual SPC'!$B$3),"")</f>
        <v/>
      </c>
      <c r="E4695">
        <f>IF(B4695=1,D4695,E4694)</f>
        <v/>
      </c>
      <c r="F4695">
        <f>IF(AND(B4695=1,C4695&gt;1,E4694&lt;&gt;""),ABS(D4695-E4694),"")</f>
        <v/>
      </c>
    </row>
    <row r="4696">
      <c r="A4696" t="n">
        <v>4696</v>
      </c>
      <c r="B4696">
        <f>IF(INDEX('Data Entry'!$H$5:$BE$10004,4696-4,'Visual SPC'!$B$3)="",0,IF(AND(OR('Visual SPC'!$C$4="",'Data Entry'!$C4696&gt;='Visual SPC'!$C$4),OR('Visual SPC'!$E$4="",'Data Entry'!$C4696&lt;='Visual SPC'!$E$4),OR('Visual SPC'!$G$4="",'Data Entry'!$D4696='Visual SPC'!$G$4),OR('Visual SPC'!$I$4="",'Data Entry'!$E4696='Visual SPC'!$I$4),OR('Visual SPC'!$K$4="",'Data Entry'!$F4696='Visual SPC'!$K$4)),1,0))</f>
        <v/>
      </c>
      <c r="C4696">
        <f>C4695+B4696</f>
        <v/>
      </c>
      <c r="D4696">
        <f>IF(B4696=1,INDEX('Data Entry'!$H$5:$BE$10004,4696-4,'Visual SPC'!$B$3),"")</f>
        <v/>
      </c>
      <c r="E4696">
        <f>IF(B4696=1,D4696,E4695)</f>
        <v/>
      </c>
      <c r="F4696">
        <f>IF(AND(B4696=1,C4696&gt;1,E4695&lt;&gt;""),ABS(D4696-E4695),"")</f>
        <v/>
      </c>
    </row>
    <row r="4697">
      <c r="A4697" t="n">
        <v>4697</v>
      </c>
      <c r="B4697">
        <f>IF(INDEX('Data Entry'!$H$5:$BE$10004,4697-4,'Visual SPC'!$B$3)="",0,IF(AND(OR('Visual SPC'!$C$4="",'Data Entry'!$C4697&gt;='Visual SPC'!$C$4),OR('Visual SPC'!$E$4="",'Data Entry'!$C4697&lt;='Visual SPC'!$E$4),OR('Visual SPC'!$G$4="",'Data Entry'!$D4697='Visual SPC'!$G$4),OR('Visual SPC'!$I$4="",'Data Entry'!$E4697='Visual SPC'!$I$4),OR('Visual SPC'!$K$4="",'Data Entry'!$F4697='Visual SPC'!$K$4)),1,0))</f>
        <v/>
      </c>
      <c r="C4697">
        <f>C4696+B4697</f>
        <v/>
      </c>
      <c r="D4697">
        <f>IF(B4697=1,INDEX('Data Entry'!$H$5:$BE$10004,4697-4,'Visual SPC'!$B$3),"")</f>
        <v/>
      </c>
      <c r="E4697">
        <f>IF(B4697=1,D4697,E4696)</f>
        <v/>
      </c>
      <c r="F4697">
        <f>IF(AND(B4697=1,C4697&gt;1,E4696&lt;&gt;""),ABS(D4697-E4696),"")</f>
        <v/>
      </c>
    </row>
    <row r="4698">
      <c r="A4698" t="n">
        <v>4698</v>
      </c>
      <c r="B4698">
        <f>IF(INDEX('Data Entry'!$H$5:$BE$10004,4698-4,'Visual SPC'!$B$3)="",0,IF(AND(OR('Visual SPC'!$C$4="",'Data Entry'!$C4698&gt;='Visual SPC'!$C$4),OR('Visual SPC'!$E$4="",'Data Entry'!$C4698&lt;='Visual SPC'!$E$4),OR('Visual SPC'!$G$4="",'Data Entry'!$D4698='Visual SPC'!$G$4),OR('Visual SPC'!$I$4="",'Data Entry'!$E4698='Visual SPC'!$I$4),OR('Visual SPC'!$K$4="",'Data Entry'!$F4698='Visual SPC'!$K$4)),1,0))</f>
        <v/>
      </c>
      <c r="C4698">
        <f>C4697+B4698</f>
        <v/>
      </c>
      <c r="D4698">
        <f>IF(B4698=1,INDEX('Data Entry'!$H$5:$BE$10004,4698-4,'Visual SPC'!$B$3),"")</f>
        <v/>
      </c>
      <c r="E4698">
        <f>IF(B4698=1,D4698,E4697)</f>
        <v/>
      </c>
      <c r="F4698">
        <f>IF(AND(B4698=1,C4698&gt;1,E4697&lt;&gt;""),ABS(D4698-E4697),"")</f>
        <v/>
      </c>
    </row>
    <row r="4699">
      <c r="A4699" t="n">
        <v>4699</v>
      </c>
      <c r="B4699">
        <f>IF(INDEX('Data Entry'!$H$5:$BE$10004,4699-4,'Visual SPC'!$B$3)="",0,IF(AND(OR('Visual SPC'!$C$4="",'Data Entry'!$C4699&gt;='Visual SPC'!$C$4),OR('Visual SPC'!$E$4="",'Data Entry'!$C4699&lt;='Visual SPC'!$E$4),OR('Visual SPC'!$G$4="",'Data Entry'!$D4699='Visual SPC'!$G$4),OR('Visual SPC'!$I$4="",'Data Entry'!$E4699='Visual SPC'!$I$4),OR('Visual SPC'!$K$4="",'Data Entry'!$F4699='Visual SPC'!$K$4)),1,0))</f>
        <v/>
      </c>
      <c r="C4699">
        <f>C4698+B4699</f>
        <v/>
      </c>
      <c r="D4699">
        <f>IF(B4699=1,INDEX('Data Entry'!$H$5:$BE$10004,4699-4,'Visual SPC'!$B$3),"")</f>
        <v/>
      </c>
      <c r="E4699">
        <f>IF(B4699=1,D4699,E4698)</f>
        <v/>
      </c>
      <c r="F4699">
        <f>IF(AND(B4699=1,C4699&gt;1,E4698&lt;&gt;""),ABS(D4699-E4698),"")</f>
        <v/>
      </c>
    </row>
    <row r="4700">
      <c r="A4700" t="n">
        <v>4700</v>
      </c>
      <c r="B4700">
        <f>IF(INDEX('Data Entry'!$H$5:$BE$10004,4700-4,'Visual SPC'!$B$3)="",0,IF(AND(OR('Visual SPC'!$C$4="",'Data Entry'!$C4700&gt;='Visual SPC'!$C$4),OR('Visual SPC'!$E$4="",'Data Entry'!$C4700&lt;='Visual SPC'!$E$4),OR('Visual SPC'!$G$4="",'Data Entry'!$D4700='Visual SPC'!$G$4),OR('Visual SPC'!$I$4="",'Data Entry'!$E4700='Visual SPC'!$I$4),OR('Visual SPC'!$K$4="",'Data Entry'!$F4700='Visual SPC'!$K$4)),1,0))</f>
        <v/>
      </c>
      <c r="C4700">
        <f>C4699+B4700</f>
        <v/>
      </c>
      <c r="D4700">
        <f>IF(B4700=1,INDEX('Data Entry'!$H$5:$BE$10004,4700-4,'Visual SPC'!$B$3),"")</f>
        <v/>
      </c>
      <c r="E4700">
        <f>IF(B4700=1,D4700,E4699)</f>
        <v/>
      </c>
      <c r="F4700">
        <f>IF(AND(B4700=1,C4700&gt;1,E4699&lt;&gt;""),ABS(D4700-E4699),"")</f>
        <v/>
      </c>
    </row>
    <row r="4701">
      <c r="A4701" t="n">
        <v>4701</v>
      </c>
      <c r="B4701">
        <f>IF(INDEX('Data Entry'!$H$5:$BE$10004,4701-4,'Visual SPC'!$B$3)="",0,IF(AND(OR('Visual SPC'!$C$4="",'Data Entry'!$C4701&gt;='Visual SPC'!$C$4),OR('Visual SPC'!$E$4="",'Data Entry'!$C4701&lt;='Visual SPC'!$E$4),OR('Visual SPC'!$G$4="",'Data Entry'!$D4701='Visual SPC'!$G$4),OR('Visual SPC'!$I$4="",'Data Entry'!$E4701='Visual SPC'!$I$4),OR('Visual SPC'!$K$4="",'Data Entry'!$F4701='Visual SPC'!$K$4)),1,0))</f>
        <v/>
      </c>
      <c r="C4701">
        <f>C4700+B4701</f>
        <v/>
      </c>
      <c r="D4701">
        <f>IF(B4701=1,INDEX('Data Entry'!$H$5:$BE$10004,4701-4,'Visual SPC'!$B$3),"")</f>
        <v/>
      </c>
      <c r="E4701">
        <f>IF(B4701=1,D4701,E4700)</f>
        <v/>
      </c>
      <c r="F4701">
        <f>IF(AND(B4701=1,C4701&gt;1,E4700&lt;&gt;""),ABS(D4701-E4700),"")</f>
        <v/>
      </c>
    </row>
    <row r="4702">
      <c r="A4702" t="n">
        <v>4702</v>
      </c>
      <c r="B4702">
        <f>IF(INDEX('Data Entry'!$H$5:$BE$10004,4702-4,'Visual SPC'!$B$3)="",0,IF(AND(OR('Visual SPC'!$C$4="",'Data Entry'!$C4702&gt;='Visual SPC'!$C$4),OR('Visual SPC'!$E$4="",'Data Entry'!$C4702&lt;='Visual SPC'!$E$4),OR('Visual SPC'!$G$4="",'Data Entry'!$D4702='Visual SPC'!$G$4),OR('Visual SPC'!$I$4="",'Data Entry'!$E4702='Visual SPC'!$I$4),OR('Visual SPC'!$K$4="",'Data Entry'!$F4702='Visual SPC'!$K$4)),1,0))</f>
        <v/>
      </c>
      <c r="C4702">
        <f>C4701+B4702</f>
        <v/>
      </c>
      <c r="D4702">
        <f>IF(B4702=1,INDEX('Data Entry'!$H$5:$BE$10004,4702-4,'Visual SPC'!$B$3),"")</f>
        <v/>
      </c>
      <c r="E4702">
        <f>IF(B4702=1,D4702,E4701)</f>
        <v/>
      </c>
      <c r="F4702">
        <f>IF(AND(B4702=1,C4702&gt;1,E4701&lt;&gt;""),ABS(D4702-E4701),"")</f>
        <v/>
      </c>
    </row>
    <row r="4703">
      <c r="A4703" t="n">
        <v>4703</v>
      </c>
      <c r="B4703">
        <f>IF(INDEX('Data Entry'!$H$5:$BE$10004,4703-4,'Visual SPC'!$B$3)="",0,IF(AND(OR('Visual SPC'!$C$4="",'Data Entry'!$C4703&gt;='Visual SPC'!$C$4),OR('Visual SPC'!$E$4="",'Data Entry'!$C4703&lt;='Visual SPC'!$E$4),OR('Visual SPC'!$G$4="",'Data Entry'!$D4703='Visual SPC'!$G$4),OR('Visual SPC'!$I$4="",'Data Entry'!$E4703='Visual SPC'!$I$4),OR('Visual SPC'!$K$4="",'Data Entry'!$F4703='Visual SPC'!$K$4)),1,0))</f>
        <v/>
      </c>
      <c r="C4703">
        <f>C4702+B4703</f>
        <v/>
      </c>
      <c r="D4703">
        <f>IF(B4703=1,INDEX('Data Entry'!$H$5:$BE$10004,4703-4,'Visual SPC'!$B$3),"")</f>
        <v/>
      </c>
      <c r="E4703">
        <f>IF(B4703=1,D4703,E4702)</f>
        <v/>
      </c>
      <c r="F4703">
        <f>IF(AND(B4703=1,C4703&gt;1,E4702&lt;&gt;""),ABS(D4703-E4702),"")</f>
        <v/>
      </c>
    </row>
    <row r="4704">
      <c r="A4704" t="n">
        <v>4704</v>
      </c>
      <c r="B4704">
        <f>IF(INDEX('Data Entry'!$H$5:$BE$10004,4704-4,'Visual SPC'!$B$3)="",0,IF(AND(OR('Visual SPC'!$C$4="",'Data Entry'!$C4704&gt;='Visual SPC'!$C$4),OR('Visual SPC'!$E$4="",'Data Entry'!$C4704&lt;='Visual SPC'!$E$4),OR('Visual SPC'!$G$4="",'Data Entry'!$D4704='Visual SPC'!$G$4),OR('Visual SPC'!$I$4="",'Data Entry'!$E4704='Visual SPC'!$I$4),OR('Visual SPC'!$K$4="",'Data Entry'!$F4704='Visual SPC'!$K$4)),1,0))</f>
        <v/>
      </c>
      <c r="C4704">
        <f>C4703+B4704</f>
        <v/>
      </c>
      <c r="D4704">
        <f>IF(B4704=1,INDEX('Data Entry'!$H$5:$BE$10004,4704-4,'Visual SPC'!$B$3),"")</f>
        <v/>
      </c>
      <c r="E4704">
        <f>IF(B4704=1,D4704,E4703)</f>
        <v/>
      </c>
      <c r="F4704">
        <f>IF(AND(B4704=1,C4704&gt;1,E4703&lt;&gt;""),ABS(D4704-E4703),"")</f>
        <v/>
      </c>
    </row>
    <row r="4705">
      <c r="A4705" t="n">
        <v>4705</v>
      </c>
      <c r="B4705">
        <f>IF(INDEX('Data Entry'!$H$5:$BE$10004,4705-4,'Visual SPC'!$B$3)="",0,IF(AND(OR('Visual SPC'!$C$4="",'Data Entry'!$C4705&gt;='Visual SPC'!$C$4),OR('Visual SPC'!$E$4="",'Data Entry'!$C4705&lt;='Visual SPC'!$E$4),OR('Visual SPC'!$G$4="",'Data Entry'!$D4705='Visual SPC'!$G$4),OR('Visual SPC'!$I$4="",'Data Entry'!$E4705='Visual SPC'!$I$4),OR('Visual SPC'!$K$4="",'Data Entry'!$F4705='Visual SPC'!$K$4)),1,0))</f>
        <v/>
      </c>
      <c r="C4705">
        <f>C4704+B4705</f>
        <v/>
      </c>
      <c r="D4705">
        <f>IF(B4705=1,INDEX('Data Entry'!$H$5:$BE$10004,4705-4,'Visual SPC'!$B$3),"")</f>
        <v/>
      </c>
      <c r="E4705">
        <f>IF(B4705=1,D4705,E4704)</f>
        <v/>
      </c>
      <c r="F4705">
        <f>IF(AND(B4705=1,C4705&gt;1,E4704&lt;&gt;""),ABS(D4705-E4704),"")</f>
        <v/>
      </c>
    </row>
    <row r="4706">
      <c r="A4706" t="n">
        <v>4706</v>
      </c>
      <c r="B4706">
        <f>IF(INDEX('Data Entry'!$H$5:$BE$10004,4706-4,'Visual SPC'!$B$3)="",0,IF(AND(OR('Visual SPC'!$C$4="",'Data Entry'!$C4706&gt;='Visual SPC'!$C$4),OR('Visual SPC'!$E$4="",'Data Entry'!$C4706&lt;='Visual SPC'!$E$4),OR('Visual SPC'!$G$4="",'Data Entry'!$D4706='Visual SPC'!$G$4),OR('Visual SPC'!$I$4="",'Data Entry'!$E4706='Visual SPC'!$I$4),OR('Visual SPC'!$K$4="",'Data Entry'!$F4706='Visual SPC'!$K$4)),1,0))</f>
        <v/>
      </c>
      <c r="C4706">
        <f>C4705+B4706</f>
        <v/>
      </c>
      <c r="D4706">
        <f>IF(B4706=1,INDEX('Data Entry'!$H$5:$BE$10004,4706-4,'Visual SPC'!$B$3),"")</f>
        <v/>
      </c>
      <c r="E4706">
        <f>IF(B4706=1,D4706,E4705)</f>
        <v/>
      </c>
      <c r="F4706">
        <f>IF(AND(B4706=1,C4706&gt;1,E4705&lt;&gt;""),ABS(D4706-E4705),"")</f>
        <v/>
      </c>
    </row>
    <row r="4707">
      <c r="A4707" t="n">
        <v>4707</v>
      </c>
      <c r="B4707">
        <f>IF(INDEX('Data Entry'!$H$5:$BE$10004,4707-4,'Visual SPC'!$B$3)="",0,IF(AND(OR('Visual SPC'!$C$4="",'Data Entry'!$C4707&gt;='Visual SPC'!$C$4),OR('Visual SPC'!$E$4="",'Data Entry'!$C4707&lt;='Visual SPC'!$E$4),OR('Visual SPC'!$G$4="",'Data Entry'!$D4707='Visual SPC'!$G$4),OR('Visual SPC'!$I$4="",'Data Entry'!$E4707='Visual SPC'!$I$4),OR('Visual SPC'!$K$4="",'Data Entry'!$F4707='Visual SPC'!$K$4)),1,0))</f>
        <v/>
      </c>
      <c r="C4707">
        <f>C4706+B4707</f>
        <v/>
      </c>
      <c r="D4707">
        <f>IF(B4707=1,INDEX('Data Entry'!$H$5:$BE$10004,4707-4,'Visual SPC'!$B$3),"")</f>
        <v/>
      </c>
      <c r="E4707">
        <f>IF(B4707=1,D4707,E4706)</f>
        <v/>
      </c>
      <c r="F4707">
        <f>IF(AND(B4707=1,C4707&gt;1,E4706&lt;&gt;""),ABS(D4707-E4706),"")</f>
        <v/>
      </c>
    </row>
    <row r="4708">
      <c r="A4708" t="n">
        <v>4708</v>
      </c>
      <c r="B4708">
        <f>IF(INDEX('Data Entry'!$H$5:$BE$10004,4708-4,'Visual SPC'!$B$3)="",0,IF(AND(OR('Visual SPC'!$C$4="",'Data Entry'!$C4708&gt;='Visual SPC'!$C$4),OR('Visual SPC'!$E$4="",'Data Entry'!$C4708&lt;='Visual SPC'!$E$4),OR('Visual SPC'!$G$4="",'Data Entry'!$D4708='Visual SPC'!$G$4),OR('Visual SPC'!$I$4="",'Data Entry'!$E4708='Visual SPC'!$I$4),OR('Visual SPC'!$K$4="",'Data Entry'!$F4708='Visual SPC'!$K$4)),1,0))</f>
        <v/>
      </c>
      <c r="C4708">
        <f>C4707+B4708</f>
        <v/>
      </c>
      <c r="D4708">
        <f>IF(B4708=1,INDEX('Data Entry'!$H$5:$BE$10004,4708-4,'Visual SPC'!$B$3),"")</f>
        <v/>
      </c>
      <c r="E4708">
        <f>IF(B4708=1,D4708,E4707)</f>
        <v/>
      </c>
      <c r="F4708">
        <f>IF(AND(B4708=1,C4708&gt;1,E4707&lt;&gt;""),ABS(D4708-E4707),"")</f>
        <v/>
      </c>
    </row>
    <row r="4709">
      <c r="A4709" t="n">
        <v>4709</v>
      </c>
      <c r="B4709">
        <f>IF(INDEX('Data Entry'!$H$5:$BE$10004,4709-4,'Visual SPC'!$B$3)="",0,IF(AND(OR('Visual SPC'!$C$4="",'Data Entry'!$C4709&gt;='Visual SPC'!$C$4),OR('Visual SPC'!$E$4="",'Data Entry'!$C4709&lt;='Visual SPC'!$E$4),OR('Visual SPC'!$G$4="",'Data Entry'!$D4709='Visual SPC'!$G$4),OR('Visual SPC'!$I$4="",'Data Entry'!$E4709='Visual SPC'!$I$4),OR('Visual SPC'!$K$4="",'Data Entry'!$F4709='Visual SPC'!$K$4)),1,0))</f>
        <v/>
      </c>
      <c r="C4709">
        <f>C4708+B4709</f>
        <v/>
      </c>
      <c r="D4709">
        <f>IF(B4709=1,INDEX('Data Entry'!$H$5:$BE$10004,4709-4,'Visual SPC'!$B$3),"")</f>
        <v/>
      </c>
      <c r="E4709">
        <f>IF(B4709=1,D4709,E4708)</f>
        <v/>
      </c>
      <c r="F4709">
        <f>IF(AND(B4709=1,C4709&gt;1,E4708&lt;&gt;""),ABS(D4709-E4708),"")</f>
        <v/>
      </c>
    </row>
    <row r="4710">
      <c r="A4710" t="n">
        <v>4710</v>
      </c>
      <c r="B4710">
        <f>IF(INDEX('Data Entry'!$H$5:$BE$10004,4710-4,'Visual SPC'!$B$3)="",0,IF(AND(OR('Visual SPC'!$C$4="",'Data Entry'!$C4710&gt;='Visual SPC'!$C$4),OR('Visual SPC'!$E$4="",'Data Entry'!$C4710&lt;='Visual SPC'!$E$4),OR('Visual SPC'!$G$4="",'Data Entry'!$D4710='Visual SPC'!$G$4),OR('Visual SPC'!$I$4="",'Data Entry'!$E4710='Visual SPC'!$I$4),OR('Visual SPC'!$K$4="",'Data Entry'!$F4710='Visual SPC'!$K$4)),1,0))</f>
        <v/>
      </c>
      <c r="C4710">
        <f>C4709+B4710</f>
        <v/>
      </c>
      <c r="D4710">
        <f>IF(B4710=1,INDEX('Data Entry'!$H$5:$BE$10004,4710-4,'Visual SPC'!$B$3),"")</f>
        <v/>
      </c>
      <c r="E4710">
        <f>IF(B4710=1,D4710,E4709)</f>
        <v/>
      </c>
      <c r="F4710">
        <f>IF(AND(B4710=1,C4710&gt;1,E4709&lt;&gt;""),ABS(D4710-E4709),"")</f>
        <v/>
      </c>
    </row>
    <row r="4711">
      <c r="A4711" t="n">
        <v>4711</v>
      </c>
      <c r="B4711">
        <f>IF(INDEX('Data Entry'!$H$5:$BE$10004,4711-4,'Visual SPC'!$B$3)="",0,IF(AND(OR('Visual SPC'!$C$4="",'Data Entry'!$C4711&gt;='Visual SPC'!$C$4),OR('Visual SPC'!$E$4="",'Data Entry'!$C4711&lt;='Visual SPC'!$E$4),OR('Visual SPC'!$G$4="",'Data Entry'!$D4711='Visual SPC'!$G$4),OR('Visual SPC'!$I$4="",'Data Entry'!$E4711='Visual SPC'!$I$4),OR('Visual SPC'!$K$4="",'Data Entry'!$F4711='Visual SPC'!$K$4)),1,0))</f>
        <v/>
      </c>
      <c r="C4711">
        <f>C4710+B4711</f>
        <v/>
      </c>
      <c r="D4711">
        <f>IF(B4711=1,INDEX('Data Entry'!$H$5:$BE$10004,4711-4,'Visual SPC'!$B$3),"")</f>
        <v/>
      </c>
      <c r="E4711">
        <f>IF(B4711=1,D4711,E4710)</f>
        <v/>
      </c>
      <c r="F4711">
        <f>IF(AND(B4711=1,C4711&gt;1,E4710&lt;&gt;""),ABS(D4711-E4710),"")</f>
        <v/>
      </c>
    </row>
    <row r="4712">
      <c r="A4712" t="n">
        <v>4712</v>
      </c>
      <c r="B4712">
        <f>IF(INDEX('Data Entry'!$H$5:$BE$10004,4712-4,'Visual SPC'!$B$3)="",0,IF(AND(OR('Visual SPC'!$C$4="",'Data Entry'!$C4712&gt;='Visual SPC'!$C$4),OR('Visual SPC'!$E$4="",'Data Entry'!$C4712&lt;='Visual SPC'!$E$4),OR('Visual SPC'!$G$4="",'Data Entry'!$D4712='Visual SPC'!$G$4),OR('Visual SPC'!$I$4="",'Data Entry'!$E4712='Visual SPC'!$I$4),OR('Visual SPC'!$K$4="",'Data Entry'!$F4712='Visual SPC'!$K$4)),1,0))</f>
        <v/>
      </c>
      <c r="C4712">
        <f>C4711+B4712</f>
        <v/>
      </c>
      <c r="D4712">
        <f>IF(B4712=1,INDEX('Data Entry'!$H$5:$BE$10004,4712-4,'Visual SPC'!$B$3),"")</f>
        <v/>
      </c>
      <c r="E4712">
        <f>IF(B4712=1,D4712,E4711)</f>
        <v/>
      </c>
      <c r="F4712">
        <f>IF(AND(B4712=1,C4712&gt;1,E4711&lt;&gt;""),ABS(D4712-E4711),"")</f>
        <v/>
      </c>
    </row>
    <row r="4713">
      <c r="A4713" t="n">
        <v>4713</v>
      </c>
      <c r="B4713">
        <f>IF(INDEX('Data Entry'!$H$5:$BE$10004,4713-4,'Visual SPC'!$B$3)="",0,IF(AND(OR('Visual SPC'!$C$4="",'Data Entry'!$C4713&gt;='Visual SPC'!$C$4),OR('Visual SPC'!$E$4="",'Data Entry'!$C4713&lt;='Visual SPC'!$E$4),OR('Visual SPC'!$G$4="",'Data Entry'!$D4713='Visual SPC'!$G$4),OR('Visual SPC'!$I$4="",'Data Entry'!$E4713='Visual SPC'!$I$4),OR('Visual SPC'!$K$4="",'Data Entry'!$F4713='Visual SPC'!$K$4)),1,0))</f>
        <v/>
      </c>
      <c r="C4713">
        <f>C4712+B4713</f>
        <v/>
      </c>
      <c r="D4713">
        <f>IF(B4713=1,INDEX('Data Entry'!$H$5:$BE$10004,4713-4,'Visual SPC'!$B$3),"")</f>
        <v/>
      </c>
      <c r="E4713">
        <f>IF(B4713=1,D4713,E4712)</f>
        <v/>
      </c>
      <c r="F4713">
        <f>IF(AND(B4713=1,C4713&gt;1,E4712&lt;&gt;""),ABS(D4713-E4712),"")</f>
        <v/>
      </c>
    </row>
    <row r="4714">
      <c r="A4714" t="n">
        <v>4714</v>
      </c>
      <c r="B4714">
        <f>IF(INDEX('Data Entry'!$H$5:$BE$10004,4714-4,'Visual SPC'!$B$3)="",0,IF(AND(OR('Visual SPC'!$C$4="",'Data Entry'!$C4714&gt;='Visual SPC'!$C$4),OR('Visual SPC'!$E$4="",'Data Entry'!$C4714&lt;='Visual SPC'!$E$4),OR('Visual SPC'!$G$4="",'Data Entry'!$D4714='Visual SPC'!$G$4),OR('Visual SPC'!$I$4="",'Data Entry'!$E4714='Visual SPC'!$I$4),OR('Visual SPC'!$K$4="",'Data Entry'!$F4714='Visual SPC'!$K$4)),1,0))</f>
        <v/>
      </c>
      <c r="C4714">
        <f>C4713+B4714</f>
        <v/>
      </c>
      <c r="D4714">
        <f>IF(B4714=1,INDEX('Data Entry'!$H$5:$BE$10004,4714-4,'Visual SPC'!$B$3),"")</f>
        <v/>
      </c>
      <c r="E4714">
        <f>IF(B4714=1,D4714,E4713)</f>
        <v/>
      </c>
      <c r="F4714">
        <f>IF(AND(B4714=1,C4714&gt;1,E4713&lt;&gt;""),ABS(D4714-E4713),"")</f>
        <v/>
      </c>
    </row>
    <row r="4715">
      <c r="A4715" t="n">
        <v>4715</v>
      </c>
      <c r="B4715">
        <f>IF(INDEX('Data Entry'!$H$5:$BE$10004,4715-4,'Visual SPC'!$B$3)="",0,IF(AND(OR('Visual SPC'!$C$4="",'Data Entry'!$C4715&gt;='Visual SPC'!$C$4),OR('Visual SPC'!$E$4="",'Data Entry'!$C4715&lt;='Visual SPC'!$E$4),OR('Visual SPC'!$G$4="",'Data Entry'!$D4715='Visual SPC'!$G$4),OR('Visual SPC'!$I$4="",'Data Entry'!$E4715='Visual SPC'!$I$4),OR('Visual SPC'!$K$4="",'Data Entry'!$F4715='Visual SPC'!$K$4)),1,0))</f>
        <v/>
      </c>
      <c r="C4715">
        <f>C4714+B4715</f>
        <v/>
      </c>
      <c r="D4715">
        <f>IF(B4715=1,INDEX('Data Entry'!$H$5:$BE$10004,4715-4,'Visual SPC'!$B$3),"")</f>
        <v/>
      </c>
      <c r="E4715">
        <f>IF(B4715=1,D4715,E4714)</f>
        <v/>
      </c>
      <c r="F4715">
        <f>IF(AND(B4715=1,C4715&gt;1,E4714&lt;&gt;""),ABS(D4715-E4714),"")</f>
        <v/>
      </c>
    </row>
    <row r="4716">
      <c r="A4716" t="n">
        <v>4716</v>
      </c>
      <c r="B4716">
        <f>IF(INDEX('Data Entry'!$H$5:$BE$10004,4716-4,'Visual SPC'!$B$3)="",0,IF(AND(OR('Visual SPC'!$C$4="",'Data Entry'!$C4716&gt;='Visual SPC'!$C$4),OR('Visual SPC'!$E$4="",'Data Entry'!$C4716&lt;='Visual SPC'!$E$4),OR('Visual SPC'!$G$4="",'Data Entry'!$D4716='Visual SPC'!$G$4),OR('Visual SPC'!$I$4="",'Data Entry'!$E4716='Visual SPC'!$I$4),OR('Visual SPC'!$K$4="",'Data Entry'!$F4716='Visual SPC'!$K$4)),1,0))</f>
        <v/>
      </c>
      <c r="C4716">
        <f>C4715+B4716</f>
        <v/>
      </c>
      <c r="D4716">
        <f>IF(B4716=1,INDEX('Data Entry'!$H$5:$BE$10004,4716-4,'Visual SPC'!$B$3),"")</f>
        <v/>
      </c>
      <c r="E4716">
        <f>IF(B4716=1,D4716,E4715)</f>
        <v/>
      </c>
      <c r="F4716">
        <f>IF(AND(B4716=1,C4716&gt;1,E4715&lt;&gt;""),ABS(D4716-E4715),"")</f>
        <v/>
      </c>
    </row>
    <row r="4717">
      <c r="A4717" t="n">
        <v>4717</v>
      </c>
      <c r="B4717">
        <f>IF(INDEX('Data Entry'!$H$5:$BE$10004,4717-4,'Visual SPC'!$B$3)="",0,IF(AND(OR('Visual SPC'!$C$4="",'Data Entry'!$C4717&gt;='Visual SPC'!$C$4),OR('Visual SPC'!$E$4="",'Data Entry'!$C4717&lt;='Visual SPC'!$E$4),OR('Visual SPC'!$G$4="",'Data Entry'!$D4717='Visual SPC'!$G$4),OR('Visual SPC'!$I$4="",'Data Entry'!$E4717='Visual SPC'!$I$4),OR('Visual SPC'!$K$4="",'Data Entry'!$F4717='Visual SPC'!$K$4)),1,0))</f>
        <v/>
      </c>
      <c r="C4717">
        <f>C4716+B4717</f>
        <v/>
      </c>
      <c r="D4717">
        <f>IF(B4717=1,INDEX('Data Entry'!$H$5:$BE$10004,4717-4,'Visual SPC'!$B$3),"")</f>
        <v/>
      </c>
      <c r="E4717">
        <f>IF(B4717=1,D4717,E4716)</f>
        <v/>
      </c>
      <c r="F4717">
        <f>IF(AND(B4717=1,C4717&gt;1,E4716&lt;&gt;""),ABS(D4717-E4716),"")</f>
        <v/>
      </c>
    </row>
    <row r="4718">
      <c r="A4718" t="n">
        <v>4718</v>
      </c>
      <c r="B4718">
        <f>IF(INDEX('Data Entry'!$H$5:$BE$10004,4718-4,'Visual SPC'!$B$3)="",0,IF(AND(OR('Visual SPC'!$C$4="",'Data Entry'!$C4718&gt;='Visual SPC'!$C$4),OR('Visual SPC'!$E$4="",'Data Entry'!$C4718&lt;='Visual SPC'!$E$4),OR('Visual SPC'!$G$4="",'Data Entry'!$D4718='Visual SPC'!$G$4),OR('Visual SPC'!$I$4="",'Data Entry'!$E4718='Visual SPC'!$I$4),OR('Visual SPC'!$K$4="",'Data Entry'!$F4718='Visual SPC'!$K$4)),1,0))</f>
        <v/>
      </c>
      <c r="C4718">
        <f>C4717+B4718</f>
        <v/>
      </c>
      <c r="D4718">
        <f>IF(B4718=1,INDEX('Data Entry'!$H$5:$BE$10004,4718-4,'Visual SPC'!$B$3),"")</f>
        <v/>
      </c>
      <c r="E4718">
        <f>IF(B4718=1,D4718,E4717)</f>
        <v/>
      </c>
      <c r="F4718">
        <f>IF(AND(B4718=1,C4718&gt;1,E4717&lt;&gt;""),ABS(D4718-E4717),"")</f>
        <v/>
      </c>
    </row>
    <row r="4719">
      <c r="A4719" t="n">
        <v>4719</v>
      </c>
      <c r="B4719">
        <f>IF(INDEX('Data Entry'!$H$5:$BE$10004,4719-4,'Visual SPC'!$B$3)="",0,IF(AND(OR('Visual SPC'!$C$4="",'Data Entry'!$C4719&gt;='Visual SPC'!$C$4),OR('Visual SPC'!$E$4="",'Data Entry'!$C4719&lt;='Visual SPC'!$E$4),OR('Visual SPC'!$G$4="",'Data Entry'!$D4719='Visual SPC'!$G$4),OR('Visual SPC'!$I$4="",'Data Entry'!$E4719='Visual SPC'!$I$4),OR('Visual SPC'!$K$4="",'Data Entry'!$F4719='Visual SPC'!$K$4)),1,0))</f>
        <v/>
      </c>
      <c r="C4719">
        <f>C4718+B4719</f>
        <v/>
      </c>
      <c r="D4719">
        <f>IF(B4719=1,INDEX('Data Entry'!$H$5:$BE$10004,4719-4,'Visual SPC'!$B$3),"")</f>
        <v/>
      </c>
      <c r="E4719">
        <f>IF(B4719=1,D4719,E4718)</f>
        <v/>
      </c>
      <c r="F4719">
        <f>IF(AND(B4719=1,C4719&gt;1,E4718&lt;&gt;""),ABS(D4719-E4718),"")</f>
        <v/>
      </c>
    </row>
    <row r="4720">
      <c r="A4720" t="n">
        <v>4720</v>
      </c>
      <c r="B4720">
        <f>IF(INDEX('Data Entry'!$H$5:$BE$10004,4720-4,'Visual SPC'!$B$3)="",0,IF(AND(OR('Visual SPC'!$C$4="",'Data Entry'!$C4720&gt;='Visual SPC'!$C$4),OR('Visual SPC'!$E$4="",'Data Entry'!$C4720&lt;='Visual SPC'!$E$4),OR('Visual SPC'!$G$4="",'Data Entry'!$D4720='Visual SPC'!$G$4),OR('Visual SPC'!$I$4="",'Data Entry'!$E4720='Visual SPC'!$I$4),OR('Visual SPC'!$K$4="",'Data Entry'!$F4720='Visual SPC'!$K$4)),1,0))</f>
        <v/>
      </c>
      <c r="C4720">
        <f>C4719+B4720</f>
        <v/>
      </c>
      <c r="D4720">
        <f>IF(B4720=1,INDEX('Data Entry'!$H$5:$BE$10004,4720-4,'Visual SPC'!$B$3),"")</f>
        <v/>
      </c>
      <c r="E4720">
        <f>IF(B4720=1,D4720,E4719)</f>
        <v/>
      </c>
      <c r="F4720">
        <f>IF(AND(B4720=1,C4720&gt;1,E4719&lt;&gt;""),ABS(D4720-E4719),"")</f>
        <v/>
      </c>
    </row>
    <row r="4721">
      <c r="A4721" t="n">
        <v>4721</v>
      </c>
      <c r="B4721">
        <f>IF(INDEX('Data Entry'!$H$5:$BE$10004,4721-4,'Visual SPC'!$B$3)="",0,IF(AND(OR('Visual SPC'!$C$4="",'Data Entry'!$C4721&gt;='Visual SPC'!$C$4),OR('Visual SPC'!$E$4="",'Data Entry'!$C4721&lt;='Visual SPC'!$E$4),OR('Visual SPC'!$G$4="",'Data Entry'!$D4721='Visual SPC'!$G$4),OR('Visual SPC'!$I$4="",'Data Entry'!$E4721='Visual SPC'!$I$4),OR('Visual SPC'!$K$4="",'Data Entry'!$F4721='Visual SPC'!$K$4)),1,0))</f>
        <v/>
      </c>
      <c r="C4721">
        <f>C4720+B4721</f>
        <v/>
      </c>
      <c r="D4721">
        <f>IF(B4721=1,INDEX('Data Entry'!$H$5:$BE$10004,4721-4,'Visual SPC'!$B$3),"")</f>
        <v/>
      </c>
      <c r="E4721">
        <f>IF(B4721=1,D4721,E4720)</f>
        <v/>
      </c>
      <c r="F4721">
        <f>IF(AND(B4721=1,C4721&gt;1,E4720&lt;&gt;""),ABS(D4721-E4720),"")</f>
        <v/>
      </c>
    </row>
    <row r="4722">
      <c r="A4722" t="n">
        <v>4722</v>
      </c>
      <c r="B4722">
        <f>IF(INDEX('Data Entry'!$H$5:$BE$10004,4722-4,'Visual SPC'!$B$3)="",0,IF(AND(OR('Visual SPC'!$C$4="",'Data Entry'!$C4722&gt;='Visual SPC'!$C$4),OR('Visual SPC'!$E$4="",'Data Entry'!$C4722&lt;='Visual SPC'!$E$4),OR('Visual SPC'!$G$4="",'Data Entry'!$D4722='Visual SPC'!$G$4),OR('Visual SPC'!$I$4="",'Data Entry'!$E4722='Visual SPC'!$I$4),OR('Visual SPC'!$K$4="",'Data Entry'!$F4722='Visual SPC'!$K$4)),1,0))</f>
        <v/>
      </c>
      <c r="C4722">
        <f>C4721+B4722</f>
        <v/>
      </c>
      <c r="D4722">
        <f>IF(B4722=1,INDEX('Data Entry'!$H$5:$BE$10004,4722-4,'Visual SPC'!$B$3),"")</f>
        <v/>
      </c>
      <c r="E4722">
        <f>IF(B4722=1,D4722,E4721)</f>
        <v/>
      </c>
      <c r="F4722">
        <f>IF(AND(B4722=1,C4722&gt;1,E4721&lt;&gt;""),ABS(D4722-E4721),"")</f>
        <v/>
      </c>
    </row>
    <row r="4723">
      <c r="A4723" t="n">
        <v>4723</v>
      </c>
      <c r="B4723">
        <f>IF(INDEX('Data Entry'!$H$5:$BE$10004,4723-4,'Visual SPC'!$B$3)="",0,IF(AND(OR('Visual SPC'!$C$4="",'Data Entry'!$C4723&gt;='Visual SPC'!$C$4),OR('Visual SPC'!$E$4="",'Data Entry'!$C4723&lt;='Visual SPC'!$E$4),OR('Visual SPC'!$G$4="",'Data Entry'!$D4723='Visual SPC'!$G$4),OR('Visual SPC'!$I$4="",'Data Entry'!$E4723='Visual SPC'!$I$4),OR('Visual SPC'!$K$4="",'Data Entry'!$F4723='Visual SPC'!$K$4)),1,0))</f>
        <v/>
      </c>
      <c r="C4723">
        <f>C4722+B4723</f>
        <v/>
      </c>
      <c r="D4723">
        <f>IF(B4723=1,INDEX('Data Entry'!$H$5:$BE$10004,4723-4,'Visual SPC'!$B$3),"")</f>
        <v/>
      </c>
      <c r="E4723">
        <f>IF(B4723=1,D4723,E4722)</f>
        <v/>
      </c>
      <c r="F4723">
        <f>IF(AND(B4723=1,C4723&gt;1,E4722&lt;&gt;""),ABS(D4723-E4722),"")</f>
        <v/>
      </c>
    </row>
    <row r="4724">
      <c r="A4724" t="n">
        <v>4724</v>
      </c>
      <c r="B4724">
        <f>IF(INDEX('Data Entry'!$H$5:$BE$10004,4724-4,'Visual SPC'!$B$3)="",0,IF(AND(OR('Visual SPC'!$C$4="",'Data Entry'!$C4724&gt;='Visual SPC'!$C$4),OR('Visual SPC'!$E$4="",'Data Entry'!$C4724&lt;='Visual SPC'!$E$4),OR('Visual SPC'!$G$4="",'Data Entry'!$D4724='Visual SPC'!$G$4),OR('Visual SPC'!$I$4="",'Data Entry'!$E4724='Visual SPC'!$I$4),OR('Visual SPC'!$K$4="",'Data Entry'!$F4724='Visual SPC'!$K$4)),1,0))</f>
        <v/>
      </c>
      <c r="C4724">
        <f>C4723+B4724</f>
        <v/>
      </c>
      <c r="D4724">
        <f>IF(B4724=1,INDEX('Data Entry'!$H$5:$BE$10004,4724-4,'Visual SPC'!$B$3),"")</f>
        <v/>
      </c>
      <c r="E4724">
        <f>IF(B4724=1,D4724,E4723)</f>
        <v/>
      </c>
      <c r="F4724">
        <f>IF(AND(B4724=1,C4724&gt;1,E4723&lt;&gt;""),ABS(D4724-E4723),"")</f>
        <v/>
      </c>
    </row>
    <row r="4725">
      <c r="A4725" t="n">
        <v>4725</v>
      </c>
      <c r="B4725">
        <f>IF(INDEX('Data Entry'!$H$5:$BE$10004,4725-4,'Visual SPC'!$B$3)="",0,IF(AND(OR('Visual SPC'!$C$4="",'Data Entry'!$C4725&gt;='Visual SPC'!$C$4),OR('Visual SPC'!$E$4="",'Data Entry'!$C4725&lt;='Visual SPC'!$E$4),OR('Visual SPC'!$G$4="",'Data Entry'!$D4725='Visual SPC'!$G$4),OR('Visual SPC'!$I$4="",'Data Entry'!$E4725='Visual SPC'!$I$4),OR('Visual SPC'!$K$4="",'Data Entry'!$F4725='Visual SPC'!$K$4)),1,0))</f>
        <v/>
      </c>
      <c r="C4725">
        <f>C4724+B4725</f>
        <v/>
      </c>
      <c r="D4725">
        <f>IF(B4725=1,INDEX('Data Entry'!$H$5:$BE$10004,4725-4,'Visual SPC'!$B$3),"")</f>
        <v/>
      </c>
      <c r="E4725">
        <f>IF(B4725=1,D4725,E4724)</f>
        <v/>
      </c>
      <c r="F4725">
        <f>IF(AND(B4725=1,C4725&gt;1,E4724&lt;&gt;""),ABS(D4725-E4724),"")</f>
        <v/>
      </c>
    </row>
    <row r="4726">
      <c r="A4726" t="n">
        <v>4726</v>
      </c>
      <c r="B4726">
        <f>IF(INDEX('Data Entry'!$H$5:$BE$10004,4726-4,'Visual SPC'!$B$3)="",0,IF(AND(OR('Visual SPC'!$C$4="",'Data Entry'!$C4726&gt;='Visual SPC'!$C$4),OR('Visual SPC'!$E$4="",'Data Entry'!$C4726&lt;='Visual SPC'!$E$4),OR('Visual SPC'!$G$4="",'Data Entry'!$D4726='Visual SPC'!$G$4),OR('Visual SPC'!$I$4="",'Data Entry'!$E4726='Visual SPC'!$I$4),OR('Visual SPC'!$K$4="",'Data Entry'!$F4726='Visual SPC'!$K$4)),1,0))</f>
        <v/>
      </c>
      <c r="C4726">
        <f>C4725+B4726</f>
        <v/>
      </c>
      <c r="D4726">
        <f>IF(B4726=1,INDEX('Data Entry'!$H$5:$BE$10004,4726-4,'Visual SPC'!$B$3),"")</f>
        <v/>
      </c>
      <c r="E4726">
        <f>IF(B4726=1,D4726,E4725)</f>
        <v/>
      </c>
      <c r="F4726">
        <f>IF(AND(B4726=1,C4726&gt;1,E4725&lt;&gt;""),ABS(D4726-E4725),"")</f>
        <v/>
      </c>
    </row>
    <row r="4727">
      <c r="A4727" t="n">
        <v>4727</v>
      </c>
      <c r="B4727">
        <f>IF(INDEX('Data Entry'!$H$5:$BE$10004,4727-4,'Visual SPC'!$B$3)="",0,IF(AND(OR('Visual SPC'!$C$4="",'Data Entry'!$C4727&gt;='Visual SPC'!$C$4),OR('Visual SPC'!$E$4="",'Data Entry'!$C4727&lt;='Visual SPC'!$E$4),OR('Visual SPC'!$G$4="",'Data Entry'!$D4727='Visual SPC'!$G$4),OR('Visual SPC'!$I$4="",'Data Entry'!$E4727='Visual SPC'!$I$4),OR('Visual SPC'!$K$4="",'Data Entry'!$F4727='Visual SPC'!$K$4)),1,0))</f>
        <v/>
      </c>
      <c r="C4727">
        <f>C4726+B4727</f>
        <v/>
      </c>
      <c r="D4727">
        <f>IF(B4727=1,INDEX('Data Entry'!$H$5:$BE$10004,4727-4,'Visual SPC'!$B$3),"")</f>
        <v/>
      </c>
      <c r="E4727">
        <f>IF(B4727=1,D4727,E4726)</f>
        <v/>
      </c>
      <c r="F4727">
        <f>IF(AND(B4727=1,C4727&gt;1,E4726&lt;&gt;""),ABS(D4727-E4726),"")</f>
        <v/>
      </c>
    </row>
    <row r="4728">
      <c r="A4728" t="n">
        <v>4728</v>
      </c>
      <c r="B4728">
        <f>IF(INDEX('Data Entry'!$H$5:$BE$10004,4728-4,'Visual SPC'!$B$3)="",0,IF(AND(OR('Visual SPC'!$C$4="",'Data Entry'!$C4728&gt;='Visual SPC'!$C$4),OR('Visual SPC'!$E$4="",'Data Entry'!$C4728&lt;='Visual SPC'!$E$4),OR('Visual SPC'!$G$4="",'Data Entry'!$D4728='Visual SPC'!$G$4),OR('Visual SPC'!$I$4="",'Data Entry'!$E4728='Visual SPC'!$I$4),OR('Visual SPC'!$K$4="",'Data Entry'!$F4728='Visual SPC'!$K$4)),1,0))</f>
        <v/>
      </c>
      <c r="C4728">
        <f>C4727+B4728</f>
        <v/>
      </c>
      <c r="D4728">
        <f>IF(B4728=1,INDEX('Data Entry'!$H$5:$BE$10004,4728-4,'Visual SPC'!$B$3),"")</f>
        <v/>
      </c>
      <c r="E4728">
        <f>IF(B4728=1,D4728,E4727)</f>
        <v/>
      </c>
      <c r="F4728">
        <f>IF(AND(B4728=1,C4728&gt;1,E4727&lt;&gt;""),ABS(D4728-E4727),"")</f>
        <v/>
      </c>
    </row>
    <row r="4729">
      <c r="A4729" t="n">
        <v>4729</v>
      </c>
      <c r="B4729">
        <f>IF(INDEX('Data Entry'!$H$5:$BE$10004,4729-4,'Visual SPC'!$B$3)="",0,IF(AND(OR('Visual SPC'!$C$4="",'Data Entry'!$C4729&gt;='Visual SPC'!$C$4),OR('Visual SPC'!$E$4="",'Data Entry'!$C4729&lt;='Visual SPC'!$E$4),OR('Visual SPC'!$G$4="",'Data Entry'!$D4729='Visual SPC'!$G$4),OR('Visual SPC'!$I$4="",'Data Entry'!$E4729='Visual SPC'!$I$4),OR('Visual SPC'!$K$4="",'Data Entry'!$F4729='Visual SPC'!$K$4)),1,0))</f>
        <v/>
      </c>
      <c r="C4729">
        <f>C4728+B4729</f>
        <v/>
      </c>
      <c r="D4729">
        <f>IF(B4729=1,INDEX('Data Entry'!$H$5:$BE$10004,4729-4,'Visual SPC'!$B$3),"")</f>
        <v/>
      </c>
      <c r="E4729">
        <f>IF(B4729=1,D4729,E4728)</f>
        <v/>
      </c>
      <c r="F4729">
        <f>IF(AND(B4729=1,C4729&gt;1,E4728&lt;&gt;""),ABS(D4729-E4728),"")</f>
        <v/>
      </c>
    </row>
    <row r="4730">
      <c r="A4730" t="n">
        <v>4730</v>
      </c>
      <c r="B4730">
        <f>IF(INDEX('Data Entry'!$H$5:$BE$10004,4730-4,'Visual SPC'!$B$3)="",0,IF(AND(OR('Visual SPC'!$C$4="",'Data Entry'!$C4730&gt;='Visual SPC'!$C$4),OR('Visual SPC'!$E$4="",'Data Entry'!$C4730&lt;='Visual SPC'!$E$4),OR('Visual SPC'!$G$4="",'Data Entry'!$D4730='Visual SPC'!$G$4),OR('Visual SPC'!$I$4="",'Data Entry'!$E4730='Visual SPC'!$I$4),OR('Visual SPC'!$K$4="",'Data Entry'!$F4730='Visual SPC'!$K$4)),1,0))</f>
        <v/>
      </c>
      <c r="C4730">
        <f>C4729+B4730</f>
        <v/>
      </c>
      <c r="D4730">
        <f>IF(B4730=1,INDEX('Data Entry'!$H$5:$BE$10004,4730-4,'Visual SPC'!$B$3),"")</f>
        <v/>
      </c>
      <c r="E4730">
        <f>IF(B4730=1,D4730,E4729)</f>
        <v/>
      </c>
      <c r="F4730">
        <f>IF(AND(B4730=1,C4730&gt;1,E4729&lt;&gt;""),ABS(D4730-E4729),"")</f>
        <v/>
      </c>
    </row>
    <row r="4731">
      <c r="A4731" t="n">
        <v>4731</v>
      </c>
      <c r="B4731">
        <f>IF(INDEX('Data Entry'!$H$5:$BE$10004,4731-4,'Visual SPC'!$B$3)="",0,IF(AND(OR('Visual SPC'!$C$4="",'Data Entry'!$C4731&gt;='Visual SPC'!$C$4),OR('Visual SPC'!$E$4="",'Data Entry'!$C4731&lt;='Visual SPC'!$E$4),OR('Visual SPC'!$G$4="",'Data Entry'!$D4731='Visual SPC'!$G$4),OR('Visual SPC'!$I$4="",'Data Entry'!$E4731='Visual SPC'!$I$4),OR('Visual SPC'!$K$4="",'Data Entry'!$F4731='Visual SPC'!$K$4)),1,0))</f>
        <v/>
      </c>
      <c r="C4731">
        <f>C4730+B4731</f>
        <v/>
      </c>
      <c r="D4731">
        <f>IF(B4731=1,INDEX('Data Entry'!$H$5:$BE$10004,4731-4,'Visual SPC'!$B$3),"")</f>
        <v/>
      </c>
      <c r="E4731">
        <f>IF(B4731=1,D4731,E4730)</f>
        <v/>
      </c>
      <c r="F4731">
        <f>IF(AND(B4731=1,C4731&gt;1,E4730&lt;&gt;""),ABS(D4731-E4730),"")</f>
        <v/>
      </c>
    </row>
    <row r="4732">
      <c r="A4732" t="n">
        <v>4732</v>
      </c>
      <c r="B4732">
        <f>IF(INDEX('Data Entry'!$H$5:$BE$10004,4732-4,'Visual SPC'!$B$3)="",0,IF(AND(OR('Visual SPC'!$C$4="",'Data Entry'!$C4732&gt;='Visual SPC'!$C$4),OR('Visual SPC'!$E$4="",'Data Entry'!$C4732&lt;='Visual SPC'!$E$4),OR('Visual SPC'!$G$4="",'Data Entry'!$D4732='Visual SPC'!$G$4),OR('Visual SPC'!$I$4="",'Data Entry'!$E4732='Visual SPC'!$I$4),OR('Visual SPC'!$K$4="",'Data Entry'!$F4732='Visual SPC'!$K$4)),1,0))</f>
        <v/>
      </c>
      <c r="C4732">
        <f>C4731+B4732</f>
        <v/>
      </c>
      <c r="D4732">
        <f>IF(B4732=1,INDEX('Data Entry'!$H$5:$BE$10004,4732-4,'Visual SPC'!$B$3),"")</f>
        <v/>
      </c>
      <c r="E4732">
        <f>IF(B4732=1,D4732,E4731)</f>
        <v/>
      </c>
      <c r="F4732">
        <f>IF(AND(B4732=1,C4732&gt;1,E4731&lt;&gt;""),ABS(D4732-E4731),"")</f>
        <v/>
      </c>
    </row>
    <row r="4733">
      <c r="A4733" t="n">
        <v>4733</v>
      </c>
      <c r="B4733">
        <f>IF(INDEX('Data Entry'!$H$5:$BE$10004,4733-4,'Visual SPC'!$B$3)="",0,IF(AND(OR('Visual SPC'!$C$4="",'Data Entry'!$C4733&gt;='Visual SPC'!$C$4),OR('Visual SPC'!$E$4="",'Data Entry'!$C4733&lt;='Visual SPC'!$E$4),OR('Visual SPC'!$G$4="",'Data Entry'!$D4733='Visual SPC'!$G$4),OR('Visual SPC'!$I$4="",'Data Entry'!$E4733='Visual SPC'!$I$4),OR('Visual SPC'!$K$4="",'Data Entry'!$F4733='Visual SPC'!$K$4)),1,0))</f>
        <v/>
      </c>
      <c r="C4733">
        <f>C4732+B4733</f>
        <v/>
      </c>
      <c r="D4733">
        <f>IF(B4733=1,INDEX('Data Entry'!$H$5:$BE$10004,4733-4,'Visual SPC'!$B$3),"")</f>
        <v/>
      </c>
      <c r="E4733">
        <f>IF(B4733=1,D4733,E4732)</f>
        <v/>
      </c>
      <c r="F4733">
        <f>IF(AND(B4733=1,C4733&gt;1,E4732&lt;&gt;""),ABS(D4733-E4732),"")</f>
        <v/>
      </c>
    </row>
    <row r="4734">
      <c r="A4734" t="n">
        <v>4734</v>
      </c>
      <c r="B4734">
        <f>IF(INDEX('Data Entry'!$H$5:$BE$10004,4734-4,'Visual SPC'!$B$3)="",0,IF(AND(OR('Visual SPC'!$C$4="",'Data Entry'!$C4734&gt;='Visual SPC'!$C$4),OR('Visual SPC'!$E$4="",'Data Entry'!$C4734&lt;='Visual SPC'!$E$4),OR('Visual SPC'!$G$4="",'Data Entry'!$D4734='Visual SPC'!$G$4),OR('Visual SPC'!$I$4="",'Data Entry'!$E4734='Visual SPC'!$I$4),OR('Visual SPC'!$K$4="",'Data Entry'!$F4734='Visual SPC'!$K$4)),1,0))</f>
        <v/>
      </c>
      <c r="C4734">
        <f>C4733+B4734</f>
        <v/>
      </c>
      <c r="D4734">
        <f>IF(B4734=1,INDEX('Data Entry'!$H$5:$BE$10004,4734-4,'Visual SPC'!$B$3),"")</f>
        <v/>
      </c>
      <c r="E4734">
        <f>IF(B4734=1,D4734,E4733)</f>
        <v/>
      </c>
      <c r="F4734">
        <f>IF(AND(B4734=1,C4734&gt;1,E4733&lt;&gt;""),ABS(D4734-E4733),"")</f>
        <v/>
      </c>
    </row>
    <row r="4735">
      <c r="A4735" t="n">
        <v>4735</v>
      </c>
      <c r="B4735">
        <f>IF(INDEX('Data Entry'!$H$5:$BE$10004,4735-4,'Visual SPC'!$B$3)="",0,IF(AND(OR('Visual SPC'!$C$4="",'Data Entry'!$C4735&gt;='Visual SPC'!$C$4),OR('Visual SPC'!$E$4="",'Data Entry'!$C4735&lt;='Visual SPC'!$E$4),OR('Visual SPC'!$G$4="",'Data Entry'!$D4735='Visual SPC'!$G$4),OR('Visual SPC'!$I$4="",'Data Entry'!$E4735='Visual SPC'!$I$4),OR('Visual SPC'!$K$4="",'Data Entry'!$F4735='Visual SPC'!$K$4)),1,0))</f>
        <v/>
      </c>
      <c r="C4735">
        <f>C4734+B4735</f>
        <v/>
      </c>
      <c r="D4735">
        <f>IF(B4735=1,INDEX('Data Entry'!$H$5:$BE$10004,4735-4,'Visual SPC'!$B$3),"")</f>
        <v/>
      </c>
      <c r="E4735">
        <f>IF(B4735=1,D4735,E4734)</f>
        <v/>
      </c>
      <c r="F4735">
        <f>IF(AND(B4735=1,C4735&gt;1,E4734&lt;&gt;""),ABS(D4735-E4734),"")</f>
        <v/>
      </c>
    </row>
    <row r="4736">
      <c r="A4736" t="n">
        <v>4736</v>
      </c>
      <c r="B4736">
        <f>IF(INDEX('Data Entry'!$H$5:$BE$10004,4736-4,'Visual SPC'!$B$3)="",0,IF(AND(OR('Visual SPC'!$C$4="",'Data Entry'!$C4736&gt;='Visual SPC'!$C$4),OR('Visual SPC'!$E$4="",'Data Entry'!$C4736&lt;='Visual SPC'!$E$4),OR('Visual SPC'!$G$4="",'Data Entry'!$D4736='Visual SPC'!$G$4),OR('Visual SPC'!$I$4="",'Data Entry'!$E4736='Visual SPC'!$I$4),OR('Visual SPC'!$K$4="",'Data Entry'!$F4736='Visual SPC'!$K$4)),1,0))</f>
        <v/>
      </c>
      <c r="C4736">
        <f>C4735+B4736</f>
        <v/>
      </c>
      <c r="D4736">
        <f>IF(B4736=1,INDEX('Data Entry'!$H$5:$BE$10004,4736-4,'Visual SPC'!$B$3),"")</f>
        <v/>
      </c>
      <c r="E4736">
        <f>IF(B4736=1,D4736,E4735)</f>
        <v/>
      </c>
      <c r="F4736">
        <f>IF(AND(B4736=1,C4736&gt;1,E4735&lt;&gt;""),ABS(D4736-E4735),"")</f>
        <v/>
      </c>
    </row>
    <row r="4737">
      <c r="A4737" t="n">
        <v>4737</v>
      </c>
      <c r="B4737">
        <f>IF(INDEX('Data Entry'!$H$5:$BE$10004,4737-4,'Visual SPC'!$B$3)="",0,IF(AND(OR('Visual SPC'!$C$4="",'Data Entry'!$C4737&gt;='Visual SPC'!$C$4),OR('Visual SPC'!$E$4="",'Data Entry'!$C4737&lt;='Visual SPC'!$E$4),OR('Visual SPC'!$G$4="",'Data Entry'!$D4737='Visual SPC'!$G$4),OR('Visual SPC'!$I$4="",'Data Entry'!$E4737='Visual SPC'!$I$4),OR('Visual SPC'!$K$4="",'Data Entry'!$F4737='Visual SPC'!$K$4)),1,0))</f>
        <v/>
      </c>
      <c r="C4737">
        <f>C4736+B4737</f>
        <v/>
      </c>
      <c r="D4737">
        <f>IF(B4737=1,INDEX('Data Entry'!$H$5:$BE$10004,4737-4,'Visual SPC'!$B$3),"")</f>
        <v/>
      </c>
      <c r="E4737">
        <f>IF(B4737=1,D4737,E4736)</f>
        <v/>
      </c>
      <c r="F4737">
        <f>IF(AND(B4737=1,C4737&gt;1,E4736&lt;&gt;""),ABS(D4737-E4736),"")</f>
        <v/>
      </c>
    </row>
    <row r="4738">
      <c r="A4738" t="n">
        <v>4738</v>
      </c>
      <c r="B4738">
        <f>IF(INDEX('Data Entry'!$H$5:$BE$10004,4738-4,'Visual SPC'!$B$3)="",0,IF(AND(OR('Visual SPC'!$C$4="",'Data Entry'!$C4738&gt;='Visual SPC'!$C$4),OR('Visual SPC'!$E$4="",'Data Entry'!$C4738&lt;='Visual SPC'!$E$4),OR('Visual SPC'!$G$4="",'Data Entry'!$D4738='Visual SPC'!$G$4),OR('Visual SPC'!$I$4="",'Data Entry'!$E4738='Visual SPC'!$I$4),OR('Visual SPC'!$K$4="",'Data Entry'!$F4738='Visual SPC'!$K$4)),1,0))</f>
        <v/>
      </c>
      <c r="C4738">
        <f>C4737+B4738</f>
        <v/>
      </c>
      <c r="D4738">
        <f>IF(B4738=1,INDEX('Data Entry'!$H$5:$BE$10004,4738-4,'Visual SPC'!$B$3),"")</f>
        <v/>
      </c>
      <c r="E4738">
        <f>IF(B4738=1,D4738,E4737)</f>
        <v/>
      </c>
      <c r="F4738">
        <f>IF(AND(B4738=1,C4738&gt;1,E4737&lt;&gt;""),ABS(D4738-E4737),"")</f>
        <v/>
      </c>
    </row>
    <row r="4739">
      <c r="A4739" t="n">
        <v>4739</v>
      </c>
      <c r="B4739">
        <f>IF(INDEX('Data Entry'!$H$5:$BE$10004,4739-4,'Visual SPC'!$B$3)="",0,IF(AND(OR('Visual SPC'!$C$4="",'Data Entry'!$C4739&gt;='Visual SPC'!$C$4),OR('Visual SPC'!$E$4="",'Data Entry'!$C4739&lt;='Visual SPC'!$E$4),OR('Visual SPC'!$G$4="",'Data Entry'!$D4739='Visual SPC'!$G$4),OR('Visual SPC'!$I$4="",'Data Entry'!$E4739='Visual SPC'!$I$4),OR('Visual SPC'!$K$4="",'Data Entry'!$F4739='Visual SPC'!$K$4)),1,0))</f>
        <v/>
      </c>
      <c r="C4739">
        <f>C4738+B4739</f>
        <v/>
      </c>
      <c r="D4739">
        <f>IF(B4739=1,INDEX('Data Entry'!$H$5:$BE$10004,4739-4,'Visual SPC'!$B$3),"")</f>
        <v/>
      </c>
      <c r="E4739">
        <f>IF(B4739=1,D4739,E4738)</f>
        <v/>
      </c>
      <c r="F4739">
        <f>IF(AND(B4739=1,C4739&gt;1,E4738&lt;&gt;""),ABS(D4739-E4738),"")</f>
        <v/>
      </c>
    </row>
    <row r="4740">
      <c r="A4740" t="n">
        <v>4740</v>
      </c>
      <c r="B4740">
        <f>IF(INDEX('Data Entry'!$H$5:$BE$10004,4740-4,'Visual SPC'!$B$3)="",0,IF(AND(OR('Visual SPC'!$C$4="",'Data Entry'!$C4740&gt;='Visual SPC'!$C$4),OR('Visual SPC'!$E$4="",'Data Entry'!$C4740&lt;='Visual SPC'!$E$4),OR('Visual SPC'!$G$4="",'Data Entry'!$D4740='Visual SPC'!$G$4),OR('Visual SPC'!$I$4="",'Data Entry'!$E4740='Visual SPC'!$I$4),OR('Visual SPC'!$K$4="",'Data Entry'!$F4740='Visual SPC'!$K$4)),1,0))</f>
        <v/>
      </c>
      <c r="C4740">
        <f>C4739+B4740</f>
        <v/>
      </c>
      <c r="D4740">
        <f>IF(B4740=1,INDEX('Data Entry'!$H$5:$BE$10004,4740-4,'Visual SPC'!$B$3),"")</f>
        <v/>
      </c>
      <c r="E4740">
        <f>IF(B4740=1,D4740,E4739)</f>
        <v/>
      </c>
      <c r="F4740">
        <f>IF(AND(B4740=1,C4740&gt;1,E4739&lt;&gt;""),ABS(D4740-E4739),"")</f>
        <v/>
      </c>
    </row>
    <row r="4741">
      <c r="A4741" t="n">
        <v>4741</v>
      </c>
      <c r="B4741">
        <f>IF(INDEX('Data Entry'!$H$5:$BE$10004,4741-4,'Visual SPC'!$B$3)="",0,IF(AND(OR('Visual SPC'!$C$4="",'Data Entry'!$C4741&gt;='Visual SPC'!$C$4),OR('Visual SPC'!$E$4="",'Data Entry'!$C4741&lt;='Visual SPC'!$E$4),OR('Visual SPC'!$G$4="",'Data Entry'!$D4741='Visual SPC'!$G$4),OR('Visual SPC'!$I$4="",'Data Entry'!$E4741='Visual SPC'!$I$4),OR('Visual SPC'!$K$4="",'Data Entry'!$F4741='Visual SPC'!$K$4)),1,0))</f>
        <v/>
      </c>
      <c r="C4741">
        <f>C4740+B4741</f>
        <v/>
      </c>
      <c r="D4741">
        <f>IF(B4741=1,INDEX('Data Entry'!$H$5:$BE$10004,4741-4,'Visual SPC'!$B$3),"")</f>
        <v/>
      </c>
      <c r="E4741">
        <f>IF(B4741=1,D4741,E4740)</f>
        <v/>
      </c>
      <c r="F4741">
        <f>IF(AND(B4741=1,C4741&gt;1,E4740&lt;&gt;""),ABS(D4741-E4740),"")</f>
        <v/>
      </c>
    </row>
    <row r="4742">
      <c r="A4742" t="n">
        <v>4742</v>
      </c>
      <c r="B4742">
        <f>IF(INDEX('Data Entry'!$H$5:$BE$10004,4742-4,'Visual SPC'!$B$3)="",0,IF(AND(OR('Visual SPC'!$C$4="",'Data Entry'!$C4742&gt;='Visual SPC'!$C$4),OR('Visual SPC'!$E$4="",'Data Entry'!$C4742&lt;='Visual SPC'!$E$4),OR('Visual SPC'!$G$4="",'Data Entry'!$D4742='Visual SPC'!$G$4),OR('Visual SPC'!$I$4="",'Data Entry'!$E4742='Visual SPC'!$I$4),OR('Visual SPC'!$K$4="",'Data Entry'!$F4742='Visual SPC'!$K$4)),1,0))</f>
        <v/>
      </c>
      <c r="C4742">
        <f>C4741+B4742</f>
        <v/>
      </c>
      <c r="D4742">
        <f>IF(B4742=1,INDEX('Data Entry'!$H$5:$BE$10004,4742-4,'Visual SPC'!$B$3),"")</f>
        <v/>
      </c>
      <c r="E4742">
        <f>IF(B4742=1,D4742,E4741)</f>
        <v/>
      </c>
      <c r="F4742">
        <f>IF(AND(B4742=1,C4742&gt;1,E4741&lt;&gt;""),ABS(D4742-E4741),"")</f>
        <v/>
      </c>
    </row>
    <row r="4743">
      <c r="A4743" t="n">
        <v>4743</v>
      </c>
      <c r="B4743">
        <f>IF(INDEX('Data Entry'!$H$5:$BE$10004,4743-4,'Visual SPC'!$B$3)="",0,IF(AND(OR('Visual SPC'!$C$4="",'Data Entry'!$C4743&gt;='Visual SPC'!$C$4),OR('Visual SPC'!$E$4="",'Data Entry'!$C4743&lt;='Visual SPC'!$E$4),OR('Visual SPC'!$G$4="",'Data Entry'!$D4743='Visual SPC'!$G$4),OR('Visual SPC'!$I$4="",'Data Entry'!$E4743='Visual SPC'!$I$4),OR('Visual SPC'!$K$4="",'Data Entry'!$F4743='Visual SPC'!$K$4)),1,0))</f>
        <v/>
      </c>
      <c r="C4743">
        <f>C4742+B4743</f>
        <v/>
      </c>
      <c r="D4743">
        <f>IF(B4743=1,INDEX('Data Entry'!$H$5:$BE$10004,4743-4,'Visual SPC'!$B$3),"")</f>
        <v/>
      </c>
      <c r="E4743">
        <f>IF(B4743=1,D4743,E4742)</f>
        <v/>
      </c>
      <c r="F4743">
        <f>IF(AND(B4743=1,C4743&gt;1,E4742&lt;&gt;""),ABS(D4743-E4742),"")</f>
        <v/>
      </c>
    </row>
    <row r="4744">
      <c r="A4744" t="n">
        <v>4744</v>
      </c>
      <c r="B4744">
        <f>IF(INDEX('Data Entry'!$H$5:$BE$10004,4744-4,'Visual SPC'!$B$3)="",0,IF(AND(OR('Visual SPC'!$C$4="",'Data Entry'!$C4744&gt;='Visual SPC'!$C$4),OR('Visual SPC'!$E$4="",'Data Entry'!$C4744&lt;='Visual SPC'!$E$4),OR('Visual SPC'!$G$4="",'Data Entry'!$D4744='Visual SPC'!$G$4),OR('Visual SPC'!$I$4="",'Data Entry'!$E4744='Visual SPC'!$I$4),OR('Visual SPC'!$K$4="",'Data Entry'!$F4744='Visual SPC'!$K$4)),1,0))</f>
        <v/>
      </c>
      <c r="C4744">
        <f>C4743+B4744</f>
        <v/>
      </c>
      <c r="D4744">
        <f>IF(B4744=1,INDEX('Data Entry'!$H$5:$BE$10004,4744-4,'Visual SPC'!$B$3),"")</f>
        <v/>
      </c>
      <c r="E4744">
        <f>IF(B4744=1,D4744,E4743)</f>
        <v/>
      </c>
      <c r="F4744">
        <f>IF(AND(B4744=1,C4744&gt;1,E4743&lt;&gt;""),ABS(D4744-E4743),"")</f>
        <v/>
      </c>
    </row>
    <row r="4745">
      <c r="A4745" t="n">
        <v>4745</v>
      </c>
      <c r="B4745">
        <f>IF(INDEX('Data Entry'!$H$5:$BE$10004,4745-4,'Visual SPC'!$B$3)="",0,IF(AND(OR('Visual SPC'!$C$4="",'Data Entry'!$C4745&gt;='Visual SPC'!$C$4),OR('Visual SPC'!$E$4="",'Data Entry'!$C4745&lt;='Visual SPC'!$E$4),OR('Visual SPC'!$G$4="",'Data Entry'!$D4745='Visual SPC'!$G$4),OR('Visual SPC'!$I$4="",'Data Entry'!$E4745='Visual SPC'!$I$4),OR('Visual SPC'!$K$4="",'Data Entry'!$F4745='Visual SPC'!$K$4)),1,0))</f>
        <v/>
      </c>
      <c r="C4745">
        <f>C4744+B4745</f>
        <v/>
      </c>
      <c r="D4745">
        <f>IF(B4745=1,INDEX('Data Entry'!$H$5:$BE$10004,4745-4,'Visual SPC'!$B$3),"")</f>
        <v/>
      </c>
      <c r="E4745">
        <f>IF(B4745=1,D4745,E4744)</f>
        <v/>
      </c>
      <c r="F4745">
        <f>IF(AND(B4745=1,C4745&gt;1,E4744&lt;&gt;""),ABS(D4745-E4744),"")</f>
        <v/>
      </c>
    </row>
    <row r="4746">
      <c r="A4746" t="n">
        <v>4746</v>
      </c>
      <c r="B4746">
        <f>IF(INDEX('Data Entry'!$H$5:$BE$10004,4746-4,'Visual SPC'!$B$3)="",0,IF(AND(OR('Visual SPC'!$C$4="",'Data Entry'!$C4746&gt;='Visual SPC'!$C$4),OR('Visual SPC'!$E$4="",'Data Entry'!$C4746&lt;='Visual SPC'!$E$4),OR('Visual SPC'!$G$4="",'Data Entry'!$D4746='Visual SPC'!$G$4),OR('Visual SPC'!$I$4="",'Data Entry'!$E4746='Visual SPC'!$I$4),OR('Visual SPC'!$K$4="",'Data Entry'!$F4746='Visual SPC'!$K$4)),1,0))</f>
        <v/>
      </c>
      <c r="C4746">
        <f>C4745+B4746</f>
        <v/>
      </c>
      <c r="D4746">
        <f>IF(B4746=1,INDEX('Data Entry'!$H$5:$BE$10004,4746-4,'Visual SPC'!$B$3),"")</f>
        <v/>
      </c>
      <c r="E4746">
        <f>IF(B4746=1,D4746,E4745)</f>
        <v/>
      </c>
      <c r="F4746">
        <f>IF(AND(B4746=1,C4746&gt;1,E4745&lt;&gt;""),ABS(D4746-E4745),"")</f>
        <v/>
      </c>
    </row>
    <row r="4747">
      <c r="A4747" t="n">
        <v>4747</v>
      </c>
      <c r="B4747">
        <f>IF(INDEX('Data Entry'!$H$5:$BE$10004,4747-4,'Visual SPC'!$B$3)="",0,IF(AND(OR('Visual SPC'!$C$4="",'Data Entry'!$C4747&gt;='Visual SPC'!$C$4),OR('Visual SPC'!$E$4="",'Data Entry'!$C4747&lt;='Visual SPC'!$E$4),OR('Visual SPC'!$G$4="",'Data Entry'!$D4747='Visual SPC'!$G$4),OR('Visual SPC'!$I$4="",'Data Entry'!$E4747='Visual SPC'!$I$4),OR('Visual SPC'!$K$4="",'Data Entry'!$F4747='Visual SPC'!$K$4)),1,0))</f>
        <v/>
      </c>
      <c r="C4747">
        <f>C4746+B4747</f>
        <v/>
      </c>
      <c r="D4747">
        <f>IF(B4747=1,INDEX('Data Entry'!$H$5:$BE$10004,4747-4,'Visual SPC'!$B$3),"")</f>
        <v/>
      </c>
      <c r="E4747">
        <f>IF(B4747=1,D4747,E4746)</f>
        <v/>
      </c>
      <c r="F4747">
        <f>IF(AND(B4747=1,C4747&gt;1,E4746&lt;&gt;""),ABS(D4747-E4746),"")</f>
        <v/>
      </c>
    </row>
    <row r="4748">
      <c r="A4748" t="n">
        <v>4748</v>
      </c>
      <c r="B4748">
        <f>IF(INDEX('Data Entry'!$H$5:$BE$10004,4748-4,'Visual SPC'!$B$3)="",0,IF(AND(OR('Visual SPC'!$C$4="",'Data Entry'!$C4748&gt;='Visual SPC'!$C$4),OR('Visual SPC'!$E$4="",'Data Entry'!$C4748&lt;='Visual SPC'!$E$4),OR('Visual SPC'!$G$4="",'Data Entry'!$D4748='Visual SPC'!$G$4),OR('Visual SPC'!$I$4="",'Data Entry'!$E4748='Visual SPC'!$I$4),OR('Visual SPC'!$K$4="",'Data Entry'!$F4748='Visual SPC'!$K$4)),1,0))</f>
        <v/>
      </c>
      <c r="C4748">
        <f>C4747+B4748</f>
        <v/>
      </c>
      <c r="D4748">
        <f>IF(B4748=1,INDEX('Data Entry'!$H$5:$BE$10004,4748-4,'Visual SPC'!$B$3),"")</f>
        <v/>
      </c>
      <c r="E4748">
        <f>IF(B4748=1,D4748,E4747)</f>
        <v/>
      </c>
      <c r="F4748">
        <f>IF(AND(B4748=1,C4748&gt;1,E4747&lt;&gt;""),ABS(D4748-E4747),"")</f>
        <v/>
      </c>
    </row>
    <row r="4749">
      <c r="A4749" t="n">
        <v>4749</v>
      </c>
      <c r="B4749">
        <f>IF(INDEX('Data Entry'!$H$5:$BE$10004,4749-4,'Visual SPC'!$B$3)="",0,IF(AND(OR('Visual SPC'!$C$4="",'Data Entry'!$C4749&gt;='Visual SPC'!$C$4),OR('Visual SPC'!$E$4="",'Data Entry'!$C4749&lt;='Visual SPC'!$E$4),OR('Visual SPC'!$G$4="",'Data Entry'!$D4749='Visual SPC'!$G$4),OR('Visual SPC'!$I$4="",'Data Entry'!$E4749='Visual SPC'!$I$4),OR('Visual SPC'!$K$4="",'Data Entry'!$F4749='Visual SPC'!$K$4)),1,0))</f>
        <v/>
      </c>
      <c r="C4749">
        <f>C4748+B4749</f>
        <v/>
      </c>
      <c r="D4749">
        <f>IF(B4749=1,INDEX('Data Entry'!$H$5:$BE$10004,4749-4,'Visual SPC'!$B$3),"")</f>
        <v/>
      </c>
      <c r="E4749">
        <f>IF(B4749=1,D4749,E4748)</f>
        <v/>
      </c>
      <c r="F4749">
        <f>IF(AND(B4749=1,C4749&gt;1,E4748&lt;&gt;""),ABS(D4749-E4748),"")</f>
        <v/>
      </c>
    </row>
    <row r="4750">
      <c r="A4750" t="n">
        <v>4750</v>
      </c>
      <c r="B4750">
        <f>IF(INDEX('Data Entry'!$H$5:$BE$10004,4750-4,'Visual SPC'!$B$3)="",0,IF(AND(OR('Visual SPC'!$C$4="",'Data Entry'!$C4750&gt;='Visual SPC'!$C$4),OR('Visual SPC'!$E$4="",'Data Entry'!$C4750&lt;='Visual SPC'!$E$4),OR('Visual SPC'!$G$4="",'Data Entry'!$D4750='Visual SPC'!$G$4),OR('Visual SPC'!$I$4="",'Data Entry'!$E4750='Visual SPC'!$I$4),OR('Visual SPC'!$K$4="",'Data Entry'!$F4750='Visual SPC'!$K$4)),1,0))</f>
        <v/>
      </c>
      <c r="C4750">
        <f>C4749+B4750</f>
        <v/>
      </c>
      <c r="D4750">
        <f>IF(B4750=1,INDEX('Data Entry'!$H$5:$BE$10004,4750-4,'Visual SPC'!$B$3),"")</f>
        <v/>
      </c>
      <c r="E4750">
        <f>IF(B4750=1,D4750,E4749)</f>
        <v/>
      </c>
      <c r="F4750">
        <f>IF(AND(B4750=1,C4750&gt;1,E4749&lt;&gt;""),ABS(D4750-E4749),"")</f>
        <v/>
      </c>
    </row>
    <row r="4751">
      <c r="A4751" t="n">
        <v>4751</v>
      </c>
      <c r="B4751">
        <f>IF(INDEX('Data Entry'!$H$5:$BE$10004,4751-4,'Visual SPC'!$B$3)="",0,IF(AND(OR('Visual SPC'!$C$4="",'Data Entry'!$C4751&gt;='Visual SPC'!$C$4),OR('Visual SPC'!$E$4="",'Data Entry'!$C4751&lt;='Visual SPC'!$E$4),OR('Visual SPC'!$G$4="",'Data Entry'!$D4751='Visual SPC'!$G$4),OR('Visual SPC'!$I$4="",'Data Entry'!$E4751='Visual SPC'!$I$4),OR('Visual SPC'!$K$4="",'Data Entry'!$F4751='Visual SPC'!$K$4)),1,0))</f>
        <v/>
      </c>
      <c r="C4751">
        <f>C4750+B4751</f>
        <v/>
      </c>
      <c r="D4751">
        <f>IF(B4751=1,INDEX('Data Entry'!$H$5:$BE$10004,4751-4,'Visual SPC'!$B$3),"")</f>
        <v/>
      </c>
      <c r="E4751">
        <f>IF(B4751=1,D4751,E4750)</f>
        <v/>
      </c>
      <c r="F4751">
        <f>IF(AND(B4751=1,C4751&gt;1,E4750&lt;&gt;""),ABS(D4751-E4750),"")</f>
        <v/>
      </c>
    </row>
    <row r="4752">
      <c r="A4752" t="n">
        <v>4752</v>
      </c>
      <c r="B4752">
        <f>IF(INDEX('Data Entry'!$H$5:$BE$10004,4752-4,'Visual SPC'!$B$3)="",0,IF(AND(OR('Visual SPC'!$C$4="",'Data Entry'!$C4752&gt;='Visual SPC'!$C$4),OR('Visual SPC'!$E$4="",'Data Entry'!$C4752&lt;='Visual SPC'!$E$4),OR('Visual SPC'!$G$4="",'Data Entry'!$D4752='Visual SPC'!$G$4),OR('Visual SPC'!$I$4="",'Data Entry'!$E4752='Visual SPC'!$I$4),OR('Visual SPC'!$K$4="",'Data Entry'!$F4752='Visual SPC'!$K$4)),1,0))</f>
        <v/>
      </c>
      <c r="C4752">
        <f>C4751+B4752</f>
        <v/>
      </c>
      <c r="D4752">
        <f>IF(B4752=1,INDEX('Data Entry'!$H$5:$BE$10004,4752-4,'Visual SPC'!$B$3),"")</f>
        <v/>
      </c>
      <c r="E4752">
        <f>IF(B4752=1,D4752,E4751)</f>
        <v/>
      </c>
      <c r="F4752">
        <f>IF(AND(B4752=1,C4752&gt;1,E4751&lt;&gt;""),ABS(D4752-E4751),"")</f>
        <v/>
      </c>
    </row>
    <row r="4753">
      <c r="A4753" t="n">
        <v>4753</v>
      </c>
      <c r="B4753">
        <f>IF(INDEX('Data Entry'!$H$5:$BE$10004,4753-4,'Visual SPC'!$B$3)="",0,IF(AND(OR('Visual SPC'!$C$4="",'Data Entry'!$C4753&gt;='Visual SPC'!$C$4),OR('Visual SPC'!$E$4="",'Data Entry'!$C4753&lt;='Visual SPC'!$E$4),OR('Visual SPC'!$G$4="",'Data Entry'!$D4753='Visual SPC'!$G$4),OR('Visual SPC'!$I$4="",'Data Entry'!$E4753='Visual SPC'!$I$4),OR('Visual SPC'!$K$4="",'Data Entry'!$F4753='Visual SPC'!$K$4)),1,0))</f>
        <v/>
      </c>
      <c r="C4753">
        <f>C4752+B4753</f>
        <v/>
      </c>
      <c r="D4753">
        <f>IF(B4753=1,INDEX('Data Entry'!$H$5:$BE$10004,4753-4,'Visual SPC'!$B$3),"")</f>
        <v/>
      </c>
      <c r="E4753">
        <f>IF(B4753=1,D4753,E4752)</f>
        <v/>
      </c>
      <c r="F4753">
        <f>IF(AND(B4753=1,C4753&gt;1,E4752&lt;&gt;""),ABS(D4753-E4752),"")</f>
        <v/>
      </c>
    </row>
    <row r="4754">
      <c r="A4754" t="n">
        <v>4754</v>
      </c>
      <c r="B4754">
        <f>IF(INDEX('Data Entry'!$H$5:$BE$10004,4754-4,'Visual SPC'!$B$3)="",0,IF(AND(OR('Visual SPC'!$C$4="",'Data Entry'!$C4754&gt;='Visual SPC'!$C$4),OR('Visual SPC'!$E$4="",'Data Entry'!$C4754&lt;='Visual SPC'!$E$4),OR('Visual SPC'!$G$4="",'Data Entry'!$D4754='Visual SPC'!$G$4),OR('Visual SPC'!$I$4="",'Data Entry'!$E4754='Visual SPC'!$I$4),OR('Visual SPC'!$K$4="",'Data Entry'!$F4754='Visual SPC'!$K$4)),1,0))</f>
        <v/>
      </c>
      <c r="C4754">
        <f>C4753+B4754</f>
        <v/>
      </c>
      <c r="D4754">
        <f>IF(B4754=1,INDEX('Data Entry'!$H$5:$BE$10004,4754-4,'Visual SPC'!$B$3),"")</f>
        <v/>
      </c>
      <c r="E4754">
        <f>IF(B4754=1,D4754,E4753)</f>
        <v/>
      </c>
      <c r="F4754">
        <f>IF(AND(B4754=1,C4754&gt;1,E4753&lt;&gt;""),ABS(D4754-E4753),"")</f>
        <v/>
      </c>
    </row>
    <row r="4755">
      <c r="A4755" t="n">
        <v>4755</v>
      </c>
      <c r="B4755">
        <f>IF(INDEX('Data Entry'!$H$5:$BE$10004,4755-4,'Visual SPC'!$B$3)="",0,IF(AND(OR('Visual SPC'!$C$4="",'Data Entry'!$C4755&gt;='Visual SPC'!$C$4),OR('Visual SPC'!$E$4="",'Data Entry'!$C4755&lt;='Visual SPC'!$E$4),OR('Visual SPC'!$G$4="",'Data Entry'!$D4755='Visual SPC'!$G$4),OR('Visual SPC'!$I$4="",'Data Entry'!$E4755='Visual SPC'!$I$4),OR('Visual SPC'!$K$4="",'Data Entry'!$F4755='Visual SPC'!$K$4)),1,0))</f>
        <v/>
      </c>
      <c r="C4755">
        <f>C4754+B4755</f>
        <v/>
      </c>
      <c r="D4755">
        <f>IF(B4755=1,INDEX('Data Entry'!$H$5:$BE$10004,4755-4,'Visual SPC'!$B$3),"")</f>
        <v/>
      </c>
      <c r="E4755">
        <f>IF(B4755=1,D4755,E4754)</f>
        <v/>
      </c>
      <c r="F4755">
        <f>IF(AND(B4755=1,C4755&gt;1,E4754&lt;&gt;""),ABS(D4755-E4754),"")</f>
        <v/>
      </c>
    </row>
    <row r="4756">
      <c r="A4756" t="n">
        <v>4756</v>
      </c>
      <c r="B4756">
        <f>IF(INDEX('Data Entry'!$H$5:$BE$10004,4756-4,'Visual SPC'!$B$3)="",0,IF(AND(OR('Visual SPC'!$C$4="",'Data Entry'!$C4756&gt;='Visual SPC'!$C$4),OR('Visual SPC'!$E$4="",'Data Entry'!$C4756&lt;='Visual SPC'!$E$4),OR('Visual SPC'!$G$4="",'Data Entry'!$D4756='Visual SPC'!$G$4),OR('Visual SPC'!$I$4="",'Data Entry'!$E4756='Visual SPC'!$I$4),OR('Visual SPC'!$K$4="",'Data Entry'!$F4756='Visual SPC'!$K$4)),1,0))</f>
        <v/>
      </c>
      <c r="C4756">
        <f>C4755+B4756</f>
        <v/>
      </c>
      <c r="D4756">
        <f>IF(B4756=1,INDEX('Data Entry'!$H$5:$BE$10004,4756-4,'Visual SPC'!$B$3),"")</f>
        <v/>
      </c>
      <c r="E4756">
        <f>IF(B4756=1,D4756,E4755)</f>
        <v/>
      </c>
      <c r="F4756">
        <f>IF(AND(B4756=1,C4756&gt;1,E4755&lt;&gt;""),ABS(D4756-E4755),"")</f>
        <v/>
      </c>
    </row>
    <row r="4757">
      <c r="A4757" t="n">
        <v>4757</v>
      </c>
      <c r="B4757">
        <f>IF(INDEX('Data Entry'!$H$5:$BE$10004,4757-4,'Visual SPC'!$B$3)="",0,IF(AND(OR('Visual SPC'!$C$4="",'Data Entry'!$C4757&gt;='Visual SPC'!$C$4),OR('Visual SPC'!$E$4="",'Data Entry'!$C4757&lt;='Visual SPC'!$E$4),OR('Visual SPC'!$G$4="",'Data Entry'!$D4757='Visual SPC'!$G$4),OR('Visual SPC'!$I$4="",'Data Entry'!$E4757='Visual SPC'!$I$4),OR('Visual SPC'!$K$4="",'Data Entry'!$F4757='Visual SPC'!$K$4)),1,0))</f>
        <v/>
      </c>
      <c r="C4757">
        <f>C4756+B4757</f>
        <v/>
      </c>
      <c r="D4757">
        <f>IF(B4757=1,INDEX('Data Entry'!$H$5:$BE$10004,4757-4,'Visual SPC'!$B$3),"")</f>
        <v/>
      </c>
      <c r="E4757">
        <f>IF(B4757=1,D4757,E4756)</f>
        <v/>
      </c>
      <c r="F4757">
        <f>IF(AND(B4757=1,C4757&gt;1,E4756&lt;&gt;""),ABS(D4757-E4756),"")</f>
        <v/>
      </c>
    </row>
    <row r="4758">
      <c r="A4758" t="n">
        <v>4758</v>
      </c>
      <c r="B4758">
        <f>IF(INDEX('Data Entry'!$H$5:$BE$10004,4758-4,'Visual SPC'!$B$3)="",0,IF(AND(OR('Visual SPC'!$C$4="",'Data Entry'!$C4758&gt;='Visual SPC'!$C$4),OR('Visual SPC'!$E$4="",'Data Entry'!$C4758&lt;='Visual SPC'!$E$4),OR('Visual SPC'!$G$4="",'Data Entry'!$D4758='Visual SPC'!$G$4),OR('Visual SPC'!$I$4="",'Data Entry'!$E4758='Visual SPC'!$I$4),OR('Visual SPC'!$K$4="",'Data Entry'!$F4758='Visual SPC'!$K$4)),1,0))</f>
        <v/>
      </c>
      <c r="C4758">
        <f>C4757+B4758</f>
        <v/>
      </c>
      <c r="D4758">
        <f>IF(B4758=1,INDEX('Data Entry'!$H$5:$BE$10004,4758-4,'Visual SPC'!$B$3),"")</f>
        <v/>
      </c>
      <c r="E4758">
        <f>IF(B4758=1,D4758,E4757)</f>
        <v/>
      </c>
      <c r="F4758">
        <f>IF(AND(B4758=1,C4758&gt;1,E4757&lt;&gt;""),ABS(D4758-E4757),"")</f>
        <v/>
      </c>
    </row>
    <row r="4759">
      <c r="A4759" t="n">
        <v>4759</v>
      </c>
      <c r="B4759">
        <f>IF(INDEX('Data Entry'!$H$5:$BE$10004,4759-4,'Visual SPC'!$B$3)="",0,IF(AND(OR('Visual SPC'!$C$4="",'Data Entry'!$C4759&gt;='Visual SPC'!$C$4),OR('Visual SPC'!$E$4="",'Data Entry'!$C4759&lt;='Visual SPC'!$E$4),OR('Visual SPC'!$G$4="",'Data Entry'!$D4759='Visual SPC'!$G$4),OR('Visual SPC'!$I$4="",'Data Entry'!$E4759='Visual SPC'!$I$4),OR('Visual SPC'!$K$4="",'Data Entry'!$F4759='Visual SPC'!$K$4)),1,0))</f>
        <v/>
      </c>
      <c r="C4759">
        <f>C4758+B4759</f>
        <v/>
      </c>
      <c r="D4759">
        <f>IF(B4759=1,INDEX('Data Entry'!$H$5:$BE$10004,4759-4,'Visual SPC'!$B$3),"")</f>
        <v/>
      </c>
      <c r="E4759">
        <f>IF(B4759=1,D4759,E4758)</f>
        <v/>
      </c>
      <c r="F4759">
        <f>IF(AND(B4759=1,C4759&gt;1,E4758&lt;&gt;""),ABS(D4759-E4758),"")</f>
        <v/>
      </c>
    </row>
    <row r="4760">
      <c r="A4760" t="n">
        <v>4760</v>
      </c>
      <c r="B4760">
        <f>IF(INDEX('Data Entry'!$H$5:$BE$10004,4760-4,'Visual SPC'!$B$3)="",0,IF(AND(OR('Visual SPC'!$C$4="",'Data Entry'!$C4760&gt;='Visual SPC'!$C$4),OR('Visual SPC'!$E$4="",'Data Entry'!$C4760&lt;='Visual SPC'!$E$4),OR('Visual SPC'!$G$4="",'Data Entry'!$D4760='Visual SPC'!$G$4),OR('Visual SPC'!$I$4="",'Data Entry'!$E4760='Visual SPC'!$I$4),OR('Visual SPC'!$K$4="",'Data Entry'!$F4760='Visual SPC'!$K$4)),1,0))</f>
        <v/>
      </c>
      <c r="C4760">
        <f>C4759+B4760</f>
        <v/>
      </c>
      <c r="D4760">
        <f>IF(B4760=1,INDEX('Data Entry'!$H$5:$BE$10004,4760-4,'Visual SPC'!$B$3),"")</f>
        <v/>
      </c>
      <c r="E4760">
        <f>IF(B4760=1,D4760,E4759)</f>
        <v/>
      </c>
      <c r="F4760">
        <f>IF(AND(B4760=1,C4760&gt;1,E4759&lt;&gt;""),ABS(D4760-E4759),"")</f>
        <v/>
      </c>
    </row>
    <row r="4761">
      <c r="A4761" t="n">
        <v>4761</v>
      </c>
      <c r="B4761">
        <f>IF(INDEX('Data Entry'!$H$5:$BE$10004,4761-4,'Visual SPC'!$B$3)="",0,IF(AND(OR('Visual SPC'!$C$4="",'Data Entry'!$C4761&gt;='Visual SPC'!$C$4),OR('Visual SPC'!$E$4="",'Data Entry'!$C4761&lt;='Visual SPC'!$E$4),OR('Visual SPC'!$G$4="",'Data Entry'!$D4761='Visual SPC'!$G$4),OR('Visual SPC'!$I$4="",'Data Entry'!$E4761='Visual SPC'!$I$4),OR('Visual SPC'!$K$4="",'Data Entry'!$F4761='Visual SPC'!$K$4)),1,0))</f>
        <v/>
      </c>
      <c r="C4761">
        <f>C4760+B4761</f>
        <v/>
      </c>
      <c r="D4761">
        <f>IF(B4761=1,INDEX('Data Entry'!$H$5:$BE$10004,4761-4,'Visual SPC'!$B$3),"")</f>
        <v/>
      </c>
      <c r="E4761">
        <f>IF(B4761=1,D4761,E4760)</f>
        <v/>
      </c>
      <c r="F4761">
        <f>IF(AND(B4761=1,C4761&gt;1,E4760&lt;&gt;""),ABS(D4761-E4760),"")</f>
        <v/>
      </c>
    </row>
    <row r="4762">
      <c r="A4762" t="n">
        <v>4762</v>
      </c>
      <c r="B4762">
        <f>IF(INDEX('Data Entry'!$H$5:$BE$10004,4762-4,'Visual SPC'!$B$3)="",0,IF(AND(OR('Visual SPC'!$C$4="",'Data Entry'!$C4762&gt;='Visual SPC'!$C$4),OR('Visual SPC'!$E$4="",'Data Entry'!$C4762&lt;='Visual SPC'!$E$4),OR('Visual SPC'!$G$4="",'Data Entry'!$D4762='Visual SPC'!$G$4),OR('Visual SPC'!$I$4="",'Data Entry'!$E4762='Visual SPC'!$I$4),OR('Visual SPC'!$K$4="",'Data Entry'!$F4762='Visual SPC'!$K$4)),1,0))</f>
        <v/>
      </c>
      <c r="C4762">
        <f>C4761+B4762</f>
        <v/>
      </c>
      <c r="D4762">
        <f>IF(B4762=1,INDEX('Data Entry'!$H$5:$BE$10004,4762-4,'Visual SPC'!$B$3),"")</f>
        <v/>
      </c>
      <c r="E4762">
        <f>IF(B4762=1,D4762,E4761)</f>
        <v/>
      </c>
      <c r="F4762">
        <f>IF(AND(B4762=1,C4762&gt;1,E4761&lt;&gt;""),ABS(D4762-E4761),"")</f>
        <v/>
      </c>
    </row>
    <row r="4763">
      <c r="A4763" t="n">
        <v>4763</v>
      </c>
      <c r="B4763">
        <f>IF(INDEX('Data Entry'!$H$5:$BE$10004,4763-4,'Visual SPC'!$B$3)="",0,IF(AND(OR('Visual SPC'!$C$4="",'Data Entry'!$C4763&gt;='Visual SPC'!$C$4),OR('Visual SPC'!$E$4="",'Data Entry'!$C4763&lt;='Visual SPC'!$E$4),OR('Visual SPC'!$G$4="",'Data Entry'!$D4763='Visual SPC'!$G$4),OR('Visual SPC'!$I$4="",'Data Entry'!$E4763='Visual SPC'!$I$4),OR('Visual SPC'!$K$4="",'Data Entry'!$F4763='Visual SPC'!$K$4)),1,0))</f>
        <v/>
      </c>
      <c r="C4763">
        <f>C4762+B4763</f>
        <v/>
      </c>
      <c r="D4763">
        <f>IF(B4763=1,INDEX('Data Entry'!$H$5:$BE$10004,4763-4,'Visual SPC'!$B$3),"")</f>
        <v/>
      </c>
      <c r="E4763">
        <f>IF(B4763=1,D4763,E4762)</f>
        <v/>
      </c>
      <c r="F4763">
        <f>IF(AND(B4763=1,C4763&gt;1,E4762&lt;&gt;""),ABS(D4763-E4762),"")</f>
        <v/>
      </c>
    </row>
    <row r="4764">
      <c r="A4764" t="n">
        <v>4764</v>
      </c>
      <c r="B4764">
        <f>IF(INDEX('Data Entry'!$H$5:$BE$10004,4764-4,'Visual SPC'!$B$3)="",0,IF(AND(OR('Visual SPC'!$C$4="",'Data Entry'!$C4764&gt;='Visual SPC'!$C$4),OR('Visual SPC'!$E$4="",'Data Entry'!$C4764&lt;='Visual SPC'!$E$4),OR('Visual SPC'!$G$4="",'Data Entry'!$D4764='Visual SPC'!$G$4),OR('Visual SPC'!$I$4="",'Data Entry'!$E4764='Visual SPC'!$I$4),OR('Visual SPC'!$K$4="",'Data Entry'!$F4764='Visual SPC'!$K$4)),1,0))</f>
        <v/>
      </c>
      <c r="C4764">
        <f>C4763+B4764</f>
        <v/>
      </c>
      <c r="D4764">
        <f>IF(B4764=1,INDEX('Data Entry'!$H$5:$BE$10004,4764-4,'Visual SPC'!$B$3),"")</f>
        <v/>
      </c>
      <c r="E4764">
        <f>IF(B4764=1,D4764,E4763)</f>
        <v/>
      </c>
      <c r="F4764">
        <f>IF(AND(B4764=1,C4764&gt;1,E4763&lt;&gt;""),ABS(D4764-E4763),"")</f>
        <v/>
      </c>
    </row>
    <row r="4765">
      <c r="A4765" t="n">
        <v>4765</v>
      </c>
      <c r="B4765">
        <f>IF(INDEX('Data Entry'!$H$5:$BE$10004,4765-4,'Visual SPC'!$B$3)="",0,IF(AND(OR('Visual SPC'!$C$4="",'Data Entry'!$C4765&gt;='Visual SPC'!$C$4),OR('Visual SPC'!$E$4="",'Data Entry'!$C4765&lt;='Visual SPC'!$E$4),OR('Visual SPC'!$G$4="",'Data Entry'!$D4765='Visual SPC'!$G$4),OR('Visual SPC'!$I$4="",'Data Entry'!$E4765='Visual SPC'!$I$4),OR('Visual SPC'!$K$4="",'Data Entry'!$F4765='Visual SPC'!$K$4)),1,0))</f>
        <v/>
      </c>
      <c r="C4765">
        <f>C4764+B4765</f>
        <v/>
      </c>
      <c r="D4765">
        <f>IF(B4765=1,INDEX('Data Entry'!$H$5:$BE$10004,4765-4,'Visual SPC'!$B$3),"")</f>
        <v/>
      </c>
      <c r="E4765">
        <f>IF(B4765=1,D4765,E4764)</f>
        <v/>
      </c>
      <c r="F4765">
        <f>IF(AND(B4765=1,C4765&gt;1,E4764&lt;&gt;""),ABS(D4765-E4764),"")</f>
        <v/>
      </c>
    </row>
    <row r="4766">
      <c r="A4766" t="n">
        <v>4766</v>
      </c>
      <c r="B4766">
        <f>IF(INDEX('Data Entry'!$H$5:$BE$10004,4766-4,'Visual SPC'!$B$3)="",0,IF(AND(OR('Visual SPC'!$C$4="",'Data Entry'!$C4766&gt;='Visual SPC'!$C$4),OR('Visual SPC'!$E$4="",'Data Entry'!$C4766&lt;='Visual SPC'!$E$4),OR('Visual SPC'!$G$4="",'Data Entry'!$D4766='Visual SPC'!$G$4),OR('Visual SPC'!$I$4="",'Data Entry'!$E4766='Visual SPC'!$I$4),OR('Visual SPC'!$K$4="",'Data Entry'!$F4766='Visual SPC'!$K$4)),1,0))</f>
        <v/>
      </c>
      <c r="C4766">
        <f>C4765+B4766</f>
        <v/>
      </c>
      <c r="D4766">
        <f>IF(B4766=1,INDEX('Data Entry'!$H$5:$BE$10004,4766-4,'Visual SPC'!$B$3),"")</f>
        <v/>
      </c>
      <c r="E4766">
        <f>IF(B4766=1,D4766,E4765)</f>
        <v/>
      </c>
      <c r="F4766">
        <f>IF(AND(B4766=1,C4766&gt;1,E4765&lt;&gt;""),ABS(D4766-E4765),"")</f>
        <v/>
      </c>
    </row>
    <row r="4767">
      <c r="A4767" t="n">
        <v>4767</v>
      </c>
      <c r="B4767">
        <f>IF(INDEX('Data Entry'!$H$5:$BE$10004,4767-4,'Visual SPC'!$B$3)="",0,IF(AND(OR('Visual SPC'!$C$4="",'Data Entry'!$C4767&gt;='Visual SPC'!$C$4),OR('Visual SPC'!$E$4="",'Data Entry'!$C4767&lt;='Visual SPC'!$E$4),OR('Visual SPC'!$G$4="",'Data Entry'!$D4767='Visual SPC'!$G$4),OR('Visual SPC'!$I$4="",'Data Entry'!$E4767='Visual SPC'!$I$4),OR('Visual SPC'!$K$4="",'Data Entry'!$F4767='Visual SPC'!$K$4)),1,0))</f>
        <v/>
      </c>
      <c r="C4767">
        <f>C4766+B4767</f>
        <v/>
      </c>
      <c r="D4767">
        <f>IF(B4767=1,INDEX('Data Entry'!$H$5:$BE$10004,4767-4,'Visual SPC'!$B$3),"")</f>
        <v/>
      </c>
      <c r="E4767">
        <f>IF(B4767=1,D4767,E4766)</f>
        <v/>
      </c>
      <c r="F4767">
        <f>IF(AND(B4767=1,C4767&gt;1,E4766&lt;&gt;""),ABS(D4767-E4766),"")</f>
        <v/>
      </c>
    </row>
    <row r="4768">
      <c r="A4768" t="n">
        <v>4768</v>
      </c>
      <c r="B4768">
        <f>IF(INDEX('Data Entry'!$H$5:$BE$10004,4768-4,'Visual SPC'!$B$3)="",0,IF(AND(OR('Visual SPC'!$C$4="",'Data Entry'!$C4768&gt;='Visual SPC'!$C$4),OR('Visual SPC'!$E$4="",'Data Entry'!$C4768&lt;='Visual SPC'!$E$4),OR('Visual SPC'!$G$4="",'Data Entry'!$D4768='Visual SPC'!$G$4),OR('Visual SPC'!$I$4="",'Data Entry'!$E4768='Visual SPC'!$I$4),OR('Visual SPC'!$K$4="",'Data Entry'!$F4768='Visual SPC'!$K$4)),1,0))</f>
        <v/>
      </c>
      <c r="C4768">
        <f>C4767+B4768</f>
        <v/>
      </c>
      <c r="D4768">
        <f>IF(B4768=1,INDEX('Data Entry'!$H$5:$BE$10004,4768-4,'Visual SPC'!$B$3),"")</f>
        <v/>
      </c>
      <c r="E4768">
        <f>IF(B4768=1,D4768,E4767)</f>
        <v/>
      </c>
      <c r="F4768">
        <f>IF(AND(B4768=1,C4768&gt;1,E4767&lt;&gt;""),ABS(D4768-E4767),"")</f>
        <v/>
      </c>
    </row>
    <row r="4769">
      <c r="A4769" t="n">
        <v>4769</v>
      </c>
      <c r="B4769">
        <f>IF(INDEX('Data Entry'!$H$5:$BE$10004,4769-4,'Visual SPC'!$B$3)="",0,IF(AND(OR('Visual SPC'!$C$4="",'Data Entry'!$C4769&gt;='Visual SPC'!$C$4),OR('Visual SPC'!$E$4="",'Data Entry'!$C4769&lt;='Visual SPC'!$E$4),OR('Visual SPC'!$G$4="",'Data Entry'!$D4769='Visual SPC'!$G$4),OR('Visual SPC'!$I$4="",'Data Entry'!$E4769='Visual SPC'!$I$4),OR('Visual SPC'!$K$4="",'Data Entry'!$F4769='Visual SPC'!$K$4)),1,0))</f>
        <v/>
      </c>
      <c r="C4769">
        <f>C4768+B4769</f>
        <v/>
      </c>
      <c r="D4769">
        <f>IF(B4769=1,INDEX('Data Entry'!$H$5:$BE$10004,4769-4,'Visual SPC'!$B$3),"")</f>
        <v/>
      </c>
      <c r="E4769">
        <f>IF(B4769=1,D4769,E4768)</f>
        <v/>
      </c>
      <c r="F4769">
        <f>IF(AND(B4769=1,C4769&gt;1,E4768&lt;&gt;""),ABS(D4769-E4768),"")</f>
        <v/>
      </c>
    </row>
    <row r="4770">
      <c r="A4770" t="n">
        <v>4770</v>
      </c>
      <c r="B4770">
        <f>IF(INDEX('Data Entry'!$H$5:$BE$10004,4770-4,'Visual SPC'!$B$3)="",0,IF(AND(OR('Visual SPC'!$C$4="",'Data Entry'!$C4770&gt;='Visual SPC'!$C$4),OR('Visual SPC'!$E$4="",'Data Entry'!$C4770&lt;='Visual SPC'!$E$4),OR('Visual SPC'!$G$4="",'Data Entry'!$D4770='Visual SPC'!$G$4),OR('Visual SPC'!$I$4="",'Data Entry'!$E4770='Visual SPC'!$I$4),OR('Visual SPC'!$K$4="",'Data Entry'!$F4770='Visual SPC'!$K$4)),1,0))</f>
        <v/>
      </c>
      <c r="C4770">
        <f>C4769+B4770</f>
        <v/>
      </c>
      <c r="D4770">
        <f>IF(B4770=1,INDEX('Data Entry'!$H$5:$BE$10004,4770-4,'Visual SPC'!$B$3),"")</f>
        <v/>
      </c>
      <c r="E4770">
        <f>IF(B4770=1,D4770,E4769)</f>
        <v/>
      </c>
      <c r="F4770">
        <f>IF(AND(B4770=1,C4770&gt;1,E4769&lt;&gt;""),ABS(D4770-E4769),"")</f>
        <v/>
      </c>
    </row>
    <row r="4771">
      <c r="A4771" t="n">
        <v>4771</v>
      </c>
      <c r="B4771">
        <f>IF(INDEX('Data Entry'!$H$5:$BE$10004,4771-4,'Visual SPC'!$B$3)="",0,IF(AND(OR('Visual SPC'!$C$4="",'Data Entry'!$C4771&gt;='Visual SPC'!$C$4),OR('Visual SPC'!$E$4="",'Data Entry'!$C4771&lt;='Visual SPC'!$E$4),OR('Visual SPC'!$G$4="",'Data Entry'!$D4771='Visual SPC'!$G$4),OR('Visual SPC'!$I$4="",'Data Entry'!$E4771='Visual SPC'!$I$4),OR('Visual SPC'!$K$4="",'Data Entry'!$F4771='Visual SPC'!$K$4)),1,0))</f>
        <v/>
      </c>
      <c r="C4771">
        <f>C4770+B4771</f>
        <v/>
      </c>
      <c r="D4771">
        <f>IF(B4771=1,INDEX('Data Entry'!$H$5:$BE$10004,4771-4,'Visual SPC'!$B$3),"")</f>
        <v/>
      </c>
      <c r="E4771">
        <f>IF(B4771=1,D4771,E4770)</f>
        <v/>
      </c>
      <c r="F4771">
        <f>IF(AND(B4771=1,C4771&gt;1,E4770&lt;&gt;""),ABS(D4771-E4770),"")</f>
        <v/>
      </c>
    </row>
    <row r="4772">
      <c r="A4772" t="n">
        <v>4772</v>
      </c>
      <c r="B4772">
        <f>IF(INDEX('Data Entry'!$H$5:$BE$10004,4772-4,'Visual SPC'!$B$3)="",0,IF(AND(OR('Visual SPC'!$C$4="",'Data Entry'!$C4772&gt;='Visual SPC'!$C$4),OR('Visual SPC'!$E$4="",'Data Entry'!$C4772&lt;='Visual SPC'!$E$4),OR('Visual SPC'!$G$4="",'Data Entry'!$D4772='Visual SPC'!$G$4),OR('Visual SPC'!$I$4="",'Data Entry'!$E4772='Visual SPC'!$I$4),OR('Visual SPC'!$K$4="",'Data Entry'!$F4772='Visual SPC'!$K$4)),1,0))</f>
        <v/>
      </c>
      <c r="C4772">
        <f>C4771+B4772</f>
        <v/>
      </c>
      <c r="D4772">
        <f>IF(B4772=1,INDEX('Data Entry'!$H$5:$BE$10004,4772-4,'Visual SPC'!$B$3),"")</f>
        <v/>
      </c>
      <c r="E4772">
        <f>IF(B4772=1,D4772,E4771)</f>
        <v/>
      </c>
      <c r="F4772">
        <f>IF(AND(B4772=1,C4772&gt;1,E4771&lt;&gt;""),ABS(D4772-E4771),"")</f>
        <v/>
      </c>
    </row>
    <row r="4773">
      <c r="A4773" t="n">
        <v>4773</v>
      </c>
      <c r="B4773">
        <f>IF(INDEX('Data Entry'!$H$5:$BE$10004,4773-4,'Visual SPC'!$B$3)="",0,IF(AND(OR('Visual SPC'!$C$4="",'Data Entry'!$C4773&gt;='Visual SPC'!$C$4),OR('Visual SPC'!$E$4="",'Data Entry'!$C4773&lt;='Visual SPC'!$E$4),OR('Visual SPC'!$G$4="",'Data Entry'!$D4773='Visual SPC'!$G$4),OR('Visual SPC'!$I$4="",'Data Entry'!$E4773='Visual SPC'!$I$4),OR('Visual SPC'!$K$4="",'Data Entry'!$F4773='Visual SPC'!$K$4)),1,0))</f>
        <v/>
      </c>
      <c r="C4773">
        <f>C4772+B4773</f>
        <v/>
      </c>
      <c r="D4773">
        <f>IF(B4773=1,INDEX('Data Entry'!$H$5:$BE$10004,4773-4,'Visual SPC'!$B$3),"")</f>
        <v/>
      </c>
      <c r="E4773">
        <f>IF(B4773=1,D4773,E4772)</f>
        <v/>
      </c>
      <c r="F4773">
        <f>IF(AND(B4773=1,C4773&gt;1,E4772&lt;&gt;""),ABS(D4773-E4772),"")</f>
        <v/>
      </c>
    </row>
    <row r="4774">
      <c r="A4774" t="n">
        <v>4774</v>
      </c>
      <c r="B4774">
        <f>IF(INDEX('Data Entry'!$H$5:$BE$10004,4774-4,'Visual SPC'!$B$3)="",0,IF(AND(OR('Visual SPC'!$C$4="",'Data Entry'!$C4774&gt;='Visual SPC'!$C$4),OR('Visual SPC'!$E$4="",'Data Entry'!$C4774&lt;='Visual SPC'!$E$4),OR('Visual SPC'!$G$4="",'Data Entry'!$D4774='Visual SPC'!$G$4),OR('Visual SPC'!$I$4="",'Data Entry'!$E4774='Visual SPC'!$I$4),OR('Visual SPC'!$K$4="",'Data Entry'!$F4774='Visual SPC'!$K$4)),1,0))</f>
        <v/>
      </c>
      <c r="C4774">
        <f>C4773+B4774</f>
        <v/>
      </c>
      <c r="D4774">
        <f>IF(B4774=1,INDEX('Data Entry'!$H$5:$BE$10004,4774-4,'Visual SPC'!$B$3),"")</f>
        <v/>
      </c>
      <c r="E4774">
        <f>IF(B4774=1,D4774,E4773)</f>
        <v/>
      </c>
      <c r="F4774">
        <f>IF(AND(B4774=1,C4774&gt;1,E4773&lt;&gt;""),ABS(D4774-E4773),"")</f>
        <v/>
      </c>
    </row>
    <row r="4775">
      <c r="A4775" t="n">
        <v>4775</v>
      </c>
      <c r="B4775">
        <f>IF(INDEX('Data Entry'!$H$5:$BE$10004,4775-4,'Visual SPC'!$B$3)="",0,IF(AND(OR('Visual SPC'!$C$4="",'Data Entry'!$C4775&gt;='Visual SPC'!$C$4),OR('Visual SPC'!$E$4="",'Data Entry'!$C4775&lt;='Visual SPC'!$E$4),OR('Visual SPC'!$G$4="",'Data Entry'!$D4775='Visual SPC'!$G$4),OR('Visual SPC'!$I$4="",'Data Entry'!$E4775='Visual SPC'!$I$4),OR('Visual SPC'!$K$4="",'Data Entry'!$F4775='Visual SPC'!$K$4)),1,0))</f>
        <v/>
      </c>
      <c r="C4775">
        <f>C4774+B4775</f>
        <v/>
      </c>
      <c r="D4775">
        <f>IF(B4775=1,INDEX('Data Entry'!$H$5:$BE$10004,4775-4,'Visual SPC'!$B$3),"")</f>
        <v/>
      </c>
      <c r="E4775">
        <f>IF(B4775=1,D4775,E4774)</f>
        <v/>
      </c>
      <c r="F4775">
        <f>IF(AND(B4775=1,C4775&gt;1,E4774&lt;&gt;""),ABS(D4775-E4774),"")</f>
        <v/>
      </c>
    </row>
    <row r="4776">
      <c r="A4776" t="n">
        <v>4776</v>
      </c>
      <c r="B4776">
        <f>IF(INDEX('Data Entry'!$H$5:$BE$10004,4776-4,'Visual SPC'!$B$3)="",0,IF(AND(OR('Visual SPC'!$C$4="",'Data Entry'!$C4776&gt;='Visual SPC'!$C$4),OR('Visual SPC'!$E$4="",'Data Entry'!$C4776&lt;='Visual SPC'!$E$4),OR('Visual SPC'!$G$4="",'Data Entry'!$D4776='Visual SPC'!$G$4),OR('Visual SPC'!$I$4="",'Data Entry'!$E4776='Visual SPC'!$I$4),OR('Visual SPC'!$K$4="",'Data Entry'!$F4776='Visual SPC'!$K$4)),1,0))</f>
        <v/>
      </c>
      <c r="C4776">
        <f>C4775+B4776</f>
        <v/>
      </c>
      <c r="D4776">
        <f>IF(B4776=1,INDEX('Data Entry'!$H$5:$BE$10004,4776-4,'Visual SPC'!$B$3),"")</f>
        <v/>
      </c>
      <c r="E4776">
        <f>IF(B4776=1,D4776,E4775)</f>
        <v/>
      </c>
      <c r="F4776">
        <f>IF(AND(B4776=1,C4776&gt;1,E4775&lt;&gt;""),ABS(D4776-E4775),"")</f>
        <v/>
      </c>
    </row>
    <row r="4777">
      <c r="A4777" t="n">
        <v>4777</v>
      </c>
      <c r="B4777">
        <f>IF(INDEX('Data Entry'!$H$5:$BE$10004,4777-4,'Visual SPC'!$B$3)="",0,IF(AND(OR('Visual SPC'!$C$4="",'Data Entry'!$C4777&gt;='Visual SPC'!$C$4),OR('Visual SPC'!$E$4="",'Data Entry'!$C4777&lt;='Visual SPC'!$E$4),OR('Visual SPC'!$G$4="",'Data Entry'!$D4777='Visual SPC'!$G$4),OR('Visual SPC'!$I$4="",'Data Entry'!$E4777='Visual SPC'!$I$4),OR('Visual SPC'!$K$4="",'Data Entry'!$F4777='Visual SPC'!$K$4)),1,0))</f>
        <v/>
      </c>
      <c r="C4777">
        <f>C4776+B4777</f>
        <v/>
      </c>
      <c r="D4777">
        <f>IF(B4777=1,INDEX('Data Entry'!$H$5:$BE$10004,4777-4,'Visual SPC'!$B$3),"")</f>
        <v/>
      </c>
      <c r="E4777">
        <f>IF(B4777=1,D4777,E4776)</f>
        <v/>
      </c>
      <c r="F4777">
        <f>IF(AND(B4777=1,C4777&gt;1,E4776&lt;&gt;""),ABS(D4777-E4776),"")</f>
        <v/>
      </c>
    </row>
    <row r="4778">
      <c r="A4778" t="n">
        <v>4778</v>
      </c>
      <c r="B4778">
        <f>IF(INDEX('Data Entry'!$H$5:$BE$10004,4778-4,'Visual SPC'!$B$3)="",0,IF(AND(OR('Visual SPC'!$C$4="",'Data Entry'!$C4778&gt;='Visual SPC'!$C$4),OR('Visual SPC'!$E$4="",'Data Entry'!$C4778&lt;='Visual SPC'!$E$4),OR('Visual SPC'!$G$4="",'Data Entry'!$D4778='Visual SPC'!$G$4),OR('Visual SPC'!$I$4="",'Data Entry'!$E4778='Visual SPC'!$I$4),OR('Visual SPC'!$K$4="",'Data Entry'!$F4778='Visual SPC'!$K$4)),1,0))</f>
        <v/>
      </c>
      <c r="C4778">
        <f>C4777+B4778</f>
        <v/>
      </c>
      <c r="D4778">
        <f>IF(B4778=1,INDEX('Data Entry'!$H$5:$BE$10004,4778-4,'Visual SPC'!$B$3),"")</f>
        <v/>
      </c>
      <c r="E4778">
        <f>IF(B4778=1,D4778,E4777)</f>
        <v/>
      </c>
      <c r="F4778">
        <f>IF(AND(B4778=1,C4778&gt;1,E4777&lt;&gt;""),ABS(D4778-E4777),"")</f>
        <v/>
      </c>
    </row>
    <row r="4779">
      <c r="A4779" t="n">
        <v>4779</v>
      </c>
      <c r="B4779">
        <f>IF(INDEX('Data Entry'!$H$5:$BE$10004,4779-4,'Visual SPC'!$B$3)="",0,IF(AND(OR('Visual SPC'!$C$4="",'Data Entry'!$C4779&gt;='Visual SPC'!$C$4),OR('Visual SPC'!$E$4="",'Data Entry'!$C4779&lt;='Visual SPC'!$E$4),OR('Visual SPC'!$G$4="",'Data Entry'!$D4779='Visual SPC'!$G$4),OR('Visual SPC'!$I$4="",'Data Entry'!$E4779='Visual SPC'!$I$4),OR('Visual SPC'!$K$4="",'Data Entry'!$F4779='Visual SPC'!$K$4)),1,0))</f>
        <v/>
      </c>
      <c r="C4779">
        <f>C4778+B4779</f>
        <v/>
      </c>
      <c r="D4779">
        <f>IF(B4779=1,INDEX('Data Entry'!$H$5:$BE$10004,4779-4,'Visual SPC'!$B$3),"")</f>
        <v/>
      </c>
      <c r="E4779">
        <f>IF(B4779=1,D4779,E4778)</f>
        <v/>
      </c>
      <c r="F4779">
        <f>IF(AND(B4779=1,C4779&gt;1,E4778&lt;&gt;""),ABS(D4779-E4778),"")</f>
        <v/>
      </c>
    </row>
    <row r="4780">
      <c r="A4780" t="n">
        <v>4780</v>
      </c>
      <c r="B4780">
        <f>IF(INDEX('Data Entry'!$H$5:$BE$10004,4780-4,'Visual SPC'!$B$3)="",0,IF(AND(OR('Visual SPC'!$C$4="",'Data Entry'!$C4780&gt;='Visual SPC'!$C$4),OR('Visual SPC'!$E$4="",'Data Entry'!$C4780&lt;='Visual SPC'!$E$4),OR('Visual SPC'!$G$4="",'Data Entry'!$D4780='Visual SPC'!$G$4),OR('Visual SPC'!$I$4="",'Data Entry'!$E4780='Visual SPC'!$I$4),OR('Visual SPC'!$K$4="",'Data Entry'!$F4780='Visual SPC'!$K$4)),1,0))</f>
        <v/>
      </c>
      <c r="C4780">
        <f>C4779+B4780</f>
        <v/>
      </c>
      <c r="D4780">
        <f>IF(B4780=1,INDEX('Data Entry'!$H$5:$BE$10004,4780-4,'Visual SPC'!$B$3),"")</f>
        <v/>
      </c>
      <c r="E4780">
        <f>IF(B4780=1,D4780,E4779)</f>
        <v/>
      </c>
      <c r="F4780">
        <f>IF(AND(B4780=1,C4780&gt;1,E4779&lt;&gt;""),ABS(D4780-E4779),"")</f>
        <v/>
      </c>
    </row>
    <row r="4781">
      <c r="A4781" t="n">
        <v>4781</v>
      </c>
      <c r="B4781">
        <f>IF(INDEX('Data Entry'!$H$5:$BE$10004,4781-4,'Visual SPC'!$B$3)="",0,IF(AND(OR('Visual SPC'!$C$4="",'Data Entry'!$C4781&gt;='Visual SPC'!$C$4),OR('Visual SPC'!$E$4="",'Data Entry'!$C4781&lt;='Visual SPC'!$E$4),OR('Visual SPC'!$G$4="",'Data Entry'!$D4781='Visual SPC'!$G$4),OR('Visual SPC'!$I$4="",'Data Entry'!$E4781='Visual SPC'!$I$4),OR('Visual SPC'!$K$4="",'Data Entry'!$F4781='Visual SPC'!$K$4)),1,0))</f>
        <v/>
      </c>
      <c r="C4781">
        <f>C4780+B4781</f>
        <v/>
      </c>
      <c r="D4781">
        <f>IF(B4781=1,INDEX('Data Entry'!$H$5:$BE$10004,4781-4,'Visual SPC'!$B$3),"")</f>
        <v/>
      </c>
      <c r="E4781">
        <f>IF(B4781=1,D4781,E4780)</f>
        <v/>
      </c>
      <c r="F4781">
        <f>IF(AND(B4781=1,C4781&gt;1,E4780&lt;&gt;""),ABS(D4781-E4780),"")</f>
        <v/>
      </c>
    </row>
    <row r="4782">
      <c r="A4782" t="n">
        <v>4782</v>
      </c>
      <c r="B4782">
        <f>IF(INDEX('Data Entry'!$H$5:$BE$10004,4782-4,'Visual SPC'!$B$3)="",0,IF(AND(OR('Visual SPC'!$C$4="",'Data Entry'!$C4782&gt;='Visual SPC'!$C$4),OR('Visual SPC'!$E$4="",'Data Entry'!$C4782&lt;='Visual SPC'!$E$4),OR('Visual SPC'!$G$4="",'Data Entry'!$D4782='Visual SPC'!$G$4),OR('Visual SPC'!$I$4="",'Data Entry'!$E4782='Visual SPC'!$I$4),OR('Visual SPC'!$K$4="",'Data Entry'!$F4782='Visual SPC'!$K$4)),1,0))</f>
        <v/>
      </c>
      <c r="C4782">
        <f>C4781+B4782</f>
        <v/>
      </c>
      <c r="D4782">
        <f>IF(B4782=1,INDEX('Data Entry'!$H$5:$BE$10004,4782-4,'Visual SPC'!$B$3),"")</f>
        <v/>
      </c>
      <c r="E4782">
        <f>IF(B4782=1,D4782,E4781)</f>
        <v/>
      </c>
      <c r="F4782">
        <f>IF(AND(B4782=1,C4782&gt;1,E4781&lt;&gt;""),ABS(D4782-E4781),"")</f>
        <v/>
      </c>
    </row>
    <row r="4783">
      <c r="A4783" t="n">
        <v>4783</v>
      </c>
      <c r="B4783">
        <f>IF(INDEX('Data Entry'!$H$5:$BE$10004,4783-4,'Visual SPC'!$B$3)="",0,IF(AND(OR('Visual SPC'!$C$4="",'Data Entry'!$C4783&gt;='Visual SPC'!$C$4),OR('Visual SPC'!$E$4="",'Data Entry'!$C4783&lt;='Visual SPC'!$E$4),OR('Visual SPC'!$G$4="",'Data Entry'!$D4783='Visual SPC'!$G$4),OR('Visual SPC'!$I$4="",'Data Entry'!$E4783='Visual SPC'!$I$4),OR('Visual SPC'!$K$4="",'Data Entry'!$F4783='Visual SPC'!$K$4)),1,0))</f>
        <v/>
      </c>
      <c r="C4783">
        <f>C4782+B4783</f>
        <v/>
      </c>
      <c r="D4783">
        <f>IF(B4783=1,INDEX('Data Entry'!$H$5:$BE$10004,4783-4,'Visual SPC'!$B$3),"")</f>
        <v/>
      </c>
      <c r="E4783">
        <f>IF(B4783=1,D4783,E4782)</f>
        <v/>
      </c>
      <c r="F4783">
        <f>IF(AND(B4783=1,C4783&gt;1,E4782&lt;&gt;""),ABS(D4783-E4782),"")</f>
        <v/>
      </c>
    </row>
    <row r="4784">
      <c r="A4784" t="n">
        <v>4784</v>
      </c>
      <c r="B4784">
        <f>IF(INDEX('Data Entry'!$H$5:$BE$10004,4784-4,'Visual SPC'!$B$3)="",0,IF(AND(OR('Visual SPC'!$C$4="",'Data Entry'!$C4784&gt;='Visual SPC'!$C$4),OR('Visual SPC'!$E$4="",'Data Entry'!$C4784&lt;='Visual SPC'!$E$4),OR('Visual SPC'!$G$4="",'Data Entry'!$D4784='Visual SPC'!$G$4),OR('Visual SPC'!$I$4="",'Data Entry'!$E4784='Visual SPC'!$I$4),OR('Visual SPC'!$K$4="",'Data Entry'!$F4784='Visual SPC'!$K$4)),1,0))</f>
        <v/>
      </c>
      <c r="C4784">
        <f>C4783+B4784</f>
        <v/>
      </c>
      <c r="D4784">
        <f>IF(B4784=1,INDEX('Data Entry'!$H$5:$BE$10004,4784-4,'Visual SPC'!$B$3),"")</f>
        <v/>
      </c>
      <c r="E4784">
        <f>IF(B4784=1,D4784,E4783)</f>
        <v/>
      </c>
      <c r="F4784">
        <f>IF(AND(B4784=1,C4784&gt;1,E4783&lt;&gt;""),ABS(D4784-E4783),"")</f>
        <v/>
      </c>
    </row>
    <row r="4785">
      <c r="A4785" t="n">
        <v>4785</v>
      </c>
      <c r="B4785">
        <f>IF(INDEX('Data Entry'!$H$5:$BE$10004,4785-4,'Visual SPC'!$B$3)="",0,IF(AND(OR('Visual SPC'!$C$4="",'Data Entry'!$C4785&gt;='Visual SPC'!$C$4),OR('Visual SPC'!$E$4="",'Data Entry'!$C4785&lt;='Visual SPC'!$E$4),OR('Visual SPC'!$G$4="",'Data Entry'!$D4785='Visual SPC'!$G$4),OR('Visual SPC'!$I$4="",'Data Entry'!$E4785='Visual SPC'!$I$4),OR('Visual SPC'!$K$4="",'Data Entry'!$F4785='Visual SPC'!$K$4)),1,0))</f>
        <v/>
      </c>
      <c r="C4785">
        <f>C4784+B4785</f>
        <v/>
      </c>
      <c r="D4785">
        <f>IF(B4785=1,INDEX('Data Entry'!$H$5:$BE$10004,4785-4,'Visual SPC'!$B$3),"")</f>
        <v/>
      </c>
      <c r="E4785">
        <f>IF(B4785=1,D4785,E4784)</f>
        <v/>
      </c>
      <c r="F4785">
        <f>IF(AND(B4785=1,C4785&gt;1,E4784&lt;&gt;""),ABS(D4785-E4784),"")</f>
        <v/>
      </c>
    </row>
    <row r="4786">
      <c r="A4786" t="n">
        <v>4786</v>
      </c>
      <c r="B4786">
        <f>IF(INDEX('Data Entry'!$H$5:$BE$10004,4786-4,'Visual SPC'!$B$3)="",0,IF(AND(OR('Visual SPC'!$C$4="",'Data Entry'!$C4786&gt;='Visual SPC'!$C$4),OR('Visual SPC'!$E$4="",'Data Entry'!$C4786&lt;='Visual SPC'!$E$4),OR('Visual SPC'!$G$4="",'Data Entry'!$D4786='Visual SPC'!$G$4),OR('Visual SPC'!$I$4="",'Data Entry'!$E4786='Visual SPC'!$I$4),OR('Visual SPC'!$K$4="",'Data Entry'!$F4786='Visual SPC'!$K$4)),1,0))</f>
        <v/>
      </c>
      <c r="C4786">
        <f>C4785+B4786</f>
        <v/>
      </c>
      <c r="D4786">
        <f>IF(B4786=1,INDEX('Data Entry'!$H$5:$BE$10004,4786-4,'Visual SPC'!$B$3),"")</f>
        <v/>
      </c>
      <c r="E4786">
        <f>IF(B4786=1,D4786,E4785)</f>
        <v/>
      </c>
      <c r="F4786">
        <f>IF(AND(B4786=1,C4786&gt;1,E4785&lt;&gt;""),ABS(D4786-E4785),"")</f>
        <v/>
      </c>
    </row>
    <row r="4787">
      <c r="A4787" t="n">
        <v>4787</v>
      </c>
      <c r="B4787">
        <f>IF(INDEX('Data Entry'!$H$5:$BE$10004,4787-4,'Visual SPC'!$B$3)="",0,IF(AND(OR('Visual SPC'!$C$4="",'Data Entry'!$C4787&gt;='Visual SPC'!$C$4),OR('Visual SPC'!$E$4="",'Data Entry'!$C4787&lt;='Visual SPC'!$E$4),OR('Visual SPC'!$G$4="",'Data Entry'!$D4787='Visual SPC'!$G$4),OR('Visual SPC'!$I$4="",'Data Entry'!$E4787='Visual SPC'!$I$4),OR('Visual SPC'!$K$4="",'Data Entry'!$F4787='Visual SPC'!$K$4)),1,0))</f>
        <v/>
      </c>
      <c r="C4787">
        <f>C4786+B4787</f>
        <v/>
      </c>
      <c r="D4787">
        <f>IF(B4787=1,INDEX('Data Entry'!$H$5:$BE$10004,4787-4,'Visual SPC'!$B$3),"")</f>
        <v/>
      </c>
      <c r="E4787">
        <f>IF(B4787=1,D4787,E4786)</f>
        <v/>
      </c>
      <c r="F4787">
        <f>IF(AND(B4787=1,C4787&gt;1,E4786&lt;&gt;""),ABS(D4787-E4786),"")</f>
        <v/>
      </c>
    </row>
    <row r="4788">
      <c r="A4788" t="n">
        <v>4788</v>
      </c>
      <c r="B4788">
        <f>IF(INDEX('Data Entry'!$H$5:$BE$10004,4788-4,'Visual SPC'!$B$3)="",0,IF(AND(OR('Visual SPC'!$C$4="",'Data Entry'!$C4788&gt;='Visual SPC'!$C$4),OR('Visual SPC'!$E$4="",'Data Entry'!$C4788&lt;='Visual SPC'!$E$4),OR('Visual SPC'!$G$4="",'Data Entry'!$D4788='Visual SPC'!$G$4),OR('Visual SPC'!$I$4="",'Data Entry'!$E4788='Visual SPC'!$I$4),OR('Visual SPC'!$K$4="",'Data Entry'!$F4788='Visual SPC'!$K$4)),1,0))</f>
        <v/>
      </c>
      <c r="C4788">
        <f>C4787+B4788</f>
        <v/>
      </c>
      <c r="D4788">
        <f>IF(B4788=1,INDEX('Data Entry'!$H$5:$BE$10004,4788-4,'Visual SPC'!$B$3),"")</f>
        <v/>
      </c>
      <c r="E4788">
        <f>IF(B4788=1,D4788,E4787)</f>
        <v/>
      </c>
      <c r="F4788">
        <f>IF(AND(B4788=1,C4788&gt;1,E4787&lt;&gt;""),ABS(D4788-E4787),"")</f>
        <v/>
      </c>
    </row>
    <row r="4789">
      <c r="A4789" t="n">
        <v>4789</v>
      </c>
      <c r="B4789">
        <f>IF(INDEX('Data Entry'!$H$5:$BE$10004,4789-4,'Visual SPC'!$B$3)="",0,IF(AND(OR('Visual SPC'!$C$4="",'Data Entry'!$C4789&gt;='Visual SPC'!$C$4),OR('Visual SPC'!$E$4="",'Data Entry'!$C4789&lt;='Visual SPC'!$E$4),OR('Visual SPC'!$G$4="",'Data Entry'!$D4789='Visual SPC'!$G$4),OR('Visual SPC'!$I$4="",'Data Entry'!$E4789='Visual SPC'!$I$4),OR('Visual SPC'!$K$4="",'Data Entry'!$F4789='Visual SPC'!$K$4)),1,0))</f>
        <v/>
      </c>
      <c r="C4789">
        <f>C4788+B4789</f>
        <v/>
      </c>
      <c r="D4789">
        <f>IF(B4789=1,INDEX('Data Entry'!$H$5:$BE$10004,4789-4,'Visual SPC'!$B$3),"")</f>
        <v/>
      </c>
      <c r="E4789">
        <f>IF(B4789=1,D4789,E4788)</f>
        <v/>
      </c>
      <c r="F4789">
        <f>IF(AND(B4789=1,C4789&gt;1,E4788&lt;&gt;""),ABS(D4789-E4788),"")</f>
        <v/>
      </c>
    </row>
    <row r="4790">
      <c r="A4790" t="n">
        <v>4790</v>
      </c>
      <c r="B4790">
        <f>IF(INDEX('Data Entry'!$H$5:$BE$10004,4790-4,'Visual SPC'!$B$3)="",0,IF(AND(OR('Visual SPC'!$C$4="",'Data Entry'!$C4790&gt;='Visual SPC'!$C$4),OR('Visual SPC'!$E$4="",'Data Entry'!$C4790&lt;='Visual SPC'!$E$4),OR('Visual SPC'!$G$4="",'Data Entry'!$D4790='Visual SPC'!$G$4),OR('Visual SPC'!$I$4="",'Data Entry'!$E4790='Visual SPC'!$I$4),OR('Visual SPC'!$K$4="",'Data Entry'!$F4790='Visual SPC'!$K$4)),1,0))</f>
        <v/>
      </c>
      <c r="C4790">
        <f>C4789+B4790</f>
        <v/>
      </c>
      <c r="D4790">
        <f>IF(B4790=1,INDEX('Data Entry'!$H$5:$BE$10004,4790-4,'Visual SPC'!$B$3),"")</f>
        <v/>
      </c>
      <c r="E4790">
        <f>IF(B4790=1,D4790,E4789)</f>
        <v/>
      </c>
      <c r="F4790">
        <f>IF(AND(B4790=1,C4790&gt;1,E4789&lt;&gt;""),ABS(D4790-E4789),"")</f>
        <v/>
      </c>
    </row>
    <row r="4791">
      <c r="A4791" t="n">
        <v>4791</v>
      </c>
      <c r="B4791">
        <f>IF(INDEX('Data Entry'!$H$5:$BE$10004,4791-4,'Visual SPC'!$B$3)="",0,IF(AND(OR('Visual SPC'!$C$4="",'Data Entry'!$C4791&gt;='Visual SPC'!$C$4),OR('Visual SPC'!$E$4="",'Data Entry'!$C4791&lt;='Visual SPC'!$E$4),OR('Visual SPC'!$G$4="",'Data Entry'!$D4791='Visual SPC'!$G$4),OR('Visual SPC'!$I$4="",'Data Entry'!$E4791='Visual SPC'!$I$4),OR('Visual SPC'!$K$4="",'Data Entry'!$F4791='Visual SPC'!$K$4)),1,0))</f>
        <v/>
      </c>
      <c r="C4791">
        <f>C4790+B4791</f>
        <v/>
      </c>
      <c r="D4791">
        <f>IF(B4791=1,INDEX('Data Entry'!$H$5:$BE$10004,4791-4,'Visual SPC'!$B$3),"")</f>
        <v/>
      </c>
      <c r="E4791">
        <f>IF(B4791=1,D4791,E4790)</f>
        <v/>
      </c>
      <c r="F4791">
        <f>IF(AND(B4791=1,C4791&gt;1,E4790&lt;&gt;""),ABS(D4791-E4790),"")</f>
        <v/>
      </c>
    </row>
    <row r="4792">
      <c r="A4792" t="n">
        <v>4792</v>
      </c>
      <c r="B4792">
        <f>IF(INDEX('Data Entry'!$H$5:$BE$10004,4792-4,'Visual SPC'!$B$3)="",0,IF(AND(OR('Visual SPC'!$C$4="",'Data Entry'!$C4792&gt;='Visual SPC'!$C$4),OR('Visual SPC'!$E$4="",'Data Entry'!$C4792&lt;='Visual SPC'!$E$4),OR('Visual SPC'!$G$4="",'Data Entry'!$D4792='Visual SPC'!$G$4),OR('Visual SPC'!$I$4="",'Data Entry'!$E4792='Visual SPC'!$I$4),OR('Visual SPC'!$K$4="",'Data Entry'!$F4792='Visual SPC'!$K$4)),1,0))</f>
        <v/>
      </c>
      <c r="C4792">
        <f>C4791+B4792</f>
        <v/>
      </c>
      <c r="D4792">
        <f>IF(B4792=1,INDEX('Data Entry'!$H$5:$BE$10004,4792-4,'Visual SPC'!$B$3),"")</f>
        <v/>
      </c>
      <c r="E4792">
        <f>IF(B4792=1,D4792,E4791)</f>
        <v/>
      </c>
      <c r="F4792">
        <f>IF(AND(B4792=1,C4792&gt;1,E4791&lt;&gt;""),ABS(D4792-E4791),"")</f>
        <v/>
      </c>
    </row>
    <row r="4793">
      <c r="A4793" t="n">
        <v>4793</v>
      </c>
      <c r="B4793">
        <f>IF(INDEX('Data Entry'!$H$5:$BE$10004,4793-4,'Visual SPC'!$B$3)="",0,IF(AND(OR('Visual SPC'!$C$4="",'Data Entry'!$C4793&gt;='Visual SPC'!$C$4),OR('Visual SPC'!$E$4="",'Data Entry'!$C4793&lt;='Visual SPC'!$E$4),OR('Visual SPC'!$G$4="",'Data Entry'!$D4793='Visual SPC'!$G$4),OR('Visual SPC'!$I$4="",'Data Entry'!$E4793='Visual SPC'!$I$4),OR('Visual SPC'!$K$4="",'Data Entry'!$F4793='Visual SPC'!$K$4)),1,0))</f>
        <v/>
      </c>
      <c r="C4793">
        <f>C4792+B4793</f>
        <v/>
      </c>
      <c r="D4793">
        <f>IF(B4793=1,INDEX('Data Entry'!$H$5:$BE$10004,4793-4,'Visual SPC'!$B$3),"")</f>
        <v/>
      </c>
      <c r="E4793">
        <f>IF(B4793=1,D4793,E4792)</f>
        <v/>
      </c>
      <c r="F4793">
        <f>IF(AND(B4793=1,C4793&gt;1,E4792&lt;&gt;""),ABS(D4793-E4792),"")</f>
        <v/>
      </c>
    </row>
    <row r="4794">
      <c r="A4794" t="n">
        <v>4794</v>
      </c>
      <c r="B4794">
        <f>IF(INDEX('Data Entry'!$H$5:$BE$10004,4794-4,'Visual SPC'!$B$3)="",0,IF(AND(OR('Visual SPC'!$C$4="",'Data Entry'!$C4794&gt;='Visual SPC'!$C$4),OR('Visual SPC'!$E$4="",'Data Entry'!$C4794&lt;='Visual SPC'!$E$4),OR('Visual SPC'!$G$4="",'Data Entry'!$D4794='Visual SPC'!$G$4),OR('Visual SPC'!$I$4="",'Data Entry'!$E4794='Visual SPC'!$I$4),OR('Visual SPC'!$K$4="",'Data Entry'!$F4794='Visual SPC'!$K$4)),1,0))</f>
        <v/>
      </c>
      <c r="C4794">
        <f>C4793+B4794</f>
        <v/>
      </c>
      <c r="D4794">
        <f>IF(B4794=1,INDEX('Data Entry'!$H$5:$BE$10004,4794-4,'Visual SPC'!$B$3),"")</f>
        <v/>
      </c>
      <c r="E4794">
        <f>IF(B4794=1,D4794,E4793)</f>
        <v/>
      </c>
      <c r="F4794">
        <f>IF(AND(B4794=1,C4794&gt;1,E4793&lt;&gt;""),ABS(D4794-E4793),"")</f>
        <v/>
      </c>
    </row>
    <row r="4795">
      <c r="A4795" t="n">
        <v>4795</v>
      </c>
      <c r="B4795">
        <f>IF(INDEX('Data Entry'!$H$5:$BE$10004,4795-4,'Visual SPC'!$B$3)="",0,IF(AND(OR('Visual SPC'!$C$4="",'Data Entry'!$C4795&gt;='Visual SPC'!$C$4),OR('Visual SPC'!$E$4="",'Data Entry'!$C4795&lt;='Visual SPC'!$E$4),OR('Visual SPC'!$G$4="",'Data Entry'!$D4795='Visual SPC'!$G$4),OR('Visual SPC'!$I$4="",'Data Entry'!$E4795='Visual SPC'!$I$4),OR('Visual SPC'!$K$4="",'Data Entry'!$F4795='Visual SPC'!$K$4)),1,0))</f>
        <v/>
      </c>
      <c r="C4795">
        <f>C4794+B4795</f>
        <v/>
      </c>
      <c r="D4795">
        <f>IF(B4795=1,INDEX('Data Entry'!$H$5:$BE$10004,4795-4,'Visual SPC'!$B$3),"")</f>
        <v/>
      </c>
      <c r="E4795">
        <f>IF(B4795=1,D4795,E4794)</f>
        <v/>
      </c>
      <c r="F4795">
        <f>IF(AND(B4795=1,C4795&gt;1,E4794&lt;&gt;""),ABS(D4795-E4794),"")</f>
        <v/>
      </c>
    </row>
    <row r="4796">
      <c r="A4796" t="n">
        <v>4796</v>
      </c>
      <c r="B4796">
        <f>IF(INDEX('Data Entry'!$H$5:$BE$10004,4796-4,'Visual SPC'!$B$3)="",0,IF(AND(OR('Visual SPC'!$C$4="",'Data Entry'!$C4796&gt;='Visual SPC'!$C$4),OR('Visual SPC'!$E$4="",'Data Entry'!$C4796&lt;='Visual SPC'!$E$4),OR('Visual SPC'!$G$4="",'Data Entry'!$D4796='Visual SPC'!$G$4),OR('Visual SPC'!$I$4="",'Data Entry'!$E4796='Visual SPC'!$I$4),OR('Visual SPC'!$K$4="",'Data Entry'!$F4796='Visual SPC'!$K$4)),1,0))</f>
        <v/>
      </c>
      <c r="C4796">
        <f>C4795+B4796</f>
        <v/>
      </c>
      <c r="D4796">
        <f>IF(B4796=1,INDEX('Data Entry'!$H$5:$BE$10004,4796-4,'Visual SPC'!$B$3),"")</f>
        <v/>
      </c>
      <c r="E4796">
        <f>IF(B4796=1,D4796,E4795)</f>
        <v/>
      </c>
      <c r="F4796">
        <f>IF(AND(B4796=1,C4796&gt;1,E4795&lt;&gt;""),ABS(D4796-E4795),"")</f>
        <v/>
      </c>
    </row>
    <row r="4797">
      <c r="A4797" t="n">
        <v>4797</v>
      </c>
      <c r="B4797">
        <f>IF(INDEX('Data Entry'!$H$5:$BE$10004,4797-4,'Visual SPC'!$B$3)="",0,IF(AND(OR('Visual SPC'!$C$4="",'Data Entry'!$C4797&gt;='Visual SPC'!$C$4),OR('Visual SPC'!$E$4="",'Data Entry'!$C4797&lt;='Visual SPC'!$E$4),OR('Visual SPC'!$G$4="",'Data Entry'!$D4797='Visual SPC'!$G$4),OR('Visual SPC'!$I$4="",'Data Entry'!$E4797='Visual SPC'!$I$4),OR('Visual SPC'!$K$4="",'Data Entry'!$F4797='Visual SPC'!$K$4)),1,0))</f>
        <v/>
      </c>
      <c r="C4797">
        <f>C4796+B4797</f>
        <v/>
      </c>
      <c r="D4797">
        <f>IF(B4797=1,INDEX('Data Entry'!$H$5:$BE$10004,4797-4,'Visual SPC'!$B$3),"")</f>
        <v/>
      </c>
      <c r="E4797">
        <f>IF(B4797=1,D4797,E4796)</f>
        <v/>
      </c>
      <c r="F4797">
        <f>IF(AND(B4797=1,C4797&gt;1,E4796&lt;&gt;""),ABS(D4797-E4796),"")</f>
        <v/>
      </c>
    </row>
    <row r="4798">
      <c r="A4798" t="n">
        <v>4798</v>
      </c>
      <c r="B4798">
        <f>IF(INDEX('Data Entry'!$H$5:$BE$10004,4798-4,'Visual SPC'!$B$3)="",0,IF(AND(OR('Visual SPC'!$C$4="",'Data Entry'!$C4798&gt;='Visual SPC'!$C$4),OR('Visual SPC'!$E$4="",'Data Entry'!$C4798&lt;='Visual SPC'!$E$4),OR('Visual SPC'!$G$4="",'Data Entry'!$D4798='Visual SPC'!$G$4),OR('Visual SPC'!$I$4="",'Data Entry'!$E4798='Visual SPC'!$I$4),OR('Visual SPC'!$K$4="",'Data Entry'!$F4798='Visual SPC'!$K$4)),1,0))</f>
        <v/>
      </c>
      <c r="C4798">
        <f>C4797+B4798</f>
        <v/>
      </c>
      <c r="D4798">
        <f>IF(B4798=1,INDEX('Data Entry'!$H$5:$BE$10004,4798-4,'Visual SPC'!$B$3),"")</f>
        <v/>
      </c>
      <c r="E4798">
        <f>IF(B4798=1,D4798,E4797)</f>
        <v/>
      </c>
      <c r="F4798">
        <f>IF(AND(B4798=1,C4798&gt;1,E4797&lt;&gt;""),ABS(D4798-E4797),"")</f>
        <v/>
      </c>
    </row>
    <row r="4799">
      <c r="A4799" t="n">
        <v>4799</v>
      </c>
      <c r="B4799">
        <f>IF(INDEX('Data Entry'!$H$5:$BE$10004,4799-4,'Visual SPC'!$B$3)="",0,IF(AND(OR('Visual SPC'!$C$4="",'Data Entry'!$C4799&gt;='Visual SPC'!$C$4),OR('Visual SPC'!$E$4="",'Data Entry'!$C4799&lt;='Visual SPC'!$E$4),OR('Visual SPC'!$G$4="",'Data Entry'!$D4799='Visual SPC'!$G$4),OR('Visual SPC'!$I$4="",'Data Entry'!$E4799='Visual SPC'!$I$4),OR('Visual SPC'!$K$4="",'Data Entry'!$F4799='Visual SPC'!$K$4)),1,0))</f>
        <v/>
      </c>
      <c r="C4799">
        <f>C4798+B4799</f>
        <v/>
      </c>
      <c r="D4799">
        <f>IF(B4799=1,INDEX('Data Entry'!$H$5:$BE$10004,4799-4,'Visual SPC'!$B$3),"")</f>
        <v/>
      </c>
      <c r="E4799">
        <f>IF(B4799=1,D4799,E4798)</f>
        <v/>
      </c>
      <c r="F4799">
        <f>IF(AND(B4799=1,C4799&gt;1,E4798&lt;&gt;""),ABS(D4799-E4798),"")</f>
        <v/>
      </c>
    </row>
    <row r="4800">
      <c r="A4800" t="n">
        <v>4800</v>
      </c>
      <c r="B4800">
        <f>IF(INDEX('Data Entry'!$H$5:$BE$10004,4800-4,'Visual SPC'!$B$3)="",0,IF(AND(OR('Visual SPC'!$C$4="",'Data Entry'!$C4800&gt;='Visual SPC'!$C$4),OR('Visual SPC'!$E$4="",'Data Entry'!$C4800&lt;='Visual SPC'!$E$4),OR('Visual SPC'!$G$4="",'Data Entry'!$D4800='Visual SPC'!$G$4),OR('Visual SPC'!$I$4="",'Data Entry'!$E4800='Visual SPC'!$I$4),OR('Visual SPC'!$K$4="",'Data Entry'!$F4800='Visual SPC'!$K$4)),1,0))</f>
        <v/>
      </c>
      <c r="C4800">
        <f>C4799+B4800</f>
        <v/>
      </c>
      <c r="D4800">
        <f>IF(B4800=1,INDEX('Data Entry'!$H$5:$BE$10004,4800-4,'Visual SPC'!$B$3),"")</f>
        <v/>
      </c>
      <c r="E4800">
        <f>IF(B4800=1,D4800,E4799)</f>
        <v/>
      </c>
      <c r="F4800">
        <f>IF(AND(B4800=1,C4800&gt;1,E4799&lt;&gt;""),ABS(D4800-E4799),"")</f>
        <v/>
      </c>
    </row>
    <row r="4801">
      <c r="A4801" t="n">
        <v>4801</v>
      </c>
      <c r="B4801">
        <f>IF(INDEX('Data Entry'!$H$5:$BE$10004,4801-4,'Visual SPC'!$B$3)="",0,IF(AND(OR('Visual SPC'!$C$4="",'Data Entry'!$C4801&gt;='Visual SPC'!$C$4),OR('Visual SPC'!$E$4="",'Data Entry'!$C4801&lt;='Visual SPC'!$E$4),OR('Visual SPC'!$G$4="",'Data Entry'!$D4801='Visual SPC'!$G$4),OR('Visual SPC'!$I$4="",'Data Entry'!$E4801='Visual SPC'!$I$4),OR('Visual SPC'!$K$4="",'Data Entry'!$F4801='Visual SPC'!$K$4)),1,0))</f>
        <v/>
      </c>
      <c r="C4801">
        <f>C4800+B4801</f>
        <v/>
      </c>
      <c r="D4801">
        <f>IF(B4801=1,INDEX('Data Entry'!$H$5:$BE$10004,4801-4,'Visual SPC'!$B$3),"")</f>
        <v/>
      </c>
      <c r="E4801">
        <f>IF(B4801=1,D4801,E4800)</f>
        <v/>
      </c>
      <c r="F4801">
        <f>IF(AND(B4801=1,C4801&gt;1,E4800&lt;&gt;""),ABS(D4801-E4800),"")</f>
        <v/>
      </c>
    </row>
    <row r="4802">
      <c r="A4802" t="n">
        <v>4802</v>
      </c>
      <c r="B4802">
        <f>IF(INDEX('Data Entry'!$H$5:$BE$10004,4802-4,'Visual SPC'!$B$3)="",0,IF(AND(OR('Visual SPC'!$C$4="",'Data Entry'!$C4802&gt;='Visual SPC'!$C$4),OR('Visual SPC'!$E$4="",'Data Entry'!$C4802&lt;='Visual SPC'!$E$4),OR('Visual SPC'!$G$4="",'Data Entry'!$D4802='Visual SPC'!$G$4),OR('Visual SPC'!$I$4="",'Data Entry'!$E4802='Visual SPC'!$I$4),OR('Visual SPC'!$K$4="",'Data Entry'!$F4802='Visual SPC'!$K$4)),1,0))</f>
        <v/>
      </c>
      <c r="C4802">
        <f>C4801+B4802</f>
        <v/>
      </c>
      <c r="D4802">
        <f>IF(B4802=1,INDEX('Data Entry'!$H$5:$BE$10004,4802-4,'Visual SPC'!$B$3),"")</f>
        <v/>
      </c>
      <c r="E4802">
        <f>IF(B4802=1,D4802,E4801)</f>
        <v/>
      </c>
      <c r="F4802">
        <f>IF(AND(B4802=1,C4802&gt;1,E4801&lt;&gt;""),ABS(D4802-E4801),"")</f>
        <v/>
      </c>
    </row>
    <row r="4803">
      <c r="A4803" t="n">
        <v>4803</v>
      </c>
      <c r="B4803">
        <f>IF(INDEX('Data Entry'!$H$5:$BE$10004,4803-4,'Visual SPC'!$B$3)="",0,IF(AND(OR('Visual SPC'!$C$4="",'Data Entry'!$C4803&gt;='Visual SPC'!$C$4),OR('Visual SPC'!$E$4="",'Data Entry'!$C4803&lt;='Visual SPC'!$E$4),OR('Visual SPC'!$G$4="",'Data Entry'!$D4803='Visual SPC'!$G$4),OR('Visual SPC'!$I$4="",'Data Entry'!$E4803='Visual SPC'!$I$4),OR('Visual SPC'!$K$4="",'Data Entry'!$F4803='Visual SPC'!$K$4)),1,0))</f>
        <v/>
      </c>
      <c r="C4803">
        <f>C4802+B4803</f>
        <v/>
      </c>
      <c r="D4803">
        <f>IF(B4803=1,INDEX('Data Entry'!$H$5:$BE$10004,4803-4,'Visual SPC'!$B$3),"")</f>
        <v/>
      </c>
      <c r="E4803">
        <f>IF(B4803=1,D4803,E4802)</f>
        <v/>
      </c>
      <c r="F4803">
        <f>IF(AND(B4803=1,C4803&gt;1,E4802&lt;&gt;""),ABS(D4803-E4802),"")</f>
        <v/>
      </c>
    </row>
    <row r="4804">
      <c r="A4804" t="n">
        <v>4804</v>
      </c>
      <c r="B4804">
        <f>IF(INDEX('Data Entry'!$H$5:$BE$10004,4804-4,'Visual SPC'!$B$3)="",0,IF(AND(OR('Visual SPC'!$C$4="",'Data Entry'!$C4804&gt;='Visual SPC'!$C$4),OR('Visual SPC'!$E$4="",'Data Entry'!$C4804&lt;='Visual SPC'!$E$4),OR('Visual SPC'!$G$4="",'Data Entry'!$D4804='Visual SPC'!$G$4),OR('Visual SPC'!$I$4="",'Data Entry'!$E4804='Visual SPC'!$I$4),OR('Visual SPC'!$K$4="",'Data Entry'!$F4804='Visual SPC'!$K$4)),1,0))</f>
        <v/>
      </c>
      <c r="C4804">
        <f>C4803+B4804</f>
        <v/>
      </c>
      <c r="D4804">
        <f>IF(B4804=1,INDEX('Data Entry'!$H$5:$BE$10004,4804-4,'Visual SPC'!$B$3),"")</f>
        <v/>
      </c>
      <c r="E4804">
        <f>IF(B4804=1,D4804,E4803)</f>
        <v/>
      </c>
      <c r="F4804">
        <f>IF(AND(B4804=1,C4804&gt;1,E4803&lt;&gt;""),ABS(D4804-E4803),"")</f>
        <v/>
      </c>
    </row>
    <row r="4805">
      <c r="A4805" t="n">
        <v>4805</v>
      </c>
      <c r="B4805">
        <f>IF(INDEX('Data Entry'!$H$5:$BE$10004,4805-4,'Visual SPC'!$B$3)="",0,IF(AND(OR('Visual SPC'!$C$4="",'Data Entry'!$C4805&gt;='Visual SPC'!$C$4),OR('Visual SPC'!$E$4="",'Data Entry'!$C4805&lt;='Visual SPC'!$E$4),OR('Visual SPC'!$G$4="",'Data Entry'!$D4805='Visual SPC'!$G$4),OR('Visual SPC'!$I$4="",'Data Entry'!$E4805='Visual SPC'!$I$4),OR('Visual SPC'!$K$4="",'Data Entry'!$F4805='Visual SPC'!$K$4)),1,0))</f>
        <v/>
      </c>
      <c r="C4805">
        <f>C4804+B4805</f>
        <v/>
      </c>
      <c r="D4805">
        <f>IF(B4805=1,INDEX('Data Entry'!$H$5:$BE$10004,4805-4,'Visual SPC'!$B$3),"")</f>
        <v/>
      </c>
      <c r="E4805">
        <f>IF(B4805=1,D4805,E4804)</f>
        <v/>
      </c>
      <c r="F4805">
        <f>IF(AND(B4805=1,C4805&gt;1,E4804&lt;&gt;""),ABS(D4805-E4804),"")</f>
        <v/>
      </c>
    </row>
    <row r="4806">
      <c r="A4806" t="n">
        <v>4806</v>
      </c>
      <c r="B4806">
        <f>IF(INDEX('Data Entry'!$H$5:$BE$10004,4806-4,'Visual SPC'!$B$3)="",0,IF(AND(OR('Visual SPC'!$C$4="",'Data Entry'!$C4806&gt;='Visual SPC'!$C$4),OR('Visual SPC'!$E$4="",'Data Entry'!$C4806&lt;='Visual SPC'!$E$4),OR('Visual SPC'!$G$4="",'Data Entry'!$D4806='Visual SPC'!$G$4),OR('Visual SPC'!$I$4="",'Data Entry'!$E4806='Visual SPC'!$I$4),OR('Visual SPC'!$K$4="",'Data Entry'!$F4806='Visual SPC'!$K$4)),1,0))</f>
        <v/>
      </c>
      <c r="C4806">
        <f>C4805+B4806</f>
        <v/>
      </c>
      <c r="D4806">
        <f>IF(B4806=1,INDEX('Data Entry'!$H$5:$BE$10004,4806-4,'Visual SPC'!$B$3),"")</f>
        <v/>
      </c>
      <c r="E4806">
        <f>IF(B4806=1,D4806,E4805)</f>
        <v/>
      </c>
      <c r="F4806">
        <f>IF(AND(B4806=1,C4806&gt;1,E4805&lt;&gt;""),ABS(D4806-E4805),"")</f>
        <v/>
      </c>
    </row>
    <row r="4807">
      <c r="A4807" t="n">
        <v>4807</v>
      </c>
      <c r="B4807">
        <f>IF(INDEX('Data Entry'!$H$5:$BE$10004,4807-4,'Visual SPC'!$B$3)="",0,IF(AND(OR('Visual SPC'!$C$4="",'Data Entry'!$C4807&gt;='Visual SPC'!$C$4),OR('Visual SPC'!$E$4="",'Data Entry'!$C4807&lt;='Visual SPC'!$E$4),OR('Visual SPC'!$G$4="",'Data Entry'!$D4807='Visual SPC'!$G$4),OR('Visual SPC'!$I$4="",'Data Entry'!$E4807='Visual SPC'!$I$4),OR('Visual SPC'!$K$4="",'Data Entry'!$F4807='Visual SPC'!$K$4)),1,0))</f>
        <v/>
      </c>
      <c r="C4807">
        <f>C4806+B4807</f>
        <v/>
      </c>
      <c r="D4807">
        <f>IF(B4807=1,INDEX('Data Entry'!$H$5:$BE$10004,4807-4,'Visual SPC'!$B$3),"")</f>
        <v/>
      </c>
      <c r="E4807">
        <f>IF(B4807=1,D4807,E4806)</f>
        <v/>
      </c>
      <c r="F4807">
        <f>IF(AND(B4807=1,C4807&gt;1,E4806&lt;&gt;""),ABS(D4807-E4806),"")</f>
        <v/>
      </c>
    </row>
    <row r="4808">
      <c r="A4808" t="n">
        <v>4808</v>
      </c>
      <c r="B4808">
        <f>IF(INDEX('Data Entry'!$H$5:$BE$10004,4808-4,'Visual SPC'!$B$3)="",0,IF(AND(OR('Visual SPC'!$C$4="",'Data Entry'!$C4808&gt;='Visual SPC'!$C$4),OR('Visual SPC'!$E$4="",'Data Entry'!$C4808&lt;='Visual SPC'!$E$4),OR('Visual SPC'!$G$4="",'Data Entry'!$D4808='Visual SPC'!$G$4),OR('Visual SPC'!$I$4="",'Data Entry'!$E4808='Visual SPC'!$I$4),OR('Visual SPC'!$K$4="",'Data Entry'!$F4808='Visual SPC'!$K$4)),1,0))</f>
        <v/>
      </c>
      <c r="C4808">
        <f>C4807+B4808</f>
        <v/>
      </c>
      <c r="D4808">
        <f>IF(B4808=1,INDEX('Data Entry'!$H$5:$BE$10004,4808-4,'Visual SPC'!$B$3),"")</f>
        <v/>
      </c>
      <c r="E4808">
        <f>IF(B4808=1,D4808,E4807)</f>
        <v/>
      </c>
      <c r="F4808">
        <f>IF(AND(B4808=1,C4808&gt;1,E4807&lt;&gt;""),ABS(D4808-E4807),"")</f>
        <v/>
      </c>
    </row>
    <row r="4809">
      <c r="A4809" t="n">
        <v>4809</v>
      </c>
      <c r="B4809">
        <f>IF(INDEX('Data Entry'!$H$5:$BE$10004,4809-4,'Visual SPC'!$B$3)="",0,IF(AND(OR('Visual SPC'!$C$4="",'Data Entry'!$C4809&gt;='Visual SPC'!$C$4),OR('Visual SPC'!$E$4="",'Data Entry'!$C4809&lt;='Visual SPC'!$E$4),OR('Visual SPC'!$G$4="",'Data Entry'!$D4809='Visual SPC'!$G$4),OR('Visual SPC'!$I$4="",'Data Entry'!$E4809='Visual SPC'!$I$4),OR('Visual SPC'!$K$4="",'Data Entry'!$F4809='Visual SPC'!$K$4)),1,0))</f>
        <v/>
      </c>
      <c r="C4809">
        <f>C4808+B4809</f>
        <v/>
      </c>
      <c r="D4809">
        <f>IF(B4809=1,INDEX('Data Entry'!$H$5:$BE$10004,4809-4,'Visual SPC'!$B$3),"")</f>
        <v/>
      </c>
      <c r="E4809">
        <f>IF(B4809=1,D4809,E4808)</f>
        <v/>
      </c>
      <c r="F4809">
        <f>IF(AND(B4809=1,C4809&gt;1,E4808&lt;&gt;""),ABS(D4809-E4808),"")</f>
        <v/>
      </c>
    </row>
    <row r="4810">
      <c r="A4810" t="n">
        <v>4810</v>
      </c>
      <c r="B4810">
        <f>IF(INDEX('Data Entry'!$H$5:$BE$10004,4810-4,'Visual SPC'!$B$3)="",0,IF(AND(OR('Visual SPC'!$C$4="",'Data Entry'!$C4810&gt;='Visual SPC'!$C$4),OR('Visual SPC'!$E$4="",'Data Entry'!$C4810&lt;='Visual SPC'!$E$4),OR('Visual SPC'!$G$4="",'Data Entry'!$D4810='Visual SPC'!$G$4),OR('Visual SPC'!$I$4="",'Data Entry'!$E4810='Visual SPC'!$I$4),OR('Visual SPC'!$K$4="",'Data Entry'!$F4810='Visual SPC'!$K$4)),1,0))</f>
        <v/>
      </c>
      <c r="C4810">
        <f>C4809+B4810</f>
        <v/>
      </c>
      <c r="D4810">
        <f>IF(B4810=1,INDEX('Data Entry'!$H$5:$BE$10004,4810-4,'Visual SPC'!$B$3),"")</f>
        <v/>
      </c>
      <c r="E4810">
        <f>IF(B4810=1,D4810,E4809)</f>
        <v/>
      </c>
      <c r="F4810">
        <f>IF(AND(B4810=1,C4810&gt;1,E4809&lt;&gt;""),ABS(D4810-E4809),"")</f>
        <v/>
      </c>
    </row>
    <row r="4811">
      <c r="A4811" t="n">
        <v>4811</v>
      </c>
      <c r="B4811">
        <f>IF(INDEX('Data Entry'!$H$5:$BE$10004,4811-4,'Visual SPC'!$B$3)="",0,IF(AND(OR('Visual SPC'!$C$4="",'Data Entry'!$C4811&gt;='Visual SPC'!$C$4),OR('Visual SPC'!$E$4="",'Data Entry'!$C4811&lt;='Visual SPC'!$E$4),OR('Visual SPC'!$G$4="",'Data Entry'!$D4811='Visual SPC'!$G$4),OR('Visual SPC'!$I$4="",'Data Entry'!$E4811='Visual SPC'!$I$4),OR('Visual SPC'!$K$4="",'Data Entry'!$F4811='Visual SPC'!$K$4)),1,0))</f>
        <v/>
      </c>
      <c r="C4811">
        <f>C4810+B4811</f>
        <v/>
      </c>
      <c r="D4811">
        <f>IF(B4811=1,INDEX('Data Entry'!$H$5:$BE$10004,4811-4,'Visual SPC'!$B$3),"")</f>
        <v/>
      </c>
      <c r="E4811">
        <f>IF(B4811=1,D4811,E4810)</f>
        <v/>
      </c>
      <c r="F4811">
        <f>IF(AND(B4811=1,C4811&gt;1,E4810&lt;&gt;""),ABS(D4811-E4810),"")</f>
        <v/>
      </c>
    </row>
    <row r="4812">
      <c r="A4812" t="n">
        <v>4812</v>
      </c>
      <c r="B4812">
        <f>IF(INDEX('Data Entry'!$H$5:$BE$10004,4812-4,'Visual SPC'!$B$3)="",0,IF(AND(OR('Visual SPC'!$C$4="",'Data Entry'!$C4812&gt;='Visual SPC'!$C$4),OR('Visual SPC'!$E$4="",'Data Entry'!$C4812&lt;='Visual SPC'!$E$4),OR('Visual SPC'!$G$4="",'Data Entry'!$D4812='Visual SPC'!$G$4),OR('Visual SPC'!$I$4="",'Data Entry'!$E4812='Visual SPC'!$I$4),OR('Visual SPC'!$K$4="",'Data Entry'!$F4812='Visual SPC'!$K$4)),1,0))</f>
        <v/>
      </c>
      <c r="C4812">
        <f>C4811+B4812</f>
        <v/>
      </c>
      <c r="D4812">
        <f>IF(B4812=1,INDEX('Data Entry'!$H$5:$BE$10004,4812-4,'Visual SPC'!$B$3),"")</f>
        <v/>
      </c>
      <c r="E4812">
        <f>IF(B4812=1,D4812,E4811)</f>
        <v/>
      </c>
      <c r="F4812">
        <f>IF(AND(B4812=1,C4812&gt;1,E4811&lt;&gt;""),ABS(D4812-E4811),"")</f>
        <v/>
      </c>
    </row>
    <row r="4813">
      <c r="A4813" t="n">
        <v>4813</v>
      </c>
      <c r="B4813">
        <f>IF(INDEX('Data Entry'!$H$5:$BE$10004,4813-4,'Visual SPC'!$B$3)="",0,IF(AND(OR('Visual SPC'!$C$4="",'Data Entry'!$C4813&gt;='Visual SPC'!$C$4),OR('Visual SPC'!$E$4="",'Data Entry'!$C4813&lt;='Visual SPC'!$E$4),OR('Visual SPC'!$G$4="",'Data Entry'!$D4813='Visual SPC'!$G$4),OR('Visual SPC'!$I$4="",'Data Entry'!$E4813='Visual SPC'!$I$4),OR('Visual SPC'!$K$4="",'Data Entry'!$F4813='Visual SPC'!$K$4)),1,0))</f>
        <v/>
      </c>
      <c r="C4813">
        <f>C4812+B4813</f>
        <v/>
      </c>
      <c r="D4813">
        <f>IF(B4813=1,INDEX('Data Entry'!$H$5:$BE$10004,4813-4,'Visual SPC'!$B$3),"")</f>
        <v/>
      </c>
      <c r="E4813">
        <f>IF(B4813=1,D4813,E4812)</f>
        <v/>
      </c>
      <c r="F4813">
        <f>IF(AND(B4813=1,C4813&gt;1,E4812&lt;&gt;""),ABS(D4813-E4812),"")</f>
        <v/>
      </c>
    </row>
    <row r="4814">
      <c r="A4814" t="n">
        <v>4814</v>
      </c>
      <c r="B4814">
        <f>IF(INDEX('Data Entry'!$H$5:$BE$10004,4814-4,'Visual SPC'!$B$3)="",0,IF(AND(OR('Visual SPC'!$C$4="",'Data Entry'!$C4814&gt;='Visual SPC'!$C$4),OR('Visual SPC'!$E$4="",'Data Entry'!$C4814&lt;='Visual SPC'!$E$4),OR('Visual SPC'!$G$4="",'Data Entry'!$D4814='Visual SPC'!$G$4),OR('Visual SPC'!$I$4="",'Data Entry'!$E4814='Visual SPC'!$I$4),OR('Visual SPC'!$K$4="",'Data Entry'!$F4814='Visual SPC'!$K$4)),1,0))</f>
        <v/>
      </c>
      <c r="C4814">
        <f>C4813+B4814</f>
        <v/>
      </c>
      <c r="D4814">
        <f>IF(B4814=1,INDEX('Data Entry'!$H$5:$BE$10004,4814-4,'Visual SPC'!$B$3),"")</f>
        <v/>
      </c>
      <c r="E4814">
        <f>IF(B4814=1,D4814,E4813)</f>
        <v/>
      </c>
      <c r="F4814">
        <f>IF(AND(B4814=1,C4814&gt;1,E4813&lt;&gt;""),ABS(D4814-E4813),"")</f>
        <v/>
      </c>
    </row>
    <row r="4815">
      <c r="A4815" t="n">
        <v>4815</v>
      </c>
      <c r="B4815">
        <f>IF(INDEX('Data Entry'!$H$5:$BE$10004,4815-4,'Visual SPC'!$B$3)="",0,IF(AND(OR('Visual SPC'!$C$4="",'Data Entry'!$C4815&gt;='Visual SPC'!$C$4),OR('Visual SPC'!$E$4="",'Data Entry'!$C4815&lt;='Visual SPC'!$E$4),OR('Visual SPC'!$G$4="",'Data Entry'!$D4815='Visual SPC'!$G$4),OR('Visual SPC'!$I$4="",'Data Entry'!$E4815='Visual SPC'!$I$4),OR('Visual SPC'!$K$4="",'Data Entry'!$F4815='Visual SPC'!$K$4)),1,0))</f>
        <v/>
      </c>
      <c r="C4815">
        <f>C4814+B4815</f>
        <v/>
      </c>
      <c r="D4815">
        <f>IF(B4815=1,INDEX('Data Entry'!$H$5:$BE$10004,4815-4,'Visual SPC'!$B$3),"")</f>
        <v/>
      </c>
      <c r="E4815">
        <f>IF(B4815=1,D4815,E4814)</f>
        <v/>
      </c>
      <c r="F4815">
        <f>IF(AND(B4815=1,C4815&gt;1,E4814&lt;&gt;""),ABS(D4815-E4814),"")</f>
        <v/>
      </c>
    </row>
    <row r="4816">
      <c r="A4816" t="n">
        <v>4816</v>
      </c>
      <c r="B4816">
        <f>IF(INDEX('Data Entry'!$H$5:$BE$10004,4816-4,'Visual SPC'!$B$3)="",0,IF(AND(OR('Visual SPC'!$C$4="",'Data Entry'!$C4816&gt;='Visual SPC'!$C$4),OR('Visual SPC'!$E$4="",'Data Entry'!$C4816&lt;='Visual SPC'!$E$4),OR('Visual SPC'!$G$4="",'Data Entry'!$D4816='Visual SPC'!$G$4),OR('Visual SPC'!$I$4="",'Data Entry'!$E4816='Visual SPC'!$I$4),OR('Visual SPC'!$K$4="",'Data Entry'!$F4816='Visual SPC'!$K$4)),1,0))</f>
        <v/>
      </c>
      <c r="C4816">
        <f>C4815+B4816</f>
        <v/>
      </c>
      <c r="D4816">
        <f>IF(B4816=1,INDEX('Data Entry'!$H$5:$BE$10004,4816-4,'Visual SPC'!$B$3),"")</f>
        <v/>
      </c>
      <c r="E4816">
        <f>IF(B4816=1,D4816,E4815)</f>
        <v/>
      </c>
      <c r="F4816">
        <f>IF(AND(B4816=1,C4816&gt;1,E4815&lt;&gt;""),ABS(D4816-E4815),"")</f>
        <v/>
      </c>
    </row>
    <row r="4817">
      <c r="A4817" t="n">
        <v>4817</v>
      </c>
      <c r="B4817">
        <f>IF(INDEX('Data Entry'!$H$5:$BE$10004,4817-4,'Visual SPC'!$B$3)="",0,IF(AND(OR('Visual SPC'!$C$4="",'Data Entry'!$C4817&gt;='Visual SPC'!$C$4),OR('Visual SPC'!$E$4="",'Data Entry'!$C4817&lt;='Visual SPC'!$E$4),OR('Visual SPC'!$G$4="",'Data Entry'!$D4817='Visual SPC'!$G$4),OR('Visual SPC'!$I$4="",'Data Entry'!$E4817='Visual SPC'!$I$4),OR('Visual SPC'!$K$4="",'Data Entry'!$F4817='Visual SPC'!$K$4)),1,0))</f>
        <v/>
      </c>
      <c r="C4817">
        <f>C4816+B4817</f>
        <v/>
      </c>
      <c r="D4817">
        <f>IF(B4817=1,INDEX('Data Entry'!$H$5:$BE$10004,4817-4,'Visual SPC'!$B$3),"")</f>
        <v/>
      </c>
      <c r="E4817">
        <f>IF(B4817=1,D4817,E4816)</f>
        <v/>
      </c>
      <c r="F4817">
        <f>IF(AND(B4817=1,C4817&gt;1,E4816&lt;&gt;""),ABS(D4817-E4816),"")</f>
        <v/>
      </c>
    </row>
    <row r="4818">
      <c r="A4818" t="n">
        <v>4818</v>
      </c>
      <c r="B4818">
        <f>IF(INDEX('Data Entry'!$H$5:$BE$10004,4818-4,'Visual SPC'!$B$3)="",0,IF(AND(OR('Visual SPC'!$C$4="",'Data Entry'!$C4818&gt;='Visual SPC'!$C$4),OR('Visual SPC'!$E$4="",'Data Entry'!$C4818&lt;='Visual SPC'!$E$4),OR('Visual SPC'!$G$4="",'Data Entry'!$D4818='Visual SPC'!$G$4),OR('Visual SPC'!$I$4="",'Data Entry'!$E4818='Visual SPC'!$I$4),OR('Visual SPC'!$K$4="",'Data Entry'!$F4818='Visual SPC'!$K$4)),1,0))</f>
        <v/>
      </c>
      <c r="C4818">
        <f>C4817+B4818</f>
        <v/>
      </c>
      <c r="D4818">
        <f>IF(B4818=1,INDEX('Data Entry'!$H$5:$BE$10004,4818-4,'Visual SPC'!$B$3),"")</f>
        <v/>
      </c>
      <c r="E4818">
        <f>IF(B4818=1,D4818,E4817)</f>
        <v/>
      </c>
      <c r="F4818">
        <f>IF(AND(B4818=1,C4818&gt;1,E4817&lt;&gt;""),ABS(D4818-E4817),"")</f>
        <v/>
      </c>
    </row>
    <row r="4819">
      <c r="A4819" t="n">
        <v>4819</v>
      </c>
      <c r="B4819">
        <f>IF(INDEX('Data Entry'!$H$5:$BE$10004,4819-4,'Visual SPC'!$B$3)="",0,IF(AND(OR('Visual SPC'!$C$4="",'Data Entry'!$C4819&gt;='Visual SPC'!$C$4),OR('Visual SPC'!$E$4="",'Data Entry'!$C4819&lt;='Visual SPC'!$E$4),OR('Visual SPC'!$G$4="",'Data Entry'!$D4819='Visual SPC'!$G$4),OR('Visual SPC'!$I$4="",'Data Entry'!$E4819='Visual SPC'!$I$4),OR('Visual SPC'!$K$4="",'Data Entry'!$F4819='Visual SPC'!$K$4)),1,0))</f>
        <v/>
      </c>
      <c r="C4819">
        <f>C4818+B4819</f>
        <v/>
      </c>
      <c r="D4819">
        <f>IF(B4819=1,INDEX('Data Entry'!$H$5:$BE$10004,4819-4,'Visual SPC'!$B$3),"")</f>
        <v/>
      </c>
      <c r="E4819">
        <f>IF(B4819=1,D4819,E4818)</f>
        <v/>
      </c>
      <c r="F4819">
        <f>IF(AND(B4819=1,C4819&gt;1,E4818&lt;&gt;""),ABS(D4819-E4818),"")</f>
        <v/>
      </c>
    </row>
    <row r="4820">
      <c r="A4820" t="n">
        <v>4820</v>
      </c>
      <c r="B4820">
        <f>IF(INDEX('Data Entry'!$H$5:$BE$10004,4820-4,'Visual SPC'!$B$3)="",0,IF(AND(OR('Visual SPC'!$C$4="",'Data Entry'!$C4820&gt;='Visual SPC'!$C$4),OR('Visual SPC'!$E$4="",'Data Entry'!$C4820&lt;='Visual SPC'!$E$4),OR('Visual SPC'!$G$4="",'Data Entry'!$D4820='Visual SPC'!$G$4),OR('Visual SPC'!$I$4="",'Data Entry'!$E4820='Visual SPC'!$I$4),OR('Visual SPC'!$K$4="",'Data Entry'!$F4820='Visual SPC'!$K$4)),1,0))</f>
        <v/>
      </c>
      <c r="C4820">
        <f>C4819+B4820</f>
        <v/>
      </c>
      <c r="D4820">
        <f>IF(B4820=1,INDEX('Data Entry'!$H$5:$BE$10004,4820-4,'Visual SPC'!$B$3),"")</f>
        <v/>
      </c>
      <c r="E4820">
        <f>IF(B4820=1,D4820,E4819)</f>
        <v/>
      </c>
      <c r="F4820">
        <f>IF(AND(B4820=1,C4820&gt;1,E4819&lt;&gt;""),ABS(D4820-E4819),"")</f>
        <v/>
      </c>
    </row>
    <row r="4821">
      <c r="A4821" t="n">
        <v>4821</v>
      </c>
      <c r="B4821">
        <f>IF(INDEX('Data Entry'!$H$5:$BE$10004,4821-4,'Visual SPC'!$B$3)="",0,IF(AND(OR('Visual SPC'!$C$4="",'Data Entry'!$C4821&gt;='Visual SPC'!$C$4),OR('Visual SPC'!$E$4="",'Data Entry'!$C4821&lt;='Visual SPC'!$E$4),OR('Visual SPC'!$G$4="",'Data Entry'!$D4821='Visual SPC'!$G$4),OR('Visual SPC'!$I$4="",'Data Entry'!$E4821='Visual SPC'!$I$4),OR('Visual SPC'!$K$4="",'Data Entry'!$F4821='Visual SPC'!$K$4)),1,0))</f>
        <v/>
      </c>
      <c r="C4821">
        <f>C4820+B4821</f>
        <v/>
      </c>
      <c r="D4821">
        <f>IF(B4821=1,INDEX('Data Entry'!$H$5:$BE$10004,4821-4,'Visual SPC'!$B$3),"")</f>
        <v/>
      </c>
      <c r="E4821">
        <f>IF(B4821=1,D4821,E4820)</f>
        <v/>
      </c>
      <c r="F4821">
        <f>IF(AND(B4821=1,C4821&gt;1,E4820&lt;&gt;""),ABS(D4821-E4820),"")</f>
        <v/>
      </c>
    </row>
    <row r="4822">
      <c r="A4822" t="n">
        <v>4822</v>
      </c>
      <c r="B4822">
        <f>IF(INDEX('Data Entry'!$H$5:$BE$10004,4822-4,'Visual SPC'!$B$3)="",0,IF(AND(OR('Visual SPC'!$C$4="",'Data Entry'!$C4822&gt;='Visual SPC'!$C$4),OR('Visual SPC'!$E$4="",'Data Entry'!$C4822&lt;='Visual SPC'!$E$4),OR('Visual SPC'!$G$4="",'Data Entry'!$D4822='Visual SPC'!$G$4),OR('Visual SPC'!$I$4="",'Data Entry'!$E4822='Visual SPC'!$I$4),OR('Visual SPC'!$K$4="",'Data Entry'!$F4822='Visual SPC'!$K$4)),1,0))</f>
        <v/>
      </c>
      <c r="C4822">
        <f>C4821+B4822</f>
        <v/>
      </c>
      <c r="D4822">
        <f>IF(B4822=1,INDEX('Data Entry'!$H$5:$BE$10004,4822-4,'Visual SPC'!$B$3),"")</f>
        <v/>
      </c>
      <c r="E4822">
        <f>IF(B4822=1,D4822,E4821)</f>
        <v/>
      </c>
      <c r="F4822">
        <f>IF(AND(B4822=1,C4822&gt;1,E4821&lt;&gt;""),ABS(D4822-E4821),"")</f>
        <v/>
      </c>
    </row>
    <row r="4823">
      <c r="A4823" t="n">
        <v>4823</v>
      </c>
      <c r="B4823">
        <f>IF(INDEX('Data Entry'!$H$5:$BE$10004,4823-4,'Visual SPC'!$B$3)="",0,IF(AND(OR('Visual SPC'!$C$4="",'Data Entry'!$C4823&gt;='Visual SPC'!$C$4),OR('Visual SPC'!$E$4="",'Data Entry'!$C4823&lt;='Visual SPC'!$E$4),OR('Visual SPC'!$G$4="",'Data Entry'!$D4823='Visual SPC'!$G$4),OR('Visual SPC'!$I$4="",'Data Entry'!$E4823='Visual SPC'!$I$4),OR('Visual SPC'!$K$4="",'Data Entry'!$F4823='Visual SPC'!$K$4)),1,0))</f>
        <v/>
      </c>
      <c r="C4823">
        <f>C4822+B4823</f>
        <v/>
      </c>
      <c r="D4823">
        <f>IF(B4823=1,INDEX('Data Entry'!$H$5:$BE$10004,4823-4,'Visual SPC'!$B$3),"")</f>
        <v/>
      </c>
      <c r="E4823">
        <f>IF(B4823=1,D4823,E4822)</f>
        <v/>
      </c>
      <c r="F4823">
        <f>IF(AND(B4823=1,C4823&gt;1,E4822&lt;&gt;""),ABS(D4823-E4822),"")</f>
        <v/>
      </c>
    </row>
    <row r="4824">
      <c r="A4824" t="n">
        <v>4824</v>
      </c>
      <c r="B4824">
        <f>IF(INDEX('Data Entry'!$H$5:$BE$10004,4824-4,'Visual SPC'!$B$3)="",0,IF(AND(OR('Visual SPC'!$C$4="",'Data Entry'!$C4824&gt;='Visual SPC'!$C$4),OR('Visual SPC'!$E$4="",'Data Entry'!$C4824&lt;='Visual SPC'!$E$4),OR('Visual SPC'!$G$4="",'Data Entry'!$D4824='Visual SPC'!$G$4),OR('Visual SPC'!$I$4="",'Data Entry'!$E4824='Visual SPC'!$I$4),OR('Visual SPC'!$K$4="",'Data Entry'!$F4824='Visual SPC'!$K$4)),1,0))</f>
        <v/>
      </c>
      <c r="C4824">
        <f>C4823+B4824</f>
        <v/>
      </c>
      <c r="D4824">
        <f>IF(B4824=1,INDEX('Data Entry'!$H$5:$BE$10004,4824-4,'Visual SPC'!$B$3),"")</f>
        <v/>
      </c>
      <c r="E4824">
        <f>IF(B4824=1,D4824,E4823)</f>
        <v/>
      </c>
      <c r="F4824">
        <f>IF(AND(B4824=1,C4824&gt;1,E4823&lt;&gt;""),ABS(D4824-E4823),"")</f>
        <v/>
      </c>
    </row>
    <row r="4825">
      <c r="A4825" t="n">
        <v>4825</v>
      </c>
      <c r="B4825">
        <f>IF(INDEX('Data Entry'!$H$5:$BE$10004,4825-4,'Visual SPC'!$B$3)="",0,IF(AND(OR('Visual SPC'!$C$4="",'Data Entry'!$C4825&gt;='Visual SPC'!$C$4),OR('Visual SPC'!$E$4="",'Data Entry'!$C4825&lt;='Visual SPC'!$E$4),OR('Visual SPC'!$G$4="",'Data Entry'!$D4825='Visual SPC'!$G$4),OR('Visual SPC'!$I$4="",'Data Entry'!$E4825='Visual SPC'!$I$4),OR('Visual SPC'!$K$4="",'Data Entry'!$F4825='Visual SPC'!$K$4)),1,0))</f>
        <v/>
      </c>
      <c r="C4825">
        <f>C4824+B4825</f>
        <v/>
      </c>
      <c r="D4825">
        <f>IF(B4825=1,INDEX('Data Entry'!$H$5:$BE$10004,4825-4,'Visual SPC'!$B$3),"")</f>
        <v/>
      </c>
      <c r="E4825">
        <f>IF(B4825=1,D4825,E4824)</f>
        <v/>
      </c>
      <c r="F4825">
        <f>IF(AND(B4825=1,C4825&gt;1,E4824&lt;&gt;""),ABS(D4825-E4824),"")</f>
        <v/>
      </c>
    </row>
    <row r="4826">
      <c r="A4826" t="n">
        <v>4826</v>
      </c>
      <c r="B4826">
        <f>IF(INDEX('Data Entry'!$H$5:$BE$10004,4826-4,'Visual SPC'!$B$3)="",0,IF(AND(OR('Visual SPC'!$C$4="",'Data Entry'!$C4826&gt;='Visual SPC'!$C$4),OR('Visual SPC'!$E$4="",'Data Entry'!$C4826&lt;='Visual SPC'!$E$4),OR('Visual SPC'!$G$4="",'Data Entry'!$D4826='Visual SPC'!$G$4),OR('Visual SPC'!$I$4="",'Data Entry'!$E4826='Visual SPC'!$I$4),OR('Visual SPC'!$K$4="",'Data Entry'!$F4826='Visual SPC'!$K$4)),1,0))</f>
        <v/>
      </c>
      <c r="C4826">
        <f>C4825+B4826</f>
        <v/>
      </c>
      <c r="D4826">
        <f>IF(B4826=1,INDEX('Data Entry'!$H$5:$BE$10004,4826-4,'Visual SPC'!$B$3),"")</f>
        <v/>
      </c>
      <c r="E4826">
        <f>IF(B4826=1,D4826,E4825)</f>
        <v/>
      </c>
      <c r="F4826">
        <f>IF(AND(B4826=1,C4826&gt;1,E4825&lt;&gt;""),ABS(D4826-E4825),"")</f>
        <v/>
      </c>
    </row>
    <row r="4827">
      <c r="A4827" t="n">
        <v>4827</v>
      </c>
      <c r="B4827">
        <f>IF(INDEX('Data Entry'!$H$5:$BE$10004,4827-4,'Visual SPC'!$B$3)="",0,IF(AND(OR('Visual SPC'!$C$4="",'Data Entry'!$C4827&gt;='Visual SPC'!$C$4),OR('Visual SPC'!$E$4="",'Data Entry'!$C4827&lt;='Visual SPC'!$E$4),OR('Visual SPC'!$G$4="",'Data Entry'!$D4827='Visual SPC'!$G$4),OR('Visual SPC'!$I$4="",'Data Entry'!$E4827='Visual SPC'!$I$4),OR('Visual SPC'!$K$4="",'Data Entry'!$F4827='Visual SPC'!$K$4)),1,0))</f>
        <v/>
      </c>
      <c r="C4827">
        <f>C4826+B4827</f>
        <v/>
      </c>
      <c r="D4827">
        <f>IF(B4827=1,INDEX('Data Entry'!$H$5:$BE$10004,4827-4,'Visual SPC'!$B$3),"")</f>
        <v/>
      </c>
      <c r="E4827">
        <f>IF(B4827=1,D4827,E4826)</f>
        <v/>
      </c>
      <c r="F4827">
        <f>IF(AND(B4827=1,C4827&gt;1,E4826&lt;&gt;""),ABS(D4827-E4826),"")</f>
        <v/>
      </c>
    </row>
    <row r="4828">
      <c r="A4828" t="n">
        <v>4828</v>
      </c>
      <c r="B4828">
        <f>IF(INDEX('Data Entry'!$H$5:$BE$10004,4828-4,'Visual SPC'!$B$3)="",0,IF(AND(OR('Visual SPC'!$C$4="",'Data Entry'!$C4828&gt;='Visual SPC'!$C$4),OR('Visual SPC'!$E$4="",'Data Entry'!$C4828&lt;='Visual SPC'!$E$4),OR('Visual SPC'!$G$4="",'Data Entry'!$D4828='Visual SPC'!$G$4),OR('Visual SPC'!$I$4="",'Data Entry'!$E4828='Visual SPC'!$I$4),OR('Visual SPC'!$K$4="",'Data Entry'!$F4828='Visual SPC'!$K$4)),1,0))</f>
        <v/>
      </c>
      <c r="C4828">
        <f>C4827+B4828</f>
        <v/>
      </c>
      <c r="D4828">
        <f>IF(B4828=1,INDEX('Data Entry'!$H$5:$BE$10004,4828-4,'Visual SPC'!$B$3),"")</f>
        <v/>
      </c>
      <c r="E4828">
        <f>IF(B4828=1,D4828,E4827)</f>
        <v/>
      </c>
      <c r="F4828">
        <f>IF(AND(B4828=1,C4828&gt;1,E4827&lt;&gt;""),ABS(D4828-E4827),"")</f>
        <v/>
      </c>
    </row>
    <row r="4829">
      <c r="A4829" t="n">
        <v>4829</v>
      </c>
      <c r="B4829">
        <f>IF(INDEX('Data Entry'!$H$5:$BE$10004,4829-4,'Visual SPC'!$B$3)="",0,IF(AND(OR('Visual SPC'!$C$4="",'Data Entry'!$C4829&gt;='Visual SPC'!$C$4),OR('Visual SPC'!$E$4="",'Data Entry'!$C4829&lt;='Visual SPC'!$E$4),OR('Visual SPC'!$G$4="",'Data Entry'!$D4829='Visual SPC'!$G$4),OR('Visual SPC'!$I$4="",'Data Entry'!$E4829='Visual SPC'!$I$4),OR('Visual SPC'!$K$4="",'Data Entry'!$F4829='Visual SPC'!$K$4)),1,0))</f>
        <v/>
      </c>
      <c r="C4829">
        <f>C4828+B4829</f>
        <v/>
      </c>
      <c r="D4829">
        <f>IF(B4829=1,INDEX('Data Entry'!$H$5:$BE$10004,4829-4,'Visual SPC'!$B$3),"")</f>
        <v/>
      </c>
      <c r="E4829">
        <f>IF(B4829=1,D4829,E4828)</f>
        <v/>
      </c>
      <c r="F4829">
        <f>IF(AND(B4829=1,C4829&gt;1,E4828&lt;&gt;""),ABS(D4829-E4828),"")</f>
        <v/>
      </c>
    </row>
    <row r="4830">
      <c r="A4830" t="n">
        <v>4830</v>
      </c>
      <c r="B4830">
        <f>IF(INDEX('Data Entry'!$H$5:$BE$10004,4830-4,'Visual SPC'!$B$3)="",0,IF(AND(OR('Visual SPC'!$C$4="",'Data Entry'!$C4830&gt;='Visual SPC'!$C$4),OR('Visual SPC'!$E$4="",'Data Entry'!$C4830&lt;='Visual SPC'!$E$4),OR('Visual SPC'!$G$4="",'Data Entry'!$D4830='Visual SPC'!$G$4),OR('Visual SPC'!$I$4="",'Data Entry'!$E4830='Visual SPC'!$I$4),OR('Visual SPC'!$K$4="",'Data Entry'!$F4830='Visual SPC'!$K$4)),1,0))</f>
        <v/>
      </c>
      <c r="C4830">
        <f>C4829+B4830</f>
        <v/>
      </c>
      <c r="D4830">
        <f>IF(B4830=1,INDEX('Data Entry'!$H$5:$BE$10004,4830-4,'Visual SPC'!$B$3),"")</f>
        <v/>
      </c>
      <c r="E4830">
        <f>IF(B4830=1,D4830,E4829)</f>
        <v/>
      </c>
      <c r="F4830">
        <f>IF(AND(B4830=1,C4830&gt;1,E4829&lt;&gt;""),ABS(D4830-E4829),"")</f>
        <v/>
      </c>
    </row>
    <row r="4831">
      <c r="A4831" t="n">
        <v>4831</v>
      </c>
      <c r="B4831">
        <f>IF(INDEX('Data Entry'!$H$5:$BE$10004,4831-4,'Visual SPC'!$B$3)="",0,IF(AND(OR('Visual SPC'!$C$4="",'Data Entry'!$C4831&gt;='Visual SPC'!$C$4),OR('Visual SPC'!$E$4="",'Data Entry'!$C4831&lt;='Visual SPC'!$E$4),OR('Visual SPC'!$G$4="",'Data Entry'!$D4831='Visual SPC'!$G$4),OR('Visual SPC'!$I$4="",'Data Entry'!$E4831='Visual SPC'!$I$4),OR('Visual SPC'!$K$4="",'Data Entry'!$F4831='Visual SPC'!$K$4)),1,0))</f>
        <v/>
      </c>
      <c r="C4831">
        <f>C4830+B4831</f>
        <v/>
      </c>
      <c r="D4831">
        <f>IF(B4831=1,INDEX('Data Entry'!$H$5:$BE$10004,4831-4,'Visual SPC'!$B$3),"")</f>
        <v/>
      </c>
      <c r="E4831">
        <f>IF(B4831=1,D4831,E4830)</f>
        <v/>
      </c>
      <c r="F4831">
        <f>IF(AND(B4831=1,C4831&gt;1,E4830&lt;&gt;""),ABS(D4831-E4830),"")</f>
        <v/>
      </c>
    </row>
    <row r="4832">
      <c r="A4832" t="n">
        <v>4832</v>
      </c>
      <c r="B4832">
        <f>IF(INDEX('Data Entry'!$H$5:$BE$10004,4832-4,'Visual SPC'!$B$3)="",0,IF(AND(OR('Visual SPC'!$C$4="",'Data Entry'!$C4832&gt;='Visual SPC'!$C$4),OR('Visual SPC'!$E$4="",'Data Entry'!$C4832&lt;='Visual SPC'!$E$4),OR('Visual SPC'!$G$4="",'Data Entry'!$D4832='Visual SPC'!$G$4),OR('Visual SPC'!$I$4="",'Data Entry'!$E4832='Visual SPC'!$I$4),OR('Visual SPC'!$K$4="",'Data Entry'!$F4832='Visual SPC'!$K$4)),1,0))</f>
        <v/>
      </c>
      <c r="C4832">
        <f>C4831+B4832</f>
        <v/>
      </c>
      <c r="D4832">
        <f>IF(B4832=1,INDEX('Data Entry'!$H$5:$BE$10004,4832-4,'Visual SPC'!$B$3),"")</f>
        <v/>
      </c>
      <c r="E4832">
        <f>IF(B4832=1,D4832,E4831)</f>
        <v/>
      </c>
      <c r="F4832">
        <f>IF(AND(B4832=1,C4832&gt;1,E4831&lt;&gt;""),ABS(D4832-E4831),"")</f>
        <v/>
      </c>
    </row>
    <row r="4833">
      <c r="A4833" t="n">
        <v>4833</v>
      </c>
      <c r="B4833">
        <f>IF(INDEX('Data Entry'!$H$5:$BE$10004,4833-4,'Visual SPC'!$B$3)="",0,IF(AND(OR('Visual SPC'!$C$4="",'Data Entry'!$C4833&gt;='Visual SPC'!$C$4),OR('Visual SPC'!$E$4="",'Data Entry'!$C4833&lt;='Visual SPC'!$E$4),OR('Visual SPC'!$G$4="",'Data Entry'!$D4833='Visual SPC'!$G$4),OR('Visual SPC'!$I$4="",'Data Entry'!$E4833='Visual SPC'!$I$4),OR('Visual SPC'!$K$4="",'Data Entry'!$F4833='Visual SPC'!$K$4)),1,0))</f>
        <v/>
      </c>
      <c r="C4833">
        <f>C4832+B4833</f>
        <v/>
      </c>
      <c r="D4833">
        <f>IF(B4833=1,INDEX('Data Entry'!$H$5:$BE$10004,4833-4,'Visual SPC'!$B$3),"")</f>
        <v/>
      </c>
      <c r="E4833">
        <f>IF(B4833=1,D4833,E4832)</f>
        <v/>
      </c>
      <c r="F4833">
        <f>IF(AND(B4833=1,C4833&gt;1,E4832&lt;&gt;""),ABS(D4833-E4832),"")</f>
        <v/>
      </c>
    </row>
    <row r="4834">
      <c r="A4834" t="n">
        <v>4834</v>
      </c>
      <c r="B4834">
        <f>IF(INDEX('Data Entry'!$H$5:$BE$10004,4834-4,'Visual SPC'!$B$3)="",0,IF(AND(OR('Visual SPC'!$C$4="",'Data Entry'!$C4834&gt;='Visual SPC'!$C$4),OR('Visual SPC'!$E$4="",'Data Entry'!$C4834&lt;='Visual SPC'!$E$4),OR('Visual SPC'!$G$4="",'Data Entry'!$D4834='Visual SPC'!$G$4),OR('Visual SPC'!$I$4="",'Data Entry'!$E4834='Visual SPC'!$I$4),OR('Visual SPC'!$K$4="",'Data Entry'!$F4834='Visual SPC'!$K$4)),1,0))</f>
        <v/>
      </c>
      <c r="C4834">
        <f>C4833+B4834</f>
        <v/>
      </c>
      <c r="D4834">
        <f>IF(B4834=1,INDEX('Data Entry'!$H$5:$BE$10004,4834-4,'Visual SPC'!$B$3),"")</f>
        <v/>
      </c>
      <c r="E4834">
        <f>IF(B4834=1,D4834,E4833)</f>
        <v/>
      </c>
      <c r="F4834">
        <f>IF(AND(B4834=1,C4834&gt;1,E4833&lt;&gt;""),ABS(D4834-E4833),"")</f>
        <v/>
      </c>
    </row>
    <row r="4835">
      <c r="A4835" t="n">
        <v>4835</v>
      </c>
      <c r="B4835">
        <f>IF(INDEX('Data Entry'!$H$5:$BE$10004,4835-4,'Visual SPC'!$B$3)="",0,IF(AND(OR('Visual SPC'!$C$4="",'Data Entry'!$C4835&gt;='Visual SPC'!$C$4),OR('Visual SPC'!$E$4="",'Data Entry'!$C4835&lt;='Visual SPC'!$E$4),OR('Visual SPC'!$G$4="",'Data Entry'!$D4835='Visual SPC'!$G$4),OR('Visual SPC'!$I$4="",'Data Entry'!$E4835='Visual SPC'!$I$4),OR('Visual SPC'!$K$4="",'Data Entry'!$F4835='Visual SPC'!$K$4)),1,0))</f>
        <v/>
      </c>
      <c r="C4835">
        <f>C4834+B4835</f>
        <v/>
      </c>
      <c r="D4835">
        <f>IF(B4835=1,INDEX('Data Entry'!$H$5:$BE$10004,4835-4,'Visual SPC'!$B$3),"")</f>
        <v/>
      </c>
      <c r="E4835">
        <f>IF(B4835=1,D4835,E4834)</f>
        <v/>
      </c>
      <c r="F4835">
        <f>IF(AND(B4835=1,C4835&gt;1,E4834&lt;&gt;""),ABS(D4835-E4834),"")</f>
        <v/>
      </c>
    </row>
    <row r="4836">
      <c r="A4836" t="n">
        <v>4836</v>
      </c>
      <c r="B4836">
        <f>IF(INDEX('Data Entry'!$H$5:$BE$10004,4836-4,'Visual SPC'!$B$3)="",0,IF(AND(OR('Visual SPC'!$C$4="",'Data Entry'!$C4836&gt;='Visual SPC'!$C$4),OR('Visual SPC'!$E$4="",'Data Entry'!$C4836&lt;='Visual SPC'!$E$4),OR('Visual SPC'!$G$4="",'Data Entry'!$D4836='Visual SPC'!$G$4),OR('Visual SPC'!$I$4="",'Data Entry'!$E4836='Visual SPC'!$I$4),OR('Visual SPC'!$K$4="",'Data Entry'!$F4836='Visual SPC'!$K$4)),1,0))</f>
        <v/>
      </c>
      <c r="C4836">
        <f>C4835+B4836</f>
        <v/>
      </c>
      <c r="D4836">
        <f>IF(B4836=1,INDEX('Data Entry'!$H$5:$BE$10004,4836-4,'Visual SPC'!$B$3),"")</f>
        <v/>
      </c>
      <c r="E4836">
        <f>IF(B4836=1,D4836,E4835)</f>
        <v/>
      </c>
      <c r="F4836">
        <f>IF(AND(B4836=1,C4836&gt;1,E4835&lt;&gt;""),ABS(D4836-E4835),"")</f>
        <v/>
      </c>
    </row>
    <row r="4837">
      <c r="A4837" t="n">
        <v>4837</v>
      </c>
      <c r="B4837">
        <f>IF(INDEX('Data Entry'!$H$5:$BE$10004,4837-4,'Visual SPC'!$B$3)="",0,IF(AND(OR('Visual SPC'!$C$4="",'Data Entry'!$C4837&gt;='Visual SPC'!$C$4),OR('Visual SPC'!$E$4="",'Data Entry'!$C4837&lt;='Visual SPC'!$E$4),OR('Visual SPC'!$G$4="",'Data Entry'!$D4837='Visual SPC'!$G$4),OR('Visual SPC'!$I$4="",'Data Entry'!$E4837='Visual SPC'!$I$4),OR('Visual SPC'!$K$4="",'Data Entry'!$F4837='Visual SPC'!$K$4)),1,0))</f>
        <v/>
      </c>
      <c r="C4837">
        <f>C4836+B4837</f>
        <v/>
      </c>
      <c r="D4837">
        <f>IF(B4837=1,INDEX('Data Entry'!$H$5:$BE$10004,4837-4,'Visual SPC'!$B$3),"")</f>
        <v/>
      </c>
      <c r="E4837">
        <f>IF(B4837=1,D4837,E4836)</f>
        <v/>
      </c>
      <c r="F4837">
        <f>IF(AND(B4837=1,C4837&gt;1,E4836&lt;&gt;""),ABS(D4837-E4836),"")</f>
        <v/>
      </c>
    </row>
    <row r="4838">
      <c r="A4838" t="n">
        <v>4838</v>
      </c>
      <c r="B4838">
        <f>IF(INDEX('Data Entry'!$H$5:$BE$10004,4838-4,'Visual SPC'!$B$3)="",0,IF(AND(OR('Visual SPC'!$C$4="",'Data Entry'!$C4838&gt;='Visual SPC'!$C$4),OR('Visual SPC'!$E$4="",'Data Entry'!$C4838&lt;='Visual SPC'!$E$4),OR('Visual SPC'!$G$4="",'Data Entry'!$D4838='Visual SPC'!$G$4),OR('Visual SPC'!$I$4="",'Data Entry'!$E4838='Visual SPC'!$I$4),OR('Visual SPC'!$K$4="",'Data Entry'!$F4838='Visual SPC'!$K$4)),1,0))</f>
        <v/>
      </c>
      <c r="C4838">
        <f>C4837+B4838</f>
        <v/>
      </c>
      <c r="D4838">
        <f>IF(B4838=1,INDEX('Data Entry'!$H$5:$BE$10004,4838-4,'Visual SPC'!$B$3),"")</f>
        <v/>
      </c>
      <c r="E4838">
        <f>IF(B4838=1,D4838,E4837)</f>
        <v/>
      </c>
      <c r="F4838">
        <f>IF(AND(B4838=1,C4838&gt;1,E4837&lt;&gt;""),ABS(D4838-E4837),"")</f>
        <v/>
      </c>
    </row>
    <row r="4839">
      <c r="A4839" t="n">
        <v>4839</v>
      </c>
      <c r="B4839">
        <f>IF(INDEX('Data Entry'!$H$5:$BE$10004,4839-4,'Visual SPC'!$B$3)="",0,IF(AND(OR('Visual SPC'!$C$4="",'Data Entry'!$C4839&gt;='Visual SPC'!$C$4),OR('Visual SPC'!$E$4="",'Data Entry'!$C4839&lt;='Visual SPC'!$E$4),OR('Visual SPC'!$G$4="",'Data Entry'!$D4839='Visual SPC'!$G$4),OR('Visual SPC'!$I$4="",'Data Entry'!$E4839='Visual SPC'!$I$4),OR('Visual SPC'!$K$4="",'Data Entry'!$F4839='Visual SPC'!$K$4)),1,0))</f>
        <v/>
      </c>
      <c r="C4839">
        <f>C4838+B4839</f>
        <v/>
      </c>
      <c r="D4839">
        <f>IF(B4839=1,INDEX('Data Entry'!$H$5:$BE$10004,4839-4,'Visual SPC'!$B$3),"")</f>
        <v/>
      </c>
      <c r="E4839">
        <f>IF(B4839=1,D4839,E4838)</f>
        <v/>
      </c>
      <c r="F4839">
        <f>IF(AND(B4839=1,C4839&gt;1,E4838&lt;&gt;""),ABS(D4839-E4838),"")</f>
        <v/>
      </c>
    </row>
    <row r="4840">
      <c r="A4840" t="n">
        <v>4840</v>
      </c>
      <c r="B4840">
        <f>IF(INDEX('Data Entry'!$H$5:$BE$10004,4840-4,'Visual SPC'!$B$3)="",0,IF(AND(OR('Visual SPC'!$C$4="",'Data Entry'!$C4840&gt;='Visual SPC'!$C$4),OR('Visual SPC'!$E$4="",'Data Entry'!$C4840&lt;='Visual SPC'!$E$4),OR('Visual SPC'!$G$4="",'Data Entry'!$D4840='Visual SPC'!$G$4),OR('Visual SPC'!$I$4="",'Data Entry'!$E4840='Visual SPC'!$I$4),OR('Visual SPC'!$K$4="",'Data Entry'!$F4840='Visual SPC'!$K$4)),1,0))</f>
        <v/>
      </c>
      <c r="C4840">
        <f>C4839+B4840</f>
        <v/>
      </c>
      <c r="D4840">
        <f>IF(B4840=1,INDEX('Data Entry'!$H$5:$BE$10004,4840-4,'Visual SPC'!$B$3),"")</f>
        <v/>
      </c>
      <c r="E4840">
        <f>IF(B4840=1,D4840,E4839)</f>
        <v/>
      </c>
      <c r="F4840">
        <f>IF(AND(B4840=1,C4840&gt;1,E4839&lt;&gt;""),ABS(D4840-E4839),"")</f>
        <v/>
      </c>
    </row>
    <row r="4841">
      <c r="A4841" t="n">
        <v>4841</v>
      </c>
      <c r="B4841">
        <f>IF(INDEX('Data Entry'!$H$5:$BE$10004,4841-4,'Visual SPC'!$B$3)="",0,IF(AND(OR('Visual SPC'!$C$4="",'Data Entry'!$C4841&gt;='Visual SPC'!$C$4),OR('Visual SPC'!$E$4="",'Data Entry'!$C4841&lt;='Visual SPC'!$E$4),OR('Visual SPC'!$G$4="",'Data Entry'!$D4841='Visual SPC'!$G$4),OR('Visual SPC'!$I$4="",'Data Entry'!$E4841='Visual SPC'!$I$4),OR('Visual SPC'!$K$4="",'Data Entry'!$F4841='Visual SPC'!$K$4)),1,0))</f>
        <v/>
      </c>
      <c r="C4841">
        <f>C4840+B4841</f>
        <v/>
      </c>
      <c r="D4841">
        <f>IF(B4841=1,INDEX('Data Entry'!$H$5:$BE$10004,4841-4,'Visual SPC'!$B$3),"")</f>
        <v/>
      </c>
      <c r="E4841">
        <f>IF(B4841=1,D4841,E4840)</f>
        <v/>
      </c>
      <c r="F4841">
        <f>IF(AND(B4841=1,C4841&gt;1,E4840&lt;&gt;""),ABS(D4841-E4840),"")</f>
        <v/>
      </c>
    </row>
    <row r="4842">
      <c r="A4842" t="n">
        <v>4842</v>
      </c>
      <c r="B4842">
        <f>IF(INDEX('Data Entry'!$H$5:$BE$10004,4842-4,'Visual SPC'!$B$3)="",0,IF(AND(OR('Visual SPC'!$C$4="",'Data Entry'!$C4842&gt;='Visual SPC'!$C$4),OR('Visual SPC'!$E$4="",'Data Entry'!$C4842&lt;='Visual SPC'!$E$4),OR('Visual SPC'!$G$4="",'Data Entry'!$D4842='Visual SPC'!$G$4),OR('Visual SPC'!$I$4="",'Data Entry'!$E4842='Visual SPC'!$I$4),OR('Visual SPC'!$K$4="",'Data Entry'!$F4842='Visual SPC'!$K$4)),1,0))</f>
        <v/>
      </c>
      <c r="C4842">
        <f>C4841+B4842</f>
        <v/>
      </c>
      <c r="D4842">
        <f>IF(B4842=1,INDEX('Data Entry'!$H$5:$BE$10004,4842-4,'Visual SPC'!$B$3),"")</f>
        <v/>
      </c>
      <c r="E4842">
        <f>IF(B4842=1,D4842,E4841)</f>
        <v/>
      </c>
      <c r="F4842">
        <f>IF(AND(B4842=1,C4842&gt;1,E4841&lt;&gt;""),ABS(D4842-E4841),"")</f>
        <v/>
      </c>
    </row>
    <row r="4843">
      <c r="A4843" t="n">
        <v>4843</v>
      </c>
      <c r="B4843">
        <f>IF(INDEX('Data Entry'!$H$5:$BE$10004,4843-4,'Visual SPC'!$B$3)="",0,IF(AND(OR('Visual SPC'!$C$4="",'Data Entry'!$C4843&gt;='Visual SPC'!$C$4),OR('Visual SPC'!$E$4="",'Data Entry'!$C4843&lt;='Visual SPC'!$E$4),OR('Visual SPC'!$G$4="",'Data Entry'!$D4843='Visual SPC'!$G$4),OR('Visual SPC'!$I$4="",'Data Entry'!$E4843='Visual SPC'!$I$4),OR('Visual SPC'!$K$4="",'Data Entry'!$F4843='Visual SPC'!$K$4)),1,0))</f>
        <v/>
      </c>
      <c r="C4843">
        <f>C4842+B4843</f>
        <v/>
      </c>
      <c r="D4843">
        <f>IF(B4843=1,INDEX('Data Entry'!$H$5:$BE$10004,4843-4,'Visual SPC'!$B$3),"")</f>
        <v/>
      </c>
      <c r="E4843">
        <f>IF(B4843=1,D4843,E4842)</f>
        <v/>
      </c>
      <c r="F4843">
        <f>IF(AND(B4843=1,C4843&gt;1,E4842&lt;&gt;""),ABS(D4843-E4842),"")</f>
        <v/>
      </c>
    </row>
    <row r="4844">
      <c r="A4844" t="n">
        <v>4844</v>
      </c>
      <c r="B4844">
        <f>IF(INDEX('Data Entry'!$H$5:$BE$10004,4844-4,'Visual SPC'!$B$3)="",0,IF(AND(OR('Visual SPC'!$C$4="",'Data Entry'!$C4844&gt;='Visual SPC'!$C$4),OR('Visual SPC'!$E$4="",'Data Entry'!$C4844&lt;='Visual SPC'!$E$4),OR('Visual SPC'!$G$4="",'Data Entry'!$D4844='Visual SPC'!$G$4),OR('Visual SPC'!$I$4="",'Data Entry'!$E4844='Visual SPC'!$I$4),OR('Visual SPC'!$K$4="",'Data Entry'!$F4844='Visual SPC'!$K$4)),1,0))</f>
        <v/>
      </c>
      <c r="C4844">
        <f>C4843+B4844</f>
        <v/>
      </c>
      <c r="D4844">
        <f>IF(B4844=1,INDEX('Data Entry'!$H$5:$BE$10004,4844-4,'Visual SPC'!$B$3),"")</f>
        <v/>
      </c>
      <c r="E4844">
        <f>IF(B4844=1,D4844,E4843)</f>
        <v/>
      </c>
      <c r="F4844">
        <f>IF(AND(B4844=1,C4844&gt;1,E4843&lt;&gt;""),ABS(D4844-E4843),"")</f>
        <v/>
      </c>
    </row>
    <row r="4845">
      <c r="A4845" t="n">
        <v>4845</v>
      </c>
      <c r="B4845">
        <f>IF(INDEX('Data Entry'!$H$5:$BE$10004,4845-4,'Visual SPC'!$B$3)="",0,IF(AND(OR('Visual SPC'!$C$4="",'Data Entry'!$C4845&gt;='Visual SPC'!$C$4),OR('Visual SPC'!$E$4="",'Data Entry'!$C4845&lt;='Visual SPC'!$E$4),OR('Visual SPC'!$G$4="",'Data Entry'!$D4845='Visual SPC'!$G$4),OR('Visual SPC'!$I$4="",'Data Entry'!$E4845='Visual SPC'!$I$4),OR('Visual SPC'!$K$4="",'Data Entry'!$F4845='Visual SPC'!$K$4)),1,0))</f>
        <v/>
      </c>
      <c r="C4845">
        <f>C4844+B4845</f>
        <v/>
      </c>
      <c r="D4845">
        <f>IF(B4845=1,INDEX('Data Entry'!$H$5:$BE$10004,4845-4,'Visual SPC'!$B$3),"")</f>
        <v/>
      </c>
      <c r="E4845">
        <f>IF(B4845=1,D4845,E4844)</f>
        <v/>
      </c>
      <c r="F4845">
        <f>IF(AND(B4845=1,C4845&gt;1,E4844&lt;&gt;""),ABS(D4845-E4844),"")</f>
        <v/>
      </c>
    </row>
    <row r="4846">
      <c r="A4846" t="n">
        <v>4846</v>
      </c>
      <c r="B4846">
        <f>IF(INDEX('Data Entry'!$H$5:$BE$10004,4846-4,'Visual SPC'!$B$3)="",0,IF(AND(OR('Visual SPC'!$C$4="",'Data Entry'!$C4846&gt;='Visual SPC'!$C$4),OR('Visual SPC'!$E$4="",'Data Entry'!$C4846&lt;='Visual SPC'!$E$4),OR('Visual SPC'!$G$4="",'Data Entry'!$D4846='Visual SPC'!$G$4),OR('Visual SPC'!$I$4="",'Data Entry'!$E4846='Visual SPC'!$I$4),OR('Visual SPC'!$K$4="",'Data Entry'!$F4846='Visual SPC'!$K$4)),1,0))</f>
        <v/>
      </c>
      <c r="C4846">
        <f>C4845+B4846</f>
        <v/>
      </c>
      <c r="D4846">
        <f>IF(B4846=1,INDEX('Data Entry'!$H$5:$BE$10004,4846-4,'Visual SPC'!$B$3),"")</f>
        <v/>
      </c>
      <c r="E4846">
        <f>IF(B4846=1,D4846,E4845)</f>
        <v/>
      </c>
      <c r="F4846">
        <f>IF(AND(B4846=1,C4846&gt;1,E4845&lt;&gt;""),ABS(D4846-E4845),"")</f>
        <v/>
      </c>
    </row>
    <row r="4847">
      <c r="A4847" t="n">
        <v>4847</v>
      </c>
      <c r="B4847">
        <f>IF(INDEX('Data Entry'!$H$5:$BE$10004,4847-4,'Visual SPC'!$B$3)="",0,IF(AND(OR('Visual SPC'!$C$4="",'Data Entry'!$C4847&gt;='Visual SPC'!$C$4),OR('Visual SPC'!$E$4="",'Data Entry'!$C4847&lt;='Visual SPC'!$E$4),OR('Visual SPC'!$G$4="",'Data Entry'!$D4847='Visual SPC'!$G$4),OR('Visual SPC'!$I$4="",'Data Entry'!$E4847='Visual SPC'!$I$4),OR('Visual SPC'!$K$4="",'Data Entry'!$F4847='Visual SPC'!$K$4)),1,0))</f>
        <v/>
      </c>
      <c r="C4847">
        <f>C4846+B4847</f>
        <v/>
      </c>
      <c r="D4847">
        <f>IF(B4847=1,INDEX('Data Entry'!$H$5:$BE$10004,4847-4,'Visual SPC'!$B$3),"")</f>
        <v/>
      </c>
      <c r="E4847">
        <f>IF(B4847=1,D4847,E4846)</f>
        <v/>
      </c>
      <c r="F4847">
        <f>IF(AND(B4847=1,C4847&gt;1,E4846&lt;&gt;""),ABS(D4847-E4846),"")</f>
        <v/>
      </c>
    </row>
    <row r="4848">
      <c r="A4848" t="n">
        <v>4848</v>
      </c>
      <c r="B4848">
        <f>IF(INDEX('Data Entry'!$H$5:$BE$10004,4848-4,'Visual SPC'!$B$3)="",0,IF(AND(OR('Visual SPC'!$C$4="",'Data Entry'!$C4848&gt;='Visual SPC'!$C$4),OR('Visual SPC'!$E$4="",'Data Entry'!$C4848&lt;='Visual SPC'!$E$4),OR('Visual SPC'!$G$4="",'Data Entry'!$D4848='Visual SPC'!$G$4),OR('Visual SPC'!$I$4="",'Data Entry'!$E4848='Visual SPC'!$I$4),OR('Visual SPC'!$K$4="",'Data Entry'!$F4848='Visual SPC'!$K$4)),1,0))</f>
        <v/>
      </c>
      <c r="C4848">
        <f>C4847+B4848</f>
        <v/>
      </c>
      <c r="D4848">
        <f>IF(B4848=1,INDEX('Data Entry'!$H$5:$BE$10004,4848-4,'Visual SPC'!$B$3),"")</f>
        <v/>
      </c>
      <c r="E4848">
        <f>IF(B4848=1,D4848,E4847)</f>
        <v/>
      </c>
      <c r="F4848">
        <f>IF(AND(B4848=1,C4848&gt;1,E4847&lt;&gt;""),ABS(D4848-E4847),"")</f>
        <v/>
      </c>
    </row>
    <row r="4849">
      <c r="A4849" t="n">
        <v>4849</v>
      </c>
      <c r="B4849">
        <f>IF(INDEX('Data Entry'!$H$5:$BE$10004,4849-4,'Visual SPC'!$B$3)="",0,IF(AND(OR('Visual SPC'!$C$4="",'Data Entry'!$C4849&gt;='Visual SPC'!$C$4),OR('Visual SPC'!$E$4="",'Data Entry'!$C4849&lt;='Visual SPC'!$E$4),OR('Visual SPC'!$G$4="",'Data Entry'!$D4849='Visual SPC'!$G$4),OR('Visual SPC'!$I$4="",'Data Entry'!$E4849='Visual SPC'!$I$4),OR('Visual SPC'!$K$4="",'Data Entry'!$F4849='Visual SPC'!$K$4)),1,0))</f>
        <v/>
      </c>
      <c r="C4849">
        <f>C4848+B4849</f>
        <v/>
      </c>
      <c r="D4849">
        <f>IF(B4849=1,INDEX('Data Entry'!$H$5:$BE$10004,4849-4,'Visual SPC'!$B$3),"")</f>
        <v/>
      </c>
      <c r="E4849">
        <f>IF(B4849=1,D4849,E4848)</f>
        <v/>
      </c>
      <c r="F4849">
        <f>IF(AND(B4849=1,C4849&gt;1,E4848&lt;&gt;""),ABS(D4849-E4848),"")</f>
        <v/>
      </c>
    </row>
    <row r="4850">
      <c r="A4850" t="n">
        <v>4850</v>
      </c>
      <c r="B4850">
        <f>IF(INDEX('Data Entry'!$H$5:$BE$10004,4850-4,'Visual SPC'!$B$3)="",0,IF(AND(OR('Visual SPC'!$C$4="",'Data Entry'!$C4850&gt;='Visual SPC'!$C$4),OR('Visual SPC'!$E$4="",'Data Entry'!$C4850&lt;='Visual SPC'!$E$4),OR('Visual SPC'!$G$4="",'Data Entry'!$D4850='Visual SPC'!$G$4),OR('Visual SPC'!$I$4="",'Data Entry'!$E4850='Visual SPC'!$I$4),OR('Visual SPC'!$K$4="",'Data Entry'!$F4850='Visual SPC'!$K$4)),1,0))</f>
        <v/>
      </c>
      <c r="C4850">
        <f>C4849+B4850</f>
        <v/>
      </c>
      <c r="D4850">
        <f>IF(B4850=1,INDEX('Data Entry'!$H$5:$BE$10004,4850-4,'Visual SPC'!$B$3),"")</f>
        <v/>
      </c>
      <c r="E4850">
        <f>IF(B4850=1,D4850,E4849)</f>
        <v/>
      </c>
      <c r="F4850">
        <f>IF(AND(B4850=1,C4850&gt;1,E4849&lt;&gt;""),ABS(D4850-E4849),"")</f>
        <v/>
      </c>
    </row>
    <row r="4851">
      <c r="A4851" t="n">
        <v>4851</v>
      </c>
      <c r="B4851">
        <f>IF(INDEX('Data Entry'!$H$5:$BE$10004,4851-4,'Visual SPC'!$B$3)="",0,IF(AND(OR('Visual SPC'!$C$4="",'Data Entry'!$C4851&gt;='Visual SPC'!$C$4),OR('Visual SPC'!$E$4="",'Data Entry'!$C4851&lt;='Visual SPC'!$E$4),OR('Visual SPC'!$G$4="",'Data Entry'!$D4851='Visual SPC'!$G$4),OR('Visual SPC'!$I$4="",'Data Entry'!$E4851='Visual SPC'!$I$4),OR('Visual SPC'!$K$4="",'Data Entry'!$F4851='Visual SPC'!$K$4)),1,0))</f>
        <v/>
      </c>
      <c r="C4851">
        <f>C4850+B4851</f>
        <v/>
      </c>
      <c r="D4851">
        <f>IF(B4851=1,INDEX('Data Entry'!$H$5:$BE$10004,4851-4,'Visual SPC'!$B$3),"")</f>
        <v/>
      </c>
      <c r="E4851">
        <f>IF(B4851=1,D4851,E4850)</f>
        <v/>
      </c>
      <c r="F4851">
        <f>IF(AND(B4851=1,C4851&gt;1,E4850&lt;&gt;""),ABS(D4851-E4850),"")</f>
        <v/>
      </c>
    </row>
    <row r="4852">
      <c r="A4852" t="n">
        <v>4852</v>
      </c>
      <c r="B4852">
        <f>IF(INDEX('Data Entry'!$H$5:$BE$10004,4852-4,'Visual SPC'!$B$3)="",0,IF(AND(OR('Visual SPC'!$C$4="",'Data Entry'!$C4852&gt;='Visual SPC'!$C$4),OR('Visual SPC'!$E$4="",'Data Entry'!$C4852&lt;='Visual SPC'!$E$4),OR('Visual SPC'!$G$4="",'Data Entry'!$D4852='Visual SPC'!$G$4),OR('Visual SPC'!$I$4="",'Data Entry'!$E4852='Visual SPC'!$I$4),OR('Visual SPC'!$K$4="",'Data Entry'!$F4852='Visual SPC'!$K$4)),1,0))</f>
        <v/>
      </c>
      <c r="C4852">
        <f>C4851+B4852</f>
        <v/>
      </c>
      <c r="D4852">
        <f>IF(B4852=1,INDEX('Data Entry'!$H$5:$BE$10004,4852-4,'Visual SPC'!$B$3),"")</f>
        <v/>
      </c>
      <c r="E4852">
        <f>IF(B4852=1,D4852,E4851)</f>
        <v/>
      </c>
      <c r="F4852">
        <f>IF(AND(B4852=1,C4852&gt;1,E4851&lt;&gt;""),ABS(D4852-E4851),"")</f>
        <v/>
      </c>
    </row>
    <row r="4853">
      <c r="A4853" t="n">
        <v>4853</v>
      </c>
      <c r="B4853">
        <f>IF(INDEX('Data Entry'!$H$5:$BE$10004,4853-4,'Visual SPC'!$B$3)="",0,IF(AND(OR('Visual SPC'!$C$4="",'Data Entry'!$C4853&gt;='Visual SPC'!$C$4),OR('Visual SPC'!$E$4="",'Data Entry'!$C4853&lt;='Visual SPC'!$E$4),OR('Visual SPC'!$G$4="",'Data Entry'!$D4853='Visual SPC'!$G$4),OR('Visual SPC'!$I$4="",'Data Entry'!$E4853='Visual SPC'!$I$4),OR('Visual SPC'!$K$4="",'Data Entry'!$F4853='Visual SPC'!$K$4)),1,0))</f>
        <v/>
      </c>
      <c r="C4853">
        <f>C4852+B4853</f>
        <v/>
      </c>
      <c r="D4853">
        <f>IF(B4853=1,INDEX('Data Entry'!$H$5:$BE$10004,4853-4,'Visual SPC'!$B$3),"")</f>
        <v/>
      </c>
      <c r="E4853">
        <f>IF(B4853=1,D4853,E4852)</f>
        <v/>
      </c>
      <c r="F4853">
        <f>IF(AND(B4853=1,C4853&gt;1,E4852&lt;&gt;""),ABS(D4853-E4852),"")</f>
        <v/>
      </c>
    </row>
    <row r="4854">
      <c r="A4854" t="n">
        <v>4854</v>
      </c>
      <c r="B4854">
        <f>IF(INDEX('Data Entry'!$H$5:$BE$10004,4854-4,'Visual SPC'!$B$3)="",0,IF(AND(OR('Visual SPC'!$C$4="",'Data Entry'!$C4854&gt;='Visual SPC'!$C$4),OR('Visual SPC'!$E$4="",'Data Entry'!$C4854&lt;='Visual SPC'!$E$4),OR('Visual SPC'!$G$4="",'Data Entry'!$D4854='Visual SPC'!$G$4),OR('Visual SPC'!$I$4="",'Data Entry'!$E4854='Visual SPC'!$I$4),OR('Visual SPC'!$K$4="",'Data Entry'!$F4854='Visual SPC'!$K$4)),1,0))</f>
        <v/>
      </c>
      <c r="C4854">
        <f>C4853+B4854</f>
        <v/>
      </c>
      <c r="D4854">
        <f>IF(B4854=1,INDEX('Data Entry'!$H$5:$BE$10004,4854-4,'Visual SPC'!$B$3),"")</f>
        <v/>
      </c>
      <c r="E4854">
        <f>IF(B4854=1,D4854,E4853)</f>
        <v/>
      </c>
      <c r="F4854">
        <f>IF(AND(B4854=1,C4854&gt;1,E4853&lt;&gt;""),ABS(D4854-E4853),"")</f>
        <v/>
      </c>
    </row>
    <row r="4855">
      <c r="A4855" t="n">
        <v>4855</v>
      </c>
      <c r="B4855">
        <f>IF(INDEX('Data Entry'!$H$5:$BE$10004,4855-4,'Visual SPC'!$B$3)="",0,IF(AND(OR('Visual SPC'!$C$4="",'Data Entry'!$C4855&gt;='Visual SPC'!$C$4),OR('Visual SPC'!$E$4="",'Data Entry'!$C4855&lt;='Visual SPC'!$E$4),OR('Visual SPC'!$G$4="",'Data Entry'!$D4855='Visual SPC'!$G$4),OR('Visual SPC'!$I$4="",'Data Entry'!$E4855='Visual SPC'!$I$4),OR('Visual SPC'!$K$4="",'Data Entry'!$F4855='Visual SPC'!$K$4)),1,0))</f>
        <v/>
      </c>
      <c r="C4855">
        <f>C4854+B4855</f>
        <v/>
      </c>
      <c r="D4855">
        <f>IF(B4855=1,INDEX('Data Entry'!$H$5:$BE$10004,4855-4,'Visual SPC'!$B$3),"")</f>
        <v/>
      </c>
      <c r="E4855">
        <f>IF(B4855=1,D4855,E4854)</f>
        <v/>
      </c>
      <c r="F4855">
        <f>IF(AND(B4855=1,C4855&gt;1,E4854&lt;&gt;""),ABS(D4855-E4854),"")</f>
        <v/>
      </c>
    </row>
    <row r="4856">
      <c r="A4856" t="n">
        <v>4856</v>
      </c>
      <c r="B4856">
        <f>IF(INDEX('Data Entry'!$H$5:$BE$10004,4856-4,'Visual SPC'!$B$3)="",0,IF(AND(OR('Visual SPC'!$C$4="",'Data Entry'!$C4856&gt;='Visual SPC'!$C$4),OR('Visual SPC'!$E$4="",'Data Entry'!$C4856&lt;='Visual SPC'!$E$4),OR('Visual SPC'!$G$4="",'Data Entry'!$D4856='Visual SPC'!$G$4),OR('Visual SPC'!$I$4="",'Data Entry'!$E4856='Visual SPC'!$I$4),OR('Visual SPC'!$K$4="",'Data Entry'!$F4856='Visual SPC'!$K$4)),1,0))</f>
        <v/>
      </c>
      <c r="C4856">
        <f>C4855+B4856</f>
        <v/>
      </c>
      <c r="D4856">
        <f>IF(B4856=1,INDEX('Data Entry'!$H$5:$BE$10004,4856-4,'Visual SPC'!$B$3),"")</f>
        <v/>
      </c>
      <c r="E4856">
        <f>IF(B4856=1,D4856,E4855)</f>
        <v/>
      </c>
      <c r="F4856">
        <f>IF(AND(B4856=1,C4856&gt;1,E4855&lt;&gt;""),ABS(D4856-E4855),"")</f>
        <v/>
      </c>
    </row>
    <row r="4857">
      <c r="A4857" t="n">
        <v>4857</v>
      </c>
      <c r="B4857">
        <f>IF(INDEX('Data Entry'!$H$5:$BE$10004,4857-4,'Visual SPC'!$B$3)="",0,IF(AND(OR('Visual SPC'!$C$4="",'Data Entry'!$C4857&gt;='Visual SPC'!$C$4),OR('Visual SPC'!$E$4="",'Data Entry'!$C4857&lt;='Visual SPC'!$E$4),OR('Visual SPC'!$G$4="",'Data Entry'!$D4857='Visual SPC'!$G$4),OR('Visual SPC'!$I$4="",'Data Entry'!$E4857='Visual SPC'!$I$4),OR('Visual SPC'!$K$4="",'Data Entry'!$F4857='Visual SPC'!$K$4)),1,0))</f>
        <v/>
      </c>
      <c r="C4857">
        <f>C4856+B4857</f>
        <v/>
      </c>
      <c r="D4857">
        <f>IF(B4857=1,INDEX('Data Entry'!$H$5:$BE$10004,4857-4,'Visual SPC'!$B$3),"")</f>
        <v/>
      </c>
      <c r="E4857">
        <f>IF(B4857=1,D4857,E4856)</f>
        <v/>
      </c>
      <c r="F4857">
        <f>IF(AND(B4857=1,C4857&gt;1,E4856&lt;&gt;""),ABS(D4857-E4856),"")</f>
        <v/>
      </c>
    </row>
    <row r="4858">
      <c r="A4858" t="n">
        <v>4858</v>
      </c>
      <c r="B4858">
        <f>IF(INDEX('Data Entry'!$H$5:$BE$10004,4858-4,'Visual SPC'!$B$3)="",0,IF(AND(OR('Visual SPC'!$C$4="",'Data Entry'!$C4858&gt;='Visual SPC'!$C$4),OR('Visual SPC'!$E$4="",'Data Entry'!$C4858&lt;='Visual SPC'!$E$4),OR('Visual SPC'!$G$4="",'Data Entry'!$D4858='Visual SPC'!$G$4),OR('Visual SPC'!$I$4="",'Data Entry'!$E4858='Visual SPC'!$I$4),OR('Visual SPC'!$K$4="",'Data Entry'!$F4858='Visual SPC'!$K$4)),1,0))</f>
        <v/>
      </c>
      <c r="C4858">
        <f>C4857+B4858</f>
        <v/>
      </c>
      <c r="D4858">
        <f>IF(B4858=1,INDEX('Data Entry'!$H$5:$BE$10004,4858-4,'Visual SPC'!$B$3),"")</f>
        <v/>
      </c>
      <c r="E4858">
        <f>IF(B4858=1,D4858,E4857)</f>
        <v/>
      </c>
      <c r="F4858">
        <f>IF(AND(B4858=1,C4858&gt;1,E4857&lt;&gt;""),ABS(D4858-E4857),"")</f>
        <v/>
      </c>
    </row>
    <row r="4859">
      <c r="A4859" t="n">
        <v>4859</v>
      </c>
      <c r="B4859">
        <f>IF(INDEX('Data Entry'!$H$5:$BE$10004,4859-4,'Visual SPC'!$B$3)="",0,IF(AND(OR('Visual SPC'!$C$4="",'Data Entry'!$C4859&gt;='Visual SPC'!$C$4),OR('Visual SPC'!$E$4="",'Data Entry'!$C4859&lt;='Visual SPC'!$E$4),OR('Visual SPC'!$G$4="",'Data Entry'!$D4859='Visual SPC'!$G$4),OR('Visual SPC'!$I$4="",'Data Entry'!$E4859='Visual SPC'!$I$4),OR('Visual SPC'!$K$4="",'Data Entry'!$F4859='Visual SPC'!$K$4)),1,0))</f>
        <v/>
      </c>
      <c r="C4859">
        <f>C4858+B4859</f>
        <v/>
      </c>
      <c r="D4859">
        <f>IF(B4859=1,INDEX('Data Entry'!$H$5:$BE$10004,4859-4,'Visual SPC'!$B$3),"")</f>
        <v/>
      </c>
      <c r="E4859">
        <f>IF(B4859=1,D4859,E4858)</f>
        <v/>
      </c>
      <c r="F4859">
        <f>IF(AND(B4859=1,C4859&gt;1,E4858&lt;&gt;""),ABS(D4859-E4858),"")</f>
        <v/>
      </c>
    </row>
    <row r="4860">
      <c r="A4860" t="n">
        <v>4860</v>
      </c>
      <c r="B4860">
        <f>IF(INDEX('Data Entry'!$H$5:$BE$10004,4860-4,'Visual SPC'!$B$3)="",0,IF(AND(OR('Visual SPC'!$C$4="",'Data Entry'!$C4860&gt;='Visual SPC'!$C$4),OR('Visual SPC'!$E$4="",'Data Entry'!$C4860&lt;='Visual SPC'!$E$4),OR('Visual SPC'!$G$4="",'Data Entry'!$D4860='Visual SPC'!$G$4),OR('Visual SPC'!$I$4="",'Data Entry'!$E4860='Visual SPC'!$I$4),OR('Visual SPC'!$K$4="",'Data Entry'!$F4860='Visual SPC'!$K$4)),1,0))</f>
        <v/>
      </c>
      <c r="C4860">
        <f>C4859+B4860</f>
        <v/>
      </c>
      <c r="D4860">
        <f>IF(B4860=1,INDEX('Data Entry'!$H$5:$BE$10004,4860-4,'Visual SPC'!$B$3),"")</f>
        <v/>
      </c>
      <c r="E4860">
        <f>IF(B4860=1,D4860,E4859)</f>
        <v/>
      </c>
      <c r="F4860">
        <f>IF(AND(B4860=1,C4860&gt;1,E4859&lt;&gt;""),ABS(D4860-E4859),"")</f>
        <v/>
      </c>
    </row>
    <row r="4861">
      <c r="A4861" t="n">
        <v>4861</v>
      </c>
      <c r="B4861">
        <f>IF(INDEX('Data Entry'!$H$5:$BE$10004,4861-4,'Visual SPC'!$B$3)="",0,IF(AND(OR('Visual SPC'!$C$4="",'Data Entry'!$C4861&gt;='Visual SPC'!$C$4),OR('Visual SPC'!$E$4="",'Data Entry'!$C4861&lt;='Visual SPC'!$E$4),OR('Visual SPC'!$G$4="",'Data Entry'!$D4861='Visual SPC'!$G$4),OR('Visual SPC'!$I$4="",'Data Entry'!$E4861='Visual SPC'!$I$4),OR('Visual SPC'!$K$4="",'Data Entry'!$F4861='Visual SPC'!$K$4)),1,0))</f>
        <v/>
      </c>
      <c r="C4861">
        <f>C4860+B4861</f>
        <v/>
      </c>
      <c r="D4861">
        <f>IF(B4861=1,INDEX('Data Entry'!$H$5:$BE$10004,4861-4,'Visual SPC'!$B$3),"")</f>
        <v/>
      </c>
      <c r="E4861">
        <f>IF(B4861=1,D4861,E4860)</f>
        <v/>
      </c>
      <c r="F4861">
        <f>IF(AND(B4861=1,C4861&gt;1,E4860&lt;&gt;""),ABS(D4861-E4860),"")</f>
        <v/>
      </c>
    </row>
    <row r="4862">
      <c r="A4862" t="n">
        <v>4862</v>
      </c>
      <c r="B4862">
        <f>IF(INDEX('Data Entry'!$H$5:$BE$10004,4862-4,'Visual SPC'!$B$3)="",0,IF(AND(OR('Visual SPC'!$C$4="",'Data Entry'!$C4862&gt;='Visual SPC'!$C$4),OR('Visual SPC'!$E$4="",'Data Entry'!$C4862&lt;='Visual SPC'!$E$4),OR('Visual SPC'!$G$4="",'Data Entry'!$D4862='Visual SPC'!$G$4),OR('Visual SPC'!$I$4="",'Data Entry'!$E4862='Visual SPC'!$I$4),OR('Visual SPC'!$K$4="",'Data Entry'!$F4862='Visual SPC'!$K$4)),1,0))</f>
        <v/>
      </c>
      <c r="C4862">
        <f>C4861+B4862</f>
        <v/>
      </c>
      <c r="D4862">
        <f>IF(B4862=1,INDEX('Data Entry'!$H$5:$BE$10004,4862-4,'Visual SPC'!$B$3),"")</f>
        <v/>
      </c>
      <c r="E4862">
        <f>IF(B4862=1,D4862,E4861)</f>
        <v/>
      </c>
      <c r="F4862">
        <f>IF(AND(B4862=1,C4862&gt;1,E4861&lt;&gt;""),ABS(D4862-E4861),"")</f>
        <v/>
      </c>
    </row>
    <row r="4863">
      <c r="A4863" t="n">
        <v>4863</v>
      </c>
      <c r="B4863">
        <f>IF(INDEX('Data Entry'!$H$5:$BE$10004,4863-4,'Visual SPC'!$B$3)="",0,IF(AND(OR('Visual SPC'!$C$4="",'Data Entry'!$C4863&gt;='Visual SPC'!$C$4),OR('Visual SPC'!$E$4="",'Data Entry'!$C4863&lt;='Visual SPC'!$E$4),OR('Visual SPC'!$G$4="",'Data Entry'!$D4863='Visual SPC'!$G$4),OR('Visual SPC'!$I$4="",'Data Entry'!$E4863='Visual SPC'!$I$4),OR('Visual SPC'!$K$4="",'Data Entry'!$F4863='Visual SPC'!$K$4)),1,0))</f>
        <v/>
      </c>
      <c r="C4863">
        <f>C4862+B4863</f>
        <v/>
      </c>
      <c r="D4863">
        <f>IF(B4863=1,INDEX('Data Entry'!$H$5:$BE$10004,4863-4,'Visual SPC'!$B$3),"")</f>
        <v/>
      </c>
      <c r="E4863">
        <f>IF(B4863=1,D4863,E4862)</f>
        <v/>
      </c>
      <c r="F4863">
        <f>IF(AND(B4863=1,C4863&gt;1,E4862&lt;&gt;""),ABS(D4863-E4862),"")</f>
        <v/>
      </c>
    </row>
    <row r="4864">
      <c r="A4864" t="n">
        <v>4864</v>
      </c>
      <c r="B4864">
        <f>IF(INDEX('Data Entry'!$H$5:$BE$10004,4864-4,'Visual SPC'!$B$3)="",0,IF(AND(OR('Visual SPC'!$C$4="",'Data Entry'!$C4864&gt;='Visual SPC'!$C$4),OR('Visual SPC'!$E$4="",'Data Entry'!$C4864&lt;='Visual SPC'!$E$4),OR('Visual SPC'!$G$4="",'Data Entry'!$D4864='Visual SPC'!$G$4),OR('Visual SPC'!$I$4="",'Data Entry'!$E4864='Visual SPC'!$I$4),OR('Visual SPC'!$K$4="",'Data Entry'!$F4864='Visual SPC'!$K$4)),1,0))</f>
        <v/>
      </c>
      <c r="C4864">
        <f>C4863+B4864</f>
        <v/>
      </c>
      <c r="D4864">
        <f>IF(B4864=1,INDEX('Data Entry'!$H$5:$BE$10004,4864-4,'Visual SPC'!$B$3),"")</f>
        <v/>
      </c>
      <c r="E4864">
        <f>IF(B4864=1,D4864,E4863)</f>
        <v/>
      </c>
      <c r="F4864">
        <f>IF(AND(B4864=1,C4864&gt;1,E4863&lt;&gt;""),ABS(D4864-E4863),"")</f>
        <v/>
      </c>
    </row>
    <row r="4865">
      <c r="A4865" t="n">
        <v>4865</v>
      </c>
      <c r="B4865">
        <f>IF(INDEX('Data Entry'!$H$5:$BE$10004,4865-4,'Visual SPC'!$B$3)="",0,IF(AND(OR('Visual SPC'!$C$4="",'Data Entry'!$C4865&gt;='Visual SPC'!$C$4),OR('Visual SPC'!$E$4="",'Data Entry'!$C4865&lt;='Visual SPC'!$E$4),OR('Visual SPC'!$G$4="",'Data Entry'!$D4865='Visual SPC'!$G$4),OR('Visual SPC'!$I$4="",'Data Entry'!$E4865='Visual SPC'!$I$4),OR('Visual SPC'!$K$4="",'Data Entry'!$F4865='Visual SPC'!$K$4)),1,0))</f>
        <v/>
      </c>
      <c r="C4865">
        <f>C4864+B4865</f>
        <v/>
      </c>
      <c r="D4865">
        <f>IF(B4865=1,INDEX('Data Entry'!$H$5:$BE$10004,4865-4,'Visual SPC'!$B$3),"")</f>
        <v/>
      </c>
      <c r="E4865">
        <f>IF(B4865=1,D4865,E4864)</f>
        <v/>
      </c>
      <c r="F4865">
        <f>IF(AND(B4865=1,C4865&gt;1,E4864&lt;&gt;""),ABS(D4865-E4864),"")</f>
        <v/>
      </c>
    </row>
    <row r="4866">
      <c r="A4866" t="n">
        <v>4866</v>
      </c>
      <c r="B4866">
        <f>IF(INDEX('Data Entry'!$H$5:$BE$10004,4866-4,'Visual SPC'!$B$3)="",0,IF(AND(OR('Visual SPC'!$C$4="",'Data Entry'!$C4866&gt;='Visual SPC'!$C$4),OR('Visual SPC'!$E$4="",'Data Entry'!$C4866&lt;='Visual SPC'!$E$4),OR('Visual SPC'!$G$4="",'Data Entry'!$D4866='Visual SPC'!$G$4),OR('Visual SPC'!$I$4="",'Data Entry'!$E4866='Visual SPC'!$I$4),OR('Visual SPC'!$K$4="",'Data Entry'!$F4866='Visual SPC'!$K$4)),1,0))</f>
        <v/>
      </c>
      <c r="C4866">
        <f>C4865+B4866</f>
        <v/>
      </c>
      <c r="D4866">
        <f>IF(B4866=1,INDEX('Data Entry'!$H$5:$BE$10004,4866-4,'Visual SPC'!$B$3),"")</f>
        <v/>
      </c>
      <c r="E4866">
        <f>IF(B4866=1,D4866,E4865)</f>
        <v/>
      </c>
      <c r="F4866">
        <f>IF(AND(B4866=1,C4866&gt;1,E4865&lt;&gt;""),ABS(D4866-E4865),"")</f>
        <v/>
      </c>
    </row>
    <row r="4867">
      <c r="A4867" t="n">
        <v>4867</v>
      </c>
      <c r="B4867">
        <f>IF(INDEX('Data Entry'!$H$5:$BE$10004,4867-4,'Visual SPC'!$B$3)="",0,IF(AND(OR('Visual SPC'!$C$4="",'Data Entry'!$C4867&gt;='Visual SPC'!$C$4),OR('Visual SPC'!$E$4="",'Data Entry'!$C4867&lt;='Visual SPC'!$E$4),OR('Visual SPC'!$G$4="",'Data Entry'!$D4867='Visual SPC'!$G$4),OR('Visual SPC'!$I$4="",'Data Entry'!$E4867='Visual SPC'!$I$4),OR('Visual SPC'!$K$4="",'Data Entry'!$F4867='Visual SPC'!$K$4)),1,0))</f>
        <v/>
      </c>
      <c r="C4867">
        <f>C4866+B4867</f>
        <v/>
      </c>
      <c r="D4867">
        <f>IF(B4867=1,INDEX('Data Entry'!$H$5:$BE$10004,4867-4,'Visual SPC'!$B$3),"")</f>
        <v/>
      </c>
      <c r="E4867">
        <f>IF(B4867=1,D4867,E4866)</f>
        <v/>
      </c>
      <c r="F4867">
        <f>IF(AND(B4867=1,C4867&gt;1,E4866&lt;&gt;""),ABS(D4867-E4866),"")</f>
        <v/>
      </c>
    </row>
    <row r="4868">
      <c r="A4868" t="n">
        <v>4868</v>
      </c>
      <c r="B4868">
        <f>IF(INDEX('Data Entry'!$H$5:$BE$10004,4868-4,'Visual SPC'!$B$3)="",0,IF(AND(OR('Visual SPC'!$C$4="",'Data Entry'!$C4868&gt;='Visual SPC'!$C$4),OR('Visual SPC'!$E$4="",'Data Entry'!$C4868&lt;='Visual SPC'!$E$4),OR('Visual SPC'!$G$4="",'Data Entry'!$D4868='Visual SPC'!$G$4),OR('Visual SPC'!$I$4="",'Data Entry'!$E4868='Visual SPC'!$I$4),OR('Visual SPC'!$K$4="",'Data Entry'!$F4868='Visual SPC'!$K$4)),1,0))</f>
        <v/>
      </c>
      <c r="C4868">
        <f>C4867+B4868</f>
        <v/>
      </c>
      <c r="D4868">
        <f>IF(B4868=1,INDEX('Data Entry'!$H$5:$BE$10004,4868-4,'Visual SPC'!$B$3),"")</f>
        <v/>
      </c>
      <c r="E4868">
        <f>IF(B4868=1,D4868,E4867)</f>
        <v/>
      </c>
      <c r="F4868">
        <f>IF(AND(B4868=1,C4868&gt;1,E4867&lt;&gt;""),ABS(D4868-E4867),"")</f>
        <v/>
      </c>
    </row>
    <row r="4869">
      <c r="A4869" t="n">
        <v>4869</v>
      </c>
      <c r="B4869">
        <f>IF(INDEX('Data Entry'!$H$5:$BE$10004,4869-4,'Visual SPC'!$B$3)="",0,IF(AND(OR('Visual SPC'!$C$4="",'Data Entry'!$C4869&gt;='Visual SPC'!$C$4),OR('Visual SPC'!$E$4="",'Data Entry'!$C4869&lt;='Visual SPC'!$E$4),OR('Visual SPC'!$G$4="",'Data Entry'!$D4869='Visual SPC'!$G$4),OR('Visual SPC'!$I$4="",'Data Entry'!$E4869='Visual SPC'!$I$4),OR('Visual SPC'!$K$4="",'Data Entry'!$F4869='Visual SPC'!$K$4)),1,0))</f>
        <v/>
      </c>
      <c r="C4869">
        <f>C4868+B4869</f>
        <v/>
      </c>
      <c r="D4869">
        <f>IF(B4869=1,INDEX('Data Entry'!$H$5:$BE$10004,4869-4,'Visual SPC'!$B$3),"")</f>
        <v/>
      </c>
      <c r="E4869">
        <f>IF(B4869=1,D4869,E4868)</f>
        <v/>
      </c>
      <c r="F4869">
        <f>IF(AND(B4869=1,C4869&gt;1,E4868&lt;&gt;""),ABS(D4869-E4868),"")</f>
        <v/>
      </c>
    </row>
    <row r="4870">
      <c r="A4870" t="n">
        <v>4870</v>
      </c>
      <c r="B4870">
        <f>IF(INDEX('Data Entry'!$H$5:$BE$10004,4870-4,'Visual SPC'!$B$3)="",0,IF(AND(OR('Visual SPC'!$C$4="",'Data Entry'!$C4870&gt;='Visual SPC'!$C$4),OR('Visual SPC'!$E$4="",'Data Entry'!$C4870&lt;='Visual SPC'!$E$4),OR('Visual SPC'!$G$4="",'Data Entry'!$D4870='Visual SPC'!$G$4),OR('Visual SPC'!$I$4="",'Data Entry'!$E4870='Visual SPC'!$I$4),OR('Visual SPC'!$K$4="",'Data Entry'!$F4870='Visual SPC'!$K$4)),1,0))</f>
        <v/>
      </c>
      <c r="C4870">
        <f>C4869+B4870</f>
        <v/>
      </c>
      <c r="D4870">
        <f>IF(B4870=1,INDEX('Data Entry'!$H$5:$BE$10004,4870-4,'Visual SPC'!$B$3),"")</f>
        <v/>
      </c>
      <c r="E4870">
        <f>IF(B4870=1,D4870,E4869)</f>
        <v/>
      </c>
      <c r="F4870">
        <f>IF(AND(B4870=1,C4870&gt;1,E4869&lt;&gt;""),ABS(D4870-E4869),"")</f>
        <v/>
      </c>
    </row>
    <row r="4871">
      <c r="A4871" t="n">
        <v>4871</v>
      </c>
      <c r="B4871">
        <f>IF(INDEX('Data Entry'!$H$5:$BE$10004,4871-4,'Visual SPC'!$B$3)="",0,IF(AND(OR('Visual SPC'!$C$4="",'Data Entry'!$C4871&gt;='Visual SPC'!$C$4),OR('Visual SPC'!$E$4="",'Data Entry'!$C4871&lt;='Visual SPC'!$E$4),OR('Visual SPC'!$G$4="",'Data Entry'!$D4871='Visual SPC'!$G$4),OR('Visual SPC'!$I$4="",'Data Entry'!$E4871='Visual SPC'!$I$4),OR('Visual SPC'!$K$4="",'Data Entry'!$F4871='Visual SPC'!$K$4)),1,0))</f>
        <v/>
      </c>
      <c r="C4871">
        <f>C4870+B4871</f>
        <v/>
      </c>
      <c r="D4871">
        <f>IF(B4871=1,INDEX('Data Entry'!$H$5:$BE$10004,4871-4,'Visual SPC'!$B$3),"")</f>
        <v/>
      </c>
      <c r="E4871">
        <f>IF(B4871=1,D4871,E4870)</f>
        <v/>
      </c>
      <c r="F4871">
        <f>IF(AND(B4871=1,C4871&gt;1,E4870&lt;&gt;""),ABS(D4871-E4870),"")</f>
        <v/>
      </c>
    </row>
    <row r="4872">
      <c r="A4872" t="n">
        <v>4872</v>
      </c>
      <c r="B4872">
        <f>IF(INDEX('Data Entry'!$H$5:$BE$10004,4872-4,'Visual SPC'!$B$3)="",0,IF(AND(OR('Visual SPC'!$C$4="",'Data Entry'!$C4872&gt;='Visual SPC'!$C$4),OR('Visual SPC'!$E$4="",'Data Entry'!$C4872&lt;='Visual SPC'!$E$4),OR('Visual SPC'!$G$4="",'Data Entry'!$D4872='Visual SPC'!$G$4),OR('Visual SPC'!$I$4="",'Data Entry'!$E4872='Visual SPC'!$I$4),OR('Visual SPC'!$K$4="",'Data Entry'!$F4872='Visual SPC'!$K$4)),1,0))</f>
        <v/>
      </c>
      <c r="C4872">
        <f>C4871+B4872</f>
        <v/>
      </c>
      <c r="D4872">
        <f>IF(B4872=1,INDEX('Data Entry'!$H$5:$BE$10004,4872-4,'Visual SPC'!$B$3),"")</f>
        <v/>
      </c>
      <c r="E4872">
        <f>IF(B4872=1,D4872,E4871)</f>
        <v/>
      </c>
      <c r="F4872">
        <f>IF(AND(B4872=1,C4872&gt;1,E4871&lt;&gt;""),ABS(D4872-E4871),"")</f>
        <v/>
      </c>
    </row>
    <row r="4873">
      <c r="A4873" t="n">
        <v>4873</v>
      </c>
      <c r="B4873">
        <f>IF(INDEX('Data Entry'!$H$5:$BE$10004,4873-4,'Visual SPC'!$B$3)="",0,IF(AND(OR('Visual SPC'!$C$4="",'Data Entry'!$C4873&gt;='Visual SPC'!$C$4),OR('Visual SPC'!$E$4="",'Data Entry'!$C4873&lt;='Visual SPC'!$E$4),OR('Visual SPC'!$G$4="",'Data Entry'!$D4873='Visual SPC'!$G$4),OR('Visual SPC'!$I$4="",'Data Entry'!$E4873='Visual SPC'!$I$4),OR('Visual SPC'!$K$4="",'Data Entry'!$F4873='Visual SPC'!$K$4)),1,0))</f>
        <v/>
      </c>
      <c r="C4873">
        <f>C4872+B4873</f>
        <v/>
      </c>
      <c r="D4873">
        <f>IF(B4873=1,INDEX('Data Entry'!$H$5:$BE$10004,4873-4,'Visual SPC'!$B$3),"")</f>
        <v/>
      </c>
      <c r="E4873">
        <f>IF(B4873=1,D4873,E4872)</f>
        <v/>
      </c>
      <c r="F4873">
        <f>IF(AND(B4873=1,C4873&gt;1,E4872&lt;&gt;""),ABS(D4873-E4872),"")</f>
        <v/>
      </c>
    </row>
    <row r="4874">
      <c r="A4874" t="n">
        <v>4874</v>
      </c>
      <c r="B4874">
        <f>IF(INDEX('Data Entry'!$H$5:$BE$10004,4874-4,'Visual SPC'!$B$3)="",0,IF(AND(OR('Visual SPC'!$C$4="",'Data Entry'!$C4874&gt;='Visual SPC'!$C$4),OR('Visual SPC'!$E$4="",'Data Entry'!$C4874&lt;='Visual SPC'!$E$4),OR('Visual SPC'!$G$4="",'Data Entry'!$D4874='Visual SPC'!$G$4),OR('Visual SPC'!$I$4="",'Data Entry'!$E4874='Visual SPC'!$I$4),OR('Visual SPC'!$K$4="",'Data Entry'!$F4874='Visual SPC'!$K$4)),1,0))</f>
        <v/>
      </c>
      <c r="C4874">
        <f>C4873+B4874</f>
        <v/>
      </c>
      <c r="D4874">
        <f>IF(B4874=1,INDEX('Data Entry'!$H$5:$BE$10004,4874-4,'Visual SPC'!$B$3),"")</f>
        <v/>
      </c>
      <c r="E4874">
        <f>IF(B4874=1,D4874,E4873)</f>
        <v/>
      </c>
      <c r="F4874">
        <f>IF(AND(B4874=1,C4874&gt;1,E4873&lt;&gt;""),ABS(D4874-E4873),"")</f>
        <v/>
      </c>
    </row>
    <row r="4875">
      <c r="A4875" t="n">
        <v>4875</v>
      </c>
      <c r="B4875">
        <f>IF(INDEX('Data Entry'!$H$5:$BE$10004,4875-4,'Visual SPC'!$B$3)="",0,IF(AND(OR('Visual SPC'!$C$4="",'Data Entry'!$C4875&gt;='Visual SPC'!$C$4),OR('Visual SPC'!$E$4="",'Data Entry'!$C4875&lt;='Visual SPC'!$E$4),OR('Visual SPC'!$G$4="",'Data Entry'!$D4875='Visual SPC'!$G$4),OR('Visual SPC'!$I$4="",'Data Entry'!$E4875='Visual SPC'!$I$4),OR('Visual SPC'!$K$4="",'Data Entry'!$F4875='Visual SPC'!$K$4)),1,0))</f>
        <v/>
      </c>
      <c r="C4875">
        <f>C4874+B4875</f>
        <v/>
      </c>
      <c r="D4875">
        <f>IF(B4875=1,INDEX('Data Entry'!$H$5:$BE$10004,4875-4,'Visual SPC'!$B$3),"")</f>
        <v/>
      </c>
      <c r="E4875">
        <f>IF(B4875=1,D4875,E4874)</f>
        <v/>
      </c>
      <c r="F4875">
        <f>IF(AND(B4875=1,C4875&gt;1,E4874&lt;&gt;""),ABS(D4875-E4874),"")</f>
        <v/>
      </c>
    </row>
    <row r="4876">
      <c r="A4876" t="n">
        <v>4876</v>
      </c>
      <c r="B4876">
        <f>IF(INDEX('Data Entry'!$H$5:$BE$10004,4876-4,'Visual SPC'!$B$3)="",0,IF(AND(OR('Visual SPC'!$C$4="",'Data Entry'!$C4876&gt;='Visual SPC'!$C$4),OR('Visual SPC'!$E$4="",'Data Entry'!$C4876&lt;='Visual SPC'!$E$4),OR('Visual SPC'!$G$4="",'Data Entry'!$D4876='Visual SPC'!$G$4),OR('Visual SPC'!$I$4="",'Data Entry'!$E4876='Visual SPC'!$I$4),OR('Visual SPC'!$K$4="",'Data Entry'!$F4876='Visual SPC'!$K$4)),1,0))</f>
        <v/>
      </c>
      <c r="C4876">
        <f>C4875+B4876</f>
        <v/>
      </c>
      <c r="D4876">
        <f>IF(B4876=1,INDEX('Data Entry'!$H$5:$BE$10004,4876-4,'Visual SPC'!$B$3),"")</f>
        <v/>
      </c>
      <c r="E4876">
        <f>IF(B4876=1,D4876,E4875)</f>
        <v/>
      </c>
      <c r="F4876">
        <f>IF(AND(B4876=1,C4876&gt;1,E4875&lt;&gt;""),ABS(D4876-E4875),"")</f>
        <v/>
      </c>
    </row>
    <row r="4877">
      <c r="A4877" t="n">
        <v>4877</v>
      </c>
      <c r="B4877">
        <f>IF(INDEX('Data Entry'!$H$5:$BE$10004,4877-4,'Visual SPC'!$B$3)="",0,IF(AND(OR('Visual SPC'!$C$4="",'Data Entry'!$C4877&gt;='Visual SPC'!$C$4),OR('Visual SPC'!$E$4="",'Data Entry'!$C4877&lt;='Visual SPC'!$E$4),OR('Visual SPC'!$G$4="",'Data Entry'!$D4877='Visual SPC'!$G$4),OR('Visual SPC'!$I$4="",'Data Entry'!$E4877='Visual SPC'!$I$4),OR('Visual SPC'!$K$4="",'Data Entry'!$F4877='Visual SPC'!$K$4)),1,0))</f>
        <v/>
      </c>
      <c r="C4877">
        <f>C4876+B4877</f>
        <v/>
      </c>
      <c r="D4877">
        <f>IF(B4877=1,INDEX('Data Entry'!$H$5:$BE$10004,4877-4,'Visual SPC'!$B$3),"")</f>
        <v/>
      </c>
      <c r="E4877">
        <f>IF(B4877=1,D4877,E4876)</f>
        <v/>
      </c>
      <c r="F4877">
        <f>IF(AND(B4877=1,C4877&gt;1,E4876&lt;&gt;""),ABS(D4877-E4876),"")</f>
        <v/>
      </c>
    </row>
    <row r="4878">
      <c r="A4878" t="n">
        <v>4878</v>
      </c>
      <c r="B4878">
        <f>IF(INDEX('Data Entry'!$H$5:$BE$10004,4878-4,'Visual SPC'!$B$3)="",0,IF(AND(OR('Visual SPC'!$C$4="",'Data Entry'!$C4878&gt;='Visual SPC'!$C$4),OR('Visual SPC'!$E$4="",'Data Entry'!$C4878&lt;='Visual SPC'!$E$4),OR('Visual SPC'!$G$4="",'Data Entry'!$D4878='Visual SPC'!$G$4),OR('Visual SPC'!$I$4="",'Data Entry'!$E4878='Visual SPC'!$I$4),OR('Visual SPC'!$K$4="",'Data Entry'!$F4878='Visual SPC'!$K$4)),1,0))</f>
        <v/>
      </c>
      <c r="C4878">
        <f>C4877+B4878</f>
        <v/>
      </c>
      <c r="D4878">
        <f>IF(B4878=1,INDEX('Data Entry'!$H$5:$BE$10004,4878-4,'Visual SPC'!$B$3),"")</f>
        <v/>
      </c>
      <c r="E4878">
        <f>IF(B4878=1,D4878,E4877)</f>
        <v/>
      </c>
      <c r="F4878">
        <f>IF(AND(B4878=1,C4878&gt;1,E4877&lt;&gt;""),ABS(D4878-E4877),"")</f>
        <v/>
      </c>
    </row>
    <row r="4879">
      <c r="A4879" t="n">
        <v>4879</v>
      </c>
      <c r="B4879">
        <f>IF(INDEX('Data Entry'!$H$5:$BE$10004,4879-4,'Visual SPC'!$B$3)="",0,IF(AND(OR('Visual SPC'!$C$4="",'Data Entry'!$C4879&gt;='Visual SPC'!$C$4),OR('Visual SPC'!$E$4="",'Data Entry'!$C4879&lt;='Visual SPC'!$E$4),OR('Visual SPC'!$G$4="",'Data Entry'!$D4879='Visual SPC'!$G$4),OR('Visual SPC'!$I$4="",'Data Entry'!$E4879='Visual SPC'!$I$4),OR('Visual SPC'!$K$4="",'Data Entry'!$F4879='Visual SPC'!$K$4)),1,0))</f>
        <v/>
      </c>
      <c r="C4879">
        <f>C4878+B4879</f>
        <v/>
      </c>
      <c r="D4879">
        <f>IF(B4879=1,INDEX('Data Entry'!$H$5:$BE$10004,4879-4,'Visual SPC'!$B$3),"")</f>
        <v/>
      </c>
      <c r="E4879">
        <f>IF(B4879=1,D4879,E4878)</f>
        <v/>
      </c>
      <c r="F4879">
        <f>IF(AND(B4879=1,C4879&gt;1,E4878&lt;&gt;""),ABS(D4879-E4878),"")</f>
        <v/>
      </c>
    </row>
    <row r="4880">
      <c r="A4880" t="n">
        <v>4880</v>
      </c>
      <c r="B4880">
        <f>IF(INDEX('Data Entry'!$H$5:$BE$10004,4880-4,'Visual SPC'!$B$3)="",0,IF(AND(OR('Visual SPC'!$C$4="",'Data Entry'!$C4880&gt;='Visual SPC'!$C$4),OR('Visual SPC'!$E$4="",'Data Entry'!$C4880&lt;='Visual SPC'!$E$4),OR('Visual SPC'!$G$4="",'Data Entry'!$D4880='Visual SPC'!$G$4),OR('Visual SPC'!$I$4="",'Data Entry'!$E4880='Visual SPC'!$I$4),OR('Visual SPC'!$K$4="",'Data Entry'!$F4880='Visual SPC'!$K$4)),1,0))</f>
        <v/>
      </c>
      <c r="C4880">
        <f>C4879+B4880</f>
        <v/>
      </c>
      <c r="D4880">
        <f>IF(B4880=1,INDEX('Data Entry'!$H$5:$BE$10004,4880-4,'Visual SPC'!$B$3),"")</f>
        <v/>
      </c>
      <c r="E4880">
        <f>IF(B4880=1,D4880,E4879)</f>
        <v/>
      </c>
      <c r="F4880">
        <f>IF(AND(B4880=1,C4880&gt;1,E4879&lt;&gt;""),ABS(D4880-E4879),"")</f>
        <v/>
      </c>
    </row>
    <row r="4881">
      <c r="A4881" t="n">
        <v>4881</v>
      </c>
      <c r="B4881">
        <f>IF(INDEX('Data Entry'!$H$5:$BE$10004,4881-4,'Visual SPC'!$B$3)="",0,IF(AND(OR('Visual SPC'!$C$4="",'Data Entry'!$C4881&gt;='Visual SPC'!$C$4),OR('Visual SPC'!$E$4="",'Data Entry'!$C4881&lt;='Visual SPC'!$E$4),OR('Visual SPC'!$G$4="",'Data Entry'!$D4881='Visual SPC'!$G$4),OR('Visual SPC'!$I$4="",'Data Entry'!$E4881='Visual SPC'!$I$4),OR('Visual SPC'!$K$4="",'Data Entry'!$F4881='Visual SPC'!$K$4)),1,0))</f>
        <v/>
      </c>
      <c r="C4881">
        <f>C4880+B4881</f>
        <v/>
      </c>
      <c r="D4881">
        <f>IF(B4881=1,INDEX('Data Entry'!$H$5:$BE$10004,4881-4,'Visual SPC'!$B$3),"")</f>
        <v/>
      </c>
      <c r="E4881">
        <f>IF(B4881=1,D4881,E4880)</f>
        <v/>
      </c>
      <c r="F4881">
        <f>IF(AND(B4881=1,C4881&gt;1,E4880&lt;&gt;""),ABS(D4881-E4880),"")</f>
        <v/>
      </c>
    </row>
    <row r="4882">
      <c r="A4882" t="n">
        <v>4882</v>
      </c>
      <c r="B4882">
        <f>IF(INDEX('Data Entry'!$H$5:$BE$10004,4882-4,'Visual SPC'!$B$3)="",0,IF(AND(OR('Visual SPC'!$C$4="",'Data Entry'!$C4882&gt;='Visual SPC'!$C$4),OR('Visual SPC'!$E$4="",'Data Entry'!$C4882&lt;='Visual SPC'!$E$4),OR('Visual SPC'!$G$4="",'Data Entry'!$D4882='Visual SPC'!$G$4),OR('Visual SPC'!$I$4="",'Data Entry'!$E4882='Visual SPC'!$I$4),OR('Visual SPC'!$K$4="",'Data Entry'!$F4882='Visual SPC'!$K$4)),1,0))</f>
        <v/>
      </c>
      <c r="C4882">
        <f>C4881+B4882</f>
        <v/>
      </c>
      <c r="D4882">
        <f>IF(B4882=1,INDEX('Data Entry'!$H$5:$BE$10004,4882-4,'Visual SPC'!$B$3),"")</f>
        <v/>
      </c>
      <c r="E4882">
        <f>IF(B4882=1,D4882,E4881)</f>
        <v/>
      </c>
      <c r="F4882">
        <f>IF(AND(B4882=1,C4882&gt;1,E4881&lt;&gt;""),ABS(D4882-E4881),"")</f>
        <v/>
      </c>
    </row>
    <row r="4883">
      <c r="A4883" t="n">
        <v>4883</v>
      </c>
      <c r="B4883">
        <f>IF(INDEX('Data Entry'!$H$5:$BE$10004,4883-4,'Visual SPC'!$B$3)="",0,IF(AND(OR('Visual SPC'!$C$4="",'Data Entry'!$C4883&gt;='Visual SPC'!$C$4),OR('Visual SPC'!$E$4="",'Data Entry'!$C4883&lt;='Visual SPC'!$E$4),OR('Visual SPC'!$G$4="",'Data Entry'!$D4883='Visual SPC'!$G$4),OR('Visual SPC'!$I$4="",'Data Entry'!$E4883='Visual SPC'!$I$4),OR('Visual SPC'!$K$4="",'Data Entry'!$F4883='Visual SPC'!$K$4)),1,0))</f>
        <v/>
      </c>
      <c r="C4883">
        <f>C4882+B4883</f>
        <v/>
      </c>
      <c r="D4883">
        <f>IF(B4883=1,INDEX('Data Entry'!$H$5:$BE$10004,4883-4,'Visual SPC'!$B$3),"")</f>
        <v/>
      </c>
      <c r="E4883">
        <f>IF(B4883=1,D4883,E4882)</f>
        <v/>
      </c>
      <c r="F4883">
        <f>IF(AND(B4883=1,C4883&gt;1,E4882&lt;&gt;""),ABS(D4883-E4882),"")</f>
        <v/>
      </c>
    </row>
    <row r="4884">
      <c r="A4884" t="n">
        <v>4884</v>
      </c>
      <c r="B4884">
        <f>IF(INDEX('Data Entry'!$H$5:$BE$10004,4884-4,'Visual SPC'!$B$3)="",0,IF(AND(OR('Visual SPC'!$C$4="",'Data Entry'!$C4884&gt;='Visual SPC'!$C$4),OR('Visual SPC'!$E$4="",'Data Entry'!$C4884&lt;='Visual SPC'!$E$4),OR('Visual SPC'!$G$4="",'Data Entry'!$D4884='Visual SPC'!$G$4),OR('Visual SPC'!$I$4="",'Data Entry'!$E4884='Visual SPC'!$I$4),OR('Visual SPC'!$K$4="",'Data Entry'!$F4884='Visual SPC'!$K$4)),1,0))</f>
        <v/>
      </c>
      <c r="C4884">
        <f>C4883+B4884</f>
        <v/>
      </c>
      <c r="D4884">
        <f>IF(B4884=1,INDEX('Data Entry'!$H$5:$BE$10004,4884-4,'Visual SPC'!$B$3),"")</f>
        <v/>
      </c>
      <c r="E4884">
        <f>IF(B4884=1,D4884,E4883)</f>
        <v/>
      </c>
      <c r="F4884">
        <f>IF(AND(B4884=1,C4884&gt;1,E4883&lt;&gt;""),ABS(D4884-E4883),"")</f>
        <v/>
      </c>
    </row>
    <row r="4885">
      <c r="A4885" t="n">
        <v>4885</v>
      </c>
      <c r="B4885">
        <f>IF(INDEX('Data Entry'!$H$5:$BE$10004,4885-4,'Visual SPC'!$B$3)="",0,IF(AND(OR('Visual SPC'!$C$4="",'Data Entry'!$C4885&gt;='Visual SPC'!$C$4),OR('Visual SPC'!$E$4="",'Data Entry'!$C4885&lt;='Visual SPC'!$E$4),OR('Visual SPC'!$G$4="",'Data Entry'!$D4885='Visual SPC'!$G$4),OR('Visual SPC'!$I$4="",'Data Entry'!$E4885='Visual SPC'!$I$4),OR('Visual SPC'!$K$4="",'Data Entry'!$F4885='Visual SPC'!$K$4)),1,0))</f>
        <v/>
      </c>
      <c r="C4885">
        <f>C4884+B4885</f>
        <v/>
      </c>
      <c r="D4885">
        <f>IF(B4885=1,INDEX('Data Entry'!$H$5:$BE$10004,4885-4,'Visual SPC'!$B$3),"")</f>
        <v/>
      </c>
      <c r="E4885">
        <f>IF(B4885=1,D4885,E4884)</f>
        <v/>
      </c>
      <c r="F4885">
        <f>IF(AND(B4885=1,C4885&gt;1,E4884&lt;&gt;""),ABS(D4885-E4884),"")</f>
        <v/>
      </c>
    </row>
    <row r="4886">
      <c r="A4886" t="n">
        <v>4886</v>
      </c>
      <c r="B4886">
        <f>IF(INDEX('Data Entry'!$H$5:$BE$10004,4886-4,'Visual SPC'!$B$3)="",0,IF(AND(OR('Visual SPC'!$C$4="",'Data Entry'!$C4886&gt;='Visual SPC'!$C$4),OR('Visual SPC'!$E$4="",'Data Entry'!$C4886&lt;='Visual SPC'!$E$4),OR('Visual SPC'!$G$4="",'Data Entry'!$D4886='Visual SPC'!$G$4),OR('Visual SPC'!$I$4="",'Data Entry'!$E4886='Visual SPC'!$I$4),OR('Visual SPC'!$K$4="",'Data Entry'!$F4886='Visual SPC'!$K$4)),1,0))</f>
        <v/>
      </c>
      <c r="C4886">
        <f>C4885+B4886</f>
        <v/>
      </c>
      <c r="D4886">
        <f>IF(B4886=1,INDEX('Data Entry'!$H$5:$BE$10004,4886-4,'Visual SPC'!$B$3),"")</f>
        <v/>
      </c>
      <c r="E4886">
        <f>IF(B4886=1,D4886,E4885)</f>
        <v/>
      </c>
      <c r="F4886">
        <f>IF(AND(B4886=1,C4886&gt;1,E4885&lt;&gt;""),ABS(D4886-E4885),"")</f>
        <v/>
      </c>
    </row>
    <row r="4887">
      <c r="A4887" t="n">
        <v>4887</v>
      </c>
      <c r="B4887">
        <f>IF(INDEX('Data Entry'!$H$5:$BE$10004,4887-4,'Visual SPC'!$B$3)="",0,IF(AND(OR('Visual SPC'!$C$4="",'Data Entry'!$C4887&gt;='Visual SPC'!$C$4),OR('Visual SPC'!$E$4="",'Data Entry'!$C4887&lt;='Visual SPC'!$E$4),OR('Visual SPC'!$G$4="",'Data Entry'!$D4887='Visual SPC'!$G$4),OR('Visual SPC'!$I$4="",'Data Entry'!$E4887='Visual SPC'!$I$4),OR('Visual SPC'!$K$4="",'Data Entry'!$F4887='Visual SPC'!$K$4)),1,0))</f>
        <v/>
      </c>
      <c r="C4887">
        <f>C4886+B4887</f>
        <v/>
      </c>
      <c r="D4887">
        <f>IF(B4887=1,INDEX('Data Entry'!$H$5:$BE$10004,4887-4,'Visual SPC'!$B$3),"")</f>
        <v/>
      </c>
      <c r="E4887">
        <f>IF(B4887=1,D4887,E4886)</f>
        <v/>
      </c>
      <c r="F4887">
        <f>IF(AND(B4887=1,C4887&gt;1,E4886&lt;&gt;""),ABS(D4887-E4886),"")</f>
        <v/>
      </c>
    </row>
    <row r="4888">
      <c r="A4888" t="n">
        <v>4888</v>
      </c>
      <c r="B4888">
        <f>IF(INDEX('Data Entry'!$H$5:$BE$10004,4888-4,'Visual SPC'!$B$3)="",0,IF(AND(OR('Visual SPC'!$C$4="",'Data Entry'!$C4888&gt;='Visual SPC'!$C$4),OR('Visual SPC'!$E$4="",'Data Entry'!$C4888&lt;='Visual SPC'!$E$4),OR('Visual SPC'!$G$4="",'Data Entry'!$D4888='Visual SPC'!$G$4),OR('Visual SPC'!$I$4="",'Data Entry'!$E4888='Visual SPC'!$I$4),OR('Visual SPC'!$K$4="",'Data Entry'!$F4888='Visual SPC'!$K$4)),1,0))</f>
        <v/>
      </c>
      <c r="C4888">
        <f>C4887+B4888</f>
        <v/>
      </c>
      <c r="D4888">
        <f>IF(B4888=1,INDEX('Data Entry'!$H$5:$BE$10004,4888-4,'Visual SPC'!$B$3),"")</f>
        <v/>
      </c>
      <c r="E4888">
        <f>IF(B4888=1,D4888,E4887)</f>
        <v/>
      </c>
      <c r="F4888">
        <f>IF(AND(B4888=1,C4888&gt;1,E4887&lt;&gt;""),ABS(D4888-E4887),"")</f>
        <v/>
      </c>
    </row>
    <row r="4889">
      <c r="A4889" t="n">
        <v>4889</v>
      </c>
      <c r="B4889">
        <f>IF(INDEX('Data Entry'!$H$5:$BE$10004,4889-4,'Visual SPC'!$B$3)="",0,IF(AND(OR('Visual SPC'!$C$4="",'Data Entry'!$C4889&gt;='Visual SPC'!$C$4),OR('Visual SPC'!$E$4="",'Data Entry'!$C4889&lt;='Visual SPC'!$E$4),OR('Visual SPC'!$G$4="",'Data Entry'!$D4889='Visual SPC'!$G$4),OR('Visual SPC'!$I$4="",'Data Entry'!$E4889='Visual SPC'!$I$4),OR('Visual SPC'!$K$4="",'Data Entry'!$F4889='Visual SPC'!$K$4)),1,0))</f>
        <v/>
      </c>
      <c r="C4889">
        <f>C4888+B4889</f>
        <v/>
      </c>
      <c r="D4889">
        <f>IF(B4889=1,INDEX('Data Entry'!$H$5:$BE$10004,4889-4,'Visual SPC'!$B$3),"")</f>
        <v/>
      </c>
      <c r="E4889">
        <f>IF(B4889=1,D4889,E4888)</f>
        <v/>
      </c>
      <c r="F4889">
        <f>IF(AND(B4889=1,C4889&gt;1,E4888&lt;&gt;""),ABS(D4889-E4888),"")</f>
        <v/>
      </c>
    </row>
    <row r="4890">
      <c r="A4890" t="n">
        <v>4890</v>
      </c>
      <c r="B4890">
        <f>IF(INDEX('Data Entry'!$H$5:$BE$10004,4890-4,'Visual SPC'!$B$3)="",0,IF(AND(OR('Visual SPC'!$C$4="",'Data Entry'!$C4890&gt;='Visual SPC'!$C$4),OR('Visual SPC'!$E$4="",'Data Entry'!$C4890&lt;='Visual SPC'!$E$4),OR('Visual SPC'!$G$4="",'Data Entry'!$D4890='Visual SPC'!$G$4),OR('Visual SPC'!$I$4="",'Data Entry'!$E4890='Visual SPC'!$I$4),OR('Visual SPC'!$K$4="",'Data Entry'!$F4890='Visual SPC'!$K$4)),1,0))</f>
        <v/>
      </c>
      <c r="C4890">
        <f>C4889+B4890</f>
        <v/>
      </c>
      <c r="D4890">
        <f>IF(B4890=1,INDEX('Data Entry'!$H$5:$BE$10004,4890-4,'Visual SPC'!$B$3),"")</f>
        <v/>
      </c>
      <c r="E4890">
        <f>IF(B4890=1,D4890,E4889)</f>
        <v/>
      </c>
      <c r="F4890">
        <f>IF(AND(B4890=1,C4890&gt;1,E4889&lt;&gt;""),ABS(D4890-E4889),"")</f>
        <v/>
      </c>
    </row>
    <row r="4891">
      <c r="A4891" t="n">
        <v>4891</v>
      </c>
      <c r="B4891">
        <f>IF(INDEX('Data Entry'!$H$5:$BE$10004,4891-4,'Visual SPC'!$B$3)="",0,IF(AND(OR('Visual SPC'!$C$4="",'Data Entry'!$C4891&gt;='Visual SPC'!$C$4),OR('Visual SPC'!$E$4="",'Data Entry'!$C4891&lt;='Visual SPC'!$E$4),OR('Visual SPC'!$G$4="",'Data Entry'!$D4891='Visual SPC'!$G$4),OR('Visual SPC'!$I$4="",'Data Entry'!$E4891='Visual SPC'!$I$4),OR('Visual SPC'!$K$4="",'Data Entry'!$F4891='Visual SPC'!$K$4)),1,0))</f>
        <v/>
      </c>
      <c r="C4891">
        <f>C4890+B4891</f>
        <v/>
      </c>
      <c r="D4891">
        <f>IF(B4891=1,INDEX('Data Entry'!$H$5:$BE$10004,4891-4,'Visual SPC'!$B$3),"")</f>
        <v/>
      </c>
      <c r="E4891">
        <f>IF(B4891=1,D4891,E4890)</f>
        <v/>
      </c>
      <c r="F4891">
        <f>IF(AND(B4891=1,C4891&gt;1,E4890&lt;&gt;""),ABS(D4891-E4890),"")</f>
        <v/>
      </c>
    </row>
    <row r="4892">
      <c r="A4892" t="n">
        <v>4892</v>
      </c>
      <c r="B4892">
        <f>IF(INDEX('Data Entry'!$H$5:$BE$10004,4892-4,'Visual SPC'!$B$3)="",0,IF(AND(OR('Visual SPC'!$C$4="",'Data Entry'!$C4892&gt;='Visual SPC'!$C$4),OR('Visual SPC'!$E$4="",'Data Entry'!$C4892&lt;='Visual SPC'!$E$4),OR('Visual SPC'!$G$4="",'Data Entry'!$D4892='Visual SPC'!$G$4),OR('Visual SPC'!$I$4="",'Data Entry'!$E4892='Visual SPC'!$I$4),OR('Visual SPC'!$K$4="",'Data Entry'!$F4892='Visual SPC'!$K$4)),1,0))</f>
        <v/>
      </c>
      <c r="C4892">
        <f>C4891+B4892</f>
        <v/>
      </c>
      <c r="D4892">
        <f>IF(B4892=1,INDEX('Data Entry'!$H$5:$BE$10004,4892-4,'Visual SPC'!$B$3),"")</f>
        <v/>
      </c>
      <c r="E4892">
        <f>IF(B4892=1,D4892,E4891)</f>
        <v/>
      </c>
      <c r="F4892">
        <f>IF(AND(B4892=1,C4892&gt;1,E4891&lt;&gt;""),ABS(D4892-E4891),"")</f>
        <v/>
      </c>
    </row>
    <row r="4893">
      <c r="A4893" t="n">
        <v>4893</v>
      </c>
      <c r="B4893">
        <f>IF(INDEX('Data Entry'!$H$5:$BE$10004,4893-4,'Visual SPC'!$B$3)="",0,IF(AND(OR('Visual SPC'!$C$4="",'Data Entry'!$C4893&gt;='Visual SPC'!$C$4),OR('Visual SPC'!$E$4="",'Data Entry'!$C4893&lt;='Visual SPC'!$E$4),OR('Visual SPC'!$G$4="",'Data Entry'!$D4893='Visual SPC'!$G$4),OR('Visual SPC'!$I$4="",'Data Entry'!$E4893='Visual SPC'!$I$4),OR('Visual SPC'!$K$4="",'Data Entry'!$F4893='Visual SPC'!$K$4)),1,0))</f>
        <v/>
      </c>
      <c r="C4893">
        <f>C4892+B4893</f>
        <v/>
      </c>
      <c r="D4893">
        <f>IF(B4893=1,INDEX('Data Entry'!$H$5:$BE$10004,4893-4,'Visual SPC'!$B$3),"")</f>
        <v/>
      </c>
      <c r="E4893">
        <f>IF(B4893=1,D4893,E4892)</f>
        <v/>
      </c>
      <c r="F4893">
        <f>IF(AND(B4893=1,C4893&gt;1,E4892&lt;&gt;""),ABS(D4893-E4892),"")</f>
        <v/>
      </c>
    </row>
    <row r="4894">
      <c r="A4894" t="n">
        <v>4894</v>
      </c>
      <c r="B4894">
        <f>IF(INDEX('Data Entry'!$H$5:$BE$10004,4894-4,'Visual SPC'!$B$3)="",0,IF(AND(OR('Visual SPC'!$C$4="",'Data Entry'!$C4894&gt;='Visual SPC'!$C$4),OR('Visual SPC'!$E$4="",'Data Entry'!$C4894&lt;='Visual SPC'!$E$4),OR('Visual SPC'!$G$4="",'Data Entry'!$D4894='Visual SPC'!$G$4),OR('Visual SPC'!$I$4="",'Data Entry'!$E4894='Visual SPC'!$I$4),OR('Visual SPC'!$K$4="",'Data Entry'!$F4894='Visual SPC'!$K$4)),1,0))</f>
        <v/>
      </c>
      <c r="C4894">
        <f>C4893+B4894</f>
        <v/>
      </c>
      <c r="D4894">
        <f>IF(B4894=1,INDEX('Data Entry'!$H$5:$BE$10004,4894-4,'Visual SPC'!$B$3),"")</f>
        <v/>
      </c>
      <c r="E4894">
        <f>IF(B4894=1,D4894,E4893)</f>
        <v/>
      </c>
      <c r="F4894">
        <f>IF(AND(B4894=1,C4894&gt;1,E4893&lt;&gt;""),ABS(D4894-E4893),"")</f>
        <v/>
      </c>
    </row>
    <row r="4895">
      <c r="A4895" t="n">
        <v>4895</v>
      </c>
      <c r="B4895">
        <f>IF(INDEX('Data Entry'!$H$5:$BE$10004,4895-4,'Visual SPC'!$B$3)="",0,IF(AND(OR('Visual SPC'!$C$4="",'Data Entry'!$C4895&gt;='Visual SPC'!$C$4),OR('Visual SPC'!$E$4="",'Data Entry'!$C4895&lt;='Visual SPC'!$E$4),OR('Visual SPC'!$G$4="",'Data Entry'!$D4895='Visual SPC'!$G$4),OR('Visual SPC'!$I$4="",'Data Entry'!$E4895='Visual SPC'!$I$4),OR('Visual SPC'!$K$4="",'Data Entry'!$F4895='Visual SPC'!$K$4)),1,0))</f>
        <v/>
      </c>
      <c r="C4895">
        <f>C4894+B4895</f>
        <v/>
      </c>
      <c r="D4895">
        <f>IF(B4895=1,INDEX('Data Entry'!$H$5:$BE$10004,4895-4,'Visual SPC'!$B$3),"")</f>
        <v/>
      </c>
      <c r="E4895">
        <f>IF(B4895=1,D4895,E4894)</f>
        <v/>
      </c>
      <c r="F4895">
        <f>IF(AND(B4895=1,C4895&gt;1,E4894&lt;&gt;""),ABS(D4895-E4894),"")</f>
        <v/>
      </c>
    </row>
    <row r="4896">
      <c r="A4896" t="n">
        <v>4896</v>
      </c>
      <c r="B4896">
        <f>IF(INDEX('Data Entry'!$H$5:$BE$10004,4896-4,'Visual SPC'!$B$3)="",0,IF(AND(OR('Visual SPC'!$C$4="",'Data Entry'!$C4896&gt;='Visual SPC'!$C$4),OR('Visual SPC'!$E$4="",'Data Entry'!$C4896&lt;='Visual SPC'!$E$4),OR('Visual SPC'!$G$4="",'Data Entry'!$D4896='Visual SPC'!$G$4),OR('Visual SPC'!$I$4="",'Data Entry'!$E4896='Visual SPC'!$I$4),OR('Visual SPC'!$K$4="",'Data Entry'!$F4896='Visual SPC'!$K$4)),1,0))</f>
        <v/>
      </c>
      <c r="C4896">
        <f>C4895+B4896</f>
        <v/>
      </c>
      <c r="D4896">
        <f>IF(B4896=1,INDEX('Data Entry'!$H$5:$BE$10004,4896-4,'Visual SPC'!$B$3),"")</f>
        <v/>
      </c>
      <c r="E4896">
        <f>IF(B4896=1,D4896,E4895)</f>
        <v/>
      </c>
      <c r="F4896">
        <f>IF(AND(B4896=1,C4896&gt;1,E4895&lt;&gt;""),ABS(D4896-E4895),"")</f>
        <v/>
      </c>
    </row>
    <row r="4897">
      <c r="A4897" t="n">
        <v>4897</v>
      </c>
      <c r="B4897">
        <f>IF(INDEX('Data Entry'!$H$5:$BE$10004,4897-4,'Visual SPC'!$B$3)="",0,IF(AND(OR('Visual SPC'!$C$4="",'Data Entry'!$C4897&gt;='Visual SPC'!$C$4),OR('Visual SPC'!$E$4="",'Data Entry'!$C4897&lt;='Visual SPC'!$E$4),OR('Visual SPC'!$G$4="",'Data Entry'!$D4897='Visual SPC'!$G$4),OR('Visual SPC'!$I$4="",'Data Entry'!$E4897='Visual SPC'!$I$4),OR('Visual SPC'!$K$4="",'Data Entry'!$F4897='Visual SPC'!$K$4)),1,0))</f>
        <v/>
      </c>
      <c r="C4897">
        <f>C4896+B4897</f>
        <v/>
      </c>
      <c r="D4897">
        <f>IF(B4897=1,INDEX('Data Entry'!$H$5:$BE$10004,4897-4,'Visual SPC'!$B$3),"")</f>
        <v/>
      </c>
      <c r="E4897">
        <f>IF(B4897=1,D4897,E4896)</f>
        <v/>
      </c>
      <c r="F4897">
        <f>IF(AND(B4897=1,C4897&gt;1,E4896&lt;&gt;""),ABS(D4897-E4896),"")</f>
        <v/>
      </c>
    </row>
    <row r="4898">
      <c r="A4898" t="n">
        <v>4898</v>
      </c>
      <c r="B4898">
        <f>IF(INDEX('Data Entry'!$H$5:$BE$10004,4898-4,'Visual SPC'!$B$3)="",0,IF(AND(OR('Visual SPC'!$C$4="",'Data Entry'!$C4898&gt;='Visual SPC'!$C$4),OR('Visual SPC'!$E$4="",'Data Entry'!$C4898&lt;='Visual SPC'!$E$4),OR('Visual SPC'!$G$4="",'Data Entry'!$D4898='Visual SPC'!$G$4),OR('Visual SPC'!$I$4="",'Data Entry'!$E4898='Visual SPC'!$I$4),OR('Visual SPC'!$K$4="",'Data Entry'!$F4898='Visual SPC'!$K$4)),1,0))</f>
        <v/>
      </c>
      <c r="C4898">
        <f>C4897+B4898</f>
        <v/>
      </c>
      <c r="D4898">
        <f>IF(B4898=1,INDEX('Data Entry'!$H$5:$BE$10004,4898-4,'Visual SPC'!$B$3),"")</f>
        <v/>
      </c>
      <c r="E4898">
        <f>IF(B4898=1,D4898,E4897)</f>
        <v/>
      </c>
      <c r="F4898">
        <f>IF(AND(B4898=1,C4898&gt;1,E4897&lt;&gt;""),ABS(D4898-E4897),"")</f>
        <v/>
      </c>
    </row>
    <row r="4899">
      <c r="A4899" t="n">
        <v>4899</v>
      </c>
      <c r="B4899">
        <f>IF(INDEX('Data Entry'!$H$5:$BE$10004,4899-4,'Visual SPC'!$B$3)="",0,IF(AND(OR('Visual SPC'!$C$4="",'Data Entry'!$C4899&gt;='Visual SPC'!$C$4),OR('Visual SPC'!$E$4="",'Data Entry'!$C4899&lt;='Visual SPC'!$E$4),OR('Visual SPC'!$G$4="",'Data Entry'!$D4899='Visual SPC'!$G$4),OR('Visual SPC'!$I$4="",'Data Entry'!$E4899='Visual SPC'!$I$4),OR('Visual SPC'!$K$4="",'Data Entry'!$F4899='Visual SPC'!$K$4)),1,0))</f>
        <v/>
      </c>
      <c r="C4899">
        <f>C4898+B4899</f>
        <v/>
      </c>
      <c r="D4899">
        <f>IF(B4899=1,INDEX('Data Entry'!$H$5:$BE$10004,4899-4,'Visual SPC'!$B$3),"")</f>
        <v/>
      </c>
      <c r="E4899">
        <f>IF(B4899=1,D4899,E4898)</f>
        <v/>
      </c>
      <c r="F4899">
        <f>IF(AND(B4899=1,C4899&gt;1,E4898&lt;&gt;""),ABS(D4899-E4898),"")</f>
        <v/>
      </c>
    </row>
    <row r="4900">
      <c r="A4900" t="n">
        <v>4900</v>
      </c>
      <c r="B4900">
        <f>IF(INDEX('Data Entry'!$H$5:$BE$10004,4900-4,'Visual SPC'!$B$3)="",0,IF(AND(OR('Visual SPC'!$C$4="",'Data Entry'!$C4900&gt;='Visual SPC'!$C$4),OR('Visual SPC'!$E$4="",'Data Entry'!$C4900&lt;='Visual SPC'!$E$4),OR('Visual SPC'!$G$4="",'Data Entry'!$D4900='Visual SPC'!$G$4),OR('Visual SPC'!$I$4="",'Data Entry'!$E4900='Visual SPC'!$I$4),OR('Visual SPC'!$K$4="",'Data Entry'!$F4900='Visual SPC'!$K$4)),1,0))</f>
        <v/>
      </c>
      <c r="C4900">
        <f>C4899+B4900</f>
        <v/>
      </c>
      <c r="D4900">
        <f>IF(B4900=1,INDEX('Data Entry'!$H$5:$BE$10004,4900-4,'Visual SPC'!$B$3),"")</f>
        <v/>
      </c>
      <c r="E4900">
        <f>IF(B4900=1,D4900,E4899)</f>
        <v/>
      </c>
      <c r="F4900">
        <f>IF(AND(B4900=1,C4900&gt;1,E4899&lt;&gt;""),ABS(D4900-E4899),"")</f>
        <v/>
      </c>
    </row>
    <row r="4901">
      <c r="A4901" t="n">
        <v>4901</v>
      </c>
      <c r="B4901">
        <f>IF(INDEX('Data Entry'!$H$5:$BE$10004,4901-4,'Visual SPC'!$B$3)="",0,IF(AND(OR('Visual SPC'!$C$4="",'Data Entry'!$C4901&gt;='Visual SPC'!$C$4),OR('Visual SPC'!$E$4="",'Data Entry'!$C4901&lt;='Visual SPC'!$E$4),OR('Visual SPC'!$G$4="",'Data Entry'!$D4901='Visual SPC'!$G$4),OR('Visual SPC'!$I$4="",'Data Entry'!$E4901='Visual SPC'!$I$4),OR('Visual SPC'!$K$4="",'Data Entry'!$F4901='Visual SPC'!$K$4)),1,0))</f>
        <v/>
      </c>
      <c r="C4901">
        <f>C4900+B4901</f>
        <v/>
      </c>
      <c r="D4901">
        <f>IF(B4901=1,INDEX('Data Entry'!$H$5:$BE$10004,4901-4,'Visual SPC'!$B$3),"")</f>
        <v/>
      </c>
      <c r="E4901">
        <f>IF(B4901=1,D4901,E4900)</f>
        <v/>
      </c>
      <c r="F4901">
        <f>IF(AND(B4901=1,C4901&gt;1,E4900&lt;&gt;""),ABS(D4901-E4900),"")</f>
        <v/>
      </c>
    </row>
    <row r="4902">
      <c r="A4902" t="n">
        <v>4902</v>
      </c>
      <c r="B4902">
        <f>IF(INDEX('Data Entry'!$H$5:$BE$10004,4902-4,'Visual SPC'!$B$3)="",0,IF(AND(OR('Visual SPC'!$C$4="",'Data Entry'!$C4902&gt;='Visual SPC'!$C$4),OR('Visual SPC'!$E$4="",'Data Entry'!$C4902&lt;='Visual SPC'!$E$4),OR('Visual SPC'!$G$4="",'Data Entry'!$D4902='Visual SPC'!$G$4),OR('Visual SPC'!$I$4="",'Data Entry'!$E4902='Visual SPC'!$I$4),OR('Visual SPC'!$K$4="",'Data Entry'!$F4902='Visual SPC'!$K$4)),1,0))</f>
        <v/>
      </c>
      <c r="C4902">
        <f>C4901+B4902</f>
        <v/>
      </c>
      <c r="D4902">
        <f>IF(B4902=1,INDEX('Data Entry'!$H$5:$BE$10004,4902-4,'Visual SPC'!$B$3),"")</f>
        <v/>
      </c>
      <c r="E4902">
        <f>IF(B4902=1,D4902,E4901)</f>
        <v/>
      </c>
      <c r="F4902">
        <f>IF(AND(B4902=1,C4902&gt;1,E4901&lt;&gt;""),ABS(D4902-E4901),"")</f>
        <v/>
      </c>
    </row>
    <row r="4903">
      <c r="A4903" t="n">
        <v>4903</v>
      </c>
      <c r="B4903">
        <f>IF(INDEX('Data Entry'!$H$5:$BE$10004,4903-4,'Visual SPC'!$B$3)="",0,IF(AND(OR('Visual SPC'!$C$4="",'Data Entry'!$C4903&gt;='Visual SPC'!$C$4),OR('Visual SPC'!$E$4="",'Data Entry'!$C4903&lt;='Visual SPC'!$E$4),OR('Visual SPC'!$G$4="",'Data Entry'!$D4903='Visual SPC'!$G$4),OR('Visual SPC'!$I$4="",'Data Entry'!$E4903='Visual SPC'!$I$4),OR('Visual SPC'!$K$4="",'Data Entry'!$F4903='Visual SPC'!$K$4)),1,0))</f>
        <v/>
      </c>
      <c r="C4903">
        <f>C4902+B4903</f>
        <v/>
      </c>
      <c r="D4903">
        <f>IF(B4903=1,INDEX('Data Entry'!$H$5:$BE$10004,4903-4,'Visual SPC'!$B$3),"")</f>
        <v/>
      </c>
      <c r="E4903">
        <f>IF(B4903=1,D4903,E4902)</f>
        <v/>
      </c>
      <c r="F4903">
        <f>IF(AND(B4903=1,C4903&gt;1,E4902&lt;&gt;""),ABS(D4903-E4902),"")</f>
        <v/>
      </c>
    </row>
    <row r="4904">
      <c r="A4904" t="n">
        <v>4904</v>
      </c>
      <c r="B4904">
        <f>IF(INDEX('Data Entry'!$H$5:$BE$10004,4904-4,'Visual SPC'!$B$3)="",0,IF(AND(OR('Visual SPC'!$C$4="",'Data Entry'!$C4904&gt;='Visual SPC'!$C$4),OR('Visual SPC'!$E$4="",'Data Entry'!$C4904&lt;='Visual SPC'!$E$4),OR('Visual SPC'!$G$4="",'Data Entry'!$D4904='Visual SPC'!$G$4),OR('Visual SPC'!$I$4="",'Data Entry'!$E4904='Visual SPC'!$I$4),OR('Visual SPC'!$K$4="",'Data Entry'!$F4904='Visual SPC'!$K$4)),1,0))</f>
        <v/>
      </c>
      <c r="C4904">
        <f>C4903+B4904</f>
        <v/>
      </c>
      <c r="D4904">
        <f>IF(B4904=1,INDEX('Data Entry'!$H$5:$BE$10004,4904-4,'Visual SPC'!$B$3),"")</f>
        <v/>
      </c>
      <c r="E4904">
        <f>IF(B4904=1,D4904,E4903)</f>
        <v/>
      </c>
      <c r="F4904">
        <f>IF(AND(B4904=1,C4904&gt;1,E4903&lt;&gt;""),ABS(D4904-E4903),"")</f>
        <v/>
      </c>
    </row>
    <row r="4905">
      <c r="A4905" t="n">
        <v>4905</v>
      </c>
      <c r="B4905">
        <f>IF(INDEX('Data Entry'!$H$5:$BE$10004,4905-4,'Visual SPC'!$B$3)="",0,IF(AND(OR('Visual SPC'!$C$4="",'Data Entry'!$C4905&gt;='Visual SPC'!$C$4),OR('Visual SPC'!$E$4="",'Data Entry'!$C4905&lt;='Visual SPC'!$E$4),OR('Visual SPC'!$G$4="",'Data Entry'!$D4905='Visual SPC'!$G$4),OR('Visual SPC'!$I$4="",'Data Entry'!$E4905='Visual SPC'!$I$4),OR('Visual SPC'!$K$4="",'Data Entry'!$F4905='Visual SPC'!$K$4)),1,0))</f>
        <v/>
      </c>
      <c r="C4905">
        <f>C4904+B4905</f>
        <v/>
      </c>
      <c r="D4905">
        <f>IF(B4905=1,INDEX('Data Entry'!$H$5:$BE$10004,4905-4,'Visual SPC'!$B$3),"")</f>
        <v/>
      </c>
      <c r="E4905">
        <f>IF(B4905=1,D4905,E4904)</f>
        <v/>
      </c>
      <c r="F4905">
        <f>IF(AND(B4905=1,C4905&gt;1,E4904&lt;&gt;""),ABS(D4905-E4904),"")</f>
        <v/>
      </c>
    </row>
    <row r="4906">
      <c r="A4906" t="n">
        <v>4906</v>
      </c>
      <c r="B4906">
        <f>IF(INDEX('Data Entry'!$H$5:$BE$10004,4906-4,'Visual SPC'!$B$3)="",0,IF(AND(OR('Visual SPC'!$C$4="",'Data Entry'!$C4906&gt;='Visual SPC'!$C$4),OR('Visual SPC'!$E$4="",'Data Entry'!$C4906&lt;='Visual SPC'!$E$4),OR('Visual SPC'!$G$4="",'Data Entry'!$D4906='Visual SPC'!$G$4),OR('Visual SPC'!$I$4="",'Data Entry'!$E4906='Visual SPC'!$I$4),OR('Visual SPC'!$K$4="",'Data Entry'!$F4906='Visual SPC'!$K$4)),1,0))</f>
        <v/>
      </c>
      <c r="C4906">
        <f>C4905+B4906</f>
        <v/>
      </c>
      <c r="D4906">
        <f>IF(B4906=1,INDEX('Data Entry'!$H$5:$BE$10004,4906-4,'Visual SPC'!$B$3),"")</f>
        <v/>
      </c>
      <c r="E4906">
        <f>IF(B4906=1,D4906,E4905)</f>
        <v/>
      </c>
      <c r="F4906">
        <f>IF(AND(B4906=1,C4906&gt;1,E4905&lt;&gt;""),ABS(D4906-E4905),"")</f>
        <v/>
      </c>
    </row>
    <row r="4907">
      <c r="A4907" t="n">
        <v>4907</v>
      </c>
      <c r="B4907">
        <f>IF(INDEX('Data Entry'!$H$5:$BE$10004,4907-4,'Visual SPC'!$B$3)="",0,IF(AND(OR('Visual SPC'!$C$4="",'Data Entry'!$C4907&gt;='Visual SPC'!$C$4),OR('Visual SPC'!$E$4="",'Data Entry'!$C4907&lt;='Visual SPC'!$E$4),OR('Visual SPC'!$G$4="",'Data Entry'!$D4907='Visual SPC'!$G$4),OR('Visual SPC'!$I$4="",'Data Entry'!$E4907='Visual SPC'!$I$4),OR('Visual SPC'!$K$4="",'Data Entry'!$F4907='Visual SPC'!$K$4)),1,0))</f>
        <v/>
      </c>
      <c r="C4907">
        <f>C4906+B4907</f>
        <v/>
      </c>
      <c r="D4907">
        <f>IF(B4907=1,INDEX('Data Entry'!$H$5:$BE$10004,4907-4,'Visual SPC'!$B$3),"")</f>
        <v/>
      </c>
      <c r="E4907">
        <f>IF(B4907=1,D4907,E4906)</f>
        <v/>
      </c>
      <c r="F4907">
        <f>IF(AND(B4907=1,C4907&gt;1,E4906&lt;&gt;""),ABS(D4907-E4906),"")</f>
        <v/>
      </c>
    </row>
    <row r="4908">
      <c r="A4908" t="n">
        <v>4908</v>
      </c>
      <c r="B4908">
        <f>IF(INDEX('Data Entry'!$H$5:$BE$10004,4908-4,'Visual SPC'!$B$3)="",0,IF(AND(OR('Visual SPC'!$C$4="",'Data Entry'!$C4908&gt;='Visual SPC'!$C$4),OR('Visual SPC'!$E$4="",'Data Entry'!$C4908&lt;='Visual SPC'!$E$4),OR('Visual SPC'!$G$4="",'Data Entry'!$D4908='Visual SPC'!$G$4),OR('Visual SPC'!$I$4="",'Data Entry'!$E4908='Visual SPC'!$I$4),OR('Visual SPC'!$K$4="",'Data Entry'!$F4908='Visual SPC'!$K$4)),1,0))</f>
        <v/>
      </c>
      <c r="C4908">
        <f>C4907+B4908</f>
        <v/>
      </c>
      <c r="D4908">
        <f>IF(B4908=1,INDEX('Data Entry'!$H$5:$BE$10004,4908-4,'Visual SPC'!$B$3),"")</f>
        <v/>
      </c>
      <c r="E4908">
        <f>IF(B4908=1,D4908,E4907)</f>
        <v/>
      </c>
      <c r="F4908">
        <f>IF(AND(B4908=1,C4908&gt;1,E4907&lt;&gt;""),ABS(D4908-E4907),"")</f>
        <v/>
      </c>
    </row>
    <row r="4909">
      <c r="A4909" t="n">
        <v>4909</v>
      </c>
      <c r="B4909">
        <f>IF(INDEX('Data Entry'!$H$5:$BE$10004,4909-4,'Visual SPC'!$B$3)="",0,IF(AND(OR('Visual SPC'!$C$4="",'Data Entry'!$C4909&gt;='Visual SPC'!$C$4),OR('Visual SPC'!$E$4="",'Data Entry'!$C4909&lt;='Visual SPC'!$E$4),OR('Visual SPC'!$G$4="",'Data Entry'!$D4909='Visual SPC'!$G$4),OR('Visual SPC'!$I$4="",'Data Entry'!$E4909='Visual SPC'!$I$4),OR('Visual SPC'!$K$4="",'Data Entry'!$F4909='Visual SPC'!$K$4)),1,0))</f>
        <v/>
      </c>
      <c r="C4909">
        <f>C4908+B4909</f>
        <v/>
      </c>
      <c r="D4909">
        <f>IF(B4909=1,INDEX('Data Entry'!$H$5:$BE$10004,4909-4,'Visual SPC'!$B$3),"")</f>
        <v/>
      </c>
      <c r="E4909">
        <f>IF(B4909=1,D4909,E4908)</f>
        <v/>
      </c>
      <c r="F4909">
        <f>IF(AND(B4909=1,C4909&gt;1,E4908&lt;&gt;""),ABS(D4909-E4908),"")</f>
        <v/>
      </c>
    </row>
    <row r="4910">
      <c r="A4910" t="n">
        <v>4910</v>
      </c>
      <c r="B4910">
        <f>IF(INDEX('Data Entry'!$H$5:$BE$10004,4910-4,'Visual SPC'!$B$3)="",0,IF(AND(OR('Visual SPC'!$C$4="",'Data Entry'!$C4910&gt;='Visual SPC'!$C$4),OR('Visual SPC'!$E$4="",'Data Entry'!$C4910&lt;='Visual SPC'!$E$4),OR('Visual SPC'!$G$4="",'Data Entry'!$D4910='Visual SPC'!$G$4),OR('Visual SPC'!$I$4="",'Data Entry'!$E4910='Visual SPC'!$I$4),OR('Visual SPC'!$K$4="",'Data Entry'!$F4910='Visual SPC'!$K$4)),1,0))</f>
        <v/>
      </c>
      <c r="C4910">
        <f>C4909+B4910</f>
        <v/>
      </c>
      <c r="D4910">
        <f>IF(B4910=1,INDEX('Data Entry'!$H$5:$BE$10004,4910-4,'Visual SPC'!$B$3),"")</f>
        <v/>
      </c>
      <c r="E4910">
        <f>IF(B4910=1,D4910,E4909)</f>
        <v/>
      </c>
      <c r="F4910">
        <f>IF(AND(B4910=1,C4910&gt;1,E4909&lt;&gt;""),ABS(D4910-E4909),"")</f>
        <v/>
      </c>
    </row>
    <row r="4911">
      <c r="A4911" t="n">
        <v>4911</v>
      </c>
      <c r="B4911">
        <f>IF(INDEX('Data Entry'!$H$5:$BE$10004,4911-4,'Visual SPC'!$B$3)="",0,IF(AND(OR('Visual SPC'!$C$4="",'Data Entry'!$C4911&gt;='Visual SPC'!$C$4),OR('Visual SPC'!$E$4="",'Data Entry'!$C4911&lt;='Visual SPC'!$E$4),OR('Visual SPC'!$G$4="",'Data Entry'!$D4911='Visual SPC'!$G$4),OR('Visual SPC'!$I$4="",'Data Entry'!$E4911='Visual SPC'!$I$4),OR('Visual SPC'!$K$4="",'Data Entry'!$F4911='Visual SPC'!$K$4)),1,0))</f>
        <v/>
      </c>
      <c r="C4911">
        <f>C4910+B4911</f>
        <v/>
      </c>
      <c r="D4911">
        <f>IF(B4911=1,INDEX('Data Entry'!$H$5:$BE$10004,4911-4,'Visual SPC'!$B$3),"")</f>
        <v/>
      </c>
      <c r="E4911">
        <f>IF(B4911=1,D4911,E4910)</f>
        <v/>
      </c>
      <c r="F4911">
        <f>IF(AND(B4911=1,C4911&gt;1,E4910&lt;&gt;""),ABS(D4911-E4910),"")</f>
        <v/>
      </c>
    </row>
    <row r="4912">
      <c r="A4912" t="n">
        <v>4912</v>
      </c>
      <c r="B4912">
        <f>IF(INDEX('Data Entry'!$H$5:$BE$10004,4912-4,'Visual SPC'!$B$3)="",0,IF(AND(OR('Visual SPC'!$C$4="",'Data Entry'!$C4912&gt;='Visual SPC'!$C$4),OR('Visual SPC'!$E$4="",'Data Entry'!$C4912&lt;='Visual SPC'!$E$4),OR('Visual SPC'!$G$4="",'Data Entry'!$D4912='Visual SPC'!$G$4),OR('Visual SPC'!$I$4="",'Data Entry'!$E4912='Visual SPC'!$I$4),OR('Visual SPC'!$K$4="",'Data Entry'!$F4912='Visual SPC'!$K$4)),1,0))</f>
        <v/>
      </c>
      <c r="C4912">
        <f>C4911+B4912</f>
        <v/>
      </c>
      <c r="D4912">
        <f>IF(B4912=1,INDEX('Data Entry'!$H$5:$BE$10004,4912-4,'Visual SPC'!$B$3),"")</f>
        <v/>
      </c>
      <c r="E4912">
        <f>IF(B4912=1,D4912,E4911)</f>
        <v/>
      </c>
      <c r="F4912">
        <f>IF(AND(B4912=1,C4912&gt;1,E4911&lt;&gt;""),ABS(D4912-E4911),"")</f>
        <v/>
      </c>
    </row>
    <row r="4913">
      <c r="A4913" t="n">
        <v>4913</v>
      </c>
      <c r="B4913">
        <f>IF(INDEX('Data Entry'!$H$5:$BE$10004,4913-4,'Visual SPC'!$B$3)="",0,IF(AND(OR('Visual SPC'!$C$4="",'Data Entry'!$C4913&gt;='Visual SPC'!$C$4),OR('Visual SPC'!$E$4="",'Data Entry'!$C4913&lt;='Visual SPC'!$E$4),OR('Visual SPC'!$G$4="",'Data Entry'!$D4913='Visual SPC'!$G$4),OR('Visual SPC'!$I$4="",'Data Entry'!$E4913='Visual SPC'!$I$4),OR('Visual SPC'!$K$4="",'Data Entry'!$F4913='Visual SPC'!$K$4)),1,0))</f>
        <v/>
      </c>
      <c r="C4913">
        <f>C4912+B4913</f>
        <v/>
      </c>
      <c r="D4913">
        <f>IF(B4913=1,INDEX('Data Entry'!$H$5:$BE$10004,4913-4,'Visual SPC'!$B$3),"")</f>
        <v/>
      </c>
      <c r="E4913">
        <f>IF(B4913=1,D4913,E4912)</f>
        <v/>
      </c>
      <c r="F4913">
        <f>IF(AND(B4913=1,C4913&gt;1,E4912&lt;&gt;""),ABS(D4913-E4912),"")</f>
        <v/>
      </c>
    </row>
    <row r="4914">
      <c r="A4914" t="n">
        <v>4914</v>
      </c>
      <c r="B4914">
        <f>IF(INDEX('Data Entry'!$H$5:$BE$10004,4914-4,'Visual SPC'!$B$3)="",0,IF(AND(OR('Visual SPC'!$C$4="",'Data Entry'!$C4914&gt;='Visual SPC'!$C$4),OR('Visual SPC'!$E$4="",'Data Entry'!$C4914&lt;='Visual SPC'!$E$4),OR('Visual SPC'!$G$4="",'Data Entry'!$D4914='Visual SPC'!$G$4),OR('Visual SPC'!$I$4="",'Data Entry'!$E4914='Visual SPC'!$I$4),OR('Visual SPC'!$K$4="",'Data Entry'!$F4914='Visual SPC'!$K$4)),1,0))</f>
        <v/>
      </c>
      <c r="C4914">
        <f>C4913+B4914</f>
        <v/>
      </c>
      <c r="D4914">
        <f>IF(B4914=1,INDEX('Data Entry'!$H$5:$BE$10004,4914-4,'Visual SPC'!$B$3),"")</f>
        <v/>
      </c>
      <c r="E4914">
        <f>IF(B4914=1,D4914,E4913)</f>
        <v/>
      </c>
      <c r="F4914">
        <f>IF(AND(B4914=1,C4914&gt;1,E4913&lt;&gt;""),ABS(D4914-E4913),"")</f>
        <v/>
      </c>
    </row>
    <row r="4915">
      <c r="A4915" t="n">
        <v>4915</v>
      </c>
      <c r="B4915">
        <f>IF(INDEX('Data Entry'!$H$5:$BE$10004,4915-4,'Visual SPC'!$B$3)="",0,IF(AND(OR('Visual SPC'!$C$4="",'Data Entry'!$C4915&gt;='Visual SPC'!$C$4),OR('Visual SPC'!$E$4="",'Data Entry'!$C4915&lt;='Visual SPC'!$E$4),OR('Visual SPC'!$G$4="",'Data Entry'!$D4915='Visual SPC'!$G$4),OR('Visual SPC'!$I$4="",'Data Entry'!$E4915='Visual SPC'!$I$4),OR('Visual SPC'!$K$4="",'Data Entry'!$F4915='Visual SPC'!$K$4)),1,0))</f>
        <v/>
      </c>
      <c r="C4915">
        <f>C4914+B4915</f>
        <v/>
      </c>
      <c r="D4915">
        <f>IF(B4915=1,INDEX('Data Entry'!$H$5:$BE$10004,4915-4,'Visual SPC'!$B$3),"")</f>
        <v/>
      </c>
      <c r="E4915">
        <f>IF(B4915=1,D4915,E4914)</f>
        <v/>
      </c>
      <c r="F4915">
        <f>IF(AND(B4915=1,C4915&gt;1,E4914&lt;&gt;""),ABS(D4915-E4914),"")</f>
        <v/>
      </c>
    </row>
    <row r="4916">
      <c r="A4916" t="n">
        <v>4916</v>
      </c>
      <c r="B4916">
        <f>IF(INDEX('Data Entry'!$H$5:$BE$10004,4916-4,'Visual SPC'!$B$3)="",0,IF(AND(OR('Visual SPC'!$C$4="",'Data Entry'!$C4916&gt;='Visual SPC'!$C$4),OR('Visual SPC'!$E$4="",'Data Entry'!$C4916&lt;='Visual SPC'!$E$4),OR('Visual SPC'!$G$4="",'Data Entry'!$D4916='Visual SPC'!$G$4),OR('Visual SPC'!$I$4="",'Data Entry'!$E4916='Visual SPC'!$I$4),OR('Visual SPC'!$K$4="",'Data Entry'!$F4916='Visual SPC'!$K$4)),1,0))</f>
        <v/>
      </c>
      <c r="C4916">
        <f>C4915+B4916</f>
        <v/>
      </c>
      <c r="D4916">
        <f>IF(B4916=1,INDEX('Data Entry'!$H$5:$BE$10004,4916-4,'Visual SPC'!$B$3),"")</f>
        <v/>
      </c>
      <c r="E4916">
        <f>IF(B4916=1,D4916,E4915)</f>
        <v/>
      </c>
      <c r="F4916">
        <f>IF(AND(B4916=1,C4916&gt;1,E4915&lt;&gt;""),ABS(D4916-E4915),"")</f>
        <v/>
      </c>
    </row>
    <row r="4917">
      <c r="A4917" t="n">
        <v>4917</v>
      </c>
      <c r="B4917">
        <f>IF(INDEX('Data Entry'!$H$5:$BE$10004,4917-4,'Visual SPC'!$B$3)="",0,IF(AND(OR('Visual SPC'!$C$4="",'Data Entry'!$C4917&gt;='Visual SPC'!$C$4),OR('Visual SPC'!$E$4="",'Data Entry'!$C4917&lt;='Visual SPC'!$E$4),OR('Visual SPC'!$G$4="",'Data Entry'!$D4917='Visual SPC'!$G$4),OR('Visual SPC'!$I$4="",'Data Entry'!$E4917='Visual SPC'!$I$4),OR('Visual SPC'!$K$4="",'Data Entry'!$F4917='Visual SPC'!$K$4)),1,0))</f>
        <v/>
      </c>
      <c r="C4917">
        <f>C4916+B4917</f>
        <v/>
      </c>
      <c r="D4917">
        <f>IF(B4917=1,INDEX('Data Entry'!$H$5:$BE$10004,4917-4,'Visual SPC'!$B$3),"")</f>
        <v/>
      </c>
      <c r="E4917">
        <f>IF(B4917=1,D4917,E4916)</f>
        <v/>
      </c>
      <c r="F4917">
        <f>IF(AND(B4917=1,C4917&gt;1,E4916&lt;&gt;""),ABS(D4917-E4916),"")</f>
        <v/>
      </c>
    </row>
    <row r="4918">
      <c r="A4918" t="n">
        <v>4918</v>
      </c>
      <c r="B4918">
        <f>IF(INDEX('Data Entry'!$H$5:$BE$10004,4918-4,'Visual SPC'!$B$3)="",0,IF(AND(OR('Visual SPC'!$C$4="",'Data Entry'!$C4918&gt;='Visual SPC'!$C$4),OR('Visual SPC'!$E$4="",'Data Entry'!$C4918&lt;='Visual SPC'!$E$4),OR('Visual SPC'!$G$4="",'Data Entry'!$D4918='Visual SPC'!$G$4),OR('Visual SPC'!$I$4="",'Data Entry'!$E4918='Visual SPC'!$I$4),OR('Visual SPC'!$K$4="",'Data Entry'!$F4918='Visual SPC'!$K$4)),1,0))</f>
        <v/>
      </c>
      <c r="C4918">
        <f>C4917+B4918</f>
        <v/>
      </c>
      <c r="D4918">
        <f>IF(B4918=1,INDEX('Data Entry'!$H$5:$BE$10004,4918-4,'Visual SPC'!$B$3),"")</f>
        <v/>
      </c>
      <c r="E4918">
        <f>IF(B4918=1,D4918,E4917)</f>
        <v/>
      </c>
      <c r="F4918">
        <f>IF(AND(B4918=1,C4918&gt;1,E4917&lt;&gt;""),ABS(D4918-E4917),"")</f>
        <v/>
      </c>
    </row>
    <row r="4919">
      <c r="A4919" t="n">
        <v>4919</v>
      </c>
      <c r="B4919">
        <f>IF(INDEX('Data Entry'!$H$5:$BE$10004,4919-4,'Visual SPC'!$B$3)="",0,IF(AND(OR('Visual SPC'!$C$4="",'Data Entry'!$C4919&gt;='Visual SPC'!$C$4),OR('Visual SPC'!$E$4="",'Data Entry'!$C4919&lt;='Visual SPC'!$E$4),OR('Visual SPC'!$G$4="",'Data Entry'!$D4919='Visual SPC'!$G$4),OR('Visual SPC'!$I$4="",'Data Entry'!$E4919='Visual SPC'!$I$4),OR('Visual SPC'!$K$4="",'Data Entry'!$F4919='Visual SPC'!$K$4)),1,0))</f>
        <v/>
      </c>
      <c r="C4919">
        <f>C4918+B4919</f>
        <v/>
      </c>
      <c r="D4919">
        <f>IF(B4919=1,INDEX('Data Entry'!$H$5:$BE$10004,4919-4,'Visual SPC'!$B$3),"")</f>
        <v/>
      </c>
      <c r="E4919">
        <f>IF(B4919=1,D4919,E4918)</f>
        <v/>
      </c>
      <c r="F4919">
        <f>IF(AND(B4919=1,C4919&gt;1,E4918&lt;&gt;""),ABS(D4919-E4918),"")</f>
        <v/>
      </c>
    </row>
    <row r="4920">
      <c r="A4920" t="n">
        <v>4920</v>
      </c>
      <c r="B4920">
        <f>IF(INDEX('Data Entry'!$H$5:$BE$10004,4920-4,'Visual SPC'!$B$3)="",0,IF(AND(OR('Visual SPC'!$C$4="",'Data Entry'!$C4920&gt;='Visual SPC'!$C$4),OR('Visual SPC'!$E$4="",'Data Entry'!$C4920&lt;='Visual SPC'!$E$4),OR('Visual SPC'!$G$4="",'Data Entry'!$D4920='Visual SPC'!$G$4),OR('Visual SPC'!$I$4="",'Data Entry'!$E4920='Visual SPC'!$I$4),OR('Visual SPC'!$K$4="",'Data Entry'!$F4920='Visual SPC'!$K$4)),1,0))</f>
        <v/>
      </c>
      <c r="C4920">
        <f>C4919+B4920</f>
        <v/>
      </c>
      <c r="D4920">
        <f>IF(B4920=1,INDEX('Data Entry'!$H$5:$BE$10004,4920-4,'Visual SPC'!$B$3),"")</f>
        <v/>
      </c>
      <c r="E4920">
        <f>IF(B4920=1,D4920,E4919)</f>
        <v/>
      </c>
      <c r="F4920">
        <f>IF(AND(B4920=1,C4920&gt;1,E4919&lt;&gt;""),ABS(D4920-E4919),"")</f>
        <v/>
      </c>
    </row>
    <row r="4921">
      <c r="A4921" t="n">
        <v>4921</v>
      </c>
      <c r="B4921">
        <f>IF(INDEX('Data Entry'!$H$5:$BE$10004,4921-4,'Visual SPC'!$B$3)="",0,IF(AND(OR('Visual SPC'!$C$4="",'Data Entry'!$C4921&gt;='Visual SPC'!$C$4),OR('Visual SPC'!$E$4="",'Data Entry'!$C4921&lt;='Visual SPC'!$E$4),OR('Visual SPC'!$G$4="",'Data Entry'!$D4921='Visual SPC'!$G$4),OR('Visual SPC'!$I$4="",'Data Entry'!$E4921='Visual SPC'!$I$4),OR('Visual SPC'!$K$4="",'Data Entry'!$F4921='Visual SPC'!$K$4)),1,0))</f>
        <v/>
      </c>
      <c r="C4921">
        <f>C4920+B4921</f>
        <v/>
      </c>
      <c r="D4921">
        <f>IF(B4921=1,INDEX('Data Entry'!$H$5:$BE$10004,4921-4,'Visual SPC'!$B$3),"")</f>
        <v/>
      </c>
      <c r="E4921">
        <f>IF(B4921=1,D4921,E4920)</f>
        <v/>
      </c>
      <c r="F4921">
        <f>IF(AND(B4921=1,C4921&gt;1,E4920&lt;&gt;""),ABS(D4921-E4920),"")</f>
        <v/>
      </c>
    </row>
    <row r="4922">
      <c r="A4922" t="n">
        <v>4922</v>
      </c>
      <c r="B4922">
        <f>IF(INDEX('Data Entry'!$H$5:$BE$10004,4922-4,'Visual SPC'!$B$3)="",0,IF(AND(OR('Visual SPC'!$C$4="",'Data Entry'!$C4922&gt;='Visual SPC'!$C$4),OR('Visual SPC'!$E$4="",'Data Entry'!$C4922&lt;='Visual SPC'!$E$4),OR('Visual SPC'!$G$4="",'Data Entry'!$D4922='Visual SPC'!$G$4),OR('Visual SPC'!$I$4="",'Data Entry'!$E4922='Visual SPC'!$I$4),OR('Visual SPC'!$K$4="",'Data Entry'!$F4922='Visual SPC'!$K$4)),1,0))</f>
        <v/>
      </c>
      <c r="C4922">
        <f>C4921+B4922</f>
        <v/>
      </c>
      <c r="D4922">
        <f>IF(B4922=1,INDEX('Data Entry'!$H$5:$BE$10004,4922-4,'Visual SPC'!$B$3),"")</f>
        <v/>
      </c>
      <c r="E4922">
        <f>IF(B4922=1,D4922,E4921)</f>
        <v/>
      </c>
      <c r="F4922">
        <f>IF(AND(B4922=1,C4922&gt;1,E4921&lt;&gt;""),ABS(D4922-E4921),"")</f>
        <v/>
      </c>
    </row>
    <row r="4923">
      <c r="A4923" t="n">
        <v>4923</v>
      </c>
      <c r="B4923">
        <f>IF(INDEX('Data Entry'!$H$5:$BE$10004,4923-4,'Visual SPC'!$B$3)="",0,IF(AND(OR('Visual SPC'!$C$4="",'Data Entry'!$C4923&gt;='Visual SPC'!$C$4),OR('Visual SPC'!$E$4="",'Data Entry'!$C4923&lt;='Visual SPC'!$E$4),OR('Visual SPC'!$G$4="",'Data Entry'!$D4923='Visual SPC'!$G$4),OR('Visual SPC'!$I$4="",'Data Entry'!$E4923='Visual SPC'!$I$4),OR('Visual SPC'!$K$4="",'Data Entry'!$F4923='Visual SPC'!$K$4)),1,0))</f>
        <v/>
      </c>
      <c r="C4923">
        <f>C4922+B4923</f>
        <v/>
      </c>
      <c r="D4923">
        <f>IF(B4923=1,INDEX('Data Entry'!$H$5:$BE$10004,4923-4,'Visual SPC'!$B$3),"")</f>
        <v/>
      </c>
      <c r="E4923">
        <f>IF(B4923=1,D4923,E4922)</f>
        <v/>
      </c>
      <c r="F4923">
        <f>IF(AND(B4923=1,C4923&gt;1,E4922&lt;&gt;""),ABS(D4923-E4922),"")</f>
        <v/>
      </c>
    </row>
    <row r="4924">
      <c r="A4924" t="n">
        <v>4924</v>
      </c>
      <c r="B4924">
        <f>IF(INDEX('Data Entry'!$H$5:$BE$10004,4924-4,'Visual SPC'!$B$3)="",0,IF(AND(OR('Visual SPC'!$C$4="",'Data Entry'!$C4924&gt;='Visual SPC'!$C$4),OR('Visual SPC'!$E$4="",'Data Entry'!$C4924&lt;='Visual SPC'!$E$4),OR('Visual SPC'!$G$4="",'Data Entry'!$D4924='Visual SPC'!$G$4),OR('Visual SPC'!$I$4="",'Data Entry'!$E4924='Visual SPC'!$I$4),OR('Visual SPC'!$K$4="",'Data Entry'!$F4924='Visual SPC'!$K$4)),1,0))</f>
        <v/>
      </c>
      <c r="C4924">
        <f>C4923+B4924</f>
        <v/>
      </c>
      <c r="D4924">
        <f>IF(B4924=1,INDEX('Data Entry'!$H$5:$BE$10004,4924-4,'Visual SPC'!$B$3),"")</f>
        <v/>
      </c>
      <c r="E4924">
        <f>IF(B4924=1,D4924,E4923)</f>
        <v/>
      </c>
      <c r="F4924">
        <f>IF(AND(B4924=1,C4924&gt;1,E4923&lt;&gt;""),ABS(D4924-E4923),"")</f>
        <v/>
      </c>
    </row>
    <row r="4925">
      <c r="A4925" t="n">
        <v>4925</v>
      </c>
      <c r="B4925">
        <f>IF(INDEX('Data Entry'!$H$5:$BE$10004,4925-4,'Visual SPC'!$B$3)="",0,IF(AND(OR('Visual SPC'!$C$4="",'Data Entry'!$C4925&gt;='Visual SPC'!$C$4),OR('Visual SPC'!$E$4="",'Data Entry'!$C4925&lt;='Visual SPC'!$E$4),OR('Visual SPC'!$G$4="",'Data Entry'!$D4925='Visual SPC'!$G$4),OR('Visual SPC'!$I$4="",'Data Entry'!$E4925='Visual SPC'!$I$4),OR('Visual SPC'!$K$4="",'Data Entry'!$F4925='Visual SPC'!$K$4)),1,0))</f>
        <v/>
      </c>
      <c r="C4925">
        <f>C4924+B4925</f>
        <v/>
      </c>
      <c r="D4925">
        <f>IF(B4925=1,INDEX('Data Entry'!$H$5:$BE$10004,4925-4,'Visual SPC'!$B$3),"")</f>
        <v/>
      </c>
      <c r="E4925">
        <f>IF(B4925=1,D4925,E4924)</f>
        <v/>
      </c>
      <c r="F4925">
        <f>IF(AND(B4925=1,C4925&gt;1,E4924&lt;&gt;""),ABS(D4925-E4924),"")</f>
        <v/>
      </c>
    </row>
    <row r="4926">
      <c r="A4926" t="n">
        <v>4926</v>
      </c>
      <c r="B4926">
        <f>IF(INDEX('Data Entry'!$H$5:$BE$10004,4926-4,'Visual SPC'!$B$3)="",0,IF(AND(OR('Visual SPC'!$C$4="",'Data Entry'!$C4926&gt;='Visual SPC'!$C$4),OR('Visual SPC'!$E$4="",'Data Entry'!$C4926&lt;='Visual SPC'!$E$4),OR('Visual SPC'!$G$4="",'Data Entry'!$D4926='Visual SPC'!$G$4),OR('Visual SPC'!$I$4="",'Data Entry'!$E4926='Visual SPC'!$I$4),OR('Visual SPC'!$K$4="",'Data Entry'!$F4926='Visual SPC'!$K$4)),1,0))</f>
        <v/>
      </c>
      <c r="C4926">
        <f>C4925+B4926</f>
        <v/>
      </c>
      <c r="D4926">
        <f>IF(B4926=1,INDEX('Data Entry'!$H$5:$BE$10004,4926-4,'Visual SPC'!$B$3),"")</f>
        <v/>
      </c>
      <c r="E4926">
        <f>IF(B4926=1,D4926,E4925)</f>
        <v/>
      </c>
      <c r="F4926">
        <f>IF(AND(B4926=1,C4926&gt;1,E4925&lt;&gt;""),ABS(D4926-E4925),"")</f>
        <v/>
      </c>
    </row>
    <row r="4927">
      <c r="A4927" t="n">
        <v>4927</v>
      </c>
      <c r="B4927">
        <f>IF(INDEX('Data Entry'!$H$5:$BE$10004,4927-4,'Visual SPC'!$B$3)="",0,IF(AND(OR('Visual SPC'!$C$4="",'Data Entry'!$C4927&gt;='Visual SPC'!$C$4),OR('Visual SPC'!$E$4="",'Data Entry'!$C4927&lt;='Visual SPC'!$E$4),OR('Visual SPC'!$G$4="",'Data Entry'!$D4927='Visual SPC'!$G$4),OR('Visual SPC'!$I$4="",'Data Entry'!$E4927='Visual SPC'!$I$4),OR('Visual SPC'!$K$4="",'Data Entry'!$F4927='Visual SPC'!$K$4)),1,0))</f>
        <v/>
      </c>
      <c r="C4927">
        <f>C4926+B4927</f>
        <v/>
      </c>
      <c r="D4927">
        <f>IF(B4927=1,INDEX('Data Entry'!$H$5:$BE$10004,4927-4,'Visual SPC'!$B$3),"")</f>
        <v/>
      </c>
      <c r="E4927">
        <f>IF(B4927=1,D4927,E4926)</f>
        <v/>
      </c>
      <c r="F4927">
        <f>IF(AND(B4927=1,C4927&gt;1,E4926&lt;&gt;""),ABS(D4927-E4926),"")</f>
        <v/>
      </c>
    </row>
    <row r="4928">
      <c r="A4928" t="n">
        <v>4928</v>
      </c>
      <c r="B4928">
        <f>IF(INDEX('Data Entry'!$H$5:$BE$10004,4928-4,'Visual SPC'!$B$3)="",0,IF(AND(OR('Visual SPC'!$C$4="",'Data Entry'!$C4928&gt;='Visual SPC'!$C$4),OR('Visual SPC'!$E$4="",'Data Entry'!$C4928&lt;='Visual SPC'!$E$4),OR('Visual SPC'!$G$4="",'Data Entry'!$D4928='Visual SPC'!$G$4),OR('Visual SPC'!$I$4="",'Data Entry'!$E4928='Visual SPC'!$I$4),OR('Visual SPC'!$K$4="",'Data Entry'!$F4928='Visual SPC'!$K$4)),1,0))</f>
        <v/>
      </c>
      <c r="C4928">
        <f>C4927+B4928</f>
        <v/>
      </c>
      <c r="D4928">
        <f>IF(B4928=1,INDEX('Data Entry'!$H$5:$BE$10004,4928-4,'Visual SPC'!$B$3),"")</f>
        <v/>
      </c>
      <c r="E4928">
        <f>IF(B4928=1,D4928,E4927)</f>
        <v/>
      </c>
      <c r="F4928">
        <f>IF(AND(B4928=1,C4928&gt;1,E4927&lt;&gt;""),ABS(D4928-E4927),"")</f>
        <v/>
      </c>
    </row>
    <row r="4929">
      <c r="A4929" t="n">
        <v>4929</v>
      </c>
      <c r="B4929">
        <f>IF(INDEX('Data Entry'!$H$5:$BE$10004,4929-4,'Visual SPC'!$B$3)="",0,IF(AND(OR('Visual SPC'!$C$4="",'Data Entry'!$C4929&gt;='Visual SPC'!$C$4),OR('Visual SPC'!$E$4="",'Data Entry'!$C4929&lt;='Visual SPC'!$E$4),OR('Visual SPC'!$G$4="",'Data Entry'!$D4929='Visual SPC'!$G$4),OR('Visual SPC'!$I$4="",'Data Entry'!$E4929='Visual SPC'!$I$4),OR('Visual SPC'!$K$4="",'Data Entry'!$F4929='Visual SPC'!$K$4)),1,0))</f>
        <v/>
      </c>
      <c r="C4929">
        <f>C4928+B4929</f>
        <v/>
      </c>
      <c r="D4929">
        <f>IF(B4929=1,INDEX('Data Entry'!$H$5:$BE$10004,4929-4,'Visual SPC'!$B$3),"")</f>
        <v/>
      </c>
      <c r="E4929">
        <f>IF(B4929=1,D4929,E4928)</f>
        <v/>
      </c>
      <c r="F4929">
        <f>IF(AND(B4929=1,C4929&gt;1,E4928&lt;&gt;""),ABS(D4929-E4928),"")</f>
        <v/>
      </c>
    </row>
    <row r="4930">
      <c r="A4930" t="n">
        <v>4930</v>
      </c>
      <c r="B4930">
        <f>IF(INDEX('Data Entry'!$H$5:$BE$10004,4930-4,'Visual SPC'!$B$3)="",0,IF(AND(OR('Visual SPC'!$C$4="",'Data Entry'!$C4930&gt;='Visual SPC'!$C$4),OR('Visual SPC'!$E$4="",'Data Entry'!$C4930&lt;='Visual SPC'!$E$4),OR('Visual SPC'!$G$4="",'Data Entry'!$D4930='Visual SPC'!$G$4),OR('Visual SPC'!$I$4="",'Data Entry'!$E4930='Visual SPC'!$I$4),OR('Visual SPC'!$K$4="",'Data Entry'!$F4930='Visual SPC'!$K$4)),1,0))</f>
        <v/>
      </c>
      <c r="C4930">
        <f>C4929+B4930</f>
        <v/>
      </c>
      <c r="D4930">
        <f>IF(B4930=1,INDEX('Data Entry'!$H$5:$BE$10004,4930-4,'Visual SPC'!$B$3),"")</f>
        <v/>
      </c>
      <c r="E4930">
        <f>IF(B4930=1,D4930,E4929)</f>
        <v/>
      </c>
      <c r="F4930">
        <f>IF(AND(B4930=1,C4930&gt;1,E4929&lt;&gt;""),ABS(D4930-E4929),"")</f>
        <v/>
      </c>
    </row>
    <row r="4931">
      <c r="A4931" t="n">
        <v>4931</v>
      </c>
      <c r="B4931">
        <f>IF(INDEX('Data Entry'!$H$5:$BE$10004,4931-4,'Visual SPC'!$B$3)="",0,IF(AND(OR('Visual SPC'!$C$4="",'Data Entry'!$C4931&gt;='Visual SPC'!$C$4),OR('Visual SPC'!$E$4="",'Data Entry'!$C4931&lt;='Visual SPC'!$E$4),OR('Visual SPC'!$G$4="",'Data Entry'!$D4931='Visual SPC'!$G$4),OR('Visual SPC'!$I$4="",'Data Entry'!$E4931='Visual SPC'!$I$4),OR('Visual SPC'!$K$4="",'Data Entry'!$F4931='Visual SPC'!$K$4)),1,0))</f>
        <v/>
      </c>
      <c r="C4931">
        <f>C4930+B4931</f>
        <v/>
      </c>
      <c r="D4931">
        <f>IF(B4931=1,INDEX('Data Entry'!$H$5:$BE$10004,4931-4,'Visual SPC'!$B$3),"")</f>
        <v/>
      </c>
      <c r="E4931">
        <f>IF(B4931=1,D4931,E4930)</f>
        <v/>
      </c>
      <c r="F4931">
        <f>IF(AND(B4931=1,C4931&gt;1,E4930&lt;&gt;""),ABS(D4931-E4930),"")</f>
        <v/>
      </c>
    </row>
    <row r="4932">
      <c r="A4932" t="n">
        <v>4932</v>
      </c>
      <c r="B4932">
        <f>IF(INDEX('Data Entry'!$H$5:$BE$10004,4932-4,'Visual SPC'!$B$3)="",0,IF(AND(OR('Visual SPC'!$C$4="",'Data Entry'!$C4932&gt;='Visual SPC'!$C$4),OR('Visual SPC'!$E$4="",'Data Entry'!$C4932&lt;='Visual SPC'!$E$4),OR('Visual SPC'!$G$4="",'Data Entry'!$D4932='Visual SPC'!$G$4),OR('Visual SPC'!$I$4="",'Data Entry'!$E4932='Visual SPC'!$I$4),OR('Visual SPC'!$K$4="",'Data Entry'!$F4932='Visual SPC'!$K$4)),1,0))</f>
        <v/>
      </c>
      <c r="C4932">
        <f>C4931+B4932</f>
        <v/>
      </c>
      <c r="D4932">
        <f>IF(B4932=1,INDEX('Data Entry'!$H$5:$BE$10004,4932-4,'Visual SPC'!$B$3),"")</f>
        <v/>
      </c>
      <c r="E4932">
        <f>IF(B4932=1,D4932,E4931)</f>
        <v/>
      </c>
      <c r="F4932">
        <f>IF(AND(B4932=1,C4932&gt;1,E4931&lt;&gt;""),ABS(D4932-E4931),"")</f>
        <v/>
      </c>
    </row>
    <row r="4933">
      <c r="A4933" t="n">
        <v>4933</v>
      </c>
      <c r="B4933">
        <f>IF(INDEX('Data Entry'!$H$5:$BE$10004,4933-4,'Visual SPC'!$B$3)="",0,IF(AND(OR('Visual SPC'!$C$4="",'Data Entry'!$C4933&gt;='Visual SPC'!$C$4),OR('Visual SPC'!$E$4="",'Data Entry'!$C4933&lt;='Visual SPC'!$E$4),OR('Visual SPC'!$G$4="",'Data Entry'!$D4933='Visual SPC'!$G$4),OR('Visual SPC'!$I$4="",'Data Entry'!$E4933='Visual SPC'!$I$4),OR('Visual SPC'!$K$4="",'Data Entry'!$F4933='Visual SPC'!$K$4)),1,0))</f>
        <v/>
      </c>
      <c r="C4933">
        <f>C4932+B4933</f>
        <v/>
      </c>
      <c r="D4933">
        <f>IF(B4933=1,INDEX('Data Entry'!$H$5:$BE$10004,4933-4,'Visual SPC'!$B$3),"")</f>
        <v/>
      </c>
      <c r="E4933">
        <f>IF(B4933=1,D4933,E4932)</f>
        <v/>
      </c>
      <c r="F4933">
        <f>IF(AND(B4933=1,C4933&gt;1,E4932&lt;&gt;""),ABS(D4933-E4932),"")</f>
        <v/>
      </c>
    </row>
    <row r="4934">
      <c r="A4934" t="n">
        <v>4934</v>
      </c>
      <c r="B4934">
        <f>IF(INDEX('Data Entry'!$H$5:$BE$10004,4934-4,'Visual SPC'!$B$3)="",0,IF(AND(OR('Visual SPC'!$C$4="",'Data Entry'!$C4934&gt;='Visual SPC'!$C$4),OR('Visual SPC'!$E$4="",'Data Entry'!$C4934&lt;='Visual SPC'!$E$4),OR('Visual SPC'!$G$4="",'Data Entry'!$D4934='Visual SPC'!$G$4),OR('Visual SPC'!$I$4="",'Data Entry'!$E4934='Visual SPC'!$I$4),OR('Visual SPC'!$K$4="",'Data Entry'!$F4934='Visual SPC'!$K$4)),1,0))</f>
        <v/>
      </c>
      <c r="C4934">
        <f>C4933+B4934</f>
        <v/>
      </c>
      <c r="D4934">
        <f>IF(B4934=1,INDEX('Data Entry'!$H$5:$BE$10004,4934-4,'Visual SPC'!$B$3),"")</f>
        <v/>
      </c>
      <c r="E4934">
        <f>IF(B4934=1,D4934,E4933)</f>
        <v/>
      </c>
      <c r="F4934">
        <f>IF(AND(B4934=1,C4934&gt;1,E4933&lt;&gt;""),ABS(D4934-E4933),"")</f>
        <v/>
      </c>
    </row>
    <row r="4935">
      <c r="A4935" t="n">
        <v>4935</v>
      </c>
      <c r="B4935">
        <f>IF(INDEX('Data Entry'!$H$5:$BE$10004,4935-4,'Visual SPC'!$B$3)="",0,IF(AND(OR('Visual SPC'!$C$4="",'Data Entry'!$C4935&gt;='Visual SPC'!$C$4),OR('Visual SPC'!$E$4="",'Data Entry'!$C4935&lt;='Visual SPC'!$E$4),OR('Visual SPC'!$G$4="",'Data Entry'!$D4935='Visual SPC'!$G$4),OR('Visual SPC'!$I$4="",'Data Entry'!$E4935='Visual SPC'!$I$4),OR('Visual SPC'!$K$4="",'Data Entry'!$F4935='Visual SPC'!$K$4)),1,0))</f>
        <v/>
      </c>
      <c r="C4935">
        <f>C4934+B4935</f>
        <v/>
      </c>
      <c r="D4935">
        <f>IF(B4935=1,INDEX('Data Entry'!$H$5:$BE$10004,4935-4,'Visual SPC'!$B$3),"")</f>
        <v/>
      </c>
      <c r="E4935">
        <f>IF(B4935=1,D4935,E4934)</f>
        <v/>
      </c>
      <c r="F4935">
        <f>IF(AND(B4935=1,C4935&gt;1,E4934&lt;&gt;""),ABS(D4935-E4934),"")</f>
        <v/>
      </c>
    </row>
    <row r="4936">
      <c r="A4936" t="n">
        <v>4936</v>
      </c>
      <c r="B4936">
        <f>IF(INDEX('Data Entry'!$H$5:$BE$10004,4936-4,'Visual SPC'!$B$3)="",0,IF(AND(OR('Visual SPC'!$C$4="",'Data Entry'!$C4936&gt;='Visual SPC'!$C$4),OR('Visual SPC'!$E$4="",'Data Entry'!$C4936&lt;='Visual SPC'!$E$4),OR('Visual SPC'!$G$4="",'Data Entry'!$D4936='Visual SPC'!$G$4),OR('Visual SPC'!$I$4="",'Data Entry'!$E4936='Visual SPC'!$I$4),OR('Visual SPC'!$K$4="",'Data Entry'!$F4936='Visual SPC'!$K$4)),1,0))</f>
        <v/>
      </c>
      <c r="C4936">
        <f>C4935+B4936</f>
        <v/>
      </c>
      <c r="D4936">
        <f>IF(B4936=1,INDEX('Data Entry'!$H$5:$BE$10004,4936-4,'Visual SPC'!$B$3),"")</f>
        <v/>
      </c>
      <c r="E4936">
        <f>IF(B4936=1,D4936,E4935)</f>
        <v/>
      </c>
      <c r="F4936">
        <f>IF(AND(B4936=1,C4936&gt;1,E4935&lt;&gt;""),ABS(D4936-E4935),"")</f>
        <v/>
      </c>
    </row>
    <row r="4937">
      <c r="A4937" t="n">
        <v>4937</v>
      </c>
      <c r="B4937">
        <f>IF(INDEX('Data Entry'!$H$5:$BE$10004,4937-4,'Visual SPC'!$B$3)="",0,IF(AND(OR('Visual SPC'!$C$4="",'Data Entry'!$C4937&gt;='Visual SPC'!$C$4),OR('Visual SPC'!$E$4="",'Data Entry'!$C4937&lt;='Visual SPC'!$E$4),OR('Visual SPC'!$G$4="",'Data Entry'!$D4937='Visual SPC'!$G$4),OR('Visual SPC'!$I$4="",'Data Entry'!$E4937='Visual SPC'!$I$4),OR('Visual SPC'!$K$4="",'Data Entry'!$F4937='Visual SPC'!$K$4)),1,0))</f>
        <v/>
      </c>
      <c r="C4937">
        <f>C4936+B4937</f>
        <v/>
      </c>
      <c r="D4937">
        <f>IF(B4937=1,INDEX('Data Entry'!$H$5:$BE$10004,4937-4,'Visual SPC'!$B$3),"")</f>
        <v/>
      </c>
      <c r="E4937">
        <f>IF(B4937=1,D4937,E4936)</f>
        <v/>
      </c>
      <c r="F4937">
        <f>IF(AND(B4937=1,C4937&gt;1,E4936&lt;&gt;""),ABS(D4937-E4936),"")</f>
        <v/>
      </c>
    </row>
    <row r="4938">
      <c r="A4938" t="n">
        <v>4938</v>
      </c>
      <c r="B4938">
        <f>IF(INDEX('Data Entry'!$H$5:$BE$10004,4938-4,'Visual SPC'!$B$3)="",0,IF(AND(OR('Visual SPC'!$C$4="",'Data Entry'!$C4938&gt;='Visual SPC'!$C$4),OR('Visual SPC'!$E$4="",'Data Entry'!$C4938&lt;='Visual SPC'!$E$4),OR('Visual SPC'!$G$4="",'Data Entry'!$D4938='Visual SPC'!$G$4),OR('Visual SPC'!$I$4="",'Data Entry'!$E4938='Visual SPC'!$I$4),OR('Visual SPC'!$K$4="",'Data Entry'!$F4938='Visual SPC'!$K$4)),1,0))</f>
        <v/>
      </c>
      <c r="C4938">
        <f>C4937+B4938</f>
        <v/>
      </c>
      <c r="D4938">
        <f>IF(B4938=1,INDEX('Data Entry'!$H$5:$BE$10004,4938-4,'Visual SPC'!$B$3),"")</f>
        <v/>
      </c>
      <c r="E4938">
        <f>IF(B4938=1,D4938,E4937)</f>
        <v/>
      </c>
      <c r="F4938">
        <f>IF(AND(B4938=1,C4938&gt;1,E4937&lt;&gt;""),ABS(D4938-E4937),"")</f>
        <v/>
      </c>
    </row>
    <row r="4939">
      <c r="A4939" t="n">
        <v>4939</v>
      </c>
      <c r="B4939">
        <f>IF(INDEX('Data Entry'!$H$5:$BE$10004,4939-4,'Visual SPC'!$B$3)="",0,IF(AND(OR('Visual SPC'!$C$4="",'Data Entry'!$C4939&gt;='Visual SPC'!$C$4),OR('Visual SPC'!$E$4="",'Data Entry'!$C4939&lt;='Visual SPC'!$E$4),OR('Visual SPC'!$G$4="",'Data Entry'!$D4939='Visual SPC'!$G$4),OR('Visual SPC'!$I$4="",'Data Entry'!$E4939='Visual SPC'!$I$4),OR('Visual SPC'!$K$4="",'Data Entry'!$F4939='Visual SPC'!$K$4)),1,0))</f>
        <v/>
      </c>
      <c r="C4939">
        <f>C4938+B4939</f>
        <v/>
      </c>
      <c r="D4939">
        <f>IF(B4939=1,INDEX('Data Entry'!$H$5:$BE$10004,4939-4,'Visual SPC'!$B$3),"")</f>
        <v/>
      </c>
      <c r="E4939">
        <f>IF(B4939=1,D4939,E4938)</f>
        <v/>
      </c>
      <c r="F4939">
        <f>IF(AND(B4939=1,C4939&gt;1,E4938&lt;&gt;""),ABS(D4939-E4938),"")</f>
        <v/>
      </c>
    </row>
    <row r="4940">
      <c r="A4940" t="n">
        <v>4940</v>
      </c>
      <c r="B4940">
        <f>IF(INDEX('Data Entry'!$H$5:$BE$10004,4940-4,'Visual SPC'!$B$3)="",0,IF(AND(OR('Visual SPC'!$C$4="",'Data Entry'!$C4940&gt;='Visual SPC'!$C$4),OR('Visual SPC'!$E$4="",'Data Entry'!$C4940&lt;='Visual SPC'!$E$4),OR('Visual SPC'!$G$4="",'Data Entry'!$D4940='Visual SPC'!$G$4),OR('Visual SPC'!$I$4="",'Data Entry'!$E4940='Visual SPC'!$I$4),OR('Visual SPC'!$K$4="",'Data Entry'!$F4940='Visual SPC'!$K$4)),1,0))</f>
        <v/>
      </c>
      <c r="C4940">
        <f>C4939+B4940</f>
        <v/>
      </c>
      <c r="D4940">
        <f>IF(B4940=1,INDEX('Data Entry'!$H$5:$BE$10004,4940-4,'Visual SPC'!$B$3),"")</f>
        <v/>
      </c>
      <c r="E4940">
        <f>IF(B4940=1,D4940,E4939)</f>
        <v/>
      </c>
      <c r="F4940">
        <f>IF(AND(B4940=1,C4940&gt;1,E4939&lt;&gt;""),ABS(D4940-E4939),"")</f>
        <v/>
      </c>
    </row>
    <row r="4941">
      <c r="A4941" t="n">
        <v>4941</v>
      </c>
      <c r="B4941">
        <f>IF(INDEX('Data Entry'!$H$5:$BE$10004,4941-4,'Visual SPC'!$B$3)="",0,IF(AND(OR('Visual SPC'!$C$4="",'Data Entry'!$C4941&gt;='Visual SPC'!$C$4),OR('Visual SPC'!$E$4="",'Data Entry'!$C4941&lt;='Visual SPC'!$E$4),OR('Visual SPC'!$G$4="",'Data Entry'!$D4941='Visual SPC'!$G$4),OR('Visual SPC'!$I$4="",'Data Entry'!$E4941='Visual SPC'!$I$4),OR('Visual SPC'!$K$4="",'Data Entry'!$F4941='Visual SPC'!$K$4)),1,0))</f>
        <v/>
      </c>
      <c r="C4941">
        <f>C4940+B4941</f>
        <v/>
      </c>
      <c r="D4941">
        <f>IF(B4941=1,INDEX('Data Entry'!$H$5:$BE$10004,4941-4,'Visual SPC'!$B$3),"")</f>
        <v/>
      </c>
      <c r="E4941">
        <f>IF(B4941=1,D4941,E4940)</f>
        <v/>
      </c>
      <c r="F4941">
        <f>IF(AND(B4941=1,C4941&gt;1,E4940&lt;&gt;""),ABS(D4941-E4940),"")</f>
        <v/>
      </c>
    </row>
    <row r="4942">
      <c r="A4942" t="n">
        <v>4942</v>
      </c>
      <c r="B4942">
        <f>IF(INDEX('Data Entry'!$H$5:$BE$10004,4942-4,'Visual SPC'!$B$3)="",0,IF(AND(OR('Visual SPC'!$C$4="",'Data Entry'!$C4942&gt;='Visual SPC'!$C$4),OR('Visual SPC'!$E$4="",'Data Entry'!$C4942&lt;='Visual SPC'!$E$4),OR('Visual SPC'!$G$4="",'Data Entry'!$D4942='Visual SPC'!$G$4),OR('Visual SPC'!$I$4="",'Data Entry'!$E4942='Visual SPC'!$I$4),OR('Visual SPC'!$K$4="",'Data Entry'!$F4942='Visual SPC'!$K$4)),1,0))</f>
        <v/>
      </c>
      <c r="C4942">
        <f>C4941+B4942</f>
        <v/>
      </c>
      <c r="D4942">
        <f>IF(B4942=1,INDEX('Data Entry'!$H$5:$BE$10004,4942-4,'Visual SPC'!$B$3),"")</f>
        <v/>
      </c>
      <c r="E4942">
        <f>IF(B4942=1,D4942,E4941)</f>
        <v/>
      </c>
      <c r="F4942">
        <f>IF(AND(B4942=1,C4942&gt;1,E4941&lt;&gt;""),ABS(D4942-E4941),"")</f>
        <v/>
      </c>
    </row>
    <row r="4943">
      <c r="A4943" t="n">
        <v>4943</v>
      </c>
      <c r="B4943">
        <f>IF(INDEX('Data Entry'!$H$5:$BE$10004,4943-4,'Visual SPC'!$B$3)="",0,IF(AND(OR('Visual SPC'!$C$4="",'Data Entry'!$C4943&gt;='Visual SPC'!$C$4),OR('Visual SPC'!$E$4="",'Data Entry'!$C4943&lt;='Visual SPC'!$E$4),OR('Visual SPC'!$G$4="",'Data Entry'!$D4943='Visual SPC'!$G$4),OR('Visual SPC'!$I$4="",'Data Entry'!$E4943='Visual SPC'!$I$4),OR('Visual SPC'!$K$4="",'Data Entry'!$F4943='Visual SPC'!$K$4)),1,0))</f>
        <v/>
      </c>
      <c r="C4943">
        <f>C4942+B4943</f>
        <v/>
      </c>
      <c r="D4943">
        <f>IF(B4943=1,INDEX('Data Entry'!$H$5:$BE$10004,4943-4,'Visual SPC'!$B$3),"")</f>
        <v/>
      </c>
      <c r="E4943">
        <f>IF(B4943=1,D4943,E4942)</f>
        <v/>
      </c>
      <c r="F4943">
        <f>IF(AND(B4943=1,C4943&gt;1,E4942&lt;&gt;""),ABS(D4943-E4942),"")</f>
        <v/>
      </c>
    </row>
    <row r="4944">
      <c r="A4944" t="n">
        <v>4944</v>
      </c>
      <c r="B4944">
        <f>IF(INDEX('Data Entry'!$H$5:$BE$10004,4944-4,'Visual SPC'!$B$3)="",0,IF(AND(OR('Visual SPC'!$C$4="",'Data Entry'!$C4944&gt;='Visual SPC'!$C$4),OR('Visual SPC'!$E$4="",'Data Entry'!$C4944&lt;='Visual SPC'!$E$4),OR('Visual SPC'!$G$4="",'Data Entry'!$D4944='Visual SPC'!$G$4),OR('Visual SPC'!$I$4="",'Data Entry'!$E4944='Visual SPC'!$I$4),OR('Visual SPC'!$K$4="",'Data Entry'!$F4944='Visual SPC'!$K$4)),1,0))</f>
        <v/>
      </c>
      <c r="C4944">
        <f>C4943+B4944</f>
        <v/>
      </c>
      <c r="D4944">
        <f>IF(B4944=1,INDEX('Data Entry'!$H$5:$BE$10004,4944-4,'Visual SPC'!$B$3),"")</f>
        <v/>
      </c>
      <c r="E4944">
        <f>IF(B4944=1,D4944,E4943)</f>
        <v/>
      </c>
      <c r="F4944">
        <f>IF(AND(B4944=1,C4944&gt;1,E4943&lt;&gt;""),ABS(D4944-E4943),"")</f>
        <v/>
      </c>
    </row>
    <row r="4945">
      <c r="A4945" t="n">
        <v>4945</v>
      </c>
      <c r="B4945">
        <f>IF(INDEX('Data Entry'!$H$5:$BE$10004,4945-4,'Visual SPC'!$B$3)="",0,IF(AND(OR('Visual SPC'!$C$4="",'Data Entry'!$C4945&gt;='Visual SPC'!$C$4),OR('Visual SPC'!$E$4="",'Data Entry'!$C4945&lt;='Visual SPC'!$E$4),OR('Visual SPC'!$G$4="",'Data Entry'!$D4945='Visual SPC'!$G$4),OR('Visual SPC'!$I$4="",'Data Entry'!$E4945='Visual SPC'!$I$4),OR('Visual SPC'!$K$4="",'Data Entry'!$F4945='Visual SPC'!$K$4)),1,0))</f>
        <v/>
      </c>
      <c r="C4945">
        <f>C4944+B4945</f>
        <v/>
      </c>
      <c r="D4945">
        <f>IF(B4945=1,INDEX('Data Entry'!$H$5:$BE$10004,4945-4,'Visual SPC'!$B$3),"")</f>
        <v/>
      </c>
      <c r="E4945">
        <f>IF(B4945=1,D4945,E4944)</f>
        <v/>
      </c>
      <c r="F4945">
        <f>IF(AND(B4945=1,C4945&gt;1,E4944&lt;&gt;""),ABS(D4945-E4944),"")</f>
        <v/>
      </c>
    </row>
    <row r="4946">
      <c r="A4946" t="n">
        <v>4946</v>
      </c>
      <c r="B4946">
        <f>IF(INDEX('Data Entry'!$H$5:$BE$10004,4946-4,'Visual SPC'!$B$3)="",0,IF(AND(OR('Visual SPC'!$C$4="",'Data Entry'!$C4946&gt;='Visual SPC'!$C$4),OR('Visual SPC'!$E$4="",'Data Entry'!$C4946&lt;='Visual SPC'!$E$4),OR('Visual SPC'!$G$4="",'Data Entry'!$D4946='Visual SPC'!$G$4),OR('Visual SPC'!$I$4="",'Data Entry'!$E4946='Visual SPC'!$I$4),OR('Visual SPC'!$K$4="",'Data Entry'!$F4946='Visual SPC'!$K$4)),1,0))</f>
        <v/>
      </c>
      <c r="C4946">
        <f>C4945+B4946</f>
        <v/>
      </c>
      <c r="D4946">
        <f>IF(B4946=1,INDEX('Data Entry'!$H$5:$BE$10004,4946-4,'Visual SPC'!$B$3),"")</f>
        <v/>
      </c>
      <c r="E4946">
        <f>IF(B4946=1,D4946,E4945)</f>
        <v/>
      </c>
      <c r="F4946">
        <f>IF(AND(B4946=1,C4946&gt;1,E4945&lt;&gt;""),ABS(D4946-E4945),"")</f>
        <v/>
      </c>
    </row>
    <row r="4947">
      <c r="A4947" t="n">
        <v>4947</v>
      </c>
      <c r="B4947">
        <f>IF(INDEX('Data Entry'!$H$5:$BE$10004,4947-4,'Visual SPC'!$B$3)="",0,IF(AND(OR('Visual SPC'!$C$4="",'Data Entry'!$C4947&gt;='Visual SPC'!$C$4),OR('Visual SPC'!$E$4="",'Data Entry'!$C4947&lt;='Visual SPC'!$E$4),OR('Visual SPC'!$G$4="",'Data Entry'!$D4947='Visual SPC'!$G$4),OR('Visual SPC'!$I$4="",'Data Entry'!$E4947='Visual SPC'!$I$4),OR('Visual SPC'!$K$4="",'Data Entry'!$F4947='Visual SPC'!$K$4)),1,0))</f>
        <v/>
      </c>
      <c r="C4947">
        <f>C4946+B4947</f>
        <v/>
      </c>
      <c r="D4947">
        <f>IF(B4947=1,INDEX('Data Entry'!$H$5:$BE$10004,4947-4,'Visual SPC'!$B$3),"")</f>
        <v/>
      </c>
      <c r="E4947">
        <f>IF(B4947=1,D4947,E4946)</f>
        <v/>
      </c>
      <c r="F4947">
        <f>IF(AND(B4947=1,C4947&gt;1,E4946&lt;&gt;""),ABS(D4947-E4946),"")</f>
        <v/>
      </c>
    </row>
    <row r="4948">
      <c r="A4948" t="n">
        <v>4948</v>
      </c>
      <c r="B4948">
        <f>IF(INDEX('Data Entry'!$H$5:$BE$10004,4948-4,'Visual SPC'!$B$3)="",0,IF(AND(OR('Visual SPC'!$C$4="",'Data Entry'!$C4948&gt;='Visual SPC'!$C$4),OR('Visual SPC'!$E$4="",'Data Entry'!$C4948&lt;='Visual SPC'!$E$4),OR('Visual SPC'!$G$4="",'Data Entry'!$D4948='Visual SPC'!$G$4),OR('Visual SPC'!$I$4="",'Data Entry'!$E4948='Visual SPC'!$I$4),OR('Visual SPC'!$K$4="",'Data Entry'!$F4948='Visual SPC'!$K$4)),1,0))</f>
        <v/>
      </c>
      <c r="C4948">
        <f>C4947+B4948</f>
        <v/>
      </c>
      <c r="D4948">
        <f>IF(B4948=1,INDEX('Data Entry'!$H$5:$BE$10004,4948-4,'Visual SPC'!$B$3),"")</f>
        <v/>
      </c>
      <c r="E4948">
        <f>IF(B4948=1,D4948,E4947)</f>
        <v/>
      </c>
      <c r="F4948">
        <f>IF(AND(B4948=1,C4948&gt;1,E4947&lt;&gt;""),ABS(D4948-E4947),"")</f>
        <v/>
      </c>
    </row>
    <row r="4949">
      <c r="A4949" t="n">
        <v>4949</v>
      </c>
      <c r="B4949">
        <f>IF(INDEX('Data Entry'!$H$5:$BE$10004,4949-4,'Visual SPC'!$B$3)="",0,IF(AND(OR('Visual SPC'!$C$4="",'Data Entry'!$C4949&gt;='Visual SPC'!$C$4),OR('Visual SPC'!$E$4="",'Data Entry'!$C4949&lt;='Visual SPC'!$E$4),OR('Visual SPC'!$G$4="",'Data Entry'!$D4949='Visual SPC'!$G$4),OR('Visual SPC'!$I$4="",'Data Entry'!$E4949='Visual SPC'!$I$4),OR('Visual SPC'!$K$4="",'Data Entry'!$F4949='Visual SPC'!$K$4)),1,0))</f>
        <v/>
      </c>
      <c r="C4949">
        <f>C4948+B4949</f>
        <v/>
      </c>
      <c r="D4949">
        <f>IF(B4949=1,INDEX('Data Entry'!$H$5:$BE$10004,4949-4,'Visual SPC'!$B$3),"")</f>
        <v/>
      </c>
      <c r="E4949">
        <f>IF(B4949=1,D4949,E4948)</f>
        <v/>
      </c>
      <c r="F4949">
        <f>IF(AND(B4949=1,C4949&gt;1,E4948&lt;&gt;""),ABS(D4949-E4948),"")</f>
        <v/>
      </c>
    </row>
    <row r="4950">
      <c r="A4950" t="n">
        <v>4950</v>
      </c>
      <c r="B4950">
        <f>IF(INDEX('Data Entry'!$H$5:$BE$10004,4950-4,'Visual SPC'!$B$3)="",0,IF(AND(OR('Visual SPC'!$C$4="",'Data Entry'!$C4950&gt;='Visual SPC'!$C$4),OR('Visual SPC'!$E$4="",'Data Entry'!$C4950&lt;='Visual SPC'!$E$4),OR('Visual SPC'!$G$4="",'Data Entry'!$D4950='Visual SPC'!$G$4),OR('Visual SPC'!$I$4="",'Data Entry'!$E4950='Visual SPC'!$I$4),OR('Visual SPC'!$K$4="",'Data Entry'!$F4950='Visual SPC'!$K$4)),1,0))</f>
        <v/>
      </c>
      <c r="C4950">
        <f>C4949+B4950</f>
        <v/>
      </c>
      <c r="D4950">
        <f>IF(B4950=1,INDEX('Data Entry'!$H$5:$BE$10004,4950-4,'Visual SPC'!$B$3),"")</f>
        <v/>
      </c>
      <c r="E4950">
        <f>IF(B4950=1,D4950,E4949)</f>
        <v/>
      </c>
      <c r="F4950">
        <f>IF(AND(B4950=1,C4950&gt;1,E4949&lt;&gt;""),ABS(D4950-E4949),"")</f>
        <v/>
      </c>
    </row>
    <row r="4951">
      <c r="A4951" t="n">
        <v>4951</v>
      </c>
      <c r="B4951">
        <f>IF(INDEX('Data Entry'!$H$5:$BE$10004,4951-4,'Visual SPC'!$B$3)="",0,IF(AND(OR('Visual SPC'!$C$4="",'Data Entry'!$C4951&gt;='Visual SPC'!$C$4),OR('Visual SPC'!$E$4="",'Data Entry'!$C4951&lt;='Visual SPC'!$E$4),OR('Visual SPC'!$G$4="",'Data Entry'!$D4951='Visual SPC'!$G$4),OR('Visual SPC'!$I$4="",'Data Entry'!$E4951='Visual SPC'!$I$4),OR('Visual SPC'!$K$4="",'Data Entry'!$F4951='Visual SPC'!$K$4)),1,0))</f>
        <v/>
      </c>
      <c r="C4951">
        <f>C4950+B4951</f>
        <v/>
      </c>
      <c r="D4951">
        <f>IF(B4951=1,INDEX('Data Entry'!$H$5:$BE$10004,4951-4,'Visual SPC'!$B$3),"")</f>
        <v/>
      </c>
      <c r="E4951">
        <f>IF(B4951=1,D4951,E4950)</f>
        <v/>
      </c>
      <c r="F4951">
        <f>IF(AND(B4951=1,C4951&gt;1,E4950&lt;&gt;""),ABS(D4951-E4950),"")</f>
        <v/>
      </c>
    </row>
    <row r="4952">
      <c r="A4952" t="n">
        <v>4952</v>
      </c>
      <c r="B4952">
        <f>IF(INDEX('Data Entry'!$H$5:$BE$10004,4952-4,'Visual SPC'!$B$3)="",0,IF(AND(OR('Visual SPC'!$C$4="",'Data Entry'!$C4952&gt;='Visual SPC'!$C$4),OR('Visual SPC'!$E$4="",'Data Entry'!$C4952&lt;='Visual SPC'!$E$4),OR('Visual SPC'!$G$4="",'Data Entry'!$D4952='Visual SPC'!$G$4),OR('Visual SPC'!$I$4="",'Data Entry'!$E4952='Visual SPC'!$I$4),OR('Visual SPC'!$K$4="",'Data Entry'!$F4952='Visual SPC'!$K$4)),1,0))</f>
        <v/>
      </c>
      <c r="C4952">
        <f>C4951+B4952</f>
        <v/>
      </c>
      <c r="D4952">
        <f>IF(B4952=1,INDEX('Data Entry'!$H$5:$BE$10004,4952-4,'Visual SPC'!$B$3),"")</f>
        <v/>
      </c>
      <c r="E4952">
        <f>IF(B4952=1,D4952,E4951)</f>
        <v/>
      </c>
      <c r="F4952">
        <f>IF(AND(B4952=1,C4952&gt;1,E4951&lt;&gt;""),ABS(D4952-E4951),"")</f>
        <v/>
      </c>
    </row>
    <row r="4953">
      <c r="A4953" t="n">
        <v>4953</v>
      </c>
      <c r="B4953">
        <f>IF(INDEX('Data Entry'!$H$5:$BE$10004,4953-4,'Visual SPC'!$B$3)="",0,IF(AND(OR('Visual SPC'!$C$4="",'Data Entry'!$C4953&gt;='Visual SPC'!$C$4),OR('Visual SPC'!$E$4="",'Data Entry'!$C4953&lt;='Visual SPC'!$E$4),OR('Visual SPC'!$G$4="",'Data Entry'!$D4953='Visual SPC'!$G$4),OR('Visual SPC'!$I$4="",'Data Entry'!$E4953='Visual SPC'!$I$4),OR('Visual SPC'!$K$4="",'Data Entry'!$F4953='Visual SPC'!$K$4)),1,0))</f>
        <v/>
      </c>
      <c r="C4953">
        <f>C4952+B4953</f>
        <v/>
      </c>
      <c r="D4953">
        <f>IF(B4953=1,INDEX('Data Entry'!$H$5:$BE$10004,4953-4,'Visual SPC'!$B$3),"")</f>
        <v/>
      </c>
      <c r="E4953">
        <f>IF(B4953=1,D4953,E4952)</f>
        <v/>
      </c>
      <c r="F4953">
        <f>IF(AND(B4953=1,C4953&gt;1,E4952&lt;&gt;""),ABS(D4953-E4952),"")</f>
        <v/>
      </c>
    </row>
    <row r="4954">
      <c r="A4954" t="n">
        <v>4954</v>
      </c>
      <c r="B4954">
        <f>IF(INDEX('Data Entry'!$H$5:$BE$10004,4954-4,'Visual SPC'!$B$3)="",0,IF(AND(OR('Visual SPC'!$C$4="",'Data Entry'!$C4954&gt;='Visual SPC'!$C$4),OR('Visual SPC'!$E$4="",'Data Entry'!$C4954&lt;='Visual SPC'!$E$4),OR('Visual SPC'!$G$4="",'Data Entry'!$D4954='Visual SPC'!$G$4),OR('Visual SPC'!$I$4="",'Data Entry'!$E4954='Visual SPC'!$I$4),OR('Visual SPC'!$K$4="",'Data Entry'!$F4954='Visual SPC'!$K$4)),1,0))</f>
        <v/>
      </c>
      <c r="C4954">
        <f>C4953+B4954</f>
        <v/>
      </c>
      <c r="D4954">
        <f>IF(B4954=1,INDEX('Data Entry'!$H$5:$BE$10004,4954-4,'Visual SPC'!$B$3),"")</f>
        <v/>
      </c>
      <c r="E4954">
        <f>IF(B4954=1,D4954,E4953)</f>
        <v/>
      </c>
      <c r="F4954">
        <f>IF(AND(B4954=1,C4954&gt;1,E4953&lt;&gt;""),ABS(D4954-E4953),"")</f>
        <v/>
      </c>
    </row>
    <row r="4955">
      <c r="A4955" t="n">
        <v>4955</v>
      </c>
      <c r="B4955">
        <f>IF(INDEX('Data Entry'!$H$5:$BE$10004,4955-4,'Visual SPC'!$B$3)="",0,IF(AND(OR('Visual SPC'!$C$4="",'Data Entry'!$C4955&gt;='Visual SPC'!$C$4),OR('Visual SPC'!$E$4="",'Data Entry'!$C4955&lt;='Visual SPC'!$E$4),OR('Visual SPC'!$G$4="",'Data Entry'!$D4955='Visual SPC'!$G$4),OR('Visual SPC'!$I$4="",'Data Entry'!$E4955='Visual SPC'!$I$4),OR('Visual SPC'!$K$4="",'Data Entry'!$F4955='Visual SPC'!$K$4)),1,0))</f>
        <v/>
      </c>
      <c r="C4955">
        <f>C4954+B4955</f>
        <v/>
      </c>
      <c r="D4955">
        <f>IF(B4955=1,INDEX('Data Entry'!$H$5:$BE$10004,4955-4,'Visual SPC'!$B$3),"")</f>
        <v/>
      </c>
      <c r="E4955">
        <f>IF(B4955=1,D4955,E4954)</f>
        <v/>
      </c>
      <c r="F4955">
        <f>IF(AND(B4955=1,C4955&gt;1,E4954&lt;&gt;""),ABS(D4955-E4954),"")</f>
        <v/>
      </c>
    </row>
    <row r="4956">
      <c r="A4956" t="n">
        <v>4956</v>
      </c>
      <c r="B4956">
        <f>IF(INDEX('Data Entry'!$H$5:$BE$10004,4956-4,'Visual SPC'!$B$3)="",0,IF(AND(OR('Visual SPC'!$C$4="",'Data Entry'!$C4956&gt;='Visual SPC'!$C$4),OR('Visual SPC'!$E$4="",'Data Entry'!$C4956&lt;='Visual SPC'!$E$4),OR('Visual SPC'!$G$4="",'Data Entry'!$D4956='Visual SPC'!$G$4),OR('Visual SPC'!$I$4="",'Data Entry'!$E4956='Visual SPC'!$I$4),OR('Visual SPC'!$K$4="",'Data Entry'!$F4956='Visual SPC'!$K$4)),1,0))</f>
        <v/>
      </c>
      <c r="C4956">
        <f>C4955+B4956</f>
        <v/>
      </c>
      <c r="D4956">
        <f>IF(B4956=1,INDEX('Data Entry'!$H$5:$BE$10004,4956-4,'Visual SPC'!$B$3),"")</f>
        <v/>
      </c>
      <c r="E4956">
        <f>IF(B4956=1,D4956,E4955)</f>
        <v/>
      </c>
      <c r="F4956">
        <f>IF(AND(B4956=1,C4956&gt;1,E4955&lt;&gt;""),ABS(D4956-E4955),"")</f>
        <v/>
      </c>
    </row>
    <row r="4957">
      <c r="A4957" t="n">
        <v>4957</v>
      </c>
      <c r="B4957">
        <f>IF(INDEX('Data Entry'!$H$5:$BE$10004,4957-4,'Visual SPC'!$B$3)="",0,IF(AND(OR('Visual SPC'!$C$4="",'Data Entry'!$C4957&gt;='Visual SPC'!$C$4),OR('Visual SPC'!$E$4="",'Data Entry'!$C4957&lt;='Visual SPC'!$E$4),OR('Visual SPC'!$G$4="",'Data Entry'!$D4957='Visual SPC'!$G$4),OR('Visual SPC'!$I$4="",'Data Entry'!$E4957='Visual SPC'!$I$4),OR('Visual SPC'!$K$4="",'Data Entry'!$F4957='Visual SPC'!$K$4)),1,0))</f>
        <v/>
      </c>
      <c r="C4957">
        <f>C4956+B4957</f>
        <v/>
      </c>
      <c r="D4957">
        <f>IF(B4957=1,INDEX('Data Entry'!$H$5:$BE$10004,4957-4,'Visual SPC'!$B$3),"")</f>
        <v/>
      </c>
      <c r="E4957">
        <f>IF(B4957=1,D4957,E4956)</f>
        <v/>
      </c>
      <c r="F4957">
        <f>IF(AND(B4957=1,C4957&gt;1,E4956&lt;&gt;""),ABS(D4957-E4956),"")</f>
        <v/>
      </c>
    </row>
    <row r="4958">
      <c r="A4958" t="n">
        <v>4958</v>
      </c>
      <c r="B4958">
        <f>IF(INDEX('Data Entry'!$H$5:$BE$10004,4958-4,'Visual SPC'!$B$3)="",0,IF(AND(OR('Visual SPC'!$C$4="",'Data Entry'!$C4958&gt;='Visual SPC'!$C$4),OR('Visual SPC'!$E$4="",'Data Entry'!$C4958&lt;='Visual SPC'!$E$4),OR('Visual SPC'!$G$4="",'Data Entry'!$D4958='Visual SPC'!$G$4),OR('Visual SPC'!$I$4="",'Data Entry'!$E4958='Visual SPC'!$I$4),OR('Visual SPC'!$K$4="",'Data Entry'!$F4958='Visual SPC'!$K$4)),1,0))</f>
        <v/>
      </c>
      <c r="C4958">
        <f>C4957+B4958</f>
        <v/>
      </c>
      <c r="D4958">
        <f>IF(B4958=1,INDEX('Data Entry'!$H$5:$BE$10004,4958-4,'Visual SPC'!$B$3),"")</f>
        <v/>
      </c>
      <c r="E4958">
        <f>IF(B4958=1,D4958,E4957)</f>
        <v/>
      </c>
      <c r="F4958">
        <f>IF(AND(B4958=1,C4958&gt;1,E4957&lt;&gt;""),ABS(D4958-E4957),"")</f>
        <v/>
      </c>
    </row>
    <row r="4959">
      <c r="A4959" t="n">
        <v>4959</v>
      </c>
      <c r="B4959">
        <f>IF(INDEX('Data Entry'!$H$5:$BE$10004,4959-4,'Visual SPC'!$B$3)="",0,IF(AND(OR('Visual SPC'!$C$4="",'Data Entry'!$C4959&gt;='Visual SPC'!$C$4),OR('Visual SPC'!$E$4="",'Data Entry'!$C4959&lt;='Visual SPC'!$E$4),OR('Visual SPC'!$G$4="",'Data Entry'!$D4959='Visual SPC'!$G$4),OR('Visual SPC'!$I$4="",'Data Entry'!$E4959='Visual SPC'!$I$4),OR('Visual SPC'!$K$4="",'Data Entry'!$F4959='Visual SPC'!$K$4)),1,0))</f>
        <v/>
      </c>
      <c r="C4959">
        <f>C4958+B4959</f>
        <v/>
      </c>
      <c r="D4959">
        <f>IF(B4959=1,INDEX('Data Entry'!$H$5:$BE$10004,4959-4,'Visual SPC'!$B$3),"")</f>
        <v/>
      </c>
      <c r="E4959">
        <f>IF(B4959=1,D4959,E4958)</f>
        <v/>
      </c>
      <c r="F4959">
        <f>IF(AND(B4959=1,C4959&gt;1,E4958&lt;&gt;""),ABS(D4959-E4958),"")</f>
        <v/>
      </c>
    </row>
    <row r="4960">
      <c r="A4960" t="n">
        <v>4960</v>
      </c>
      <c r="B4960">
        <f>IF(INDEX('Data Entry'!$H$5:$BE$10004,4960-4,'Visual SPC'!$B$3)="",0,IF(AND(OR('Visual SPC'!$C$4="",'Data Entry'!$C4960&gt;='Visual SPC'!$C$4),OR('Visual SPC'!$E$4="",'Data Entry'!$C4960&lt;='Visual SPC'!$E$4),OR('Visual SPC'!$G$4="",'Data Entry'!$D4960='Visual SPC'!$G$4),OR('Visual SPC'!$I$4="",'Data Entry'!$E4960='Visual SPC'!$I$4),OR('Visual SPC'!$K$4="",'Data Entry'!$F4960='Visual SPC'!$K$4)),1,0))</f>
        <v/>
      </c>
      <c r="C4960">
        <f>C4959+B4960</f>
        <v/>
      </c>
      <c r="D4960">
        <f>IF(B4960=1,INDEX('Data Entry'!$H$5:$BE$10004,4960-4,'Visual SPC'!$B$3),"")</f>
        <v/>
      </c>
      <c r="E4960">
        <f>IF(B4960=1,D4960,E4959)</f>
        <v/>
      </c>
      <c r="F4960">
        <f>IF(AND(B4960=1,C4960&gt;1,E4959&lt;&gt;""),ABS(D4960-E4959),"")</f>
        <v/>
      </c>
    </row>
    <row r="4961">
      <c r="A4961" t="n">
        <v>4961</v>
      </c>
      <c r="B4961">
        <f>IF(INDEX('Data Entry'!$H$5:$BE$10004,4961-4,'Visual SPC'!$B$3)="",0,IF(AND(OR('Visual SPC'!$C$4="",'Data Entry'!$C4961&gt;='Visual SPC'!$C$4),OR('Visual SPC'!$E$4="",'Data Entry'!$C4961&lt;='Visual SPC'!$E$4),OR('Visual SPC'!$G$4="",'Data Entry'!$D4961='Visual SPC'!$G$4),OR('Visual SPC'!$I$4="",'Data Entry'!$E4961='Visual SPC'!$I$4),OR('Visual SPC'!$K$4="",'Data Entry'!$F4961='Visual SPC'!$K$4)),1,0))</f>
        <v/>
      </c>
      <c r="C4961">
        <f>C4960+B4961</f>
        <v/>
      </c>
      <c r="D4961">
        <f>IF(B4961=1,INDEX('Data Entry'!$H$5:$BE$10004,4961-4,'Visual SPC'!$B$3),"")</f>
        <v/>
      </c>
      <c r="E4961">
        <f>IF(B4961=1,D4961,E4960)</f>
        <v/>
      </c>
      <c r="F4961">
        <f>IF(AND(B4961=1,C4961&gt;1,E4960&lt;&gt;""),ABS(D4961-E4960),"")</f>
        <v/>
      </c>
    </row>
    <row r="4962">
      <c r="A4962" t="n">
        <v>4962</v>
      </c>
      <c r="B4962">
        <f>IF(INDEX('Data Entry'!$H$5:$BE$10004,4962-4,'Visual SPC'!$B$3)="",0,IF(AND(OR('Visual SPC'!$C$4="",'Data Entry'!$C4962&gt;='Visual SPC'!$C$4),OR('Visual SPC'!$E$4="",'Data Entry'!$C4962&lt;='Visual SPC'!$E$4),OR('Visual SPC'!$G$4="",'Data Entry'!$D4962='Visual SPC'!$G$4),OR('Visual SPC'!$I$4="",'Data Entry'!$E4962='Visual SPC'!$I$4),OR('Visual SPC'!$K$4="",'Data Entry'!$F4962='Visual SPC'!$K$4)),1,0))</f>
        <v/>
      </c>
      <c r="C4962">
        <f>C4961+B4962</f>
        <v/>
      </c>
      <c r="D4962">
        <f>IF(B4962=1,INDEX('Data Entry'!$H$5:$BE$10004,4962-4,'Visual SPC'!$B$3),"")</f>
        <v/>
      </c>
      <c r="E4962">
        <f>IF(B4962=1,D4962,E4961)</f>
        <v/>
      </c>
      <c r="F4962">
        <f>IF(AND(B4962=1,C4962&gt;1,E4961&lt;&gt;""),ABS(D4962-E4961),"")</f>
        <v/>
      </c>
    </row>
    <row r="4963">
      <c r="A4963" t="n">
        <v>4963</v>
      </c>
      <c r="B4963">
        <f>IF(INDEX('Data Entry'!$H$5:$BE$10004,4963-4,'Visual SPC'!$B$3)="",0,IF(AND(OR('Visual SPC'!$C$4="",'Data Entry'!$C4963&gt;='Visual SPC'!$C$4),OR('Visual SPC'!$E$4="",'Data Entry'!$C4963&lt;='Visual SPC'!$E$4),OR('Visual SPC'!$G$4="",'Data Entry'!$D4963='Visual SPC'!$G$4),OR('Visual SPC'!$I$4="",'Data Entry'!$E4963='Visual SPC'!$I$4),OR('Visual SPC'!$K$4="",'Data Entry'!$F4963='Visual SPC'!$K$4)),1,0))</f>
        <v/>
      </c>
      <c r="C4963">
        <f>C4962+B4963</f>
        <v/>
      </c>
      <c r="D4963">
        <f>IF(B4963=1,INDEX('Data Entry'!$H$5:$BE$10004,4963-4,'Visual SPC'!$B$3),"")</f>
        <v/>
      </c>
      <c r="E4963">
        <f>IF(B4963=1,D4963,E4962)</f>
        <v/>
      </c>
      <c r="F4963">
        <f>IF(AND(B4963=1,C4963&gt;1,E4962&lt;&gt;""),ABS(D4963-E4962),"")</f>
        <v/>
      </c>
    </row>
    <row r="4964">
      <c r="A4964" t="n">
        <v>4964</v>
      </c>
      <c r="B4964">
        <f>IF(INDEX('Data Entry'!$H$5:$BE$10004,4964-4,'Visual SPC'!$B$3)="",0,IF(AND(OR('Visual SPC'!$C$4="",'Data Entry'!$C4964&gt;='Visual SPC'!$C$4),OR('Visual SPC'!$E$4="",'Data Entry'!$C4964&lt;='Visual SPC'!$E$4),OR('Visual SPC'!$G$4="",'Data Entry'!$D4964='Visual SPC'!$G$4),OR('Visual SPC'!$I$4="",'Data Entry'!$E4964='Visual SPC'!$I$4),OR('Visual SPC'!$K$4="",'Data Entry'!$F4964='Visual SPC'!$K$4)),1,0))</f>
        <v/>
      </c>
      <c r="C4964">
        <f>C4963+B4964</f>
        <v/>
      </c>
      <c r="D4964">
        <f>IF(B4964=1,INDEX('Data Entry'!$H$5:$BE$10004,4964-4,'Visual SPC'!$B$3),"")</f>
        <v/>
      </c>
      <c r="E4964">
        <f>IF(B4964=1,D4964,E4963)</f>
        <v/>
      </c>
      <c r="F4964">
        <f>IF(AND(B4964=1,C4964&gt;1,E4963&lt;&gt;""),ABS(D4964-E4963),"")</f>
        <v/>
      </c>
    </row>
    <row r="4965">
      <c r="A4965" t="n">
        <v>4965</v>
      </c>
      <c r="B4965">
        <f>IF(INDEX('Data Entry'!$H$5:$BE$10004,4965-4,'Visual SPC'!$B$3)="",0,IF(AND(OR('Visual SPC'!$C$4="",'Data Entry'!$C4965&gt;='Visual SPC'!$C$4),OR('Visual SPC'!$E$4="",'Data Entry'!$C4965&lt;='Visual SPC'!$E$4),OR('Visual SPC'!$G$4="",'Data Entry'!$D4965='Visual SPC'!$G$4),OR('Visual SPC'!$I$4="",'Data Entry'!$E4965='Visual SPC'!$I$4),OR('Visual SPC'!$K$4="",'Data Entry'!$F4965='Visual SPC'!$K$4)),1,0))</f>
        <v/>
      </c>
      <c r="C4965">
        <f>C4964+B4965</f>
        <v/>
      </c>
      <c r="D4965">
        <f>IF(B4965=1,INDEX('Data Entry'!$H$5:$BE$10004,4965-4,'Visual SPC'!$B$3),"")</f>
        <v/>
      </c>
      <c r="E4965">
        <f>IF(B4965=1,D4965,E4964)</f>
        <v/>
      </c>
      <c r="F4965">
        <f>IF(AND(B4965=1,C4965&gt;1,E4964&lt;&gt;""),ABS(D4965-E4964),"")</f>
        <v/>
      </c>
    </row>
    <row r="4966">
      <c r="A4966" t="n">
        <v>4966</v>
      </c>
      <c r="B4966">
        <f>IF(INDEX('Data Entry'!$H$5:$BE$10004,4966-4,'Visual SPC'!$B$3)="",0,IF(AND(OR('Visual SPC'!$C$4="",'Data Entry'!$C4966&gt;='Visual SPC'!$C$4),OR('Visual SPC'!$E$4="",'Data Entry'!$C4966&lt;='Visual SPC'!$E$4),OR('Visual SPC'!$G$4="",'Data Entry'!$D4966='Visual SPC'!$G$4),OR('Visual SPC'!$I$4="",'Data Entry'!$E4966='Visual SPC'!$I$4),OR('Visual SPC'!$K$4="",'Data Entry'!$F4966='Visual SPC'!$K$4)),1,0))</f>
        <v/>
      </c>
      <c r="C4966">
        <f>C4965+B4966</f>
        <v/>
      </c>
      <c r="D4966">
        <f>IF(B4966=1,INDEX('Data Entry'!$H$5:$BE$10004,4966-4,'Visual SPC'!$B$3),"")</f>
        <v/>
      </c>
      <c r="E4966">
        <f>IF(B4966=1,D4966,E4965)</f>
        <v/>
      </c>
      <c r="F4966">
        <f>IF(AND(B4966=1,C4966&gt;1,E4965&lt;&gt;""),ABS(D4966-E4965),"")</f>
        <v/>
      </c>
    </row>
    <row r="4967">
      <c r="A4967" t="n">
        <v>4967</v>
      </c>
      <c r="B4967">
        <f>IF(INDEX('Data Entry'!$H$5:$BE$10004,4967-4,'Visual SPC'!$B$3)="",0,IF(AND(OR('Visual SPC'!$C$4="",'Data Entry'!$C4967&gt;='Visual SPC'!$C$4),OR('Visual SPC'!$E$4="",'Data Entry'!$C4967&lt;='Visual SPC'!$E$4),OR('Visual SPC'!$G$4="",'Data Entry'!$D4967='Visual SPC'!$G$4),OR('Visual SPC'!$I$4="",'Data Entry'!$E4967='Visual SPC'!$I$4),OR('Visual SPC'!$K$4="",'Data Entry'!$F4967='Visual SPC'!$K$4)),1,0))</f>
        <v/>
      </c>
      <c r="C4967">
        <f>C4966+B4967</f>
        <v/>
      </c>
      <c r="D4967">
        <f>IF(B4967=1,INDEX('Data Entry'!$H$5:$BE$10004,4967-4,'Visual SPC'!$B$3),"")</f>
        <v/>
      </c>
      <c r="E4967">
        <f>IF(B4967=1,D4967,E4966)</f>
        <v/>
      </c>
      <c r="F4967">
        <f>IF(AND(B4967=1,C4967&gt;1,E4966&lt;&gt;""),ABS(D4967-E4966),"")</f>
        <v/>
      </c>
    </row>
    <row r="4968">
      <c r="A4968" t="n">
        <v>4968</v>
      </c>
      <c r="B4968">
        <f>IF(INDEX('Data Entry'!$H$5:$BE$10004,4968-4,'Visual SPC'!$B$3)="",0,IF(AND(OR('Visual SPC'!$C$4="",'Data Entry'!$C4968&gt;='Visual SPC'!$C$4),OR('Visual SPC'!$E$4="",'Data Entry'!$C4968&lt;='Visual SPC'!$E$4),OR('Visual SPC'!$G$4="",'Data Entry'!$D4968='Visual SPC'!$G$4),OR('Visual SPC'!$I$4="",'Data Entry'!$E4968='Visual SPC'!$I$4),OR('Visual SPC'!$K$4="",'Data Entry'!$F4968='Visual SPC'!$K$4)),1,0))</f>
        <v/>
      </c>
      <c r="C4968">
        <f>C4967+B4968</f>
        <v/>
      </c>
      <c r="D4968">
        <f>IF(B4968=1,INDEX('Data Entry'!$H$5:$BE$10004,4968-4,'Visual SPC'!$B$3),"")</f>
        <v/>
      </c>
      <c r="E4968">
        <f>IF(B4968=1,D4968,E4967)</f>
        <v/>
      </c>
      <c r="F4968">
        <f>IF(AND(B4968=1,C4968&gt;1,E4967&lt;&gt;""),ABS(D4968-E4967),"")</f>
        <v/>
      </c>
    </row>
    <row r="4969">
      <c r="A4969" t="n">
        <v>4969</v>
      </c>
      <c r="B4969">
        <f>IF(INDEX('Data Entry'!$H$5:$BE$10004,4969-4,'Visual SPC'!$B$3)="",0,IF(AND(OR('Visual SPC'!$C$4="",'Data Entry'!$C4969&gt;='Visual SPC'!$C$4),OR('Visual SPC'!$E$4="",'Data Entry'!$C4969&lt;='Visual SPC'!$E$4),OR('Visual SPC'!$G$4="",'Data Entry'!$D4969='Visual SPC'!$G$4),OR('Visual SPC'!$I$4="",'Data Entry'!$E4969='Visual SPC'!$I$4),OR('Visual SPC'!$K$4="",'Data Entry'!$F4969='Visual SPC'!$K$4)),1,0))</f>
        <v/>
      </c>
      <c r="C4969">
        <f>C4968+B4969</f>
        <v/>
      </c>
      <c r="D4969">
        <f>IF(B4969=1,INDEX('Data Entry'!$H$5:$BE$10004,4969-4,'Visual SPC'!$B$3),"")</f>
        <v/>
      </c>
      <c r="E4969">
        <f>IF(B4969=1,D4969,E4968)</f>
        <v/>
      </c>
      <c r="F4969">
        <f>IF(AND(B4969=1,C4969&gt;1,E4968&lt;&gt;""),ABS(D4969-E4968),"")</f>
        <v/>
      </c>
    </row>
    <row r="4970">
      <c r="A4970" t="n">
        <v>4970</v>
      </c>
      <c r="B4970">
        <f>IF(INDEX('Data Entry'!$H$5:$BE$10004,4970-4,'Visual SPC'!$B$3)="",0,IF(AND(OR('Visual SPC'!$C$4="",'Data Entry'!$C4970&gt;='Visual SPC'!$C$4),OR('Visual SPC'!$E$4="",'Data Entry'!$C4970&lt;='Visual SPC'!$E$4),OR('Visual SPC'!$G$4="",'Data Entry'!$D4970='Visual SPC'!$G$4),OR('Visual SPC'!$I$4="",'Data Entry'!$E4970='Visual SPC'!$I$4),OR('Visual SPC'!$K$4="",'Data Entry'!$F4970='Visual SPC'!$K$4)),1,0))</f>
        <v/>
      </c>
      <c r="C4970">
        <f>C4969+B4970</f>
        <v/>
      </c>
      <c r="D4970">
        <f>IF(B4970=1,INDEX('Data Entry'!$H$5:$BE$10004,4970-4,'Visual SPC'!$B$3),"")</f>
        <v/>
      </c>
      <c r="E4970">
        <f>IF(B4970=1,D4970,E4969)</f>
        <v/>
      </c>
      <c r="F4970">
        <f>IF(AND(B4970=1,C4970&gt;1,E4969&lt;&gt;""),ABS(D4970-E4969),"")</f>
        <v/>
      </c>
    </row>
    <row r="4971">
      <c r="A4971" t="n">
        <v>4971</v>
      </c>
      <c r="B4971">
        <f>IF(INDEX('Data Entry'!$H$5:$BE$10004,4971-4,'Visual SPC'!$B$3)="",0,IF(AND(OR('Visual SPC'!$C$4="",'Data Entry'!$C4971&gt;='Visual SPC'!$C$4),OR('Visual SPC'!$E$4="",'Data Entry'!$C4971&lt;='Visual SPC'!$E$4),OR('Visual SPC'!$G$4="",'Data Entry'!$D4971='Visual SPC'!$G$4),OR('Visual SPC'!$I$4="",'Data Entry'!$E4971='Visual SPC'!$I$4),OR('Visual SPC'!$K$4="",'Data Entry'!$F4971='Visual SPC'!$K$4)),1,0))</f>
        <v/>
      </c>
      <c r="C4971">
        <f>C4970+B4971</f>
        <v/>
      </c>
      <c r="D4971">
        <f>IF(B4971=1,INDEX('Data Entry'!$H$5:$BE$10004,4971-4,'Visual SPC'!$B$3),"")</f>
        <v/>
      </c>
      <c r="E4971">
        <f>IF(B4971=1,D4971,E4970)</f>
        <v/>
      </c>
      <c r="F4971">
        <f>IF(AND(B4971=1,C4971&gt;1,E4970&lt;&gt;""),ABS(D4971-E4970),"")</f>
        <v/>
      </c>
    </row>
    <row r="4972">
      <c r="A4972" t="n">
        <v>4972</v>
      </c>
      <c r="B4972">
        <f>IF(INDEX('Data Entry'!$H$5:$BE$10004,4972-4,'Visual SPC'!$B$3)="",0,IF(AND(OR('Visual SPC'!$C$4="",'Data Entry'!$C4972&gt;='Visual SPC'!$C$4),OR('Visual SPC'!$E$4="",'Data Entry'!$C4972&lt;='Visual SPC'!$E$4),OR('Visual SPC'!$G$4="",'Data Entry'!$D4972='Visual SPC'!$G$4),OR('Visual SPC'!$I$4="",'Data Entry'!$E4972='Visual SPC'!$I$4),OR('Visual SPC'!$K$4="",'Data Entry'!$F4972='Visual SPC'!$K$4)),1,0))</f>
        <v/>
      </c>
      <c r="C4972">
        <f>C4971+B4972</f>
        <v/>
      </c>
      <c r="D4972">
        <f>IF(B4972=1,INDEX('Data Entry'!$H$5:$BE$10004,4972-4,'Visual SPC'!$B$3),"")</f>
        <v/>
      </c>
      <c r="E4972">
        <f>IF(B4972=1,D4972,E4971)</f>
        <v/>
      </c>
      <c r="F4972">
        <f>IF(AND(B4972=1,C4972&gt;1,E4971&lt;&gt;""),ABS(D4972-E4971),"")</f>
        <v/>
      </c>
    </row>
    <row r="4973">
      <c r="A4973" t="n">
        <v>4973</v>
      </c>
      <c r="B4973">
        <f>IF(INDEX('Data Entry'!$H$5:$BE$10004,4973-4,'Visual SPC'!$B$3)="",0,IF(AND(OR('Visual SPC'!$C$4="",'Data Entry'!$C4973&gt;='Visual SPC'!$C$4),OR('Visual SPC'!$E$4="",'Data Entry'!$C4973&lt;='Visual SPC'!$E$4),OR('Visual SPC'!$G$4="",'Data Entry'!$D4973='Visual SPC'!$G$4),OR('Visual SPC'!$I$4="",'Data Entry'!$E4973='Visual SPC'!$I$4),OR('Visual SPC'!$K$4="",'Data Entry'!$F4973='Visual SPC'!$K$4)),1,0))</f>
        <v/>
      </c>
      <c r="C4973">
        <f>C4972+B4973</f>
        <v/>
      </c>
      <c r="D4973">
        <f>IF(B4973=1,INDEX('Data Entry'!$H$5:$BE$10004,4973-4,'Visual SPC'!$B$3),"")</f>
        <v/>
      </c>
      <c r="E4973">
        <f>IF(B4973=1,D4973,E4972)</f>
        <v/>
      </c>
      <c r="F4973">
        <f>IF(AND(B4973=1,C4973&gt;1,E4972&lt;&gt;""),ABS(D4973-E4972),"")</f>
        <v/>
      </c>
    </row>
    <row r="4974">
      <c r="A4974" t="n">
        <v>4974</v>
      </c>
      <c r="B4974">
        <f>IF(INDEX('Data Entry'!$H$5:$BE$10004,4974-4,'Visual SPC'!$B$3)="",0,IF(AND(OR('Visual SPC'!$C$4="",'Data Entry'!$C4974&gt;='Visual SPC'!$C$4),OR('Visual SPC'!$E$4="",'Data Entry'!$C4974&lt;='Visual SPC'!$E$4),OR('Visual SPC'!$G$4="",'Data Entry'!$D4974='Visual SPC'!$G$4),OR('Visual SPC'!$I$4="",'Data Entry'!$E4974='Visual SPC'!$I$4),OR('Visual SPC'!$K$4="",'Data Entry'!$F4974='Visual SPC'!$K$4)),1,0))</f>
        <v/>
      </c>
      <c r="C4974">
        <f>C4973+B4974</f>
        <v/>
      </c>
      <c r="D4974">
        <f>IF(B4974=1,INDEX('Data Entry'!$H$5:$BE$10004,4974-4,'Visual SPC'!$B$3),"")</f>
        <v/>
      </c>
      <c r="E4974">
        <f>IF(B4974=1,D4974,E4973)</f>
        <v/>
      </c>
      <c r="F4974">
        <f>IF(AND(B4974=1,C4974&gt;1,E4973&lt;&gt;""),ABS(D4974-E4973),"")</f>
        <v/>
      </c>
    </row>
    <row r="4975">
      <c r="A4975" t="n">
        <v>4975</v>
      </c>
      <c r="B4975">
        <f>IF(INDEX('Data Entry'!$H$5:$BE$10004,4975-4,'Visual SPC'!$B$3)="",0,IF(AND(OR('Visual SPC'!$C$4="",'Data Entry'!$C4975&gt;='Visual SPC'!$C$4),OR('Visual SPC'!$E$4="",'Data Entry'!$C4975&lt;='Visual SPC'!$E$4),OR('Visual SPC'!$G$4="",'Data Entry'!$D4975='Visual SPC'!$G$4),OR('Visual SPC'!$I$4="",'Data Entry'!$E4975='Visual SPC'!$I$4),OR('Visual SPC'!$K$4="",'Data Entry'!$F4975='Visual SPC'!$K$4)),1,0))</f>
        <v/>
      </c>
      <c r="C4975">
        <f>C4974+B4975</f>
        <v/>
      </c>
      <c r="D4975">
        <f>IF(B4975=1,INDEX('Data Entry'!$H$5:$BE$10004,4975-4,'Visual SPC'!$B$3),"")</f>
        <v/>
      </c>
      <c r="E4975">
        <f>IF(B4975=1,D4975,E4974)</f>
        <v/>
      </c>
      <c r="F4975">
        <f>IF(AND(B4975=1,C4975&gt;1,E4974&lt;&gt;""),ABS(D4975-E4974),"")</f>
        <v/>
      </c>
    </row>
    <row r="4976">
      <c r="A4976" t="n">
        <v>4976</v>
      </c>
      <c r="B4976">
        <f>IF(INDEX('Data Entry'!$H$5:$BE$10004,4976-4,'Visual SPC'!$B$3)="",0,IF(AND(OR('Visual SPC'!$C$4="",'Data Entry'!$C4976&gt;='Visual SPC'!$C$4),OR('Visual SPC'!$E$4="",'Data Entry'!$C4976&lt;='Visual SPC'!$E$4),OR('Visual SPC'!$G$4="",'Data Entry'!$D4976='Visual SPC'!$G$4),OR('Visual SPC'!$I$4="",'Data Entry'!$E4976='Visual SPC'!$I$4),OR('Visual SPC'!$K$4="",'Data Entry'!$F4976='Visual SPC'!$K$4)),1,0))</f>
        <v/>
      </c>
      <c r="C4976">
        <f>C4975+B4976</f>
        <v/>
      </c>
      <c r="D4976">
        <f>IF(B4976=1,INDEX('Data Entry'!$H$5:$BE$10004,4976-4,'Visual SPC'!$B$3),"")</f>
        <v/>
      </c>
      <c r="E4976">
        <f>IF(B4976=1,D4976,E4975)</f>
        <v/>
      </c>
      <c r="F4976">
        <f>IF(AND(B4976=1,C4976&gt;1,E4975&lt;&gt;""),ABS(D4976-E4975),"")</f>
        <v/>
      </c>
    </row>
    <row r="4977">
      <c r="A4977" t="n">
        <v>4977</v>
      </c>
      <c r="B4977">
        <f>IF(INDEX('Data Entry'!$H$5:$BE$10004,4977-4,'Visual SPC'!$B$3)="",0,IF(AND(OR('Visual SPC'!$C$4="",'Data Entry'!$C4977&gt;='Visual SPC'!$C$4),OR('Visual SPC'!$E$4="",'Data Entry'!$C4977&lt;='Visual SPC'!$E$4),OR('Visual SPC'!$G$4="",'Data Entry'!$D4977='Visual SPC'!$G$4),OR('Visual SPC'!$I$4="",'Data Entry'!$E4977='Visual SPC'!$I$4),OR('Visual SPC'!$K$4="",'Data Entry'!$F4977='Visual SPC'!$K$4)),1,0))</f>
        <v/>
      </c>
      <c r="C4977">
        <f>C4976+B4977</f>
        <v/>
      </c>
      <c r="D4977">
        <f>IF(B4977=1,INDEX('Data Entry'!$H$5:$BE$10004,4977-4,'Visual SPC'!$B$3),"")</f>
        <v/>
      </c>
      <c r="E4977">
        <f>IF(B4977=1,D4977,E4976)</f>
        <v/>
      </c>
      <c r="F4977">
        <f>IF(AND(B4977=1,C4977&gt;1,E4976&lt;&gt;""),ABS(D4977-E4976),"")</f>
        <v/>
      </c>
    </row>
    <row r="4978">
      <c r="A4978" t="n">
        <v>4978</v>
      </c>
      <c r="B4978">
        <f>IF(INDEX('Data Entry'!$H$5:$BE$10004,4978-4,'Visual SPC'!$B$3)="",0,IF(AND(OR('Visual SPC'!$C$4="",'Data Entry'!$C4978&gt;='Visual SPC'!$C$4),OR('Visual SPC'!$E$4="",'Data Entry'!$C4978&lt;='Visual SPC'!$E$4),OR('Visual SPC'!$G$4="",'Data Entry'!$D4978='Visual SPC'!$G$4),OR('Visual SPC'!$I$4="",'Data Entry'!$E4978='Visual SPC'!$I$4),OR('Visual SPC'!$K$4="",'Data Entry'!$F4978='Visual SPC'!$K$4)),1,0))</f>
        <v/>
      </c>
      <c r="C4978">
        <f>C4977+B4978</f>
        <v/>
      </c>
      <c r="D4978">
        <f>IF(B4978=1,INDEX('Data Entry'!$H$5:$BE$10004,4978-4,'Visual SPC'!$B$3),"")</f>
        <v/>
      </c>
      <c r="E4978">
        <f>IF(B4978=1,D4978,E4977)</f>
        <v/>
      </c>
      <c r="F4978">
        <f>IF(AND(B4978=1,C4978&gt;1,E4977&lt;&gt;""),ABS(D4978-E4977),"")</f>
        <v/>
      </c>
    </row>
    <row r="4979">
      <c r="A4979" t="n">
        <v>4979</v>
      </c>
      <c r="B4979">
        <f>IF(INDEX('Data Entry'!$H$5:$BE$10004,4979-4,'Visual SPC'!$B$3)="",0,IF(AND(OR('Visual SPC'!$C$4="",'Data Entry'!$C4979&gt;='Visual SPC'!$C$4),OR('Visual SPC'!$E$4="",'Data Entry'!$C4979&lt;='Visual SPC'!$E$4),OR('Visual SPC'!$G$4="",'Data Entry'!$D4979='Visual SPC'!$G$4),OR('Visual SPC'!$I$4="",'Data Entry'!$E4979='Visual SPC'!$I$4),OR('Visual SPC'!$K$4="",'Data Entry'!$F4979='Visual SPC'!$K$4)),1,0))</f>
        <v/>
      </c>
      <c r="C4979">
        <f>C4978+B4979</f>
        <v/>
      </c>
      <c r="D4979">
        <f>IF(B4979=1,INDEX('Data Entry'!$H$5:$BE$10004,4979-4,'Visual SPC'!$B$3),"")</f>
        <v/>
      </c>
      <c r="E4979">
        <f>IF(B4979=1,D4979,E4978)</f>
        <v/>
      </c>
      <c r="F4979">
        <f>IF(AND(B4979=1,C4979&gt;1,E4978&lt;&gt;""),ABS(D4979-E4978),"")</f>
        <v/>
      </c>
    </row>
    <row r="4980">
      <c r="A4980" t="n">
        <v>4980</v>
      </c>
      <c r="B4980">
        <f>IF(INDEX('Data Entry'!$H$5:$BE$10004,4980-4,'Visual SPC'!$B$3)="",0,IF(AND(OR('Visual SPC'!$C$4="",'Data Entry'!$C4980&gt;='Visual SPC'!$C$4),OR('Visual SPC'!$E$4="",'Data Entry'!$C4980&lt;='Visual SPC'!$E$4),OR('Visual SPC'!$G$4="",'Data Entry'!$D4980='Visual SPC'!$G$4),OR('Visual SPC'!$I$4="",'Data Entry'!$E4980='Visual SPC'!$I$4),OR('Visual SPC'!$K$4="",'Data Entry'!$F4980='Visual SPC'!$K$4)),1,0))</f>
        <v/>
      </c>
      <c r="C4980">
        <f>C4979+B4980</f>
        <v/>
      </c>
      <c r="D4980">
        <f>IF(B4980=1,INDEX('Data Entry'!$H$5:$BE$10004,4980-4,'Visual SPC'!$B$3),"")</f>
        <v/>
      </c>
      <c r="E4980">
        <f>IF(B4980=1,D4980,E4979)</f>
        <v/>
      </c>
      <c r="F4980">
        <f>IF(AND(B4980=1,C4980&gt;1,E4979&lt;&gt;""),ABS(D4980-E4979),"")</f>
        <v/>
      </c>
    </row>
    <row r="4981">
      <c r="A4981" t="n">
        <v>4981</v>
      </c>
      <c r="B4981">
        <f>IF(INDEX('Data Entry'!$H$5:$BE$10004,4981-4,'Visual SPC'!$B$3)="",0,IF(AND(OR('Visual SPC'!$C$4="",'Data Entry'!$C4981&gt;='Visual SPC'!$C$4),OR('Visual SPC'!$E$4="",'Data Entry'!$C4981&lt;='Visual SPC'!$E$4),OR('Visual SPC'!$G$4="",'Data Entry'!$D4981='Visual SPC'!$G$4),OR('Visual SPC'!$I$4="",'Data Entry'!$E4981='Visual SPC'!$I$4),OR('Visual SPC'!$K$4="",'Data Entry'!$F4981='Visual SPC'!$K$4)),1,0))</f>
        <v/>
      </c>
      <c r="C4981">
        <f>C4980+B4981</f>
        <v/>
      </c>
      <c r="D4981">
        <f>IF(B4981=1,INDEX('Data Entry'!$H$5:$BE$10004,4981-4,'Visual SPC'!$B$3),"")</f>
        <v/>
      </c>
      <c r="E4981">
        <f>IF(B4981=1,D4981,E4980)</f>
        <v/>
      </c>
      <c r="F4981">
        <f>IF(AND(B4981=1,C4981&gt;1,E4980&lt;&gt;""),ABS(D4981-E4980),"")</f>
        <v/>
      </c>
    </row>
    <row r="4982">
      <c r="A4982" t="n">
        <v>4982</v>
      </c>
      <c r="B4982">
        <f>IF(INDEX('Data Entry'!$H$5:$BE$10004,4982-4,'Visual SPC'!$B$3)="",0,IF(AND(OR('Visual SPC'!$C$4="",'Data Entry'!$C4982&gt;='Visual SPC'!$C$4),OR('Visual SPC'!$E$4="",'Data Entry'!$C4982&lt;='Visual SPC'!$E$4),OR('Visual SPC'!$G$4="",'Data Entry'!$D4982='Visual SPC'!$G$4),OR('Visual SPC'!$I$4="",'Data Entry'!$E4982='Visual SPC'!$I$4),OR('Visual SPC'!$K$4="",'Data Entry'!$F4982='Visual SPC'!$K$4)),1,0))</f>
        <v/>
      </c>
      <c r="C4982">
        <f>C4981+B4982</f>
        <v/>
      </c>
      <c r="D4982">
        <f>IF(B4982=1,INDEX('Data Entry'!$H$5:$BE$10004,4982-4,'Visual SPC'!$B$3),"")</f>
        <v/>
      </c>
      <c r="E4982">
        <f>IF(B4982=1,D4982,E4981)</f>
        <v/>
      </c>
      <c r="F4982">
        <f>IF(AND(B4982=1,C4982&gt;1,E4981&lt;&gt;""),ABS(D4982-E4981),"")</f>
        <v/>
      </c>
    </row>
    <row r="4983">
      <c r="A4983" t="n">
        <v>4983</v>
      </c>
      <c r="B4983">
        <f>IF(INDEX('Data Entry'!$H$5:$BE$10004,4983-4,'Visual SPC'!$B$3)="",0,IF(AND(OR('Visual SPC'!$C$4="",'Data Entry'!$C4983&gt;='Visual SPC'!$C$4),OR('Visual SPC'!$E$4="",'Data Entry'!$C4983&lt;='Visual SPC'!$E$4),OR('Visual SPC'!$G$4="",'Data Entry'!$D4983='Visual SPC'!$G$4),OR('Visual SPC'!$I$4="",'Data Entry'!$E4983='Visual SPC'!$I$4),OR('Visual SPC'!$K$4="",'Data Entry'!$F4983='Visual SPC'!$K$4)),1,0))</f>
        <v/>
      </c>
      <c r="C4983">
        <f>C4982+B4983</f>
        <v/>
      </c>
      <c r="D4983">
        <f>IF(B4983=1,INDEX('Data Entry'!$H$5:$BE$10004,4983-4,'Visual SPC'!$B$3),"")</f>
        <v/>
      </c>
      <c r="E4983">
        <f>IF(B4983=1,D4983,E4982)</f>
        <v/>
      </c>
      <c r="F4983">
        <f>IF(AND(B4983=1,C4983&gt;1,E4982&lt;&gt;""),ABS(D4983-E4982),"")</f>
        <v/>
      </c>
    </row>
    <row r="4984">
      <c r="A4984" t="n">
        <v>4984</v>
      </c>
      <c r="B4984">
        <f>IF(INDEX('Data Entry'!$H$5:$BE$10004,4984-4,'Visual SPC'!$B$3)="",0,IF(AND(OR('Visual SPC'!$C$4="",'Data Entry'!$C4984&gt;='Visual SPC'!$C$4),OR('Visual SPC'!$E$4="",'Data Entry'!$C4984&lt;='Visual SPC'!$E$4),OR('Visual SPC'!$G$4="",'Data Entry'!$D4984='Visual SPC'!$G$4),OR('Visual SPC'!$I$4="",'Data Entry'!$E4984='Visual SPC'!$I$4),OR('Visual SPC'!$K$4="",'Data Entry'!$F4984='Visual SPC'!$K$4)),1,0))</f>
        <v/>
      </c>
      <c r="C4984">
        <f>C4983+B4984</f>
        <v/>
      </c>
      <c r="D4984">
        <f>IF(B4984=1,INDEX('Data Entry'!$H$5:$BE$10004,4984-4,'Visual SPC'!$B$3),"")</f>
        <v/>
      </c>
      <c r="E4984">
        <f>IF(B4984=1,D4984,E4983)</f>
        <v/>
      </c>
      <c r="F4984">
        <f>IF(AND(B4984=1,C4984&gt;1,E4983&lt;&gt;""),ABS(D4984-E4983),"")</f>
        <v/>
      </c>
    </row>
    <row r="4985">
      <c r="A4985" t="n">
        <v>4985</v>
      </c>
      <c r="B4985">
        <f>IF(INDEX('Data Entry'!$H$5:$BE$10004,4985-4,'Visual SPC'!$B$3)="",0,IF(AND(OR('Visual SPC'!$C$4="",'Data Entry'!$C4985&gt;='Visual SPC'!$C$4),OR('Visual SPC'!$E$4="",'Data Entry'!$C4985&lt;='Visual SPC'!$E$4),OR('Visual SPC'!$G$4="",'Data Entry'!$D4985='Visual SPC'!$G$4),OR('Visual SPC'!$I$4="",'Data Entry'!$E4985='Visual SPC'!$I$4),OR('Visual SPC'!$K$4="",'Data Entry'!$F4985='Visual SPC'!$K$4)),1,0))</f>
        <v/>
      </c>
      <c r="C4985">
        <f>C4984+B4985</f>
        <v/>
      </c>
      <c r="D4985">
        <f>IF(B4985=1,INDEX('Data Entry'!$H$5:$BE$10004,4985-4,'Visual SPC'!$B$3),"")</f>
        <v/>
      </c>
      <c r="E4985">
        <f>IF(B4985=1,D4985,E4984)</f>
        <v/>
      </c>
      <c r="F4985">
        <f>IF(AND(B4985=1,C4985&gt;1,E4984&lt;&gt;""),ABS(D4985-E4984),"")</f>
        <v/>
      </c>
    </row>
    <row r="4986">
      <c r="A4986" t="n">
        <v>4986</v>
      </c>
      <c r="B4986">
        <f>IF(INDEX('Data Entry'!$H$5:$BE$10004,4986-4,'Visual SPC'!$B$3)="",0,IF(AND(OR('Visual SPC'!$C$4="",'Data Entry'!$C4986&gt;='Visual SPC'!$C$4),OR('Visual SPC'!$E$4="",'Data Entry'!$C4986&lt;='Visual SPC'!$E$4),OR('Visual SPC'!$G$4="",'Data Entry'!$D4986='Visual SPC'!$G$4),OR('Visual SPC'!$I$4="",'Data Entry'!$E4986='Visual SPC'!$I$4),OR('Visual SPC'!$K$4="",'Data Entry'!$F4986='Visual SPC'!$K$4)),1,0))</f>
        <v/>
      </c>
      <c r="C4986">
        <f>C4985+B4986</f>
        <v/>
      </c>
      <c r="D4986">
        <f>IF(B4986=1,INDEX('Data Entry'!$H$5:$BE$10004,4986-4,'Visual SPC'!$B$3),"")</f>
        <v/>
      </c>
      <c r="E4986">
        <f>IF(B4986=1,D4986,E4985)</f>
        <v/>
      </c>
      <c r="F4986">
        <f>IF(AND(B4986=1,C4986&gt;1,E4985&lt;&gt;""),ABS(D4986-E4985),"")</f>
        <v/>
      </c>
    </row>
    <row r="4987">
      <c r="A4987" t="n">
        <v>4987</v>
      </c>
      <c r="B4987">
        <f>IF(INDEX('Data Entry'!$H$5:$BE$10004,4987-4,'Visual SPC'!$B$3)="",0,IF(AND(OR('Visual SPC'!$C$4="",'Data Entry'!$C4987&gt;='Visual SPC'!$C$4),OR('Visual SPC'!$E$4="",'Data Entry'!$C4987&lt;='Visual SPC'!$E$4),OR('Visual SPC'!$G$4="",'Data Entry'!$D4987='Visual SPC'!$G$4),OR('Visual SPC'!$I$4="",'Data Entry'!$E4987='Visual SPC'!$I$4),OR('Visual SPC'!$K$4="",'Data Entry'!$F4987='Visual SPC'!$K$4)),1,0))</f>
        <v/>
      </c>
      <c r="C4987">
        <f>C4986+B4987</f>
        <v/>
      </c>
      <c r="D4987">
        <f>IF(B4987=1,INDEX('Data Entry'!$H$5:$BE$10004,4987-4,'Visual SPC'!$B$3),"")</f>
        <v/>
      </c>
      <c r="E4987">
        <f>IF(B4987=1,D4987,E4986)</f>
        <v/>
      </c>
      <c r="F4987">
        <f>IF(AND(B4987=1,C4987&gt;1,E4986&lt;&gt;""),ABS(D4987-E4986),"")</f>
        <v/>
      </c>
    </row>
    <row r="4988">
      <c r="A4988" t="n">
        <v>4988</v>
      </c>
      <c r="B4988">
        <f>IF(INDEX('Data Entry'!$H$5:$BE$10004,4988-4,'Visual SPC'!$B$3)="",0,IF(AND(OR('Visual SPC'!$C$4="",'Data Entry'!$C4988&gt;='Visual SPC'!$C$4),OR('Visual SPC'!$E$4="",'Data Entry'!$C4988&lt;='Visual SPC'!$E$4),OR('Visual SPC'!$G$4="",'Data Entry'!$D4988='Visual SPC'!$G$4),OR('Visual SPC'!$I$4="",'Data Entry'!$E4988='Visual SPC'!$I$4),OR('Visual SPC'!$K$4="",'Data Entry'!$F4988='Visual SPC'!$K$4)),1,0))</f>
        <v/>
      </c>
      <c r="C4988">
        <f>C4987+B4988</f>
        <v/>
      </c>
      <c r="D4988">
        <f>IF(B4988=1,INDEX('Data Entry'!$H$5:$BE$10004,4988-4,'Visual SPC'!$B$3),"")</f>
        <v/>
      </c>
      <c r="E4988">
        <f>IF(B4988=1,D4988,E4987)</f>
        <v/>
      </c>
      <c r="F4988">
        <f>IF(AND(B4988=1,C4988&gt;1,E4987&lt;&gt;""),ABS(D4988-E4987),"")</f>
        <v/>
      </c>
    </row>
    <row r="4989">
      <c r="A4989" t="n">
        <v>4989</v>
      </c>
      <c r="B4989">
        <f>IF(INDEX('Data Entry'!$H$5:$BE$10004,4989-4,'Visual SPC'!$B$3)="",0,IF(AND(OR('Visual SPC'!$C$4="",'Data Entry'!$C4989&gt;='Visual SPC'!$C$4),OR('Visual SPC'!$E$4="",'Data Entry'!$C4989&lt;='Visual SPC'!$E$4),OR('Visual SPC'!$G$4="",'Data Entry'!$D4989='Visual SPC'!$G$4),OR('Visual SPC'!$I$4="",'Data Entry'!$E4989='Visual SPC'!$I$4),OR('Visual SPC'!$K$4="",'Data Entry'!$F4989='Visual SPC'!$K$4)),1,0))</f>
        <v/>
      </c>
      <c r="C4989">
        <f>C4988+B4989</f>
        <v/>
      </c>
      <c r="D4989">
        <f>IF(B4989=1,INDEX('Data Entry'!$H$5:$BE$10004,4989-4,'Visual SPC'!$B$3),"")</f>
        <v/>
      </c>
      <c r="E4989">
        <f>IF(B4989=1,D4989,E4988)</f>
        <v/>
      </c>
      <c r="F4989">
        <f>IF(AND(B4989=1,C4989&gt;1,E4988&lt;&gt;""),ABS(D4989-E4988),"")</f>
        <v/>
      </c>
    </row>
    <row r="4990">
      <c r="A4990" t="n">
        <v>4990</v>
      </c>
      <c r="B4990">
        <f>IF(INDEX('Data Entry'!$H$5:$BE$10004,4990-4,'Visual SPC'!$B$3)="",0,IF(AND(OR('Visual SPC'!$C$4="",'Data Entry'!$C4990&gt;='Visual SPC'!$C$4),OR('Visual SPC'!$E$4="",'Data Entry'!$C4990&lt;='Visual SPC'!$E$4),OR('Visual SPC'!$G$4="",'Data Entry'!$D4990='Visual SPC'!$G$4),OR('Visual SPC'!$I$4="",'Data Entry'!$E4990='Visual SPC'!$I$4),OR('Visual SPC'!$K$4="",'Data Entry'!$F4990='Visual SPC'!$K$4)),1,0))</f>
        <v/>
      </c>
      <c r="C4990">
        <f>C4989+B4990</f>
        <v/>
      </c>
      <c r="D4990">
        <f>IF(B4990=1,INDEX('Data Entry'!$H$5:$BE$10004,4990-4,'Visual SPC'!$B$3),"")</f>
        <v/>
      </c>
      <c r="E4990">
        <f>IF(B4990=1,D4990,E4989)</f>
        <v/>
      </c>
      <c r="F4990">
        <f>IF(AND(B4990=1,C4990&gt;1,E4989&lt;&gt;""),ABS(D4990-E4989),"")</f>
        <v/>
      </c>
    </row>
    <row r="4991">
      <c r="A4991" t="n">
        <v>4991</v>
      </c>
      <c r="B4991">
        <f>IF(INDEX('Data Entry'!$H$5:$BE$10004,4991-4,'Visual SPC'!$B$3)="",0,IF(AND(OR('Visual SPC'!$C$4="",'Data Entry'!$C4991&gt;='Visual SPC'!$C$4),OR('Visual SPC'!$E$4="",'Data Entry'!$C4991&lt;='Visual SPC'!$E$4),OR('Visual SPC'!$G$4="",'Data Entry'!$D4991='Visual SPC'!$G$4),OR('Visual SPC'!$I$4="",'Data Entry'!$E4991='Visual SPC'!$I$4),OR('Visual SPC'!$K$4="",'Data Entry'!$F4991='Visual SPC'!$K$4)),1,0))</f>
        <v/>
      </c>
      <c r="C4991">
        <f>C4990+B4991</f>
        <v/>
      </c>
      <c r="D4991">
        <f>IF(B4991=1,INDEX('Data Entry'!$H$5:$BE$10004,4991-4,'Visual SPC'!$B$3),"")</f>
        <v/>
      </c>
      <c r="E4991">
        <f>IF(B4991=1,D4991,E4990)</f>
        <v/>
      </c>
      <c r="F4991">
        <f>IF(AND(B4991=1,C4991&gt;1,E4990&lt;&gt;""),ABS(D4991-E4990),"")</f>
        <v/>
      </c>
    </row>
    <row r="4992">
      <c r="A4992" t="n">
        <v>4992</v>
      </c>
      <c r="B4992">
        <f>IF(INDEX('Data Entry'!$H$5:$BE$10004,4992-4,'Visual SPC'!$B$3)="",0,IF(AND(OR('Visual SPC'!$C$4="",'Data Entry'!$C4992&gt;='Visual SPC'!$C$4),OR('Visual SPC'!$E$4="",'Data Entry'!$C4992&lt;='Visual SPC'!$E$4),OR('Visual SPC'!$G$4="",'Data Entry'!$D4992='Visual SPC'!$G$4),OR('Visual SPC'!$I$4="",'Data Entry'!$E4992='Visual SPC'!$I$4),OR('Visual SPC'!$K$4="",'Data Entry'!$F4992='Visual SPC'!$K$4)),1,0))</f>
        <v/>
      </c>
      <c r="C4992">
        <f>C4991+B4992</f>
        <v/>
      </c>
      <c r="D4992">
        <f>IF(B4992=1,INDEX('Data Entry'!$H$5:$BE$10004,4992-4,'Visual SPC'!$B$3),"")</f>
        <v/>
      </c>
      <c r="E4992">
        <f>IF(B4992=1,D4992,E4991)</f>
        <v/>
      </c>
      <c r="F4992">
        <f>IF(AND(B4992=1,C4992&gt;1,E4991&lt;&gt;""),ABS(D4992-E4991),"")</f>
        <v/>
      </c>
    </row>
    <row r="4993">
      <c r="A4993" t="n">
        <v>4993</v>
      </c>
      <c r="B4993">
        <f>IF(INDEX('Data Entry'!$H$5:$BE$10004,4993-4,'Visual SPC'!$B$3)="",0,IF(AND(OR('Visual SPC'!$C$4="",'Data Entry'!$C4993&gt;='Visual SPC'!$C$4),OR('Visual SPC'!$E$4="",'Data Entry'!$C4993&lt;='Visual SPC'!$E$4),OR('Visual SPC'!$G$4="",'Data Entry'!$D4993='Visual SPC'!$G$4),OR('Visual SPC'!$I$4="",'Data Entry'!$E4993='Visual SPC'!$I$4),OR('Visual SPC'!$K$4="",'Data Entry'!$F4993='Visual SPC'!$K$4)),1,0))</f>
        <v/>
      </c>
      <c r="C4993">
        <f>C4992+B4993</f>
        <v/>
      </c>
      <c r="D4993">
        <f>IF(B4993=1,INDEX('Data Entry'!$H$5:$BE$10004,4993-4,'Visual SPC'!$B$3),"")</f>
        <v/>
      </c>
      <c r="E4993">
        <f>IF(B4993=1,D4993,E4992)</f>
        <v/>
      </c>
      <c r="F4993">
        <f>IF(AND(B4993=1,C4993&gt;1,E4992&lt;&gt;""),ABS(D4993-E4992),"")</f>
        <v/>
      </c>
    </row>
    <row r="4994">
      <c r="A4994" t="n">
        <v>4994</v>
      </c>
      <c r="B4994">
        <f>IF(INDEX('Data Entry'!$H$5:$BE$10004,4994-4,'Visual SPC'!$B$3)="",0,IF(AND(OR('Visual SPC'!$C$4="",'Data Entry'!$C4994&gt;='Visual SPC'!$C$4),OR('Visual SPC'!$E$4="",'Data Entry'!$C4994&lt;='Visual SPC'!$E$4),OR('Visual SPC'!$G$4="",'Data Entry'!$D4994='Visual SPC'!$G$4),OR('Visual SPC'!$I$4="",'Data Entry'!$E4994='Visual SPC'!$I$4),OR('Visual SPC'!$K$4="",'Data Entry'!$F4994='Visual SPC'!$K$4)),1,0))</f>
        <v/>
      </c>
      <c r="C4994">
        <f>C4993+B4994</f>
        <v/>
      </c>
      <c r="D4994">
        <f>IF(B4994=1,INDEX('Data Entry'!$H$5:$BE$10004,4994-4,'Visual SPC'!$B$3),"")</f>
        <v/>
      </c>
      <c r="E4994">
        <f>IF(B4994=1,D4994,E4993)</f>
        <v/>
      </c>
      <c r="F4994">
        <f>IF(AND(B4994=1,C4994&gt;1,E4993&lt;&gt;""),ABS(D4994-E4993),"")</f>
        <v/>
      </c>
    </row>
    <row r="4995">
      <c r="A4995" t="n">
        <v>4995</v>
      </c>
      <c r="B4995">
        <f>IF(INDEX('Data Entry'!$H$5:$BE$10004,4995-4,'Visual SPC'!$B$3)="",0,IF(AND(OR('Visual SPC'!$C$4="",'Data Entry'!$C4995&gt;='Visual SPC'!$C$4),OR('Visual SPC'!$E$4="",'Data Entry'!$C4995&lt;='Visual SPC'!$E$4),OR('Visual SPC'!$G$4="",'Data Entry'!$D4995='Visual SPC'!$G$4),OR('Visual SPC'!$I$4="",'Data Entry'!$E4995='Visual SPC'!$I$4),OR('Visual SPC'!$K$4="",'Data Entry'!$F4995='Visual SPC'!$K$4)),1,0))</f>
        <v/>
      </c>
      <c r="C4995">
        <f>C4994+B4995</f>
        <v/>
      </c>
      <c r="D4995">
        <f>IF(B4995=1,INDEX('Data Entry'!$H$5:$BE$10004,4995-4,'Visual SPC'!$B$3),"")</f>
        <v/>
      </c>
      <c r="E4995">
        <f>IF(B4995=1,D4995,E4994)</f>
        <v/>
      </c>
      <c r="F4995">
        <f>IF(AND(B4995=1,C4995&gt;1,E4994&lt;&gt;""),ABS(D4995-E4994),"")</f>
        <v/>
      </c>
    </row>
    <row r="4996">
      <c r="A4996" t="n">
        <v>4996</v>
      </c>
      <c r="B4996">
        <f>IF(INDEX('Data Entry'!$H$5:$BE$10004,4996-4,'Visual SPC'!$B$3)="",0,IF(AND(OR('Visual SPC'!$C$4="",'Data Entry'!$C4996&gt;='Visual SPC'!$C$4),OR('Visual SPC'!$E$4="",'Data Entry'!$C4996&lt;='Visual SPC'!$E$4),OR('Visual SPC'!$G$4="",'Data Entry'!$D4996='Visual SPC'!$G$4),OR('Visual SPC'!$I$4="",'Data Entry'!$E4996='Visual SPC'!$I$4),OR('Visual SPC'!$K$4="",'Data Entry'!$F4996='Visual SPC'!$K$4)),1,0))</f>
        <v/>
      </c>
      <c r="C4996">
        <f>C4995+B4996</f>
        <v/>
      </c>
      <c r="D4996">
        <f>IF(B4996=1,INDEX('Data Entry'!$H$5:$BE$10004,4996-4,'Visual SPC'!$B$3),"")</f>
        <v/>
      </c>
      <c r="E4996">
        <f>IF(B4996=1,D4996,E4995)</f>
        <v/>
      </c>
      <c r="F4996">
        <f>IF(AND(B4996=1,C4996&gt;1,E4995&lt;&gt;""),ABS(D4996-E4995),"")</f>
        <v/>
      </c>
    </row>
    <row r="4997">
      <c r="A4997" t="n">
        <v>4997</v>
      </c>
      <c r="B4997">
        <f>IF(INDEX('Data Entry'!$H$5:$BE$10004,4997-4,'Visual SPC'!$B$3)="",0,IF(AND(OR('Visual SPC'!$C$4="",'Data Entry'!$C4997&gt;='Visual SPC'!$C$4),OR('Visual SPC'!$E$4="",'Data Entry'!$C4997&lt;='Visual SPC'!$E$4),OR('Visual SPC'!$G$4="",'Data Entry'!$D4997='Visual SPC'!$G$4),OR('Visual SPC'!$I$4="",'Data Entry'!$E4997='Visual SPC'!$I$4),OR('Visual SPC'!$K$4="",'Data Entry'!$F4997='Visual SPC'!$K$4)),1,0))</f>
        <v/>
      </c>
      <c r="C4997">
        <f>C4996+B4997</f>
        <v/>
      </c>
      <c r="D4997">
        <f>IF(B4997=1,INDEX('Data Entry'!$H$5:$BE$10004,4997-4,'Visual SPC'!$B$3),"")</f>
        <v/>
      </c>
      <c r="E4997">
        <f>IF(B4997=1,D4997,E4996)</f>
        <v/>
      </c>
      <c r="F4997">
        <f>IF(AND(B4997=1,C4997&gt;1,E4996&lt;&gt;""),ABS(D4997-E4996),"")</f>
        <v/>
      </c>
    </row>
    <row r="4998">
      <c r="A4998" t="n">
        <v>4998</v>
      </c>
      <c r="B4998">
        <f>IF(INDEX('Data Entry'!$H$5:$BE$10004,4998-4,'Visual SPC'!$B$3)="",0,IF(AND(OR('Visual SPC'!$C$4="",'Data Entry'!$C4998&gt;='Visual SPC'!$C$4),OR('Visual SPC'!$E$4="",'Data Entry'!$C4998&lt;='Visual SPC'!$E$4),OR('Visual SPC'!$G$4="",'Data Entry'!$D4998='Visual SPC'!$G$4),OR('Visual SPC'!$I$4="",'Data Entry'!$E4998='Visual SPC'!$I$4),OR('Visual SPC'!$K$4="",'Data Entry'!$F4998='Visual SPC'!$K$4)),1,0))</f>
        <v/>
      </c>
      <c r="C4998">
        <f>C4997+B4998</f>
        <v/>
      </c>
      <c r="D4998">
        <f>IF(B4998=1,INDEX('Data Entry'!$H$5:$BE$10004,4998-4,'Visual SPC'!$B$3),"")</f>
        <v/>
      </c>
      <c r="E4998">
        <f>IF(B4998=1,D4998,E4997)</f>
        <v/>
      </c>
      <c r="F4998">
        <f>IF(AND(B4998=1,C4998&gt;1,E4997&lt;&gt;""),ABS(D4998-E4997),"")</f>
        <v/>
      </c>
    </row>
    <row r="4999">
      <c r="A4999" t="n">
        <v>4999</v>
      </c>
      <c r="B4999">
        <f>IF(INDEX('Data Entry'!$H$5:$BE$10004,4999-4,'Visual SPC'!$B$3)="",0,IF(AND(OR('Visual SPC'!$C$4="",'Data Entry'!$C4999&gt;='Visual SPC'!$C$4),OR('Visual SPC'!$E$4="",'Data Entry'!$C4999&lt;='Visual SPC'!$E$4),OR('Visual SPC'!$G$4="",'Data Entry'!$D4999='Visual SPC'!$G$4),OR('Visual SPC'!$I$4="",'Data Entry'!$E4999='Visual SPC'!$I$4),OR('Visual SPC'!$K$4="",'Data Entry'!$F4999='Visual SPC'!$K$4)),1,0))</f>
        <v/>
      </c>
      <c r="C4999">
        <f>C4998+B4999</f>
        <v/>
      </c>
      <c r="D4999">
        <f>IF(B4999=1,INDEX('Data Entry'!$H$5:$BE$10004,4999-4,'Visual SPC'!$B$3),"")</f>
        <v/>
      </c>
      <c r="E4999">
        <f>IF(B4999=1,D4999,E4998)</f>
        <v/>
      </c>
      <c r="F4999">
        <f>IF(AND(B4999=1,C4999&gt;1,E4998&lt;&gt;""),ABS(D4999-E4998),"")</f>
        <v/>
      </c>
    </row>
    <row r="5000">
      <c r="A5000" t="n">
        <v>5000</v>
      </c>
      <c r="B5000">
        <f>IF(INDEX('Data Entry'!$H$5:$BE$10004,5000-4,'Visual SPC'!$B$3)="",0,IF(AND(OR('Visual SPC'!$C$4="",'Data Entry'!$C5000&gt;='Visual SPC'!$C$4),OR('Visual SPC'!$E$4="",'Data Entry'!$C5000&lt;='Visual SPC'!$E$4),OR('Visual SPC'!$G$4="",'Data Entry'!$D5000='Visual SPC'!$G$4),OR('Visual SPC'!$I$4="",'Data Entry'!$E5000='Visual SPC'!$I$4),OR('Visual SPC'!$K$4="",'Data Entry'!$F5000='Visual SPC'!$K$4)),1,0))</f>
        <v/>
      </c>
      <c r="C5000">
        <f>C4999+B5000</f>
        <v/>
      </c>
      <c r="D5000">
        <f>IF(B5000=1,INDEX('Data Entry'!$H$5:$BE$10004,5000-4,'Visual SPC'!$B$3),"")</f>
        <v/>
      </c>
      <c r="E5000">
        <f>IF(B5000=1,D5000,E4999)</f>
        <v/>
      </c>
      <c r="F5000">
        <f>IF(AND(B5000=1,C5000&gt;1,E4999&lt;&gt;""),ABS(D5000-E4999),"")</f>
        <v/>
      </c>
    </row>
    <row r="5001">
      <c r="A5001" t="n">
        <v>5001</v>
      </c>
      <c r="B5001">
        <f>IF(INDEX('Data Entry'!$H$5:$BE$10004,5001-4,'Visual SPC'!$B$3)="",0,IF(AND(OR('Visual SPC'!$C$4="",'Data Entry'!$C5001&gt;='Visual SPC'!$C$4),OR('Visual SPC'!$E$4="",'Data Entry'!$C5001&lt;='Visual SPC'!$E$4),OR('Visual SPC'!$G$4="",'Data Entry'!$D5001='Visual SPC'!$G$4),OR('Visual SPC'!$I$4="",'Data Entry'!$E5001='Visual SPC'!$I$4),OR('Visual SPC'!$K$4="",'Data Entry'!$F5001='Visual SPC'!$K$4)),1,0))</f>
        <v/>
      </c>
      <c r="C5001">
        <f>C5000+B5001</f>
        <v/>
      </c>
      <c r="D5001">
        <f>IF(B5001=1,INDEX('Data Entry'!$H$5:$BE$10004,5001-4,'Visual SPC'!$B$3),"")</f>
        <v/>
      </c>
      <c r="E5001">
        <f>IF(B5001=1,D5001,E5000)</f>
        <v/>
      </c>
      <c r="F5001">
        <f>IF(AND(B5001=1,C5001&gt;1,E5000&lt;&gt;""),ABS(D5001-E5000),"")</f>
        <v/>
      </c>
    </row>
    <row r="5002">
      <c r="A5002" t="n">
        <v>5002</v>
      </c>
      <c r="B5002">
        <f>IF(INDEX('Data Entry'!$H$5:$BE$10004,5002-4,'Visual SPC'!$B$3)="",0,IF(AND(OR('Visual SPC'!$C$4="",'Data Entry'!$C5002&gt;='Visual SPC'!$C$4),OR('Visual SPC'!$E$4="",'Data Entry'!$C5002&lt;='Visual SPC'!$E$4),OR('Visual SPC'!$G$4="",'Data Entry'!$D5002='Visual SPC'!$G$4),OR('Visual SPC'!$I$4="",'Data Entry'!$E5002='Visual SPC'!$I$4),OR('Visual SPC'!$K$4="",'Data Entry'!$F5002='Visual SPC'!$K$4)),1,0))</f>
        <v/>
      </c>
      <c r="C5002">
        <f>C5001+B5002</f>
        <v/>
      </c>
      <c r="D5002">
        <f>IF(B5002=1,INDEX('Data Entry'!$H$5:$BE$10004,5002-4,'Visual SPC'!$B$3),"")</f>
        <v/>
      </c>
      <c r="E5002">
        <f>IF(B5002=1,D5002,E5001)</f>
        <v/>
      </c>
      <c r="F5002">
        <f>IF(AND(B5002=1,C5002&gt;1,E5001&lt;&gt;""),ABS(D5002-E5001),"")</f>
        <v/>
      </c>
    </row>
    <row r="5003">
      <c r="A5003" t="n">
        <v>5003</v>
      </c>
      <c r="B5003">
        <f>IF(INDEX('Data Entry'!$H$5:$BE$10004,5003-4,'Visual SPC'!$B$3)="",0,IF(AND(OR('Visual SPC'!$C$4="",'Data Entry'!$C5003&gt;='Visual SPC'!$C$4),OR('Visual SPC'!$E$4="",'Data Entry'!$C5003&lt;='Visual SPC'!$E$4),OR('Visual SPC'!$G$4="",'Data Entry'!$D5003='Visual SPC'!$G$4),OR('Visual SPC'!$I$4="",'Data Entry'!$E5003='Visual SPC'!$I$4),OR('Visual SPC'!$K$4="",'Data Entry'!$F5003='Visual SPC'!$K$4)),1,0))</f>
        <v/>
      </c>
      <c r="C5003">
        <f>C5002+B5003</f>
        <v/>
      </c>
      <c r="D5003">
        <f>IF(B5003=1,INDEX('Data Entry'!$H$5:$BE$10004,5003-4,'Visual SPC'!$B$3),"")</f>
        <v/>
      </c>
      <c r="E5003">
        <f>IF(B5003=1,D5003,E5002)</f>
        <v/>
      </c>
      <c r="F5003">
        <f>IF(AND(B5003=1,C5003&gt;1,E5002&lt;&gt;""),ABS(D5003-E5002),"")</f>
        <v/>
      </c>
    </row>
    <row r="5004">
      <c r="A5004" t="n">
        <v>5004</v>
      </c>
      <c r="B5004">
        <f>IF(INDEX('Data Entry'!$H$5:$BE$10004,5004-4,'Visual SPC'!$B$3)="",0,IF(AND(OR('Visual SPC'!$C$4="",'Data Entry'!$C5004&gt;='Visual SPC'!$C$4),OR('Visual SPC'!$E$4="",'Data Entry'!$C5004&lt;='Visual SPC'!$E$4),OR('Visual SPC'!$G$4="",'Data Entry'!$D5004='Visual SPC'!$G$4),OR('Visual SPC'!$I$4="",'Data Entry'!$E5004='Visual SPC'!$I$4),OR('Visual SPC'!$K$4="",'Data Entry'!$F5004='Visual SPC'!$K$4)),1,0))</f>
        <v/>
      </c>
      <c r="C5004">
        <f>C5003+B5004</f>
        <v/>
      </c>
      <c r="D5004">
        <f>IF(B5004=1,INDEX('Data Entry'!$H$5:$BE$10004,5004-4,'Visual SPC'!$B$3),"")</f>
        <v/>
      </c>
      <c r="E5004">
        <f>IF(B5004=1,D5004,E5003)</f>
        <v/>
      </c>
      <c r="F5004">
        <f>IF(AND(B5004=1,C5004&gt;1,E5003&lt;&gt;""),ABS(D5004-E5003),"")</f>
        <v/>
      </c>
    </row>
    <row r="5005">
      <c r="A5005" t="n">
        <v>5005</v>
      </c>
      <c r="B5005">
        <f>IF(INDEX('Data Entry'!$H$5:$BE$10004,5005-4,'Visual SPC'!$B$3)="",0,IF(AND(OR('Visual SPC'!$C$4="",'Data Entry'!$C5005&gt;='Visual SPC'!$C$4),OR('Visual SPC'!$E$4="",'Data Entry'!$C5005&lt;='Visual SPC'!$E$4),OR('Visual SPC'!$G$4="",'Data Entry'!$D5005='Visual SPC'!$G$4),OR('Visual SPC'!$I$4="",'Data Entry'!$E5005='Visual SPC'!$I$4),OR('Visual SPC'!$K$4="",'Data Entry'!$F5005='Visual SPC'!$K$4)),1,0))</f>
        <v/>
      </c>
      <c r="C5005">
        <f>C5004+B5005</f>
        <v/>
      </c>
      <c r="D5005">
        <f>IF(B5005=1,INDEX('Data Entry'!$H$5:$BE$10004,5005-4,'Visual SPC'!$B$3),"")</f>
        <v/>
      </c>
      <c r="E5005">
        <f>IF(B5005=1,D5005,E5004)</f>
        <v/>
      </c>
      <c r="F5005">
        <f>IF(AND(B5005=1,C5005&gt;1,E5004&lt;&gt;""),ABS(D5005-E5004),"")</f>
        <v/>
      </c>
    </row>
    <row r="5006">
      <c r="A5006" t="n">
        <v>5006</v>
      </c>
      <c r="B5006">
        <f>IF(INDEX('Data Entry'!$H$5:$BE$10004,5006-4,'Visual SPC'!$B$3)="",0,IF(AND(OR('Visual SPC'!$C$4="",'Data Entry'!$C5006&gt;='Visual SPC'!$C$4),OR('Visual SPC'!$E$4="",'Data Entry'!$C5006&lt;='Visual SPC'!$E$4),OR('Visual SPC'!$G$4="",'Data Entry'!$D5006='Visual SPC'!$G$4),OR('Visual SPC'!$I$4="",'Data Entry'!$E5006='Visual SPC'!$I$4),OR('Visual SPC'!$K$4="",'Data Entry'!$F5006='Visual SPC'!$K$4)),1,0))</f>
        <v/>
      </c>
      <c r="C5006">
        <f>C5005+B5006</f>
        <v/>
      </c>
      <c r="D5006">
        <f>IF(B5006=1,INDEX('Data Entry'!$H$5:$BE$10004,5006-4,'Visual SPC'!$B$3),"")</f>
        <v/>
      </c>
      <c r="E5006">
        <f>IF(B5006=1,D5006,E5005)</f>
        <v/>
      </c>
      <c r="F5006">
        <f>IF(AND(B5006=1,C5006&gt;1,E5005&lt;&gt;""),ABS(D5006-E5005),"")</f>
        <v/>
      </c>
    </row>
    <row r="5007">
      <c r="A5007" t="n">
        <v>5007</v>
      </c>
      <c r="B5007">
        <f>IF(INDEX('Data Entry'!$H$5:$BE$10004,5007-4,'Visual SPC'!$B$3)="",0,IF(AND(OR('Visual SPC'!$C$4="",'Data Entry'!$C5007&gt;='Visual SPC'!$C$4),OR('Visual SPC'!$E$4="",'Data Entry'!$C5007&lt;='Visual SPC'!$E$4),OR('Visual SPC'!$G$4="",'Data Entry'!$D5007='Visual SPC'!$G$4),OR('Visual SPC'!$I$4="",'Data Entry'!$E5007='Visual SPC'!$I$4),OR('Visual SPC'!$K$4="",'Data Entry'!$F5007='Visual SPC'!$K$4)),1,0))</f>
        <v/>
      </c>
      <c r="C5007">
        <f>C5006+B5007</f>
        <v/>
      </c>
      <c r="D5007">
        <f>IF(B5007=1,INDEX('Data Entry'!$H$5:$BE$10004,5007-4,'Visual SPC'!$B$3),"")</f>
        <v/>
      </c>
      <c r="E5007">
        <f>IF(B5007=1,D5007,E5006)</f>
        <v/>
      </c>
      <c r="F5007">
        <f>IF(AND(B5007=1,C5007&gt;1,E5006&lt;&gt;""),ABS(D5007-E5006),"")</f>
        <v/>
      </c>
    </row>
    <row r="5008">
      <c r="A5008" t="n">
        <v>5008</v>
      </c>
      <c r="B5008">
        <f>IF(INDEX('Data Entry'!$H$5:$BE$10004,5008-4,'Visual SPC'!$B$3)="",0,IF(AND(OR('Visual SPC'!$C$4="",'Data Entry'!$C5008&gt;='Visual SPC'!$C$4),OR('Visual SPC'!$E$4="",'Data Entry'!$C5008&lt;='Visual SPC'!$E$4),OR('Visual SPC'!$G$4="",'Data Entry'!$D5008='Visual SPC'!$G$4),OR('Visual SPC'!$I$4="",'Data Entry'!$E5008='Visual SPC'!$I$4),OR('Visual SPC'!$K$4="",'Data Entry'!$F5008='Visual SPC'!$K$4)),1,0))</f>
        <v/>
      </c>
      <c r="C5008">
        <f>C5007+B5008</f>
        <v/>
      </c>
      <c r="D5008">
        <f>IF(B5008=1,INDEX('Data Entry'!$H$5:$BE$10004,5008-4,'Visual SPC'!$B$3),"")</f>
        <v/>
      </c>
      <c r="E5008">
        <f>IF(B5008=1,D5008,E5007)</f>
        <v/>
      </c>
      <c r="F5008">
        <f>IF(AND(B5008=1,C5008&gt;1,E5007&lt;&gt;""),ABS(D5008-E5007),"")</f>
        <v/>
      </c>
    </row>
    <row r="5009">
      <c r="A5009" t="n">
        <v>5009</v>
      </c>
      <c r="B5009">
        <f>IF(INDEX('Data Entry'!$H$5:$BE$10004,5009-4,'Visual SPC'!$B$3)="",0,IF(AND(OR('Visual SPC'!$C$4="",'Data Entry'!$C5009&gt;='Visual SPC'!$C$4),OR('Visual SPC'!$E$4="",'Data Entry'!$C5009&lt;='Visual SPC'!$E$4),OR('Visual SPC'!$G$4="",'Data Entry'!$D5009='Visual SPC'!$G$4),OR('Visual SPC'!$I$4="",'Data Entry'!$E5009='Visual SPC'!$I$4),OR('Visual SPC'!$K$4="",'Data Entry'!$F5009='Visual SPC'!$K$4)),1,0))</f>
        <v/>
      </c>
      <c r="C5009">
        <f>C5008+B5009</f>
        <v/>
      </c>
      <c r="D5009">
        <f>IF(B5009=1,INDEX('Data Entry'!$H$5:$BE$10004,5009-4,'Visual SPC'!$B$3),"")</f>
        <v/>
      </c>
      <c r="E5009">
        <f>IF(B5009=1,D5009,E5008)</f>
        <v/>
      </c>
      <c r="F5009">
        <f>IF(AND(B5009=1,C5009&gt;1,E5008&lt;&gt;""),ABS(D5009-E5008),"")</f>
        <v/>
      </c>
    </row>
    <row r="5010">
      <c r="A5010" t="n">
        <v>5010</v>
      </c>
      <c r="B5010">
        <f>IF(INDEX('Data Entry'!$H$5:$BE$10004,5010-4,'Visual SPC'!$B$3)="",0,IF(AND(OR('Visual SPC'!$C$4="",'Data Entry'!$C5010&gt;='Visual SPC'!$C$4),OR('Visual SPC'!$E$4="",'Data Entry'!$C5010&lt;='Visual SPC'!$E$4),OR('Visual SPC'!$G$4="",'Data Entry'!$D5010='Visual SPC'!$G$4),OR('Visual SPC'!$I$4="",'Data Entry'!$E5010='Visual SPC'!$I$4),OR('Visual SPC'!$K$4="",'Data Entry'!$F5010='Visual SPC'!$K$4)),1,0))</f>
        <v/>
      </c>
      <c r="C5010">
        <f>C5009+B5010</f>
        <v/>
      </c>
      <c r="D5010">
        <f>IF(B5010=1,INDEX('Data Entry'!$H$5:$BE$10004,5010-4,'Visual SPC'!$B$3),"")</f>
        <v/>
      </c>
      <c r="E5010">
        <f>IF(B5010=1,D5010,E5009)</f>
        <v/>
      </c>
      <c r="F5010">
        <f>IF(AND(B5010=1,C5010&gt;1,E5009&lt;&gt;""),ABS(D5010-E5009),"")</f>
        <v/>
      </c>
    </row>
    <row r="5011">
      <c r="A5011" t="n">
        <v>5011</v>
      </c>
      <c r="B5011">
        <f>IF(INDEX('Data Entry'!$H$5:$BE$10004,5011-4,'Visual SPC'!$B$3)="",0,IF(AND(OR('Visual SPC'!$C$4="",'Data Entry'!$C5011&gt;='Visual SPC'!$C$4),OR('Visual SPC'!$E$4="",'Data Entry'!$C5011&lt;='Visual SPC'!$E$4),OR('Visual SPC'!$G$4="",'Data Entry'!$D5011='Visual SPC'!$G$4),OR('Visual SPC'!$I$4="",'Data Entry'!$E5011='Visual SPC'!$I$4),OR('Visual SPC'!$K$4="",'Data Entry'!$F5011='Visual SPC'!$K$4)),1,0))</f>
        <v/>
      </c>
      <c r="C5011">
        <f>C5010+B5011</f>
        <v/>
      </c>
      <c r="D5011">
        <f>IF(B5011=1,INDEX('Data Entry'!$H$5:$BE$10004,5011-4,'Visual SPC'!$B$3),"")</f>
        <v/>
      </c>
      <c r="E5011">
        <f>IF(B5011=1,D5011,E5010)</f>
        <v/>
      </c>
      <c r="F5011">
        <f>IF(AND(B5011=1,C5011&gt;1,E5010&lt;&gt;""),ABS(D5011-E5010),"")</f>
        <v/>
      </c>
    </row>
    <row r="5012">
      <c r="A5012" t="n">
        <v>5012</v>
      </c>
      <c r="B5012">
        <f>IF(INDEX('Data Entry'!$H$5:$BE$10004,5012-4,'Visual SPC'!$B$3)="",0,IF(AND(OR('Visual SPC'!$C$4="",'Data Entry'!$C5012&gt;='Visual SPC'!$C$4),OR('Visual SPC'!$E$4="",'Data Entry'!$C5012&lt;='Visual SPC'!$E$4),OR('Visual SPC'!$G$4="",'Data Entry'!$D5012='Visual SPC'!$G$4),OR('Visual SPC'!$I$4="",'Data Entry'!$E5012='Visual SPC'!$I$4),OR('Visual SPC'!$K$4="",'Data Entry'!$F5012='Visual SPC'!$K$4)),1,0))</f>
        <v/>
      </c>
      <c r="C5012">
        <f>C5011+B5012</f>
        <v/>
      </c>
      <c r="D5012">
        <f>IF(B5012=1,INDEX('Data Entry'!$H$5:$BE$10004,5012-4,'Visual SPC'!$B$3),"")</f>
        <v/>
      </c>
      <c r="E5012">
        <f>IF(B5012=1,D5012,E5011)</f>
        <v/>
      </c>
      <c r="F5012">
        <f>IF(AND(B5012=1,C5012&gt;1,E5011&lt;&gt;""),ABS(D5012-E5011),"")</f>
        <v/>
      </c>
    </row>
    <row r="5013">
      <c r="A5013" t="n">
        <v>5013</v>
      </c>
      <c r="B5013">
        <f>IF(INDEX('Data Entry'!$H$5:$BE$10004,5013-4,'Visual SPC'!$B$3)="",0,IF(AND(OR('Visual SPC'!$C$4="",'Data Entry'!$C5013&gt;='Visual SPC'!$C$4),OR('Visual SPC'!$E$4="",'Data Entry'!$C5013&lt;='Visual SPC'!$E$4),OR('Visual SPC'!$G$4="",'Data Entry'!$D5013='Visual SPC'!$G$4),OR('Visual SPC'!$I$4="",'Data Entry'!$E5013='Visual SPC'!$I$4),OR('Visual SPC'!$K$4="",'Data Entry'!$F5013='Visual SPC'!$K$4)),1,0))</f>
        <v/>
      </c>
      <c r="C5013">
        <f>C5012+B5013</f>
        <v/>
      </c>
      <c r="D5013">
        <f>IF(B5013=1,INDEX('Data Entry'!$H$5:$BE$10004,5013-4,'Visual SPC'!$B$3),"")</f>
        <v/>
      </c>
      <c r="E5013">
        <f>IF(B5013=1,D5013,E5012)</f>
        <v/>
      </c>
      <c r="F5013">
        <f>IF(AND(B5013=1,C5013&gt;1,E5012&lt;&gt;""),ABS(D5013-E5012),"")</f>
        <v/>
      </c>
    </row>
    <row r="5014">
      <c r="A5014" t="n">
        <v>5014</v>
      </c>
      <c r="B5014">
        <f>IF(INDEX('Data Entry'!$H$5:$BE$10004,5014-4,'Visual SPC'!$B$3)="",0,IF(AND(OR('Visual SPC'!$C$4="",'Data Entry'!$C5014&gt;='Visual SPC'!$C$4),OR('Visual SPC'!$E$4="",'Data Entry'!$C5014&lt;='Visual SPC'!$E$4),OR('Visual SPC'!$G$4="",'Data Entry'!$D5014='Visual SPC'!$G$4),OR('Visual SPC'!$I$4="",'Data Entry'!$E5014='Visual SPC'!$I$4),OR('Visual SPC'!$K$4="",'Data Entry'!$F5014='Visual SPC'!$K$4)),1,0))</f>
        <v/>
      </c>
      <c r="C5014">
        <f>C5013+B5014</f>
        <v/>
      </c>
      <c r="D5014">
        <f>IF(B5014=1,INDEX('Data Entry'!$H$5:$BE$10004,5014-4,'Visual SPC'!$B$3),"")</f>
        <v/>
      </c>
      <c r="E5014">
        <f>IF(B5014=1,D5014,E5013)</f>
        <v/>
      </c>
      <c r="F5014">
        <f>IF(AND(B5014=1,C5014&gt;1,E5013&lt;&gt;""),ABS(D5014-E5013),"")</f>
        <v/>
      </c>
    </row>
    <row r="5015">
      <c r="A5015" t="n">
        <v>5015</v>
      </c>
      <c r="B5015">
        <f>IF(INDEX('Data Entry'!$H$5:$BE$10004,5015-4,'Visual SPC'!$B$3)="",0,IF(AND(OR('Visual SPC'!$C$4="",'Data Entry'!$C5015&gt;='Visual SPC'!$C$4),OR('Visual SPC'!$E$4="",'Data Entry'!$C5015&lt;='Visual SPC'!$E$4),OR('Visual SPC'!$G$4="",'Data Entry'!$D5015='Visual SPC'!$G$4),OR('Visual SPC'!$I$4="",'Data Entry'!$E5015='Visual SPC'!$I$4),OR('Visual SPC'!$K$4="",'Data Entry'!$F5015='Visual SPC'!$K$4)),1,0))</f>
        <v/>
      </c>
      <c r="C5015">
        <f>C5014+B5015</f>
        <v/>
      </c>
      <c r="D5015">
        <f>IF(B5015=1,INDEX('Data Entry'!$H$5:$BE$10004,5015-4,'Visual SPC'!$B$3),"")</f>
        <v/>
      </c>
      <c r="E5015">
        <f>IF(B5015=1,D5015,E5014)</f>
        <v/>
      </c>
      <c r="F5015">
        <f>IF(AND(B5015=1,C5015&gt;1,E5014&lt;&gt;""),ABS(D5015-E5014),"")</f>
        <v/>
      </c>
    </row>
    <row r="5016">
      <c r="A5016" t="n">
        <v>5016</v>
      </c>
      <c r="B5016">
        <f>IF(INDEX('Data Entry'!$H$5:$BE$10004,5016-4,'Visual SPC'!$B$3)="",0,IF(AND(OR('Visual SPC'!$C$4="",'Data Entry'!$C5016&gt;='Visual SPC'!$C$4),OR('Visual SPC'!$E$4="",'Data Entry'!$C5016&lt;='Visual SPC'!$E$4),OR('Visual SPC'!$G$4="",'Data Entry'!$D5016='Visual SPC'!$G$4),OR('Visual SPC'!$I$4="",'Data Entry'!$E5016='Visual SPC'!$I$4),OR('Visual SPC'!$K$4="",'Data Entry'!$F5016='Visual SPC'!$K$4)),1,0))</f>
        <v/>
      </c>
      <c r="C5016">
        <f>C5015+B5016</f>
        <v/>
      </c>
      <c r="D5016">
        <f>IF(B5016=1,INDEX('Data Entry'!$H$5:$BE$10004,5016-4,'Visual SPC'!$B$3),"")</f>
        <v/>
      </c>
      <c r="E5016">
        <f>IF(B5016=1,D5016,E5015)</f>
        <v/>
      </c>
      <c r="F5016">
        <f>IF(AND(B5016=1,C5016&gt;1,E5015&lt;&gt;""),ABS(D5016-E5015),"")</f>
        <v/>
      </c>
    </row>
    <row r="5017">
      <c r="A5017" t="n">
        <v>5017</v>
      </c>
      <c r="B5017">
        <f>IF(INDEX('Data Entry'!$H$5:$BE$10004,5017-4,'Visual SPC'!$B$3)="",0,IF(AND(OR('Visual SPC'!$C$4="",'Data Entry'!$C5017&gt;='Visual SPC'!$C$4),OR('Visual SPC'!$E$4="",'Data Entry'!$C5017&lt;='Visual SPC'!$E$4),OR('Visual SPC'!$G$4="",'Data Entry'!$D5017='Visual SPC'!$G$4),OR('Visual SPC'!$I$4="",'Data Entry'!$E5017='Visual SPC'!$I$4),OR('Visual SPC'!$K$4="",'Data Entry'!$F5017='Visual SPC'!$K$4)),1,0))</f>
        <v/>
      </c>
      <c r="C5017">
        <f>C5016+B5017</f>
        <v/>
      </c>
      <c r="D5017">
        <f>IF(B5017=1,INDEX('Data Entry'!$H$5:$BE$10004,5017-4,'Visual SPC'!$B$3),"")</f>
        <v/>
      </c>
      <c r="E5017">
        <f>IF(B5017=1,D5017,E5016)</f>
        <v/>
      </c>
      <c r="F5017">
        <f>IF(AND(B5017=1,C5017&gt;1,E5016&lt;&gt;""),ABS(D5017-E5016),"")</f>
        <v/>
      </c>
    </row>
    <row r="5018">
      <c r="A5018" t="n">
        <v>5018</v>
      </c>
      <c r="B5018">
        <f>IF(INDEX('Data Entry'!$H$5:$BE$10004,5018-4,'Visual SPC'!$B$3)="",0,IF(AND(OR('Visual SPC'!$C$4="",'Data Entry'!$C5018&gt;='Visual SPC'!$C$4),OR('Visual SPC'!$E$4="",'Data Entry'!$C5018&lt;='Visual SPC'!$E$4),OR('Visual SPC'!$G$4="",'Data Entry'!$D5018='Visual SPC'!$G$4),OR('Visual SPC'!$I$4="",'Data Entry'!$E5018='Visual SPC'!$I$4),OR('Visual SPC'!$K$4="",'Data Entry'!$F5018='Visual SPC'!$K$4)),1,0))</f>
        <v/>
      </c>
      <c r="C5018">
        <f>C5017+B5018</f>
        <v/>
      </c>
      <c r="D5018">
        <f>IF(B5018=1,INDEX('Data Entry'!$H$5:$BE$10004,5018-4,'Visual SPC'!$B$3),"")</f>
        <v/>
      </c>
      <c r="E5018">
        <f>IF(B5018=1,D5018,E5017)</f>
        <v/>
      </c>
      <c r="F5018">
        <f>IF(AND(B5018=1,C5018&gt;1,E5017&lt;&gt;""),ABS(D5018-E5017),"")</f>
        <v/>
      </c>
    </row>
    <row r="5019">
      <c r="A5019" t="n">
        <v>5019</v>
      </c>
      <c r="B5019">
        <f>IF(INDEX('Data Entry'!$H$5:$BE$10004,5019-4,'Visual SPC'!$B$3)="",0,IF(AND(OR('Visual SPC'!$C$4="",'Data Entry'!$C5019&gt;='Visual SPC'!$C$4),OR('Visual SPC'!$E$4="",'Data Entry'!$C5019&lt;='Visual SPC'!$E$4),OR('Visual SPC'!$G$4="",'Data Entry'!$D5019='Visual SPC'!$G$4),OR('Visual SPC'!$I$4="",'Data Entry'!$E5019='Visual SPC'!$I$4),OR('Visual SPC'!$K$4="",'Data Entry'!$F5019='Visual SPC'!$K$4)),1,0))</f>
        <v/>
      </c>
      <c r="C5019">
        <f>C5018+B5019</f>
        <v/>
      </c>
      <c r="D5019">
        <f>IF(B5019=1,INDEX('Data Entry'!$H$5:$BE$10004,5019-4,'Visual SPC'!$B$3),"")</f>
        <v/>
      </c>
      <c r="E5019">
        <f>IF(B5019=1,D5019,E5018)</f>
        <v/>
      </c>
      <c r="F5019">
        <f>IF(AND(B5019=1,C5019&gt;1,E5018&lt;&gt;""),ABS(D5019-E5018),"")</f>
        <v/>
      </c>
    </row>
    <row r="5020">
      <c r="A5020" t="n">
        <v>5020</v>
      </c>
      <c r="B5020">
        <f>IF(INDEX('Data Entry'!$H$5:$BE$10004,5020-4,'Visual SPC'!$B$3)="",0,IF(AND(OR('Visual SPC'!$C$4="",'Data Entry'!$C5020&gt;='Visual SPC'!$C$4),OR('Visual SPC'!$E$4="",'Data Entry'!$C5020&lt;='Visual SPC'!$E$4),OR('Visual SPC'!$G$4="",'Data Entry'!$D5020='Visual SPC'!$G$4),OR('Visual SPC'!$I$4="",'Data Entry'!$E5020='Visual SPC'!$I$4),OR('Visual SPC'!$K$4="",'Data Entry'!$F5020='Visual SPC'!$K$4)),1,0))</f>
        <v/>
      </c>
      <c r="C5020">
        <f>C5019+B5020</f>
        <v/>
      </c>
      <c r="D5020">
        <f>IF(B5020=1,INDEX('Data Entry'!$H$5:$BE$10004,5020-4,'Visual SPC'!$B$3),"")</f>
        <v/>
      </c>
      <c r="E5020">
        <f>IF(B5020=1,D5020,E5019)</f>
        <v/>
      </c>
      <c r="F5020">
        <f>IF(AND(B5020=1,C5020&gt;1,E5019&lt;&gt;""),ABS(D5020-E5019),"")</f>
        <v/>
      </c>
    </row>
    <row r="5021">
      <c r="A5021" t="n">
        <v>5021</v>
      </c>
      <c r="B5021">
        <f>IF(INDEX('Data Entry'!$H$5:$BE$10004,5021-4,'Visual SPC'!$B$3)="",0,IF(AND(OR('Visual SPC'!$C$4="",'Data Entry'!$C5021&gt;='Visual SPC'!$C$4),OR('Visual SPC'!$E$4="",'Data Entry'!$C5021&lt;='Visual SPC'!$E$4),OR('Visual SPC'!$G$4="",'Data Entry'!$D5021='Visual SPC'!$G$4),OR('Visual SPC'!$I$4="",'Data Entry'!$E5021='Visual SPC'!$I$4),OR('Visual SPC'!$K$4="",'Data Entry'!$F5021='Visual SPC'!$K$4)),1,0))</f>
        <v/>
      </c>
      <c r="C5021">
        <f>C5020+B5021</f>
        <v/>
      </c>
      <c r="D5021">
        <f>IF(B5021=1,INDEX('Data Entry'!$H$5:$BE$10004,5021-4,'Visual SPC'!$B$3),"")</f>
        <v/>
      </c>
      <c r="E5021">
        <f>IF(B5021=1,D5021,E5020)</f>
        <v/>
      </c>
      <c r="F5021">
        <f>IF(AND(B5021=1,C5021&gt;1,E5020&lt;&gt;""),ABS(D5021-E5020),"")</f>
        <v/>
      </c>
    </row>
    <row r="5022">
      <c r="A5022" t="n">
        <v>5022</v>
      </c>
      <c r="B5022">
        <f>IF(INDEX('Data Entry'!$H$5:$BE$10004,5022-4,'Visual SPC'!$B$3)="",0,IF(AND(OR('Visual SPC'!$C$4="",'Data Entry'!$C5022&gt;='Visual SPC'!$C$4),OR('Visual SPC'!$E$4="",'Data Entry'!$C5022&lt;='Visual SPC'!$E$4),OR('Visual SPC'!$G$4="",'Data Entry'!$D5022='Visual SPC'!$G$4),OR('Visual SPC'!$I$4="",'Data Entry'!$E5022='Visual SPC'!$I$4),OR('Visual SPC'!$K$4="",'Data Entry'!$F5022='Visual SPC'!$K$4)),1,0))</f>
        <v/>
      </c>
      <c r="C5022">
        <f>C5021+B5022</f>
        <v/>
      </c>
      <c r="D5022">
        <f>IF(B5022=1,INDEX('Data Entry'!$H$5:$BE$10004,5022-4,'Visual SPC'!$B$3),"")</f>
        <v/>
      </c>
      <c r="E5022">
        <f>IF(B5022=1,D5022,E5021)</f>
        <v/>
      </c>
      <c r="F5022">
        <f>IF(AND(B5022=1,C5022&gt;1,E5021&lt;&gt;""),ABS(D5022-E5021),"")</f>
        <v/>
      </c>
    </row>
    <row r="5023">
      <c r="A5023" t="n">
        <v>5023</v>
      </c>
      <c r="B5023">
        <f>IF(INDEX('Data Entry'!$H$5:$BE$10004,5023-4,'Visual SPC'!$B$3)="",0,IF(AND(OR('Visual SPC'!$C$4="",'Data Entry'!$C5023&gt;='Visual SPC'!$C$4),OR('Visual SPC'!$E$4="",'Data Entry'!$C5023&lt;='Visual SPC'!$E$4),OR('Visual SPC'!$G$4="",'Data Entry'!$D5023='Visual SPC'!$G$4),OR('Visual SPC'!$I$4="",'Data Entry'!$E5023='Visual SPC'!$I$4),OR('Visual SPC'!$K$4="",'Data Entry'!$F5023='Visual SPC'!$K$4)),1,0))</f>
        <v/>
      </c>
      <c r="C5023">
        <f>C5022+B5023</f>
        <v/>
      </c>
      <c r="D5023">
        <f>IF(B5023=1,INDEX('Data Entry'!$H$5:$BE$10004,5023-4,'Visual SPC'!$B$3),"")</f>
        <v/>
      </c>
      <c r="E5023">
        <f>IF(B5023=1,D5023,E5022)</f>
        <v/>
      </c>
      <c r="F5023">
        <f>IF(AND(B5023=1,C5023&gt;1,E5022&lt;&gt;""),ABS(D5023-E5022),"")</f>
        <v/>
      </c>
    </row>
    <row r="5024">
      <c r="A5024" t="n">
        <v>5024</v>
      </c>
      <c r="B5024">
        <f>IF(INDEX('Data Entry'!$H$5:$BE$10004,5024-4,'Visual SPC'!$B$3)="",0,IF(AND(OR('Visual SPC'!$C$4="",'Data Entry'!$C5024&gt;='Visual SPC'!$C$4),OR('Visual SPC'!$E$4="",'Data Entry'!$C5024&lt;='Visual SPC'!$E$4),OR('Visual SPC'!$G$4="",'Data Entry'!$D5024='Visual SPC'!$G$4),OR('Visual SPC'!$I$4="",'Data Entry'!$E5024='Visual SPC'!$I$4),OR('Visual SPC'!$K$4="",'Data Entry'!$F5024='Visual SPC'!$K$4)),1,0))</f>
        <v/>
      </c>
      <c r="C5024">
        <f>C5023+B5024</f>
        <v/>
      </c>
      <c r="D5024">
        <f>IF(B5024=1,INDEX('Data Entry'!$H$5:$BE$10004,5024-4,'Visual SPC'!$B$3),"")</f>
        <v/>
      </c>
      <c r="E5024">
        <f>IF(B5024=1,D5024,E5023)</f>
        <v/>
      </c>
      <c r="F5024">
        <f>IF(AND(B5024=1,C5024&gt;1,E5023&lt;&gt;""),ABS(D5024-E5023),"")</f>
        <v/>
      </c>
    </row>
    <row r="5025">
      <c r="A5025" t="n">
        <v>5025</v>
      </c>
      <c r="B5025">
        <f>IF(INDEX('Data Entry'!$H$5:$BE$10004,5025-4,'Visual SPC'!$B$3)="",0,IF(AND(OR('Visual SPC'!$C$4="",'Data Entry'!$C5025&gt;='Visual SPC'!$C$4),OR('Visual SPC'!$E$4="",'Data Entry'!$C5025&lt;='Visual SPC'!$E$4),OR('Visual SPC'!$G$4="",'Data Entry'!$D5025='Visual SPC'!$G$4),OR('Visual SPC'!$I$4="",'Data Entry'!$E5025='Visual SPC'!$I$4),OR('Visual SPC'!$K$4="",'Data Entry'!$F5025='Visual SPC'!$K$4)),1,0))</f>
        <v/>
      </c>
      <c r="C5025">
        <f>C5024+B5025</f>
        <v/>
      </c>
      <c r="D5025">
        <f>IF(B5025=1,INDEX('Data Entry'!$H$5:$BE$10004,5025-4,'Visual SPC'!$B$3),"")</f>
        <v/>
      </c>
      <c r="E5025">
        <f>IF(B5025=1,D5025,E5024)</f>
        <v/>
      </c>
      <c r="F5025">
        <f>IF(AND(B5025=1,C5025&gt;1,E5024&lt;&gt;""),ABS(D5025-E5024),"")</f>
        <v/>
      </c>
    </row>
    <row r="5026">
      <c r="A5026" t="n">
        <v>5026</v>
      </c>
      <c r="B5026">
        <f>IF(INDEX('Data Entry'!$H$5:$BE$10004,5026-4,'Visual SPC'!$B$3)="",0,IF(AND(OR('Visual SPC'!$C$4="",'Data Entry'!$C5026&gt;='Visual SPC'!$C$4),OR('Visual SPC'!$E$4="",'Data Entry'!$C5026&lt;='Visual SPC'!$E$4),OR('Visual SPC'!$G$4="",'Data Entry'!$D5026='Visual SPC'!$G$4),OR('Visual SPC'!$I$4="",'Data Entry'!$E5026='Visual SPC'!$I$4),OR('Visual SPC'!$K$4="",'Data Entry'!$F5026='Visual SPC'!$K$4)),1,0))</f>
        <v/>
      </c>
      <c r="C5026">
        <f>C5025+B5026</f>
        <v/>
      </c>
      <c r="D5026">
        <f>IF(B5026=1,INDEX('Data Entry'!$H$5:$BE$10004,5026-4,'Visual SPC'!$B$3),"")</f>
        <v/>
      </c>
      <c r="E5026">
        <f>IF(B5026=1,D5026,E5025)</f>
        <v/>
      </c>
      <c r="F5026">
        <f>IF(AND(B5026=1,C5026&gt;1,E5025&lt;&gt;""),ABS(D5026-E5025),"")</f>
        <v/>
      </c>
    </row>
    <row r="5027">
      <c r="A5027" t="n">
        <v>5027</v>
      </c>
      <c r="B5027">
        <f>IF(INDEX('Data Entry'!$H$5:$BE$10004,5027-4,'Visual SPC'!$B$3)="",0,IF(AND(OR('Visual SPC'!$C$4="",'Data Entry'!$C5027&gt;='Visual SPC'!$C$4),OR('Visual SPC'!$E$4="",'Data Entry'!$C5027&lt;='Visual SPC'!$E$4),OR('Visual SPC'!$G$4="",'Data Entry'!$D5027='Visual SPC'!$G$4),OR('Visual SPC'!$I$4="",'Data Entry'!$E5027='Visual SPC'!$I$4),OR('Visual SPC'!$K$4="",'Data Entry'!$F5027='Visual SPC'!$K$4)),1,0))</f>
        <v/>
      </c>
      <c r="C5027">
        <f>C5026+B5027</f>
        <v/>
      </c>
      <c r="D5027">
        <f>IF(B5027=1,INDEX('Data Entry'!$H$5:$BE$10004,5027-4,'Visual SPC'!$B$3),"")</f>
        <v/>
      </c>
      <c r="E5027">
        <f>IF(B5027=1,D5027,E5026)</f>
        <v/>
      </c>
      <c r="F5027">
        <f>IF(AND(B5027=1,C5027&gt;1,E5026&lt;&gt;""),ABS(D5027-E5026),"")</f>
        <v/>
      </c>
    </row>
    <row r="5028">
      <c r="A5028" t="n">
        <v>5028</v>
      </c>
      <c r="B5028">
        <f>IF(INDEX('Data Entry'!$H$5:$BE$10004,5028-4,'Visual SPC'!$B$3)="",0,IF(AND(OR('Visual SPC'!$C$4="",'Data Entry'!$C5028&gt;='Visual SPC'!$C$4),OR('Visual SPC'!$E$4="",'Data Entry'!$C5028&lt;='Visual SPC'!$E$4),OR('Visual SPC'!$G$4="",'Data Entry'!$D5028='Visual SPC'!$G$4),OR('Visual SPC'!$I$4="",'Data Entry'!$E5028='Visual SPC'!$I$4),OR('Visual SPC'!$K$4="",'Data Entry'!$F5028='Visual SPC'!$K$4)),1,0))</f>
        <v/>
      </c>
      <c r="C5028">
        <f>C5027+B5028</f>
        <v/>
      </c>
      <c r="D5028">
        <f>IF(B5028=1,INDEX('Data Entry'!$H$5:$BE$10004,5028-4,'Visual SPC'!$B$3),"")</f>
        <v/>
      </c>
      <c r="E5028">
        <f>IF(B5028=1,D5028,E5027)</f>
        <v/>
      </c>
      <c r="F5028">
        <f>IF(AND(B5028=1,C5028&gt;1,E5027&lt;&gt;""),ABS(D5028-E5027),"")</f>
        <v/>
      </c>
    </row>
    <row r="5029">
      <c r="A5029" t="n">
        <v>5029</v>
      </c>
      <c r="B5029">
        <f>IF(INDEX('Data Entry'!$H$5:$BE$10004,5029-4,'Visual SPC'!$B$3)="",0,IF(AND(OR('Visual SPC'!$C$4="",'Data Entry'!$C5029&gt;='Visual SPC'!$C$4),OR('Visual SPC'!$E$4="",'Data Entry'!$C5029&lt;='Visual SPC'!$E$4),OR('Visual SPC'!$G$4="",'Data Entry'!$D5029='Visual SPC'!$G$4),OR('Visual SPC'!$I$4="",'Data Entry'!$E5029='Visual SPC'!$I$4),OR('Visual SPC'!$K$4="",'Data Entry'!$F5029='Visual SPC'!$K$4)),1,0))</f>
        <v/>
      </c>
      <c r="C5029">
        <f>C5028+B5029</f>
        <v/>
      </c>
      <c r="D5029">
        <f>IF(B5029=1,INDEX('Data Entry'!$H$5:$BE$10004,5029-4,'Visual SPC'!$B$3),"")</f>
        <v/>
      </c>
      <c r="E5029">
        <f>IF(B5029=1,D5029,E5028)</f>
        <v/>
      </c>
      <c r="F5029">
        <f>IF(AND(B5029=1,C5029&gt;1,E5028&lt;&gt;""),ABS(D5029-E5028),"")</f>
        <v/>
      </c>
    </row>
    <row r="5030">
      <c r="A5030" t="n">
        <v>5030</v>
      </c>
      <c r="B5030">
        <f>IF(INDEX('Data Entry'!$H$5:$BE$10004,5030-4,'Visual SPC'!$B$3)="",0,IF(AND(OR('Visual SPC'!$C$4="",'Data Entry'!$C5030&gt;='Visual SPC'!$C$4),OR('Visual SPC'!$E$4="",'Data Entry'!$C5030&lt;='Visual SPC'!$E$4),OR('Visual SPC'!$G$4="",'Data Entry'!$D5030='Visual SPC'!$G$4),OR('Visual SPC'!$I$4="",'Data Entry'!$E5030='Visual SPC'!$I$4),OR('Visual SPC'!$K$4="",'Data Entry'!$F5030='Visual SPC'!$K$4)),1,0))</f>
        <v/>
      </c>
      <c r="C5030">
        <f>C5029+B5030</f>
        <v/>
      </c>
      <c r="D5030">
        <f>IF(B5030=1,INDEX('Data Entry'!$H$5:$BE$10004,5030-4,'Visual SPC'!$B$3),"")</f>
        <v/>
      </c>
      <c r="E5030">
        <f>IF(B5030=1,D5030,E5029)</f>
        <v/>
      </c>
      <c r="F5030">
        <f>IF(AND(B5030=1,C5030&gt;1,E5029&lt;&gt;""),ABS(D5030-E5029),"")</f>
        <v/>
      </c>
    </row>
    <row r="5031">
      <c r="A5031" t="n">
        <v>5031</v>
      </c>
      <c r="B5031">
        <f>IF(INDEX('Data Entry'!$H$5:$BE$10004,5031-4,'Visual SPC'!$B$3)="",0,IF(AND(OR('Visual SPC'!$C$4="",'Data Entry'!$C5031&gt;='Visual SPC'!$C$4),OR('Visual SPC'!$E$4="",'Data Entry'!$C5031&lt;='Visual SPC'!$E$4),OR('Visual SPC'!$G$4="",'Data Entry'!$D5031='Visual SPC'!$G$4),OR('Visual SPC'!$I$4="",'Data Entry'!$E5031='Visual SPC'!$I$4),OR('Visual SPC'!$K$4="",'Data Entry'!$F5031='Visual SPC'!$K$4)),1,0))</f>
        <v/>
      </c>
      <c r="C5031">
        <f>C5030+B5031</f>
        <v/>
      </c>
      <c r="D5031">
        <f>IF(B5031=1,INDEX('Data Entry'!$H$5:$BE$10004,5031-4,'Visual SPC'!$B$3),"")</f>
        <v/>
      </c>
      <c r="E5031">
        <f>IF(B5031=1,D5031,E5030)</f>
        <v/>
      </c>
      <c r="F5031">
        <f>IF(AND(B5031=1,C5031&gt;1,E5030&lt;&gt;""),ABS(D5031-E5030),"")</f>
        <v/>
      </c>
    </row>
    <row r="5032">
      <c r="A5032" t="n">
        <v>5032</v>
      </c>
      <c r="B5032">
        <f>IF(INDEX('Data Entry'!$H$5:$BE$10004,5032-4,'Visual SPC'!$B$3)="",0,IF(AND(OR('Visual SPC'!$C$4="",'Data Entry'!$C5032&gt;='Visual SPC'!$C$4),OR('Visual SPC'!$E$4="",'Data Entry'!$C5032&lt;='Visual SPC'!$E$4),OR('Visual SPC'!$G$4="",'Data Entry'!$D5032='Visual SPC'!$G$4),OR('Visual SPC'!$I$4="",'Data Entry'!$E5032='Visual SPC'!$I$4),OR('Visual SPC'!$K$4="",'Data Entry'!$F5032='Visual SPC'!$K$4)),1,0))</f>
        <v/>
      </c>
      <c r="C5032">
        <f>C5031+B5032</f>
        <v/>
      </c>
      <c r="D5032">
        <f>IF(B5032=1,INDEX('Data Entry'!$H$5:$BE$10004,5032-4,'Visual SPC'!$B$3),"")</f>
        <v/>
      </c>
      <c r="E5032">
        <f>IF(B5032=1,D5032,E5031)</f>
        <v/>
      </c>
      <c r="F5032">
        <f>IF(AND(B5032=1,C5032&gt;1,E5031&lt;&gt;""),ABS(D5032-E5031),"")</f>
        <v/>
      </c>
    </row>
    <row r="5033">
      <c r="A5033" t="n">
        <v>5033</v>
      </c>
      <c r="B5033">
        <f>IF(INDEX('Data Entry'!$H$5:$BE$10004,5033-4,'Visual SPC'!$B$3)="",0,IF(AND(OR('Visual SPC'!$C$4="",'Data Entry'!$C5033&gt;='Visual SPC'!$C$4),OR('Visual SPC'!$E$4="",'Data Entry'!$C5033&lt;='Visual SPC'!$E$4),OR('Visual SPC'!$G$4="",'Data Entry'!$D5033='Visual SPC'!$G$4),OR('Visual SPC'!$I$4="",'Data Entry'!$E5033='Visual SPC'!$I$4),OR('Visual SPC'!$K$4="",'Data Entry'!$F5033='Visual SPC'!$K$4)),1,0))</f>
        <v/>
      </c>
      <c r="C5033">
        <f>C5032+B5033</f>
        <v/>
      </c>
      <c r="D5033">
        <f>IF(B5033=1,INDEX('Data Entry'!$H$5:$BE$10004,5033-4,'Visual SPC'!$B$3),"")</f>
        <v/>
      </c>
      <c r="E5033">
        <f>IF(B5033=1,D5033,E5032)</f>
        <v/>
      </c>
      <c r="F5033">
        <f>IF(AND(B5033=1,C5033&gt;1,E5032&lt;&gt;""),ABS(D5033-E5032),"")</f>
        <v/>
      </c>
    </row>
    <row r="5034">
      <c r="A5034" t="n">
        <v>5034</v>
      </c>
      <c r="B5034">
        <f>IF(INDEX('Data Entry'!$H$5:$BE$10004,5034-4,'Visual SPC'!$B$3)="",0,IF(AND(OR('Visual SPC'!$C$4="",'Data Entry'!$C5034&gt;='Visual SPC'!$C$4),OR('Visual SPC'!$E$4="",'Data Entry'!$C5034&lt;='Visual SPC'!$E$4),OR('Visual SPC'!$G$4="",'Data Entry'!$D5034='Visual SPC'!$G$4),OR('Visual SPC'!$I$4="",'Data Entry'!$E5034='Visual SPC'!$I$4),OR('Visual SPC'!$K$4="",'Data Entry'!$F5034='Visual SPC'!$K$4)),1,0))</f>
        <v/>
      </c>
      <c r="C5034">
        <f>C5033+B5034</f>
        <v/>
      </c>
      <c r="D5034">
        <f>IF(B5034=1,INDEX('Data Entry'!$H$5:$BE$10004,5034-4,'Visual SPC'!$B$3),"")</f>
        <v/>
      </c>
      <c r="E5034">
        <f>IF(B5034=1,D5034,E5033)</f>
        <v/>
      </c>
      <c r="F5034">
        <f>IF(AND(B5034=1,C5034&gt;1,E5033&lt;&gt;""),ABS(D5034-E5033),"")</f>
        <v/>
      </c>
    </row>
    <row r="5035">
      <c r="A5035" t="n">
        <v>5035</v>
      </c>
      <c r="B5035">
        <f>IF(INDEX('Data Entry'!$H$5:$BE$10004,5035-4,'Visual SPC'!$B$3)="",0,IF(AND(OR('Visual SPC'!$C$4="",'Data Entry'!$C5035&gt;='Visual SPC'!$C$4),OR('Visual SPC'!$E$4="",'Data Entry'!$C5035&lt;='Visual SPC'!$E$4),OR('Visual SPC'!$G$4="",'Data Entry'!$D5035='Visual SPC'!$G$4),OR('Visual SPC'!$I$4="",'Data Entry'!$E5035='Visual SPC'!$I$4),OR('Visual SPC'!$K$4="",'Data Entry'!$F5035='Visual SPC'!$K$4)),1,0))</f>
        <v/>
      </c>
      <c r="C5035">
        <f>C5034+B5035</f>
        <v/>
      </c>
      <c r="D5035">
        <f>IF(B5035=1,INDEX('Data Entry'!$H$5:$BE$10004,5035-4,'Visual SPC'!$B$3),"")</f>
        <v/>
      </c>
      <c r="E5035">
        <f>IF(B5035=1,D5035,E5034)</f>
        <v/>
      </c>
      <c r="F5035">
        <f>IF(AND(B5035=1,C5035&gt;1,E5034&lt;&gt;""),ABS(D5035-E5034),"")</f>
        <v/>
      </c>
    </row>
    <row r="5036">
      <c r="A5036" t="n">
        <v>5036</v>
      </c>
      <c r="B5036">
        <f>IF(INDEX('Data Entry'!$H$5:$BE$10004,5036-4,'Visual SPC'!$B$3)="",0,IF(AND(OR('Visual SPC'!$C$4="",'Data Entry'!$C5036&gt;='Visual SPC'!$C$4),OR('Visual SPC'!$E$4="",'Data Entry'!$C5036&lt;='Visual SPC'!$E$4),OR('Visual SPC'!$G$4="",'Data Entry'!$D5036='Visual SPC'!$G$4),OR('Visual SPC'!$I$4="",'Data Entry'!$E5036='Visual SPC'!$I$4),OR('Visual SPC'!$K$4="",'Data Entry'!$F5036='Visual SPC'!$K$4)),1,0))</f>
        <v/>
      </c>
      <c r="C5036">
        <f>C5035+B5036</f>
        <v/>
      </c>
      <c r="D5036">
        <f>IF(B5036=1,INDEX('Data Entry'!$H$5:$BE$10004,5036-4,'Visual SPC'!$B$3),"")</f>
        <v/>
      </c>
      <c r="E5036">
        <f>IF(B5036=1,D5036,E5035)</f>
        <v/>
      </c>
      <c r="F5036">
        <f>IF(AND(B5036=1,C5036&gt;1,E5035&lt;&gt;""),ABS(D5036-E5035),"")</f>
        <v/>
      </c>
    </row>
    <row r="5037">
      <c r="A5037" t="n">
        <v>5037</v>
      </c>
      <c r="B5037">
        <f>IF(INDEX('Data Entry'!$H$5:$BE$10004,5037-4,'Visual SPC'!$B$3)="",0,IF(AND(OR('Visual SPC'!$C$4="",'Data Entry'!$C5037&gt;='Visual SPC'!$C$4),OR('Visual SPC'!$E$4="",'Data Entry'!$C5037&lt;='Visual SPC'!$E$4),OR('Visual SPC'!$G$4="",'Data Entry'!$D5037='Visual SPC'!$G$4),OR('Visual SPC'!$I$4="",'Data Entry'!$E5037='Visual SPC'!$I$4),OR('Visual SPC'!$K$4="",'Data Entry'!$F5037='Visual SPC'!$K$4)),1,0))</f>
        <v/>
      </c>
      <c r="C5037">
        <f>C5036+B5037</f>
        <v/>
      </c>
      <c r="D5037">
        <f>IF(B5037=1,INDEX('Data Entry'!$H$5:$BE$10004,5037-4,'Visual SPC'!$B$3),"")</f>
        <v/>
      </c>
      <c r="E5037">
        <f>IF(B5037=1,D5037,E5036)</f>
        <v/>
      </c>
      <c r="F5037">
        <f>IF(AND(B5037=1,C5037&gt;1,E5036&lt;&gt;""),ABS(D5037-E5036),"")</f>
        <v/>
      </c>
    </row>
    <row r="5038">
      <c r="A5038" t="n">
        <v>5038</v>
      </c>
      <c r="B5038">
        <f>IF(INDEX('Data Entry'!$H$5:$BE$10004,5038-4,'Visual SPC'!$B$3)="",0,IF(AND(OR('Visual SPC'!$C$4="",'Data Entry'!$C5038&gt;='Visual SPC'!$C$4),OR('Visual SPC'!$E$4="",'Data Entry'!$C5038&lt;='Visual SPC'!$E$4),OR('Visual SPC'!$G$4="",'Data Entry'!$D5038='Visual SPC'!$G$4),OR('Visual SPC'!$I$4="",'Data Entry'!$E5038='Visual SPC'!$I$4),OR('Visual SPC'!$K$4="",'Data Entry'!$F5038='Visual SPC'!$K$4)),1,0))</f>
        <v/>
      </c>
      <c r="C5038">
        <f>C5037+B5038</f>
        <v/>
      </c>
      <c r="D5038">
        <f>IF(B5038=1,INDEX('Data Entry'!$H$5:$BE$10004,5038-4,'Visual SPC'!$B$3),"")</f>
        <v/>
      </c>
      <c r="E5038">
        <f>IF(B5038=1,D5038,E5037)</f>
        <v/>
      </c>
      <c r="F5038">
        <f>IF(AND(B5038=1,C5038&gt;1,E5037&lt;&gt;""),ABS(D5038-E5037),"")</f>
        <v/>
      </c>
    </row>
    <row r="5039">
      <c r="A5039" t="n">
        <v>5039</v>
      </c>
      <c r="B5039">
        <f>IF(INDEX('Data Entry'!$H$5:$BE$10004,5039-4,'Visual SPC'!$B$3)="",0,IF(AND(OR('Visual SPC'!$C$4="",'Data Entry'!$C5039&gt;='Visual SPC'!$C$4),OR('Visual SPC'!$E$4="",'Data Entry'!$C5039&lt;='Visual SPC'!$E$4),OR('Visual SPC'!$G$4="",'Data Entry'!$D5039='Visual SPC'!$G$4),OR('Visual SPC'!$I$4="",'Data Entry'!$E5039='Visual SPC'!$I$4),OR('Visual SPC'!$K$4="",'Data Entry'!$F5039='Visual SPC'!$K$4)),1,0))</f>
        <v/>
      </c>
      <c r="C5039">
        <f>C5038+B5039</f>
        <v/>
      </c>
      <c r="D5039">
        <f>IF(B5039=1,INDEX('Data Entry'!$H$5:$BE$10004,5039-4,'Visual SPC'!$B$3),"")</f>
        <v/>
      </c>
      <c r="E5039">
        <f>IF(B5039=1,D5039,E5038)</f>
        <v/>
      </c>
      <c r="F5039">
        <f>IF(AND(B5039=1,C5039&gt;1,E5038&lt;&gt;""),ABS(D5039-E5038),"")</f>
        <v/>
      </c>
    </row>
    <row r="5040">
      <c r="A5040" t="n">
        <v>5040</v>
      </c>
      <c r="B5040">
        <f>IF(INDEX('Data Entry'!$H$5:$BE$10004,5040-4,'Visual SPC'!$B$3)="",0,IF(AND(OR('Visual SPC'!$C$4="",'Data Entry'!$C5040&gt;='Visual SPC'!$C$4),OR('Visual SPC'!$E$4="",'Data Entry'!$C5040&lt;='Visual SPC'!$E$4),OR('Visual SPC'!$G$4="",'Data Entry'!$D5040='Visual SPC'!$G$4),OR('Visual SPC'!$I$4="",'Data Entry'!$E5040='Visual SPC'!$I$4),OR('Visual SPC'!$K$4="",'Data Entry'!$F5040='Visual SPC'!$K$4)),1,0))</f>
        <v/>
      </c>
      <c r="C5040">
        <f>C5039+B5040</f>
        <v/>
      </c>
      <c r="D5040">
        <f>IF(B5040=1,INDEX('Data Entry'!$H$5:$BE$10004,5040-4,'Visual SPC'!$B$3),"")</f>
        <v/>
      </c>
      <c r="E5040">
        <f>IF(B5040=1,D5040,E5039)</f>
        <v/>
      </c>
      <c r="F5040">
        <f>IF(AND(B5040=1,C5040&gt;1,E5039&lt;&gt;""),ABS(D5040-E5039),"")</f>
        <v/>
      </c>
    </row>
    <row r="5041">
      <c r="A5041" t="n">
        <v>5041</v>
      </c>
      <c r="B5041">
        <f>IF(INDEX('Data Entry'!$H$5:$BE$10004,5041-4,'Visual SPC'!$B$3)="",0,IF(AND(OR('Visual SPC'!$C$4="",'Data Entry'!$C5041&gt;='Visual SPC'!$C$4),OR('Visual SPC'!$E$4="",'Data Entry'!$C5041&lt;='Visual SPC'!$E$4),OR('Visual SPC'!$G$4="",'Data Entry'!$D5041='Visual SPC'!$G$4),OR('Visual SPC'!$I$4="",'Data Entry'!$E5041='Visual SPC'!$I$4),OR('Visual SPC'!$K$4="",'Data Entry'!$F5041='Visual SPC'!$K$4)),1,0))</f>
        <v/>
      </c>
      <c r="C5041">
        <f>C5040+B5041</f>
        <v/>
      </c>
      <c r="D5041">
        <f>IF(B5041=1,INDEX('Data Entry'!$H$5:$BE$10004,5041-4,'Visual SPC'!$B$3),"")</f>
        <v/>
      </c>
      <c r="E5041">
        <f>IF(B5041=1,D5041,E5040)</f>
        <v/>
      </c>
      <c r="F5041">
        <f>IF(AND(B5041=1,C5041&gt;1,E5040&lt;&gt;""),ABS(D5041-E5040),"")</f>
        <v/>
      </c>
    </row>
    <row r="5042">
      <c r="A5042" t="n">
        <v>5042</v>
      </c>
      <c r="B5042">
        <f>IF(INDEX('Data Entry'!$H$5:$BE$10004,5042-4,'Visual SPC'!$B$3)="",0,IF(AND(OR('Visual SPC'!$C$4="",'Data Entry'!$C5042&gt;='Visual SPC'!$C$4),OR('Visual SPC'!$E$4="",'Data Entry'!$C5042&lt;='Visual SPC'!$E$4),OR('Visual SPC'!$G$4="",'Data Entry'!$D5042='Visual SPC'!$G$4),OR('Visual SPC'!$I$4="",'Data Entry'!$E5042='Visual SPC'!$I$4),OR('Visual SPC'!$K$4="",'Data Entry'!$F5042='Visual SPC'!$K$4)),1,0))</f>
        <v/>
      </c>
      <c r="C5042">
        <f>C5041+B5042</f>
        <v/>
      </c>
      <c r="D5042">
        <f>IF(B5042=1,INDEX('Data Entry'!$H$5:$BE$10004,5042-4,'Visual SPC'!$B$3),"")</f>
        <v/>
      </c>
      <c r="E5042">
        <f>IF(B5042=1,D5042,E5041)</f>
        <v/>
      </c>
      <c r="F5042">
        <f>IF(AND(B5042=1,C5042&gt;1,E5041&lt;&gt;""),ABS(D5042-E5041),"")</f>
        <v/>
      </c>
    </row>
    <row r="5043">
      <c r="A5043" t="n">
        <v>5043</v>
      </c>
      <c r="B5043">
        <f>IF(INDEX('Data Entry'!$H$5:$BE$10004,5043-4,'Visual SPC'!$B$3)="",0,IF(AND(OR('Visual SPC'!$C$4="",'Data Entry'!$C5043&gt;='Visual SPC'!$C$4),OR('Visual SPC'!$E$4="",'Data Entry'!$C5043&lt;='Visual SPC'!$E$4),OR('Visual SPC'!$G$4="",'Data Entry'!$D5043='Visual SPC'!$G$4),OR('Visual SPC'!$I$4="",'Data Entry'!$E5043='Visual SPC'!$I$4),OR('Visual SPC'!$K$4="",'Data Entry'!$F5043='Visual SPC'!$K$4)),1,0))</f>
        <v/>
      </c>
      <c r="C5043">
        <f>C5042+B5043</f>
        <v/>
      </c>
      <c r="D5043">
        <f>IF(B5043=1,INDEX('Data Entry'!$H$5:$BE$10004,5043-4,'Visual SPC'!$B$3),"")</f>
        <v/>
      </c>
      <c r="E5043">
        <f>IF(B5043=1,D5043,E5042)</f>
        <v/>
      </c>
      <c r="F5043">
        <f>IF(AND(B5043=1,C5043&gt;1,E5042&lt;&gt;""),ABS(D5043-E5042),"")</f>
        <v/>
      </c>
    </row>
    <row r="5044">
      <c r="A5044" t="n">
        <v>5044</v>
      </c>
      <c r="B5044">
        <f>IF(INDEX('Data Entry'!$H$5:$BE$10004,5044-4,'Visual SPC'!$B$3)="",0,IF(AND(OR('Visual SPC'!$C$4="",'Data Entry'!$C5044&gt;='Visual SPC'!$C$4),OR('Visual SPC'!$E$4="",'Data Entry'!$C5044&lt;='Visual SPC'!$E$4),OR('Visual SPC'!$G$4="",'Data Entry'!$D5044='Visual SPC'!$G$4),OR('Visual SPC'!$I$4="",'Data Entry'!$E5044='Visual SPC'!$I$4),OR('Visual SPC'!$K$4="",'Data Entry'!$F5044='Visual SPC'!$K$4)),1,0))</f>
        <v/>
      </c>
      <c r="C5044">
        <f>C5043+B5044</f>
        <v/>
      </c>
      <c r="D5044">
        <f>IF(B5044=1,INDEX('Data Entry'!$H$5:$BE$10004,5044-4,'Visual SPC'!$B$3),"")</f>
        <v/>
      </c>
      <c r="E5044">
        <f>IF(B5044=1,D5044,E5043)</f>
        <v/>
      </c>
      <c r="F5044">
        <f>IF(AND(B5044=1,C5044&gt;1,E5043&lt;&gt;""),ABS(D5044-E5043),"")</f>
        <v/>
      </c>
    </row>
    <row r="5045">
      <c r="A5045" t="n">
        <v>5045</v>
      </c>
      <c r="B5045">
        <f>IF(INDEX('Data Entry'!$H$5:$BE$10004,5045-4,'Visual SPC'!$B$3)="",0,IF(AND(OR('Visual SPC'!$C$4="",'Data Entry'!$C5045&gt;='Visual SPC'!$C$4),OR('Visual SPC'!$E$4="",'Data Entry'!$C5045&lt;='Visual SPC'!$E$4),OR('Visual SPC'!$G$4="",'Data Entry'!$D5045='Visual SPC'!$G$4),OR('Visual SPC'!$I$4="",'Data Entry'!$E5045='Visual SPC'!$I$4),OR('Visual SPC'!$K$4="",'Data Entry'!$F5045='Visual SPC'!$K$4)),1,0))</f>
        <v/>
      </c>
      <c r="C5045">
        <f>C5044+B5045</f>
        <v/>
      </c>
      <c r="D5045">
        <f>IF(B5045=1,INDEX('Data Entry'!$H$5:$BE$10004,5045-4,'Visual SPC'!$B$3),"")</f>
        <v/>
      </c>
      <c r="E5045">
        <f>IF(B5045=1,D5045,E5044)</f>
        <v/>
      </c>
      <c r="F5045">
        <f>IF(AND(B5045=1,C5045&gt;1,E5044&lt;&gt;""),ABS(D5045-E5044),"")</f>
        <v/>
      </c>
    </row>
    <row r="5046">
      <c r="A5046" t="n">
        <v>5046</v>
      </c>
      <c r="B5046">
        <f>IF(INDEX('Data Entry'!$H$5:$BE$10004,5046-4,'Visual SPC'!$B$3)="",0,IF(AND(OR('Visual SPC'!$C$4="",'Data Entry'!$C5046&gt;='Visual SPC'!$C$4),OR('Visual SPC'!$E$4="",'Data Entry'!$C5046&lt;='Visual SPC'!$E$4),OR('Visual SPC'!$G$4="",'Data Entry'!$D5046='Visual SPC'!$G$4),OR('Visual SPC'!$I$4="",'Data Entry'!$E5046='Visual SPC'!$I$4),OR('Visual SPC'!$K$4="",'Data Entry'!$F5046='Visual SPC'!$K$4)),1,0))</f>
        <v/>
      </c>
      <c r="C5046">
        <f>C5045+B5046</f>
        <v/>
      </c>
      <c r="D5046">
        <f>IF(B5046=1,INDEX('Data Entry'!$H$5:$BE$10004,5046-4,'Visual SPC'!$B$3),"")</f>
        <v/>
      </c>
      <c r="E5046">
        <f>IF(B5046=1,D5046,E5045)</f>
        <v/>
      </c>
      <c r="F5046">
        <f>IF(AND(B5046=1,C5046&gt;1,E5045&lt;&gt;""),ABS(D5046-E5045),"")</f>
        <v/>
      </c>
    </row>
    <row r="5047">
      <c r="A5047" t="n">
        <v>5047</v>
      </c>
      <c r="B5047">
        <f>IF(INDEX('Data Entry'!$H$5:$BE$10004,5047-4,'Visual SPC'!$B$3)="",0,IF(AND(OR('Visual SPC'!$C$4="",'Data Entry'!$C5047&gt;='Visual SPC'!$C$4),OR('Visual SPC'!$E$4="",'Data Entry'!$C5047&lt;='Visual SPC'!$E$4),OR('Visual SPC'!$G$4="",'Data Entry'!$D5047='Visual SPC'!$G$4),OR('Visual SPC'!$I$4="",'Data Entry'!$E5047='Visual SPC'!$I$4),OR('Visual SPC'!$K$4="",'Data Entry'!$F5047='Visual SPC'!$K$4)),1,0))</f>
        <v/>
      </c>
      <c r="C5047">
        <f>C5046+B5047</f>
        <v/>
      </c>
      <c r="D5047">
        <f>IF(B5047=1,INDEX('Data Entry'!$H$5:$BE$10004,5047-4,'Visual SPC'!$B$3),"")</f>
        <v/>
      </c>
      <c r="E5047">
        <f>IF(B5047=1,D5047,E5046)</f>
        <v/>
      </c>
      <c r="F5047">
        <f>IF(AND(B5047=1,C5047&gt;1,E5046&lt;&gt;""),ABS(D5047-E5046),"")</f>
        <v/>
      </c>
    </row>
    <row r="5048">
      <c r="A5048" t="n">
        <v>5048</v>
      </c>
      <c r="B5048">
        <f>IF(INDEX('Data Entry'!$H$5:$BE$10004,5048-4,'Visual SPC'!$B$3)="",0,IF(AND(OR('Visual SPC'!$C$4="",'Data Entry'!$C5048&gt;='Visual SPC'!$C$4),OR('Visual SPC'!$E$4="",'Data Entry'!$C5048&lt;='Visual SPC'!$E$4),OR('Visual SPC'!$G$4="",'Data Entry'!$D5048='Visual SPC'!$G$4),OR('Visual SPC'!$I$4="",'Data Entry'!$E5048='Visual SPC'!$I$4),OR('Visual SPC'!$K$4="",'Data Entry'!$F5048='Visual SPC'!$K$4)),1,0))</f>
        <v/>
      </c>
      <c r="C5048">
        <f>C5047+B5048</f>
        <v/>
      </c>
      <c r="D5048">
        <f>IF(B5048=1,INDEX('Data Entry'!$H$5:$BE$10004,5048-4,'Visual SPC'!$B$3),"")</f>
        <v/>
      </c>
      <c r="E5048">
        <f>IF(B5048=1,D5048,E5047)</f>
        <v/>
      </c>
      <c r="F5048">
        <f>IF(AND(B5048=1,C5048&gt;1,E5047&lt;&gt;""),ABS(D5048-E5047),"")</f>
        <v/>
      </c>
    </row>
    <row r="5049">
      <c r="A5049" t="n">
        <v>5049</v>
      </c>
      <c r="B5049">
        <f>IF(INDEX('Data Entry'!$H$5:$BE$10004,5049-4,'Visual SPC'!$B$3)="",0,IF(AND(OR('Visual SPC'!$C$4="",'Data Entry'!$C5049&gt;='Visual SPC'!$C$4),OR('Visual SPC'!$E$4="",'Data Entry'!$C5049&lt;='Visual SPC'!$E$4),OR('Visual SPC'!$G$4="",'Data Entry'!$D5049='Visual SPC'!$G$4),OR('Visual SPC'!$I$4="",'Data Entry'!$E5049='Visual SPC'!$I$4),OR('Visual SPC'!$K$4="",'Data Entry'!$F5049='Visual SPC'!$K$4)),1,0))</f>
        <v/>
      </c>
      <c r="C5049">
        <f>C5048+B5049</f>
        <v/>
      </c>
      <c r="D5049">
        <f>IF(B5049=1,INDEX('Data Entry'!$H$5:$BE$10004,5049-4,'Visual SPC'!$B$3),"")</f>
        <v/>
      </c>
      <c r="E5049">
        <f>IF(B5049=1,D5049,E5048)</f>
        <v/>
      </c>
      <c r="F5049">
        <f>IF(AND(B5049=1,C5049&gt;1,E5048&lt;&gt;""),ABS(D5049-E5048),"")</f>
        <v/>
      </c>
    </row>
    <row r="5050">
      <c r="A5050" t="n">
        <v>5050</v>
      </c>
      <c r="B5050">
        <f>IF(INDEX('Data Entry'!$H$5:$BE$10004,5050-4,'Visual SPC'!$B$3)="",0,IF(AND(OR('Visual SPC'!$C$4="",'Data Entry'!$C5050&gt;='Visual SPC'!$C$4),OR('Visual SPC'!$E$4="",'Data Entry'!$C5050&lt;='Visual SPC'!$E$4),OR('Visual SPC'!$G$4="",'Data Entry'!$D5050='Visual SPC'!$G$4),OR('Visual SPC'!$I$4="",'Data Entry'!$E5050='Visual SPC'!$I$4),OR('Visual SPC'!$K$4="",'Data Entry'!$F5050='Visual SPC'!$K$4)),1,0))</f>
        <v/>
      </c>
      <c r="C5050">
        <f>C5049+B5050</f>
        <v/>
      </c>
      <c r="D5050">
        <f>IF(B5050=1,INDEX('Data Entry'!$H$5:$BE$10004,5050-4,'Visual SPC'!$B$3),"")</f>
        <v/>
      </c>
      <c r="E5050">
        <f>IF(B5050=1,D5050,E5049)</f>
        <v/>
      </c>
      <c r="F5050">
        <f>IF(AND(B5050=1,C5050&gt;1,E5049&lt;&gt;""),ABS(D5050-E5049),"")</f>
        <v/>
      </c>
    </row>
    <row r="5051">
      <c r="A5051" t="n">
        <v>5051</v>
      </c>
      <c r="B5051">
        <f>IF(INDEX('Data Entry'!$H$5:$BE$10004,5051-4,'Visual SPC'!$B$3)="",0,IF(AND(OR('Visual SPC'!$C$4="",'Data Entry'!$C5051&gt;='Visual SPC'!$C$4),OR('Visual SPC'!$E$4="",'Data Entry'!$C5051&lt;='Visual SPC'!$E$4),OR('Visual SPC'!$G$4="",'Data Entry'!$D5051='Visual SPC'!$G$4),OR('Visual SPC'!$I$4="",'Data Entry'!$E5051='Visual SPC'!$I$4),OR('Visual SPC'!$K$4="",'Data Entry'!$F5051='Visual SPC'!$K$4)),1,0))</f>
        <v/>
      </c>
      <c r="C5051">
        <f>C5050+B5051</f>
        <v/>
      </c>
      <c r="D5051">
        <f>IF(B5051=1,INDEX('Data Entry'!$H$5:$BE$10004,5051-4,'Visual SPC'!$B$3),"")</f>
        <v/>
      </c>
      <c r="E5051">
        <f>IF(B5051=1,D5051,E5050)</f>
        <v/>
      </c>
      <c r="F5051">
        <f>IF(AND(B5051=1,C5051&gt;1,E5050&lt;&gt;""),ABS(D5051-E5050),"")</f>
        <v/>
      </c>
    </row>
    <row r="5052">
      <c r="A5052" t="n">
        <v>5052</v>
      </c>
      <c r="B5052">
        <f>IF(INDEX('Data Entry'!$H$5:$BE$10004,5052-4,'Visual SPC'!$B$3)="",0,IF(AND(OR('Visual SPC'!$C$4="",'Data Entry'!$C5052&gt;='Visual SPC'!$C$4),OR('Visual SPC'!$E$4="",'Data Entry'!$C5052&lt;='Visual SPC'!$E$4),OR('Visual SPC'!$G$4="",'Data Entry'!$D5052='Visual SPC'!$G$4),OR('Visual SPC'!$I$4="",'Data Entry'!$E5052='Visual SPC'!$I$4),OR('Visual SPC'!$K$4="",'Data Entry'!$F5052='Visual SPC'!$K$4)),1,0))</f>
        <v/>
      </c>
      <c r="C5052">
        <f>C5051+B5052</f>
        <v/>
      </c>
      <c r="D5052">
        <f>IF(B5052=1,INDEX('Data Entry'!$H$5:$BE$10004,5052-4,'Visual SPC'!$B$3),"")</f>
        <v/>
      </c>
      <c r="E5052">
        <f>IF(B5052=1,D5052,E5051)</f>
        <v/>
      </c>
      <c r="F5052">
        <f>IF(AND(B5052=1,C5052&gt;1,E5051&lt;&gt;""),ABS(D5052-E5051),"")</f>
        <v/>
      </c>
    </row>
    <row r="5053">
      <c r="A5053" t="n">
        <v>5053</v>
      </c>
      <c r="B5053">
        <f>IF(INDEX('Data Entry'!$H$5:$BE$10004,5053-4,'Visual SPC'!$B$3)="",0,IF(AND(OR('Visual SPC'!$C$4="",'Data Entry'!$C5053&gt;='Visual SPC'!$C$4),OR('Visual SPC'!$E$4="",'Data Entry'!$C5053&lt;='Visual SPC'!$E$4),OR('Visual SPC'!$G$4="",'Data Entry'!$D5053='Visual SPC'!$G$4),OR('Visual SPC'!$I$4="",'Data Entry'!$E5053='Visual SPC'!$I$4),OR('Visual SPC'!$K$4="",'Data Entry'!$F5053='Visual SPC'!$K$4)),1,0))</f>
        <v/>
      </c>
      <c r="C5053">
        <f>C5052+B5053</f>
        <v/>
      </c>
      <c r="D5053">
        <f>IF(B5053=1,INDEX('Data Entry'!$H$5:$BE$10004,5053-4,'Visual SPC'!$B$3),"")</f>
        <v/>
      </c>
      <c r="E5053">
        <f>IF(B5053=1,D5053,E5052)</f>
        <v/>
      </c>
      <c r="F5053">
        <f>IF(AND(B5053=1,C5053&gt;1,E5052&lt;&gt;""),ABS(D5053-E5052),"")</f>
        <v/>
      </c>
    </row>
    <row r="5054">
      <c r="A5054" t="n">
        <v>5054</v>
      </c>
      <c r="B5054">
        <f>IF(INDEX('Data Entry'!$H$5:$BE$10004,5054-4,'Visual SPC'!$B$3)="",0,IF(AND(OR('Visual SPC'!$C$4="",'Data Entry'!$C5054&gt;='Visual SPC'!$C$4),OR('Visual SPC'!$E$4="",'Data Entry'!$C5054&lt;='Visual SPC'!$E$4),OR('Visual SPC'!$G$4="",'Data Entry'!$D5054='Visual SPC'!$G$4),OR('Visual SPC'!$I$4="",'Data Entry'!$E5054='Visual SPC'!$I$4),OR('Visual SPC'!$K$4="",'Data Entry'!$F5054='Visual SPC'!$K$4)),1,0))</f>
        <v/>
      </c>
      <c r="C5054">
        <f>C5053+B5054</f>
        <v/>
      </c>
      <c r="D5054">
        <f>IF(B5054=1,INDEX('Data Entry'!$H$5:$BE$10004,5054-4,'Visual SPC'!$B$3),"")</f>
        <v/>
      </c>
      <c r="E5054">
        <f>IF(B5054=1,D5054,E5053)</f>
        <v/>
      </c>
      <c r="F5054">
        <f>IF(AND(B5054=1,C5054&gt;1,E5053&lt;&gt;""),ABS(D5054-E5053),"")</f>
        <v/>
      </c>
    </row>
    <row r="5055">
      <c r="A5055" t="n">
        <v>5055</v>
      </c>
      <c r="B5055">
        <f>IF(INDEX('Data Entry'!$H$5:$BE$10004,5055-4,'Visual SPC'!$B$3)="",0,IF(AND(OR('Visual SPC'!$C$4="",'Data Entry'!$C5055&gt;='Visual SPC'!$C$4),OR('Visual SPC'!$E$4="",'Data Entry'!$C5055&lt;='Visual SPC'!$E$4),OR('Visual SPC'!$G$4="",'Data Entry'!$D5055='Visual SPC'!$G$4),OR('Visual SPC'!$I$4="",'Data Entry'!$E5055='Visual SPC'!$I$4),OR('Visual SPC'!$K$4="",'Data Entry'!$F5055='Visual SPC'!$K$4)),1,0))</f>
        <v/>
      </c>
      <c r="C5055">
        <f>C5054+B5055</f>
        <v/>
      </c>
      <c r="D5055">
        <f>IF(B5055=1,INDEX('Data Entry'!$H$5:$BE$10004,5055-4,'Visual SPC'!$B$3),"")</f>
        <v/>
      </c>
      <c r="E5055">
        <f>IF(B5055=1,D5055,E5054)</f>
        <v/>
      </c>
      <c r="F5055">
        <f>IF(AND(B5055=1,C5055&gt;1,E5054&lt;&gt;""),ABS(D5055-E5054),"")</f>
        <v/>
      </c>
    </row>
    <row r="5056">
      <c r="A5056" t="n">
        <v>5056</v>
      </c>
      <c r="B5056">
        <f>IF(INDEX('Data Entry'!$H$5:$BE$10004,5056-4,'Visual SPC'!$B$3)="",0,IF(AND(OR('Visual SPC'!$C$4="",'Data Entry'!$C5056&gt;='Visual SPC'!$C$4),OR('Visual SPC'!$E$4="",'Data Entry'!$C5056&lt;='Visual SPC'!$E$4),OR('Visual SPC'!$G$4="",'Data Entry'!$D5056='Visual SPC'!$G$4),OR('Visual SPC'!$I$4="",'Data Entry'!$E5056='Visual SPC'!$I$4),OR('Visual SPC'!$K$4="",'Data Entry'!$F5056='Visual SPC'!$K$4)),1,0))</f>
        <v/>
      </c>
      <c r="C5056">
        <f>C5055+B5056</f>
        <v/>
      </c>
      <c r="D5056">
        <f>IF(B5056=1,INDEX('Data Entry'!$H$5:$BE$10004,5056-4,'Visual SPC'!$B$3),"")</f>
        <v/>
      </c>
      <c r="E5056">
        <f>IF(B5056=1,D5056,E5055)</f>
        <v/>
      </c>
      <c r="F5056">
        <f>IF(AND(B5056=1,C5056&gt;1,E5055&lt;&gt;""),ABS(D5056-E5055),"")</f>
        <v/>
      </c>
    </row>
    <row r="5057">
      <c r="A5057" t="n">
        <v>5057</v>
      </c>
      <c r="B5057">
        <f>IF(INDEX('Data Entry'!$H$5:$BE$10004,5057-4,'Visual SPC'!$B$3)="",0,IF(AND(OR('Visual SPC'!$C$4="",'Data Entry'!$C5057&gt;='Visual SPC'!$C$4),OR('Visual SPC'!$E$4="",'Data Entry'!$C5057&lt;='Visual SPC'!$E$4),OR('Visual SPC'!$G$4="",'Data Entry'!$D5057='Visual SPC'!$G$4),OR('Visual SPC'!$I$4="",'Data Entry'!$E5057='Visual SPC'!$I$4),OR('Visual SPC'!$K$4="",'Data Entry'!$F5057='Visual SPC'!$K$4)),1,0))</f>
        <v/>
      </c>
      <c r="C5057">
        <f>C5056+B5057</f>
        <v/>
      </c>
      <c r="D5057">
        <f>IF(B5057=1,INDEX('Data Entry'!$H$5:$BE$10004,5057-4,'Visual SPC'!$B$3),"")</f>
        <v/>
      </c>
      <c r="E5057">
        <f>IF(B5057=1,D5057,E5056)</f>
        <v/>
      </c>
      <c r="F5057">
        <f>IF(AND(B5057=1,C5057&gt;1,E5056&lt;&gt;""),ABS(D5057-E5056),"")</f>
        <v/>
      </c>
    </row>
    <row r="5058">
      <c r="A5058" t="n">
        <v>5058</v>
      </c>
      <c r="B5058">
        <f>IF(INDEX('Data Entry'!$H$5:$BE$10004,5058-4,'Visual SPC'!$B$3)="",0,IF(AND(OR('Visual SPC'!$C$4="",'Data Entry'!$C5058&gt;='Visual SPC'!$C$4),OR('Visual SPC'!$E$4="",'Data Entry'!$C5058&lt;='Visual SPC'!$E$4),OR('Visual SPC'!$G$4="",'Data Entry'!$D5058='Visual SPC'!$G$4),OR('Visual SPC'!$I$4="",'Data Entry'!$E5058='Visual SPC'!$I$4),OR('Visual SPC'!$K$4="",'Data Entry'!$F5058='Visual SPC'!$K$4)),1,0))</f>
        <v/>
      </c>
      <c r="C5058">
        <f>C5057+B5058</f>
        <v/>
      </c>
      <c r="D5058">
        <f>IF(B5058=1,INDEX('Data Entry'!$H$5:$BE$10004,5058-4,'Visual SPC'!$B$3),"")</f>
        <v/>
      </c>
      <c r="E5058">
        <f>IF(B5058=1,D5058,E5057)</f>
        <v/>
      </c>
      <c r="F5058">
        <f>IF(AND(B5058=1,C5058&gt;1,E5057&lt;&gt;""),ABS(D5058-E5057),"")</f>
        <v/>
      </c>
    </row>
    <row r="5059">
      <c r="A5059" t="n">
        <v>5059</v>
      </c>
      <c r="B5059">
        <f>IF(INDEX('Data Entry'!$H$5:$BE$10004,5059-4,'Visual SPC'!$B$3)="",0,IF(AND(OR('Visual SPC'!$C$4="",'Data Entry'!$C5059&gt;='Visual SPC'!$C$4),OR('Visual SPC'!$E$4="",'Data Entry'!$C5059&lt;='Visual SPC'!$E$4),OR('Visual SPC'!$G$4="",'Data Entry'!$D5059='Visual SPC'!$G$4),OR('Visual SPC'!$I$4="",'Data Entry'!$E5059='Visual SPC'!$I$4),OR('Visual SPC'!$K$4="",'Data Entry'!$F5059='Visual SPC'!$K$4)),1,0))</f>
        <v/>
      </c>
      <c r="C5059">
        <f>C5058+B5059</f>
        <v/>
      </c>
      <c r="D5059">
        <f>IF(B5059=1,INDEX('Data Entry'!$H$5:$BE$10004,5059-4,'Visual SPC'!$B$3),"")</f>
        <v/>
      </c>
      <c r="E5059">
        <f>IF(B5059=1,D5059,E5058)</f>
        <v/>
      </c>
      <c r="F5059">
        <f>IF(AND(B5059=1,C5059&gt;1,E5058&lt;&gt;""),ABS(D5059-E5058),"")</f>
        <v/>
      </c>
    </row>
    <row r="5060">
      <c r="A5060" t="n">
        <v>5060</v>
      </c>
      <c r="B5060">
        <f>IF(INDEX('Data Entry'!$H$5:$BE$10004,5060-4,'Visual SPC'!$B$3)="",0,IF(AND(OR('Visual SPC'!$C$4="",'Data Entry'!$C5060&gt;='Visual SPC'!$C$4),OR('Visual SPC'!$E$4="",'Data Entry'!$C5060&lt;='Visual SPC'!$E$4),OR('Visual SPC'!$G$4="",'Data Entry'!$D5060='Visual SPC'!$G$4),OR('Visual SPC'!$I$4="",'Data Entry'!$E5060='Visual SPC'!$I$4),OR('Visual SPC'!$K$4="",'Data Entry'!$F5060='Visual SPC'!$K$4)),1,0))</f>
        <v/>
      </c>
      <c r="C5060">
        <f>C5059+B5060</f>
        <v/>
      </c>
      <c r="D5060">
        <f>IF(B5060=1,INDEX('Data Entry'!$H$5:$BE$10004,5060-4,'Visual SPC'!$B$3),"")</f>
        <v/>
      </c>
      <c r="E5060">
        <f>IF(B5060=1,D5060,E5059)</f>
        <v/>
      </c>
      <c r="F5060">
        <f>IF(AND(B5060=1,C5060&gt;1,E5059&lt;&gt;""),ABS(D5060-E5059),"")</f>
        <v/>
      </c>
    </row>
    <row r="5061">
      <c r="A5061" t="n">
        <v>5061</v>
      </c>
      <c r="B5061">
        <f>IF(INDEX('Data Entry'!$H$5:$BE$10004,5061-4,'Visual SPC'!$B$3)="",0,IF(AND(OR('Visual SPC'!$C$4="",'Data Entry'!$C5061&gt;='Visual SPC'!$C$4),OR('Visual SPC'!$E$4="",'Data Entry'!$C5061&lt;='Visual SPC'!$E$4),OR('Visual SPC'!$G$4="",'Data Entry'!$D5061='Visual SPC'!$G$4),OR('Visual SPC'!$I$4="",'Data Entry'!$E5061='Visual SPC'!$I$4),OR('Visual SPC'!$K$4="",'Data Entry'!$F5061='Visual SPC'!$K$4)),1,0))</f>
        <v/>
      </c>
      <c r="C5061">
        <f>C5060+B5061</f>
        <v/>
      </c>
      <c r="D5061">
        <f>IF(B5061=1,INDEX('Data Entry'!$H$5:$BE$10004,5061-4,'Visual SPC'!$B$3),"")</f>
        <v/>
      </c>
      <c r="E5061">
        <f>IF(B5061=1,D5061,E5060)</f>
        <v/>
      </c>
      <c r="F5061">
        <f>IF(AND(B5061=1,C5061&gt;1,E5060&lt;&gt;""),ABS(D5061-E5060),"")</f>
        <v/>
      </c>
    </row>
    <row r="5062">
      <c r="A5062" t="n">
        <v>5062</v>
      </c>
      <c r="B5062">
        <f>IF(INDEX('Data Entry'!$H$5:$BE$10004,5062-4,'Visual SPC'!$B$3)="",0,IF(AND(OR('Visual SPC'!$C$4="",'Data Entry'!$C5062&gt;='Visual SPC'!$C$4),OR('Visual SPC'!$E$4="",'Data Entry'!$C5062&lt;='Visual SPC'!$E$4),OR('Visual SPC'!$G$4="",'Data Entry'!$D5062='Visual SPC'!$G$4),OR('Visual SPC'!$I$4="",'Data Entry'!$E5062='Visual SPC'!$I$4),OR('Visual SPC'!$K$4="",'Data Entry'!$F5062='Visual SPC'!$K$4)),1,0))</f>
        <v/>
      </c>
      <c r="C5062">
        <f>C5061+B5062</f>
        <v/>
      </c>
      <c r="D5062">
        <f>IF(B5062=1,INDEX('Data Entry'!$H$5:$BE$10004,5062-4,'Visual SPC'!$B$3),"")</f>
        <v/>
      </c>
      <c r="E5062">
        <f>IF(B5062=1,D5062,E5061)</f>
        <v/>
      </c>
      <c r="F5062">
        <f>IF(AND(B5062=1,C5062&gt;1,E5061&lt;&gt;""),ABS(D5062-E5061),"")</f>
        <v/>
      </c>
    </row>
    <row r="5063">
      <c r="A5063" t="n">
        <v>5063</v>
      </c>
      <c r="B5063">
        <f>IF(INDEX('Data Entry'!$H$5:$BE$10004,5063-4,'Visual SPC'!$B$3)="",0,IF(AND(OR('Visual SPC'!$C$4="",'Data Entry'!$C5063&gt;='Visual SPC'!$C$4),OR('Visual SPC'!$E$4="",'Data Entry'!$C5063&lt;='Visual SPC'!$E$4),OR('Visual SPC'!$G$4="",'Data Entry'!$D5063='Visual SPC'!$G$4),OR('Visual SPC'!$I$4="",'Data Entry'!$E5063='Visual SPC'!$I$4),OR('Visual SPC'!$K$4="",'Data Entry'!$F5063='Visual SPC'!$K$4)),1,0))</f>
        <v/>
      </c>
      <c r="C5063">
        <f>C5062+B5063</f>
        <v/>
      </c>
      <c r="D5063">
        <f>IF(B5063=1,INDEX('Data Entry'!$H$5:$BE$10004,5063-4,'Visual SPC'!$B$3),"")</f>
        <v/>
      </c>
      <c r="E5063">
        <f>IF(B5063=1,D5063,E5062)</f>
        <v/>
      </c>
      <c r="F5063">
        <f>IF(AND(B5063=1,C5063&gt;1,E5062&lt;&gt;""),ABS(D5063-E5062),"")</f>
        <v/>
      </c>
    </row>
    <row r="5064">
      <c r="A5064" t="n">
        <v>5064</v>
      </c>
      <c r="B5064">
        <f>IF(INDEX('Data Entry'!$H$5:$BE$10004,5064-4,'Visual SPC'!$B$3)="",0,IF(AND(OR('Visual SPC'!$C$4="",'Data Entry'!$C5064&gt;='Visual SPC'!$C$4),OR('Visual SPC'!$E$4="",'Data Entry'!$C5064&lt;='Visual SPC'!$E$4),OR('Visual SPC'!$G$4="",'Data Entry'!$D5064='Visual SPC'!$G$4),OR('Visual SPC'!$I$4="",'Data Entry'!$E5064='Visual SPC'!$I$4),OR('Visual SPC'!$K$4="",'Data Entry'!$F5064='Visual SPC'!$K$4)),1,0))</f>
        <v/>
      </c>
      <c r="C5064">
        <f>C5063+B5064</f>
        <v/>
      </c>
      <c r="D5064">
        <f>IF(B5064=1,INDEX('Data Entry'!$H$5:$BE$10004,5064-4,'Visual SPC'!$B$3),"")</f>
        <v/>
      </c>
      <c r="E5064">
        <f>IF(B5064=1,D5064,E5063)</f>
        <v/>
      </c>
      <c r="F5064">
        <f>IF(AND(B5064=1,C5064&gt;1,E5063&lt;&gt;""),ABS(D5064-E5063),"")</f>
        <v/>
      </c>
    </row>
    <row r="5065">
      <c r="A5065" t="n">
        <v>5065</v>
      </c>
      <c r="B5065">
        <f>IF(INDEX('Data Entry'!$H$5:$BE$10004,5065-4,'Visual SPC'!$B$3)="",0,IF(AND(OR('Visual SPC'!$C$4="",'Data Entry'!$C5065&gt;='Visual SPC'!$C$4),OR('Visual SPC'!$E$4="",'Data Entry'!$C5065&lt;='Visual SPC'!$E$4),OR('Visual SPC'!$G$4="",'Data Entry'!$D5065='Visual SPC'!$G$4),OR('Visual SPC'!$I$4="",'Data Entry'!$E5065='Visual SPC'!$I$4),OR('Visual SPC'!$K$4="",'Data Entry'!$F5065='Visual SPC'!$K$4)),1,0))</f>
        <v/>
      </c>
      <c r="C5065">
        <f>C5064+B5065</f>
        <v/>
      </c>
      <c r="D5065">
        <f>IF(B5065=1,INDEX('Data Entry'!$H$5:$BE$10004,5065-4,'Visual SPC'!$B$3),"")</f>
        <v/>
      </c>
      <c r="E5065">
        <f>IF(B5065=1,D5065,E5064)</f>
        <v/>
      </c>
      <c r="F5065">
        <f>IF(AND(B5065=1,C5065&gt;1,E5064&lt;&gt;""),ABS(D5065-E5064),"")</f>
        <v/>
      </c>
    </row>
    <row r="5066">
      <c r="A5066" t="n">
        <v>5066</v>
      </c>
      <c r="B5066">
        <f>IF(INDEX('Data Entry'!$H$5:$BE$10004,5066-4,'Visual SPC'!$B$3)="",0,IF(AND(OR('Visual SPC'!$C$4="",'Data Entry'!$C5066&gt;='Visual SPC'!$C$4),OR('Visual SPC'!$E$4="",'Data Entry'!$C5066&lt;='Visual SPC'!$E$4),OR('Visual SPC'!$G$4="",'Data Entry'!$D5066='Visual SPC'!$G$4),OR('Visual SPC'!$I$4="",'Data Entry'!$E5066='Visual SPC'!$I$4),OR('Visual SPC'!$K$4="",'Data Entry'!$F5066='Visual SPC'!$K$4)),1,0))</f>
        <v/>
      </c>
      <c r="C5066">
        <f>C5065+B5066</f>
        <v/>
      </c>
      <c r="D5066">
        <f>IF(B5066=1,INDEX('Data Entry'!$H$5:$BE$10004,5066-4,'Visual SPC'!$B$3),"")</f>
        <v/>
      </c>
      <c r="E5066">
        <f>IF(B5066=1,D5066,E5065)</f>
        <v/>
      </c>
      <c r="F5066">
        <f>IF(AND(B5066=1,C5066&gt;1,E5065&lt;&gt;""),ABS(D5066-E5065),"")</f>
        <v/>
      </c>
    </row>
    <row r="5067">
      <c r="A5067" t="n">
        <v>5067</v>
      </c>
      <c r="B5067">
        <f>IF(INDEX('Data Entry'!$H$5:$BE$10004,5067-4,'Visual SPC'!$B$3)="",0,IF(AND(OR('Visual SPC'!$C$4="",'Data Entry'!$C5067&gt;='Visual SPC'!$C$4),OR('Visual SPC'!$E$4="",'Data Entry'!$C5067&lt;='Visual SPC'!$E$4),OR('Visual SPC'!$G$4="",'Data Entry'!$D5067='Visual SPC'!$G$4),OR('Visual SPC'!$I$4="",'Data Entry'!$E5067='Visual SPC'!$I$4),OR('Visual SPC'!$K$4="",'Data Entry'!$F5067='Visual SPC'!$K$4)),1,0))</f>
        <v/>
      </c>
      <c r="C5067">
        <f>C5066+B5067</f>
        <v/>
      </c>
      <c r="D5067">
        <f>IF(B5067=1,INDEX('Data Entry'!$H$5:$BE$10004,5067-4,'Visual SPC'!$B$3),"")</f>
        <v/>
      </c>
      <c r="E5067">
        <f>IF(B5067=1,D5067,E5066)</f>
        <v/>
      </c>
      <c r="F5067">
        <f>IF(AND(B5067=1,C5067&gt;1,E5066&lt;&gt;""),ABS(D5067-E5066),"")</f>
        <v/>
      </c>
    </row>
    <row r="5068">
      <c r="A5068" t="n">
        <v>5068</v>
      </c>
      <c r="B5068">
        <f>IF(INDEX('Data Entry'!$H$5:$BE$10004,5068-4,'Visual SPC'!$B$3)="",0,IF(AND(OR('Visual SPC'!$C$4="",'Data Entry'!$C5068&gt;='Visual SPC'!$C$4),OR('Visual SPC'!$E$4="",'Data Entry'!$C5068&lt;='Visual SPC'!$E$4),OR('Visual SPC'!$G$4="",'Data Entry'!$D5068='Visual SPC'!$G$4),OR('Visual SPC'!$I$4="",'Data Entry'!$E5068='Visual SPC'!$I$4),OR('Visual SPC'!$K$4="",'Data Entry'!$F5068='Visual SPC'!$K$4)),1,0))</f>
        <v/>
      </c>
      <c r="C5068">
        <f>C5067+B5068</f>
        <v/>
      </c>
      <c r="D5068">
        <f>IF(B5068=1,INDEX('Data Entry'!$H$5:$BE$10004,5068-4,'Visual SPC'!$B$3),"")</f>
        <v/>
      </c>
      <c r="E5068">
        <f>IF(B5068=1,D5068,E5067)</f>
        <v/>
      </c>
      <c r="F5068">
        <f>IF(AND(B5068=1,C5068&gt;1,E5067&lt;&gt;""),ABS(D5068-E5067),"")</f>
        <v/>
      </c>
    </row>
    <row r="5069">
      <c r="A5069" t="n">
        <v>5069</v>
      </c>
      <c r="B5069">
        <f>IF(INDEX('Data Entry'!$H$5:$BE$10004,5069-4,'Visual SPC'!$B$3)="",0,IF(AND(OR('Visual SPC'!$C$4="",'Data Entry'!$C5069&gt;='Visual SPC'!$C$4),OR('Visual SPC'!$E$4="",'Data Entry'!$C5069&lt;='Visual SPC'!$E$4),OR('Visual SPC'!$G$4="",'Data Entry'!$D5069='Visual SPC'!$G$4),OR('Visual SPC'!$I$4="",'Data Entry'!$E5069='Visual SPC'!$I$4),OR('Visual SPC'!$K$4="",'Data Entry'!$F5069='Visual SPC'!$K$4)),1,0))</f>
        <v/>
      </c>
      <c r="C5069">
        <f>C5068+B5069</f>
        <v/>
      </c>
      <c r="D5069">
        <f>IF(B5069=1,INDEX('Data Entry'!$H$5:$BE$10004,5069-4,'Visual SPC'!$B$3),"")</f>
        <v/>
      </c>
      <c r="E5069">
        <f>IF(B5069=1,D5069,E5068)</f>
        <v/>
      </c>
      <c r="F5069">
        <f>IF(AND(B5069=1,C5069&gt;1,E5068&lt;&gt;""),ABS(D5069-E5068),"")</f>
        <v/>
      </c>
    </row>
    <row r="5070">
      <c r="A5070" t="n">
        <v>5070</v>
      </c>
      <c r="B5070">
        <f>IF(INDEX('Data Entry'!$H$5:$BE$10004,5070-4,'Visual SPC'!$B$3)="",0,IF(AND(OR('Visual SPC'!$C$4="",'Data Entry'!$C5070&gt;='Visual SPC'!$C$4),OR('Visual SPC'!$E$4="",'Data Entry'!$C5070&lt;='Visual SPC'!$E$4),OR('Visual SPC'!$G$4="",'Data Entry'!$D5070='Visual SPC'!$G$4),OR('Visual SPC'!$I$4="",'Data Entry'!$E5070='Visual SPC'!$I$4),OR('Visual SPC'!$K$4="",'Data Entry'!$F5070='Visual SPC'!$K$4)),1,0))</f>
        <v/>
      </c>
      <c r="C5070">
        <f>C5069+B5070</f>
        <v/>
      </c>
      <c r="D5070">
        <f>IF(B5070=1,INDEX('Data Entry'!$H$5:$BE$10004,5070-4,'Visual SPC'!$B$3),"")</f>
        <v/>
      </c>
      <c r="E5070">
        <f>IF(B5070=1,D5070,E5069)</f>
        <v/>
      </c>
      <c r="F5070">
        <f>IF(AND(B5070=1,C5070&gt;1,E5069&lt;&gt;""),ABS(D5070-E5069),"")</f>
        <v/>
      </c>
    </row>
    <row r="5071">
      <c r="A5071" t="n">
        <v>5071</v>
      </c>
      <c r="B5071">
        <f>IF(INDEX('Data Entry'!$H$5:$BE$10004,5071-4,'Visual SPC'!$B$3)="",0,IF(AND(OR('Visual SPC'!$C$4="",'Data Entry'!$C5071&gt;='Visual SPC'!$C$4),OR('Visual SPC'!$E$4="",'Data Entry'!$C5071&lt;='Visual SPC'!$E$4),OR('Visual SPC'!$G$4="",'Data Entry'!$D5071='Visual SPC'!$G$4),OR('Visual SPC'!$I$4="",'Data Entry'!$E5071='Visual SPC'!$I$4),OR('Visual SPC'!$K$4="",'Data Entry'!$F5071='Visual SPC'!$K$4)),1,0))</f>
        <v/>
      </c>
      <c r="C5071">
        <f>C5070+B5071</f>
        <v/>
      </c>
      <c r="D5071">
        <f>IF(B5071=1,INDEX('Data Entry'!$H$5:$BE$10004,5071-4,'Visual SPC'!$B$3),"")</f>
        <v/>
      </c>
      <c r="E5071">
        <f>IF(B5071=1,D5071,E5070)</f>
        <v/>
      </c>
      <c r="F5071">
        <f>IF(AND(B5071=1,C5071&gt;1,E5070&lt;&gt;""),ABS(D5071-E5070),"")</f>
        <v/>
      </c>
    </row>
    <row r="5072">
      <c r="A5072" t="n">
        <v>5072</v>
      </c>
      <c r="B5072">
        <f>IF(INDEX('Data Entry'!$H$5:$BE$10004,5072-4,'Visual SPC'!$B$3)="",0,IF(AND(OR('Visual SPC'!$C$4="",'Data Entry'!$C5072&gt;='Visual SPC'!$C$4),OR('Visual SPC'!$E$4="",'Data Entry'!$C5072&lt;='Visual SPC'!$E$4),OR('Visual SPC'!$G$4="",'Data Entry'!$D5072='Visual SPC'!$G$4),OR('Visual SPC'!$I$4="",'Data Entry'!$E5072='Visual SPC'!$I$4),OR('Visual SPC'!$K$4="",'Data Entry'!$F5072='Visual SPC'!$K$4)),1,0))</f>
        <v/>
      </c>
      <c r="C5072">
        <f>C5071+B5072</f>
        <v/>
      </c>
      <c r="D5072">
        <f>IF(B5072=1,INDEX('Data Entry'!$H$5:$BE$10004,5072-4,'Visual SPC'!$B$3),"")</f>
        <v/>
      </c>
      <c r="E5072">
        <f>IF(B5072=1,D5072,E5071)</f>
        <v/>
      </c>
      <c r="F5072">
        <f>IF(AND(B5072=1,C5072&gt;1,E5071&lt;&gt;""),ABS(D5072-E5071),"")</f>
        <v/>
      </c>
    </row>
    <row r="5073">
      <c r="A5073" t="n">
        <v>5073</v>
      </c>
      <c r="B5073">
        <f>IF(INDEX('Data Entry'!$H$5:$BE$10004,5073-4,'Visual SPC'!$B$3)="",0,IF(AND(OR('Visual SPC'!$C$4="",'Data Entry'!$C5073&gt;='Visual SPC'!$C$4),OR('Visual SPC'!$E$4="",'Data Entry'!$C5073&lt;='Visual SPC'!$E$4),OR('Visual SPC'!$G$4="",'Data Entry'!$D5073='Visual SPC'!$G$4),OR('Visual SPC'!$I$4="",'Data Entry'!$E5073='Visual SPC'!$I$4),OR('Visual SPC'!$K$4="",'Data Entry'!$F5073='Visual SPC'!$K$4)),1,0))</f>
        <v/>
      </c>
      <c r="C5073">
        <f>C5072+B5073</f>
        <v/>
      </c>
      <c r="D5073">
        <f>IF(B5073=1,INDEX('Data Entry'!$H$5:$BE$10004,5073-4,'Visual SPC'!$B$3),"")</f>
        <v/>
      </c>
      <c r="E5073">
        <f>IF(B5073=1,D5073,E5072)</f>
        <v/>
      </c>
      <c r="F5073">
        <f>IF(AND(B5073=1,C5073&gt;1,E5072&lt;&gt;""),ABS(D5073-E5072),"")</f>
        <v/>
      </c>
    </row>
    <row r="5074">
      <c r="A5074" t="n">
        <v>5074</v>
      </c>
      <c r="B5074">
        <f>IF(INDEX('Data Entry'!$H$5:$BE$10004,5074-4,'Visual SPC'!$B$3)="",0,IF(AND(OR('Visual SPC'!$C$4="",'Data Entry'!$C5074&gt;='Visual SPC'!$C$4),OR('Visual SPC'!$E$4="",'Data Entry'!$C5074&lt;='Visual SPC'!$E$4),OR('Visual SPC'!$G$4="",'Data Entry'!$D5074='Visual SPC'!$G$4),OR('Visual SPC'!$I$4="",'Data Entry'!$E5074='Visual SPC'!$I$4),OR('Visual SPC'!$K$4="",'Data Entry'!$F5074='Visual SPC'!$K$4)),1,0))</f>
        <v/>
      </c>
      <c r="C5074">
        <f>C5073+B5074</f>
        <v/>
      </c>
      <c r="D5074">
        <f>IF(B5074=1,INDEX('Data Entry'!$H$5:$BE$10004,5074-4,'Visual SPC'!$B$3),"")</f>
        <v/>
      </c>
      <c r="E5074">
        <f>IF(B5074=1,D5074,E5073)</f>
        <v/>
      </c>
      <c r="F5074">
        <f>IF(AND(B5074=1,C5074&gt;1,E5073&lt;&gt;""),ABS(D5074-E5073),"")</f>
        <v/>
      </c>
    </row>
    <row r="5075">
      <c r="A5075" t="n">
        <v>5075</v>
      </c>
      <c r="B5075">
        <f>IF(INDEX('Data Entry'!$H$5:$BE$10004,5075-4,'Visual SPC'!$B$3)="",0,IF(AND(OR('Visual SPC'!$C$4="",'Data Entry'!$C5075&gt;='Visual SPC'!$C$4),OR('Visual SPC'!$E$4="",'Data Entry'!$C5075&lt;='Visual SPC'!$E$4),OR('Visual SPC'!$G$4="",'Data Entry'!$D5075='Visual SPC'!$G$4),OR('Visual SPC'!$I$4="",'Data Entry'!$E5075='Visual SPC'!$I$4),OR('Visual SPC'!$K$4="",'Data Entry'!$F5075='Visual SPC'!$K$4)),1,0))</f>
        <v/>
      </c>
      <c r="C5075">
        <f>C5074+B5075</f>
        <v/>
      </c>
      <c r="D5075">
        <f>IF(B5075=1,INDEX('Data Entry'!$H$5:$BE$10004,5075-4,'Visual SPC'!$B$3),"")</f>
        <v/>
      </c>
      <c r="E5075">
        <f>IF(B5075=1,D5075,E5074)</f>
        <v/>
      </c>
      <c r="F5075">
        <f>IF(AND(B5075=1,C5075&gt;1,E5074&lt;&gt;""),ABS(D5075-E5074),"")</f>
        <v/>
      </c>
    </row>
    <row r="5076">
      <c r="A5076" t="n">
        <v>5076</v>
      </c>
      <c r="B5076">
        <f>IF(INDEX('Data Entry'!$H$5:$BE$10004,5076-4,'Visual SPC'!$B$3)="",0,IF(AND(OR('Visual SPC'!$C$4="",'Data Entry'!$C5076&gt;='Visual SPC'!$C$4),OR('Visual SPC'!$E$4="",'Data Entry'!$C5076&lt;='Visual SPC'!$E$4),OR('Visual SPC'!$G$4="",'Data Entry'!$D5076='Visual SPC'!$G$4),OR('Visual SPC'!$I$4="",'Data Entry'!$E5076='Visual SPC'!$I$4),OR('Visual SPC'!$K$4="",'Data Entry'!$F5076='Visual SPC'!$K$4)),1,0))</f>
        <v/>
      </c>
      <c r="C5076">
        <f>C5075+B5076</f>
        <v/>
      </c>
      <c r="D5076">
        <f>IF(B5076=1,INDEX('Data Entry'!$H$5:$BE$10004,5076-4,'Visual SPC'!$B$3),"")</f>
        <v/>
      </c>
      <c r="E5076">
        <f>IF(B5076=1,D5076,E5075)</f>
        <v/>
      </c>
      <c r="F5076">
        <f>IF(AND(B5076=1,C5076&gt;1,E5075&lt;&gt;""),ABS(D5076-E5075),"")</f>
        <v/>
      </c>
    </row>
    <row r="5077">
      <c r="A5077" t="n">
        <v>5077</v>
      </c>
      <c r="B5077">
        <f>IF(INDEX('Data Entry'!$H$5:$BE$10004,5077-4,'Visual SPC'!$B$3)="",0,IF(AND(OR('Visual SPC'!$C$4="",'Data Entry'!$C5077&gt;='Visual SPC'!$C$4),OR('Visual SPC'!$E$4="",'Data Entry'!$C5077&lt;='Visual SPC'!$E$4),OR('Visual SPC'!$G$4="",'Data Entry'!$D5077='Visual SPC'!$G$4),OR('Visual SPC'!$I$4="",'Data Entry'!$E5077='Visual SPC'!$I$4),OR('Visual SPC'!$K$4="",'Data Entry'!$F5077='Visual SPC'!$K$4)),1,0))</f>
        <v/>
      </c>
      <c r="C5077">
        <f>C5076+B5077</f>
        <v/>
      </c>
      <c r="D5077">
        <f>IF(B5077=1,INDEX('Data Entry'!$H$5:$BE$10004,5077-4,'Visual SPC'!$B$3),"")</f>
        <v/>
      </c>
      <c r="E5077">
        <f>IF(B5077=1,D5077,E5076)</f>
        <v/>
      </c>
      <c r="F5077">
        <f>IF(AND(B5077=1,C5077&gt;1,E5076&lt;&gt;""),ABS(D5077-E5076),"")</f>
        <v/>
      </c>
    </row>
    <row r="5078">
      <c r="A5078" t="n">
        <v>5078</v>
      </c>
      <c r="B5078">
        <f>IF(INDEX('Data Entry'!$H$5:$BE$10004,5078-4,'Visual SPC'!$B$3)="",0,IF(AND(OR('Visual SPC'!$C$4="",'Data Entry'!$C5078&gt;='Visual SPC'!$C$4),OR('Visual SPC'!$E$4="",'Data Entry'!$C5078&lt;='Visual SPC'!$E$4),OR('Visual SPC'!$G$4="",'Data Entry'!$D5078='Visual SPC'!$G$4),OR('Visual SPC'!$I$4="",'Data Entry'!$E5078='Visual SPC'!$I$4),OR('Visual SPC'!$K$4="",'Data Entry'!$F5078='Visual SPC'!$K$4)),1,0))</f>
        <v/>
      </c>
      <c r="C5078">
        <f>C5077+B5078</f>
        <v/>
      </c>
      <c r="D5078">
        <f>IF(B5078=1,INDEX('Data Entry'!$H$5:$BE$10004,5078-4,'Visual SPC'!$B$3),"")</f>
        <v/>
      </c>
      <c r="E5078">
        <f>IF(B5078=1,D5078,E5077)</f>
        <v/>
      </c>
      <c r="F5078">
        <f>IF(AND(B5078=1,C5078&gt;1,E5077&lt;&gt;""),ABS(D5078-E5077),"")</f>
        <v/>
      </c>
    </row>
    <row r="5079">
      <c r="A5079" t="n">
        <v>5079</v>
      </c>
      <c r="B5079">
        <f>IF(INDEX('Data Entry'!$H$5:$BE$10004,5079-4,'Visual SPC'!$B$3)="",0,IF(AND(OR('Visual SPC'!$C$4="",'Data Entry'!$C5079&gt;='Visual SPC'!$C$4),OR('Visual SPC'!$E$4="",'Data Entry'!$C5079&lt;='Visual SPC'!$E$4),OR('Visual SPC'!$G$4="",'Data Entry'!$D5079='Visual SPC'!$G$4),OR('Visual SPC'!$I$4="",'Data Entry'!$E5079='Visual SPC'!$I$4),OR('Visual SPC'!$K$4="",'Data Entry'!$F5079='Visual SPC'!$K$4)),1,0))</f>
        <v/>
      </c>
      <c r="C5079">
        <f>C5078+B5079</f>
        <v/>
      </c>
      <c r="D5079">
        <f>IF(B5079=1,INDEX('Data Entry'!$H$5:$BE$10004,5079-4,'Visual SPC'!$B$3),"")</f>
        <v/>
      </c>
      <c r="E5079">
        <f>IF(B5079=1,D5079,E5078)</f>
        <v/>
      </c>
      <c r="F5079">
        <f>IF(AND(B5079=1,C5079&gt;1,E5078&lt;&gt;""),ABS(D5079-E5078),"")</f>
        <v/>
      </c>
    </row>
    <row r="5080">
      <c r="A5080" t="n">
        <v>5080</v>
      </c>
      <c r="B5080">
        <f>IF(INDEX('Data Entry'!$H$5:$BE$10004,5080-4,'Visual SPC'!$B$3)="",0,IF(AND(OR('Visual SPC'!$C$4="",'Data Entry'!$C5080&gt;='Visual SPC'!$C$4),OR('Visual SPC'!$E$4="",'Data Entry'!$C5080&lt;='Visual SPC'!$E$4),OR('Visual SPC'!$G$4="",'Data Entry'!$D5080='Visual SPC'!$G$4),OR('Visual SPC'!$I$4="",'Data Entry'!$E5080='Visual SPC'!$I$4),OR('Visual SPC'!$K$4="",'Data Entry'!$F5080='Visual SPC'!$K$4)),1,0))</f>
        <v/>
      </c>
      <c r="C5080">
        <f>C5079+B5080</f>
        <v/>
      </c>
      <c r="D5080">
        <f>IF(B5080=1,INDEX('Data Entry'!$H$5:$BE$10004,5080-4,'Visual SPC'!$B$3),"")</f>
        <v/>
      </c>
      <c r="E5080">
        <f>IF(B5080=1,D5080,E5079)</f>
        <v/>
      </c>
      <c r="F5080">
        <f>IF(AND(B5080=1,C5080&gt;1,E5079&lt;&gt;""),ABS(D5080-E5079),"")</f>
        <v/>
      </c>
    </row>
    <row r="5081">
      <c r="A5081" t="n">
        <v>5081</v>
      </c>
      <c r="B5081">
        <f>IF(INDEX('Data Entry'!$H$5:$BE$10004,5081-4,'Visual SPC'!$B$3)="",0,IF(AND(OR('Visual SPC'!$C$4="",'Data Entry'!$C5081&gt;='Visual SPC'!$C$4),OR('Visual SPC'!$E$4="",'Data Entry'!$C5081&lt;='Visual SPC'!$E$4),OR('Visual SPC'!$G$4="",'Data Entry'!$D5081='Visual SPC'!$G$4),OR('Visual SPC'!$I$4="",'Data Entry'!$E5081='Visual SPC'!$I$4),OR('Visual SPC'!$K$4="",'Data Entry'!$F5081='Visual SPC'!$K$4)),1,0))</f>
        <v/>
      </c>
      <c r="C5081">
        <f>C5080+B5081</f>
        <v/>
      </c>
      <c r="D5081">
        <f>IF(B5081=1,INDEX('Data Entry'!$H$5:$BE$10004,5081-4,'Visual SPC'!$B$3),"")</f>
        <v/>
      </c>
      <c r="E5081">
        <f>IF(B5081=1,D5081,E5080)</f>
        <v/>
      </c>
      <c r="F5081">
        <f>IF(AND(B5081=1,C5081&gt;1,E5080&lt;&gt;""),ABS(D5081-E5080),"")</f>
        <v/>
      </c>
    </row>
    <row r="5082">
      <c r="A5082" t="n">
        <v>5082</v>
      </c>
      <c r="B5082">
        <f>IF(INDEX('Data Entry'!$H$5:$BE$10004,5082-4,'Visual SPC'!$B$3)="",0,IF(AND(OR('Visual SPC'!$C$4="",'Data Entry'!$C5082&gt;='Visual SPC'!$C$4),OR('Visual SPC'!$E$4="",'Data Entry'!$C5082&lt;='Visual SPC'!$E$4),OR('Visual SPC'!$G$4="",'Data Entry'!$D5082='Visual SPC'!$G$4),OR('Visual SPC'!$I$4="",'Data Entry'!$E5082='Visual SPC'!$I$4),OR('Visual SPC'!$K$4="",'Data Entry'!$F5082='Visual SPC'!$K$4)),1,0))</f>
        <v/>
      </c>
      <c r="C5082">
        <f>C5081+B5082</f>
        <v/>
      </c>
      <c r="D5082">
        <f>IF(B5082=1,INDEX('Data Entry'!$H$5:$BE$10004,5082-4,'Visual SPC'!$B$3),"")</f>
        <v/>
      </c>
      <c r="E5082">
        <f>IF(B5082=1,D5082,E5081)</f>
        <v/>
      </c>
      <c r="F5082">
        <f>IF(AND(B5082=1,C5082&gt;1,E5081&lt;&gt;""),ABS(D5082-E5081),"")</f>
        <v/>
      </c>
    </row>
    <row r="5083">
      <c r="A5083" t="n">
        <v>5083</v>
      </c>
      <c r="B5083">
        <f>IF(INDEX('Data Entry'!$H$5:$BE$10004,5083-4,'Visual SPC'!$B$3)="",0,IF(AND(OR('Visual SPC'!$C$4="",'Data Entry'!$C5083&gt;='Visual SPC'!$C$4),OR('Visual SPC'!$E$4="",'Data Entry'!$C5083&lt;='Visual SPC'!$E$4),OR('Visual SPC'!$G$4="",'Data Entry'!$D5083='Visual SPC'!$G$4),OR('Visual SPC'!$I$4="",'Data Entry'!$E5083='Visual SPC'!$I$4),OR('Visual SPC'!$K$4="",'Data Entry'!$F5083='Visual SPC'!$K$4)),1,0))</f>
        <v/>
      </c>
      <c r="C5083">
        <f>C5082+B5083</f>
        <v/>
      </c>
      <c r="D5083">
        <f>IF(B5083=1,INDEX('Data Entry'!$H$5:$BE$10004,5083-4,'Visual SPC'!$B$3),"")</f>
        <v/>
      </c>
      <c r="E5083">
        <f>IF(B5083=1,D5083,E5082)</f>
        <v/>
      </c>
      <c r="F5083">
        <f>IF(AND(B5083=1,C5083&gt;1,E5082&lt;&gt;""),ABS(D5083-E5082),"")</f>
        <v/>
      </c>
    </row>
    <row r="5084">
      <c r="A5084" t="n">
        <v>5084</v>
      </c>
      <c r="B5084">
        <f>IF(INDEX('Data Entry'!$H$5:$BE$10004,5084-4,'Visual SPC'!$B$3)="",0,IF(AND(OR('Visual SPC'!$C$4="",'Data Entry'!$C5084&gt;='Visual SPC'!$C$4),OR('Visual SPC'!$E$4="",'Data Entry'!$C5084&lt;='Visual SPC'!$E$4),OR('Visual SPC'!$G$4="",'Data Entry'!$D5084='Visual SPC'!$G$4),OR('Visual SPC'!$I$4="",'Data Entry'!$E5084='Visual SPC'!$I$4),OR('Visual SPC'!$K$4="",'Data Entry'!$F5084='Visual SPC'!$K$4)),1,0))</f>
        <v/>
      </c>
      <c r="C5084">
        <f>C5083+B5084</f>
        <v/>
      </c>
      <c r="D5084">
        <f>IF(B5084=1,INDEX('Data Entry'!$H$5:$BE$10004,5084-4,'Visual SPC'!$B$3),"")</f>
        <v/>
      </c>
      <c r="E5084">
        <f>IF(B5084=1,D5084,E5083)</f>
        <v/>
      </c>
      <c r="F5084">
        <f>IF(AND(B5084=1,C5084&gt;1,E5083&lt;&gt;""),ABS(D5084-E5083),"")</f>
        <v/>
      </c>
    </row>
    <row r="5085">
      <c r="A5085" t="n">
        <v>5085</v>
      </c>
      <c r="B5085">
        <f>IF(INDEX('Data Entry'!$H$5:$BE$10004,5085-4,'Visual SPC'!$B$3)="",0,IF(AND(OR('Visual SPC'!$C$4="",'Data Entry'!$C5085&gt;='Visual SPC'!$C$4),OR('Visual SPC'!$E$4="",'Data Entry'!$C5085&lt;='Visual SPC'!$E$4),OR('Visual SPC'!$G$4="",'Data Entry'!$D5085='Visual SPC'!$G$4),OR('Visual SPC'!$I$4="",'Data Entry'!$E5085='Visual SPC'!$I$4),OR('Visual SPC'!$K$4="",'Data Entry'!$F5085='Visual SPC'!$K$4)),1,0))</f>
        <v/>
      </c>
      <c r="C5085">
        <f>C5084+B5085</f>
        <v/>
      </c>
      <c r="D5085">
        <f>IF(B5085=1,INDEX('Data Entry'!$H$5:$BE$10004,5085-4,'Visual SPC'!$B$3),"")</f>
        <v/>
      </c>
      <c r="E5085">
        <f>IF(B5085=1,D5085,E5084)</f>
        <v/>
      </c>
      <c r="F5085">
        <f>IF(AND(B5085=1,C5085&gt;1,E5084&lt;&gt;""),ABS(D5085-E5084),"")</f>
        <v/>
      </c>
    </row>
    <row r="5086">
      <c r="A5086" t="n">
        <v>5086</v>
      </c>
      <c r="B5086">
        <f>IF(INDEX('Data Entry'!$H$5:$BE$10004,5086-4,'Visual SPC'!$B$3)="",0,IF(AND(OR('Visual SPC'!$C$4="",'Data Entry'!$C5086&gt;='Visual SPC'!$C$4),OR('Visual SPC'!$E$4="",'Data Entry'!$C5086&lt;='Visual SPC'!$E$4),OR('Visual SPC'!$G$4="",'Data Entry'!$D5086='Visual SPC'!$G$4),OR('Visual SPC'!$I$4="",'Data Entry'!$E5086='Visual SPC'!$I$4),OR('Visual SPC'!$K$4="",'Data Entry'!$F5086='Visual SPC'!$K$4)),1,0))</f>
        <v/>
      </c>
      <c r="C5086">
        <f>C5085+B5086</f>
        <v/>
      </c>
      <c r="D5086">
        <f>IF(B5086=1,INDEX('Data Entry'!$H$5:$BE$10004,5086-4,'Visual SPC'!$B$3),"")</f>
        <v/>
      </c>
      <c r="E5086">
        <f>IF(B5086=1,D5086,E5085)</f>
        <v/>
      </c>
      <c r="F5086">
        <f>IF(AND(B5086=1,C5086&gt;1,E5085&lt;&gt;""),ABS(D5086-E5085),"")</f>
        <v/>
      </c>
    </row>
    <row r="5087">
      <c r="A5087" t="n">
        <v>5087</v>
      </c>
      <c r="B5087">
        <f>IF(INDEX('Data Entry'!$H$5:$BE$10004,5087-4,'Visual SPC'!$B$3)="",0,IF(AND(OR('Visual SPC'!$C$4="",'Data Entry'!$C5087&gt;='Visual SPC'!$C$4),OR('Visual SPC'!$E$4="",'Data Entry'!$C5087&lt;='Visual SPC'!$E$4),OR('Visual SPC'!$G$4="",'Data Entry'!$D5087='Visual SPC'!$G$4),OR('Visual SPC'!$I$4="",'Data Entry'!$E5087='Visual SPC'!$I$4),OR('Visual SPC'!$K$4="",'Data Entry'!$F5087='Visual SPC'!$K$4)),1,0))</f>
        <v/>
      </c>
      <c r="C5087">
        <f>C5086+B5087</f>
        <v/>
      </c>
      <c r="D5087">
        <f>IF(B5087=1,INDEX('Data Entry'!$H$5:$BE$10004,5087-4,'Visual SPC'!$B$3),"")</f>
        <v/>
      </c>
      <c r="E5087">
        <f>IF(B5087=1,D5087,E5086)</f>
        <v/>
      </c>
      <c r="F5087">
        <f>IF(AND(B5087=1,C5087&gt;1,E5086&lt;&gt;""),ABS(D5087-E5086),"")</f>
        <v/>
      </c>
    </row>
    <row r="5088">
      <c r="A5088" t="n">
        <v>5088</v>
      </c>
      <c r="B5088">
        <f>IF(INDEX('Data Entry'!$H$5:$BE$10004,5088-4,'Visual SPC'!$B$3)="",0,IF(AND(OR('Visual SPC'!$C$4="",'Data Entry'!$C5088&gt;='Visual SPC'!$C$4),OR('Visual SPC'!$E$4="",'Data Entry'!$C5088&lt;='Visual SPC'!$E$4),OR('Visual SPC'!$G$4="",'Data Entry'!$D5088='Visual SPC'!$G$4),OR('Visual SPC'!$I$4="",'Data Entry'!$E5088='Visual SPC'!$I$4),OR('Visual SPC'!$K$4="",'Data Entry'!$F5088='Visual SPC'!$K$4)),1,0))</f>
        <v/>
      </c>
      <c r="C5088">
        <f>C5087+B5088</f>
        <v/>
      </c>
      <c r="D5088">
        <f>IF(B5088=1,INDEX('Data Entry'!$H$5:$BE$10004,5088-4,'Visual SPC'!$B$3),"")</f>
        <v/>
      </c>
      <c r="E5088">
        <f>IF(B5088=1,D5088,E5087)</f>
        <v/>
      </c>
      <c r="F5088">
        <f>IF(AND(B5088=1,C5088&gt;1,E5087&lt;&gt;""),ABS(D5088-E5087),"")</f>
        <v/>
      </c>
    </row>
    <row r="5089">
      <c r="A5089" t="n">
        <v>5089</v>
      </c>
      <c r="B5089">
        <f>IF(INDEX('Data Entry'!$H$5:$BE$10004,5089-4,'Visual SPC'!$B$3)="",0,IF(AND(OR('Visual SPC'!$C$4="",'Data Entry'!$C5089&gt;='Visual SPC'!$C$4),OR('Visual SPC'!$E$4="",'Data Entry'!$C5089&lt;='Visual SPC'!$E$4),OR('Visual SPC'!$G$4="",'Data Entry'!$D5089='Visual SPC'!$G$4),OR('Visual SPC'!$I$4="",'Data Entry'!$E5089='Visual SPC'!$I$4),OR('Visual SPC'!$K$4="",'Data Entry'!$F5089='Visual SPC'!$K$4)),1,0))</f>
        <v/>
      </c>
      <c r="C5089">
        <f>C5088+B5089</f>
        <v/>
      </c>
      <c r="D5089">
        <f>IF(B5089=1,INDEX('Data Entry'!$H$5:$BE$10004,5089-4,'Visual SPC'!$B$3),"")</f>
        <v/>
      </c>
      <c r="E5089">
        <f>IF(B5089=1,D5089,E5088)</f>
        <v/>
      </c>
      <c r="F5089">
        <f>IF(AND(B5089=1,C5089&gt;1,E5088&lt;&gt;""),ABS(D5089-E5088),"")</f>
        <v/>
      </c>
    </row>
    <row r="5090">
      <c r="A5090" t="n">
        <v>5090</v>
      </c>
      <c r="B5090">
        <f>IF(INDEX('Data Entry'!$H$5:$BE$10004,5090-4,'Visual SPC'!$B$3)="",0,IF(AND(OR('Visual SPC'!$C$4="",'Data Entry'!$C5090&gt;='Visual SPC'!$C$4),OR('Visual SPC'!$E$4="",'Data Entry'!$C5090&lt;='Visual SPC'!$E$4),OR('Visual SPC'!$G$4="",'Data Entry'!$D5090='Visual SPC'!$G$4),OR('Visual SPC'!$I$4="",'Data Entry'!$E5090='Visual SPC'!$I$4),OR('Visual SPC'!$K$4="",'Data Entry'!$F5090='Visual SPC'!$K$4)),1,0))</f>
        <v/>
      </c>
      <c r="C5090">
        <f>C5089+B5090</f>
        <v/>
      </c>
      <c r="D5090">
        <f>IF(B5090=1,INDEX('Data Entry'!$H$5:$BE$10004,5090-4,'Visual SPC'!$B$3),"")</f>
        <v/>
      </c>
      <c r="E5090">
        <f>IF(B5090=1,D5090,E5089)</f>
        <v/>
      </c>
      <c r="F5090">
        <f>IF(AND(B5090=1,C5090&gt;1,E5089&lt;&gt;""),ABS(D5090-E5089),"")</f>
        <v/>
      </c>
    </row>
    <row r="5091">
      <c r="A5091" t="n">
        <v>5091</v>
      </c>
      <c r="B5091">
        <f>IF(INDEX('Data Entry'!$H$5:$BE$10004,5091-4,'Visual SPC'!$B$3)="",0,IF(AND(OR('Visual SPC'!$C$4="",'Data Entry'!$C5091&gt;='Visual SPC'!$C$4),OR('Visual SPC'!$E$4="",'Data Entry'!$C5091&lt;='Visual SPC'!$E$4),OR('Visual SPC'!$G$4="",'Data Entry'!$D5091='Visual SPC'!$G$4),OR('Visual SPC'!$I$4="",'Data Entry'!$E5091='Visual SPC'!$I$4),OR('Visual SPC'!$K$4="",'Data Entry'!$F5091='Visual SPC'!$K$4)),1,0))</f>
        <v/>
      </c>
      <c r="C5091">
        <f>C5090+B5091</f>
        <v/>
      </c>
      <c r="D5091">
        <f>IF(B5091=1,INDEX('Data Entry'!$H$5:$BE$10004,5091-4,'Visual SPC'!$B$3),"")</f>
        <v/>
      </c>
      <c r="E5091">
        <f>IF(B5091=1,D5091,E5090)</f>
        <v/>
      </c>
      <c r="F5091">
        <f>IF(AND(B5091=1,C5091&gt;1,E5090&lt;&gt;""),ABS(D5091-E5090),"")</f>
        <v/>
      </c>
    </row>
    <row r="5092">
      <c r="A5092" t="n">
        <v>5092</v>
      </c>
      <c r="B5092">
        <f>IF(INDEX('Data Entry'!$H$5:$BE$10004,5092-4,'Visual SPC'!$B$3)="",0,IF(AND(OR('Visual SPC'!$C$4="",'Data Entry'!$C5092&gt;='Visual SPC'!$C$4),OR('Visual SPC'!$E$4="",'Data Entry'!$C5092&lt;='Visual SPC'!$E$4),OR('Visual SPC'!$G$4="",'Data Entry'!$D5092='Visual SPC'!$G$4),OR('Visual SPC'!$I$4="",'Data Entry'!$E5092='Visual SPC'!$I$4),OR('Visual SPC'!$K$4="",'Data Entry'!$F5092='Visual SPC'!$K$4)),1,0))</f>
        <v/>
      </c>
      <c r="C5092">
        <f>C5091+B5092</f>
        <v/>
      </c>
      <c r="D5092">
        <f>IF(B5092=1,INDEX('Data Entry'!$H$5:$BE$10004,5092-4,'Visual SPC'!$B$3),"")</f>
        <v/>
      </c>
      <c r="E5092">
        <f>IF(B5092=1,D5092,E5091)</f>
        <v/>
      </c>
      <c r="F5092">
        <f>IF(AND(B5092=1,C5092&gt;1,E5091&lt;&gt;""),ABS(D5092-E5091),"")</f>
        <v/>
      </c>
    </row>
    <row r="5093">
      <c r="A5093" t="n">
        <v>5093</v>
      </c>
      <c r="B5093">
        <f>IF(INDEX('Data Entry'!$H$5:$BE$10004,5093-4,'Visual SPC'!$B$3)="",0,IF(AND(OR('Visual SPC'!$C$4="",'Data Entry'!$C5093&gt;='Visual SPC'!$C$4),OR('Visual SPC'!$E$4="",'Data Entry'!$C5093&lt;='Visual SPC'!$E$4),OR('Visual SPC'!$G$4="",'Data Entry'!$D5093='Visual SPC'!$G$4),OR('Visual SPC'!$I$4="",'Data Entry'!$E5093='Visual SPC'!$I$4),OR('Visual SPC'!$K$4="",'Data Entry'!$F5093='Visual SPC'!$K$4)),1,0))</f>
        <v/>
      </c>
      <c r="C5093">
        <f>C5092+B5093</f>
        <v/>
      </c>
      <c r="D5093">
        <f>IF(B5093=1,INDEX('Data Entry'!$H$5:$BE$10004,5093-4,'Visual SPC'!$B$3),"")</f>
        <v/>
      </c>
      <c r="E5093">
        <f>IF(B5093=1,D5093,E5092)</f>
        <v/>
      </c>
      <c r="F5093">
        <f>IF(AND(B5093=1,C5093&gt;1,E5092&lt;&gt;""),ABS(D5093-E5092),"")</f>
        <v/>
      </c>
    </row>
    <row r="5094">
      <c r="A5094" t="n">
        <v>5094</v>
      </c>
      <c r="B5094">
        <f>IF(INDEX('Data Entry'!$H$5:$BE$10004,5094-4,'Visual SPC'!$B$3)="",0,IF(AND(OR('Visual SPC'!$C$4="",'Data Entry'!$C5094&gt;='Visual SPC'!$C$4),OR('Visual SPC'!$E$4="",'Data Entry'!$C5094&lt;='Visual SPC'!$E$4),OR('Visual SPC'!$G$4="",'Data Entry'!$D5094='Visual SPC'!$G$4),OR('Visual SPC'!$I$4="",'Data Entry'!$E5094='Visual SPC'!$I$4),OR('Visual SPC'!$K$4="",'Data Entry'!$F5094='Visual SPC'!$K$4)),1,0))</f>
        <v/>
      </c>
      <c r="C5094">
        <f>C5093+B5094</f>
        <v/>
      </c>
      <c r="D5094">
        <f>IF(B5094=1,INDEX('Data Entry'!$H$5:$BE$10004,5094-4,'Visual SPC'!$B$3),"")</f>
        <v/>
      </c>
      <c r="E5094">
        <f>IF(B5094=1,D5094,E5093)</f>
        <v/>
      </c>
      <c r="F5094">
        <f>IF(AND(B5094=1,C5094&gt;1,E5093&lt;&gt;""),ABS(D5094-E5093),"")</f>
        <v/>
      </c>
    </row>
    <row r="5095">
      <c r="A5095" t="n">
        <v>5095</v>
      </c>
      <c r="B5095">
        <f>IF(INDEX('Data Entry'!$H$5:$BE$10004,5095-4,'Visual SPC'!$B$3)="",0,IF(AND(OR('Visual SPC'!$C$4="",'Data Entry'!$C5095&gt;='Visual SPC'!$C$4),OR('Visual SPC'!$E$4="",'Data Entry'!$C5095&lt;='Visual SPC'!$E$4),OR('Visual SPC'!$G$4="",'Data Entry'!$D5095='Visual SPC'!$G$4),OR('Visual SPC'!$I$4="",'Data Entry'!$E5095='Visual SPC'!$I$4),OR('Visual SPC'!$K$4="",'Data Entry'!$F5095='Visual SPC'!$K$4)),1,0))</f>
        <v/>
      </c>
      <c r="C5095">
        <f>C5094+B5095</f>
        <v/>
      </c>
      <c r="D5095">
        <f>IF(B5095=1,INDEX('Data Entry'!$H$5:$BE$10004,5095-4,'Visual SPC'!$B$3),"")</f>
        <v/>
      </c>
      <c r="E5095">
        <f>IF(B5095=1,D5095,E5094)</f>
        <v/>
      </c>
      <c r="F5095">
        <f>IF(AND(B5095=1,C5095&gt;1,E5094&lt;&gt;""),ABS(D5095-E5094),"")</f>
        <v/>
      </c>
    </row>
    <row r="5096">
      <c r="A5096" t="n">
        <v>5096</v>
      </c>
      <c r="B5096">
        <f>IF(INDEX('Data Entry'!$H$5:$BE$10004,5096-4,'Visual SPC'!$B$3)="",0,IF(AND(OR('Visual SPC'!$C$4="",'Data Entry'!$C5096&gt;='Visual SPC'!$C$4),OR('Visual SPC'!$E$4="",'Data Entry'!$C5096&lt;='Visual SPC'!$E$4),OR('Visual SPC'!$G$4="",'Data Entry'!$D5096='Visual SPC'!$G$4),OR('Visual SPC'!$I$4="",'Data Entry'!$E5096='Visual SPC'!$I$4),OR('Visual SPC'!$K$4="",'Data Entry'!$F5096='Visual SPC'!$K$4)),1,0))</f>
        <v/>
      </c>
      <c r="C5096">
        <f>C5095+B5096</f>
        <v/>
      </c>
      <c r="D5096">
        <f>IF(B5096=1,INDEX('Data Entry'!$H$5:$BE$10004,5096-4,'Visual SPC'!$B$3),"")</f>
        <v/>
      </c>
      <c r="E5096">
        <f>IF(B5096=1,D5096,E5095)</f>
        <v/>
      </c>
      <c r="F5096">
        <f>IF(AND(B5096=1,C5096&gt;1,E5095&lt;&gt;""),ABS(D5096-E5095),"")</f>
        <v/>
      </c>
    </row>
    <row r="5097">
      <c r="A5097" t="n">
        <v>5097</v>
      </c>
      <c r="B5097">
        <f>IF(INDEX('Data Entry'!$H$5:$BE$10004,5097-4,'Visual SPC'!$B$3)="",0,IF(AND(OR('Visual SPC'!$C$4="",'Data Entry'!$C5097&gt;='Visual SPC'!$C$4),OR('Visual SPC'!$E$4="",'Data Entry'!$C5097&lt;='Visual SPC'!$E$4),OR('Visual SPC'!$G$4="",'Data Entry'!$D5097='Visual SPC'!$G$4),OR('Visual SPC'!$I$4="",'Data Entry'!$E5097='Visual SPC'!$I$4),OR('Visual SPC'!$K$4="",'Data Entry'!$F5097='Visual SPC'!$K$4)),1,0))</f>
        <v/>
      </c>
      <c r="C5097">
        <f>C5096+B5097</f>
        <v/>
      </c>
      <c r="D5097">
        <f>IF(B5097=1,INDEX('Data Entry'!$H$5:$BE$10004,5097-4,'Visual SPC'!$B$3),"")</f>
        <v/>
      </c>
      <c r="E5097">
        <f>IF(B5097=1,D5097,E5096)</f>
        <v/>
      </c>
      <c r="F5097">
        <f>IF(AND(B5097=1,C5097&gt;1,E5096&lt;&gt;""),ABS(D5097-E5096),"")</f>
        <v/>
      </c>
    </row>
    <row r="5098">
      <c r="A5098" t="n">
        <v>5098</v>
      </c>
      <c r="B5098">
        <f>IF(INDEX('Data Entry'!$H$5:$BE$10004,5098-4,'Visual SPC'!$B$3)="",0,IF(AND(OR('Visual SPC'!$C$4="",'Data Entry'!$C5098&gt;='Visual SPC'!$C$4),OR('Visual SPC'!$E$4="",'Data Entry'!$C5098&lt;='Visual SPC'!$E$4),OR('Visual SPC'!$G$4="",'Data Entry'!$D5098='Visual SPC'!$G$4),OR('Visual SPC'!$I$4="",'Data Entry'!$E5098='Visual SPC'!$I$4),OR('Visual SPC'!$K$4="",'Data Entry'!$F5098='Visual SPC'!$K$4)),1,0))</f>
        <v/>
      </c>
      <c r="C5098">
        <f>C5097+B5098</f>
        <v/>
      </c>
      <c r="D5098">
        <f>IF(B5098=1,INDEX('Data Entry'!$H$5:$BE$10004,5098-4,'Visual SPC'!$B$3),"")</f>
        <v/>
      </c>
      <c r="E5098">
        <f>IF(B5098=1,D5098,E5097)</f>
        <v/>
      </c>
      <c r="F5098">
        <f>IF(AND(B5098=1,C5098&gt;1,E5097&lt;&gt;""),ABS(D5098-E5097),"")</f>
        <v/>
      </c>
    </row>
    <row r="5099">
      <c r="A5099" t="n">
        <v>5099</v>
      </c>
      <c r="B5099">
        <f>IF(INDEX('Data Entry'!$H$5:$BE$10004,5099-4,'Visual SPC'!$B$3)="",0,IF(AND(OR('Visual SPC'!$C$4="",'Data Entry'!$C5099&gt;='Visual SPC'!$C$4),OR('Visual SPC'!$E$4="",'Data Entry'!$C5099&lt;='Visual SPC'!$E$4),OR('Visual SPC'!$G$4="",'Data Entry'!$D5099='Visual SPC'!$G$4),OR('Visual SPC'!$I$4="",'Data Entry'!$E5099='Visual SPC'!$I$4),OR('Visual SPC'!$K$4="",'Data Entry'!$F5099='Visual SPC'!$K$4)),1,0))</f>
        <v/>
      </c>
      <c r="C5099">
        <f>C5098+B5099</f>
        <v/>
      </c>
      <c r="D5099">
        <f>IF(B5099=1,INDEX('Data Entry'!$H$5:$BE$10004,5099-4,'Visual SPC'!$B$3),"")</f>
        <v/>
      </c>
      <c r="E5099">
        <f>IF(B5099=1,D5099,E5098)</f>
        <v/>
      </c>
      <c r="F5099">
        <f>IF(AND(B5099=1,C5099&gt;1,E5098&lt;&gt;""),ABS(D5099-E5098),"")</f>
        <v/>
      </c>
    </row>
    <row r="5100">
      <c r="A5100" t="n">
        <v>5100</v>
      </c>
      <c r="B5100">
        <f>IF(INDEX('Data Entry'!$H$5:$BE$10004,5100-4,'Visual SPC'!$B$3)="",0,IF(AND(OR('Visual SPC'!$C$4="",'Data Entry'!$C5100&gt;='Visual SPC'!$C$4),OR('Visual SPC'!$E$4="",'Data Entry'!$C5100&lt;='Visual SPC'!$E$4),OR('Visual SPC'!$G$4="",'Data Entry'!$D5100='Visual SPC'!$G$4),OR('Visual SPC'!$I$4="",'Data Entry'!$E5100='Visual SPC'!$I$4),OR('Visual SPC'!$K$4="",'Data Entry'!$F5100='Visual SPC'!$K$4)),1,0))</f>
        <v/>
      </c>
      <c r="C5100">
        <f>C5099+B5100</f>
        <v/>
      </c>
      <c r="D5100">
        <f>IF(B5100=1,INDEX('Data Entry'!$H$5:$BE$10004,5100-4,'Visual SPC'!$B$3),"")</f>
        <v/>
      </c>
      <c r="E5100">
        <f>IF(B5100=1,D5100,E5099)</f>
        <v/>
      </c>
      <c r="F5100">
        <f>IF(AND(B5100=1,C5100&gt;1,E5099&lt;&gt;""),ABS(D5100-E5099),"")</f>
        <v/>
      </c>
    </row>
    <row r="5101">
      <c r="A5101" t="n">
        <v>5101</v>
      </c>
      <c r="B5101">
        <f>IF(INDEX('Data Entry'!$H$5:$BE$10004,5101-4,'Visual SPC'!$B$3)="",0,IF(AND(OR('Visual SPC'!$C$4="",'Data Entry'!$C5101&gt;='Visual SPC'!$C$4),OR('Visual SPC'!$E$4="",'Data Entry'!$C5101&lt;='Visual SPC'!$E$4),OR('Visual SPC'!$G$4="",'Data Entry'!$D5101='Visual SPC'!$G$4),OR('Visual SPC'!$I$4="",'Data Entry'!$E5101='Visual SPC'!$I$4),OR('Visual SPC'!$K$4="",'Data Entry'!$F5101='Visual SPC'!$K$4)),1,0))</f>
        <v/>
      </c>
      <c r="C5101">
        <f>C5100+B5101</f>
        <v/>
      </c>
      <c r="D5101">
        <f>IF(B5101=1,INDEX('Data Entry'!$H$5:$BE$10004,5101-4,'Visual SPC'!$B$3),"")</f>
        <v/>
      </c>
      <c r="E5101">
        <f>IF(B5101=1,D5101,E5100)</f>
        <v/>
      </c>
      <c r="F5101">
        <f>IF(AND(B5101=1,C5101&gt;1,E5100&lt;&gt;""),ABS(D5101-E5100),"")</f>
        <v/>
      </c>
    </row>
    <row r="5102">
      <c r="A5102" t="n">
        <v>5102</v>
      </c>
      <c r="B5102">
        <f>IF(INDEX('Data Entry'!$H$5:$BE$10004,5102-4,'Visual SPC'!$B$3)="",0,IF(AND(OR('Visual SPC'!$C$4="",'Data Entry'!$C5102&gt;='Visual SPC'!$C$4),OR('Visual SPC'!$E$4="",'Data Entry'!$C5102&lt;='Visual SPC'!$E$4),OR('Visual SPC'!$G$4="",'Data Entry'!$D5102='Visual SPC'!$G$4),OR('Visual SPC'!$I$4="",'Data Entry'!$E5102='Visual SPC'!$I$4),OR('Visual SPC'!$K$4="",'Data Entry'!$F5102='Visual SPC'!$K$4)),1,0))</f>
        <v/>
      </c>
      <c r="C5102">
        <f>C5101+B5102</f>
        <v/>
      </c>
      <c r="D5102">
        <f>IF(B5102=1,INDEX('Data Entry'!$H$5:$BE$10004,5102-4,'Visual SPC'!$B$3),"")</f>
        <v/>
      </c>
      <c r="E5102">
        <f>IF(B5102=1,D5102,E5101)</f>
        <v/>
      </c>
      <c r="F5102">
        <f>IF(AND(B5102=1,C5102&gt;1,E5101&lt;&gt;""),ABS(D5102-E5101),"")</f>
        <v/>
      </c>
    </row>
    <row r="5103">
      <c r="A5103" t="n">
        <v>5103</v>
      </c>
      <c r="B5103">
        <f>IF(INDEX('Data Entry'!$H$5:$BE$10004,5103-4,'Visual SPC'!$B$3)="",0,IF(AND(OR('Visual SPC'!$C$4="",'Data Entry'!$C5103&gt;='Visual SPC'!$C$4),OR('Visual SPC'!$E$4="",'Data Entry'!$C5103&lt;='Visual SPC'!$E$4),OR('Visual SPC'!$G$4="",'Data Entry'!$D5103='Visual SPC'!$G$4),OR('Visual SPC'!$I$4="",'Data Entry'!$E5103='Visual SPC'!$I$4),OR('Visual SPC'!$K$4="",'Data Entry'!$F5103='Visual SPC'!$K$4)),1,0))</f>
        <v/>
      </c>
      <c r="C5103">
        <f>C5102+B5103</f>
        <v/>
      </c>
      <c r="D5103">
        <f>IF(B5103=1,INDEX('Data Entry'!$H$5:$BE$10004,5103-4,'Visual SPC'!$B$3),"")</f>
        <v/>
      </c>
      <c r="E5103">
        <f>IF(B5103=1,D5103,E5102)</f>
        <v/>
      </c>
      <c r="F5103">
        <f>IF(AND(B5103=1,C5103&gt;1,E5102&lt;&gt;""),ABS(D5103-E5102),"")</f>
        <v/>
      </c>
    </row>
    <row r="5104">
      <c r="A5104" t="n">
        <v>5104</v>
      </c>
      <c r="B5104">
        <f>IF(INDEX('Data Entry'!$H$5:$BE$10004,5104-4,'Visual SPC'!$B$3)="",0,IF(AND(OR('Visual SPC'!$C$4="",'Data Entry'!$C5104&gt;='Visual SPC'!$C$4),OR('Visual SPC'!$E$4="",'Data Entry'!$C5104&lt;='Visual SPC'!$E$4),OR('Visual SPC'!$G$4="",'Data Entry'!$D5104='Visual SPC'!$G$4),OR('Visual SPC'!$I$4="",'Data Entry'!$E5104='Visual SPC'!$I$4),OR('Visual SPC'!$K$4="",'Data Entry'!$F5104='Visual SPC'!$K$4)),1,0))</f>
        <v/>
      </c>
      <c r="C5104">
        <f>C5103+B5104</f>
        <v/>
      </c>
      <c r="D5104">
        <f>IF(B5104=1,INDEX('Data Entry'!$H$5:$BE$10004,5104-4,'Visual SPC'!$B$3),"")</f>
        <v/>
      </c>
      <c r="E5104">
        <f>IF(B5104=1,D5104,E5103)</f>
        <v/>
      </c>
      <c r="F5104">
        <f>IF(AND(B5104=1,C5104&gt;1,E5103&lt;&gt;""),ABS(D5104-E5103),"")</f>
        <v/>
      </c>
    </row>
    <row r="5105">
      <c r="A5105" t="n">
        <v>5105</v>
      </c>
      <c r="B5105">
        <f>IF(INDEX('Data Entry'!$H$5:$BE$10004,5105-4,'Visual SPC'!$B$3)="",0,IF(AND(OR('Visual SPC'!$C$4="",'Data Entry'!$C5105&gt;='Visual SPC'!$C$4),OR('Visual SPC'!$E$4="",'Data Entry'!$C5105&lt;='Visual SPC'!$E$4),OR('Visual SPC'!$G$4="",'Data Entry'!$D5105='Visual SPC'!$G$4),OR('Visual SPC'!$I$4="",'Data Entry'!$E5105='Visual SPC'!$I$4),OR('Visual SPC'!$K$4="",'Data Entry'!$F5105='Visual SPC'!$K$4)),1,0))</f>
        <v/>
      </c>
      <c r="C5105">
        <f>C5104+B5105</f>
        <v/>
      </c>
      <c r="D5105">
        <f>IF(B5105=1,INDEX('Data Entry'!$H$5:$BE$10004,5105-4,'Visual SPC'!$B$3),"")</f>
        <v/>
      </c>
      <c r="E5105">
        <f>IF(B5105=1,D5105,E5104)</f>
        <v/>
      </c>
      <c r="F5105">
        <f>IF(AND(B5105=1,C5105&gt;1,E5104&lt;&gt;""),ABS(D5105-E5104),"")</f>
        <v/>
      </c>
    </row>
    <row r="5106">
      <c r="A5106" t="n">
        <v>5106</v>
      </c>
      <c r="B5106">
        <f>IF(INDEX('Data Entry'!$H$5:$BE$10004,5106-4,'Visual SPC'!$B$3)="",0,IF(AND(OR('Visual SPC'!$C$4="",'Data Entry'!$C5106&gt;='Visual SPC'!$C$4),OR('Visual SPC'!$E$4="",'Data Entry'!$C5106&lt;='Visual SPC'!$E$4),OR('Visual SPC'!$G$4="",'Data Entry'!$D5106='Visual SPC'!$G$4),OR('Visual SPC'!$I$4="",'Data Entry'!$E5106='Visual SPC'!$I$4),OR('Visual SPC'!$K$4="",'Data Entry'!$F5106='Visual SPC'!$K$4)),1,0))</f>
        <v/>
      </c>
      <c r="C5106">
        <f>C5105+B5106</f>
        <v/>
      </c>
      <c r="D5106">
        <f>IF(B5106=1,INDEX('Data Entry'!$H$5:$BE$10004,5106-4,'Visual SPC'!$B$3),"")</f>
        <v/>
      </c>
      <c r="E5106">
        <f>IF(B5106=1,D5106,E5105)</f>
        <v/>
      </c>
      <c r="F5106">
        <f>IF(AND(B5106=1,C5106&gt;1,E5105&lt;&gt;""),ABS(D5106-E5105),"")</f>
        <v/>
      </c>
    </row>
    <row r="5107">
      <c r="A5107" t="n">
        <v>5107</v>
      </c>
      <c r="B5107">
        <f>IF(INDEX('Data Entry'!$H$5:$BE$10004,5107-4,'Visual SPC'!$B$3)="",0,IF(AND(OR('Visual SPC'!$C$4="",'Data Entry'!$C5107&gt;='Visual SPC'!$C$4),OR('Visual SPC'!$E$4="",'Data Entry'!$C5107&lt;='Visual SPC'!$E$4),OR('Visual SPC'!$G$4="",'Data Entry'!$D5107='Visual SPC'!$G$4),OR('Visual SPC'!$I$4="",'Data Entry'!$E5107='Visual SPC'!$I$4),OR('Visual SPC'!$K$4="",'Data Entry'!$F5107='Visual SPC'!$K$4)),1,0))</f>
        <v/>
      </c>
      <c r="C5107">
        <f>C5106+B5107</f>
        <v/>
      </c>
      <c r="D5107">
        <f>IF(B5107=1,INDEX('Data Entry'!$H$5:$BE$10004,5107-4,'Visual SPC'!$B$3),"")</f>
        <v/>
      </c>
      <c r="E5107">
        <f>IF(B5107=1,D5107,E5106)</f>
        <v/>
      </c>
      <c r="F5107">
        <f>IF(AND(B5107=1,C5107&gt;1,E5106&lt;&gt;""),ABS(D5107-E5106),"")</f>
        <v/>
      </c>
    </row>
    <row r="5108">
      <c r="A5108" t="n">
        <v>5108</v>
      </c>
      <c r="B5108">
        <f>IF(INDEX('Data Entry'!$H$5:$BE$10004,5108-4,'Visual SPC'!$B$3)="",0,IF(AND(OR('Visual SPC'!$C$4="",'Data Entry'!$C5108&gt;='Visual SPC'!$C$4),OR('Visual SPC'!$E$4="",'Data Entry'!$C5108&lt;='Visual SPC'!$E$4),OR('Visual SPC'!$G$4="",'Data Entry'!$D5108='Visual SPC'!$G$4),OR('Visual SPC'!$I$4="",'Data Entry'!$E5108='Visual SPC'!$I$4),OR('Visual SPC'!$K$4="",'Data Entry'!$F5108='Visual SPC'!$K$4)),1,0))</f>
        <v/>
      </c>
      <c r="C5108">
        <f>C5107+B5108</f>
        <v/>
      </c>
      <c r="D5108">
        <f>IF(B5108=1,INDEX('Data Entry'!$H$5:$BE$10004,5108-4,'Visual SPC'!$B$3),"")</f>
        <v/>
      </c>
      <c r="E5108">
        <f>IF(B5108=1,D5108,E5107)</f>
        <v/>
      </c>
      <c r="F5108">
        <f>IF(AND(B5108=1,C5108&gt;1,E5107&lt;&gt;""),ABS(D5108-E5107),"")</f>
        <v/>
      </c>
    </row>
    <row r="5109">
      <c r="A5109" t="n">
        <v>5109</v>
      </c>
      <c r="B5109">
        <f>IF(INDEX('Data Entry'!$H$5:$BE$10004,5109-4,'Visual SPC'!$B$3)="",0,IF(AND(OR('Visual SPC'!$C$4="",'Data Entry'!$C5109&gt;='Visual SPC'!$C$4),OR('Visual SPC'!$E$4="",'Data Entry'!$C5109&lt;='Visual SPC'!$E$4),OR('Visual SPC'!$G$4="",'Data Entry'!$D5109='Visual SPC'!$G$4),OR('Visual SPC'!$I$4="",'Data Entry'!$E5109='Visual SPC'!$I$4),OR('Visual SPC'!$K$4="",'Data Entry'!$F5109='Visual SPC'!$K$4)),1,0))</f>
        <v/>
      </c>
      <c r="C5109">
        <f>C5108+B5109</f>
        <v/>
      </c>
      <c r="D5109">
        <f>IF(B5109=1,INDEX('Data Entry'!$H$5:$BE$10004,5109-4,'Visual SPC'!$B$3),"")</f>
        <v/>
      </c>
      <c r="E5109">
        <f>IF(B5109=1,D5109,E5108)</f>
        <v/>
      </c>
      <c r="F5109">
        <f>IF(AND(B5109=1,C5109&gt;1,E5108&lt;&gt;""),ABS(D5109-E5108),"")</f>
        <v/>
      </c>
    </row>
    <row r="5110">
      <c r="A5110" t="n">
        <v>5110</v>
      </c>
      <c r="B5110">
        <f>IF(INDEX('Data Entry'!$H$5:$BE$10004,5110-4,'Visual SPC'!$B$3)="",0,IF(AND(OR('Visual SPC'!$C$4="",'Data Entry'!$C5110&gt;='Visual SPC'!$C$4),OR('Visual SPC'!$E$4="",'Data Entry'!$C5110&lt;='Visual SPC'!$E$4),OR('Visual SPC'!$G$4="",'Data Entry'!$D5110='Visual SPC'!$G$4),OR('Visual SPC'!$I$4="",'Data Entry'!$E5110='Visual SPC'!$I$4),OR('Visual SPC'!$K$4="",'Data Entry'!$F5110='Visual SPC'!$K$4)),1,0))</f>
        <v/>
      </c>
      <c r="C5110">
        <f>C5109+B5110</f>
        <v/>
      </c>
      <c r="D5110">
        <f>IF(B5110=1,INDEX('Data Entry'!$H$5:$BE$10004,5110-4,'Visual SPC'!$B$3),"")</f>
        <v/>
      </c>
      <c r="E5110">
        <f>IF(B5110=1,D5110,E5109)</f>
        <v/>
      </c>
      <c r="F5110">
        <f>IF(AND(B5110=1,C5110&gt;1,E5109&lt;&gt;""),ABS(D5110-E5109),"")</f>
        <v/>
      </c>
    </row>
    <row r="5111">
      <c r="A5111" t="n">
        <v>5111</v>
      </c>
      <c r="B5111">
        <f>IF(INDEX('Data Entry'!$H$5:$BE$10004,5111-4,'Visual SPC'!$B$3)="",0,IF(AND(OR('Visual SPC'!$C$4="",'Data Entry'!$C5111&gt;='Visual SPC'!$C$4),OR('Visual SPC'!$E$4="",'Data Entry'!$C5111&lt;='Visual SPC'!$E$4),OR('Visual SPC'!$G$4="",'Data Entry'!$D5111='Visual SPC'!$G$4),OR('Visual SPC'!$I$4="",'Data Entry'!$E5111='Visual SPC'!$I$4),OR('Visual SPC'!$K$4="",'Data Entry'!$F5111='Visual SPC'!$K$4)),1,0))</f>
        <v/>
      </c>
      <c r="C5111">
        <f>C5110+B5111</f>
        <v/>
      </c>
      <c r="D5111">
        <f>IF(B5111=1,INDEX('Data Entry'!$H$5:$BE$10004,5111-4,'Visual SPC'!$B$3),"")</f>
        <v/>
      </c>
      <c r="E5111">
        <f>IF(B5111=1,D5111,E5110)</f>
        <v/>
      </c>
      <c r="F5111">
        <f>IF(AND(B5111=1,C5111&gt;1,E5110&lt;&gt;""),ABS(D5111-E5110),"")</f>
        <v/>
      </c>
    </row>
    <row r="5112">
      <c r="A5112" t="n">
        <v>5112</v>
      </c>
      <c r="B5112">
        <f>IF(INDEX('Data Entry'!$H$5:$BE$10004,5112-4,'Visual SPC'!$B$3)="",0,IF(AND(OR('Visual SPC'!$C$4="",'Data Entry'!$C5112&gt;='Visual SPC'!$C$4),OR('Visual SPC'!$E$4="",'Data Entry'!$C5112&lt;='Visual SPC'!$E$4),OR('Visual SPC'!$G$4="",'Data Entry'!$D5112='Visual SPC'!$G$4),OR('Visual SPC'!$I$4="",'Data Entry'!$E5112='Visual SPC'!$I$4),OR('Visual SPC'!$K$4="",'Data Entry'!$F5112='Visual SPC'!$K$4)),1,0))</f>
        <v/>
      </c>
      <c r="C5112">
        <f>C5111+B5112</f>
        <v/>
      </c>
      <c r="D5112">
        <f>IF(B5112=1,INDEX('Data Entry'!$H$5:$BE$10004,5112-4,'Visual SPC'!$B$3),"")</f>
        <v/>
      </c>
      <c r="E5112">
        <f>IF(B5112=1,D5112,E5111)</f>
        <v/>
      </c>
      <c r="F5112">
        <f>IF(AND(B5112=1,C5112&gt;1,E5111&lt;&gt;""),ABS(D5112-E5111),"")</f>
        <v/>
      </c>
    </row>
    <row r="5113">
      <c r="A5113" t="n">
        <v>5113</v>
      </c>
      <c r="B5113">
        <f>IF(INDEX('Data Entry'!$H$5:$BE$10004,5113-4,'Visual SPC'!$B$3)="",0,IF(AND(OR('Visual SPC'!$C$4="",'Data Entry'!$C5113&gt;='Visual SPC'!$C$4),OR('Visual SPC'!$E$4="",'Data Entry'!$C5113&lt;='Visual SPC'!$E$4),OR('Visual SPC'!$G$4="",'Data Entry'!$D5113='Visual SPC'!$G$4),OR('Visual SPC'!$I$4="",'Data Entry'!$E5113='Visual SPC'!$I$4),OR('Visual SPC'!$K$4="",'Data Entry'!$F5113='Visual SPC'!$K$4)),1,0))</f>
        <v/>
      </c>
      <c r="C5113">
        <f>C5112+B5113</f>
        <v/>
      </c>
      <c r="D5113">
        <f>IF(B5113=1,INDEX('Data Entry'!$H$5:$BE$10004,5113-4,'Visual SPC'!$B$3),"")</f>
        <v/>
      </c>
      <c r="E5113">
        <f>IF(B5113=1,D5113,E5112)</f>
        <v/>
      </c>
      <c r="F5113">
        <f>IF(AND(B5113=1,C5113&gt;1,E5112&lt;&gt;""),ABS(D5113-E5112),"")</f>
        <v/>
      </c>
    </row>
    <row r="5114">
      <c r="A5114" t="n">
        <v>5114</v>
      </c>
      <c r="B5114">
        <f>IF(INDEX('Data Entry'!$H$5:$BE$10004,5114-4,'Visual SPC'!$B$3)="",0,IF(AND(OR('Visual SPC'!$C$4="",'Data Entry'!$C5114&gt;='Visual SPC'!$C$4),OR('Visual SPC'!$E$4="",'Data Entry'!$C5114&lt;='Visual SPC'!$E$4),OR('Visual SPC'!$G$4="",'Data Entry'!$D5114='Visual SPC'!$G$4),OR('Visual SPC'!$I$4="",'Data Entry'!$E5114='Visual SPC'!$I$4),OR('Visual SPC'!$K$4="",'Data Entry'!$F5114='Visual SPC'!$K$4)),1,0))</f>
        <v/>
      </c>
      <c r="C5114">
        <f>C5113+B5114</f>
        <v/>
      </c>
      <c r="D5114">
        <f>IF(B5114=1,INDEX('Data Entry'!$H$5:$BE$10004,5114-4,'Visual SPC'!$B$3),"")</f>
        <v/>
      </c>
      <c r="E5114">
        <f>IF(B5114=1,D5114,E5113)</f>
        <v/>
      </c>
      <c r="F5114">
        <f>IF(AND(B5114=1,C5114&gt;1,E5113&lt;&gt;""),ABS(D5114-E5113),"")</f>
        <v/>
      </c>
    </row>
    <row r="5115">
      <c r="A5115" t="n">
        <v>5115</v>
      </c>
      <c r="B5115">
        <f>IF(INDEX('Data Entry'!$H$5:$BE$10004,5115-4,'Visual SPC'!$B$3)="",0,IF(AND(OR('Visual SPC'!$C$4="",'Data Entry'!$C5115&gt;='Visual SPC'!$C$4),OR('Visual SPC'!$E$4="",'Data Entry'!$C5115&lt;='Visual SPC'!$E$4),OR('Visual SPC'!$G$4="",'Data Entry'!$D5115='Visual SPC'!$G$4),OR('Visual SPC'!$I$4="",'Data Entry'!$E5115='Visual SPC'!$I$4),OR('Visual SPC'!$K$4="",'Data Entry'!$F5115='Visual SPC'!$K$4)),1,0))</f>
        <v/>
      </c>
      <c r="C5115">
        <f>C5114+B5115</f>
        <v/>
      </c>
      <c r="D5115">
        <f>IF(B5115=1,INDEX('Data Entry'!$H$5:$BE$10004,5115-4,'Visual SPC'!$B$3),"")</f>
        <v/>
      </c>
      <c r="E5115">
        <f>IF(B5115=1,D5115,E5114)</f>
        <v/>
      </c>
      <c r="F5115">
        <f>IF(AND(B5115=1,C5115&gt;1,E5114&lt;&gt;""),ABS(D5115-E5114),"")</f>
        <v/>
      </c>
    </row>
    <row r="5116">
      <c r="A5116" t="n">
        <v>5116</v>
      </c>
      <c r="B5116">
        <f>IF(INDEX('Data Entry'!$H$5:$BE$10004,5116-4,'Visual SPC'!$B$3)="",0,IF(AND(OR('Visual SPC'!$C$4="",'Data Entry'!$C5116&gt;='Visual SPC'!$C$4),OR('Visual SPC'!$E$4="",'Data Entry'!$C5116&lt;='Visual SPC'!$E$4),OR('Visual SPC'!$G$4="",'Data Entry'!$D5116='Visual SPC'!$G$4),OR('Visual SPC'!$I$4="",'Data Entry'!$E5116='Visual SPC'!$I$4),OR('Visual SPC'!$K$4="",'Data Entry'!$F5116='Visual SPC'!$K$4)),1,0))</f>
        <v/>
      </c>
      <c r="C5116">
        <f>C5115+B5116</f>
        <v/>
      </c>
      <c r="D5116">
        <f>IF(B5116=1,INDEX('Data Entry'!$H$5:$BE$10004,5116-4,'Visual SPC'!$B$3),"")</f>
        <v/>
      </c>
      <c r="E5116">
        <f>IF(B5116=1,D5116,E5115)</f>
        <v/>
      </c>
      <c r="F5116">
        <f>IF(AND(B5116=1,C5116&gt;1,E5115&lt;&gt;""),ABS(D5116-E5115),"")</f>
        <v/>
      </c>
    </row>
    <row r="5117">
      <c r="A5117" t="n">
        <v>5117</v>
      </c>
      <c r="B5117">
        <f>IF(INDEX('Data Entry'!$H$5:$BE$10004,5117-4,'Visual SPC'!$B$3)="",0,IF(AND(OR('Visual SPC'!$C$4="",'Data Entry'!$C5117&gt;='Visual SPC'!$C$4),OR('Visual SPC'!$E$4="",'Data Entry'!$C5117&lt;='Visual SPC'!$E$4),OR('Visual SPC'!$G$4="",'Data Entry'!$D5117='Visual SPC'!$G$4),OR('Visual SPC'!$I$4="",'Data Entry'!$E5117='Visual SPC'!$I$4),OR('Visual SPC'!$K$4="",'Data Entry'!$F5117='Visual SPC'!$K$4)),1,0))</f>
        <v/>
      </c>
      <c r="C5117">
        <f>C5116+B5117</f>
        <v/>
      </c>
      <c r="D5117">
        <f>IF(B5117=1,INDEX('Data Entry'!$H$5:$BE$10004,5117-4,'Visual SPC'!$B$3),"")</f>
        <v/>
      </c>
      <c r="E5117">
        <f>IF(B5117=1,D5117,E5116)</f>
        <v/>
      </c>
      <c r="F5117">
        <f>IF(AND(B5117=1,C5117&gt;1,E5116&lt;&gt;""),ABS(D5117-E5116),"")</f>
        <v/>
      </c>
    </row>
    <row r="5118">
      <c r="A5118" t="n">
        <v>5118</v>
      </c>
      <c r="B5118">
        <f>IF(INDEX('Data Entry'!$H$5:$BE$10004,5118-4,'Visual SPC'!$B$3)="",0,IF(AND(OR('Visual SPC'!$C$4="",'Data Entry'!$C5118&gt;='Visual SPC'!$C$4),OR('Visual SPC'!$E$4="",'Data Entry'!$C5118&lt;='Visual SPC'!$E$4),OR('Visual SPC'!$G$4="",'Data Entry'!$D5118='Visual SPC'!$G$4),OR('Visual SPC'!$I$4="",'Data Entry'!$E5118='Visual SPC'!$I$4),OR('Visual SPC'!$K$4="",'Data Entry'!$F5118='Visual SPC'!$K$4)),1,0))</f>
        <v/>
      </c>
      <c r="C5118">
        <f>C5117+B5118</f>
        <v/>
      </c>
      <c r="D5118">
        <f>IF(B5118=1,INDEX('Data Entry'!$H$5:$BE$10004,5118-4,'Visual SPC'!$B$3),"")</f>
        <v/>
      </c>
      <c r="E5118">
        <f>IF(B5118=1,D5118,E5117)</f>
        <v/>
      </c>
      <c r="F5118">
        <f>IF(AND(B5118=1,C5118&gt;1,E5117&lt;&gt;""),ABS(D5118-E5117),"")</f>
        <v/>
      </c>
    </row>
    <row r="5119">
      <c r="A5119" t="n">
        <v>5119</v>
      </c>
      <c r="B5119">
        <f>IF(INDEX('Data Entry'!$H$5:$BE$10004,5119-4,'Visual SPC'!$B$3)="",0,IF(AND(OR('Visual SPC'!$C$4="",'Data Entry'!$C5119&gt;='Visual SPC'!$C$4),OR('Visual SPC'!$E$4="",'Data Entry'!$C5119&lt;='Visual SPC'!$E$4),OR('Visual SPC'!$G$4="",'Data Entry'!$D5119='Visual SPC'!$G$4),OR('Visual SPC'!$I$4="",'Data Entry'!$E5119='Visual SPC'!$I$4),OR('Visual SPC'!$K$4="",'Data Entry'!$F5119='Visual SPC'!$K$4)),1,0))</f>
        <v/>
      </c>
      <c r="C5119">
        <f>C5118+B5119</f>
        <v/>
      </c>
      <c r="D5119">
        <f>IF(B5119=1,INDEX('Data Entry'!$H$5:$BE$10004,5119-4,'Visual SPC'!$B$3),"")</f>
        <v/>
      </c>
      <c r="E5119">
        <f>IF(B5119=1,D5119,E5118)</f>
        <v/>
      </c>
      <c r="F5119">
        <f>IF(AND(B5119=1,C5119&gt;1,E5118&lt;&gt;""),ABS(D5119-E5118),"")</f>
        <v/>
      </c>
    </row>
    <row r="5120">
      <c r="A5120" t="n">
        <v>5120</v>
      </c>
      <c r="B5120">
        <f>IF(INDEX('Data Entry'!$H$5:$BE$10004,5120-4,'Visual SPC'!$B$3)="",0,IF(AND(OR('Visual SPC'!$C$4="",'Data Entry'!$C5120&gt;='Visual SPC'!$C$4),OR('Visual SPC'!$E$4="",'Data Entry'!$C5120&lt;='Visual SPC'!$E$4),OR('Visual SPC'!$G$4="",'Data Entry'!$D5120='Visual SPC'!$G$4),OR('Visual SPC'!$I$4="",'Data Entry'!$E5120='Visual SPC'!$I$4),OR('Visual SPC'!$K$4="",'Data Entry'!$F5120='Visual SPC'!$K$4)),1,0))</f>
        <v/>
      </c>
      <c r="C5120">
        <f>C5119+B5120</f>
        <v/>
      </c>
      <c r="D5120">
        <f>IF(B5120=1,INDEX('Data Entry'!$H$5:$BE$10004,5120-4,'Visual SPC'!$B$3),"")</f>
        <v/>
      </c>
      <c r="E5120">
        <f>IF(B5120=1,D5120,E5119)</f>
        <v/>
      </c>
      <c r="F5120">
        <f>IF(AND(B5120=1,C5120&gt;1,E5119&lt;&gt;""),ABS(D5120-E5119),"")</f>
        <v/>
      </c>
    </row>
    <row r="5121">
      <c r="A5121" t="n">
        <v>5121</v>
      </c>
      <c r="B5121">
        <f>IF(INDEX('Data Entry'!$H$5:$BE$10004,5121-4,'Visual SPC'!$B$3)="",0,IF(AND(OR('Visual SPC'!$C$4="",'Data Entry'!$C5121&gt;='Visual SPC'!$C$4),OR('Visual SPC'!$E$4="",'Data Entry'!$C5121&lt;='Visual SPC'!$E$4),OR('Visual SPC'!$G$4="",'Data Entry'!$D5121='Visual SPC'!$G$4),OR('Visual SPC'!$I$4="",'Data Entry'!$E5121='Visual SPC'!$I$4),OR('Visual SPC'!$K$4="",'Data Entry'!$F5121='Visual SPC'!$K$4)),1,0))</f>
        <v/>
      </c>
      <c r="C5121">
        <f>C5120+B5121</f>
        <v/>
      </c>
      <c r="D5121">
        <f>IF(B5121=1,INDEX('Data Entry'!$H$5:$BE$10004,5121-4,'Visual SPC'!$B$3),"")</f>
        <v/>
      </c>
      <c r="E5121">
        <f>IF(B5121=1,D5121,E5120)</f>
        <v/>
      </c>
      <c r="F5121">
        <f>IF(AND(B5121=1,C5121&gt;1,E5120&lt;&gt;""),ABS(D5121-E5120),"")</f>
        <v/>
      </c>
    </row>
    <row r="5122">
      <c r="A5122" t="n">
        <v>5122</v>
      </c>
      <c r="B5122">
        <f>IF(INDEX('Data Entry'!$H$5:$BE$10004,5122-4,'Visual SPC'!$B$3)="",0,IF(AND(OR('Visual SPC'!$C$4="",'Data Entry'!$C5122&gt;='Visual SPC'!$C$4),OR('Visual SPC'!$E$4="",'Data Entry'!$C5122&lt;='Visual SPC'!$E$4),OR('Visual SPC'!$G$4="",'Data Entry'!$D5122='Visual SPC'!$G$4),OR('Visual SPC'!$I$4="",'Data Entry'!$E5122='Visual SPC'!$I$4),OR('Visual SPC'!$K$4="",'Data Entry'!$F5122='Visual SPC'!$K$4)),1,0))</f>
        <v/>
      </c>
      <c r="C5122">
        <f>C5121+B5122</f>
        <v/>
      </c>
      <c r="D5122">
        <f>IF(B5122=1,INDEX('Data Entry'!$H$5:$BE$10004,5122-4,'Visual SPC'!$B$3),"")</f>
        <v/>
      </c>
      <c r="E5122">
        <f>IF(B5122=1,D5122,E5121)</f>
        <v/>
      </c>
      <c r="F5122">
        <f>IF(AND(B5122=1,C5122&gt;1,E5121&lt;&gt;""),ABS(D5122-E5121),"")</f>
        <v/>
      </c>
    </row>
    <row r="5123">
      <c r="A5123" t="n">
        <v>5123</v>
      </c>
      <c r="B5123">
        <f>IF(INDEX('Data Entry'!$H$5:$BE$10004,5123-4,'Visual SPC'!$B$3)="",0,IF(AND(OR('Visual SPC'!$C$4="",'Data Entry'!$C5123&gt;='Visual SPC'!$C$4),OR('Visual SPC'!$E$4="",'Data Entry'!$C5123&lt;='Visual SPC'!$E$4),OR('Visual SPC'!$G$4="",'Data Entry'!$D5123='Visual SPC'!$G$4),OR('Visual SPC'!$I$4="",'Data Entry'!$E5123='Visual SPC'!$I$4),OR('Visual SPC'!$K$4="",'Data Entry'!$F5123='Visual SPC'!$K$4)),1,0))</f>
        <v/>
      </c>
      <c r="C5123">
        <f>C5122+B5123</f>
        <v/>
      </c>
      <c r="D5123">
        <f>IF(B5123=1,INDEX('Data Entry'!$H$5:$BE$10004,5123-4,'Visual SPC'!$B$3),"")</f>
        <v/>
      </c>
      <c r="E5123">
        <f>IF(B5123=1,D5123,E5122)</f>
        <v/>
      </c>
      <c r="F5123">
        <f>IF(AND(B5123=1,C5123&gt;1,E5122&lt;&gt;""),ABS(D5123-E5122),"")</f>
        <v/>
      </c>
    </row>
    <row r="5124">
      <c r="A5124" t="n">
        <v>5124</v>
      </c>
      <c r="B5124">
        <f>IF(INDEX('Data Entry'!$H$5:$BE$10004,5124-4,'Visual SPC'!$B$3)="",0,IF(AND(OR('Visual SPC'!$C$4="",'Data Entry'!$C5124&gt;='Visual SPC'!$C$4),OR('Visual SPC'!$E$4="",'Data Entry'!$C5124&lt;='Visual SPC'!$E$4),OR('Visual SPC'!$G$4="",'Data Entry'!$D5124='Visual SPC'!$G$4),OR('Visual SPC'!$I$4="",'Data Entry'!$E5124='Visual SPC'!$I$4),OR('Visual SPC'!$K$4="",'Data Entry'!$F5124='Visual SPC'!$K$4)),1,0))</f>
        <v/>
      </c>
      <c r="C5124">
        <f>C5123+B5124</f>
        <v/>
      </c>
      <c r="D5124">
        <f>IF(B5124=1,INDEX('Data Entry'!$H$5:$BE$10004,5124-4,'Visual SPC'!$B$3),"")</f>
        <v/>
      </c>
      <c r="E5124">
        <f>IF(B5124=1,D5124,E5123)</f>
        <v/>
      </c>
      <c r="F5124">
        <f>IF(AND(B5124=1,C5124&gt;1,E5123&lt;&gt;""),ABS(D5124-E5123),"")</f>
        <v/>
      </c>
    </row>
    <row r="5125">
      <c r="A5125" t="n">
        <v>5125</v>
      </c>
      <c r="B5125">
        <f>IF(INDEX('Data Entry'!$H$5:$BE$10004,5125-4,'Visual SPC'!$B$3)="",0,IF(AND(OR('Visual SPC'!$C$4="",'Data Entry'!$C5125&gt;='Visual SPC'!$C$4),OR('Visual SPC'!$E$4="",'Data Entry'!$C5125&lt;='Visual SPC'!$E$4),OR('Visual SPC'!$G$4="",'Data Entry'!$D5125='Visual SPC'!$G$4),OR('Visual SPC'!$I$4="",'Data Entry'!$E5125='Visual SPC'!$I$4),OR('Visual SPC'!$K$4="",'Data Entry'!$F5125='Visual SPC'!$K$4)),1,0))</f>
        <v/>
      </c>
      <c r="C5125">
        <f>C5124+B5125</f>
        <v/>
      </c>
      <c r="D5125">
        <f>IF(B5125=1,INDEX('Data Entry'!$H$5:$BE$10004,5125-4,'Visual SPC'!$B$3),"")</f>
        <v/>
      </c>
      <c r="E5125">
        <f>IF(B5125=1,D5125,E5124)</f>
        <v/>
      </c>
      <c r="F5125">
        <f>IF(AND(B5125=1,C5125&gt;1,E5124&lt;&gt;""),ABS(D5125-E5124),"")</f>
        <v/>
      </c>
    </row>
    <row r="5126">
      <c r="A5126" t="n">
        <v>5126</v>
      </c>
      <c r="B5126">
        <f>IF(INDEX('Data Entry'!$H$5:$BE$10004,5126-4,'Visual SPC'!$B$3)="",0,IF(AND(OR('Visual SPC'!$C$4="",'Data Entry'!$C5126&gt;='Visual SPC'!$C$4),OR('Visual SPC'!$E$4="",'Data Entry'!$C5126&lt;='Visual SPC'!$E$4),OR('Visual SPC'!$G$4="",'Data Entry'!$D5126='Visual SPC'!$G$4),OR('Visual SPC'!$I$4="",'Data Entry'!$E5126='Visual SPC'!$I$4),OR('Visual SPC'!$K$4="",'Data Entry'!$F5126='Visual SPC'!$K$4)),1,0))</f>
        <v/>
      </c>
      <c r="C5126">
        <f>C5125+B5126</f>
        <v/>
      </c>
      <c r="D5126">
        <f>IF(B5126=1,INDEX('Data Entry'!$H$5:$BE$10004,5126-4,'Visual SPC'!$B$3),"")</f>
        <v/>
      </c>
      <c r="E5126">
        <f>IF(B5126=1,D5126,E5125)</f>
        <v/>
      </c>
      <c r="F5126">
        <f>IF(AND(B5126=1,C5126&gt;1,E5125&lt;&gt;""),ABS(D5126-E5125),"")</f>
        <v/>
      </c>
    </row>
    <row r="5127">
      <c r="A5127" t="n">
        <v>5127</v>
      </c>
      <c r="B5127">
        <f>IF(INDEX('Data Entry'!$H$5:$BE$10004,5127-4,'Visual SPC'!$B$3)="",0,IF(AND(OR('Visual SPC'!$C$4="",'Data Entry'!$C5127&gt;='Visual SPC'!$C$4),OR('Visual SPC'!$E$4="",'Data Entry'!$C5127&lt;='Visual SPC'!$E$4),OR('Visual SPC'!$G$4="",'Data Entry'!$D5127='Visual SPC'!$G$4),OR('Visual SPC'!$I$4="",'Data Entry'!$E5127='Visual SPC'!$I$4),OR('Visual SPC'!$K$4="",'Data Entry'!$F5127='Visual SPC'!$K$4)),1,0))</f>
        <v/>
      </c>
      <c r="C5127">
        <f>C5126+B5127</f>
        <v/>
      </c>
      <c r="D5127">
        <f>IF(B5127=1,INDEX('Data Entry'!$H$5:$BE$10004,5127-4,'Visual SPC'!$B$3),"")</f>
        <v/>
      </c>
      <c r="E5127">
        <f>IF(B5127=1,D5127,E5126)</f>
        <v/>
      </c>
      <c r="F5127">
        <f>IF(AND(B5127=1,C5127&gt;1,E5126&lt;&gt;""),ABS(D5127-E5126),"")</f>
        <v/>
      </c>
    </row>
    <row r="5128">
      <c r="A5128" t="n">
        <v>5128</v>
      </c>
      <c r="B5128">
        <f>IF(INDEX('Data Entry'!$H$5:$BE$10004,5128-4,'Visual SPC'!$B$3)="",0,IF(AND(OR('Visual SPC'!$C$4="",'Data Entry'!$C5128&gt;='Visual SPC'!$C$4),OR('Visual SPC'!$E$4="",'Data Entry'!$C5128&lt;='Visual SPC'!$E$4),OR('Visual SPC'!$G$4="",'Data Entry'!$D5128='Visual SPC'!$G$4),OR('Visual SPC'!$I$4="",'Data Entry'!$E5128='Visual SPC'!$I$4),OR('Visual SPC'!$K$4="",'Data Entry'!$F5128='Visual SPC'!$K$4)),1,0))</f>
        <v/>
      </c>
      <c r="C5128">
        <f>C5127+B5128</f>
        <v/>
      </c>
      <c r="D5128">
        <f>IF(B5128=1,INDEX('Data Entry'!$H$5:$BE$10004,5128-4,'Visual SPC'!$B$3),"")</f>
        <v/>
      </c>
      <c r="E5128">
        <f>IF(B5128=1,D5128,E5127)</f>
        <v/>
      </c>
      <c r="F5128">
        <f>IF(AND(B5128=1,C5128&gt;1,E5127&lt;&gt;""),ABS(D5128-E5127),"")</f>
        <v/>
      </c>
    </row>
    <row r="5129">
      <c r="A5129" t="n">
        <v>5129</v>
      </c>
      <c r="B5129">
        <f>IF(INDEX('Data Entry'!$H$5:$BE$10004,5129-4,'Visual SPC'!$B$3)="",0,IF(AND(OR('Visual SPC'!$C$4="",'Data Entry'!$C5129&gt;='Visual SPC'!$C$4),OR('Visual SPC'!$E$4="",'Data Entry'!$C5129&lt;='Visual SPC'!$E$4),OR('Visual SPC'!$G$4="",'Data Entry'!$D5129='Visual SPC'!$G$4),OR('Visual SPC'!$I$4="",'Data Entry'!$E5129='Visual SPC'!$I$4),OR('Visual SPC'!$K$4="",'Data Entry'!$F5129='Visual SPC'!$K$4)),1,0))</f>
        <v/>
      </c>
      <c r="C5129">
        <f>C5128+B5129</f>
        <v/>
      </c>
      <c r="D5129">
        <f>IF(B5129=1,INDEX('Data Entry'!$H$5:$BE$10004,5129-4,'Visual SPC'!$B$3),"")</f>
        <v/>
      </c>
      <c r="E5129">
        <f>IF(B5129=1,D5129,E5128)</f>
        <v/>
      </c>
      <c r="F5129">
        <f>IF(AND(B5129=1,C5129&gt;1,E5128&lt;&gt;""),ABS(D5129-E5128),"")</f>
        <v/>
      </c>
    </row>
    <row r="5130">
      <c r="A5130" t="n">
        <v>5130</v>
      </c>
      <c r="B5130">
        <f>IF(INDEX('Data Entry'!$H$5:$BE$10004,5130-4,'Visual SPC'!$B$3)="",0,IF(AND(OR('Visual SPC'!$C$4="",'Data Entry'!$C5130&gt;='Visual SPC'!$C$4),OR('Visual SPC'!$E$4="",'Data Entry'!$C5130&lt;='Visual SPC'!$E$4),OR('Visual SPC'!$G$4="",'Data Entry'!$D5130='Visual SPC'!$G$4),OR('Visual SPC'!$I$4="",'Data Entry'!$E5130='Visual SPC'!$I$4),OR('Visual SPC'!$K$4="",'Data Entry'!$F5130='Visual SPC'!$K$4)),1,0))</f>
        <v/>
      </c>
      <c r="C5130">
        <f>C5129+B5130</f>
        <v/>
      </c>
      <c r="D5130">
        <f>IF(B5130=1,INDEX('Data Entry'!$H$5:$BE$10004,5130-4,'Visual SPC'!$B$3),"")</f>
        <v/>
      </c>
      <c r="E5130">
        <f>IF(B5130=1,D5130,E5129)</f>
        <v/>
      </c>
      <c r="F5130">
        <f>IF(AND(B5130=1,C5130&gt;1,E5129&lt;&gt;""),ABS(D5130-E5129),"")</f>
        <v/>
      </c>
    </row>
    <row r="5131">
      <c r="A5131" t="n">
        <v>5131</v>
      </c>
      <c r="B5131">
        <f>IF(INDEX('Data Entry'!$H$5:$BE$10004,5131-4,'Visual SPC'!$B$3)="",0,IF(AND(OR('Visual SPC'!$C$4="",'Data Entry'!$C5131&gt;='Visual SPC'!$C$4),OR('Visual SPC'!$E$4="",'Data Entry'!$C5131&lt;='Visual SPC'!$E$4),OR('Visual SPC'!$G$4="",'Data Entry'!$D5131='Visual SPC'!$G$4),OR('Visual SPC'!$I$4="",'Data Entry'!$E5131='Visual SPC'!$I$4),OR('Visual SPC'!$K$4="",'Data Entry'!$F5131='Visual SPC'!$K$4)),1,0))</f>
        <v/>
      </c>
      <c r="C5131">
        <f>C5130+B5131</f>
        <v/>
      </c>
      <c r="D5131">
        <f>IF(B5131=1,INDEX('Data Entry'!$H$5:$BE$10004,5131-4,'Visual SPC'!$B$3),"")</f>
        <v/>
      </c>
      <c r="E5131">
        <f>IF(B5131=1,D5131,E5130)</f>
        <v/>
      </c>
      <c r="F5131">
        <f>IF(AND(B5131=1,C5131&gt;1,E5130&lt;&gt;""),ABS(D5131-E5130),"")</f>
        <v/>
      </c>
    </row>
    <row r="5132">
      <c r="A5132" t="n">
        <v>5132</v>
      </c>
      <c r="B5132">
        <f>IF(INDEX('Data Entry'!$H$5:$BE$10004,5132-4,'Visual SPC'!$B$3)="",0,IF(AND(OR('Visual SPC'!$C$4="",'Data Entry'!$C5132&gt;='Visual SPC'!$C$4),OR('Visual SPC'!$E$4="",'Data Entry'!$C5132&lt;='Visual SPC'!$E$4),OR('Visual SPC'!$G$4="",'Data Entry'!$D5132='Visual SPC'!$G$4),OR('Visual SPC'!$I$4="",'Data Entry'!$E5132='Visual SPC'!$I$4),OR('Visual SPC'!$K$4="",'Data Entry'!$F5132='Visual SPC'!$K$4)),1,0))</f>
        <v/>
      </c>
      <c r="C5132">
        <f>C5131+B5132</f>
        <v/>
      </c>
      <c r="D5132">
        <f>IF(B5132=1,INDEX('Data Entry'!$H$5:$BE$10004,5132-4,'Visual SPC'!$B$3),"")</f>
        <v/>
      </c>
      <c r="E5132">
        <f>IF(B5132=1,D5132,E5131)</f>
        <v/>
      </c>
      <c r="F5132">
        <f>IF(AND(B5132=1,C5132&gt;1,E5131&lt;&gt;""),ABS(D5132-E5131),"")</f>
        <v/>
      </c>
    </row>
    <row r="5133">
      <c r="A5133" t="n">
        <v>5133</v>
      </c>
      <c r="B5133">
        <f>IF(INDEX('Data Entry'!$H$5:$BE$10004,5133-4,'Visual SPC'!$B$3)="",0,IF(AND(OR('Visual SPC'!$C$4="",'Data Entry'!$C5133&gt;='Visual SPC'!$C$4),OR('Visual SPC'!$E$4="",'Data Entry'!$C5133&lt;='Visual SPC'!$E$4),OR('Visual SPC'!$G$4="",'Data Entry'!$D5133='Visual SPC'!$G$4),OR('Visual SPC'!$I$4="",'Data Entry'!$E5133='Visual SPC'!$I$4),OR('Visual SPC'!$K$4="",'Data Entry'!$F5133='Visual SPC'!$K$4)),1,0))</f>
        <v/>
      </c>
      <c r="C5133">
        <f>C5132+B5133</f>
        <v/>
      </c>
      <c r="D5133">
        <f>IF(B5133=1,INDEX('Data Entry'!$H$5:$BE$10004,5133-4,'Visual SPC'!$B$3),"")</f>
        <v/>
      </c>
      <c r="E5133">
        <f>IF(B5133=1,D5133,E5132)</f>
        <v/>
      </c>
      <c r="F5133">
        <f>IF(AND(B5133=1,C5133&gt;1,E5132&lt;&gt;""),ABS(D5133-E5132),"")</f>
        <v/>
      </c>
    </row>
    <row r="5134">
      <c r="A5134" t="n">
        <v>5134</v>
      </c>
      <c r="B5134">
        <f>IF(INDEX('Data Entry'!$H$5:$BE$10004,5134-4,'Visual SPC'!$B$3)="",0,IF(AND(OR('Visual SPC'!$C$4="",'Data Entry'!$C5134&gt;='Visual SPC'!$C$4),OR('Visual SPC'!$E$4="",'Data Entry'!$C5134&lt;='Visual SPC'!$E$4),OR('Visual SPC'!$G$4="",'Data Entry'!$D5134='Visual SPC'!$G$4),OR('Visual SPC'!$I$4="",'Data Entry'!$E5134='Visual SPC'!$I$4),OR('Visual SPC'!$K$4="",'Data Entry'!$F5134='Visual SPC'!$K$4)),1,0))</f>
        <v/>
      </c>
      <c r="C5134">
        <f>C5133+B5134</f>
        <v/>
      </c>
      <c r="D5134">
        <f>IF(B5134=1,INDEX('Data Entry'!$H$5:$BE$10004,5134-4,'Visual SPC'!$B$3),"")</f>
        <v/>
      </c>
      <c r="E5134">
        <f>IF(B5134=1,D5134,E5133)</f>
        <v/>
      </c>
      <c r="F5134">
        <f>IF(AND(B5134=1,C5134&gt;1,E5133&lt;&gt;""),ABS(D5134-E5133),"")</f>
        <v/>
      </c>
    </row>
    <row r="5135">
      <c r="A5135" t="n">
        <v>5135</v>
      </c>
      <c r="B5135">
        <f>IF(INDEX('Data Entry'!$H$5:$BE$10004,5135-4,'Visual SPC'!$B$3)="",0,IF(AND(OR('Visual SPC'!$C$4="",'Data Entry'!$C5135&gt;='Visual SPC'!$C$4),OR('Visual SPC'!$E$4="",'Data Entry'!$C5135&lt;='Visual SPC'!$E$4),OR('Visual SPC'!$G$4="",'Data Entry'!$D5135='Visual SPC'!$G$4),OR('Visual SPC'!$I$4="",'Data Entry'!$E5135='Visual SPC'!$I$4),OR('Visual SPC'!$K$4="",'Data Entry'!$F5135='Visual SPC'!$K$4)),1,0))</f>
        <v/>
      </c>
      <c r="C5135">
        <f>C5134+B5135</f>
        <v/>
      </c>
      <c r="D5135">
        <f>IF(B5135=1,INDEX('Data Entry'!$H$5:$BE$10004,5135-4,'Visual SPC'!$B$3),"")</f>
        <v/>
      </c>
      <c r="E5135">
        <f>IF(B5135=1,D5135,E5134)</f>
        <v/>
      </c>
      <c r="F5135">
        <f>IF(AND(B5135=1,C5135&gt;1,E5134&lt;&gt;""),ABS(D5135-E5134),"")</f>
        <v/>
      </c>
    </row>
    <row r="5136">
      <c r="A5136" t="n">
        <v>5136</v>
      </c>
      <c r="B5136">
        <f>IF(INDEX('Data Entry'!$H$5:$BE$10004,5136-4,'Visual SPC'!$B$3)="",0,IF(AND(OR('Visual SPC'!$C$4="",'Data Entry'!$C5136&gt;='Visual SPC'!$C$4),OR('Visual SPC'!$E$4="",'Data Entry'!$C5136&lt;='Visual SPC'!$E$4),OR('Visual SPC'!$G$4="",'Data Entry'!$D5136='Visual SPC'!$G$4),OR('Visual SPC'!$I$4="",'Data Entry'!$E5136='Visual SPC'!$I$4),OR('Visual SPC'!$K$4="",'Data Entry'!$F5136='Visual SPC'!$K$4)),1,0))</f>
        <v/>
      </c>
      <c r="C5136">
        <f>C5135+B5136</f>
        <v/>
      </c>
      <c r="D5136">
        <f>IF(B5136=1,INDEX('Data Entry'!$H$5:$BE$10004,5136-4,'Visual SPC'!$B$3),"")</f>
        <v/>
      </c>
      <c r="E5136">
        <f>IF(B5136=1,D5136,E5135)</f>
        <v/>
      </c>
      <c r="F5136">
        <f>IF(AND(B5136=1,C5136&gt;1,E5135&lt;&gt;""),ABS(D5136-E5135),"")</f>
        <v/>
      </c>
    </row>
    <row r="5137">
      <c r="A5137" t="n">
        <v>5137</v>
      </c>
      <c r="B5137">
        <f>IF(INDEX('Data Entry'!$H$5:$BE$10004,5137-4,'Visual SPC'!$B$3)="",0,IF(AND(OR('Visual SPC'!$C$4="",'Data Entry'!$C5137&gt;='Visual SPC'!$C$4),OR('Visual SPC'!$E$4="",'Data Entry'!$C5137&lt;='Visual SPC'!$E$4),OR('Visual SPC'!$G$4="",'Data Entry'!$D5137='Visual SPC'!$G$4),OR('Visual SPC'!$I$4="",'Data Entry'!$E5137='Visual SPC'!$I$4),OR('Visual SPC'!$K$4="",'Data Entry'!$F5137='Visual SPC'!$K$4)),1,0))</f>
        <v/>
      </c>
      <c r="C5137">
        <f>C5136+B5137</f>
        <v/>
      </c>
      <c r="D5137">
        <f>IF(B5137=1,INDEX('Data Entry'!$H$5:$BE$10004,5137-4,'Visual SPC'!$B$3),"")</f>
        <v/>
      </c>
      <c r="E5137">
        <f>IF(B5137=1,D5137,E5136)</f>
        <v/>
      </c>
      <c r="F5137">
        <f>IF(AND(B5137=1,C5137&gt;1,E5136&lt;&gt;""),ABS(D5137-E5136),"")</f>
        <v/>
      </c>
    </row>
    <row r="5138">
      <c r="A5138" t="n">
        <v>5138</v>
      </c>
      <c r="B5138">
        <f>IF(INDEX('Data Entry'!$H$5:$BE$10004,5138-4,'Visual SPC'!$B$3)="",0,IF(AND(OR('Visual SPC'!$C$4="",'Data Entry'!$C5138&gt;='Visual SPC'!$C$4),OR('Visual SPC'!$E$4="",'Data Entry'!$C5138&lt;='Visual SPC'!$E$4),OR('Visual SPC'!$G$4="",'Data Entry'!$D5138='Visual SPC'!$G$4),OR('Visual SPC'!$I$4="",'Data Entry'!$E5138='Visual SPC'!$I$4),OR('Visual SPC'!$K$4="",'Data Entry'!$F5138='Visual SPC'!$K$4)),1,0))</f>
        <v/>
      </c>
      <c r="C5138">
        <f>C5137+B5138</f>
        <v/>
      </c>
      <c r="D5138">
        <f>IF(B5138=1,INDEX('Data Entry'!$H$5:$BE$10004,5138-4,'Visual SPC'!$B$3),"")</f>
        <v/>
      </c>
      <c r="E5138">
        <f>IF(B5138=1,D5138,E5137)</f>
        <v/>
      </c>
      <c r="F5138">
        <f>IF(AND(B5138=1,C5138&gt;1,E5137&lt;&gt;""),ABS(D5138-E5137),"")</f>
        <v/>
      </c>
    </row>
    <row r="5139">
      <c r="A5139" t="n">
        <v>5139</v>
      </c>
      <c r="B5139">
        <f>IF(INDEX('Data Entry'!$H$5:$BE$10004,5139-4,'Visual SPC'!$B$3)="",0,IF(AND(OR('Visual SPC'!$C$4="",'Data Entry'!$C5139&gt;='Visual SPC'!$C$4),OR('Visual SPC'!$E$4="",'Data Entry'!$C5139&lt;='Visual SPC'!$E$4),OR('Visual SPC'!$G$4="",'Data Entry'!$D5139='Visual SPC'!$G$4),OR('Visual SPC'!$I$4="",'Data Entry'!$E5139='Visual SPC'!$I$4),OR('Visual SPC'!$K$4="",'Data Entry'!$F5139='Visual SPC'!$K$4)),1,0))</f>
        <v/>
      </c>
      <c r="C5139">
        <f>C5138+B5139</f>
        <v/>
      </c>
      <c r="D5139">
        <f>IF(B5139=1,INDEX('Data Entry'!$H$5:$BE$10004,5139-4,'Visual SPC'!$B$3),"")</f>
        <v/>
      </c>
      <c r="E5139">
        <f>IF(B5139=1,D5139,E5138)</f>
        <v/>
      </c>
      <c r="F5139">
        <f>IF(AND(B5139=1,C5139&gt;1,E5138&lt;&gt;""),ABS(D5139-E5138),"")</f>
        <v/>
      </c>
    </row>
    <row r="5140">
      <c r="A5140" t="n">
        <v>5140</v>
      </c>
      <c r="B5140">
        <f>IF(INDEX('Data Entry'!$H$5:$BE$10004,5140-4,'Visual SPC'!$B$3)="",0,IF(AND(OR('Visual SPC'!$C$4="",'Data Entry'!$C5140&gt;='Visual SPC'!$C$4),OR('Visual SPC'!$E$4="",'Data Entry'!$C5140&lt;='Visual SPC'!$E$4),OR('Visual SPC'!$G$4="",'Data Entry'!$D5140='Visual SPC'!$G$4),OR('Visual SPC'!$I$4="",'Data Entry'!$E5140='Visual SPC'!$I$4),OR('Visual SPC'!$K$4="",'Data Entry'!$F5140='Visual SPC'!$K$4)),1,0))</f>
        <v/>
      </c>
      <c r="C5140">
        <f>C5139+B5140</f>
        <v/>
      </c>
      <c r="D5140">
        <f>IF(B5140=1,INDEX('Data Entry'!$H$5:$BE$10004,5140-4,'Visual SPC'!$B$3),"")</f>
        <v/>
      </c>
      <c r="E5140">
        <f>IF(B5140=1,D5140,E5139)</f>
        <v/>
      </c>
      <c r="F5140">
        <f>IF(AND(B5140=1,C5140&gt;1,E5139&lt;&gt;""),ABS(D5140-E5139),"")</f>
        <v/>
      </c>
    </row>
    <row r="5141">
      <c r="A5141" t="n">
        <v>5141</v>
      </c>
      <c r="B5141">
        <f>IF(INDEX('Data Entry'!$H$5:$BE$10004,5141-4,'Visual SPC'!$B$3)="",0,IF(AND(OR('Visual SPC'!$C$4="",'Data Entry'!$C5141&gt;='Visual SPC'!$C$4),OR('Visual SPC'!$E$4="",'Data Entry'!$C5141&lt;='Visual SPC'!$E$4),OR('Visual SPC'!$G$4="",'Data Entry'!$D5141='Visual SPC'!$G$4),OR('Visual SPC'!$I$4="",'Data Entry'!$E5141='Visual SPC'!$I$4),OR('Visual SPC'!$K$4="",'Data Entry'!$F5141='Visual SPC'!$K$4)),1,0))</f>
        <v/>
      </c>
      <c r="C5141">
        <f>C5140+B5141</f>
        <v/>
      </c>
      <c r="D5141">
        <f>IF(B5141=1,INDEX('Data Entry'!$H$5:$BE$10004,5141-4,'Visual SPC'!$B$3),"")</f>
        <v/>
      </c>
      <c r="E5141">
        <f>IF(B5141=1,D5141,E5140)</f>
        <v/>
      </c>
      <c r="F5141">
        <f>IF(AND(B5141=1,C5141&gt;1,E5140&lt;&gt;""),ABS(D5141-E5140),"")</f>
        <v/>
      </c>
    </row>
    <row r="5142">
      <c r="A5142" t="n">
        <v>5142</v>
      </c>
      <c r="B5142">
        <f>IF(INDEX('Data Entry'!$H$5:$BE$10004,5142-4,'Visual SPC'!$B$3)="",0,IF(AND(OR('Visual SPC'!$C$4="",'Data Entry'!$C5142&gt;='Visual SPC'!$C$4),OR('Visual SPC'!$E$4="",'Data Entry'!$C5142&lt;='Visual SPC'!$E$4),OR('Visual SPC'!$G$4="",'Data Entry'!$D5142='Visual SPC'!$G$4),OR('Visual SPC'!$I$4="",'Data Entry'!$E5142='Visual SPC'!$I$4),OR('Visual SPC'!$K$4="",'Data Entry'!$F5142='Visual SPC'!$K$4)),1,0))</f>
        <v/>
      </c>
      <c r="C5142">
        <f>C5141+B5142</f>
        <v/>
      </c>
      <c r="D5142">
        <f>IF(B5142=1,INDEX('Data Entry'!$H$5:$BE$10004,5142-4,'Visual SPC'!$B$3),"")</f>
        <v/>
      </c>
      <c r="E5142">
        <f>IF(B5142=1,D5142,E5141)</f>
        <v/>
      </c>
      <c r="F5142">
        <f>IF(AND(B5142=1,C5142&gt;1,E5141&lt;&gt;""),ABS(D5142-E5141),"")</f>
        <v/>
      </c>
    </row>
    <row r="5143">
      <c r="A5143" t="n">
        <v>5143</v>
      </c>
      <c r="B5143">
        <f>IF(INDEX('Data Entry'!$H$5:$BE$10004,5143-4,'Visual SPC'!$B$3)="",0,IF(AND(OR('Visual SPC'!$C$4="",'Data Entry'!$C5143&gt;='Visual SPC'!$C$4),OR('Visual SPC'!$E$4="",'Data Entry'!$C5143&lt;='Visual SPC'!$E$4),OR('Visual SPC'!$G$4="",'Data Entry'!$D5143='Visual SPC'!$G$4),OR('Visual SPC'!$I$4="",'Data Entry'!$E5143='Visual SPC'!$I$4),OR('Visual SPC'!$K$4="",'Data Entry'!$F5143='Visual SPC'!$K$4)),1,0))</f>
        <v/>
      </c>
      <c r="C5143">
        <f>C5142+B5143</f>
        <v/>
      </c>
      <c r="D5143">
        <f>IF(B5143=1,INDEX('Data Entry'!$H$5:$BE$10004,5143-4,'Visual SPC'!$B$3),"")</f>
        <v/>
      </c>
      <c r="E5143">
        <f>IF(B5143=1,D5143,E5142)</f>
        <v/>
      </c>
      <c r="F5143">
        <f>IF(AND(B5143=1,C5143&gt;1,E5142&lt;&gt;""),ABS(D5143-E5142),"")</f>
        <v/>
      </c>
    </row>
    <row r="5144">
      <c r="A5144" t="n">
        <v>5144</v>
      </c>
      <c r="B5144">
        <f>IF(INDEX('Data Entry'!$H$5:$BE$10004,5144-4,'Visual SPC'!$B$3)="",0,IF(AND(OR('Visual SPC'!$C$4="",'Data Entry'!$C5144&gt;='Visual SPC'!$C$4),OR('Visual SPC'!$E$4="",'Data Entry'!$C5144&lt;='Visual SPC'!$E$4),OR('Visual SPC'!$G$4="",'Data Entry'!$D5144='Visual SPC'!$G$4),OR('Visual SPC'!$I$4="",'Data Entry'!$E5144='Visual SPC'!$I$4),OR('Visual SPC'!$K$4="",'Data Entry'!$F5144='Visual SPC'!$K$4)),1,0))</f>
        <v/>
      </c>
      <c r="C5144">
        <f>C5143+B5144</f>
        <v/>
      </c>
      <c r="D5144">
        <f>IF(B5144=1,INDEX('Data Entry'!$H$5:$BE$10004,5144-4,'Visual SPC'!$B$3),"")</f>
        <v/>
      </c>
      <c r="E5144">
        <f>IF(B5144=1,D5144,E5143)</f>
        <v/>
      </c>
      <c r="F5144">
        <f>IF(AND(B5144=1,C5144&gt;1,E5143&lt;&gt;""),ABS(D5144-E5143),"")</f>
        <v/>
      </c>
    </row>
    <row r="5145">
      <c r="A5145" t="n">
        <v>5145</v>
      </c>
      <c r="B5145">
        <f>IF(INDEX('Data Entry'!$H$5:$BE$10004,5145-4,'Visual SPC'!$B$3)="",0,IF(AND(OR('Visual SPC'!$C$4="",'Data Entry'!$C5145&gt;='Visual SPC'!$C$4),OR('Visual SPC'!$E$4="",'Data Entry'!$C5145&lt;='Visual SPC'!$E$4),OR('Visual SPC'!$G$4="",'Data Entry'!$D5145='Visual SPC'!$G$4),OR('Visual SPC'!$I$4="",'Data Entry'!$E5145='Visual SPC'!$I$4),OR('Visual SPC'!$K$4="",'Data Entry'!$F5145='Visual SPC'!$K$4)),1,0))</f>
        <v/>
      </c>
      <c r="C5145">
        <f>C5144+B5145</f>
        <v/>
      </c>
      <c r="D5145">
        <f>IF(B5145=1,INDEX('Data Entry'!$H$5:$BE$10004,5145-4,'Visual SPC'!$B$3),"")</f>
        <v/>
      </c>
      <c r="E5145">
        <f>IF(B5145=1,D5145,E5144)</f>
        <v/>
      </c>
      <c r="F5145">
        <f>IF(AND(B5145=1,C5145&gt;1,E5144&lt;&gt;""),ABS(D5145-E5144),"")</f>
        <v/>
      </c>
    </row>
    <row r="5146">
      <c r="A5146" t="n">
        <v>5146</v>
      </c>
      <c r="B5146">
        <f>IF(INDEX('Data Entry'!$H$5:$BE$10004,5146-4,'Visual SPC'!$B$3)="",0,IF(AND(OR('Visual SPC'!$C$4="",'Data Entry'!$C5146&gt;='Visual SPC'!$C$4),OR('Visual SPC'!$E$4="",'Data Entry'!$C5146&lt;='Visual SPC'!$E$4),OR('Visual SPC'!$G$4="",'Data Entry'!$D5146='Visual SPC'!$G$4),OR('Visual SPC'!$I$4="",'Data Entry'!$E5146='Visual SPC'!$I$4),OR('Visual SPC'!$K$4="",'Data Entry'!$F5146='Visual SPC'!$K$4)),1,0))</f>
        <v/>
      </c>
      <c r="C5146">
        <f>C5145+B5146</f>
        <v/>
      </c>
      <c r="D5146">
        <f>IF(B5146=1,INDEX('Data Entry'!$H$5:$BE$10004,5146-4,'Visual SPC'!$B$3),"")</f>
        <v/>
      </c>
      <c r="E5146">
        <f>IF(B5146=1,D5146,E5145)</f>
        <v/>
      </c>
      <c r="F5146">
        <f>IF(AND(B5146=1,C5146&gt;1,E5145&lt;&gt;""),ABS(D5146-E5145),"")</f>
        <v/>
      </c>
    </row>
    <row r="5147">
      <c r="A5147" t="n">
        <v>5147</v>
      </c>
      <c r="B5147">
        <f>IF(INDEX('Data Entry'!$H$5:$BE$10004,5147-4,'Visual SPC'!$B$3)="",0,IF(AND(OR('Visual SPC'!$C$4="",'Data Entry'!$C5147&gt;='Visual SPC'!$C$4),OR('Visual SPC'!$E$4="",'Data Entry'!$C5147&lt;='Visual SPC'!$E$4),OR('Visual SPC'!$G$4="",'Data Entry'!$D5147='Visual SPC'!$G$4),OR('Visual SPC'!$I$4="",'Data Entry'!$E5147='Visual SPC'!$I$4),OR('Visual SPC'!$K$4="",'Data Entry'!$F5147='Visual SPC'!$K$4)),1,0))</f>
        <v/>
      </c>
      <c r="C5147">
        <f>C5146+B5147</f>
        <v/>
      </c>
      <c r="D5147">
        <f>IF(B5147=1,INDEX('Data Entry'!$H$5:$BE$10004,5147-4,'Visual SPC'!$B$3),"")</f>
        <v/>
      </c>
      <c r="E5147">
        <f>IF(B5147=1,D5147,E5146)</f>
        <v/>
      </c>
      <c r="F5147">
        <f>IF(AND(B5147=1,C5147&gt;1,E5146&lt;&gt;""),ABS(D5147-E5146),"")</f>
        <v/>
      </c>
    </row>
    <row r="5148">
      <c r="A5148" t="n">
        <v>5148</v>
      </c>
      <c r="B5148">
        <f>IF(INDEX('Data Entry'!$H$5:$BE$10004,5148-4,'Visual SPC'!$B$3)="",0,IF(AND(OR('Visual SPC'!$C$4="",'Data Entry'!$C5148&gt;='Visual SPC'!$C$4),OR('Visual SPC'!$E$4="",'Data Entry'!$C5148&lt;='Visual SPC'!$E$4),OR('Visual SPC'!$G$4="",'Data Entry'!$D5148='Visual SPC'!$G$4),OR('Visual SPC'!$I$4="",'Data Entry'!$E5148='Visual SPC'!$I$4),OR('Visual SPC'!$K$4="",'Data Entry'!$F5148='Visual SPC'!$K$4)),1,0))</f>
        <v/>
      </c>
      <c r="C5148">
        <f>C5147+B5148</f>
        <v/>
      </c>
      <c r="D5148">
        <f>IF(B5148=1,INDEX('Data Entry'!$H$5:$BE$10004,5148-4,'Visual SPC'!$B$3),"")</f>
        <v/>
      </c>
      <c r="E5148">
        <f>IF(B5148=1,D5148,E5147)</f>
        <v/>
      </c>
      <c r="F5148">
        <f>IF(AND(B5148=1,C5148&gt;1,E5147&lt;&gt;""),ABS(D5148-E5147),"")</f>
        <v/>
      </c>
    </row>
    <row r="5149">
      <c r="A5149" t="n">
        <v>5149</v>
      </c>
      <c r="B5149">
        <f>IF(INDEX('Data Entry'!$H$5:$BE$10004,5149-4,'Visual SPC'!$B$3)="",0,IF(AND(OR('Visual SPC'!$C$4="",'Data Entry'!$C5149&gt;='Visual SPC'!$C$4),OR('Visual SPC'!$E$4="",'Data Entry'!$C5149&lt;='Visual SPC'!$E$4),OR('Visual SPC'!$G$4="",'Data Entry'!$D5149='Visual SPC'!$G$4),OR('Visual SPC'!$I$4="",'Data Entry'!$E5149='Visual SPC'!$I$4),OR('Visual SPC'!$K$4="",'Data Entry'!$F5149='Visual SPC'!$K$4)),1,0))</f>
        <v/>
      </c>
      <c r="C5149">
        <f>C5148+B5149</f>
        <v/>
      </c>
      <c r="D5149">
        <f>IF(B5149=1,INDEX('Data Entry'!$H$5:$BE$10004,5149-4,'Visual SPC'!$B$3),"")</f>
        <v/>
      </c>
      <c r="E5149">
        <f>IF(B5149=1,D5149,E5148)</f>
        <v/>
      </c>
      <c r="F5149">
        <f>IF(AND(B5149=1,C5149&gt;1,E5148&lt;&gt;""),ABS(D5149-E5148),"")</f>
        <v/>
      </c>
    </row>
    <row r="5150">
      <c r="A5150" t="n">
        <v>5150</v>
      </c>
      <c r="B5150">
        <f>IF(INDEX('Data Entry'!$H$5:$BE$10004,5150-4,'Visual SPC'!$B$3)="",0,IF(AND(OR('Visual SPC'!$C$4="",'Data Entry'!$C5150&gt;='Visual SPC'!$C$4),OR('Visual SPC'!$E$4="",'Data Entry'!$C5150&lt;='Visual SPC'!$E$4),OR('Visual SPC'!$G$4="",'Data Entry'!$D5150='Visual SPC'!$G$4),OR('Visual SPC'!$I$4="",'Data Entry'!$E5150='Visual SPC'!$I$4),OR('Visual SPC'!$K$4="",'Data Entry'!$F5150='Visual SPC'!$K$4)),1,0))</f>
        <v/>
      </c>
      <c r="C5150">
        <f>C5149+B5150</f>
        <v/>
      </c>
      <c r="D5150">
        <f>IF(B5150=1,INDEX('Data Entry'!$H$5:$BE$10004,5150-4,'Visual SPC'!$B$3),"")</f>
        <v/>
      </c>
      <c r="E5150">
        <f>IF(B5150=1,D5150,E5149)</f>
        <v/>
      </c>
      <c r="F5150">
        <f>IF(AND(B5150=1,C5150&gt;1,E5149&lt;&gt;""),ABS(D5150-E5149),"")</f>
        <v/>
      </c>
    </row>
    <row r="5151">
      <c r="A5151" t="n">
        <v>5151</v>
      </c>
      <c r="B5151">
        <f>IF(INDEX('Data Entry'!$H$5:$BE$10004,5151-4,'Visual SPC'!$B$3)="",0,IF(AND(OR('Visual SPC'!$C$4="",'Data Entry'!$C5151&gt;='Visual SPC'!$C$4),OR('Visual SPC'!$E$4="",'Data Entry'!$C5151&lt;='Visual SPC'!$E$4),OR('Visual SPC'!$G$4="",'Data Entry'!$D5151='Visual SPC'!$G$4),OR('Visual SPC'!$I$4="",'Data Entry'!$E5151='Visual SPC'!$I$4),OR('Visual SPC'!$K$4="",'Data Entry'!$F5151='Visual SPC'!$K$4)),1,0))</f>
        <v/>
      </c>
      <c r="C5151">
        <f>C5150+B5151</f>
        <v/>
      </c>
      <c r="D5151">
        <f>IF(B5151=1,INDEX('Data Entry'!$H$5:$BE$10004,5151-4,'Visual SPC'!$B$3),"")</f>
        <v/>
      </c>
      <c r="E5151">
        <f>IF(B5151=1,D5151,E5150)</f>
        <v/>
      </c>
      <c r="F5151">
        <f>IF(AND(B5151=1,C5151&gt;1,E5150&lt;&gt;""),ABS(D5151-E5150),"")</f>
        <v/>
      </c>
    </row>
    <row r="5152">
      <c r="A5152" t="n">
        <v>5152</v>
      </c>
      <c r="B5152">
        <f>IF(INDEX('Data Entry'!$H$5:$BE$10004,5152-4,'Visual SPC'!$B$3)="",0,IF(AND(OR('Visual SPC'!$C$4="",'Data Entry'!$C5152&gt;='Visual SPC'!$C$4),OR('Visual SPC'!$E$4="",'Data Entry'!$C5152&lt;='Visual SPC'!$E$4),OR('Visual SPC'!$G$4="",'Data Entry'!$D5152='Visual SPC'!$G$4),OR('Visual SPC'!$I$4="",'Data Entry'!$E5152='Visual SPC'!$I$4),OR('Visual SPC'!$K$4="",'Data Entry'!$F5152='Visual SPC'!$K$4)),1,0))</f>
        <v/>
      </c>
      <c r="C5152">
        <f>C5151+B5152</f>
        <v/>
      </c>
      <c r="D5152">
        <f>IF(B5152=1,INDEX('Data Entry'!$H$5:$BE$10004,5152-4,'Visual SPC'!$B$3),"")</f>
        <v/>
      </c>
      <c r="E5152">
        <f>IF(B5152=1,D5152,E5151)</f>
        <v/>
      </c>
      <c r="F5152">
        <f>IF(AND(B5152=1,C5152&gt;1,E5151&lt;&gt;""),ABS(D5152-E5151),"")</f>
        <v/>
      </c>
    </row>
    <row r="5153">
      <c r="A5153" t="n">
        <v>5153</v>
      </c>
      <c r="B5153">
        <f>IF(INDEX('Data Entry'!$H$5:$BE$10004,5153-4,'Visual SPC'!$B$3)="",0,IF(AND(OR('Visual SPC'!$C$4="",'Data Entry'!$C5153&gt;='Visual SPC'!$C$4),OR('Visual SPC'!$E$4="",'Data Entry'!$C5153&lt;='Visual SPC'!$E$4),OR('Visual SPC'!$G$4="",'Data Entry'!$D5153='Visual SPC'!$G$4),OR('Visual SPC'!$I$4="",'Data Entry'!$E5153='Visual SPC'!$I$4),OR('Visual SPC'!$K$4="",'Data Entry'!$F5153='Visual SPC'!$K$4)),1,0))</f>
        <v/>
      </c>
      <c r="C5153">
        <f>C5152+B5153</f>
        <v/>
      </c>
      <c r="D5153">
        <f>IF(B5153=1,INDEX('Data Entry'!$H$5:$BE$10004,5153-4,'Visual SPC'!$B$3),"")</f>
        <v/>
      </c>
      <c r="E5153">
        <f>IF(B5153=1,D5153,E5152)</f>
        <v/>
      </c>
      <c r="F5153">
        <f>IF(AND(B5153=1,C5153&gt;1,E5152&lt;&gt;""),ABS(D5153-E5152),"")</f>
        <v/>
      </c>
    </row>
    <row r="5154">
      <c r="A5154" t="n">
        <v>5154</v>
      </c>
      <c r="B5154">
        <f>IF(INDEX('Data Entry'!$H$5:$BE$10004,5154-4,'Visual SPC'!$B$3)="",0,IF(AND(OR('Visual SPC'!$C$4="",'Data Entry'!$C5154&gt;='Visual SPC'!$C$4),OR('Visual SPC'!$E$4="",'Data Entry'!$C5154&lt;='Visual SPC'!$E$4),OR('Visual SPC'!$G$4="",'Data Entry'!$D5154='Visual SPC'!$G$4),OR('Visual SPC'!$I$4="",'Data Entry'!$E5154='Visual SPC'!$I$4),OR('Visual SPC'!$K$4="",'Data Entry'!$F5154='Visual SPC'!$K$4)),1,0))</f>
        <v/>
      </c>
      <c r="C5154">
        <f>C5153+B5154</f>
        <v/>
      </c>
      <c r="D5154">
        <f>IF(B5154=1,INDEX('Data Entry'!$H$5:$BE$10004,5154-4,'Visual SPC'!$B$3),"")</f>
        <v/>
      </c>
      <c r="E5154">
        <f>IF(B5154=1,D5154,E5153)</f>
        <v/>
      </c>
      <c r="F5154">
        <f>IF(AND(B5154=1,C5154&gt;1,E5153&lt;&gt;""),ABS(D5154-E5153),"")</f>
        <v/>
      </c>
    </row>
    <row r="5155">
      <c r="A5155" t="n">
        <v>5155</v>
      </c>
      <c r="B5155">
        <f>IF(INDEX('Data Entry'!$H$5:$BE$10004,5155-4,'Visual SPC'!$B$3)="",0,IF(AND(OR('Visual SPC'!$C$4="",'Data Entry'!$C5155&gt;='Visual SPC'!$C$4),OR('Visual SPC'!$E$4="",'Data Entry'!$C5155&lt;='Visual SPC'!$E$4),OR('Visual SPC'!$G$4="",'Data Entry'!$D5155='Visual SPC'!$G$4),OR('Visual SPC'!$I$4="",'Data Entry'!$E5155='Visual SPC'!$I$4),OR('Visual SPC'!$K$4="",'Data Entry'!$F5155='Visual SPC'!$K$4)),1,0))</f>
        <v/>
      </c>
      <c r="C5155">
        <f>C5154+B5155</f>
        <v/>
      </c>
      <c r="D5155">
        <f>IF(B5155=1,INDEX('Data Entry'!$H$5:$BE$10004,5155-4,'Visual SPC'!$B$3),"")</f>
        <v/>
      </c>
      <c r="E5155">
        <f>IF(B5155=1,D5155,E5154)</f>
        <v/>
      </c>
      <c r="F5155">
        <f>IF(AND(B5155=1,C5155&gt;1,E5154&lt;&gt;""),ABS(D5155-E5154),"")</f>
        <v/>
      </c>
    </row>
    <row r="5156">
      <c r="A5156" t="n">
        <v>5156</v>
      </c>
      <c r="B5156">
        <f>IF(INDEX('Data Entry'!$H$5:$BE$10004,5156-4,'Visual SPC'!$B$3)="",0,IF(AND(OR('Visual SPC'!$C$4="",'Data Entry'!$C5156&gt;='Visual SPC'!$C$4),OR('Visual SPC'!$E$4="",'Data Entry'!$C5156&lt;='Visual SPC'!$E$4),OR('Visual SPC'!$G$4="",'Data Entry'!$D5156='Visual SPC'!$G$4),OR('Visual SPC'!$I$4="",'Data Entry'!$E5156='Visual SPC'!$I$4),OR('Visual SPC'!$K$4="",'Data Entry'!$F5156='Visual SPC'!$K$4)),1,0))</f>
        <v/>
      </c>
      <c r="C5156">
        <f>C5155+B5156</f>
        <v/>
      </c>
      <c r="D5156">
        <f>IF(B5156=1,INDEX('Data Entry'!$H$5:$BE$10004,5156-4,'Visual SPC'!$B$3),"")</f>
        <v/>
      </c>
      <c r="E5156">
        <f>IF(B5156=1,D5156,E5155)</f>
        <v/>
      </c>
      <c r="F5156">
        <f>IF(AND(B5156=1,C5156&gt;1,E5155&lt;&gt;""),ABS(D5156-E5155),"")</f>
        <v/>
      </c>
    </row>
    <row r="5157">
      <c r="A5157" t="n">
        <v>5157</v>
      </c>
      <c r="B5157">
        <f>IF(INDEX('Data Entry'!$H$5:$BE$10004,5157-4,'Visual SPC'!$B$3)="",0,IF(AND(OR('Visual SPC'!$C$4="",'Data Entry'!$C5157&gt;='Visual SPC'!$C$4),OR('Visual SPC'!$E$4="",'Data Entry'!$C5157&lt;='Visual SPC'!$E$4),OR('Visual SPC'!$G$4="",'Data Entry'!$D5157='Visual SPC'!$G$4),OR('Visual SPC'!$I$4="",'Data Entry'!$E5157='Visual SPC'!$I$4),OR('Visual SPC'!$K$4="",'Data Entry'!$F5157='Visual SPC'!$K$4)),1,0))</f>
        <v/>
      </c>
      <c r="C5157">
        <f>C5156+B5157</f>
        <v/>
      </c>
      <c r="D5157">
        <f>IF(B5157=1,INDEX('Data Entry'!$H$5:$BE$10004,5157-4,'Visual SPC'!$B$3),"")</f>
        <v/>
      </c>
      <c r="E5157">
        <f>IF(B5157=1,D5157,E5156)</f>
        <v/>
      </c>
      <c r="F5157">
        <f>IF(AND(B5157=1,C5157&gt;1,E5156&lt;&gt;""),ABS(D5157-E5156),"")</f>
        <v/>
      </c>
    </row>
    <row r="5158">
      <c r="A5158" t="n">
        <v>5158</v>
      </c>
      <c r="B5158">
        <f>IF(INDEX('Data Entry'!$H$5:$BE$10004,5158-4,'Visual SPC'!$B$3)="",0,IF(AND(OR('Visual SPC'!$C$4="",'Data Entry'!$C5158&gt;='Visual SPC'!$C$4),OR('Visual SPC'!$E$4="",'Data Entry'!$C5158&lt;='Visual SPC'!$E$4),OR('Visual SPC'!$G$4="",'Data Entry'!$D5158='Visual SPC'!$G$4),OR('Visual SPC'!$I$4="",'Data Entry'!$E5158='Visual SPC'!$I$4),OR('Visual SPC'!$K$4="",'Data Entry'!$F5158='Visual SPC'!$K$4)),1,0))</f>
        <v/>
      </c>
      <c r="C5158">
        <f>C5157+B5158</f>
        <v/>
      </c>
      <c r="D5158">
        <f>IF(B5158=1,INDEX('Data Entry'!$H$5:$BE$10004,5158-4,'Visual SPC'!$B$3),"")</f>
        <v/>
      </c>
      <c r="E5158">
        <f>IF(B5158=1,D5158,E5157)</f>
        <v/>
      </c>
      <c r="F5158">
        <f>IF(AND(B5158=1,C5158&gt;1,E5157&lt;&gt;""),ABS(D5158-E5157),"")</f>
        <v/>
      </c>
    </row>
    <row r="5159">
      <c r="A5159" t="n">
        <v>5159</v>
      </c>
      <c r="B5159">
        <f>IF(INDEX('Data Entry'!$H$5:$BE$10004,5159-4,'Visual SPC'!$B$3)="",0,IF(AND(OR('Visual SPC'!$C$4="",'Data Entry'!$C5159&gt;='Visual SPC'!$C$4),OR('Visual SPC'!$E$4="",'Data Entry'!$C5159&lt;='Visual SPC'!$E$4),OR('Visual SPC'!$G$4="",'Data Entry'!$D5159='Visual SPC'!$G$4),OR('Visual SPC'!$I$4="",'Data Entry'!$E5159='Visual SPC'!$I$4),OR('Visual SPC'!$K$4="",'Data Entry'!$F5159='Visual SPC'!$K$4)),1,0))</f>
        <v/>
      </c>
      <c r="C5159">
        <f>C5158+B5159</f>
        <v/>
      </c>
      <c r="D5159">
        <f>IF(B5159=1,INDEX('Data Entry'!$H$5:$BE$10004,5159-4,'Visual SPC'!$B$3),"")</f>
        <v/>
      </c>
      <c r="E5159">
        <f>IF(B5159=1,D5159,E5158)</f>
        <v/>
      </c>
      <c r="F5159">
        <f>IF(AND(B5159=1,C5159&gt;1,E5158&lt;&gt;""),ABS(D5159-E5158),"")</f>
        <v/>
      </c>
    </row>
    <row r="5160">
      <c r="A5160" t="n">
        <v>5160</v>
      </c>
      <c r="B5160">
        <f>IF(INDEX('Data Entry'!$H$5:$BE$10004,5160-4,'Visual SPC'!$B$3)="",0,IF(AND(OR('Visual SPC'!$C$4="",'Data Entry'!$C5160&gt;='Visual SPC'!$C$4),OR('Visual SPC'!$E$4="",'Data Entry'!$C5160&lt;='Visual SPC'!$E$4),OR('Visual SPC'!$G$4="",'Data Entry'!$D5160='Visual SPC'!$G$4),OR('Visual SPC'!$I$4="",'Data Entry'!$E5160='Visual SPC'!$I$4),OR('Visual SPC'!$K$4="",'Data Entry'!$F5160='Visual SPC'!$K$4)),1,0))</f>
        <v/>
      </c>
      <c r="C5160">
        <f>C5159+B5160</f>
        <v/>
      </c>
      <c r="D5160">
        <f>IF(B5160=1,INDEX('Data Entry'!$H$5:$BE$10004,5160-4,'Visual SPC'!$B$3),"")</f>
        <v/>
      </c>
      <c r="E5160">
        <f>IF(B5160=1,D5160,E5159)</f>
        <v/>
      </c>
      <c r="F5160">
        <f>IF(AND(B5160=1,C5160&gt;1,E5159&lt;&gt;""),ABS(D5160-E5159),"")</f>
        <v/>
      </c>
    </row>
    <row r="5161">
      <c r="A5161" t="n">
        <v>5161</v>
      </c>
      <c r="B5161">
        <f>IF(INDEX('Data Entry'!$H$5:$BE$10004,5161-4,'Visual SPC'!$B$3)="",0,IF(AND(OR('Visual SPC'!$C$4="",'Data Entry'!$C5161&gt;='Visual SPC'!$C$4),OR('Visual SPC'!$E$4="",'Data Entry'!$C5161&lt;='Visual SPC'!$E$4),OR('Visual SPC'!$G$4="",'Data Entry'!$D5161='Visual SPC'!$G$4),OR('Visual SPC'!$I$4="",'Data Entry'!$E5161='Visual SPC'!$I$4),OR('Visual SPC'!$K$4="",'Data Entry'!$F5161='Visual SPC'!$K$4)),1,0))</f>
        <v/>
      </c>
      <c r="C5161">
        <f>C5160+B5161</f>
        <v/>
      </c>
      <c r="D5161">
        <f>IF(B5161=1,INDEX('Data Entry'!$H$5:$BE$10004,5161-4,'Visual SPC'!$B$3),"")</f>
        <v/>
      </c>
      <c r="E5161">
        <f>IF(B5161=1,D5161,E5160)</f>
        <v/>
      </c>
      <c r="F5161">
        <f>IF(AND(B5161=1,C5161&gt;1,E5160&lt;&gt;""),ABS(D5161-E5160),"")</f>
        <v/>
      </c>
    </row>
    <row r="5162">
      <c r="A5162" t="n">
        <v>5162</v>
      </c>
      <c r="B5162">
        <f>IF(INDEX('Data Entry'!$H$5:$BE$10004,5162-4,'Visual SPC'!$B$3)="",0,IF(AND(OR('Visual SPC'!$C$4="",'Data Entry'!$C5162&gt;='Visual SPC'!$C$4),OR('Visual SPC'!$E$4="",'Data Entry'!$C5162&lt;='Visual SPC'!$E$4),OR('Visual SPC'!$G$4="",'Data Entry'!$D5162='Visual SPC'!$G$4),OR('Visual SPC'!$I$4="",'Data Entry'!$E5162='Visual SPC'!$I$4),OR('Visual SPC'!$K$4="",'Data Entry'!$F5162='Visual SPC'!$K$4)),1,0))</f>
        <v/>
      </c>
      <c r="C5162">
        <f>C5161+B5162</f>
        <v/>
      </c>
      <c r="D5162">
        <f>IF(B5162=1,INDEX('Data Entry'!$H$5:$BE$10004,5162-4,'Visual SPC'!$B$3),"")</f>
        <v/>
      </c>
      <c r="E5162">
        <f>IF(B5162=1,D5162,E5161)</f>
        <v/>
      </c>
      <c r="F5162">
        <f>IF(AND(B5162=1,C5162&gt;1,E5161&lt;&gt;""),ABS(D5162-E5161),"")</f>
        <v/>
      </c>
    </row>
    <row r="5163">
      <c r="A5163" t="n">
        <v>5163</v>
      </c>
      <c r="B5163">
        <f>IF(INDEX('Data Entry'!$H$5:$BE$10004,5163-4,'Visual SPC'!$B$3)="",0,IF(AND(OR('Visual SPC'!$C$4="",'Data Entry'!$C5163&gt;='Visual SPC'!$C$4),OR('Visual SPC'!$E$4="",'Data Entry'!$C5163&lt;='Visual SPC'!$E$4),OR('Visual SPC'!$G$4="",'Data Entry'!$D5163='Visual SPC'!$G$4),OR('Visual SPC'!$I$4="",'Data Entry'!$E5163='Visual SPC'!$I$4),OR('Visual SPC'!$K$4="",'Data Entry'!$F5163='Visual SPC'!$K$4)),1,0))</f>
        <v/>
      </c>
      <c r="C5163">
        <f>C5162+B5163</f>
        <v/>
      </c>
      <c r="D5163">
        <f>IF(B5163=1,INDEX('Data Entry'!$H$5:$BE$10004,5163-4,'Visual SPC'!$B$3),"")</f>
        <v/>
      </c>
      <c r="E5163">
        <f>IF(B5163=1,D5163,E5162)</f>
        <v/>
      </c>
      <c r="F5163">
        <f>IF(AND(B5163=1,C5163&gt;1,E5162&lt;&gt;""),ABS(D5163-E5162),"")</f>
        <v/>
      </c>
    </row>
    <row r="5164">
      <c r="A5164" t="n">
        <v>5164</v>
      </c>
      <c r="B5164">
        <f>IF(INDEX('Data Entry'!$H$5:$BE$10004,5164-4,'Visual SPC'!$B$3)="",0,IF(AND(OR('Visual SPC'!$C$4="",'Data Entry'!$C5164&gt;='Visual SPC'!$C$4),OR('Visual SPC'!$E$4="",'Data Entry'!$C5164&lt;='Visual SPC'!$E$4),OR('Visual SPC'!$G$4="",'Data Entry'!$D5164='Visual SPC'!$G$4),OR('Visual SPC'!$I$4="",'Data Entry'!$E5164='Visual SPC'!$I$4),OR('Visual SPC'!$K$4="",'Data Entry'!$F5164='Visual SPC'!$K$4)),1,0))</f>
        <v/>
      </c>
      <c r="C5164">
        <f>C5163+B5164</f>
        <v/>
      </c>
      <c r="D5164">
        <f>IF(B5164=1,INDEX('Data Entry'!$H$5:$BE$10004,5164-4,'Visual SPC'!$B$3),"")</f>
        <v/>
      </c>
      <c r="E5164">
        <f>IF(B5164=1,D5164,E5163)</f>
        <v/>
      </c>
      <c r="F5164">
        <f>IF(AND(B5164=1,C5164&gt;1,E5163&lt;&gt;""),ABS(D5164-E5163),"")</f>
        <v/>
      </c>
    </row>
    <row r="5165">
      <c r="A5165" t="n">
        <v>5165</v>
      </c>
      <c r="B5165">
        <f>IF(INDEX('Data Entry'!$H$5:$BE$10004,5165-4,'Visual SPC'!$B$3)="",0,IF(AND(OR('Visual SPC'!$C$4="",'Data Entry'!$C5165&gt;='Visual SPC'!$C$4),OR('Visual SPC'!$E$4="",'Data Entry'!$C5165&lt;='Visual SPC'!$E$4),OR('Visual SPC'!$G$4="",'Data Entry'!$D5165='Visual SPC'!$G$4),OR('Visual SPC'!$I$4="",'Data Entry'!$E5165='Visual SPC'!$I$4),OR('Visual SPC'!$K$4="",'Data Entry'!$F5165='Visual SPC'!$K$4)),1,0))</f>
        <v/>
      </c>
      <c r="C5165">
        <f>C5164+B5165</f>
        <v/>
      </c>
      <c r="D5165">
        <f>IF(B5165=1,INDEX('Data Entry'!$H$5:$BE$10004,5165-4,'Visual SPC'!$B$3),"")</f>
        <v/>
      </c>
      <c r="E5165">
        <f>IF(B5165=1,D5165,E5164)</f>
        <v/>
      </c>
      <c r="F5165">
        <f>IF(AND(B5165=1,C5165&gt;1,E5164&lt;&gt;""),ABS(D5165-E5164),"")</f>
        <v/>
      </c>
    </row>
    <row r="5166">
      <c r="A5166" t="n">
        <v>5166</v>
      </c>
      <c r="B5166">
        <f>IF(INDEX('Data Entry'!$H$5:$BE$10004,5166-4,'Visual SPC'!$B$3)="",0,IF(AND(OR('Visual SPC'!$C$4="",'Data Entry'!$C5166&gt;='Visual SPC'!$C$4),OR('Visual SPC'!$E$4="",'Data Entry'!$C5166&lt;='Visual SPC'!$E$4),OR('Visual SPC'!$G$4="",'Data Entry'!$D5166='Visual SPC'!$G$4),OR('Visual SPC'!$I$4="",'Data Entry'!$E5166='Visual SPC'!$I$4),OR('Visual SPC'!$K$4="",'Data Entry'!$F5166='Visual SPC'!$K$4)),1,0))</f>
        <v/>
      </c>
      <c r="C5166">
        <f>C5165+B5166</f>
        <v/>
      </c>
      <c r="D5166">
        <f>IF(B5166=1,INDEX('Data Entry'!$H$5:$BE$10004,5166-4,'Visual SPC'!$B$3),"")</f>
        <v/>
      </c>
      <c r="E5166">
        <f>IF(B5166=1,D5166,E5165)</f>
        <v/>
      </c>
      <c r="F5166">
        <f>IF(AND(B5166=1,C5166&gt;1,E5165&lt;&gt;""),ABS(D5166-E5165),"")</f>
        <v/>
      </c>
    </row>
    <row r="5167">
      <c r="A5167" t="n">
        <v>5167</v>
      </c>
      <c r="B5167">
        <f>IF(INDEX('Data Entry'!$H$5:$BE$10004,5167-4,'Visual SPC'!$B$3)="",0,IF(AND(OR('Visual SPC'!$C$4="",'Data Entry'!$C5167&gt;='Visual SPC'!$C$4),OR('Visual SPC'!$E$4="",'Data Entry'!$C5167&lt;='Visual SPC'!$E$4),OR('Visual SPC'!$G$4="",'Data Entry'!$D5167='Visual SPC'!$G$4),OR('Visual SPC'!$I$4="",'Data Entry'!$E5167='Visual SPC'!$I$4),OR('Visual SPC'!$K$4="",'Data Entry'!$F5167='Visual SPC'!$K$4)),1,0))</f>
        <v/>
      </c>
      <c r="C5167">
        <f>C5166+B5167</f>
        <v/>
      </c>
      <c r="D5167">
        <f>IF(B5167=1,INDEX('Data Entry'!$H$5:$BE$10004,5167-4,'Visual SPC'!$B$3),"")</f>
        <v/>
      </c>
      <c r="E5167">
        <f>IF(B5167=1,D5167,E5166)</f>
        <v/>
      </c>
      <c r="F5167">
        <f>IF(AND(B5167=1,C5167&gt;1,E5166&lt;&gt;""),ABS(D5167-E5166),"")</f>
        <v/>
      </c>
    </row>
    <row r="5168">
      <c r="A5168" t="n">
        <v>5168</v>
      </c>
      <c r="B5168">
        <f>IF(INDEX('Data Entry'!$H$5:$BE$10004,5168-4,'Visual SPC'!$B$3)="",0,IF(AND(OR('Visual SPC'!$C$4="",'Data Entry'!$C5168&gt;='Visual SPC'!$C$4),OR('Visual SPC'!$E$4="",'Data Entry'!$C5168&lt;='Visual SPC'!$E$4),OR('Visual SPC'!$G$4="",'Data Entry'!$D5168='Visual SPC'!$G$4),OR('Visual SPC'!$I$4="",'Data Entry'!$E5168='Visual SPC'!$I$4),OR('Visual SPC'!$K$4="",'Data Entry'!$F5168='Visual SPC'!$K$4)),1,0))</f>
        <v/>
      </c>
      <c r="C5168">
        <f>C5167+B5168</f>
        <v/>
      </c>
      <c r="D5168">
        <f>IF(B5168=1,INDEX('Data Entry'!$H$5:$BE$10004,5168-4,'Visual SPC'!$B$3),"")</f>
        <v/>
      </c>
      <c r="E5168">
        <f>IF(B5168=1,D5168,E5167)</f>
        <v/>
      </c>
      <c r="F5168">
        <f>IF(AND(B5168=1,C5168&gt;1,E5167&lt;&gt;""),ABS(D5168-E5167),"")</f>
        <v/>
      </c>
    </row>
    <row r="5169">
      <c r="A5169" t="n">
        <v>5169</v>
      </c>
      <c r="B5169">
        <f>IF(INDEX('Data Entry'!$H$5:$BE$10004,5169-4,'Visual SPC'!$B$3)="",0,IF(AND(OR('Visual SPC'!$C$4="",'Data Entry'!$C5169&gt;='Visual SPC'!$C$4),OR('Visual SPC'!$E$4="",'Data Entry'!$C5169&lt;='Visual SPC'!$E$4),OR('Visual SPC'!$G$4="",'Data Entry'!$D5169='Visual SPC'!$G$4),OR('Visual SPC'!$I$4="",'Data Entry'!$E5169='Visual SPC'!$I$4),OR('Visual SPC'!$K$4="",'Data Entry'!$F5169='Visual SPC'!$K$4)),1,0))</f>
        <v/>
      </c>
      <c r="C5169">
        <f>C5168+B5169</f>
        <v/>
      </c>
      <c r="D5169">
        <f>IF(B5169=1,INDEX('Data Entry'!$H$5:$BE$10004,5169-4,'Visual SPC'!$B$3),"")</f>
        <v/>
      </c>
      <c r="E5169">
        <f>IF(B5169=1,D5169,E5168)</f>
        <v/>
      </c>
      <c r="F5169">
        <f>IF(AND(B5169=1,C5169&gt;1,E5168&lt;&gt;""),ABS(D5169-E5168),"")</f>
        <v/>
      </c>
    </row>
    <row r="5170">
      <c r="A5170" t="n">
        <v>5170</v>
      </c>
      <c r="B5170">
        <f>IF(INDEX('Data Entry'!$H$5:$BE$10004,5170-4,'Visual SPC'!$B$3)="",0,IF(AND(OR('Visual SPC'!$C$4="",'Data Entry'!$C5170&gt;='Visual SPC'!$C$4),OR('Visual SPC'!$E$4="",'Data Entry'!$C5170&lt;='Visual SPC'!$E$4),OR('Visual SPC'!$G$4="",'Data Entry'!$D5170='Visual SPC'!$G$4),OR('Visual SPC'!$I$4="",'Data Entry'!$E5170='Visual SPC'!$I$4),OR('Visual SPC'!$K$4="",'Data Entry'!$F5170='Visual SPC'!$K$4)),1,0))</f>
        <v/>
      </c>
      <c r="C5170">
        <f>C5169+B5170</f>
        <v/>
      </c>
      <c r="D5170">
        <f>IF(B5170=1,INDEX('Data Entry'!$H$5:$BE$10004,5170-4,'Visual SPC'!$B$3),"")</f>
        <v/>
      </c>
      <c r="E5170">
        <f>IF(B5170=1,D5170,E5169)</f>
        <v/>
      </c>
      <c r="F5170">
        <f>IF(AND(B5170=1,C5170&gt;1,E5169&lt;&gt;""),ABS(D5170-E5169),"")</f>
        <v/>
      </c>
    </row>
    <row r="5171">
      <c r="A5171" t="n">
        <v>5171</v>
      </c>
      <c r="B5171">
        <f>IF(INDEX('Data Entry'!$H$5:$BE$10004,5171-4,'Visual SPC'!$B$3)="",0,IF(AND(OR('Visual SPC'!$C$4="",'Data Entry'!$C5171&gt;='Visual SPC'!$C$4),OR('Visual SPC'!$E$4="",'Data Entry'!$C5171&lt;='Visual SPC'!$E$4),OR('Visual SPC'!$G$4="",'Data Entry'!$D5171='Visual SPC'!$G$4),OR('Visual SPC'!$I$4="",'Data Entry'!$E5171='Visual SPC'!$I$4),OR('Visual SPC'!$K$4="",'Data Entry'!$F5171='Visual SPC'!$K$4)),1,0))</f>
        <v/>
      </c>
      <c r="C5171">
        <f>C5170+B5171</f>
        <v/>
      </c>
      <c r="D5171">
        <f>IF(B5171=1,INDEX('Data Entry'!$H$5:$BE$10004,5171-4,'Visual SPC'!$B$3),"")</f>
        <v/>
      </c>
      <c r="E5171">
        <f>IF(B5171=1,D5171,E5170)</f>
        <v/>
      </c>
      <c r="F5171">
        <f>IF(AND(B5171=1,C5171&gt;1,E5170&lt;&gt;""),ABS(D5171-E5170),"")</f>
        <v/>
      </c>
    </row>
    <row r="5172">
      <c r="A5172" t="n">
        <v>5172</v>
      </c>
      <c r="B5172">
        <f>IF(INDEX('Data Entry'!$H$5:$BE$10004,5172-4,'Visual SPC'!$B$3)="",0,IF(AND(OR('Visual SPC'!$C$4="",'Data Entry'!$C5172&gt;='Visual SPC'!$C$4),OR('Visual SPC'!$E$4="",'Data Entry'!$C5172&lt;='Visual SPC'!$E$4),OR('Visual SPC'!$G$4="",'Data Entry'!$D5172='Visual SPC'!$G$4),OR('Visual SPC'!$I$4="",'Data Entry'!$E5172='Visual SPC'!$I$4),OR('Visual SPC'!$K$4="",'Data Entry'!$F5172='Visual SPC'!$K$4)),1,0))</f>
        <v/>
      </c>
      <c r="C5172">
        <f>C5171+B5172</f>
        <v/>
      </c>
      <c r="D5172">
        <f>IF(B5172=1,INDEX('Data Entry'!$H$5:$BE$10004,5172-4,'Visual SPC'!$B$3),"")</f>
        <v/>
      </c>
      <c r="E5172">
        <f>IF(B5172=1,D5172,E5171)</f>
        <v/>
      </c>
      <c r="F5172">
        <f>IF(AND(B5172=1,C5172&gt;1,E5171&lt;&gt;""),ABS(D5172-E5171),"")</f>
        <v/>
      </c>
    </row>
    <row r="5173">
      <c r="A5173" t="n">
        <v>5173</v>
      </c>
      <c r="B5173">
        <f>IF(INDEX('Data Entry'!$H$5:$BE$10004,5173-4,'Visual SPC'!$B$3)="",0,IF(AND(OR('Visual SPC'!$C$4="",'Data Entry'!$C5173&gt;='Visual SPC'!$C$4),OR('Visual SPC'!$E$4="",'Data Entry'!$C5173&lt;='Visual SPC'!$E$4),OR('Visual SPC'!$G$4="",'Data Entry'!$D5173='Visual SPC'!$G$4),OR('Visual SPC'!$I$4="",'Data Entry'!$E5173='Visual SPC'!$I$4),OR('Visual SPC'!$K$4="",'Data Entry'!$F5173='Visual SPC'!$K$4)),1,0))</f>
        <v/>
      </c>
      <c r="C5173">
        <f>C5172+B5173</f>
        <v/>
      </c>
      <c r="D5173">
        <f>IF(B5173=1,INDEX('Data Entry'!$H$5:$BE$10004,5173-4,'Visual SPC'!$B$3),"")</f>
        <v/>
      </c>
      <c r="E5173">
        <f>IF(B5173=1,D5173,E5172)</f>
        <v/>
      </c>
      <c r="F5173">
        <f>IF(AND(B5173=1,C5173&gt;1,E5172&lt;&gt;""),ABS(D5173-E5172),"")</f>
        <v/>
      </c>
    </row>
    <row r="5174">
      <c r="A5174" t="n">
        <v>5174</v>
      </c>
      <c r="B5174">
        <f>IF(INDEX('Data Entry'!$H$5:$BE$10004,5174-4,'Visual SPC'!$B$3)="",0,IF(AND(OR('Visual SPC'!$C$4="",'Data Entry'!$C5174&gt;='Visual SPC'!$C$4),OR('Visual SPC'!$E$4="",'Data Entry'!$C5174&lt;='Visual SPC'!$E$4),OR('Visual SPC'!$G$4="",'Data Entry'!$D5174='Visual SPC'!$G$4),OR('Visual SPC'!$I$4="",'Data Entry'!$E5174='Visual SPC'!$I$4),OR('Visual SPC'!$K$4="",'Data Entry'!$F5174='Visual SPC'!$K$4)),1,0))</f>
        <v/>
      </c>
      <c r="C5174">
        <f>C5173+B5174</f>
        <v/>
      </c>
      <c r="D5174">
        <f>IF(B5174=1,INDEX('Data Entry'!$H$5:$BE$10004,5174-4,'Visual SPC'!$B$3),"")</f>
        <v/>
      </c>
      <c r="E5174">
        <f>IF(B5174=1,D5174,E5173)</f>
        <v/>
      </c>
      <c r="F5174">
        <f>IF(AND(B5174=1,C5174&gt;1,E5173&lt;&gt;""),ABS(D5174-E5173),"")</f>
        <v/>
      </c>
    </row>
    <row r="5175">
      <c r="A5175" t="n">
        <v>5175</v>
      </c>
      <c r="B5175">
        <f>IF(INDEX('Data Entry'!$H$5:$BE$10004,5175-4,'Visual SPC'!$B$3)="",0,IF(AND(OR('Visual SPC'!$C$4="",'Data Entry'!$C5175&gt;='Visual SPC'!$C$4),OR('Visual SPC'!$E$4="",'Data Entry'!$C5175&lt;='Visual SPC'!$E$4),OR('Visual SPC'!$G$4="",'Data Entry'!$D5175='Visual SPC'!$G$4),OR('Visual SPC'!$I$4="",'Data Entry'!$E5175='Visual SPC'!$I$4),OR('Visual SPC'!$K$4="",'Data Entry'!$F5175='Visual SPC'!$K$4)),1,0))</f>
        <v/>
      </c>
      <c r="C5175">
        <f>C5174+B5175</f>
        <v/>
      </c>
      <c r="D5175">
        <f>IF(B5175=1,INDEX('Data Entry'!$H$5:$BE$10004,5175-4,'Visual SPC'!$B$3),"")</f>
        <v/>
      </c>
      <c r="E5175">
        <f>IF(B5175=1,D5175,E5174)</f>
        <v/>
      </c>
      <c r="F5175">
        <f>IF(AND(B5175=1,C5175&gt;1,E5174&lt;&gt;""),ABS(D5175-E5174),"")</f>
        <v/>
      </c>
    </row>
    <row r="5176">
      <c r="A5176" t="n">
        <v>5176</v>
      </c>
      <c r="B5176">
        <f>IF(INDEX('Data Entry'!$H$5:$BE$10004,5176-4,'Visual SPC'!$B$3)="",0,IF(AND(OR('Visual SPC'!$C$4="",'Data Entry'!$C5176&gt;='Visual SPC'!$C$4),OR('Visual SPC'!$E$4="",'Data Entry'!$C5176&lt;='Visual SPC'!$E$4),OR('Visual SPC'!$G$4="",'Data Entry'!$D5176='Visual SPC'!$G$4),OR('Visual SPC'!$I$4="",'Data Entry'!$E5176='Visual SPC'!$I$4),OR('Visual SPC'!$K$4="",'Data Entry'!$F5176='Visual SPC'!$K$4)),1,0))</f>
        <v/>
      </c>
      <c r="C5176">
        <f>C5175+B5176</f>
        <v/>
      </c>
      <c r="D5176">
        <f>IF(B5176=1,INDEX('Data Entry'!$H$5:$BE$10004,5176-4,'Visual SPC'!$B$3),"")</f>
        <v/>
      </c>
      <c r="E5176">
        <f>IF(B5176=1,D5176,E5175)</f>
        <v/>
      </c>
      <c r="F5176">
        <f>IF(AND(B5176=1,C5176&gt;1,E5175&lt;&gt;""),ABS(D5176-E5175),"")</f>
        <v/>
      </c>
    </row>
    <row r="5177">
      <c r="A5177" t="n">
        <v>5177</v>
      </c>
      <c r="B5177">
        <f>IF(INDEX('Data Entry'!$H$5:$BE$10004,5177-4,'Visual SPC'!$B$3)="",0,IF(AND(OR('Visual SPC'!$C$4="",'Data Entry'!$C5177&gt;='Visual SPC'!$C$4),OR('Visual SPC'!$E$4="",'Data Entry'!$C5177&lt;='Visual SPC'!$E$4),OR('Visual SPC'!$G$4="",'Data Entry'!$D5177='Visual SPC'!$G$4),OR('Visual SPC'!$I$4="",'Data Entry'!$E5177='Visual SPC'!$I$4),OR('Visual SPC'!$K$4="",'Data Entry'!$F5177='Visual SPC'!$K$4)),1,0))</f>
        <v/>
      </c>
      <c r="C5177">
        <f>C5176+B5177</f>
        <v/>
      </c>
      <c r="D5177">
        <f>IF(B5177=1,INDEX('Data Entry'!$H$5:$BE$10004,5177-4,'Visual SPC'!$B$3),"")</f>
        <v/>
      </c>
      <c r="E5177">
        <f>IF(B5177=1,D5177,E5176)</f>
        <v/>
      </c>
      <c r="F5177">
        <f>IF(AND(B5177=1,C5177&gt;1,E5176&lt;&gt;""),ABS(D5177-E5176),"")</f>
        <v/>
      </c>
    </row>
    <row r="5178">
      <c r="A5178" t="n">
        <v>5178</v>
      </c>
      <c r="B5178">
        <f>IF(INDEX('Data Entry'!$H$5:$BE$10004,5178-4,'Visual SPC'!$B$3)="",0,IF(AND(OR('Visual SPC'!$C$4="",'Data Entry'!$C5178&gt;='Visual SPC'!$C$4),OR('Visual SPC'!$E$4="",'Data Entry'!$C5178&lt;='Visual SPC'!$E$4),OR('Visual SPC'!$G$4="",'Data Entry'!$D5178='Visual SPC'!$G$4),OR('Visual SPC'!$I$4="",'Data Entry'!$E5178='Visual SPC'!$I$4),OR('Visual SPC'!$K$4="",'Data Entry'!$F5178='Visual SPC'!$K$4)),1,0))</f>
        <v/>
      </c>
      <c r="C5178">
        <f>C5177+B5178</f>
        <v/>
      </c>
      <c r="D5178">
        <f>IF(B5178=1,INDEX('Data Entry'!$H$5:$BE$10004,5178-4,'Visual SPC'!$B$3),"")</f>
        <v/>
      </c>
      <c r="E5178">
        <f>IF(B5178=1,D5178,E5177)</f>
        <v/>
      </c>
      <c r="F5178">
        <f>IF(AND(B5178=1,C5178&gt;1,E5177&lt;&gt;""),ABS(D5178-E5177),"")</f>
        <v/>
      </c>
    </row>
    <row r="5179">
      <c r="A5179" t="n">
        <v>5179</v>
      </c>
      <c r="B5179">
        <f>IF(INDEX('Data Entry'!$H$5:$BE$10004,5179-4,'Visual SPC'!$B$3)="",0,IF(AND(OR('Visual SPC'!$C$4="",'Data Entry'!$C5179&gt;='Visual SPC'!$C$4),OR('Visual SPC'!$E$4="",'Data Entry'!$C5179&lt;='Visual SPC'!$E$4),OR('Visual SPC'!$G$4="",'Data Entry'!$D5179='Visual SPC'!$G$4),OR('Visual SPC'!$I$4="",'Data Entry'!$E5179='Visual SPC'!$I$4),OR('Visual SPC'!$K$4="",'Data Entry'!$F5179='Visual SPC'!$K$4)),1,0))</f>
        <v/>
      </c>
      <c r="C5179">
        <f>C5178+B5179</f>
        <v/>
      </c>
      <c r="D5179">
        <f>IF(B5179=1,INDEX('Data Entry'!$H$5:$BE$10004,5179-4,'Visual SPC'!$B$3),"")</f>
        <v/>
      </c>
      <c r="E5179">
        <f>IF(B5179=1,D5179,E5178)</f>
        <v/>
      </c>
      <c r="F5179">
        <f>IF(AND(B5179=1,C5179&gt;1,E5178&lt;&gt;""),ABS(D5179-E5178),"")</f>
        <v/>
      </c>
    </row>
    <row r="5180">
      <c r="A5180" t="n">
        <v>5180</v>
      </c>
      <c r="B5180">
        <f>IF(INDEX('Data Entry'!$H$5:$BE$10004,5180-4,'Visual SPC'!$B$3)="",0,IF(AND(OR('Visual SPC'!$C$4="",'Data Entry'!$C5180&gt;='Visual SPC'!$C$4),OR('Visual SPC'!$E$4="",'Data Entry'!$C5180&lt;='Visual SPC'!$E$4),OR('Visual SPC'!$G$4="",'Data Entry'!$D5180='Visual SPC'!$G$4),OR('Visual SPC'!$I$4="",'Data Entry'!$E5180='Visual SPC'!$I$4),OR('Visual SPC'!$K$4="",'Data Entry'!$F5180='Visual SPC'!$K$4)),1,0))</f>
        <v/>
      </c>
      <c r="C5180">
        <f>C5179+B5180</f>
        <v/>
      </c>
      <c r="D5180">
        <f>IF(B5180=1,INDEX('Data Entry'!$H$5:$BE$10004,5180-4,'Visual SPC'!$B$3),"")</f>
        <v/>
      </c>
      <c r="E5180">
        <f>IF(B5180=1,D5180,E5179)</f>
        <v/>
      </c>
      <c r="F5180">
        <f>IF(AND(B5180=1,C5180&gt;1,E5179&lt;&gt;""),ABS(D5180-E5179),"")</f>
        <v/>
      </c>
    </row>
    <row r="5181">
      <c r="A5181" t="n">
        <v>5181</v>
      </c>
      <c r="B5181">
        <f>IF(INDEX('Data Entry'!$H$5:$BE$10004,5181-4,'Visual SPC'!$B$3)="",0,IF(AND(OR('Visual SPC'!$C$4="",'Data Entry'!$C5181&gt;='Visual SPC'!$C$4),OR('Visual SPC'!$E$4="",'Data Entry'!$C5181&lt;='Visual SPC'!$E$4),OR('Visual SPC'!$G$4="",'Data Entry'!$D5181='Visual SPC'!$G$4),OR('Visual SPC'!$I$4="",'Data Entry'!$E5181='Visual SPC'!$I$4),OR('Visual SPC'!$K$4="",'Data Entry'!$F5181='Visual SPC'!$K$4)),1,0))</f>
        <v/>
      </c>
      <c r="C5181">
        <f>C5180+B5181</f>
        <v/>
      </c>
      <c r="D5181">
        <f>IF(B5181=1,INDEX('Data Entry'!$H$5:$BE$10004,5181-4,'Visual SPC'!$B$3),"")</f>
        <v/>
      </c>
      <c r="E5181">
        <f>IF(B5181=1,D5181,E5180)</f>
        <v/>
      </c>
      <c r="F5181">
        <f>IF(AND(B5181=1,C5181&gt;1,E5180&lt;&gt;""),ABS(D5181-E5180),"")</f>
        <v/>
      </c>
    </row>
    <row r="5182">
      <c r="A5182" t="n">
        <v>5182</v>
      </c>
      <c r="B5182">
        <f>IF(INDEX('Data Entry'!$H$5:$BE$10004,5182-4,'Visual SPC'!$B$3)="",0,IF(AND(OR('Visual SPC'!$C$4="",'Data Entry'!$C5182&gt;='Visual SPC'!$C$4),OR('Visual SPC'!$E$4="",'Data Entry'!$C5182&lt;='Visual SPC'!$E$4),OR('Visual SPC'!$G$4="",'Data Entry'!$D5182='Visual SPC'!$G$4),OR('Visual SPC'!$I$4="",'Data Entry'!$E5182='Visual SPC'!$I$4),OR('Visual SPC'!$K$4="",'Data Entry'!$F5182='Visual SPC'!$K$4)),1,0))</f>
        <v/>
      </c>
      <c r="C5182">
        <f>C5181+B5182</f>
        <v/>
      </c>
      <c r="D5182">
        <f>IF(B5182=1,INDEX('Data Entry'!$H$5:$BE$10004,5182-4,'Visual SPC'!$B$3),"")</f>
        <v/>
      </c>
      <c r="E5182">
        <f>IF(B5182=1,D5182,E5181)</f>
        <v/>
      </c>
      <c r="F5182">
        <f>IF(AND(B5182=1,C5182&gt;1,E5181&lt;&gt;""),ABS(D5182-E5181),"")</f>
        <v/>
      </c>
    </row>
    <row r="5183">
      <c r="A5183" t="n">
        <v>5183</v>
      </c>
      <c r="B5183">
        <f>IF(INDEX('Data Entry'!$H$5:$BE$10004,5183-4,'Visual SPC'!$B$3)="",0,IF(AND(OR('Visual SPC'!$C$4="",'Data Entry'!$C5183&gt;='Visual SPC'!$C$4),OR('Visual SPC'!$E$4="",'Data Entry'!$C5183&lt;='Visual SPC'!$E$4),OR('Visual SPC'!$G$4="",'Data Entry'!$D5183='Visual SPC'!$G$4),OR('Visual SPC'!$I$4="",'Data Entry'!$E5183='Visual SPC'!$I$4),OR('Visual SPC'!$K$4="",'Data Entry'!$F5183='Visual SPC'!$K$4)),1,0))</f>
        <v/>
      </c>
      <c r="C5183">
        <f>C5182+B5183</f>
        <v/>
      </c>
      <c r="D5183">
        <f>IF(B5183=1,INDEX('Data Entry'!$H$5:$BE$10004,5183-4,'Visual SPC'!$B$3),"")</f>
        <v/>
      </c>
      <c r="E5183">
        <f>IF(B5183=1,D5183,E5182)</f>
        <v/>
      </c>
      <c r="F5183">
        <f>IF(AND(B5183=1,C5183&gt;1,E5182&lt;&gt;""),ABS(D5183-E5182),"")</f>
        <v/>
      </c>
    </row>
    <row r="5184">
      <c r="A5184" t="n">
        <v>5184</v>
      </c>
      <c r="B5184">
        <f>IF(INDEX('Data Entry'!$H$5:$BE$10004,5184-4,'Visual SPC'!$B$3)="",0,IF(AND(OR('Visual SPC'!$C$4="",'Data Entry'!$C5184&gt;='Visual SPC'!$C$4),OR('Visual SPC'!$E$4="",'Data Entry'!$C5184&lt;='Visual SPC'!$E$4),OR('Visual SPC'!$G$4="",'Data Entry'!$D5184='Visual SPC'!$G$4),OR('Visual SPC'!$I$4="",'Data Entry'!$E5184='Visual SPC'!$I$4),OR('Visual SPC'!$K$4="",'Data Entry'!$F5184='Visual SPC'!$K$4)),1,0))</f>
        <v/>
      </c>
      <c r="C5184">
        <f>C5183+B5184</f>
        <v/>
      </c>
      <c r="D5184">
        <f>IF(B5184=1,INDEX('Data Entry'!$H$5:$BE$10004,5184-4,'Visual SPC'!$B$3),"")</f>
        <v/>
      </c>
      <c r="E5184">
        <f>IF(B5184=1,D5184,E5183)</f>
        <v/>
      </c>
      <c r="F5184">
        <f>IF(AND(B5184=1,C5184&gt;1,E5183&lt;&gt;""),ABS(D5184-E5183),"")</f>
        <v/>
      </c>
    </row>
    <row r="5185">
      <c r="A5185" t="n">
        <v>5185</v>
      </c>
      <c r="B5185">
        <f>IF(INDEX('Data Entry'!$H$5:$BE$10004,5185-4,'Visual SPC'!$B$3)="",0,IF(AND(OR('Visual SPC'!$C$4="",'Data Entry'!$C5185&gt;='Visual SPC'!$C$4),OR('Visual SPC'!$E$4="",'Data Entry'!$C5185&lt;='Visual SPC'!$E$4),OR('Visual SPC'!$G$4="",'Data Entry'!$D5185='Visual SPC'!$G$4),OR('Visual SPC'!$I$4="",'Data Entry'!$E5185='Visual SPC'!$I$4),OR('Visual SPC'!$K$4="",'Data Entry'!$F5185='Visual SPC'!$K$4)),1,0))</f>
        <v/>
      </c>
      <c r="C5185">
        <f>C5184+B5185</f>
        <v/>
      </c>
      <c r="D5185">
        <f>IF(B5185=1,INDEX('Data Entry'!$H$5:$BE$10004,5185-4,'Visual SPC'!$B$3),"")</f>
        <v/>
      </c>
      <c r="E5185">
        <f>IF(B5185=1,D5185,E5184)</f>
        <v/>
      </c>
      <c r="F5185">
        <f>IF(AND(B5185=1,C5185&gt;1,E5184&lt;&gt;""),ABS(D5185-E5184),"")</f>
        <v/>
      </c>
    </row>
    <row r="5186">
      <c r="A5186" t="n">
        <v>5186</v>
      </c>
      <c r="B5186">
        <f>IF(INDEX('Data Entry'!$H$5:$BE$10004,5186-4,'Visual SPC'!$B$3)="",0,IF(AND(OR('Visual SPC'!$C$4="",'Data Entry'!$C5186&gt;='Visual SPC'!$C$4),OR('Visual SPC'!$E$4="",'Data Entry'!$C5186&lt;='Visual SPC'!$E$4),OR('Visual SPC'!$G$4="",'Data Entry'!$D5186='Visual SPC'!$G$4),OR('Visual SPC'!$I$4="",'Data Entry'!$E5186='Visual SPC'!$I$4),OR('Visual SPC'!$K$4="",'Data Entry'!$F5186='Visual SPC'!$K$4)),1,0))</f>
        <v/>
      </c>
      <c r="C5186">
        <f>C5185+B5186</f>
        <v/>
      </c>
      <c r="D5186">
        <f>IF(B5186=1,INDEX('Data Entry'!$H$5:$BE$10004,5186-4,'Visual SPC'!$B$3),"")</f>
        <v/>
      </c>
      <c r="E5186">
        <f>IF(B5186=1,D5186,E5185)</f>
        <v/>
      </c>
      <c r="F5186">
        <f>IF(AND(B5186=1,C5186&gt;1,E5185&lt;&gt;""),ABS(D5186-E5185),"")</f>
        <v/>
      </c>
    </row>
    <row r="5187">
      <c r="A5187" t="n">
        <v>5187</v>
      </c>
      <c r="B5187">
        <f>IF(INDEX('Data Entry'!$H$5:$BE$10004,5187-4,'Visual SPC'!$B$3)="",0,IF(AND(OR('Visual SPC'!$C$4="",'Data Entry'!$C5187&gt;='Visual SPC'!$C$4),OR('Visual SPC'!$E$4="",'Data Entry'!$C5187&lt;='Visual SPC'!$E$4),OR('Visual SPC'!$G$4="",'Data Entry'!$D5187='Visual SPC'!$G$4),OR('Visual SPC'!$I$4="",'Data Entry'!$E5187='Visual SPC'!$I$4),OR('Visual SPC'!$K$4="",'Data Entry'!$F5187='Visual SPC'!$K$4)),1,0))</f>
        <v/>
      </c>
      <c r="C5187">
        <f>C5186+B5187</f>
        <v/>
      </c>
      <c r="D5187">
        <f>IF(B5187=1,INDEX('Data Entry'!$H$5:$BE$10004,5187-4,'Visual SPC'!$B$3),"")</f>
        <v/>
      </c>
      <c r="E5187">
        <f>IF(B5187=1,D5187,E5186)</f>
        <v/>
      </c>
      <c r="F5187">
        <f>IF(AND(B5187=1,C5187&gt;1,E5186&lt;&gt;""),ABS(D5187-E5186),"")</f>
        <v/>
      </c>
    </row>
    <row r="5188">
      <c r="A5188" t="n">
        <v>5188</v>
      </c>
      <c r="B5188">
        <f>IF(INDEX('Data Entry'!$H$5:$BE$10004,5188-4,'Visual SPC'!$B$3)="",0,IF(AND(OR('Visual SPC'!$C$4="",'Data Entry'!$C5188&gt;='Visual SPC'!$C$4),OR('Visual SPC'!$E$4="",'Data Entry'!$C5188&lt;='Visual SPC'!$E$4),OR('Visual SPC'!$G$4="",'Data Entry'!$D5188='Visual SPC'!$G$4),OR('Visual SPC'!$I$4="",'Data Entry'!$E5188='Visual SPC'!$I$4),OR('Visual SPC'!$K$4="",'Data Entry'!$F5188='Visual SPC'!$K$4)),1,0))</f>
        <v/>
      </c>
      <c r="C5188">
        <f>C5187+B5188</f>
        <v/>
      </c>
      <c r="D5188">
        <f>IF(B5188=1,INDEX('Data Entry'!$H$5:$BE$10004,5188-4,'Visual SPC'!$B$3),"")</f>
        <v/>
      </c>
      <c r="E5188">
        <f>IF(B5188=1,D5188,E5187)</f>
        <v/>
      </c>
      <c r="F5188">
        <f>IF(AND(B5188=1,C5188&gt;1,E5187&lt;&gt;""),ABS(D5188-E5187),"")</f>
        <v/>
      </c>
    </row>
    <row r="5189">
      <c r="A5189" t="n">
        <v>5189</v>
      </c>
      <c r="B5189">
        <f>IF(INDEX('Data Entry'!$H$5:$BE$10004,5189-4,'Visual SPC'!$B$3)="",0,IF(AND(OR('Visual SPC'!$C$4="",'Data Entry'!$C5189&gt;='Visual SPC'!$C$4),OR('Visual SPC'!$E$4="",'Data Entry'!$C5189&lt;='Visual SPC'!$E$4),OR('Visual SPC'!$G$4="",'Data Entry'!$D5189='Visual SPC'!$G$4),OR('Visual SPC'!$I$4="",'Data Entry'!$E5189='Visual SPC'!$I$4),OR('Visual SPC'!$K$4="",'Data Entry'!$F5189='Visual SPC'!$K$4)),1,0))</f>
        <v/>
      </c>
      <c r="C5189">
        <f>C5188+B5189</f>
        <v/>
      </c>
      <c r="D5189">
        <f>IF(B5189=1,INDEX('Data Entry'!$H$5:$BE$10004,5189-4,'Visual SPC'!$B$3),"")</f>
        <v/>
      </c>
      <c r="E5189">
        <f>IF(B5189=1,D5189,E5188)</f>
        <v/>
      </c>
      <c r="F5189">
        <f>IF(AND(B5189=1,C5189&gt;1,E5188&lt;&gt;""),ABS(D5189-E5188),"")</f>
        <v/>
      </c>
    </row>
    <row r="5190">
      <c r="A5190" t="n">
        <v>5190</v>
      </c>
      <c r="B5190">
        <f>IF(INDEX('Data Entry'!$H$5:$BE$10004,5190-4,'Visual SPC'!$B$3)="",0,IF(AND(OR('Visual SPC'!$C$4="",'Data Entry'!$C5190&gt;='Visual SPC'!$C$4),OR('Visual SPC'!$E$4="",'Data Entry'!$C5190&lt;='Visual SPC'!$E$4),OR('Visual SPC'!$G$4="",'Data Entry'!$D5190='Visual SPC'!$G$4),OR('Visual SPC'!$I$4="",'Data Entry'!$E5190='Visual SPC'!$I$4),OR('Visual SPC'!$K$4="",'Data Entry'!$F5190='Visual SPC'!$K$4)),1,0))</f>
        <v/>
      </c>
      <c r="C5190">
        <f>C5189+B5190</f>
        <v/>
      </c>
      <c r="D5190">
        <f>IF(B5190=1,INDEX('Data Entry'!$H$5:$BE$10004,5190-4,'Visual SPC'!$B$3),"")</f>
        <v/>
      </c>
      <c r="E5190">
        <f>IF(B5190=1,D5190,E5189)</f>
        <v/>
      </c>
      <c r="F5190">
        <f>IF(AND(B5190=1,C5190&gt;1,E5189&lt;&gt;""),ABS(D5190-E5189),"")</f>
        <v/>
      </c>
    </row>
    <row r="5191">
      <c r="A5191" t="n">
        <v>5191</v>
      </c>
      <c r="B5191">
        <f>IF(INDEX('Data Entry'!$H$5:$BE$10004,5191-4,'Visual SPC'!$B$3)="",0,IF(AND(OR('Visual SPC'!$C$4="",'Data Entry'!$C5191&gt;='Visual SPC'!$C$4),OR('Visual SPC'!$E$4="",'Data Entry'!$C5191&lt;='Visual SPC'!$E$4),OR('Visual SPC'!$G$4="",'Data Entry'!$D5191='Visual SPC'!$G$4),OR('Visual SPC'!$I$4="",'Data Entry'!$E5191='Visual SPC'!$I$4),OR('Visual SPC'!$K$4="",'Data Entry'!$F5191='Visual SPC'!$K$4)),1,0))</f>
        <v/>
      </c>
      <c r="C5191">
        <f>C5190+B5191</f>
        <v/>
      </c>
      <c r="D5191">
        <f>IF(B5191=1,INDEX('Data Entry'!$H$5:$BE$10004,5191-4,'Visual SPC'!$B$3),"")</f>
        <v/>
      </c>
      <c r="E5191">
        <f>IF(B5191=1,D5191,E5190)</f>
        <v/>
      </c>
      <c r="F5191">
        <f>IF(AND(B5191=1,C5191&gt;1,E5190&lt;&gt;""),ABS(D5191-E5190),"")</f>
        <v/>
      </c>
    </row>
    <row r="5192">
      <c r="A5192" t="n">
        <v>5192</v>
      </c>
      <c r="B5192">
        <f>IF(INDEX('Data Entry'!$H$5:$BE$10004,5192-4,'Visual SPC'!$B$3)="",0,IF(AND(OR('Visual SPC'!$C$4="",'Data Entry'!$C5192&gt;='Visual SPC'!$C$4),OR('Visual SPC'!$E$4="",'Data Entry'!$C5192&lt;='Visual SPC'!$E$4),OR('Visual SPC'!$G$4="",'Data Entry'!$D5192='Visual SPC'!$G$4),OR('Visual SPC'!$I$4="",'Data Entry'!$E5192='Visual SPC'!$I$4),OR('Visual SPC'!$K$4="",'Data Entry'!$F5192='Visual SPC'!$K$4)),1,0))</f>
        <v/>
      </c>
      <c r="C5192">
        <f>C5191+B5192</f>
        <v/>
      </c>
      <c r="D5192">
        <f>IF(B5192=1,INDEX('Data Entry'!$H$5:$BE$10004,5192-4,'Visual SPC'!$B$3),"")</f>
        <v/>
      </c>
      <c r="E5192">
        <f>IF(B5192=1,D5192,E5191)</f>
        <v/>
      </c>
      <c r="F5192">
        <f>IF(AND(B5192=1,C5192&gt;1,E5191&lt;&gt;""),ABS(D5192-E5191),"")</f>
        <v/>
      </c>
    </row>
    <row r="5193">
      <c r="A5193" t="n">
        <v>5193</v>
      </c>
      <c r="B5193">
        <f>IF(INDEX('Data Entry'!$H$5:$BE$10004,5193-4,'Visual SPC'!$B$3)="",0,IF(AND(OR('Visual SPC'!$C$4="",'Data Entry'!$C5193&gt;='Visual SPC'!$C$4),OR('Visual SPC'!$E$4="",'Data Entry'!$C5193&lt;='Visual SPC'!$E$4),OR('Visual SPC'!$G$4="",'Data Entry'!$D5193='Visual SPC'!$G$4),OR('Visual SPC'!$I$4="",'Data Entry'!$E5193='Visual SPC'!$I$4),OR('Visual SPC'!$K$4="",'Data Entry'!$F5193='Visual SPC'!$K$4)),1,0))</f>
        <v/>
      </c>
      <c r="C5193">
        <f>C5192+B5193</f>
        <v/>
      </c>
      <c r="D5193">
        <f>IF(B5193=1,INDEX('Data Entry'!$H$5:$BE$10004,5193-4,'Visual SPC'!$B$3),"")</f>
        <v/>
      </c>
      <c r="E5193">
        <f>IF(B5193=1,D5193,E5192)</f>
        <v/>
      </c>
      <c r="F5193">
        <f>IF(AND(B5193=1,C5193&gt;1,E5192&lt;&gt;""),ABS(D5193-E5192),"")</f>
        <v/>
      </c>
    </row>
    <row r="5194">
      <c r="A5194" t="n">
        <v>5194</v>
      </c>
      <c r="B5194">
        <f>IF(INDEX('Data Entry'!$H$5:$BE$10004,5194-4,'Visual SPC'!$B$3)="",0,IF(AND(OR('Visual SPC'!$C$4="",'Data Entry'!$C5194&gt;='Visual SPC'!$C$4),OR('Visual SPC'!$E$4="",'Data Entry'!$C5194&lt;='Visual SPC'!$E$4),OR('Visual SPC'!$G$4="",'Data Entry'!$D5194='Visual SPC'!$G$4),OR('Visual SPC'!$I$4="",'Data Entry'!$E5194='Visual SPC'!$I$4),OR('Visual SPC'!$K$4="",'Data Entry'!$F5194='Visual SPC'!$K$4)),1,0))</f>
        <v/>
      </c>
      <c r="C5194">
        <f>C5193+B5194</f>
        <v/>
      </c>
      <c r="D5194">
        <f>IF(B5194=1,INDEX('Data Entry'!$H$5:$BE$10004,5194-4,'Visual SPC'!$B$3),"")</f>
        <v/>
      </c>
      <c r="E5194">
        <f>IF(B5194=1,D5194,E5193)</f>
        <v/>
      </c>
      <c r="F5194">
        <f>IF(AND(B5194=1,C5194&gt;1,E5193&lt;&gt;""),ABS(D5194-E5193),"")</f>
        <v/>
      </c>
    </row>
    <row r="5195">
      <c r="A5195" t="n">
        <v>5195</v>
      </c>
      <c r="B5195">
        <f>IF(INDEX('Data Entry'!$H$5:$BE$10004,5195-4,'Visual SPC'!$B$3)="",0,IF(AND(OR('Visual SPC'!$C$4="",'Data Entry'!$C5195&gt;='Visual SPC'!$C$4),OR('Visual SPC'!$E$4="",'Data Entry'!$C5195&lt;='Visual SPC'!$E$4),OR('Visual SPC'!$G$4="",'Data Entry'!$D5195='Visual SPC'!$G$4),OR('Visual SPC'!$I$4="",'Data Entry'!$E5195='Visual SPC'!$I$4),OR('Visual SPC'!$K$4="",'Data Entry'!$F5195='Visual SPC'!$K$4)),1,0))</f>
        <v/>
      </c>
      <c r="C5195">
        <f>C5194+B5195</f>
        <v/>
      </c>
      <c r="D5195">
        <f>IF(B5195=1,INDEX('Data Entry'!$H$5:$BE$10004,5195-4,'Visual SPC'!$B$3),"")</f>
        <v/>
      </c>
      <c r="E5195">
        <f>IF(B5195=1,D5195,E5194)</f>
        <v/>
      </c>
      <c r="F5195">
        <f>IF(AND(B5195=1,C5195&gt;1,E5194&lt;&gt;""),ABS(D5195-E5194),"")</f>
        <v/>
      </c>
    </row>
    <row r="5196">
      <c r="A5196" t="n">
        <v>5196</v>
      </c>
      <c r="B5196">
        <f>IF(INDEX('Data Entry'!$H$5:$BE$10004,5196-4,'Visual SPC'!$B$3)="",0,IF(AND(OR('Visual SPC'!$C$4="",'Data Entry'!$C5196&gt;='Visual SPC'!$C$4),OR('Visual SPC'!$E$4="",'Data Entry'!$C5196&lt;='Visual SPC'!$E$4),OR('Visual SPC'!$G$4="",'Data Entry'!$D5196='Visual SPC'!$G$4),OR('Visual SPC'!$I$4="",'Data Entry'!$E5196='Visual SPC'!$I$4),OR('Visual SPC'!$K$4="",'Data Entry'!$F5196='Visual SPC'!$K$4)),1,0))</f>
        <v/>
      </c>
      <c r="C5196">
        <f>C5195+B5196</f>
        <v/>
      </c>
      <c r="D5196">
        <f>IF(B5196=1,INDEX('Data Entry'!$H$5:$BE$10004,5196-4,'Visual SPC'!$B$3),"")</f>
        <v/>
      </c>
      <c r="E5196">
        <f>IF(B5196=1,D5196,E5195)</f>
        <v/>
      </c>
      <c r="F5196">
        <f>IF(AND(B5196=1,C5196&gt;1,E5195&lt;&gt;""),ABS(D5196-E5195),"")</f>
        <v/>
      </c>
    </row>
    <row r="5197">
      <c r="A5197" t="n">
        <v>5197</v>
      </c>
      <c r="B5197">
        <f>IF(INDEX('Data Entry'!$H$5:$BE$10004,5197-4,'Visual SPC'!$B$3)="",0,IF(AND(OR('Visual SPC'!$C$4="",'Data Entry'!$C5197&gt;='Visual SPC'!$C$4),OR('Visual SPC'!$E$4="",'Data Entry'!$C5197&lt;='Visual SPC'!$E$4),OR('Visual SPC'!$G$4="",'Data Entry'!$D5197='Visual SPC'!$G$4),OR('Visual SPC'!$I$4="",'Data Entry'!$E5197='Visual SPC'!$I$4),OR('Visual SPC'!$K$4="",'Data Entry'!$F5197='Visual SPC'!$K$4)),1,0))</f>
        <v/>
      </c>
      <c r="C5197">
        <f>C5196+B5197</f>
        <v/>
      </c>
      <c r="D5197">
        <f>IF(B5197=1,INDEX('Data Entry'!$H$5:$BE$10004,5197-4,'Visual SPC'!$B$3),"")</f>
        <v/>
      </c>
      <c r="E5197">
        <f>IF(B5197=1,D5197,E5196)</f>
        <v/>
      </c>
      <c r="F5197">
        <f>IF(AND(B5197=1,C5197&gt;1,E5196&lt;&gt;""),ABS(D5197-E5196),"")</f>
        <v/>
      </c>
    </row>
    <row r="5198">
      <c r="A5198" t="n">
        <v>5198</v>
      </c>
      <c r="B5198">
        <f>IF(INDEX('Data Entry'!$H$5:$BE$10004,5198-4,'Visual SPC'!$B$3)="",0,IF(AND(OR('Visual SPC'!$C$4="",'Data Entry'!$C5198&gt;='Visual SPC'!$C$4),OR('Visual SPC'!$E$4="",'Data Entry'!$C5198&lt;='Visual SPC'!$E$4),OR('Visual SPC'!$G$4="",'Data Entry'!$D5198='Visual SPC'!$G$4),OR('Visual SPC'!$I$4="",'Data Entry'!$E5198='Visual SPC'!$I$4),OR('Visual SPC'!$K$4="",'Data Entry'!$F5198='Visual SPC'!$K$4)),1,0))</f>
        <v/>
      </c>
      <c r="C5198">
        <f>C5197+B5198</f>
        <v/>
      </c>
      <c r="D5198">
        <f>IF(B5198=1,INDEX('Data Entry'!$H$5:$BE$10004,5198-4,'Visual SPC'!$B$3),"")</f>
        <v/>
      </c>
      <c r="E5198">
        <f>IF(B5198=1,D5198,E5197)</f>
        <v/>
      </c>
      <c r="F5198">
        <f>IF(AND(B5198=1,C5198&gt;1,E5197&lt;&gt;""),ABS(D5198-E5197),"")</f>
        <v/>
      </c>
    </row>
    <row r="5199">
      <c r="A5199" t="n">
        <v>5199</v>
      </c>
      <c r="B5199">
        <f>IF(INDEX('Data Entry'!$H$5:$BE$10004,5199-4,'Visual SPC'!$B$3)="",0,IF(AND(OR('Visual SPC'!$C$4="",'Data Entry'!$C5199&gt;='Visual SPC'!$C$4),OR('Visual SPC'!$E$4="",'Data Entry'!$C5199&lt;='Visual SPC'!$E$4),OR('Visual SPC'!$G$4="",'Data Entry'!$D5199='Visual SPC'!$G$4),OR('Visual SPC'!$I$4="",'Data Entry'!$E5199='Visual SPC'!$I$4),OR('Visual SPC'!$K$4="",'Data Entry'!$F5199='Visual SPC'!$K$4)),1,0))</f>
        <v/>
      </c>
      <c r="C5199">
        <f>C5198+B5199</f>
        <v/>
      </c>
      <c r="D5199">
        <f>IF(B5199=1,INDEX('Data Entry'!$H$5:$BE$10004,5199-4,'Visual SPC'!$B$3),"")</f>
        <v/>
      </c>
      <c r="E5199">
        <f>IF(B5199=1,D5199,E5198)</f>
        <v/>
      </c>
      <c r="F5199">
        <f>IF(AND(B5199=1,C5199&gt;1,E5198&lt;&gt;""),ABS(D5199-E5198),"")</f>
        <v/>
      </c>
    </row>
    <row r="5200">
      <c r="A5200" t="n">
        <v>5200</v>
      </c>
      <c r="B5200">
        <f>IF(INDEX('Data Entry'!$H$5:$BE$10004,5200-4,'Visual SPC'!$B$3)="",0,IF(AND(OR('Visual SPC'!$C$4="",'Data Entry'!$C5200&gt;='Visual SPC'!$C$4),OR('Visual SPC'!$E$4="",'Data Entry'!$C5200&lt;='Visual SPC'!$E$4),OR('Visual SPC'!$G$4="",'Data Entry'!$D5200='Visual SPC'!$G$4),OR('Visual SPC'!$I$4="",'Data Entry'!$E5200='Visual SPC'!$I$4),OR('Visual SPC'!$K$4="",'Data Entry'!$F5200='Visual SPC'!$K$4)),1,0))</f>
        <v/>
      </c>
      <c r="C5200">
        <f>C5199+B5200</f>
        <v/>
      </c>
      <c r="D5200">
        <f>IF(B5200=1,INDEX('Data Entry'!$H$5:$BE$10004,5200-4,'Visual SPC'!$B$3),"")</f>
        <v/>
      </c>
      <c r="E5200">
        <f>IF(B5200=1,D5200,E5199)</f>
        <v/>
      </c>
      <c r="F5200">
        <f>IF(AND(B5200=1,C5200&gt;1,E5199&lt;&gt;""),ABS(D5200-E5199),"")</f>
        <v/>
      </c>
    </row>
    <row r="5201">
      <c r="A5201" t="n">
        <v>5201</v>
      </c>
      <c r="B5201">
        <f>IF(INDEX('Data Entry'!$H$5:$BE$10004,5201-4,'Visual SPC'!$B$3)="",0,IF(AND(OR('Visual SPC'!$C$4="",'Data Entry'!$C5201&gt;='Visual SPC'!$C$4),OR('Visual SPC'!$E$4="",'Data Entry'!$C5201&lt;='Visual SPC'!$E$4),OR('Visual SPC'!$G$4="",'Data Entry'!$D5201='Visual SPC'!$G$4),OR('Visual SPC'!$I$4="",'Data Entry'!$E5201='Visual SPC'!$I$4),OR('Visual SPC'!$K$4="",'Data Entry'!$F5201='Visual SPC'!$K$4)),1,0))</f>
        <v/>
      </c>
      <c r="C5201">
        <f>C5200+B5201</f>
        <v/>
      </c>
      <c r="D5201">
        <f>IF(B5201=1,INDEX('Data Entry'!$H$5:$BE$10004,5201-4,'Visual SPC'!$B$3),"")</f>
        <v/>
      </c>
      <c r="E5201">
        <f>IF(B5201=1,D5201,E5200)</f>
        <v/>
      </c>
      <c r="F5201">
        <f>IF(AND(B5201=1,C5201&gt;1,E5200&lt;&gt;""),ABS(D5201-E5200),"")</f>
        <v/>
      </c>
    </row>
    <row r="5202">
      <c r="A5202" t="n">
        <v>5202</v>
      </c>
      <c r="B5202">
        <f>IF(INDEX('Data Entry'!$H$5:$BE$10004,5202-4,'Visual SPC'!$B$3)="",0,IF(AND(OR('Visual SPC'!$C$4="",'Data Entry'!$C5202&gt;='Visual SPC'!$C$4),OR('Visual SPC'!$E$4="",'Data Entry'!$C5202&lt;='Visual SPC'!$E$4),OR('Visual SPC'!$G$4="",'Data Entry'!$D5202='Visual SPC'!$G$4),OR('Visual SPC'!$I$4="",'Data Entry'!$E5202='Visual SPC'!$I$4),OR('Visual SPC'!$K$4="",'Data Entry'!$F5202='Visual SPC'!$K$4)),1,0))</f>
        <v/>
      </c>
      <c r="C5202">
        <f>C5201+B5202</f>
        <v/>
      </c>
      <c r="D5202">
        <f>IF(B5202=1,INDEX('Data Entry'!$H$5:$BE$10004,5202-4,'Visual SPC'!$B$3),"")</f>
        <v/>
      </c>
      <c r="E5202">
        <f>IF(B5202=1,D5202,E5201)</f>
        <v/>
      </c>
      <c r="F5202">
        <f>IF(AND(B5202=1,C5202&gt;1,E5201&lt;&gt;""),ABS(D5202-E5201),"")</f>
        <v/>
      </c>
    </row>
    <row r="5203">
      <c r="A5203" t="n">
        <v>5203</v>
      </c>
      <c r="B5203">
        <f>IF(INDEX('Data Entry'!$H$5:$BE$10004,5203-4,'Visual SPC'!$B$3)="",0,IF(AND(OR('Visual SPC'!$C$4="",'Data Entry'!$C5203&gt;='Visual SPC'!$C$4),OR('Visual SPC'!$E$4="",'Data Entry'!$C5203&lt;='Visual SPC'!$E$4),OR('Visual SPC'!$G$4="",'Data Entry'!$D5203='Visual SPC'!$G$4),OR('Visual SPC'!$I$4="",'Data Entry'!$E5203='Visual SPC'!$I$4),OR('Visual SPC'!$K$4="",'Data Entry'!$F5203='Visual SPC'!$K$4)),1,0))</f>
        <v/>
      </c>
      <c r="C5203">
        <f>C5202+B5203</f>
        <v/>
      </c>
      <c r="D5203">
        <f>IF(B5203=1,INDEX('Data Entry'!$H$5:$BE$10004,5203-4,'Visual SPC'!$B$3),"")</f>
        <v/>
      </c>
      <c r="E5203">
        <f>IF(B5203=1,D5203,E5202)</f>
        <v/>
      </c>
      <c r="F5203">
        <f>IF(AND(B5203=1,C5203&gt;1,E5202&lt;&gt;""),ABS(D5203-E5202),"")</f>
        <v/>
      </c>
    </row>
    <row r="5204">
      <c r="A5204" t="n">
        <v>5204</v>
      </c>
      <c r="B5204">
        <f>IF(INDEX('Data Entry'!$H$5:$BE$10004,5204-4,'Visual SPC'!$B$3)="",0,IF(AND(OR('Visual SPC'!$C$4="",'Data Entry'!$C5204&gt;='Visual SPC'!$C$4),OR('Visual SPC'!$E$4="",'Data Entry'!$C5204&lt;='Visual SPC'!$E$4),OR('Visual SPC'!$G$4="",'Data Entry'!$D5204='Visual SPC'!$G$4),OR('Visual SPC'!$I$4="",'Data Entry'!$E5204='Visual SPC'!$I$4),OR('Visual SPC'!$K$4="",'Data Entry'!$F5204='Visual SPC'!$K$4)),1,0))</f>
        <v/>
      </c>
      <c r="C5204">
        <f>C5203+B5204</f>
        <v/>
      </c>
      <c r="D5204">
        <f>IF(B5204=1,INDEX('Data Entry'!$H$5:$BE$10004,5204-4,'Visual SPC'!$B$3),"")</f>
        <v/>
      </c>
      <c r="E5204">
        <f>IF(B5204=1,D5204,E5203)</f>
        <v/>
      </c>
      <c r="F5204">
        <f>IF(AND(B5204=1,C5204&gt;1,E5203&lt;&gt;""),ABS(D5204-E5203),"")</f>
        <v/>
      </c>
    </row>
    <row r="5205">
      <c r="A5205" t="n">
        <v>5205</v>
      </c>
      <c r="B5205">
        <f>IF(INDEX('Data Entry'!$H$5:$BE$10004,5205-4,'Visual SPC'!$B$3)="",0,IF(AND(OR('Visual SPC'!$C$4="",'Data Entry'!$C5205&gt;='Visual SPC'!$C$4),OR('Visual SPC'!$E$4="",'Data Entry'!$C5205&lt;='Visual SPC'!$E$4),OR('Visual SPC'!$G$4="",'Data Entry'!$D5205='Visual SPC'!$G$4),OR('Visual SPC'!$I$4="",'Data Entry'!$E5205='Visual SPC'!$I$4),OR('Visual SPC'!$K$4="",'Data Entry'!$F5205='Visual SPC'!$K$4)),1,0))</f>
        <v/>
      </c>
      <c r="C5205">
        <f>C5204+B5205</f>
        <v/>
      </c>
      <c r="D5205">
        <f>IF(B5205=1,INDEX('Data Entry'!$H$5:$BE$10004,5205-4,'Visual SPC'!$B$3),"")</f>
        <v/>
      </c>
      <c r="E5205">
        <f>IF(B5205=1,D5205,E5204)</f>
        <v/>
      </c>
      <c r="F5205">
        <f>IF(AND(B5205=1,C5205&gt;1,E5204&lt;&gt;""),ABS(D5205-E5204),"")</f>
        <v/>
      </c>
    </row>
    <row r="5206">
      <c r="A5206" t="n">
        <v>5206</v>
      </c>
      <c r="B5206">
        <f>IF(INDEX('Data Entry'!$H$5:$BE$10004,5206-4,'Visual SPC'!$B$3)="",0,IF(AND(OR('Visual SPC'!$C$4="",'Data Entry'!$C5206&gt;='Visual SPC'!$C$4),OR('Visual SPC'!$E$4="",'Data Entry'!$C5206&lt;='Visual SPC'!$E$4),OR('Visual SPC'!$G$4="",'Data Entry'!$D5206='Visual SPC'!$G$4),OR('Visual SPC'!$I$4="",'Data Entry'!$E5206='Visual SPC'!$I$4),OR('Visual SPC'!$K$4="",'Data Entry'!$F5206='Visual SPC'!$K$4)),1,0))</f>
        <v/>
      </c>
      <c r="C5206">
        <f>C5205+B5206</f>
        <v/>
      </c>
      <c r="D5206">
        <f>IF(B5206=1,INDEX('Data Entry'!$H$5:$BE$10004,5206-4,'Visual SPC'!$B$3),"")</f>
        <v/>
      </c>
      <c r="E5206">
        <f>IF(B5206=1,D5206,E5205)</f>
        <v/>
      </c>
      <c r="F5206">
        <f>IF(AND(B5206=1,C5206&gt;1,E5205&lt;&gt;""),ABS(D5206-E5205),"")</f>
        <v/>
      </c>
    </row>
    <row r="5207">
      <c r="A5207" t="n">
        <v>5207</v>
      </c>
      <c r="B5207">
        <f>IF(INDEX('Data Entry'!$H$5:$BE$10004,5207-4,'Visual SPC'!$B$3)="",0,IF(AND(OR('Visual SPC'!$C$4="",'Data Entry'!$C5207&gt;='Visual SPC'!$C$4),OR('Visual SPC'!$E$4="",'Data Entry'!$C5207&lt;='Visual SPC'!$E$4),OR('Visual SPC'!$G$4="",'Data Entry'!$D5207='Visual SPC'!$G$4),OR('Visual SPC'!$I$4="",'Data Entry'!$E5207='Visual SPC'!$I$4),OR('Visual SPC'!$K$4="",'Data Entry'!$F5207='Visual SPC'!$K$4)),1,0))</f>
        <v/>
      </c>
      <c r="C5207">
        <f>C5206+B5207</f>
        <v/>
      </c>
      <c r="D5207">
        <f>IF(B5207=1,INDEX('Data Entry'!$H$5:$BE$10004,5207-4,'Visual SPC'!$B$3),"")</f>
        <v/>
      </c>
      <c r="E5207">
        <f>IF(B5207=1,D5207,E5206)</f>
        <v/>
      </c>
      <c r="F5207">
        <f>IF(AND(B5207=1,C5207&gt;1,E5206&lt;&gt;""),ABS(D5207-E5206),"")</f>
        <v/>
      </c>
    </row>
    <row r="5208">
      <c r="A5208" t="n">
        <v>5208</v>
      </c>
      <c r="B5208">
        <f>IF(INDEX('Data Entry'!$H$5:$BE$10004,5208-4,'Visual SPC'!$B$3)="",0,IF(AND(OR('Visual SPC'!$C$4="",'Data Entry'!$C5208&gt;='Visual SPC'!$C$4),OR('Visual SPC'!$E$4="",'Data Entry'!$C5208&lt;='Visual SPC'!$E$4),OR('Visual SPC'!$G$4="",'Data Entry'!$D5208='Visual SPC'!$G$4),OR('Visual SPC'!$I$4="",'Data Entry'!$E5208='Visual SPC'!$I$4),OR('Visual SPC'!$K$4="",'Data Entry'!$F5208='Visual SPC'!$K$4)),1,0))</f>
        <v/>
      </c>
      <c r="C5208">
        <f>C5207+B5208</f>
        <v/>
      </c>
      <c r="D5208">
        <f>IF(B5208=1,INDEX('Data Entry'!$H$5:$BE$10004,5208-4,'Visual SPC'!$B$3),"")</f>
        <v/>
      </c>
      <c r="E5208">
        <f>IF(B5208=1,D5208,E5207)</f>
        <v/>
      </c>
      <c r="F5208">
        <f>IF(AND(B5208=1,C5208&gt;1,E5207&lt;&gt;""),ABS(D5208-E5207),"")</f>
        <v/>
      </c>
    </row>
    <row r="5209">
      <c r="A5209" t="n">
        <v>5209</v>
      </c>
      <c r="B5209">
        <f>IF(INDEX('Data Entry'!$H$5:$BE$10004,5209-4,'Visual SPC'!$B$3)="",0,IF(AND(OR('Visual SPC'!$C$4="",'Data Entry'!$C5209&gt;='Visual SPC'!$C$4),OR('Visual SPC'!$E$4="",'Data Entry'!$C5209&lt;='Visual SPC'!$E$4),OR('Visual SPC'!$G$4="",'Data Entry'!$D5209='Visual SPC'!$G$4),OR('Visual SPC'!$I$4="",'Data Entry'!$E5209='Visual SPC'!$I$4),OR('Visual SPC'!$K$4="",'Data Entry'!$F5209='Visual SPC'!$K$4)),1,0))</f>
        <v/>
      </c>
      <c r="C5209">
        <f>C5208+B5209</f>
        <v/>
      </c>
      <c r="D5209">
        <f>IF(B5209=1,INDEX('Data Entry'!$H$5:$BE$10004,5209-4,'Visual SPC'!$B$3),"")</f>
        <v/>
      </c>
      <c r="E5209">
        <f>IF(B5209=1,D5209,E5208)</f>
        <v/>
      </c>
      <c r="F5209">
        <f>IF(AND(B5209=1,C5209&gt;1,E5208&lt;&gt;""),ABS(D5209-E5208),"")</f>
        <v/>
      </c>
    </row>
    <row r="5210">
      <c r="A5210" t="n">
        <v>5210</v>
      </c>
      <c r="B5210">
        <f>IF(INDEX('Data Entry'!$H$5:$BE$10004,5210-4,'Visual SPC'!$B$3)="",0,IF(AND(OR('Visual SPC'!$C$4="",'Data Entry'!$C5210&gt;='Visual SPC'!$C$4),OR('Visual SPC'!$E$4="",'Data Entry'!$C5210&lt;='Visual SPC'!$E$4),OR('Visual SPC'!$G$4="",'Data Entry'!$D5210='Visual SPC'!$G$4),OR('Visual SPC'!$I$4="",'Data Entry'!$E5210='Visual SPC'!$I$4),OR('Visual SPC'!$K$4="",'Data Entry'!$F5210='Visual SPC'!$K$4)),1,0))</f>
        <v/>
      </c>
      <c r="C5210">
        <f>C5209+B5210</f>
        <v/>
      </c>
      <c r="D5210">
        <f>IF(B5210=1,INDEX('Data Entry'!$H$5:$BE$10004,5210-4,'Visual SPC'!$B$3),"")</f>
        <v/>
      </c>
      <c r="E5210">
        <f>IF(B5210=1,D5210,E5209)</f>
        <v/>
      </c>
      <c r="F5210">
        <f>IF(AND(B5210=1,C5210&gt;1,E5209&lt;&gt;""),ABS(D5210-E5209),"")</f>
        <v/>
      </c>
    </row>
    <row r="5211">
      <c r="A5211" t="n">
        <v>5211</v>
      </c>
      <c r="B5211">
        <f>IF(INDEX('Data Entry'!$H$5:$BE$10004,5211-4,'Visual SPC'!$B$3)="",0,IF(AND(OR('Visual SPC'!$C$4="",'Data Entry'!$C5211&gt;='Visual SPC'!$C$4),OR('Visual SPC'!$E$4="",'Data Entry'!$C5211&lt;='Visual SPC'!$E$4),OR('Visual SPC'!$G$4="",'Data Entry'!$D5211='Visual SPC'!$G$4),OR('Visual SPC'!$I$4="",'Data Entry'!$E5211='Visual SPC'!$I$4),OR('Visual SPC'!$K$4="",'Data Entry'!$F5211='Visual SPC'!$K$4)),1,0))</f>
        <v/>
      </c>
      <c r="C5211">
        <f>C5210+B5211</f>
        <v/>
      </c>
      <c r="D5211">
        <f>IF(B5211=1,INDEX('Data Entry'!$H$5:$BE$10004,5211-4,'Visual SPC'!$B$3),"")</f>
        <v/>
      </c>
      <c r="E5211">
        <f>IF(B5211=1,D5211,E5210)</f>
        <v/>
      </c>
      <c r="F5211">
        <f>IF(AND(B5211=1,C5211&gt;1,E5210&lt;&gt;""),ABS(D5211-E5210),"")</f>
        <v/>
      </c>
    </row>
    <row r="5212">
      <c r="A5212" t="n">
        <v>5212</v>
      </c>
      <c r="B5212">
        <f>IF(INDEX('Data Entry'!$H$5:$BE$10004,5212-4,'Visual SPC'!$B$3)="",0,IF(AND(OR('Visual SPC'!$C$4="",'Data Entry'!$C5212&gt;='Visual SPC'!$C$4),OR('Visual SPC'!$E$4="",'Data Entry'!$C5212&lt;='Visual SPC'!$E$4),OR('Visual SPC'!$G$4="",'Data Entry'!$D5212='Visual SPC'!$G$4),OR('Visual SPC'!$I$4="",'Data Entry'!$E5212='Visual SPC'!$I$4),OR('Visual SPC'!$K$4="",'Data Entry'!$F5212='Visual SPC'!$K$4)),1,0))</f>
        <v/>
      </c>
      <c r="C5212">
        <f>C5211+B5212</f>
        <v/>
      </c>
      <c r="D5212">
        <f>IF(B5212=1,INDEX('Data Entry'!$H$5:$BE$10004,5212-4,'Visual SPC'!$B$3),"")</f>
        <v/>
      </c>
      <c r="E5212">
        <f>IF(B5212=1,D5212,E5211)</f>
        <v/>
      </c>
      <c r="F5212">
        <f>IF(AND(B5212=1,C5212&gt;1,E5211&lt;&gt;""),ABS(D5212-E5211),"")</f>
        <v/>
      </c>
    </row>
    <row r="5213">
      <c r="A5213" t="n">
        <v>5213</v>
      </c>
      <c r="B5213">
        <f>IF(INDEX('Data Entry'!$H$5:$BE$10004,5213-4,'Visual SPC'!$B$3)="",0,IF(AND(OR('Visual SPC'!$C$4="",'Data Entry'!$C5213&gt;='Visual SPC'!$C$4),OR('Visual SPC'!$E$4="",'Data Entry'!$C5213&lt;='Visual SPC'!$E$4),OR('Visual SPC'!$G$4="",'Data Entry'!$D5213='Visual SPC'!$G$4),OR('Visual SPC'!$I$4="",'Data Entry'!$E5213='Visual SPC'!$I$4),OR('Visual SPC'!$K$4="",'Data Entry'!$F5213='Visual SPC'!$K$4)),1,0))</f>
        <v/>
      </c>
      <c r="C5213">
        <f>C5212+B5213</f>
        <v/>
      </c>
      <c r="D5213">
        <f>IF(B5213=1,INDEX('Data Entry'!$H$5:$BE$10004,5213-4,'Visual SPC'!$B$3),"")</f>
        <v/>
      </c>
      <c r="E5213">
        <f>IF(B5213=1,D5213,E5212)</f>
        <v/>
      </c>
      <c r="F5213">
        <f>IF(AND(B5213=1,C5213&gt;1,E5212&lt;&gt;""),ABS(D5213-E5212),"")</f>
        <v/>
      </c>
    </row>
    <row r="5214">
      <c r="A5214" t="n">
        <v>5214</v>
      </c>
      <c r="B5214">
        <f>IF(INDEX('Data Entry'!$H$5:$BE$10004,5214-4,'Visual SPC'!$B$3)="",0,IF(AND(OR('Visual SPC'!$C$4="",'Data Entry'!$C5214&gt;='Visual SPC'!$C$4),OR('Visual SPC'!$E$4="",'Data Entry'!$C5214&lt;='Visual SPC'!$E$4),OR('Visual SPC'!$G$4="",'Data Entry'!$D5214='Visual SPC'!$G$4),OR('Visual SPC'!$I$4="",'Data Entry'!$E5214='Visual SPC'!$I$4),OR('Visual SPC'!$K$4="",'Data Entry'!$F5214='Visual SPC'!$K$4)),1,0))</f>
        <v/>
      </c>
      <c r="C5214">
        <f>C5213+B5214</f>
        <v/>
      </c>
      <c r="D5214">
        <f>IF(B5214=1,INDEX('Data Entry'!$H$5:$BE$10004,5214-4,'Visual SPC'!$B$3),"")</f>
        <v/>
      </c>
      <c r="E5214">
        <f>IF(B5214=1,D5214,E5213)</f>
        <v/>
      </c>
      <c r="F5214">
        <f>IF(AND(B5214=1,C5214&gt;1,E5213&lt;&gt;""),ABS(D5214-E5213),"")</f>
        <v/>
      </c>
    </row>
    <row r="5215">
      <c r="A5215" t="n">
        <v>5215</v>
      </c>
      <c r="B5215">
        <f>IF(INDEX('Data Entry'!$H$5:$BE$10004,5215-4,'Visual SPC'!$B$3)="",0,IF(AND(OR('Visual SPC'!$C$4="",'Data Entry'!$C5215&gt;='Visual SPC'!$C$4),OR('Visual SPC'!$E$4="",'Data Entry'!$C5215&lt;='Visual SPC'!$E$4),OR('Visual SPC'!$G$4="",'Data Entry'!$D5215='Visual SPC'!$G$4),OR('Visual SPC'!$I$4="",'Data Entry'!$E5215='Visual SPC'!$I$4),OR('Visual SPC'!$K$4="",'Data Entry'!$F5215='Visual SPC'!$K$4)),1,0))</f>
        <v/>
      </c>
      <c r="C5215">
        <f>C5214+B5215</f>
        <v/>
      </c>
      <c r="D5215">
        <f>IF(B5215=1,INDEX('Data Entry'!$H$5:$BE$10004,5215-4,'Visual SPC'!$B$3),"")</f>
        <v/>
      </c>
      <c r="E5215">
        <f>IF(B5215=1,D5215,E5214)</f>
        <v/>
      </c>
      <c r="F5215">
        <f>IF(AND(B5215=1,C5215&gt;1,E5214&lt;&gt;""),ABS(D5215-E5214),"")</f>
        <v/>
      </c>
    </row>
    <row r="5216">
      <c r="A5216" t="n">
        <v>5216</v>
      </c>
      <c r="B5216">
        <f>IF(INDEX('Data Entry'!$H$5:$BE$10004,5216-4,'Visual SPC'!$B$3)="",0,IF(AND(OR('Visual SPC'!$C$4="",'Data Entry'!$C5216&gt;='Visual SPC'!$C$4),OR('Visual SPC'!$E$4="",'Data Entry'!$C5216&lt;='Visual SPC'!$E$4),OR('Visual SPC'!$G$4="",'Data Entry'!$D5216='Visual SPC'!$G$4),OR('Visual SPC'!$I$4="",'Data Entry'!$E5216='Visual SPC'!$I$4),OR('Visual SPC'!$K$4="",'Data Entry'!$F5216='Visual SPC'!$K$4)),1,0))</f>
        <v/>
      </c>
      <c r="C5216">
        <f>C5215+B5216</f>
        <v/>
      </c>
      <c r="D5216">
        <f>IF(B5216=1,INDEX('Data Entry'!$H$5:$BE$10004,5216-4,'Visual SPC'!$B$3),"")</f>
        <v/>
      </c>
      <c r="E5216">
        <f>IF(B5216=1,D5216,E5215)</f>
        <v/>
      </c>
      <c r="F5216">
        <f>IF(AND(B5216=1,C5216&gt;1,E5215&lt;&gt;""),ABS(D5216-E5215),"")</f>
        <v/>
      </c>
    </row>
    <row r="5217">
      <c r="A5217" t="n">
        <v>5217</v>
      </c>
      <c r="B5217">
        <f>IF(INDEX('Data Entry'!$H$5:$BE$10004,5217-4,'Visual SPC'!$B$3)="",0,IF(AND(OR('Visual SPC'!$C$4="",'Data Entry'!$C5217&gt;='Visual SPC'!$C$4),OR('Visual SPC'!$E$4="",'Data Entry'!$C5217&lt;='Visual SPC'!$E$4),OR('Visual SPC'!$G$4="",'Data Entry'!$D5217='Visual SPC'!$G$4),OR('Visual SPC'!$I$4="",'Data Entry'!$E5217='Visual SPC'!$I$4),OR('Visual SPC'!$K$4="",'Data Entry'!$F5217='Visual SPC'!$K$4)),1,0))</f>
        <v/>
      </c>
      <c r="C5217">
        <f>C5216+B5217</f>
        <v/>
      </c>
      <c r="D5217">
        <f>IF(B5217=1,INDEX('Data Entry'!$H$5:$BE$10004,5217-4,'Visual SPC'!$B$3),"")</f>
        <v/>
      </c>
      <c r="E5217">
        <f>IF(B5217=1,D5217,E5216)</f>
        <v/>
      </c>
      <c r="F5217">
        <f>IF(AND(B5217=1,C5217&gt;1,E5216&lt;&gt;""),ABS(D5217-E5216),"")</f>
        <v/>
      </c>
    </row>
    <row r="5218">
      <c r="A5218" t="n">
        <v>5218</v>
      </c>
      <c r="B5218">
        <f>IF(INDEX('Data Entry'!$H$5:$BE$10004,5218-4,'Visual SPC'!$B$3)="",0,IF(AND(OR('Visual SPC'!$C$4="",'Data Entry'!$C5218&gt;='Visual SPC'!$C$4),OR('Visual SPC'!$E$4="",'Data Entry'!$C5218&lt;='Visual SPC'!$E$4),OR('Visual SPC'!$G$4="",'Data Entry'!$D5218='Visual SPC'!$G$4),OR('Visual SPC'!$I$4="",'Data Entry'!$E5218='Visual SPC'!$I$4),OR('Visual SPC'!$K$4="",'Data Entry'!$F5218='Visual SPC'!$K$4)),1,0))</f>
        <v/>
      </c>
      <c r="C5218">
        <f>C5217+B5218</f>
        <v/>
      </c>
      <c r="D5218">
        <f>IF(B5218=1,INDEX('Data Entry'!$H$5:$BE$10004,5218-4,'Visual SPC'!$B$3),"")</f>
        <v/>
      </c>
      <c r="E5218">
        <f>IF(B5218=1,D5218,E5217)</f>
        <v/>
      </c>
      <c r="F5218">
        <f>IF(AND(B5218=1,C5218&gt;1,E5217&lt;&gt;""),ABS(D5218-E5217),"")</f>
        <v/>
      </c>
    </row>
    <row r="5219">
      <c r="A5219" t="n">
        <v>5219</v>
      </c>
      <c r="B5219">
        <f>IF(INDEX('Data Entry'!$H$5:$BE$10004,5219-4,'Visual SPC'!$B$3)="",0,IF(AND(OR('Visual SPC'!$C$4="",'Data Entry'!$C5219&gt;='Visual SPC'!$C$4),OR('Visual SPC'!$E$4="",'Data Entry'!$C5219&lt;='Visual SPC'!$E$4),OR('Visual SPC'!$G$4="",'Data Entry'!$D5219='Visual SPC'!$G$4),OR('Visual SPC'!$I$4="",'Data Entry'!$E5219='Visual SPC'!$I$4),OR('Visual SPC'!$K$4="",'Data Entry'!$F5219='Visual SPC'!$K$4)),1,0))</f>
        <v/>
      </c>
      <c r="C5219">
        <f>C5218+B5219</f>
        <v/>
      </c>
      <c r="D5219">
        <f>IF(B5219=1,INDEX('Data Entry'!$H$5:$BE$10004,5219-4,'Visual SPC'!$B$3),"")</f>
        <v/>
      </c>
      <c r="E5219">
        <f>IF(B5219=1,D5219,E5218)</f>
        <v/>
      </c>
      <c r="F5219">
        <f>IF(AND(B5219=1,C5219&gt;1,E5218&lt;&gt;""),ABS(D5219-E5218),"")</f>
        <v/>
      </c>
    </row>
    <row r="5220">
      <c r="A5220" t="n">
        <v>5220</v>
      </c>
      <c r="B5220">
        <f>IF(INDEX('Data Entry'!$H$5:$BE$10004,5220-4,'Visual SPC'!$B$3)="",0,IF(AND(OR('Visual SPC'!$C$4="",'Data Entry'!$C5220&gt;='Visual SPC'!$C$4),OR('Visual SPC'!$E$4="",'Data Entry'!$C5220&lt;='Visual SPC'!$E$4),OR('Visual SPC'!$G$4="",'Data Entry'!$D5220='Visual SPC'!$G$4),OR('Visual SPC'!$I$4="",'Data Entry'!$E5220='Visual SPC'!$I$4),OR('Visual SPC'!$K$4="",'Data Entry'!$F5220='Visual SPC'!$K$4)),1,0))</f>
        <v/>
      </c>
      <c r="C5220">
        <f>C5219+B5220</f>
        <v/>
      </c>
      <c r="D5220">
        <f>IF(B5220=1,INDEX('Data Entry'!$H$5:$BE$10004,5220-4,'Visual SPC'!$B$3),"")</f>
        <v/>
      </c>
      <c r="E5220">
        <f>IF(B5220=1,D5220,E5219)</f>
        <v/>
      </c>
      <c r="F5220">
        <f>IF(AND(B5220=1,C5220&gt;1,E5219&lt;&gt;""),ABS(D5220-E5219),"")</f>
        <v/>
      </c>
    </row>
    <row r="5221">
      <c r="A5221" t="n">
        <v>5221</v>
      </c>
      <c r="B5221">
        <f>IF(INDEX('Data Entry'!$H$5:$BE$10004,5221-4,'Visual SPC'!$B$3)="",0,IF(AND(OR('Visual SPC'!$C$4="",'Data Entry'!$C5221&gt;='Visual SPC'!$C$4),OR('Visual SPC'!$E$4="",'Data Entry'!$C5221&lt;='Visual SPC'!$E$4),OR('Visual SPC'!$G$4="",'Data Entry'!$D5221='Visual SPC'!$G$4),OR('Visual SPC'!$I$4="",'Data Entry'!$E5221='Visual SPC'!$I$4),OR('Visual SPC'!$K$4="",'Data Entry'!$F5221='Visual SPC'!$K$4)),1,0))</f>
        <v/>
      </c>
      <c r="C5221">
        <f>C5220+B5221</f>
        <v/>
      </c>
      <c r="D5221">
        <f>IF(B5221=1,INDEX('Data Entry'!$H$5:$BE$10004,5221-4,'Visual SPC'!$B$3),"")</f>
        <v/>
      </c>
      <c r="E5221">
        <f>IF(B5221=1,D5221,E5220)</f>
        <v/>
      </c>
      <c r="F5221">
        <f>IF(AND(B5221=1,C5221&gt;1,E5220&lt;&gt;""),ABS(D5221-E5220),"")</f>
        <v/>
      </c>
    </row>
    <row r="5222">
      <c r="A5222" t="n">
        <v>5222</v>
      </c>
      <c r="B5222">
        <f>IF(INDEX('Data Entry'!$H$5:$BE$10004,5222-4,'Visual SPC'!$B$3)="",0,IF(AND(OR('Visual SPC'!$C$4="",'Data Entry'!$C5222&gt;='Visual SPC'!$C$4),OR('Visual SPC'!$E$4="",'Data Entry'!$C5222&lt;='Visual SPC'!$E$4),OR('Visual SPC'!$G$4="",'Data Entry'!$D5222='Visual SPC'!$G$4),OR('Visual SPC'!$I$4="",'Data Entry'!$E5222='Visual SPC'!$I$4),OR('Visual SPC'!$K$4="",'Data Entry'!$F5222='Visual SPC'!$K$4)),1,0))</f>
        <v/>
      </c>
      <c r="C5222">
        <f>C5221+B5222</f>
        <v/>
      </c>
      <c r="D5222">
        <f>IF(B5222=1,INDEX('Data Entry'!$H$5:$BE$10004,5222-4,'Visual SPC'!$B$3),"")</f>
        <v/>
      </c>
      <c r="E5222">
        <f>IF(B5222=1,D5222,E5221)</f>
        <v/>
      </c>
      <c r="F5222">
        <f>IF(AND(B5222=1,C5222&gt;1,E5221&lt;&gt;""),ABS(D5222-E5221),"")</f>
        <v/>
      </c>
    </row>
    <row r="5223">
      <c r="A5223" t="n">
        <v>5223</v>
      </c>
      <c r="B5223">
        <f>IF(INDEX('Data Entry'!$H$5:$BE$10004,5223-4,'Visual SPC'!$B$3)="",0,IF(AND(OR('Visual SPC'!$C$4="",'Data Entry'!$C5223&gt;='Visual SPC'!$C$4),OR('Visual SPC'!$E$4="",'Data Entry'!$C5223&lt;='Visual SPC'!$E$4),OR('Visual SPC'!$G$4="",'Data Entry'!$D5223='Visual SPC'!$G$4),OR('Visual SPC'!$I$4="",'Data Entry'!$E5223='Visual SPC'!$I$4),OR('Visual SPC'!$K$4="",'Data Entry'!$F5223='Visual SPC'!$K$4)),1,0))</f>
        <v/>
      </c>
      <c r="C5223">
        <f>C5222+B5223</f>
        <v/>
      </c>
      <c r="D5223">
        <f>IF(B5223=1,INDEX('Data Entry'!$H$5:$BE$10004,5223-4,'Visual SPC'!$B$3),"")</f>
        <v/>
      </c>
      <c r="E5223">
        <f>IF(B5223=1,D5223,E5222)</f>
        <v/>
      </c>
      <c r="F5223">
        <f>IF(AND(B5223=1,C5223&gt;1,E5222&lt;&gt;""),ABS(D5223-E5222),"")</f>
        <v/>
      </c>
    </row>
    <row r="5224">
      <c r="A5224" t="n">
        <v>5224</v>
      </c>
      <c r="B5224">
        <f>IF(INDEX('Data Entry'!$H$5:$BE$10004,5224-4,'Visual SPC'!$B$3)="",0,IF(AND(OR('Visual SPC'!$C$4="",'Data Entry'!$C5224&gt;='Visual SPC'!$C$4),OR('Visual SPC'!$E$4="",'Data Entry'!$C5224&lt;='Visual SPC'!$E$4),OR('Visual SPC'!$G$4="",'Data Entry'!$D5224='Visual SPC'!$G$4),OR('Visual SPC'!$I$4="",'Data Entry'!$E5224='Visual SPC'!$I$4),OR('Visual SPC'!$K$4="",'Data Entry'!$F5224='Visual SPC'!$K$4)),1,0))</f>
        <v/>
      </c>
      <c r="C5224">
        <f>C5223+B5224</f>
        <v/>
      </c>
      <c r="D5224">
        <f>IF(B5224=1,INDEX('Data Entry'!$H$5:$BE$10004,5224-4,'Visual SPC'!$B$3),"")</f>
        <v/>
      </c>
      <c r="E5224">
        <f>IF(B5224=1,D5224,E5223)</f>
        <v/>
      </c>
      <c r="F5224">
        <f>IF(AND(B5224=1,C5224&gt;1,E5223&lt;&gt;""),ABS(D5224-E5223),"")</f>
        <v/>
      </c>
    </row>
    <row r="5225">
      <c r="A5225" t="n">
        <v>5225</v>
      </c>
      <c r="B5225">
        <f>IF(INDEX('Data Entry'!$H$5:$BE$10004,5225-4,'Visual SPC'!$B$3)="",0,IF(AND(OR('Visual SPC'!$C$4="",'Data Entry'!$C5225&gt;='Visual SPC'!$C$4),OR('Visual SPC'!$E$4="",'Data Entry'!$C5225&lt;='Visual SPC'!$E$4),OR('Visual SPC'!$G$4="",'Data Entry'!$D5225='Visual SPC'!$G$4),OR('Visual SPC'!$I$4="",'Data Entry'!$E5225='Visual SPC'!$I$4),OR('Visual SPC'!$K$4="",'Data Entry'!$F5225='Visual SPC'!$K$4)),1,0))</f>
        <v/>
      </c>
      <c r="C5225">
        <f>C5224+B5225</f>
        <v/>
      </c>
      <c r="D5225">
        <f>IF(B5225=1,INDEX('Data Entry'!$H$5:$BE$10004,5225-4,'Visual SPC'!$B$3),"")</f>
        <v/>
      </c>
      <c r="E5225">
        <f>IF(B5225=1,D5225,E5224)</f>
        <v/>
      </c>
      <c r="F5225">
        <f>IF(AND(B5225=1,C5225&gt;1,E5224&lt;&gt;""),ABS(D5225-E5224),"")</f>
        <v/>
      </c>
    </row>
    <row r="5226">
      <c r="A5226" t="n">
        <v>5226</v>
      </c>
      <c r="B5226">
        <f>IF(INDEX('Data Entry'!$H$5:$BE$10004,5226-4,'Visual SPC'!$B$3)="",0,IF(AND(OR('Visual SPC'!$C$4="",'Data Entry'!$C5226&gt;='Visual SPC'!$C$4),OR('Visual SPC'!$E$4="",'Data Entry'!$C5226&lt;='Visual SPC'!$E$4),OR('Visual SPC'!$G$4="",'Data Entry'!$D5226='Visual SPC'!$G$4),OR('Visual SPC'!$I$4="",'Data Entry'!$E5226='Visual SPC'!$I$4),OR('Visual SPC'!$K$4="",'Data Entry'!$F5226='Visual SPC'!$K$4)),1,0))</f>
        <v/>
      </c>
      <c r="C5226">
        <f>C5225+B5226</f>
        <v/>
      </c>
      <c r="D5226">
        <f>IF(B5226=1,INDEX('Data Entry'!$H$5:$BE$10004,5226-4,'Visual SPC'!$B$3),"")</f>
        <v/>
      </c>
      <c r="E5226">
        <f>IF(B5226=1,D5226,E5225)</f>
        <v/>
      </c>
      <c r="F5226">
        <f>IF(AND(B5226=1,C5226&gt;1,E5225&lt;&gt;""),ABS(D5226-E5225),"")</f>
        <v/>
      </c>
    </row>
    <row r="5227">
      <c r="A5227" t="n">
        <v>5227</v>
      </c>
      <c r="B5227">
        <f>IF(INDEX('Data Entry'!$H$5:$BE$10004,5227-4,'Visual SPC'!$B$3)="",0,IF(AND(OR('Visual SPC'!$C$4="",'Data Entry'!$C5227&gt;='Visual SPC'!$C$4),OR('Visual SPC'!$E$4="",'Data Entry'!$C5227&lt;='Visual SPC'!$E$4),OR('Visual SPC'!$G$4="",'Data Entry'!$D5227='Visual SPC'!$G$4),OR('Visual SPC'!$I$4="",'Data Entry'!$E5227='Visual SPC'!$I$4),OR('Visual SPC'!$K$4="",'Data Entry'!$F5227='Visual SPC'!$K$4)),1,0))</f>
        <v/>
      </c>
      <c r="C5227">
        <f>C5226+B5227</f>
        <v/>
      </c>
      <c r="D5227">
        <f>IF(B5227=1,INDEX('Data Entry'!$H$5:$BE$10004,5227-4,'Visual SPC'!$B$3),"")</f>
        <v/>
      </c>
      <c r="E5227">
        <f>IF(B5227=1,D5227,E5226)</f>
        <v/>
      </c>
      <c r="F5227">
        <f>IF(AND(B5227=1,C5227&gt;1,E5226&lt;&gt;""),ABS(D5227-E5226),"")</f>
        <v/>
      </c>
    </row>
    <row r="5228">
      <c r="A5228" t="n">
        <v>5228</v>
      </c>
      <c r="B5228">
        <f>IF(INDEX('Data Entry'!$H$5:$BE$10004,5228-4,'Visual SPC'!$B$3)="",0,IF(AND(OR('Visual SPC'!$C$4="",'Data Entry'!$C5228&gt;='Visual SPC'!$C$4),OR('Visual SPC'!$E$4="",'Data Entry'!$C5228&lt;='Visual SPC'!$E$4),OR('Visual SPC'!$G$4="",'Data Entry'!$D5228='Visual SPC'!$G$4),OR('Visual SPC'!$I$4="",'Data Entry'!$E5228='Visual SPC'!$I$4),OR('Visual SPC'!$K$4="",'Data Entry'!$F5228='Visual SPC'!$K$4)),1,0))</f>
        <v/>
      </c>
      <c r="C5228">
        <f>C5227+B5228</f>
        <v/>
      </c>
      <c r="D5228">
        <f>IF(B5228=1,INDEX('Data Entry'!$H$5:$BE$10004,5228-4,'Visual SPC'!$B$3),"")</f>
        <v/>
      </c>
      <c r="E5228">
        <f>IF(B5228=1,D5228,E5227)</f>
        <v/>
      </c>
      <c r="F5228">
        <f>IF(AND(B5228=1,C5228&gt;1,E5227&lt;&gt;""),ABS(D5228-E5227),"")</f>
        <v/>
      </c>
    </row>
    <row r="5229">
      <c r="A5229" t="n">
        <v>5229</v>
      </c>
      <c r="B5229">
        <f>IF(INDEX('Data Entry'!$H$5:$BE$10004,5229-4,'Visual SPC'!$B$3)="",0,IF(AND(OR('Visual SPC'!$C$4="",'Data Entry'!$C5229&gt;='Visual SPC'!$C$4),OR('Visual SPC'!$E$4="",'Data Entry'!$C5229&lt;='Visual SPC'!$E$4),OR('Visual SPC'!$G$4="",'Data Entry'!$D5229='Visual SPC'!$G$4),OR('Visual SPC'!$I$4="",'Data Entry'!$E5229='Visual SPC'!$I$4),OR('Visual SPC'!$K$4="",'Data Entry'!$F5229='Visual SPC'!$K$4)),1,0))</f>
        <v/>
      </c>
      <c r="C5229">
        <f>C5228+B5229</f>
        <v/>
      </c>
      <c r="D5229">
        <f>IF(B5229=1,INDEX('Data Entry'!$H$5:$BE$10004,5229-4,'Visual SPC'!$B$3),"")</f>
        <v/>
      </c>
      <c r="E5229">
        <f>IF(B5229=1,D5229,E5228)</f>
        <v/>
      </c>
      <c r="F5229">
        <f>IF(AND(B5229=1,C5229&gt;1,E5228&lt;&gt;""),ABS(D5229-E5228),"")</f>
        <v/>
      </c>
    </row>
    <row r="5230">
      <c r="A5230" t="n">
        <v>5230</v>
      </c>
      <c r="B5230">
        <f>IF(INDEX('Data Entry'!$H$5:$BE$10004,5230-4,'Visual SPC'!$B$3)="",0,IF(AND(OR('Visual SPC'!$C$4="",'Data Entry'!$C5230&gt;='Visual SPC'!$C$4),OR('Visual SPC'!$E$4="",'Data Entry'!$C5230&lt;='Visual SPC'!$E$4),OR('Visual SPC'!$G$4="",'Data Entry'!$D5230='Visual SPC'!$G$4),OR('Visual SPC'!$I$4="",'Data Entry'!$E5230='Visual SPC'!$I$4),OR('Visual SPC'!$K$4="",'Data Entry'!$F5230='Visual SPC'!$K$4)),1,0))</f>
        <v/>
      </c>
      <c r="C5230">
        <f>C5229+B5230</f>
        <v/>
      </c>
      <c r="D5230">
        <f>IF(B5230=1,INDEX('Data Entry'!$H$5:$BE$10004,5230-4,'Visual SPC'!$B$3),"")</f>
        <v/>
      </c>
      <c r="E5230">
        <f>IF(B5230=1,D5230,E5229)</f>
        <v/>
      </c>
      <c r="F5230">
        <f>IF(AND(B5230=1,C5230&gt;1,E5229&lt;&gt;""),ABS(D5230-E5229),"")</f>
        <v/>
      </c>
    </row>
    <row r="5231">
      <c r="A5231" t="n">
        <v>5231</v>
      </c>
      <c r="B5231">
        <f>IF(INDEX('Data Entry'!$H$5:$BE$10004,5231-4,'Visual SPC'!$B$3)="",0,IF(AND(OR('Visual SPC'!$C$4="",'Data Entry'!$C5231&gt;='Visual SPC'!$C$4),OR('Visual SPC'!$E$4="",'Data Entry'!$C5231&lt;='Visual SPC'!$E$4),OR('Visual SPC'!$G$4="",'Data Entry'!$D5231='Visual SPC'!$G$4),OR('Visual SPC'!$I$4="",'Data Entry'!$E5231='Visual SPC'!$I$4),OR('Visual SPC'!$K$4="",'Data Entry'!$F5231='Visual SPC'!$K$4)),1,0))</f>
        <v/>
      </c>
      <c r="C5231">
        <f>C5230+B5231</f>
        <v/>
      </c>
      <c r="D5231">
        <f>IF(B5231=1,INDEX('Data Entry'!$H$5:$BE$10004,5231-4,'Visual SPC'!$B$3),"")</f>
        <v/>
      </c>
      <c r="E5231">
        <f>IF(B5231=1,D5231,E5230)</f>
        <v/>
      </c>
      <c r="F5231">
        <f>IF(AND(B5231=1,C5231&gt;1,E5230&lt;&gt;""),ABS(D5231-E5230),"")</f>
        <v/>
      </c>
    </row>
    <row r="5232">
      <c r="A5232" t="n">
        <v>5232</v>
      </c>
      <c r="B5232">
        <f>IF(INDEX('Data Entry'!$H$5:$BE$10004,5232-4,'Visual SPC'!$B$3)="",0,IF(AND(OR('Visual SPC'!$C$4="",'Data Entry'!$C5232&gt;='Visual SPC'!$C$4),OR('Visual SPC'!$E$4="",'Data Entry'!$C5232&lt;='Visual SPC'!$E$4),OR('Visual SPC'!$G$4="",'Data Entry'!$D5232='Visual SPC'!$G$4),OR('Visual SPC'!$I$4="",'Data Entry'!$E5232='Visual SPC'!$I$4),OR('Visual SPC'!$K$4="",'Data Entry'!$F5232='Visual SPC'!$K$4)),1,0))</f>
        <v/>
      </c>
      <c r="C5232">
        <f>C5231+B5232</f>
        <v/>
      </c>
      <c r="D5232">
        <f>IF(B5232=1,INDEX('Data Entry'!$H$5:$BE$10004,5232-4,'Visual SPC'!$B$3),"")</f>
        <v/>
      </c>
      <c r="E5232">
        <f>IF(B5232=1,D5232,E5231)</f>
        <v/>
      </c>
      <c r="F5232">
        <f>IF(AND(B5232=1,C5232&gt;1,E5231&lt;&gt;""),ABS(D5232-E5231),"")</f>
        <v/>
      </c>
    </row>
    <row r="5233">
      <c r="A5233" t="n">
        <v>5233</v>
      </c>
      <c r="B5233">
        <f>IF(INDEX('Data Entry'!$H$5:$BE$10004,5233-4,'Visual SPC'!$B$3)="",0,IF(AND(OR('Visual SPC'!$C$4="",'Data Entry'!$C5233&gt;='Visual SPC'!$C$4),OR('Visual SPC'!$E$4="",'Data Entry'!$C5233&lt;='Visual SPC'!$E$4),OR('Visual SPC'!$G$4="",'Data Entry'!$D5233='Visual SPC'!$G$4),OR('Visual SPC'!$I$4="",'Data Entry'!$E5233='Visual SPC'!$I$4),OR('Visual SPC'!$K$4="",'Data Entry'!$F5233='Visual SPC'!$K$4)),1,0))</f>
        <v/>
      </c>
      <c r="C5233">
        <f>C5232+B5233</f>
        <v/>
      </c>
      <c r="D5233">
        <f>IF(B5233=1,INDEX('Data Entry'!$H$5:$BE$10004,5233-4,'Visual SPC'!$B$3),"")</f>
        <v/>
      </c>
      <c r="E5233">
        <f>IF(B5233=1,D5233,E5232)</f>
        <v/>
      </c>
      <c r="F5233">
        <f>IF(AND(B5233=1,C5233&gt;1,E5232&lt;&gt;""),ABS(D5233-E5232),"")</f>
        <v/>
      </c>
    </row>
    <row r="5234">
      <c r="A5234" t="n">
        <v>5234</v>
      </c>
      <c r="B5234">
        <f>IF(INDEX('Data Entry'!$H$5:$BE$10004,5234-4,'Visual SPC'!$B$3)="",0,IF(AND(OR('Visual SPC'!$C$4="",'Data Entry'!$C5234&gt;='Visual SPC'!$C$4),OR('Visual SPC'!$E$4="",'Data Entry'!$C5234&lt;='Visual SPC'!$E$4),OR('Visual SPC'!$G$4="",'Data Entry'!$D5234='Visual SPC'!$G$4),OR('Visual SPC'!$I$4="",'Data Entry'!$E5234='Visual SPC'!$I$4),OR('Visual SPC'!$K$4="",'Data Entry'!$F5234='Visual SPC'!$K$4)),1,0))</f>
        <v/>
      </c>
      <c r="C5234">
        <f>C5233+B5234</f>
        <v/>
      </c>
      <c r="D5234">
        <f>IF(B5234=1,INDEX('Data Entry'!$H$5:$BE$10004,5234-4,'Visual SPC'!$B$3),"")</f>
        <v/>
      </c>
      <c r="E5234">
        <f>IF(B5234=1,D5234,E5233)</f>
        <v/>
      </c>
      <c r="F5234">
        <f>IF(AND(B5234=1,C5234&gt;1,E5233&lt;&gt;""),ABS(D5234-E5233),"")</f>
        <v/>
      </c>
    </row>
    <row r="5235">
      <c r="A5235" t="n">
        <v>5235</v>
      </c>
      <c r="B5235">
        <f>IF(INDEX('Data Entry'!$H$5:$BE$10004,5235-4,'Visual SPC'!$B$3)="",0,IF(AND(OR('Visual SPC'!$C$4="",'Data Entry'!$C5235&gt;='Visual SPC'!$C$4),OR('Visual SPC'!$E$4="",'Data Entry'!$C5235&lt;='Visual SPC'!$E$4),OR('Visual SPC'!$G$4="",'Data Entry'!$D5235='Visual SPC'!$G$4),OR('Visual SPC'!$I$4="",'Data Entry'!$E5235='Visual SPC'!$I$4),OR('Visual SPC'!$K$4="",'Data Entry'!$F5235='Visual SPC'!$K$4)),1,0))</f>
        <v/>
      </c>
      <c r="C5235">
        <f>C5234+B5235</f>
        <v/>
      </c>
      <c r="D5235">
        <f>IF(B5235=1,INDEX('Data Entry'!$H$5:$BE$10004,5235-4,'Visual SPC'!$B$3),"")</f>
        <v/>
      </c>
      <c r="E5235">
        <f>IF(B5235=1,D5235,E5234)</f>
        <v/>
      </c>
      <c r="F5235">
        <f>IF(AND(B5235=1,C5235&gt;1,E5234&lt;&gt;""),ABS(D5235-E5234),"")</f>
        <v/>
      </c>
    </row>
    <row r="5236">
      <c r="A5236" t="n">
        <v>5236</v>
      </c>
      <c r="B5236">
        <f>IF(INDEX('Data Entry'!$H$5:$BE$10004,5236-4,'Visual SPC'!$B$3)="",0,IF(AND(OR('Visual SPC'!$C$4="",'Data Entry'!$C5236&gt;='Visual SPC'!$C$4),OR('Visual SPC'!$E$4="",'Data Entry'!$C5236&lt;='Visual SPC'!$E$4),OR('Visual SPC'!$G$4="",'Data Entry'!$D5236='Visual SPC'!$G$4),OR('Visual SPC'!$I$4="",'Data Entry'!$E5236='Visual SPC'!$I$4),OR('Visual SPC'!$K$4="",'Data Entry'!$F5236='Visual SPC'!$K$4)),1,0))</f>
        <v/>
      </c>
      <c r="C5236">
        <f>C5235+B5236</f>
        <v/>
      </c>
      <c r="D5236">
        <f>IF(B5236=1,INDEX('Data Entry'!$H$5:$BE$10004,5236-4,'Visual SPC'!$B$3),"")</f>
        <v/>
      </c>
      <c r="E5236">
        <f>IF(B5236=1,D5236,E5235)</f>
        <v/>
      </c>
      <c r="F5236">
        <f>IF(AND(B5236=1,C5236&gt;1,E5235&lt;&gt;""),ABS(D5236-E5235),"")</f>
        <v/>
      </c>
    </row>
    <row r="5237">
      <c r="A5237" t="n">
        <v>5237</v>
      </c>
      <c r="B5237">
        <f>IF(INDEX('Data Entry'!$H$5:$BE$10004,5237-4,'Visual SPC'!$B$3)="",0,IF(AND(OR('Visual SPC'!$C$4="",'Data Entry'!$C5237&gt;='Visual SPC'!$C$4),OR('Visual SPC'!$E$4="",'Data Entry'!$C5237&lt;='Visual SPC'!$E$4),OR('Visual SPC'!$G$4="",'Data Entry'!$D5237='Visual SPC'!$G$4),OR('Visual SPC'!$I$4="",'Data Entry'!$E5237='Visual SPC'!$I$4),OR('Visual SPC'!$K$4="",'Data Entry'!$F5237='Visual SPC'!$K$4)),1,0))</f>
        <v/>
      </c>
      <c r="C5237">
        <f>C5236+B5237</f>
        <v/>
      </c>
      <c r="D5237">
        <f>IF(B5237=1,INDEX('Data Entry'!$H$5:$BE$10004,5237-4,'Visual SPC'!$B$3),"")</f>
        <v/>
      </c>
      <c r="E5237">
        <f>IF(B5237=1,D5237,E5236)</f>
        <v/>
      </c>
      <c r="F5237">
        <f>IF(AND(B5237=1,C5237&gt;1,E5236&lt;&gt;""),ABS(D5237-E5236),"")</f>
        <v/>
      </c>
    </row>
    <row r="5238">
      <c r="A5238" t="n">
        <v>5238</v>
      </c>
      <c r="B5238">
        <f>IF(INDEX('Data Entry'!$H$5:$BE$10004,5238-4,'Visual SPC'!$B$3)="",0,IF(AND(OR('Visual SPC'!$C$4="",'Data Entry'!$C5238&gt;='Visual SPC'!$C$4),OR('Visual SPC'!$E$4="",'Data Entry'!$C5238&lt;='Visual SPC'!$E$4),OR('Visual SPC'!$G$4="",'Data Entry'!$D5238='Visual SPC'!$G$4),OR('Visual SPC'!$I$4="",'Data Entry'!$E5238='Visual SPC'!$I$4),OR('Visual SPC'!$K$4="",'Data Entry'!$F5238='Visual SPC'!$K$4)),1,0))</f>
        <v/>
      </c>
      <c r="C5238">
        <f>C5237+B5238</f>
        <v/>
      </c>
      <c r="D5238">
        <f>IF(B5238=1,INDEX('Data Entry'!$H$5:$BE$10004,5238-4,'Visual SPC'!$B$3),"")</f>
        <v/>
      </c>
      <c r="E5238">
        <f>IF(B5238=1,D5238,E5237)</f>
        <v/>
      </c>
      <c r="F5238">
        <f>IF(AND(B5238=1,C5238&gt;1,E5237&lt;&gt;""),ABS(D5238-E5237),"")</f>
        <v/>
      </c>
    </row>
    <row r="5239">
      <c r="A5239" t="n">
        <v>5239</v>
      </c>
      <c r="B5239">
        <f>IF(INDEX('Data Entry'!$H$5:$BE$10004,5239-4,'Visual SPC'!$B$3)="",0,IF(AND(OR('Visual SPC'!$C$4="",'Data Entry'!$C5239&gt;='Visual SPC'!$C$4),OR('Visual SPC'!$E$4="",'Data Entry'!$C5239&lt;='Visual SPC'!$E$4),OR('Visual SPC'!$G$4="",'Data Entry'!$D5239='Visual SPC'!$G$4),OR('Visual SPC'!$I$4="",'Data Entry'!$E5239='Visual SPC'!$I$4),OR('Visual SPC'!$K$4="",'Data Entry'!$F5239='Visual SPC'!$K$4)),1,0))</f>
        <v/>
      </c>
      <c r="C5239">
        <f>C5238+B5239</f>
        <v/>
      </c>
      <c r="D5239">
        <f>IF(B5239=1,INDEX('Data Entry'!$H$5:$BE$10004,5239-4,'Visual SPC'!$B$3),"")</f>
        <v/>
      </c>
      <c r="E5239">
        <f>IF(B5239=1,D5239,E5238)</f>
        <v/>
      </c>
      <c r="F5239">
        <f>IF(AND(B5239=1,C5239&gt;1,E5238&lt;&gt;""),ABS(D5239-E5238),"")</f>
        <v/>
      </c>
    </row>
    <row r="5240">
      <c r="A5240" t="n">
        <v>5240</v>
      </c>
      <c r="B5240">
        <f>IF(INDEX('Data Entry'!$H$5:$BE$10004,5240-4,'Visual SPC'!$B$3)="",0,IF(AND(OR('Visual SPC'!$C$4="",'Data Entry'!$C5240&gt;='Visual SPC'!$C$4),OR('Visual SPC'!$E$4="",'Data Entry'!$C5240&lt;='Visual SPC'!$E$4),OR('Visual SPC'!$G$4="",'Data Entry'!$D5240='Visual SPC'!$G$4),OR('Visual SPC'!$I$4="",'Data Entry'!$E5240='Visual SPC'!$I$4),OR('Visual SPC'!$K$4="",'Data Entry'!$F5240='Visual SPC'!$K$4)),1,0))</f>
        <v/>
      </c>
      <c r="C5240">
        <f>C5239+B5240</f>
        <v/>
      </c>
      <c r="D5240">
        <f>IF(B5240=1,INDEX('Data Entry'!$H$5:$BE$10004,5240-4,'Visual SPC'!$B$3),"")</f>
        <v/>
      </c>
      <c r="E5240">
        <f>IF(B5240=1,D5240,E5239)</f>
        <v/>
      </c>
      <c r="F5240">
        <f>IF(AND(B5240=1,C5240&gt;1,E5239&lt;&gt;""),ABS(D5240-E5239),"")</f>
        <v/>
      </c>
    </row>
    <row r="5241">
      <c r="A5241" t="n">
        <v>5241</v>
      </c>
      <c r="B5241">
        <f>IF(INDEX('Data Entry'!$H$5:$BE$10004,5241-4,'Visual SPC'!$B$3)="",0,IF(AND(OR('Visual SPC'!$C$4="",'Data Entry'!$C5241&gt;='Visual SPC'!$C$4),OR('Visual SPC'!$E$4="",'Data Entry'!$C5241&lt;='Visual SPC'!$E$4),OR('Visual SPC'!$G$4="",'Data Entry'!$D5241='Visual SPC'!$G$4),OR('Visual SPC'!$I$4="",'Data Entry'!$E5241='Visual SPC'!$I$4),OR('Visual SPC'!$K$4="",'Data Entry'!$F5241='Visual SPC'!$K$4)),1,0))</f>
        <v/>
      </c>
      <c r="C5241">
        <f>C5240+B5241</f>
        <v/>
      </c>
      <c r="D5241">
        <f>IF(B5241=1,INDEX('Data Entry'!$H$5:$BE$10004,5241-4,'Visual SPC'!$B$3),"")</f>
        <v/>
      </c>
      <c r="E5241">
        <f>IF(B5241=1,D5241,E5240)</f>
        <v/>
      </c>
      <c r="F5241">
        <f>IF(AND(B5241=1,C5241&gt;1,E5240&lt;&gt;""),ABS(D5241-E5240),"")</f>
        <v/>
      </c>
    </row>
    <row r="5242">
      <c r="A5242" t="n">
        <v>5242</v>
      </c>
      <c r="B5242">
        <f>IF(INDEX('Data Entry'!$H$5:$BE$10004,5242-4,'Visual SPC'!$B$3)="",0,IF(AND(OR('Visual SPC'!$C$4="",'Data Entry'!$C5242&gt;='Visual SPC'!$C$4),OR('Visual SPC'!$E$4="",'Data Entry'!$C5242&lt;='Visual SPC'!$E$4),OR('Visual SPC'!$G$4="",'Data Entry'!$D5242='Visual SPC'!$G$4),OR('Visual SPC'!$I$4="",'Data Entry'!$E5242='Visual SPC'!$I$4),OR('Visual SPC'!$K$4="",'Data Entry'!$F5242='Visual SPC'!$K$4)),1,0))</f>
        <v/>
      </c>
      <c r="C5242">
        <f>C5241+B5242</f>
        <v/>
      </c>
      <c r="D5242">
        <f>IF(B5242=1,INDEX('Data Entry'!$H$5:$BE$10004,5242-4,'Visual SPC'!$B$3),"")</f>
        <v/>
      </c>
      <c r="E5242">
        <f>IF(B5242=1,D5242,E5241)</f>
        <v/>
      </c>
      <c r="F5242">
        <f>IF(AND(B5242=1,C5242&gt;1,E5241&lt;&gt;""),ABS(D5242-E5241),"")</f>
        <v/>
      </c>
    </row>
    <row r="5243">
      <c r="A5243" t="n">
        <v>5243</v>
      </c>
      <c r="B5243">
        <f>IF(INDEX('Data Entry'!$H$5:$BE$10004,5243-4,'Visual SPC'!$B$3)="",0,IF(AND(OR('Visual SPC'!$C$4="",'Data Entry'!$C5243&gt;='Visual SPC'!$C$4),OR('Visual SPC'!$E$4="",'Data Entry'!$C5243&lt;='Visual SPC'!$E$4),OR('Visual SPC'!$G$4="",'Data Entry'!$D5243='Visual SPC'!$G$4),OR('Visual SPC'!$I$4="",'Data Entry'!$E5243='Visual SPC'!$I$4),OR('Visual SPC'!$K$4="",'Data Entry'!$F5243='Visual SPC'!$K$4)),1,0))</f>
        <v/>
      </c>
      <c r="C5243">
        <f>C5242+B5243</f>
        <v/>
      </c>
      <c r="D5243">
        <f>IF(B5243=1,INDEX('Data Entry'!$H$5:$BE$10004,5243-4,'Visual SPC'!$B$3),"")</f>
        <v/>
      </c>
      <c r="E5243">
        <f>IF(B5243=1,D5243,E5242)</f>
        <v/>
      </c>
      <c r="F5243">
        <f>IF(AND(B5243=1,C5243&gt;1,E5242&lt;&gt;""),ABS(D5243-E5242),"")</f>
        <v/>
      </c>
    </row>
    <row r="5244">
      <c r="A5244" t="n">
        <v>5244</v>
      </c>
      <c r="B5244">
        <f>IF(INDEX('Data Entry'!$H$5:$BE$10004,5244-4,'Visual SPC'!$B$3)="",0,IF(AND(OR('Visual SPC'!$C$4="",'Data Entry'!$C5244&gt;='Visual SPC'!$C$4),OR('Visual SPC'!$E$4="",'Data Entry'!$C5244&lt;='Visual SPC'!$E$4),OR('Visual SPC'!$G$4="",'Data Entry'!$D5244='Visual SPC'!$G$4),OR('Visual SPC'!$I$4="",'Data Entry'!$E5244='Visual SPC'!$I$4),OR('Visual SPC'!$K$4="",'Data Entry'!$F5244='Visual SPC'!$K$4)),1,0))</f>
        <v/>
      </c>
      <c r="C5244">
        <f>C5243+B5244</f>
        <v/>
      </c>
      <c r="D5244">
        <f>IF(B5244=1,INDEX('Data Entry'!$H$5:$BE$10004,5244-4,'Visual SPC'!$B$3),"")</f>
        <v/>
      </c>
      <c r="E5244">
        <f>IF(B5244=1,D5244,E5243)</f>
        <v/>
      </c>
      <c r="F5244">
        <f>IF(AND(B5244=1,C5244&gt;1,E5243&lt;&gt;""),ABS(D5244-E5243),"")</f>
        <v/>
      </c>
    </row>
    <row r="5245">
      <c r="A5245" t="n">
        <v>5245</v>
      </c>
      <c r="B5245">
        <f>IF(INDEX('Data Entry'!$H$5:$BE$10004,5245-4,'Visual SPC'!$B$3)="",0,IF(AND(OR('Visual SPC'!$C$4="",'Data Entry'!$C5245&gt;='Visual SPC'!$C$4),OR('Visual SPC'!$E$4="",'Data Entry'!$C5245&lt;='Visual SPC'!$E$4),OR('Visual SPC'!$G$4="",'Data Entry'!$D5245='Visual SPC'!$G$4),OR('Visual SPC'!$I$4="",'Data Entry'!$E5245='Visual SPC'!$I$4),OR('Visual SPC'!$K$4="",'Data Entry'!$F5245='Visual SPC'!$K$4)),1,0))</f>
        <v/>
      </c>
      <c r="C5245">
        <f>C5244+B5245</f>
        <v/>
      </c>
      <c r="D5245">
        <f>IF(B5245=1,INDEX('Data Entry'!$H$5:$BE$10004,5245-4,'Visual SPC'!$B$3),"")</f>
        <v/>
      </c>
      <c r="E5245">
        <f>IF(B5245=1,D5245,E5244)</f>
        <v/>
      </c>
      <c r="F5245">
        <f>IF(AND(B5245=1,C5245&gt;1,E5244&lt;&gt;""),ABS(D5245-E5244),"")</f>
        <v/>
      </c>
    </row>
    <row r="5246">
      <c r="A5246" t="n">
        <v>5246</v>
      </c>
      <c r="B5246">
        <f>IF(INDEX('Data Entry'!$H$5:$BE$10004,5246-4,'Visual SPC'!$B$3)="",0,IF(AND(OR('Visual SPC'!$C$4="",'Data Entry'!$C5246&gt;='Visual SPC'!$C$4),OR('Visual SPC'!$E$4="",'Data Entry'!$C5246&lt;='Visual SPC'!$E$4),OR('Visual SPC'!$G$4="",'Data Entry'!$D5246='Visual SPC'!$G$4),OR('Visual SPC'!$I$4="",'Data Entry'!$E5246='Visual SPC'!$I$4),OR('Visual SPC'!$K$4="",'Data Entry'!$F5246='Visual SPC'!$K$4)),1,0))</f>
        <v/>
      </c>
      <c r="C5246">
        <f>C5245+B5246</f>
        <v/>
      </c>
      <c r="D5246">
        <f>IF(B5246=1,INDEX('Data Entry'!$H$5:$BE$10004,5246-4,'Visual SPC'!$B$3),"")</f>
        <v/>
      </c>
      <c r="E5246">
        <f>IF(B5246=1,D5246,E5245)</f>
        <v/>
      </c>
      <c r="F5246">
        <f>IF(AND(B5246=1,C5246&gt;1,E5245&lt;&gt;""),ABS(D5246-E5245),"")</f>
        <v/>
      </c>
    </row>
    <row r="5247">
      <c r="A5247" t="n">
        <v>5247</v>
      </c>
      <c r="B5247">
        <f>IF(INDEX('Data Entry'!$H$5:$BE$10004,5247-4,'Visual SPC'!$B$3)="",0,IF(AND(OR('Visual SPC'!$C$4="",'Data Entry'!$C5247&gt;='Visual SPC'!$C$4),OR('Visual SPC'!$E$4="",'Data Entry'!$C5247&lt;='Visual SPC'!$E$4),OR('Visual SPC'!$G$4="",'Data Entry'!$D5247='Visual SPC'!$G$4),OR('Visual SPC'!$I$4="",'Data Entry'!$E5247='Visual SPC'!$I$4),OR('Visual SPC'!$K$4="",'Data Entry'!$F5247='Visual SPC'!$K$4)),1,0))</f>
        <v/>
      </c>
      <c r="C5247">
        <f>C5246+B5247</f>
        <v/>
      </c>
      <c r="D5247">
        <f>IF(B5247=1,INDEX('Data Entry'!$H$5:$BE$10004,5247-4,'Visual SPC'!$B$3),"")</f>
        <v/>
      </c>
      <c r="E5247">
        <f>IF(B5247=1,D5247,E5246)</f>
        <v/>
      </c>
      <c r="F5247">
        <f>IF(AND(B5247=1,C5247&gt;1,E5246&lt;&gt;""),ABS(D5247-E5246),"")</f>
        <v/>
      </c>
    </row>
    <row r="5248">
      <c r="A5248" t="n">
        <v>5248</v>
      </c>
      <c r="B5248">
        <f>IF(INDEX('Data Entry'!$H$5:$BE$10004,5248-4,'Visual SPC'!$B$3)="",0,IF(AND(OR('Visual SPC'!$C$4="",'Data Entry'!$C5248&gt;='Visual SPC'!$C$4),OR('Visual SPC'!$E$4="",'Data Entry'!$C5248&lt;='Visual SPC'!$E$4),OR('Visual SPC'!$G$4="",'Data Entry'!$D5248='Visual SPC'!$G$4),OR('Visual SPC'!$I$4="",'Data Entry'!$E5248='Visual SPC'!$I$4),OR('Visual SPC'!$K$4="",'Data Entry'!$F5248='Visual SPC'!$K$4)),1,0))</f>
        <v/>
      </c>
      <c r="C5248">
        <f>C5247+B5248</f>
        <v/>
      </c>
      <c r="D5248">
        <f>IF(B5248=1,INDEX('Data Entry'!$H$5:$BE$10004,5248-4,'Visual SPC'!$B$3),"")</f>
        <v/>
      </c>
      <c r="E5248">
        <f>IF(B5248=1,D5248,E5247)</f>
        <v/>
      </c>
      <c r="F5248">
        <f>IF(AND(B5248=1,C5248&gt;1,E5247&lt;&gt;""),ABS(D5248-E5247),"")</f>
        <v/>
      </c>
    </row>
    <row r="5249">
      <c r="A5249" t="n">
        <v>5249</v>
      </c>
      <c r="B5249">
        <f>IF(INDEX('Data Entry'!$H$5:$BE$10004,5249-4,'Visual SPC'!$B$3)="",0,IF(AND(OR('Visual SPC'!$C$4="",'Data Entry'!$C5249&gt;='Visual SPC'!$C$4),OR('Visual SPC'!$E$4="",'Data Entry'!$C5249&lt;='Visual SPC'!$E$4),OR('Visual SPC'!$G$4="",'Data Entry'!$D5249='Visual SPC'!$G$4),OR('Visual SPC'!$I$4="",'Data Entry'!$E5249='Visual SPC'!$I$4),OR('Visual SPC'!$K$4="",'Data Entry'!$F5249='Visual SPC'!$K$4)),1,0))</f>
        <v/>
      </c>
      <c r="C5249">
        <f>C5248+B5249</f>
        <v/>
      </c>
      <c r="D5249">
        <f>IF(B5249=1,INDEX('Data Entry'!$H$5:$BE$10004,5249-4,'Visual SPC'!$B$3),"")</f>
        <v/>
      </c>
      <c r="E5249">
        <f>IF(B5249=1,D5249,E5248)</f>
        <v/>
      </c>
      <c r="F5249">
        <f>IF(AND(B5249=1,C5249&gt;1,E5248&lt;&gt;""),ABS(D5249-E5248),"")</f>
        <v/>
      </c>
    </row>
    <row r="5250">
      <c r="A5250" t="n">
        <v>5250</v>
      </c>
      <c r="B5250">
        <f>IF(INDEX('Data Entry'!$H$5:$BE$10004,5250-4,'Visual SPC'!$B$3)="",0,IF(AND(OR('Visual SPC'!$C$4="",'Data Entry'!$C5250&gt;='Visual SPC'!$C$4),OR('Visual SPC'!$E$4="",'Data Entry'!$C5250&lt;='Visual SPC'!$E$4),OR('Visual SPC'!$G$4="",'Data Entry'!$D5250='Visual SPC'!$G$4),OR('Visual SPC'!$I$4="",'Data Entry'!$E5250='Visual SPC'!$I$4),OR('Visual SPC'!$K$4="",'Data Entry'!$F5250='Visual SPC'!$K$4)),1,0))</f>
        <v/>
      </c>
      <c r="C5250">
        <f>C5249+B5250</f>
        <v/>
      </c>
      <c r="D5250">
        <f>IF(B5250=1,INDEX('Data Entry'!$H$5:$BE$10004,5250-4,'Visual SPC'!$B$3),"")</f>
        <v/>
      </c>
      <c r="E5250">
        <f>IF(B5250=1,D5250,E5249)</f>
        <v/>
      </c>
      <c r="F5250">
        <f>IF(AND(B5250=1,C5250&gt;1,E5249&lt;&gt;""),ABS(D5250-E5249),"")</f>
        <v/>
      </c>
    </row>
    <row r="5251">
      <c r="A5251" t="n">
        <v>5251</v>
      </c>
      <c r="B5251">
        <f>IF(INDEX('Data Entry'!$H$5:$BE$10004,5251-4,'Visual SPC'!$B$3)="",0,IF(AND(OR('Visual SPC'!$C$4="",'Data Entry'!$C5251&gt;='Visual SPC'!$C$4),OR('Visual SPC'!$E$4="",'Data Entry'!$C5251&lt;='Visual SPC'!$E$4),OR('Visual SPC'!$G$4="",'Data Entry'!$D5251='Visual SPC'!$G$4),OR('Visual SPC'!$I$4="",'Data Entry'!$E5251='Visual SPC'!$I$4),OR('Visual SPC'!$K$4="",'Data Entry'!$F5251='Visual SPC'!$K$4)),1,0))</f>
        <v/>
      </c>
      <c r="C5251">
        <f>C5250+B5251</f>
        <v/>
      </c>
      <c r="D5251">
        <f>IF(B5251=1,INDEX('Data Entry'!$H$5:$BE$10004,5251-4,'Visual SPC'!$B$3),"")</f>
        <v/>
      </c>
      <c r="E5251">
        <f>IF(B5251=1,D5251,E5250)</f>
        <v/>
      </c>
      <c r="F5251">
        <f>IF(AND(B5251=1,C5251&gt;1,E5250&lt;&gt;""),ABS(D5251-E5250),"")</f>
        <v/>
      </c>
    </row>
    <row r="5252">
      <c r="A5252" t="n">
        <v>5252</v>
      </c>
      <c r="B5252">
        <f>IF(INDEX('Data Entry'!$H$5:$BE$10004,5252-4,'Visual SPC'!$B$3)="",0,IF(AND(OR('Visual SPC'!$C$4="",'Data Entry'!$C5252&gt;='Visual SPC'!$C$4),OR('Visual SPC'!$E$4="",'Data Entry'!$C5252&lt;='Visual SPC'!$E$4),OR('Visual SPC'!$G$4="",'Data Entry'!$D5252='Visual SPC'!$G$4),OR('Visual SPC'!$I$4="",'Data Entry'!$E5252='Visual SPC'!$I$4),OR('Visual SPC'!$K$4="",'Data Entry'!$F5252='Visual SPC'!$K$4)),1,0))</f>
        <v/>
      </c>
      <c r="C5252">
        <f>C5251+B5252</f>
        <v/>
      </c>
      <c r="D5252">
        <f>IF(B5252=1,INDEX('Data Entry'!$H$5:$BE$10004,5252-4,'Visual SPC'!$B$3),"")</f>
        <v/>
      </c>
      <c r="E5252">
        <f>IF(B5252=1,D5252,E5251)</f>
        <v/>
      </c>
      <c r="F5252">
        <f>IF(AND(B5252=1,C5252&gt;1,E5251&lt;&gt;""),ABS(D5252-E5251),"")</f>
        <v/>
      </c>
    </row>
    <row r="5253">
      <c r="A5253" t="n">
        <v>5253</v>
      </c>
      <c r="B5253">
        <f>IF(INDEX('Data Entry'!$H$5:$BE$10004,5253-4,'Visual SPC'!$B$3)="",0,IF(AND(OR('Visual SPC'!$C$4="",'Data Entry'!$C5253&gt;='Visual SPC'!$C$4),OR('Visual SPC'!$E$4="",'Data Entry'!$C5253&lt;='Visual SPC'!$E$4),OR('Visual SPC'!$G$4="",'Data Entry'!$D5253='Visual SPC'!$G$4),OR('Visual SPC'!$I$4="",'Data Entry'!$E5253='Visual SPC'!$I$4),OR('Visual SPC'!$K$4="",'Data Entry'!$F5253='Visual SPC'!$K$4)),1,0))</f>
        <v/>
      </c>
      <c r="C5253">
        <f>C5252+B5253</f>
        <v/>
      </c>
      <c r="D5253">
        <f>IF(B5253=1,INDEX('Data Entry'!$H$5:$BE$10004,5253-4,'Visual SPC'!$B$3),"")</f>
        <v/>
      </c>
      <c r="E5253">
        <f>IF(B5253=1,D5253,E5252)</f>
        <v/>
      </c>
      <c r="F5253">
        <f>IF(AND(B5253=1,C5253&gt;1,E5252&lt;&gt;""),ABS(D5253-E5252),"")</f>
        <v/>
      </c>
    </row>
    <row r="5254">
      <c r="A5254" t="n">
        <v>5254</v>
      </c>
      <c r="B5254">
        <f>IF(INDEX('Data Entry'!$H$5:$BE$10004,5254-4,'Visual SPC'!$B$3)="",0,IF(AND(OR('Visual SPC'!$C$4="",'Data Entry'!$C5254&gt;='Visual SPC'!$C$4),OR('Visual SPC'!$E$4="",'Data Entry'!$C5254&lt;='Visual SPC'!$E$4),OR('Visual SPC'!$G$4="",'Data Entry'!$D5254='Visual SPC'!$G$4),OR('Visual SPC'!$I$4="",'Data Entry'!$E5254='Visual SPC'!$I$4),OR('Visual SPC'!$K$4="",'Data Entry'!$F5254='Visual SPC'!$K$4)),1,0))</f>
        <v/>
      </c>
      <c r="C5254">
        <f>C5253+B5254</f>
        <v/>
      </c>
      <c r="D5254">
        <f>IF(B5254=1,INDEX('Data Entry'!$H$5:$BE$10004,5254-4,'Visual SPC'!$B$3),"")</f>
        <v/>
      </c>
      <c r="E5254">
        <f>IF(B5254=1,D5254,E5253)</f>
        <v/>
      </c>
      <c r="F5254">
        <f>IF(AND(B5254=1,C5254&gt;1,E5253&lt;&gt;""),ABS(D5254-E5253),"")</f>
        <v/>
      </c>
    </row>
    <row r="5255">
      <c r="A5255" t="n">
        <v>5255</v>
      </c>
      <c r="B5255">
        <f>IF(INDEX('Data Entry'!$H$5:$BE$10004,5255-4,'Visual SPC'!$B$3)="",0,IF(AND(OR('Visual SPC'!$C$4="",'Data Entry'!$C5255&gt;='Visual SPC'!$C$4),OR('Visual SPC'!$E$4="",'Data Entry'!$C5255&lt;='Visual SPC'!$E$4),OR('Visual SPC'!$G$4="",'Data Entry'!$D5255='Visual SPC'!$G$4),OR('Visual SPC'!$I$4="",'Data Entry'!$E5255='Visual SPC'!$I$4),OR('Visual SPC'!$K$4="",'Data Entry'!$F5255='Visual SPC'!$K$4)),1,0))</f>
        <v/>
      </c>
      <c r="C5255">
        <f>C5254+B5255</f>
        <v/>
      </c>
      <c r="D5255">
        <f>IF(B5255=1,INDEX('Data Entry'!$H$5:$BE$10004,5255-4,'Visual SPC'!$B$3),"")</f>
        <v/>
      </c>
      <c r="E5255">
        <f>IF(B5255=1,D5255,E5254)</f>
        <v/>
      </c>
      <c r="F5255">
        <f>IF(AND(B5255=1,C5255&gt;1,E5254&lt;&gt;""),ABS(D5255-E5254),"")</f>
        <v/>
      </c>
    </row>
    <row r="5256">
      <c r="A5256" t="n">
        <v>5256</v>
      </c>
      <c r="B5256">
        <f>IF(INDEX('Data Entry'!$H$5:$BE$10004,5256-4,'Visual SPC'!$B$3)="",0,IF(AND(OR('Visual SPC'!$C$4="",'Data Entry'!$C5256&gt;='Visual SPC'!$C$4),OR('Visual SPC'!$E$4="",'Data Entry'!$C5256&lt;='Visual SPC'!$E$4),OR('Visual SPC'!$G$4="",'Data Entry'!$D5256='Visual SPC'!$G$4),OR('Visual SPC'!$I$4="",'Data Entry'!$E5256='Visual SPC'!$I$4),OR('Visual SPC'!$K$4="",'Data Entry'!$F5256='Visual SPC'!$K$4)),1,0))</f>
        <v/>
      </c>
      <c r="C5256">
        <f>C5255+B5256</f>
        <v/>
      </c>
      <c r="D5256">
        <f>IF(B5256=1,INDEX('Data Entry'!$H$5:$BE$10004,5256-4,'Visual SPC'!$B$3),"")</f>
        <v/>
      </c>
      <c r="E5256">
        <f>IF(B5256=1,D5256,E5255)</f>
        <v/>
      </c>
      <c r="F5256">
        <f>IF(AND(B5256=1,C5256&gt;1,E5255&lt;&gt;""),ABS(D5256-E5255),"")</f>
        <v/>
      </c>
    </row>
    <row r="5257">
      <c r="A5257" t="n">
        <v>5257</v>
      </c>
      <c r="B5257">
        <f>IF(INDEX('Data Entry'!$H$5:$BE$10004,5257-4,'Visual SPC'!$B$3)="",0,IF(AND(OR('Visual SPC'!$C$4="",'Data Entry'!$C5257&gt;='Visual SPC'!$C$4),OR('Visual SPC'!$E$4="",'Data Entry'!$C5257&lt;='Visual SPC'!$E$4),OR('Visual SPC'!$G$4="",'Data Entry'!$D5257='Visual SPC'!$G$4),OR('Visual SPC'!$I$4="",'Data Entry'!$E5257='Visual SPC'!$I$4),OR('Visual SPC'!$K$4="",'Data Entry'!$F5257='Visual SPC'!$K$4)),1,0))</f>
        <v/>
      </c>
      <c r="C5257">
        <f>C5256+B5257</f>
        <v/>
      </c>
      <c r="D5257">
        <f>IF(B5257=1,INDEX('Data Entry'!$H$5:$BE$10004,5257-4,'Visual SPC'!$B$3),"")</f>
        <v/>
      </c>
      <c r="E5257">
        <f>IF(B5257=1,D5257,E5256)</f>
        <v/>
      </c>
      <c r="F5257">
        <f>IF(AND(B5257=1,C5257&gt;1,E5256&lt;&gt;""),ABS(D5257-E5256),"")</f>
        <v/>
      </c>
    </row>
    <row r="5258">
      <c r="A5258" t="n">
        <v>5258</v>
      </c>
      <c r="B5258">
        <f>IF(INDEX('Data Entry'!$H$5:$BE$10004,5258-4,'Visual SPC'!$B$3)="",0,IF(AND(OR('Visual SPC'!$C$4="",'Data Entry'!$C5258&gt;='Visual SPC'!$C$4),OR('Visual SPC'!$E$4="",'Data Entry'!$C5258&lt;='Visual SPC'!$E$4),OR('Visual SPC'!$G$4="",'Data Entry'!$D5258='Visual SPC'!$G$4),OR('Visual SPC'!$I$4="",'Data Entry'!$E5258='Visual SPC'!$I$4),OR('Visual SPC'!$K$4="",'Data Entry'!$F5258='Visual SPC'!$K$4)),1,0))</f>
        <v/>
      </c>
      <c r="C5258">
        <f>C5257+B5258</f>
        <v/>
      </c>
      <c r="D5258">
        <f>IF(B5258=1,INDEX('Data Entry'!$H$5:$BE$10004,5258-4,'Visual SPC'!$B$3),"")</f>
        <v/>
      </c>
      <c r="E5258">
        <f>IF(B5258=1,D5258,E5257)</f>
        <v/>
      </c>
      <c r="F5258">
        <f>IF(AND(B5258=1,C5258&gt;1,E5257&lt;&gt;""),ABS(D5258-E5257),"")</f>
        <v/>
      </c>
    </row>
    <row r="5259">
      <c r="A5259" t="n">
        <v>5259</v>
      </c>
      <c r="B5259">
        <f>IF(INDEX('Data Entry'!$H$5:$BE$10004,5259-4,'Visual SPC'!$B$3)="",0,IF(AND(OR('Visual SPC'!$C$4="",'Data Entry'!$C5259&gt;='Visual SPC'!$C$4),OR('Visual SPC'!$E$4="",'Data Entry'!$C5259&lt;='Visual SPC'!$E$4),OR('Visual SPC'!$G$4="",'Data Entry'!$D5259='Visual SPC'!$G$4),OR('Visual SPC'!$I$4="",'Data Entry'!$E5259='Visual SPC'!$I$4),OR('Visual SPC'!$K$4="",'Data Entry'!$F5259='Visual SPC'!$K$4)),1,0))</f>
        <v/>
      </c>
      <c r="C5259">
        <f>C5258+B5259</f>
        <v/>
      </c>
      <c r="D5259">
        <f>IF(B5259=1,INDEX('Data Entry'!$H$5:$BE$10004,5259-4,'Visual SPC'!$B$3),"")</f>
        <v/>
      </c>
      <c r="E5259">
        <f>IF(B5259=1,D5259,E5258)</f>
        <v/>
      </c>
      <c r="F5259">
        <f>IF(AND(B5259=1,C5259&gt;1,E5258&lt;&gt;""),ABS(D5259-E5258),"")</f>
        <v/>
      </c>
    </row>
    <row r="5260">
      <c r="A5260" t="n">
        <v>5260</v>
      </c>
      <c r="B5260">
        <f>IF(INDEX('Data Entry'!$H$5:$BE$10004,5260-4,'Visual SPC'!$B$3)="",0,IF(AND(OR('Visual SPC'!$C$4="",'Data Entry'!$C5260&gt;='Visual SPC'!$C$4),OR('Visual SPC'!$E$4="",'Data Entry'!$C5260&lt;='Visual SPC'!$E$4),OR('Visual SPC'!$G$4="",'Data Entry'!$D5260='Visual SPC'!$G$4),OR('Visual SPC'!$I$4="",'Data Entry'!$E5260='Visual SPC'!$I$4),OR('Visual SPC'!$K$4="",'Data Entry'!$F5260='Visual SPC'!$K$4)),1,0))</f>
        <v/>
      </c>
      <c r="C5260">
        <f>C5259+B5260</f>
        <v/>
      </c>
      <c r="D5260">
        <f>IF(B5260=1,INDEX('Data Entry'!$H$5:$BE$10004,5260-4,'Visual SPC'!$B$3),"")</f>
        <v/>
      </c>
      <c r="E5260">
        <f>IF(B5260=1,D5260,E5259)</f>
        <v/>
      </c>
      <c r="F5260">
        <f>IF(AND(B5260=1,C5260&gt;1,E5259&lt;&gt;""),ABS(D5260-E5259),"")</f>
        <v/>
      </c>
    </row>
    <row r="5261">
      <c r="A5261" t="n">
        <v>5261</v>
      </c>
      <c r="B5261">
        <f>IF(INDEX('Data Entry'!$H$5:$BE$10004,5261-4,'Visual SPC'!$B$3)="",0,IF(AND(OR('Visual SPC'!$C$4="",'Data Entry'!$C5261&gt;='Visual SPC'!$C$4),OR('Visual SPC'!$E$4="",'Data Entry'!$C5261&lt;='Visual SPC'!$E$4),OR('Visual SPC'!$G$4="",'Data Entry'!$D5261='Visual SPC'!$G$4),OR('Visual SPC'!$I$4="",'Data Entry'!$E5261='Visual SPC'!$I$4),OR('Visual SPC'!$K$4="",'Data Entry'!$F5261='Visual SPC'!$K$4)),1,0))</f>
        <v/>
      </c>
      <c r="C5261">
        <f>C5260+B5261</f>
        <v/>
      </c>
      <c r="D5261">
        <f>IF(B5261=1,INDEX('Data Entry'!$H$5:$BE$10004,5261-4,'Visual SPC'!$B$3),"")</f>
        <v/>
      </c>
      <c r="E5261">
        <f>IF(B5261=1,D5261,E5260)</f>
        <v/>
      </c>
      <c r="F5261">
        <f>IF(AND(B5261=1,C5261&gt;1,E5260&lt;&gt;""),ABS(D5261-E5260),"")</f>
        <v/>
      </c>
    </row>
    <row r="5262">
      <c r="A5262" t="n">
        <v>5262</v>
      </c>
      <c r="B5262">
        <f>IF(INDEX('Data Entry'!$H$5:$BE$10004,5262-4,'Visual SPC'!$B$3)="",0,IF(AND(OR('Visual SPC'!$C$4="",'Data Entry'!$C5262&gt;='Visual SPC'!$C$4),OR('Visual SPC'!$E$4="",'Data Entry'!$C5262&lt;='Visual SPC'!$E$4),OR('Visual SPC'!$G$4="",'Data Entry'!$D5262='Visual SPC'!$G$4),OR('Visual SPC'!$I$4="",'Data Entry'!$E5262='Visual SPC'!$I$4),OR('Visual SPC'!$K$4="",'Data Entry'!$F5262='Visual SPC'!$K$4)),1,0))</f>
        <v/>
      </c>
      <c r="C5262">
        <f>C5261+B5262</f>
        <v/>
      </c>
      <c r="D5262">
        <f>IF(B5262=1,INDEX('Data Entry'!$H$5:$BE$10004,5262-4,'Visual SPC'!$B$3),"")</f>
        <v/>
      </c>
      <c r="E5262">
        <f>IF(B5262=1,D5262,E5261)</f>
        <v/>
      </c>
      <c r="F5262">
        <f>IF(AND(B5262=1,C5262&gt;1,E5261&lt;&gt;""),ABS(D5262-E5261),"")</f>
        <v/>
      </c>
    </row>
    <row r="5263">
      <c r="A5263" t="n">
        <v>5263</v>
      </c>
      <c r="B5263">
        <f>IF(INDEX('Data Entry'!$H$5:$BE$10004,5263-4,'Visual SPC'!$B$3)="",0,IF(AND(OR('Visual SPC'!$C$4="",'Data Entry'!$C5263&gt;='Visual SPC'!$C$4),OR('Visual SPC'!$E$4="",'Data Entry'!$C5263&lt;='Visual SPC'!$E$4),OR('Visual SPC'!$G$4="",'Data Entry'!$D5263='Visual SPC'!$G$4),OR('Visual SPC'!$I$4="",'Data Entry'!$E5263='Visual SPC'!$I$4),OR('Visual SPC'!$K$4="",'Data Entry'!$F5263='Visual SPC'!$K$4)),1,0))</f>
        <v/>
      </c>
      <c r="C5263">
        <f>C5262+B5263</f>
        <v/>
      </c>
      <c r="D5263">
        <f>IF(B5263=1,INDEX('Data Entry'!$H$5:$BE$10004,5263-4,'Visual SPC'!$B$3),"")</f>
        <v/>
      </c>
      <c r="E5263">
        <f>IF(B5263=1,D5263,E5262)</f>
        <v/>
      </c>
      <c r="F5263">
        <f>IF(AND(B5263=1,C5263&gt;1,E5262&lt;&gt;""),ABS(D5263-E5262),"")</f>
        <v/>
      </c>
    </row>
    <row r="5264">
      <c r="A5264" t="n">
        <v>5264</v>
      </c>
      <c r="B5264">
        <f>IF(INDEX('Data Entry'!$H$5:$BE$10004,5264-4,'Visual SPC'!$B$3)="",0,IF(AND(OR('Visual SPC'!$C$4="",'Data Entry'!$C5264&gt;='Visual SPC'!$C$4),OR('Visual SPC'!$E$4="",'Data Entry'!$C5264&lt;='Visual SPC'!$E$4),OR('Visual SPC'!$G$4="",'Data Entry'!$D5264='Visual SPC'!$G$4),OR('Visual SPC'!$I$4="",'Data Entry'!$E5264='Visual SPC'!$I$4),OR('Visual SPC'!$K$4="",'Data Entry'!$F5264='Visual SPC'!$K$4)),1,0))</f>
        <v/>
      </c>
      <c r="C5264">
        <f>C5263+B5264</f>
        <v/>
      </c>
      <c r="D5264">
        <f>IF(B5264=1,INDEX('Data Entry'!$H$5:$BE$10004,5264-4,'Visual SPC'!$B$3),"")</f>
        <v/>
      </c>
      <c r="E5264">
        <f>IF(B5264=1,D5264,E5263)</f>
        <v/>
      </c>
      <c r="F5264">
        <f>IF(AND(B5264=1,C5264&gt;1,E5263&lt;&gt;""),ABS(D5264-E5263),"")</f>
        <v/>
      </c>
    </row>
    <row r="5265">
      <c r="A5265" t="n">
        <v>5265</v>
      </c>
      <c r="B5265">
        <f>IF(INDEX('Data Entry'!$H$5:$BE$10004,5265-4,'Visual SPC'!$B$3)="",0,IF(AND(OR('Visual SPC'!$C$4="",'Data Entry'!$C5265&gt;='Visual SPC'!$C$4),OR('Visual SPC'!$E$4="",'Data Entry'!$C5265&lt;='Visual SPC'!$E$4),OR('Visual SPC'!$G$4="",'Data Entry'!$D5265='Visual SPC'!$G$4),OR('Visual SPC'!$I$4="",'Data Entry'!$E5265='Visual SPC'!$I$4),OR('Visual SPC'!$K$4="",'Data Entry'!$F5265='Visual SPC'!$K$4)),1,0))</f>
        <v/>
      </c>
      <c r="C5265">
        <f>C5264+B5265</f>
        <v/>
      </c>
      <c r="D5265">
        <f>IF(B5265=1,INDEX('Data Entry'!$H$5:$BE$10004,5265-4,'Visual SPC'!$B$3),"")</f>
        <v/>
      </c>
      <c r="E5265">
        <f>IF(B5265=1,D5265,E5264)</f>
        <v/>
      </c>
      <c r="F5265">
        <f>IF(AND(B5265=1,C5265&gt;1,E5264&lt;&gt;""),ABS(D5265-E5264),"")</f>
        <v/>
      </c>
    </row>
    <row r="5266">
      <c r="A5266" t="n">
        <v>5266</v>
      </c>
      <c r="B5266">
        <f>IF(INDEX('Data Entry'!$H$5:$BE$10004,5266-4,'Visual SPC'!$B$3)="",0,IF(AND(OR('Visual SPC'!$C$4="",'Data Entry'!$C5266&gt;='Visual SPC'!$C$4),OR('Visual SPC'!$E$4="",'Data Entry'!$C5266&lt;='Visual SPC'!$E$4),OR('Visual SPC'!$G$4="",'Data Entry'!$D5266='Visual SPC'!$G$4),OR('Visual SPC'!$I$4="",'Data Entry'!$E5266='Visual SPC'!$I$4),OR('Visual SPC'!$K$4="",'Data Entry'!$F5266='Visual SPC'!$K$4)),1,0))</f>
        <v/>
      </c>
      <c r="C5266">
        <f>C5265+B5266</f>
        <v/>
      </c>
      <c r="D5266">
        <f>IF(B5266=1,INDEX('Data Entry'!$H$5:$BE$10004,5266-4,'Visual SPC'!$B$3),"")</f>
        <v/>
      </c>
      <c r="E5266">
        <f>IF(B5266=1,D5266,E5265)</f>
        <v/>
      </c>
      <c r="F5266">
        <f>IF(AND(B5266=1,C5266&gt;1,E5265&lt;&gt;""),ABS(D5266-E5265),"")</f>
        <v/>
      </c>
    </row>
    <row r="5267">
      <c r="A5267" t="n">
        <v>5267</v>
      </c>
      <c r="B5267">
        <f>IF(INDEX('Data Entry'!$H$5:$BE$10004,5267-4,'Visual SPC'!$B$3)="",0,IF(AND(OR('Visual SPC'!$C$4="",'Data Entry'!$C5267&gt;='Visual SPC'!$C$4),OR('Visual SPC'!$E$4="",'Data Entry'!$C5267&lt;='Visual SPC'!$E$4),OR('Visual SPC'!$G$4="",'Data Entry'!$D5267='Visual SPC'!$G$4),OR('Visual SPC'!$I$4="",'Data Entry'!$E5267='Visual SPC'!$I$4),OR('Visual SPC'!$K$4="",'Data Entry'!$F5267='Visual SPC'!$K$4)),1,0))</f>
        <v/>
      </c>
      <c r="C5267">
        <f>C5266+B5267</f>
        <v/>
      </c>
      <c r="D5267">
        <f>IF(B5267=1,INDEX('Data Entry'!$H$5:$BE$10004,5267-4,'Visual SPC'!$B$3),"")</f>
        <v/>
      </c>
      <c r="E5267">
        <f>IF(B5267=1,D5267,E5266)</f>
        <v/>
      </c>
      <c r="F5267">
        <f>IF(AND(B5267=1,C5267&gt;1,E5266&lt;&gt;""),ABS(D5267-E5266),"")</f>
        <v/>
      </c>
    </row>
    <row r="5268">
      <c r="A5268" t="n">
        <v>5268</v>
      </c>
      <c r="B5268">
        <f>IF(INDEX('Data Entry'!$H$5:$BE$10004,5268-4,'Visual SPC'!$B$3)="",0,IF(AND(OR('Visual SPC'!$C$4="",'Data Entry'!$C5268&gt;='Visual SPC'!$C$4),OR('Visual SPC'!$E$4="",'Data Entry'!$C5268&lt;='Visual SPC'!$E$4),OR('Visual SPC'!$G$4="",'Data Entry'!$D5268='Visual SPC'!$G$4),OR('Visual SPC'!$I$4="",'Data Entry'!$E5268='Visual SPC'!$I$4),OR('Visual SPC'!$K$4="",'Data Entry'!$F5268='Visual SPC'!$K$4)),1,0))</f>
        <v/>
      </c>
      <c r="C5268">
        <f>C5267+B5268</f>
        <v/>
      </c>
      <c r="D5268">
        <f>IF(B5268=1,INDEX('Data Entry'!$H$5:$BE$10004,5268-4,'Visual SPC'!$B$3),"")</f>
        <v/>
      </c>
      <c r="E5268">
        <f>IF(B5268=1,D5268,E5267)</f>
        <v/>
      </c>
      <c r="F5268">
        <f>IF(AND(B5268=1,C5268&gt;1,E5267&lt;&gt;""),ABS(D5268-E5267),"")</f>
        <v/>
      </c>
    </row>
    <row r="5269">
      <c r="A5269" t="n">
        <v>5269</v>
      </c>
      <c r="B5269">
        <f>IF(INDEX('Data Entry'!$H$5:$BE$10004,5269-4,'Visual SPC'!$B$3)="",0,IF(AND(OR('Visual SPC'!$C$4="",'Data Entry'!$C5269&gt;='Visual SPC'!$C$4),OR('Visual SPC'!$E$4="",'Data Entry'!$C5269&lt;='Visual SPC'!$E$4),OR('Visual SPC'!$G$4="",'Data Entry'!$D5269='Visual SPC'!$G$4),OR('Visual SPC'!$I$4="",'Data Entry'!$E5269='Visual SPC'!$I$4),OR('Visual SPC'!$K$4="",'Data Entry'!$F5269='Visual SPC'!$K$4)),1,0))</f>
        <v/>
      </c>
      <c r="C5269">
        <f>C5268+B5269</f>
        <v/>
      </c>
      <c r="D5269">
        <f>IF(B5269=1,INDEX('Data Entry'!$H$5:$BE$10004,5269-4,'Visual SPC'!$B$3),"")</f>
        <v/>
      </c>
      <c r="E5269">
        <f>IF(B5269=1,D5269,E5268)</f>
        <v/>
      </c>
      <c r="F5269">
        <f>IF(AND(B5269=1,C5269&gt;1,E5268&lt;&gt;""),ABS(D5269-E5268),"")</f>
        <v/>
      </c>
    </row>
    <row r="5270">
      <c r="A5270" t="n">
        <v>5270</v>
      </c>
      <c r="B5270">
        <f>IF(INDEX('Data Entry'!$H$5:$BE$10004,5270-4,'Visual SPC'!$B$3)="",0,IF(AND(OR('Visual SPC'!$C$4="",'Data Entry'!$C5270&gt;='Visual SPC'!$C$4),OR('Visual SPC'!$E$4="",'Data Entry'!$C5270&lt;='Visual SPC'!$E$4),OR('Visual SPC'!$G$4="",'Data Entry'!$D5270='Visual SPC'!$G$4),OR('Visual SPC'!$I$4="",'Data Entry'!$E5270='Visual SPC'!$I$4),OR('Visual SPC'!$K$4="",'Data Entry'!$F5270='Visual SPC'!$K$4)),1,0))</f>
        <v/>
      </c>
      <c r="C5270">
        <f>C5269+B5270</f>
        <v/>
      </c>
      <c r="D5270">
        <f>IF(B5270=1,INDEX('Data Entry'!$H$5:$BE$10004,5270-4,'Visual SPC'!$B$3),"")</f>
        <v/>
      </c>
      <c r="E5270">
        <f>IF(B5270=1,D5270,E5269)</f>
        <v/>
      </c>
      <c r="F5270">
        <f>IF(AND(B5270=1,C5270&gt;1,E5269&lt;&gt;""),ABS(D5270-E5269),"")</f>
        <v/>
      </c>
    </row>
    <row r="5271">
      <c r="A5271" t="n">
        <v>5271</v>
      </c>
      <c r="B5271">
        <f>IF(INDEX('Data Entry'!$H$5:$BE$10004,5271-4,'Visual SPC'!$B$3)="",0,IF(AND(OR('Visual SPC'!$C$4="",'Data Entry'!$C5271&gt;='Visual SPC'!$C$4),OR('Visual SPC'!$E$4="",'Data Entry'!$C5271&lt;='Visual SPC'!$E$4),OR('Visual SPC'!$G$4="",'Data Entry'!$D5271='Visual SPC'!$G$4),OR('Visual SPC'!$I$4="",'Data Entry'!$E5271='Visual SPC'!$I$4),OR('Visual SPC'!$K$4="",'Data Entry'!$F5271='Visual SPC'!$K$4)),1,0))</f>
        <v/>
      </c>
      <c r="C5271">
        <f>C5270+B5271</f>
        <v/>
      </c>
      <c r="D5271">
        <f>IF(B5271=1,INDEX('Data Entry'!$H$5:$BE$10004,5271-4,'Visual SPC'!$B$3),"")</f>
        <v/>
      </c>
      <c r="E5271">
        <f>IF(B5271=1,D5271,E5270)</f>
        <v/>
      </c>
      <c r="F5271">
        <f>IF(AND(B5271=1,C5271&gt;1,E5270&lt;&gt;""),ABS(D5271-E5270),"")</f>
        <v/>
      </c>
    </row>
    <row r="5272">
      <c r="A5272" t="n">
        <v>5272</v>
      </c>
      <c r="B5272">
        <f>IF(INDEX('Data Entry'!$H$5:$BE$10004,5272-4,'Visual SPC'!$B$3)="",0,IF(AND(OR('Visual SPC'!$C$4="",'Data Entry'!$C5272&gt;='Visual SPC'!$C$4),OR('Visual SPC'!$E$4="",'Data Entry'!$C5272&lt;='Visual SPC'!$E$4),OR('Visual SPC'!$G$4="",'Data Entry'!$D5272='Visual SPC'!$G$4),OR('Visual SPC'!$I$4="",'Data Entry'!$E5272='Visual SPC'!$I$4),OR('Visual SPC'!$K$4="",'Data Entry'!$F5272='Visual SPC'!$K$4)),1,0))</f>
        <v/>
      </c>
      <c r="C5272">
        <f>C5271+B5272</f>
        <v/>
      </c>
      <c r="D5272">
        <f>IF(B5272=1,INDEX('Data Entry'!$H$5:$BE$10004,5272-4,'Visual SPC'!$B$3),"")</f>
        <v/>
      </c>
      <c r="E5272">
        <f>IF(B5272=1,D5272,E5271)</f>
        <v/>
      </c>
      <c r="F5272">
        <f>IF(AND(B5272=1,C5272&gt;1,E5271&lt;&gt;""),ABS(D5272-E5271),"")</f>
        <v/>
      </c>
    </row>
    <row r="5273">
      <c r="A5273" t="n">
        <v>5273</v>
      </c>
      <c r="B5273">
        <f>IF(INDEX('Data Entry'!$H$5:$BE$10004,5273-4,'Visual SPC'!$B$3)="",0,IF(AND(OR('Visual SPC'!$C$4="",'Data Entry'!$C5273&gt;='Visual SPC'!$C$4),OR('Visual SPC'!$E$4="",'Data Entry'!$C5273&lt;='Visual SPC'!$E$4),OR('Visual SPC'!$G$4="",'Data Entry'!$D5273='Visual SPC'!$G$4),OR('Visual SPC'!$I$4="",'Data Entry'!$E5273='Visual SPC'!$I$4),OR('Visual SPC'!$K$4="",'Data Entry'!$F5273='Visual SPC'!$K$4)),1,0))</f>
        <v/>
      </c>
      <c r="C5273">
        <f>C5272+B5273</f>
        <v/>
      </c>
      <c r="D5273">
        <f>IF(B5273=1,INDEX('Data Entry'!$H$5:$BE$10004,5273-4,'Visual SPC'!$B$3),"")</f>
        <v/>
      </c>
      <c r="E5273">
        <f>IF(B5273=1,D5273,E5272)</f>
        <v/>
      </c>
      <c r="F5273">
        <f>IF(AND(B5273=1,C5273&gt;1,E5272&lt;&gt;""),ABS(D5273-E5272),"")</f>
        <v/>
      </c>
    </row>
    <row r="5274">
      <c r="A5274" t="n">
        <v>5274</v>
      </c>
      <c r="B5274">
        <f>IF(INDEX('Data Entry'!$H$5:$BE$10004,5274-4,'Visual SPC'!$B$3)="",0,IF(AND(OR('Visual SPC'!$C$4="",'Data Entry'!$C5274&gt;='Visual SPC'!$C$4),OR('Visual SPC'!$E$4="",'Data Entry'!$C5274&lt;='Visual SPC'!$E$4),OR('Visual SPC'!$G$4="",'Data Entry'!$D5274='Visual SPC'!$G$4),OR('Visual SPC'!$I$4="",'Data Entry'!$E5274='Visual SPC'!$I$4),OR('Visual SPC'!$K$4="",'Data Entry'!$F5274='Visual SPC'!$K$4)),1,0))</f>
        <v/>
      </c>
      <c r="C5274">
        <f>C5273+B5274</f>
        <v/>
      </c>
      <c r="D5274">
        <f>IF(B5274=1,INDEX('Data Entry'!$H$5:$BE$10004,5274-4,'Visual SPC'!$B$3),"")</f>
        <v/>
      </c>
      <c r="E5274">
        <f>IF(B5274=1,D5274,E5273)</f>
        <v/>
      </c>
      <c r="F5274">
        <f>IF(AND(B5274=1,C5274&gt;1,E5273&lt;&gt;""),ABS(D5274-E5273),"")</f>
        <v/>
      </c>
    </row>
    <row r="5275">
      <c r="A5275" t="n">
        <v>5275</v>
      </c>
      <c r="B5275">
        <f>IF(INDEX('Data Entry'!$H$5:$BE$10004,5275-4,'Visual SPC'!$B$3)="",0,IF(AND(OR('Visual SPC'!$C$4="",'Data Entry'!$C5275&gt;='Visual SPC'!$C$4),OR('Visual SPC'!$E$4="",'Data Entry'!$C5275&lt;='Visual SPC'!$E$4),OR('Visual SPC'!$G$4="",'Data Entry'!$D5275='Visual SPC'!$G$4),OR('Visual SPC'!$I$4="",'Data Entry'!$E5275='Visual SPC'!$I$4),OR('Visual SPC'!$K$4="",'Data Entry'!$F5275='Visual SPC'!$K$4)),1,0))</f>
        <v/>
      </c>
      <c r="C5275">
        <f>C5274+B5275</f>
        <v/>
      </c>
      <c r="D5275">
        <f>IF(B5275=1,INDEX('Data Entry'!$H$5:$BE$10004,5275-4,'Visual SPC'!$B$3),"")</f>
        <v/>
      </c>
      <c r="E5275">
        <f>IF(B5275=1,D5275,E5274)</f>
        <v/>
      </c>
      <c r="F5275">
        <f>IF(AND(B5275=1,C5275&gt;1,E5274&lt;&gt;""),ABS(D5275-E5274),"")</f>
        <v/>
      </c>
    </row>
    <row r="5276">
      <c r="A5276" t="n">
        <v>5276</v>
      </c>
      <c r="B5276">
        <f>IF(INDEX('Data Entry'!$H$5:$BE$10004,5276-4,'Visual SPC'!$B$3)="",0,IF(AND(OR('Visual SPC'!$C$4="",'Data Entry'!$C5276&gt;='Visual SPC'!$C$4),OR('Visual SPC'!$E$4="",'Data Entry'!$C5276&lt;='Visual SPC'!$E$4),OR('Visual SPC'!$G$4="",'Data Entry'!$D5276='Visual SPC'!$G$4),OR('Visual SPC'!$I$4="",'Data Entry'!$E5276='Visual SPC'!$I$4),OR('Visual SPC'!$K$4="",'Data Entry'!$F5276='Visual SPC'!$K$4)),1,0))</f>
        <v/>
      </c>
      <c r="C5276">
        <f>C5275+B5276</f>
        <v/>
      </c>
      <c r="D5276">
        <f>IF(B5276=1,INDEX('Data Entry'!$H$5:$BE$10004,5276-4,'Visual SPC'!$B$3),"")</f>
        <v/>
      </c>
      <c r="E5276">
        <f>IF(B5276=1,D5276,E5275)</f>
        <v/>
      </c>
      <c r="F5276">
        <f>IF(AND(B5276=1,C5276&gt;1,E5275&lt;&gt;""),ABS(D5276-E5275),"")</f>
        <v/>
      </c>
    </row>
    <row r="5277">
      <c r="A5277" t="n">
        <v>5277</v>
      </c>
      <c r="B5277">
        <f>IF(INDEX('Data Entry'!$H$5:$BE$10004,5277-4,'Visual SPC'!$B$3)="",0,IF(AND(OR('Visual SPC'!$C$4="",'Data Entry'!$C5277&gt;='Visual SPC'!$C$4),OR('Visual SPC'!$E$4="",'Data Entry'!$C5277&lt;='Visual SPC'!$E$4),OR('Visual SPC'!$G$4="",'Data Entry'!$D5277='Visual SPC'!$G$4),OR('Visual SPC'!$I$4="",'Data Entry'!$E5277='Visual SPC'!$I$4),OR('Visual SPC'!$K$4="",'Data Entry'!$F5277='Visual SPC'!$K$4)),1,0))</f>
        <v/>
      </c>
      <c r="C5277">
        <f>C5276+B5277</f>
        <v/>
      </c>
      <c r="D5277">
        <f>IF(B5277=1,INDEX('Data Entry'!$H$5:$BE$10004,5277-4,'Visual SPC'!$B$3),"")</f>
        <v/>
      </c>
      <c r="E5277">
        <f>IF(B5277=1,D5277,E5276)</f>
        <v/>
      </c>
      <c r="F5277">
        <f>IF(AND(B5277=1,C5277&gt;1,E5276&lt;&gt;""),ABS(D5277-E5276),"")</f>
        <v/>
      </c>
    </row>
    <row r="5278">
      <c r="A5278" t="n">
        <v>5278</v>
      </c>
      <c r="B5278">
        <f>IF(INDEX('Data Entry'!$H$5:$BE$10004,5278-4,'Visual SPC'!$B$3)="",0,IF(AND(OR('Visual SPC'!$C$4="",'Data Entry'!$C5278&gt;='Visual SPC'!$C$4),OR('Visual SPC'!$E$4="",'Data Entry'!$C5278&lt;='Visual SPC'!$E$4),OR('Visual SPC'!$G$4="",'Data Entry'!$D5278='Visual SPC'!$G$4),OR('Visual SPC'!$I$4="",'Data Entry'!$E5278='Visual SPC'!$I$4),OR('Visual SPC'!$K$4="",'Data Entry'!$F5278='Visual SPC'!$K$4)),1,0))</f>
        <v/>
      </c>
      <c r="C5278">
        <f>C5277+B5278</f>
        <v/>
      </c>
      <c r="D5278">
        <f>IF(B5278=1,INDEX('Data Entry'!$H$5:$BE$10004,5278-4,'Visual SPC'!$B$3),"")</f>
        <v/>
      </c>
      <c r="E5278">
        <f>IF(B5278=1,D5278,E5277)</f>
        <v/>
      </c>
      <c r="F5278">
        <f>IF(AND(B5278=1,C5278&gt;1,E5277&lt;&gt;""),ABS(D5278-E5277),"")</f>
        <v/>
      </c>
    </row>
    <row r="5279">
      <c r="A5279" t="n">
        <v>5279</v>
      </c>
      <c r="B5279">
        <f>IF(INDEX('Data Entry'!$H$5:$BE$10004,5279-4,'Visual SPC'!$B$3)="",0,IF(AND(OR('Visual SPC'!$C$4="",'Data Entry'!$C5279&gt;='Visual SPC'!$C$4),OR('Visual SPC'!$E$4="",'Data Entry'!$C5279&lt;='Visual SPC'!$E$4),OR('Visual SPC'!$G$4="",'Data Entry'!$D5279='Visual SPC'!$G$4),OR('Visual SPC'!$I$4="",'Data Entry'!$E5279='Visual SPC'!$I$4),OR('Visual SPC'!$K$4="",'Data Entry'!$F5279='Visual SPC'!$K$4)),1,0))</f>
        <v/>
      </c>
      <c r="C5279">
        <f>C5278+B5279</f>
        <v/>
      </c>
      <c r="D5279">
        <f>IF(B5279=1,INDEX('Data Entry'!$H$5:$BE$10004,5279-4,'Visual SPC'!$B$3),"")</f>
        <v/>
      </c>
      <c r="E5279">
        <f>IF(B5279=1,D5279,E5278)</f>
        <v/>
      </c>
      <c r="F5279">
        <f>IF(AND(B5279=1,C5279&gt;1,E5278&lt;&gt;""),ABS(D5279-E5278),"")</f>
        <v/>
      </c>
    </row>
    <row r="5280">
      <c r="A5280" t="n">
        <v>5280</v>
      </c>
      <c r="B5280">
        <f>IF(INDEX('Data Entry'!$H$5:$BE$10004,5280-4,'Visual SPC'!$B$3)="",0,IF(AND(OR('Visual SPC'!$C$4="",'Data Entry'!$C5280&gt;='Visual SPC'!$C$4),OR('Visual SPC'!$E$4="",'Data Entry'!$C5280&lt;='Visual SPC'!$E$4),OR('Visual SPC'!$G$4="",'Data Entry'!$D5280='Visual SPC'!$G$4),OR('Visual SPC'!$I$4="",'Data Entry'!$E5280='Visual SPC'!$I$4),OR('Visual SPC'!$K$4="",'Data Entry'!$F5280='Visual SPC'!$K$4)),1,0))</f>
        <v/>
      </c>
      <c r="C5280">
        <f>C5279+B5280</f>
        <v/>
      </c>
      <c r="D5280">
        <f>IF(B5280=1,INDEX('Data Entry'!$H$5:$BE$10004,5280-4,'Visual SPC'!$B$3),"")</f>
        <v/>
      </c>
      <c r="E5280">
        <f>IF(B5280=1,D5280,E5279)</f>
        <v/>
      </c>
      <c r="F5280">
        <f>IF(AND(B5280=1,C5280&gt;1,E5279&lt;&gt;""),ABS(D5280-E5279),"")</f>
        <v/>
      </c>
    </row>
    <row r="5281">
      <c r="A5281" t="n">
        <v>5281</v>
      </c>
      <c r="B5281">
        <f>IF(INDEX('Data Entry'!$H$5:$BE$10004,5281-4,'Visual SPC'!$B$3)="",0,IF(AND(OR('Visual SPC'!$C$4="",'Data Entry'!$C5281&gt;='Visual SPC'!$C$4),OR('Visual SPC'!$E$4="",'Data Entry'!$C5281&lt;='Visual SPC'!$E$4),OR('Visual SPC'!$G$4="",'Data Entry'!$D5281='Visual SPC'!$G$4),OR('Visual SPC'!$I$4="",'Data Entry'!$E5281='Visual SPC'!$I$4),OR('Visual SPC'!$K$4="",'Data Entry'!$F5281='Visual SPC'!$K$4)),1,0))</f>
        <v/>
      </c>
      <c r="C5281">
        <f>C5280+B5281</f>
        <v/>
      </c>
      <c r="D5281">
        <f>IF(B5281=1,INDEX('Data Entry'!$H$5:$BE$10004,5281-4,'Visual SPC'!$B$3),"")</f>
        <v/>
      </c>
      <c r="E5281">
        <f>IF(B5281=1,D5281,E5280)</f>
        <v/>
      </c>
      <c r="F5281">
        <f>IF(AND(B5281=1,C5281&gt;1,E5280&lt;&gt;""),ABS(D5281-E5280),"")</f>
        <v/>
      </c>
    </row>
    <row r="5282">
      <c r="A5282" t="n">
        <v>5282</v>
      </c>
      <c r="B5282">
        <f>IF(INDEX('Data Entry'!$H$5:$BE$10004,5282-4,'Visual SPC'!$B$3)="",0,IF(AND(OR('Visual SPC'!$C$4="",'Data Entry'!$C5282&gt;='Visual SPC'!$C$4),OR('Visual SPC'!$E$4="",'Data Entry'!$C5282&lt;='Visual SPC'!$E$4),OR('Visual SPC'!$G$4="",'Data Entry'!$D5282='Visual SPC'!$G$4),OR('Visual SPC'!$I$4="",'Data Entry'!$E5282='Visual SPC'!$I$4),OR('Visual SPC'!$K$4="",'Data Entry'!$F5282='Visual SPC'!$K$4)),1,0))</f>
        <v/>
      </c>
      <c r="C5282">
        <f>C5281+B5282</f>
        <v/>
      </c>
      <c r="D5282">
        <f>IF(B5282=1,INDEX('Data Entry'!$H$5:$BE$10004,5282-4,'Visual SPC'!$B$3),"")</f>
        <v/>
      </c>
      <c r="E5282">
        <f>IF(B5282=1,D5282,E5281)</f>
        <v/>
      </c>
      <c r="F5282">
        <f>IF(AND(B5282=1,C5282&gt;1,E5281&lt;&gt;""),ABS(D5282-E5281),"")</f>
        <v/>
      </c>
    </row>
    <row r="5283">
      <c r="A5283" t="n">
        <v>5283</v>
      </c>
      <c r="B5283">
        <f>IF(INDEX('Data Entry'!$H$5:$BE$10004,5283-4,'Visual SPC'!$B$3)="",0,IF(AND(OR('Visual SPC'!$C$4="",'Data Entry'!$C5283&gt;='Visual SPC'!$C$4),OR('Visual SPC'!$E$4="",'Data Entry'!$C5283&lt;='Visual SPC'!$E$4),OR('Visual SPC'!$G$4="",'Data Entry'!$D5283='Visual SPC'!$G$4),OR('Visual SPC'!$I$4="",'Data Entry'!$E5283='Visual SPC'!$I$4),OR('Visual SPC'!$K$4="",'Data Entry'!$F5283='Visual SPC'!$K$4)),1,0))</f>
        <v/>
      </c>
      <c r="C5283">
        <f>C5282+B5283</f>
        <v/>
      </c>
      <c r="D5283">
        <f>IF(B5283=1,INDEX('Data Entry'!$H$5:$BE$10004,5283-4,'Visual SPC'!$B$3),"")</f>
        <v/>
      </c>
      <c r="E5283">
        <f>IF(B5283=1,D5283,E5282)</f>
        <v/>
      </c>
      <c r="F5283">
        <f>IF(AND(B5283=1,C5283&gt;1,E5282&lt;&gt;""),ABS(D5283-E5282),"")</f>
        <v/>
      </c>
    </row>
    <row r="5284">
      <c r="A5284" t="n">
        <v>5284</v>
      </c>
      <c r="B5284">
        <f>IF(INDEX('Data Entry'!$H$5:$BE$10004,5284-4,'Visual SPC'!$B$3)="",0,IF(AND(OR('Visual SPC'!$C$4="",'Data Entry'!$C5284&gt;='Visual SPC'!$C$4),OR('Visual SPC'!$E$4="",'Data Entry'!$C5284&lt;='Visual SPC'!$E$4),OR('Visual SPC'!$G$4="",'Data Entry'!$D5284='Visual SPC'!$G$4),OR('Visual SPC'!$I$4="",'Data Entry'!$E5284='Visual SPC'!$I$4),OR('Visual SPC'!$K$4="",'Data Entry'!$F5284='Visual SPC'!$K$4)),1,0))</f>
        <v/>
      </c>
      <c r="C5284">
        <f>C5283+B5284</f>
        <v/>
      </c>
      <c r="D5284">
        <f>IF(B5284=1,INDEX('Data Entry'!$H$5:$BE$10004,5284-4,'Visual SPC'!$B$3),"")</f>
        <v/>
      </c>
      <c r="E5284">
        <f>IF(B5284=1,D5284,E5283)</f>
        <v/>
      </c>
      <c r="F5284">
        <f>IF(AND(B5284=1,C5284&gt;1,E5283&lt;&gt;""),ABS(D5284-E5283),"")</f>
        <v/>
      </c>
    </row>
    <row r="5285">
      <c r="A5285" t="n">
        <v>5285</v>
      </c>
      <c r="B5285">
        <f>IF(INDEX('Data Entry'!$H$5:$BE$10004,5285-4,'Visual SPC'!$B$3)="",0,IF(AND(OR('Visual SPC'!$C$4="",'Data Entry'!$C5285&gt;='Visual SPC'!$C$4),OR('Visual SPC'!$E$4="",'Data Entry'!$C5285&lt;='Visual SPC'!$E$4),OR('Visual SPC'!$G$4="",'Data Entry'!$D5285='Visual SPC'!$G$4),OR('Visual SPC'!$I$4="",'Data Entry'!$E5285='Visual SPC'!$I$4),OR('Visual SPC'!$K$4="",'Data Entry'!$F5285='Visual SPC'!$K$4)),1,0))</f>
        <v/>
      </c>
      <c r="C5285">
        <f>C5284+B5285</f>
        <v/>
      </c>
      <c r="D5285">
        <f>IF(B5285=1,INDEX('Data Entry'!$H$5:$BE$10004,5285-4,'Visual SPC'!$B$3),"")</f>
        <v/>
      </c>
      <c r="E5285">
        <f>IF(B5285=1,D5285,E5284)</f>
        <v/>
      </c>
      <c r="F5285">
        <f>IF(AND(B5285=1,C5285&gt;1,E5284&lt;&gt;""),ABS(D5285-E5284),"")</f>
        <v/>
      </c>
    </row>
    <row r="5286">
      <c r="A5286" t="n">
        <v>5286</v>
      </c>
      <c r="B5286">
        <f>IF(INDEX('Data Entry'!$H$5:$BE$10004,5286-4,'Visual SPC'!$B$3)="",0,IF(AND(OR('Visual SPC'!$C$4="",'Data Entry'!$C5286&gt;='Visual SPC'!$C$4),OR('Visual SPC'!$E$4="",'Data Entry'!$C5286&lt;='Visual SPC'!$E$4),OR('Visual SPC'!$G$4="",'Data Entry'!$D5286='Visual SPC'!$G$4),OR('Visual SPC'!$I$4="",'Data Entry'!$E5286='Visual SPC'!$I$4),OR('Visual SPC'!$K$4="",'Data Entry'!$F5286='Visual SPC'!$K$4)),1,0))</f>
        <v/>
      </c>
      <c r="C5286">
        <f>C5285+B5286</f>
        <v/>
      </c>
      <c r="D5286">
        <f>IF(B5286=1,INDEX('Data Entry'!$H$5:$BE$10004,5286-4,'Visual SPC'!$B$3),"")</f>
        <v/>
      </c>
      <c r="E5286">
        <f>IF(B5286=1,D5286,E5285)</f>
        <v/>
      </c>
      <c r="F5286">
        <f>IF(AND(B5286=1,C5286&gt;1,E5285&lt;&gt;""),ABS(D5286-E5285),"")</f>
        <v/>
      </c>
    </row>
    <row r="5287">
      <c r="A5287" t="n">
        <v>5287</v>
      </c>
      <c r="B5287">
        <f>IF(INDEX('Data Entry'!$H$5:$BE$10004,5287-4,'Visual SPC'!$B$3)="",0,IF(AND(OR('Visual SPC'!$C$4="",'Data Entry'!$C5287&gt;='Visual SPC'!$C$4),OR('Visual SPC'!$E$4="",'Data Entry'!$C5287&lt;='Visual SPC'!$E$4),OR('Visual SPC'!$G$4="",'Data Entry'!$D5287='Visual SPC'!$G$4),OR('Visual SPC'!$I$4="",'Data Entry'!$E5287='Visual SPC'!$I$4),OR('Visual SPC'!$K$4="",'Data Entry'!$F5287='Visual SPC'!$K$4)),1,0))</f>
        <v/>
      </c>
      <c r="C5287">
        <f>C5286+B5287</f>
        <v/>
      </c>
      <c r="D5287">
        <f>IF(B5287=1,INDEX('Data Entry'!$H$5:$BE$10004,5287-4,'Visual SPC'!$B$3),"")</f>
        <v/>
      </c>
      <c r="E5287">
        <f>IF(B5287=1,D5287,E5286)</f>
        <v/>
      </c>
      <c r="F5287">
        <f>IF(AND(B5287=1,C5287&gt;1,E5286&lt;&gt;""),ABS(D5287-E5286),"")</f>
        <v/>
      </c>
    </row>
    <row r="5288">
      <c r="A5288" t="n">
        <v>5288</v>
      </c>
      <c r="B5288">
        <f>IF(INDEX('Data Entry'!$H$5:$BE$10004,5288-4,'Visual SPC'!$B$3)="",0,IF(AND(OR('Visual SPC'!$C$4="",'Data Entry'!$C5288&gt;='Visual SPC'!$C$4),OR('Visual SPC'!$E$4="",'Data Entry'!$C5288&lt;='Visual SPC'!$E$4),OR('Visual SPC'!$G$4="",'Data Entry'!$D5288='Visual SPC'!$G$4),OR('Visual SPC'!$I$4="",'Data Entry'!$E5288='Visual SPC'!$I$4),OR('Visual SPC'!$K$4="",'Data Entry'!$F5288='Visual SPC'!$K$4)),1,0))</f>
        <v/>
      </c>
      <c r="C5288">
        <f>C5287+B5288</f>
        <v/>
      </c>
      <c r="D5288">
        <f>IF(B5288=1,INDEX('Data Entry'!$H$5:$BE$10004,5288-4,'Visual SPC'!$B$3),"")</f>
        <v/>
      </c>
      <c r="E5288">
        <f>IF(B5288=1,D5288,E5287)</f>
        <v/>
      </c>
      <c r="F5288">
        <f>IF(AND(B5288=1,C5288&gt;1,E5287&lt;&gt;""),ABS(D5288-E5287),"")</f>
        <v/>
      </c>
    </row>
    <row r="5289">
      <c r="A5289" t="n">
        <v>5289</v>
      </c>
      <c r="B5289">
        <f>IF(INDEX('Data Entry'!$H$5:$BE$10004,5289-4,'Visual SPC'!$B$3)="",0,IF(AND(OR('Visual SPC'!$C$4="",'Data Entry'!$C5289&gt;='Visual SPC'!$C$4),OR('Visual SPC'!$E$4="",'Data Entry'!$C5289&lt;='Visual SPC'!$E$4),OR('Visual SPC'!$G$4="",'Data Entry'!$D5289='Visual SPC'!$G$4),OR('Visual SPC'!$I$4="",'Data Entry'!$E5289='Visual SPC'!$I$4),OR('Visual SPC'!$K$4="",'Data Entry'!$F5289='Visual SPC'!$K$4)),1,0))</f>
        <v/>
      </c>
      <c r="C5289">
        <f>C5288+B5289</f>
        <v/>
      </c>
      <c r="D5289">
        <f>IF(B5289=1,INDEX('Data Entry'!$H$5:$BE$10004,5289-4,'Visual SPC'!$B$3),"")</f>
        <v/>
      </c>
      <c r="E5289">
        <f>IF(B5289=1,D5289,E5288)</f>
        <v/>
      </c>
      <c r="F5289">
        <f>IF(AND(B5289=1,C5289&gt;1,E5288&lt;&gt;""),ABS(D5289-E5288),"")</f>
        <v/>
      </c>
    </row>
    <row r="5290">
      <c r="A5290" t="n">
        <v>5290</v>
      </c>
      <c r="B5290">
        <f>IF(INDEX('Data Entry'!$H$5:$BE$10004,5290-4,'Visual SPC'!$B$3)="",0,IF(AND(OR('Visual SPC'!$C$4="",'Data Entry'!$C5290&gt;='Visual SPC'!$C$4),OR('Visual SPC'!$E$4="",'Data Entry'!$C5290&lt;='Visual SPC'!$E$4),OR('Visual SPC'!$G$4="",'Data Entry'!$D5290='Visual SPC'!$G$4),OR('Visual SPC'!$I$4="",'Data Entry'!$E5290='Visual SPC'!$I$4),OR('Visual SPC'!$K$4="",'Data Entry'!$F5290='Visual SPC'!$K$4)),1,0))</f>
        <v/>
      </c>
      <c r="C5290">
        <f>C5289+B5290</f>
        <v/>
      </c>
      <c r="D5290">
        <f>IF(B5290=1,INDEX('Data Entry'!$H$5:$BE$10004,5290-4,'Visual SPC'!$B$3),"")</f>
        <v/>
      </c>
      <c r="E5290">
        <f>IF(B5290=1,D5290,E5289)</f>
        <v/>
      </c>
      <c r="F5290">
        <f>IF(AND(B5290=1,C5290&gt;1,E5289&lt;&gt;""),ABS(D5290-E5289),"")</f>
        <v/>
      </c>
    </row>
    <row r="5291">
      <c r="A5291" t="n">
        <v>5291</v>
      </c>
      <c r="B5291">
        <f>IF(INDEX('Data Entry'!$H$5:$BE$10004,5291-4,'Visual SPC'!$B$3)="",0,IF(AND(OR('Visual SPC'!$C$4="",'Data Entry'!$C5291&gt;='Visual SPC'!$C$4),OR('Visual SPC'!$E$4="",'Data Entry'!$C5291&lt;='Visual SPC'!$E$4),OR('Visual SPC'!$G$4="",'Data Entry'!$D5291='Visual SPC'!$G$4),OR('Visual SPC'!$I$4="",'Data Entry'!$E5291='Visual SPC'!$I$4),OR('Visual SPC'!$K$4="",'Data Entry'!$F5291='Visual SPC'!$K$4)),1,0))</f>
        <v/>
      </c>
      <c r="C5291">
        <f>C5290+B5291</f>
        <v/>
      </c>
      <c r="D5291">
        <f>IF(B5291=1,INDEX('Data Entry'!$H$5:$BE$10004,5291-4,'Visual SPC'!$B$3),"")</f>
        <v/>
      </c>
      <c r="E5291">
        <f>IF(B5291=1,D5291,E5290)</f>
        <v/>
      </c>
      <c r="F5291">
        <f>IF(AND(B5291=1,C5291&gt;1,E5290&lt;&gt;""),ABS(D5291-E5290),"")</f>
        <v/>
      </c>
    </row>
    <row r="5292">
      <c r="A5292" t="n">
        <v>5292</v>
      </c>
      <c r="B5292">
        <f>IF(INDEX('Data Entry'!$H$5:$BE$10004,5292-4,'Visual SPC'!$B$3)="",0,IF(AND(OR('Visual SPC'!$C$4="",'Data Entry'!$C5292&gt;='Visual SPC'!$C$4),OR('Visual SPC'!$E$4="",'Data Entry'!$C5292&lt;='Visual SPC'!$E$4),OR('Visual SPC'!$G$4="",'Data Entry'!$D5292='Visual SPC'!$G$4),OR('Visual SPC'!$I$4="",'Data Entry'!$E5292='Visual SPC'!$I$4),OR('Visual SPC'!$K$4="",'Data Entry'!$F5292='Visual SPC'!$K$4)),1,0))</f>
        <v/>
      </c>
      <c r="C5292">
        <f>C5291+B5292</f>
        <v/>
      </c>
      <c r="D5292">
        <f>IF(B5292=1,INDEX('Data Entry'!$H$5:$BE$10004,5292-4,'Visual SPC'!$B$3),"")</f>
        <v/>
      </c>
      <c r="E5292">
        <f>IF(B5292=1,D5292,E5291)</f>
        <v/>
      </c>
      <c r="F5292">
        <f>IF(AND(B5292=1,C5292&gt;1,E5291&lt;&gt;""),ABS(D5292-E5291),"")</f>
        <v/>
      </c>
    </row>
    <row r="5293">
      <c r="A5293" t="n">
        <v>5293</v>
      </c>
      <c r="B5293">
        <f>IF(INDEX('Data Entry'!$H$5:$BE$10004,5293-4,'Visual SPC'!$B$3)="",0,IF(AND(OR('Visual SPC'!$C$4="",'Data Entry'!$C5293&gt;='Visual SPC'!$C$4),OR('Visual SPC'!$E$4="",'Data Entry'!$C5293&lt;='Visual SPC'!$E$4),OR('Visual SPC'!$G$4="",'Data Entry'!$D5293='Visual SPC'!$G$4),OR('Visual SPC'!$I$4="",'Data Entry'!$E5293='Visual SPC'!$I$4),OR('Visual SPC'!$K$4="",'Data Entry'!$F5293='Visual SPC'!$K$4)),1,0))</f>
        <v/>
      </c>
      <c r="C5293">
        <f>C5292+B5293</f>
        <v/>
      </c>
      <c r="D5293">
        <f>IF(B5293=1,INDEX('Data Entry'!$H$5:$BE$10004,5293-4,'Visual SPC'!$B$3),"")</f>
        <v/>
      </c>
      <c r="E5293">
        <f>IF(B5293=1,D5293,E5292)</f>
        <v/>
      </c>
      <c r="F5293">
        <f>IF(AND(B5293=1,C5293&gt;1,E5292&lt;&gt;""),ABS(D5293-E5292),"")</f>
        <v/>
      </c>
    </row>
    <row r="5294">
      <c r="A5294" t="n">
        <v>5294</v>
      </c>
      <c r="B5294">
        <f>IF(INDEX('Data Entry'!$H$5:$BE$10004,5294-4,'Visual SPC'!$B$3)="",0,IF(AND(OR('Visual SPC'!$C$4="",'Data Entry'!$C5294&gt;='Visual SPC'!$C$4),OR('Visual SPC'!$E$4="",'Data Entry'!$C5294&lt;='Visual SPC'!$E$4),OR('Visual SPC'!$G$4="",'Data Entry'!$D5294='Visual SPC'!$G$4),OR('Visual SPC'!$I$4="",'Data Entry'!$E5294='Visual SPC'!$I$4),OR('Visual SPC'!$K$4="",'Data Entry'!$F5294='Visual SPC'!$K$4)),1,0))</f>
        <v/>
      </c>
      <c r="C5294">
        <f>C5293+B5294</f>
        <v/>
      </c>
      <c r="D5294">
        <f>IF(B5294=1,INDEX('Data Entry'!$H$5:$BE$10004,5294-4,'Visual SPC'!$B$3),"")</f>
        <v/>
      </c>
      <c r="E5294">
        <f>IF(B5294=1,D5294,E5293)</f>
        <v/>
      </c>
      <c r="F5294">
        <f>IF(AND(B5294=1,C5294&gt;1,E5293&lt;&gt;""),ABS(D5294-E5293),"")</f>
        <v/>
      </c>
    </row>
    <row r="5295">
      <c r="A5295" t="n">
        <v>5295</v>
      </c>
      <c r="B5295">
        <f>IF(INDEX('Data Entry'!$H$5:$BE$10004,5295-4,'Visual SPC'!$B$3)="",0,IF(AND(OR('Visual SPC'!$C$4="",'Data Entry'!$C5295&gt;='Visual SPC'!$C$4),OR('Visual SPC'!$E$4="",'Data Entry'!$C5295&lt;='Visual SPC'!$E$4),OR('Visual SPC'!$G$4="",'Data Entry'!$D5295='Visual SPC'!$G$4),OR('Visual SPC'!$I$4="",'Data Entry'!$E5295='Visual SPC'!$I$4),OR('Visual SPC'!$K$4="",'Data Entry'!$F5295='Visual SPC'!$K$4)),1,0))</f>
        <v/>
      </c>
      <c r="C5295">
        <f>C5294+B5295</f>
        <v/>
      </c>
      <c r="D5295">
        <f>IF(B5295=1,INDEX('Data Entry'!$H$5:$BE$10004,5295-4,'Visual SPC'!$B$3),"")</f>
        <v/>
      </c>
      <c r="E5295">
        <f>IF(B5295=1,D5295,E5294)</f>
        <v/>
      </c>
      <c r="F5295">
        <f>IF(AND(B5295=1,C5295&gt;1,E5294&lt;&gt;""),ABS(D5295-E5294),"")</f>
        <v/>
      </c>
    </row>
    <row r="5296">
      <c r="A5296" t="n">
        <v>5296</v>
      </c>
      <c r="B5296">
        <f>IF(INDEX('Data Entry'!$H$5:$BE$10004,5296-4,'Visual SPC'!$B$3)="",0,IF(AND(OR('Visual SPC'!$C$4="",'Data Entry'!$C5296&gt;='Visual SPC'!$C$4),OR('Visual SPC'!$E$4="",'Data Entry'!$C5296&lt;='Visual SPC'!$E$4),OR('Visual SPC'!$G$4="",'Data Entry'!$D5296='Visual SPC'!$G$4),OR('Visual SPC'!$I$4="",'Data Entry'!$E5296='Visual SPC'!$I$4),OR('Visual SPC'!$K$4="",'Data Entry'!$F5296='Visual SPC'!$K$4)),1,0))</f>
        <v/>
      </c>
      <c r="C5296">
        <f>C5295+B5296</f>
        <v/>
      </c>
      <c r="D5296">
        <f>IF(B5296=1,INDEX('Data Entry'!$H$5:$BE$10004,5296-4,'Visual SPC'!$B$3),"")</f>
        <v/>
      </c>
      <c r="E5296">
        <f>IF(B5296=1,D5296,E5295)</f>
        <v/>
      </c>
      <c r="F5296">
        <f>IF(AND(B5296=1,C5296&gt;1,E5295&lt;&gt;""),ABS(D5296-E5295),"")</f>
        <v/>
      </c>
    </row>
    <row r="5297">
      <c r="A5297" t="n">
        <v>5297</v>
      </c>
      <c r="B5297">
        <f>IF(INDEX('Data Entry'!$H$5:$BE$10004,5297-4,'Visual SPC'!$B$3)="",0,IF(AND(OR('Visual SPC'!$C$4="",'Data Entry'!$C5297&gt;='Visual SPC'!$C$4),OR('Visual SPC'!$E$4="",'Data Entry'!$C5297&lt;='Visual SPC'!$E$4),OR('Visual SPC'!$G$4="",'Data Entry'!$D5297='Visual SPC'!$G$4),OR('Visual SPC'!$I$4="",'Data Entry'!$E5297='Visual SPC'!$I$4),OR('Visual SPC'!$K$4="",'Data Entry'!$F5297='Visual SPC'!$K$4)),1,0))</f>
        <v/>
      </c>
      <c r="C5297">
        <f>C5296+B5297</f>
        <v/>
      </c>
      <c r="D5297">
        <f>IF(B5297=1,INDEX('Data Entry'!$H$5:$BE$10004,5297-4,'Visual SPC'!$B$3),"")</f>
        <v/>
      </c>
      <c r="E5297">
        <f>IF(B5297=1,D5297,E5296)</f>
        <v/>
      </c>
      <c r="F5297">
        <f>IF(AND(B5297=1,C5297&gt;1,E5296&lt;&gt;""),ABS(D5297-E5296),"")</f>
        <v/>
      </c>
    </row>
    <row r="5298">
      <c r="A5298" t="n">
        <v>5298</v>
      </c>
      <c r="B5298">
        <f>IF(INDEX('Data Entry'!$H$5:$BE$10004,5298-4,'Visual SPC'!$B$3)="",0,IF(AND(OR('Visual SPC'!$C$4="",'Data Entry'!$C5298&gt;='Visual SPC'!$C$4),OR('Visual SPC'!$E$4="",'Data Entry'!$C5298&lt;='Visual SPC'!$E$4),OR('Visual SPC'!$G$4="",'Data Entry'!$D5298='Visual SPC'!$G$4),OR('Visual SPC'!$I$4="",'Data Entry'!$E5298='Visual SPC'!$I$4),OR('Visual SPC'!$K$4="",'Data Entry'!$F5298='Visual SPC'!$K$4)),1,0))</f>
        <v/>
      </c>
      <c r="C5298">
        <f>C5297+B5298</f>
        <v/>
      </c>
      <c r="D5298">
        <f>IF(B5298=1,INDEX('Data Entry'!$H$5:$BE$10004,5298-4,'Visual SPC'!$B$3),"")</f>
        <v/>
      </c>
      <c r="E5298">
        <f>IF(B5298=1,D5298,E5297)</f>
        <v/>
      </c>
      <c r="F5298">
        <f>IF(AND(B5298=1,C5298&gt;1,E5297&lt;&gt;""),ABS(D5298-E5297),"")</f>
        <v/>
      </c>
    </row>
    <row r="5299">
      <c r="A5299" t="n">
        <v>5299</v>
      </c>
      <c r="B5299">
        <f>IF(INDEX('Data Entry'!$H$5:$BE$10004,5299-4,'Visual SPC'!$B$3)="",0,IF(AND(OR('Visual SPC'!$C$4="",'Data Entry'!$C5299&gt;='Visual SPC'!$C$4),OR('Visual SPC'!$E$4="",'Data Entry'!$C5299&lt;='Visual SPC'!$E$4),OR('Visual SPC'!$G$4="",'Data Entry'!$D5299='Visual SPC'!$G$4),OR('Visual SPC'!$I$4="",'Data Entry'!$E5299='Visual SPC'!$I$4),OR('Visual SPC'!$K$4="",'Data Entry'!$F5299='Visual SPC'!$K$4)),1,0))</f>
        <v/>
      </c>
      <c r="C5299">
        <f>C5298+B5299</f>
        <v/>
      </c>
      <c r="D5299">
        <f>IF(B5299=1,INDEX('Data Entry'!$H$5:$BE$10004,5299-4,'Visual SPC'!$B$3),"")</f>
        <v/>
      </c>
      <c r="E5299">
        <f>IF(B5299=1,D5299,E5298)</f>
        <v/>
      </c>
      <c r="F5299">
        <f>IF(AND(B5299=1,C5299&gt;1,E5298&lt;&gt;""),ABS(D5299-E5298),"")</f>
        <v/>
      </c>
    </row>
    <row r="5300">
      <c r="A5300" t="n">
        <v>5300</v>
      </c>
      <c r="B5300">
        <f>IF(INDEX('Data Entry'!$H$5:$BE$10004,5300-4,'Visual SPC'!$B$3)="",0,IF(AND(OR('Visual SPC'!$C$4="",'Data Entry'!$C5300&gt;='Visual SPC'!$C$4),OR('Visual SPC'!$E$4="",'Data Entry'!$C5300&lt;='Visual SPC'!$E$4),OR('Visual SPC'!$G$4="",'Data Entry'!$D5300='Visual SPC'!$G$4),OR('Visual SPC'!$I$4="",'Data Entry'!$E5300='Visual SPC'!$I$4),OR('Visual SPC'!$K$4="",'Data Entry'!$F5300='Visual SPC'!$K$4)),1,0))</f>
        <v/>
      </c>
      <c r="C5300">
        <f>C5299+B5300</f>
        <v/>
      </c>
      <c r="D5300">
        <f>IF(B5300=1,INDEX('Data Entry'!$H$5:$BE$10004,5300-4,'Visual SPC'!$B$3),"")</f>
        <v/>
      </c>
      <c r="E5300">
        <f>IF(B5300=1,D5300,E5299)</f>
        <v/>
      </c>
      <c r="F5300">
        <f>IF(AND(B5300=1,C5300&gt;1,E5299&lt;&gt;""),ABS(D5300-E5299),"")</f>
        <v/>
      </c>
    </row>
    <row r="5301">
      <c r="A5301" t="n">
        <v>5301</v>
      </c>
      <c r="B5301">
        <f>IF(INDEX('Data Entry'!$H$5:$BE$10004,5301-4,'Visual SPC'!$B$3)="",0,IF(AND(OR('Visual SPC'!$C$4="",'Data Entry'!$C5301&gt;='Visual SPC'!$C$4),OR('Visual SPC'!$E$4="",'Data Entry'!$C5301&lt;='Visual SPC'!$E$4),OR('Visual SPC'!$G$4="",'Data Entry'!$D5301='Visual SPC'!$G$4),OR('Visual SPC'!$I$4="",'Data Entry'!$E5301='Visual SPC'!$I$4),OR('Visual SPC'!$K$4="",'Data Entry'!$F5301='Visual SPC'!$K$4)),1,0))</f>
        <v/>
      </c>
      <c r="C5301">
        <f>C5300+B5301</f>
        <v/>
      </c>
      <c r="D5301">
        <f>IF(B5301=1,INDEX('Data Entry'!$H$5:$BE$10004,5301-4,'Visual SPC'!$B$3),"")</f>
        <v/>
      </c>
      <c r="E5301">
        <f>IF(B5301=1,D5301,E5300)</f>
        <v/>
      </c>
      <c r="F5301">
        <f>IF(AND(B5301=1,C5301&gt;1,E5300&lt;&gt;""),ABS(D5301-E5300),"")</f>
        <v/>
      </c>
    </row>
    <row r="5302">
      <c r="A5302" t="n">
        <v>5302</v>
      </c>
      <c r="B5302">
        <f>IF(INDEX('Data Entry'!$H$5:$BE$10004,5302-4,'Visual SPC'!$B$3)="",0,IF(AND(OR('Visual SPC'!$C$4="",'Data Entry'!$C5302&gt;='Visual SPC'!$C$4),OR('Visual SPC'!$E$4="",'Data Entry'!$C5302&lt;='Visual SPC'!$E$4),OR('Visual SPC'!$G$4="",'Data Entry'!$D5302='Visual SPC'!$G$4),OR('Visual SPC'!$I$4="",'Data Entry'!$E5302='Visual SPC'!$I$4),OR('Visual SPC'!$K$4="",'Data Entry'!$F5302='Visual SPC'!$K$4)),1,0))</f>
        <v/>
      </c>
      <c r="C5302">
        <f>C5301+B5302</f>
        <v/>
      </c>
      <c r="D5302">
        <f>IF(B5302=1,INDEX('Data Entry'!$H$5:$BE$10004,5302-4,'Visual SPC'!$B$3),"")</f>
        <v/>
      </c>
      <c r="E5302">
        <f>IF(B5302=1,D5302,E5301)</f>
        <v/>
      </c>
      <c r="F5302">
        <f>IF(AND(B5302=1,C5302&gt;1,E5301&lt;&gt;""),ABS(D5302-E5301),"")</f>
        <v/>
      </c>
    </row>
    <row r="5303">
      <c r="A5303" t="n">
        <v>5303</v>
      </c>
      <c r="B5303">
        <f>IF(INDEX('Data Entry'!$H$5:$BE$10004,5303-4,'Visual SPC'!$B$3)="",0,IF(AND(OR('Visual SPC'!$C$4="",'Data Entry'!$C5303&gt;='Visual SPC'!$C$4),OR('Visual SPC'!$E$4="",'Data Entry'!$C5303&lt;='Visual SPC'!$E$4),OR('Visual SPC'!$G$4="",'Data Entry'!$D5303='Visual SPC'!$G$4),OR('Visual SPC'!$I$4="",'Data Entry'!$E5303='Visual SPC'!$I$4),OR('Visual SPC'!$K$4="",'Data Entry'!$F5303='Visual SPC'!$K$4)),1,0))</f>
        <v/>
      </c>
      <c r="C5303">
        <f>C5302+B5303</f>
        <v/>
      </c>
      <c r="D5303">
        <f>IF(B5303=1,INDEX('Data Entry'!$H$5:$BE$10004,5303-4,'Visual SPC'!$B$3),"")</f>
        <v/>
      </c>
      <c r="E5303">
        <f>IF(B5303=1,D5303,E5302)</f>
        <v/>
      </c>
      <c r="F5303">
        <f>IF(AND(B5303=1,C5303&gt;1,E5302&lt;&gt;""),ABS(D5303-E5302),"")</f>
        <v/>
      </c>
    </row>
    <row r="5304">
      <c r="A5304" t="n">
        <v>5304</v>
      </c>
      <c r="B5304">
        <f>IF(INDEX('Data Entry'!$H$5:$BE$10004,5304-4,'Visual SPC'!$B$3)="",0,IF(AND(OR('Visual SPC'!$C$4="",'Data Entry'!$C5304&gt;='Visual SPC'!$C$4),OR('Visual SPC'!$E$4="",'Data Entry'!$C5304&lt;='Visual SPC'!$E$4),OR('Visual SPC'!$G$4="",'Data Entry'!$D5304='Visual SPC'!$G$4),OR('Visual SPC'!$I$4="",'Data Entry'!$E5304='Visual SPC'!$I$4),OR('Visual SPC'!$K$4="",'Data Entry'!$F5304='Visual SPC'!$K$4)),1,0))</f>
        <v/>
      </c>
      <c r="C5304">
        <f>C5303+B5304</f>
        <v/>
      </c>
      <c r="D5304">
        <f>IF(B5304=1,INDEX('Data Entry'!$H$5:$BE$10004,5304-4,'Visual SPC'!$B$3),"")</f>
        <v/>
      </c>
      <c r="E5304">
        <f>IF(B5304=1,D5304,E5303)</f>
        <v/>
      </c>
      <c r="F5304">
        <f>IF(AND(B5304=1,C5304&gt;1,E5303&lt;&gt;""),ABS(D5304-E5303),"")</f>
        <v/>
      </c>
    </row>
    <row r="5305">
      <c r="A5305" t="n">
        <v>5305</v>
      </c>
      <c r="B5305">
        <f>IF(INDEX('Data Entry'!$H$5:$BE$10004,5305-4,'Visual SPC'!$B$3)="",0,IF(AND(OR('Visual SPC'!$C$4="",'Data Entry'!$C5305&gt;='Visual SPC'!$C$4),OR('Visual SPC'!$E$4="",'Data Entry'!$C5305&lt;='Visual SPC'!$E$4),OR('Visual SPC'!$G$4="",'Data Entry'!$D5305='Visual SPC'!$G$4),OR('Visual SPC'!$I$4="",'Data Entry'!$E5305='Visual SPC'!$I$4),OR('Visual SPC'!$K$4="",'Data Entry'!$F5305='Visual SPC'!$K$4)),1,0))</f>
        <v/>
      </c>
      <c r="C5305">
        <f>C5304+B5305</f>
        <v/>
      </c>
      <c r="D5305">
        <f>IF(B5305=1,INDEX('Data Entry'!$H$5:$BE$10004,5305-4,'Visual SPC'!$B$3),"")</f>
        <v/>
      </c>
      <c r="E5305">
        <f>IF(B5305=1,D5305,E5304)</f>
        <v/>
      </c>
      <c r="F5305">
        <f>IF(AND(B5305=1,C5305&gt;1,E5304&lt;&gt;""),ABS(D5305-E5304),"")</f>
        <v/>
      </c>
    </row>
    <row r="5306">
      <c r="A5306" t="n">
        <v>5306</v>
      </c>
      <c r="B5306">
        <f>IF(INDEX('Data Entry'!$H$5:$BE$10004,5306-4,'Visual SPC'!$B$3)="",0,IF(AND(OR('Visual SPC'!$C$4="",'Data Entry'!$C5306&gt;='Visual SPC'!$C$4),OR('Visual SPC'!$E$4="",'Data Entry'!$C5306&lt;='Visual SPC'!$E$4),OR('Visual SPC'!$G$4="",'Data Entry'!$D5306='Visual SPC'!$G$4),OR('Visual SPC'!$I$4="",'Data Entry'!$E5306='Visual SPC'!$I$4),OR('Visual SPC'!$K$4="",'Data Entry'!$F5306='Visual SPC'!$K$4)),1,0))</f>
        <v/>
      </c>
      <c r="C5306">
        <f>C5305+B5306</f>
        <v/>
      </c>
      <c r="D5306">
        <f>IF(B5306=1,INDEX('Data Entry'!$H$5:$BE$10004,5306-4,'Visual SPC'!$B$3),"")</f>
        <v/>
      </c>
      <c r="E5306">
        <f>IF(B5306=1,D5306,E5305)</f>
        <v/>
      </c>
      <c r="F5306">
        <f>IF(AND(B5306=1,C5306&gt;1,E5305&lt;&gt;""),ABS(D5306-E5305),"")</f>
        <v/>
      </c>
    </row>
    <row r="5307">
      <c r="A5307" t="n">
        <v>5307</v>
      </c>
      <c r="B5307">
        <f>IF(INDEX('Data Entry'!$H$5:$BE$10004,5307-4,'Visual SPC'!$B$3)="",0,IF(AND(OR('Visual SPC'!$C$4="",'Data Entry'!$C5307&gt;='Visual SPC'!$C$4),OR('Visual SPC'!$E$4="",'Data Entry'!$C5307&lt;='Visual SPC'!$E$4),OR('Visual SPC'!$G$4="",'Data Entry'!$D5307='Visual SPC'!$G$4),OR('Visual SPC'!$I$4="",'Data Entry'!$E5307='Visual SPC'!$I$4),OR('Visual SPC'!$K$4="",'Data Entry'!$F5307='Visual SPC'!$K$4)),1,0))</f>
        <v/>
      </c>
      <c r="C5307">
        <f>C5306+B5307</f>
        <v/>
      </c>
      <c r="D5307">
        <f>IF(B5307=1,INDEX('Data Entry'!$H$5:$BE$10004,5307-4,'Visual SPC'!$B$3),"")</f>
        <v/>
      </c>
      <c r="E5307">
        <f>IF(B5307=1,D5307,E5306)</f>
        <v/>
      </c>
      <c r="F5307">
        <f>IF(AND(B5307=1,C5307&gt;1,E5306&lt;&gt;""),ABS(D5307-E5306),"")</f>
        <v/>
      </c>
    </row>
    <row r="5308">
      <c r="A5308" t="n">
        <v>5308</v>
      </c>
      <c r="B5308">
        <f>IF(INDEX('Data Entry'!$H$5:$BE$10004,5308-4,'Visual SPC'!$B$3)="",0,IF(AND(OR('Visual SPC'!$C$4="",'Data Entry'!$C5308&gt;='Visual SPC'!$C$4),OR('Visual SPC'!$E$4="",'Data Entry'!$C5308&lt;='Visual SPC'!$E$4),OR('Visual SPC'!$G$4="",'Data Entry'!$D5308='Visual SPC'!$G$4),OR('Visual SPC'!$I$4="",'Data Entry'!$E5308='Visual SPC'!$I$4),OR('Visual SPC'!$K$4="",'Data Entry'!$F5308='Visual SPC'!$K$4)),1,0))</f>
        <v/>
      </c>
      <c r="C5308">
        <f>C5307+B5308</f>
        <v/>
      </c>
      <c r="D5308">
        <f>IF(B5308=1,INDEX('Data Entry'!$H$5:$BE$10004,5308-4,'Visual SPC'!$B$3),"")</f>
        <v/>
      </c>
      <c r="E5308">
        <f>IF(B5308=1,D5308,E5307)</f>
        <v/>
      </c>
      <c r="F5308">
        <f>IF(AND(B5308=1,C5308&gt;1,E5307&lt;&gt;""),ABS(D5308-E5307),"")</f>
        <v/>
      </c>
    </row>
    <row r="5309">
      <c r="A5309" t="n">
        <v>5309</v>
      </c>
      <c r="B5309">
        <f>IF(INDEX('Data Entry'!$H$5:$BE$10004,5309-4,'Visual SPC'!$B$3)="",0,IF(AND(OR('Visual SPC'!$C$4="",'Data Entry'!$C5309&gt;='Visual SPC'!$C$4),OR('Visual SPC'!$E$4="",'Data Entry'!$C5309&lt;='Visual SPC'!$E$4),OR('Visual SPC'!$G$4="",'Data Entry'!$D5309='Visual SPC'!$G$4),OR('Visual SPC'!$I$4="",'Data Entry'!$E5309='Visual SPC'!$I$4),OR('Visual SPC'!$K$4="",'Data Entry'!$F5309='Visual SPC'!$K$4)),1,0))</f>
        <v/>
      </c>
      <c r="C5309">
        <f>C5308+B5309</f>
        <v/>
      </c>
      <c r="D5309">
        <f>IF(B5309=1,INDEX('Data Entry'!$H$5:$BE$10004,5309-4,'Visual SPC'!$B$3),"")</f>
        <v/>
      </c>
      <c r="E5309">
        <f>IF(B5309=1,D5309,E5308)</f>
        <v/>
      </c>
      <c r="F5309">
        <f>IF(AND(B5309=1,C5309&gt;1,E5308&lt;&gt;""),ABS(D5309-E5308),"")</f>
        <v/>
      </c>
    </row>
    <row r="5310">
      <c r="A5310" t="n">
        <v>5310</v>
      </c>
      <c r="B5310">
        <f>IF(INDEX('Data Entry'!$H$5:$BE$10004,5310-4,'Visual SPC'!$B$3)="",0,IF(AND(OR('Visual SPC'!$C$4="",'Data Entry'!$C5310&gt;='Visual SPC'!$C$4),OR('Visual SPC'!$E$4="",'Data Entry'!$C5310&lt;='Visual SPC'!$E$4),OR('Visual SPC'!$G$4="",'Data Entry'!$D5310='Visual SPC'!$G$4),OR('Visual SPC'!$I$4="",'Data Entry'!$E5310='Visual SPC'!$I$4),OR('Visual SPC'!$K$4="",'Data Entry'!$F5310='Visual SPC'!$K$4)),1,0))</f>
        <v/>
      </c>
      <c r="C5310">
        <f>C5309+B5310</f>
        <v/>
      </c>
      <c r="D5310">
        <f>IF(B5310=1,INDEX('Data Entry'!$H$5:$BE$10004,5310-4,'Visual SPC'!$B$3),"")</f>
        <v/>
      </c>
      <c r="E5310">
        <f>IF(B5310=1,D5310,E5309)</f>
        <v/>
      </c>
      <c r="F5310">
        <f>IF(AND(B5310=1,C5310&gt;1,E5309&lt;&gt;""),ABS(D5310-E5309),"")</f>
        <v/>
      </c>
    </row>
    <row r="5311">
      <c r="A5311" t="n">
        <v>5311</v>
      </c>
      <c r="B5311">
        <f>IF(INDEX('Data Entry'!$H$5:$BE$10004,5311-4,'Visual SPC'!$B$3)="",0,IF(AND(OR('Visual SPC'!$C$4="",'Data Entry'!$C5311&gt;='Visual SPC'!$C$4),OR('Visual SPC'!$E$4="",'Data Entry'!$C5311&lt;='Visual SPC'!$E$4),OR('Visual SPC'!$G$4="",'Data Entry'!$D5311='Visual SPC'!$G$4),OR('Visual SPC'!$I$4="",'Data Entry'!$E5311='Visual SPC'!$I$4),OR('Visual SPC'!$K$4="",'Data Entry'!$F5311='Visual SPC'!$K$4)),1,0))</f>
        <v/>
      </c>
      <c r="C5311">
        <f>C5310+B5311</f>
        <v/>
      </c>
      <c r="D5311">
        <f>IF(B5311=1,INDEX('Data Entry'!$H$5:$BE$10004,5311-4,'Visual SPC'!$B$3),"")</f>
        <v/>
      </c>
      <c r="E5311">
        <f>IF(B5311=1,D5311,E5310)</f>
        <v/>
      </c>
      <c r="F5311">
        <f>IF(AND(B5311=1,C5311&gt;1,E5310&lt;&gt;""),ABS(D5311-E5310),"")</f>
        <v/>
      </c>
    </row>
    <row r="5312">
      <c r="A5312" t="n">
        <v>5312</v>
      </c>
      <c r="B5312">
        <f>IF(INDEX('Data Entry'!$H$5:$BE$10004,5312-4,'Visual SPC'!$B$3)="",0,IF(AND(OR('Visual SPC'!$C$4="",'Data Entry'!$C5312&gt;='Visual SPC'!$C$4),OR('Visual SPC'!$E$4="",'Data Entry'!$C5312&lt;='Visual SPC'!$E$4),OR('Visual SPC'!$G$4="",'Data Entry'!$D5312='Visual SPC'!$G$4),OR('Visual SPC'!$I$4="",'Data Entry'!$E5312='Visual SPC'!$I$4),OR('Visual SPC'!$K$4="",'Data Entry'!$F5312='Visual SPC'!$K$4)),1,0))</f>
        <v/>
      </c>
      <c r="C5312">
        <f>C5311+B5312</f>
        <v/>
      </c>
      <c r="D5312">
        <f>IF(B5312=1,INDEX('Data Entry'!$H$5:$BE$10004,5312-4,'Visual SPC'!$B$3),"")</f>
        <v/>
      </c>
      <c r="E5312">
        <f>IF(B5312=1,D5312,E5311)</f>
        <v/>
      </c>
      <c r="F5312">
        <f>IF(AND(B5312=1,C5312&gt;1,E5311&lt;&gt;""),ABS(D5312-E5311),"")</f>
        <v/>
      </c>
    </row>
    <row r="5313">
      <c r="A5313" t="n">
        <v>5313</v>
      </c>
      <c r="B5313">
        <f>IF(INDEX('Data Entry'!$H$5:$BE$10004,5313-4,'Visual SPC'!$B$3)="",0,IF(AND(OR('Visual SPC'!$C$4="",'Data Entry'!$C5313&gt;='Visual SPC'!$C$4),OR('Visual SPC'!$E$4="",'Data Entry'!$C5313&lt;='Visual SPC'!$E$4),OR('Visual SPC'!$G$4="",'Data Entry'!$D5313='Visual SPC'!$G$4),OR('Visual SPC'!$I$4="",'Data Entry'!$E5313='Visual SPC'!$I$4),OR('Visual SPC'!$K$4="",'Data Entry'!$F5313='Visual SPC'!$K$4)),1,0))</f>
        <v/>
      </c>
      <c r="C5313">
        <f>C5312+B5313</f>
        <v/>
      </c>
      <c r="D5313">
        <f>IF(B5313=1,INDEX('Data Entry'!$H$5:$BE$10004,5313-4,'Visual SPC'!$B$3),"")</f>
        <v/>
      </c>
      <c r="E5313">
        <f>IF(B5313=1,D5313,E5312)</f>
        <v/>
      </c>
      <c r="F5313">
        <f>IF(AND(B5313=1,C5313&gt;1,E5312&lt;&gt;""),ABS(D5313-E5312),"")</f>
        <v/>
      </c>
    </row>
    <row r="5314">
      <c r="A5314" t="n">
        <v>5314</v>
      </c>
      <c r="B5314">
        <f>IF(INDEX('Data Entry'!$H$5:$BE$10004,5314-4,'Visual SPC'!$B$3)="",0,IF(AND(OR('Visual SPC'!$C$4="",'Data Entry'!$C5314&gt;='Visual SPC'!$C$4),OR('Visual SPC'!$E$4="",'Data Entry'!$C5314&lt;='Visual SPC'!$E$4),OR('Visual SPC'!$G$4="",'Data Entry'!$D5314='Visual SPC'!$G$4),OR('Visual SPC'!$I$4="",'Data Entry'!$E5314='Visual SPC'!$I$4),OR('Visual SPC'!$K$4="",'Data Entry'!$F5314='Visual SPC'!$K$4)),1,0))</f>
        <v/>
      </c>
      <c r="C5314">
        <f>C5313+B5314</f>
        <v/>
      </c>
      <c r="D5314">
        <f>IF(B5314=1,INDEX('Data Entry'!$H$5:$BE$10004,5314-4,'Visual SPC'!$B$3),"")</f>
        <v/>
      </c>
      <c r="E5314">
        <f>IF(B5314=1,D5314,E5313)</f>
        <v/>
      </c>
      <c r="F5314">
        <f>IF(AND(B5314=1,C5314&gt;1,E5313&lt;&gt;""),ABS(D5314-E5313),"")</f>
        <v/>
      </c>
    </row>
    <row r="5315">
      <c r="A5315" t="n">
        <v>5315</v>
      </c>
      <c r="B5315">
        <f>IF(INDEX('Data Entry'!$H$5:$BE$10004,5315-4,'Visual SPC'!$B$3)="",0,IF(AND(OR('Visual SPC'!$C$4="",'Data Entry'!$C5315&gt;='Visual SPC'!$C$4),OR('Visual SPC'!$E$4="",'Data Entry'!$C5315&lt;='Visual SPC'!$E$4),OR('Visual SPC'!$G$4="",'Data Entry'!$D5315='Visual SPC'!$G$4),OR('Visual SPC'!$I$4="",'Data Entry'!$E5315='Visual SPC'!$I$4),OR('Visual SPC'!$K$4="",'Data Entry'!$F5315='Visual SPC'!$K$4)),1,0))</f>
        <v/>
      </c>
      <c r="C5315">
        <f>C5314+B5315</f>
        <v/>
      </c>
      <c r="D5315">
        <f>IF(B5315=1,INDEX('Data Entry'!$H$5:$BE$10004,5315-4,'Visual SPC'!$B$3),"")</f>
        <v/>
      </c>
      <c r="E5315">
        <f>IF(B5315=1,D5315,E5314)</f>
        <v/>
      </c>
      <c r="F5315">
        <f>IF(AND(B5315=1,C5315&gt;1,E5314&lt;&gt;""),ABS(D5315-E5314),"")</f>
        <v/>
      </c>
    </row>
    <row r="5316">
      <c r="A5316" t="n">
        <v>5316</v>
      </c>
      <c r="B5316">
        <f>IF(INDEX('Data Entry'!$H$5:$BE$10004,5316-4,'Visual SPC'!$B$3)="",0,IF(AND(OR('Visual SPC'!$C$4="",'Data Entry'!$C5316&gt;='Visual SPC'!$C$4),OR('Visual SPC'!$E$4="",'Data Entry'!$C5316&lt;='Visual SPC'!$E$4),OR('Visual SPC'!$G$4="",'Data Entry'!$D5316='Visual SPC'!$G$4),OR('Visual SPC'!$I$4="",'Data Entry'!$E5316='Visual SPC'!$I$4),OR('Visual SPC'!$K$4="",'Data Entry'!$F5316='Visual SPC'!$K$4)),1,0))</f>
        <v/>
      </c>
      <c r="C5316">
        <f>C5315+B5316</f>
        <v/>
      </c>
      <c r="D5316">
        <f>IF(B5316=1,INDEX('Data Entry'!$H$5:$BE$10004,5316-4,'Visual SPC'!$B$3),"")</f>
        <v/>
      </c>
      <c r="E5316">
        <f>IF(B5316=1,D5316,E5315)</f>
        <v/>
      </c>
      <c r="F5316">
        <f>IF(AND(B5316=1,C5316&gt;1,E5315&lt;&gt;""),ABS(D5316-E5315),"")</f>
        <v/>
      </c>
    </row>
    <row r="5317">
      <c r="A5317" t="n">
        <v>5317</v>
      </c>
      <c r="B5317">
        <f>IF(INDEX('Data Entry'!$H$5:$BE$10004,5317-4,'Visual SPC'!$B$3)="",0,IF(AND(OR('Visual SPC'!$C$4="",'Data Entry'!$C5317&gt;='Visual SPC'!$C$4),OR('Visual SPC'!$E$4="",'Data Entry'!$C5317&lt;='Visual SPC'!$E$4),OR('Visual SPC'!$G$4="",'Data Entry'!$D5317='Visual SPC'!$G$4),OR('Visual SPC'!$I$4="",'Data Entry'!$E5317='Visual SPC'!$I$4),OR('Visual SPC'!$K$4="",'Data Entry'!$F5317='Visual SPC'!$K$4)),1,0))</f>
        <v/>
      </c>
      <c r="C5317">
        <f>C5316+B5317</f>
        <v/>
      </c>
      <c r="D5317">
        <f>IF(B5317=1,INDEX('Data Entry'!$H$5:$BE$10004,5317-4,'Visual SPC'!$B$3),"")</f>
        <v/>
      </c>
      <c r="E5317">
        <f>IF(B5317=1,D5317,E5316)</f>
        <v/>
      </c>
      <c r="F5317">
        <f>IF(AND(B5317=1,C5317&gt;1,E5316&lt;&gt;""),ABS(D5317-E5316),"")</f>
        <v/>
      </c>
    </row>
    <row r="5318">
      <c r="A5318" t="n">
        <v>5318</v>
      </c>
      <c r="B5318">
        <f>IF(INDEX('Data Entry'!$H$5:$BE$10004,5318-4,'Visual SPC'!$B$3)="",0,IF(AND(OR('Visual SPC'!$C$4="",'Data Entry'!$C5318&gt;='Visual SPC'!$C$4),OR('Visual SPC'!$E$4="",'Data Entry'!$C5318&lt;='Visual SPC'!$E$4),OR('Visual SPC'!$G$4="",'Data Entry'!$D5318='Visual SPC'!$G$4),OR('Visual SPC'!$I$4="",'Data Entry'!$E5318='Visual SPC'!$I$4),OR('Visual SPC'!$K$4="",'Data Entry'!$F5318='Visual SPC'!$K$4)),1,0))</f>
        <v/>
      </c>
      <c r="C5318">
        <f>C5317+B5318</f>
        <v/>
      </c>
      <c r="D5318">
        <f>IF(B5318=1,INDEX('Data Entry'!$H$5:$BE$10004,5318-4,'Visual SPC'!$B$3),"")</f>
        <v/>
      </c>
      <c r="E5318">
        <f>IF(B5318=1,D5318,E5317)</f>
        <v/>
      </c>
      <c r="F5318">
        <f>IF(AND(B5318=1,C5318&gt;1,E5317&lt;&gt;""),ABS(D5318-E5317),"")</f>
        <v/>
      </c>
    </row>
    <row r="5319">
      <c r="A5319" t="n">
        <v>5319</v>
      </c>
      <c r="B5319">
        <f>IF(INDEX('Data Entry'!$H$5:$BE$10004,5319-4,'Visual SPC'!$B$3)="",0,IF(AND(OR('Visual SPC'!$C$4="",'Data Entry'!$C5319&gt;='Visual SPC'!$C$4),OR('Visual SPC'!$E$4="",'Data Entry'!$C5319&lt;='Visual SPC'!$E$4),OR('Visual SPC'!$G$4="",'Data Entry'!$D5319='Visual SPC'!$G$4),OR('Visual SPC'!$I$4="",'Data Entry'!$E5319='Visual SPC'!$I$4),OR('Visual SPC'!$K$4="",'Data Entry'!$F5319='Visual SPC'!$K$4)),1,0))</f>
        <v/>
      </c>
      <c r="C5319">
        <f>C5318+B5319</f>
        <v/>
      </c>
      <c r="D5319">
        <f>IF(B5319=1,INDEX('Data Entry'!$H$5:$BE$10004,5319-4,'Visual SPC'!$B$3),"")</f>
        <v/>
      </c>
      <c r="E5319">
        <f>IF(B5319=1,D5319,E5318)</f>
        <v/>
      </c>
      <c r="F5319">
        <f>IF(AND(B5319=1,C5319&gt;1,E5318&lt;&gt;""),ABS(D5319-E5318),"")</f>
        <v/>
      </c>
    </row>
    <row r="5320">
      <c r="A5320" t="n">
        <v>5320</v>
      </c>
      <c r="B5320">
        <f>IF(INDEX('Data Entry'!$H$5:$BE$10004,5320-4,'Visual SPC'!$B$3)="",0,IF(AND(OR('Visual SPC'!$C$4="",'Data Entry'!$C5320&gt;='Visual SPC'!$C$4),OR('Visual SPC'!$E$4="",'Data Entry'!$C5320&lt;='Visual SPC'!$E$4),OR('Visual SPC'!$G$4="",'Data Entry'!$D5320='Visual SPC'!$G$4),OR('Visual SPC'!$I$4="",'Data Entry'!$E5320='Visual SPC'!$I$4),OR('Visual SPC'!$K$4="",'Data Entry'!$F5320='Visual SPC'!$K$4)),1,0))</f>
        <v/>
      </c>
      <c r="C5320">
        <f>C5319+B5320</f>
        <v/>
      </c>
      <c r="D5320">
        <f>IF(B5320=1,INDEX('Data Entry'!$H$5:$BE$10004,5320-4,'Visual SPC'!$B$3),"")</f>
        <v/>
      </c>
      <c r="E5320">
        <f>IF(B5320=1,D5320,E5319)</f>
        <v/>
      </c>
      <c r="F5320">
        <f>IF(AND(B5320=1,C5320&gt;1,E5319&lt;&gt;""),ABS(D5320-E5319),"")</f>
        <v/>
      </c>
    </row>
    <row r="5321">
      <c r="A5321" t="n">
        <v>5321</v>
      </c>
      <c r="B5321">
        <f>IF(INDEX('Data Entry'!$H$5:$BE$10004,5321-4,'Visual SPC'!$B$3)="",0,IF(AND(OR('Visual SPC'!$C$4="",'Data Entry'!$C5321&gt;='Visual SPC'!$C$4),OR('Visual SPC'!$E$4="",'Data Entry'!$C5321&lt;='Visual SPC'!$E$4),OR('Visual SPC'!$G$4="",'Data Entry'!$D5321='Visual SPC'!$G$4),OR('Visual SPC'!$I$4="",'Data Entry'!$E5321='Visual SPC'!$I$4),OR('Visual SPC'!$K$4="",'Data Entry'!$F5321='Visual SPC'!$K$4)),1,0))</f>
        <v/>
      </c>
      <c r="C5321">
        <f>C5320+B5321</f>
        <v/>
      </c>
      <c r="D5321">
        <f>IF(B5321=1,INDEX('Data Entry'!$H$5:$BE$10004,5321-4,'Visual SPC'!$B$3),"")</f>
        <v/>
      </c>
      <c r="E5321">
        <f>IF(B5321=1,D5321,E5320)</f>
        <v/>
      </c>
      <c r="F5321">
        <f>IF(AND(B5321=1,C5321&gt;1,E5320&lt;&gt;""),ABS(D5321-E5320),"")</f>
        <v/>
      </c>
    </row>
    <row r="5322">
      <c r="A5322" t="n">
        <v>5322</v>
      </c>
      <c r="B5322">
        <f>IF(INDEX('Data Entry'!$H$5:$BE$10004,5322-4,'Visual SPC'!$B$3)="",0,IF(AND(OR('Visual SPC'!$C$4="",'Data Entry'!$C5322&gt;='Visual SPC'!$C$4),OR('Visual SPC'!$E$4="",'Data Entry'!$C5322&lt;='Visual SPC'!$E$4),OR('Visual SPC'!$G$4="",'Data Entry'!$D5322='Visual SPC'!$G$4),OR('Visual SPC'!$I$4="",'Data Entry'!$E5322='Visual SPC'!$I$4),OR('Visual SPC'!$K$4="",'Data Entry'!$F5322='Visual SPC'!$K$4)),1,0))</f>
        <v/>
      </c>
      <c r="C5322">
        <f>C5321+B5322</f>
        <v/>
      </c>
      <c r="D5322">
        <f>IF(B5322=1,INDEX('Data Entry'!$H$5:$BE$10004,5322-4,'Visual SPC'!$B$3),"")</f>
        <v/>
      </c>
      <c r="E5322">
        <f>IF(B5322=1,D5322,E5321)</f>
        <v/>
      </c>
      <c r="F5322">
        <f>IF(AND(B5322=1,C5322&gt;1,E5321&lt;&gt;""),ABS(D5322-E5321),"")</f>
        <v/>
      </c>
    </row>
    <row r="5323">
      <c r="A5323" t="n">
        <v>5323</v>
      </c>
      <c r="B5323">
        <f>IF(INDEX('Data Entry'!$H$5:$BE$10004,5323-4,'Visual SPC'!$B$3)="",0,IF(AND(OR('Visual SPC'!$C$4="",'Data Entry'!$C5323&gt;='Visual SPC'!$C$4),OR('Visual SPC'!$E$4="",'Data Entry'!$C5323&lt;='Visual SPC'!$E$4),OR('Visual SPC'!$G$4="",'Data Entry'!$D5323='Visual SPC'!$G$4),OR('Visual SPC'!$I$4="",'Data Entry'!$E5323='Visual SPC'!$I$4),OR('Visual SPC'!$K$4="",'Data Entry'!$F5323='Visual SPC'!$K$4)),1,0))</f>
        <v/>
      </c>
      <c r="C5323">
        <f>C5322+B5323</f>
        <v/>
      </c>
      <c r="D5323">
        <f>IF(B5323=1,INDEX('Data Entry'!$H$5:$BE$10004,5323-4,'Visual SPC'!$B$3),"")</f>
        <v/>
      </c>
      <c r="E5323">
        <f>IF(B5323=1,D5323,E5322)</f>
        <v/>
      </c>
      <c r="F5323">
        <f>IF(AND(B5323=1,C5323&gt;1,E5322&lt;&gt;""),ABS(D5323-E5322),"")</f>
        <v/>
      </c>
    </row>
    <row r="5324">
      <c r="A5324" t="n">
        <v>5324</v>
      </c>
      <c r="B5324">
        <f>IF(INDEX('Data Entry'!$H$5:$BE$10004,5324-4,'Visual SPC'!$B$3)="",0,IF(AND(OR('Visual SPC'!$C$4="",'Data Entry'!$C5324&gt;='Visual SPC'!$C$4),OR('Visual SPC'!$E$4="",'Data Entry'!$C5324&lt;='Visual SPC'!$E$4),OR('Visual SPC'!$G$4="",'Data Entry'!$D5324='Visual SPC'!$G$4),OR('Visual SPC'!$I$4="",'Data Entry'!$E5324='Visual SPC'!$I$4),OR('Visual SPC'!$K$4="",'Data Entry'!$F5324='Visual SPC'!$K$4)),1,0))</f>
        <v/>
      </c>
      <c r="C5324">
        <f>C5323+B5324</f>
        <v/>
      </c>
      <c r="D5324">
        <f>IF(B5324=1,INDEX('Data Entry'!$H$5:$BE$10004,5324-4,'Visual SPC'!$B$3),"")</f>
        <v/>
      </c>
      <c r="E5324">
        <f>IF(B5324=1,D5324,E5323)</f>
        <v/>
      </c>
      <c r="F5324">
        <f>IF(AND(B5324=1,C5324&gt;1,E5323&lt;&gt;""),ABS(D5324-E5323),"")</f>
        <v/>
      </c>
    </row>
    <row r="5325">
      <c r="A5325" t="n">
        <v>5325</v>
      </c>
      <c r="B5325">
        <f>IF(INDEX('Data Entry'!$H$5:$BE$10004,5325-4,'Visual SPC'!$B$3)="",0,IF(AND(OR('Visual SPC'!$C$4="",'Data Entry'!$C5325&gt;='Visual SPC'!$C$4),OR('Visual SPC'!$E$4="",'Data Entry'!$C5325&lt;='Visual SPC'!$E$4),OR('Visual SPC'!$G$4="",'Data Entry'!$D5325='Visual SPC'!$G$4),OR('Visual SPC'!$I$4="",'Data Entry'!$E5325='Visual SPC'!$I$4),OR('Visual SPC'!$K$4="",'Data Entry'!$F5325='Visual SPC'!$K$4)),1,0))</f>
        <v/>
      </c>
      <c r="C5325">
        <f>C5324+B5325</f>
        <v/>
      </c>
      <c r="D5325">
        <f>IF(B5325=1,INDEX('Data Entry'!$H$5:$BE$10004,5325-4,'Visual SPC'!$B$3),"")</f>
        <v/>
      </c>
      <c r="E5325">
        <f>IF(B5325=1,D5325,E5324)</f>
        <v/>
      </c>
      <c r="F5325">
        <f>IF(AND(B5325=1,C5325&gt;1,E5324&lt;&gt;""),ABS(D5325-E5324),"")</f>
        <v/>
      </c>
    </row>
    <row r="5326">
      <c r="A5326" t="n">
        <v>5326</v>
      </c>
      <c r="B5326">
        <f>IF(INDEX('Data Entry'!$H$5:$BE$10004,5326-4,'Visual SPC'!$B$3)="",0,IF(AND(OR('Visual SPC'!$C$4="",'Data Entry'!$C5326&gt;='Visual SPC'!$C$4),OR('Visual SPC'!$E$4="",'Data Entry'!$C5326&lt;='Visual SPC'!$E$4),OR('Visual SPC'!$G$4="",'Data Entry'!$D5326='Visual SPC'!$G$4),OR('Visual SPC'!$I$4="",'Data Entry'!$E5326='Visual SPC'!$I$4),OR('Visual SPC'!$K$4="",'Data Entry'!$F5326='Visual SPC'!$K$4)),1,0))</f>
        <v/>
      </c>
      <c r="C5326">
        <f>C5325+B5326</f>
        <v/>
      </c>
      <c r="D5326">
        <f>IF(B5326=1,INDEX('Data Entry'!$H$5:$BE$10004,5326-4,'Visual SPC'!$B$3),"")</f>
        <v/>
      </c>
      <c r="E5326">
        <f>IF(B5326=1,D5326,E5325)</f>
        <v/>
      </c>
      <c r="F5326">
        <f>IF(AND(B5326=1,C5326&gt;1,E5325&lt;&gt;""),ABS(D5326-E5325),"")</f>
        <v/>
      </c>
    </row>
    <row r="5327">
      <c r="A5327" t="n">
        <v>5327</v>
      </c>
      <c r="B5327">
        <f>IF(INDEX('Data Entry'!$H$5:$BE$10004,5327-4,'Visual SPC'!$B$3)="",0,IF(AND(OR('Visual SPC'!$C$4="",'Data Entry'!$C5327&gt;='Visual SPC'!$C$4),OR('Visual SPC'!$E$4="",'Data Entry'!$C5327&lt;='Visual SPC'!$E$4),OR('Visual SPC'!$G$4="",'Data Entry'!$D5327='Visual SPC'!$G$4),OR('Visual SPC'!$I$4="",'Data Entry'!$E5327='Visual SPC'!$I$4),OR('Visual SPC'!$K$4="",'Data Entry'!$F5327='Visual SPC'!$K$4)),1,0))</f>
        <v/>
      </c>
      <c r="C5327">
        <f>C5326+B5327</f>
        <v/>
      </c>
      <c r="D5327">
        <f>IF(B5327=1,INDEX('Data Entry'!$H$5:$BE$10004,5327-4,'Visual SPC'!$B$3),"")</f>
        <v/>
      </c>
      <c r="E5327">
        <f>IF(B5327=1,D5327,E5326)</f>
        <v/>
      </c>
      <c r="F5327">
        <f>IF(AND(B5327=1,C5327&gt;1,E5326&lt;&gt;""),ABS(D5327-E5326),"")</f>
        <v/>
      </c>
    </row>
    <row r="5328">
      <c r="A5328" t="n">
        <v>5328</v>
      </c>
      <c r="B5328">
        <f>IF(INDEX('Data Entry'!$H$5:$BE$10004,5328-4,'Visual SPC'!$B$3)="",0,IF(AND(OR('Visual SPC'!$C$4="",'Data Entry'!$C5328&gt;='Visual SPC'!$C$4),OR('Visual SPC'!$E$4="",'Data Entry'!$C5328&lt;='Visual SPC'!$E$4),OR('Visual SPC'!$G$4="",'Data Entry'!$D5328='Visual SPC'!$G$4),OR('Visual SPC'!$I$4="",'Data Entry'!$E5328='Visual SPC'!$I$4),OR('Visual SPC'!$K$4="",'Data Entry'!$F5328='Visual SPC'!$K$4)),1,0))</f>
        <v/>
      </c>
      <c r="C5328">
        <f>C5327+B5328</f>
        <v/>
      </c>
      <c r="D5328">
        <f>IF(B5328=1,INDEX('Data Entry'!$H$5:$BE$10004,5328-4,'Visual SPC'!$B$3),"")</f>
        <v/>
      </c>
      <c r="E5328">
        <f>IF(B5328=1,D5328,E5327)</f>
        <v/>
      </c>
      <c r="F5328">
        <f>IF(AND(B5328=1,C5328&gt;1,E5327&lt;&gt;""),ABS(D5328-E5327),"")</f>
        <v/>
      </c>
    </row>
    <row r="5329">
      <c r="A5329" t="n">
        <v>5329</v>
      </c>
      <c r="B5329">
        <f>IF(INDEX('Data Entry'!$H$5:$BE$10004,5329-4,'Visual SPC'!$B$3)="",0,IF(AND(OR('Visual SPC'!$C$4="",'Data Entry'!$C5329&gt;='Visual SPC'!$C$4),OR('Visual SPC'!$E$4="",'Data Entry'!$C5329&lt;='Visual SPC'!$E$4),OR('Visual SPC'!$G$4="",'Data Entry'!$D5329='Visual SPC'!$G$4),OR('Visual SPC'!$I$4="",'Data Entry'!$E5329='Visual SPC'!$I$4),OR('Visual SPC'!$K$4="",'Data Entry'!$F5329='Visual SPC'!$K$4)),1,0))</f>
        <v/>
      </c>
      <c r="C5329">
        <f>C5328+B5329</f>
        <v/>
      </c>
      <c r="D5329">
        <f>IF(B5329=1,INDEX('Data Entry'!$H$5:$BE$10004,5329-4,'Visual SPC'!$B$3),"")</f>
        <v/>
      </c>
      <c r="E5329">
        <f>IF(B5329=1,D5329,E5328)</f>
        <v/>
      </c>
      <c r="F5329">
        <f>IF(AND(B5329=1,C5329&gt;1,E5328&lt;&gt;""),ABS(D5329-E5328),"")</f>
        <v/>
      </c>
    </row>
    <row r="5330">
      <c r="A5330" t="n">
        <v>5330</v>
      </c>
      <c r="B5330">
        <f>IF(INDEX('Data Entry'!$H$5:$BE$10004,5330-4,'Visual SPC'!$B$3)="",0,IF(AND(OR('Visual SPC'!$C$4="",'Data Entry'!$C5330&gt;='Visual SPC'!$C$4),OR('Visual SPC'!$E$4="",'Data Entry'!$C5330&lt;='Visual SPC'!$E$4),OR('Visual SPC'!$G$4="",'Data Entry'!$D5330='Visual SPC'!$G$4),OR('Visual SPC'!$I$4="",'Data Entry'!$E5330='Visual SPC'!$I$4),OR('Visual SPC'!$K$4="",'Data Entry'!$F5330='Visual SPC'!$K$4)),1,0))</f>
        <v/>
      </c>
      <c r="C5330">
        <f>C5329+B5330</f>
        <v/>
      </c>
      <c r="D5330">
        <f>IF(B5330=1,INDEX('Data Entry'!$H$5:$BE$10004,5330-4,'Visual SPC'!$B$3),"")</f>
        <v/>
      </c>
      <c r="E5330">
        <f>IF(B5330=1,D5330,E5329)</f>
        <v/>
      </c>
      <c r="F5330">
        <f>IF(AND(B5330=1,C5330&gt;1,E5329&lt;&gt;""),ABS(D5330-E5329),"")</f>
        <v/>
      </c>
    </row>
    <row r="5331">
      <c r="A5331" t="n">
        <v>5331</v>
      </c>
      <c r="B5331">
        <f>IF(INDEX('Data Entry'!$H$5:$BE$10004,5331-4,'Visual SPC'!$B$3)="",0,IF(AND(OR('Visual SPC'!$C$4="",'Data Entry'!$C5331&gt;='Visual SPC'!$C$4),OR('Visual SPC'!$E$4="",'Data Entry'!$C5331&lt;='Visual SPC'!$E$4),OR('Visual SPC'!$G$4="",'Data Entry'!$D5331='Visual SPC'!$G$4),OR('Visual SPC'!$I$4="",'Data Entry'!$E5331='Visual SPC'!$I$4),OR('Visual SPC'!$K$4="",'Data Entry'!$F5331='Visual SPC'!$K$4)),1,0))</f>
        <v/>
      </c>
      <c r="C5331">
        <f>C5330+B5331</f>
        <v/>
      </c>
      <c r="D5331">
        <f>IF(B5331=1,INDEX('Data Entry'!$H$5:$BE$10004,5331-4,'Visual SPC'!$B$3),"")</f>
        <v/>
      </c>
      <c r="E5331">
        <f>IF(B5331=1,D5331,E5330)</f>
        <v/>
      </c>
      <c r="F5331">
        <f>IF(AND(B5331=1,C5331&gt;1,E5330&lt;&gt;""),ABS(D5331-E5330),"")</f>
        <v/>
      </c>
    </row>
    <row r="5332">
      <c r="A5332" t="n">
        <v>5332</v>
      </c>
      <c r="B5332">
        <f>IF(INDEX('Data Entry'!$H$5:$BE$10004,5332-4,'Visual SPC'!$B$3)="",0,IF(AND(OR('Visual SPC'!$C$4="",'Data Entry'!$C5332&gt;='Visual SPC'!$C$4),OR('Visual SPC'!$E$4="",'Data Entry'!$C5332&lt;='Visual SPC'!$E$4),OR('Visual SPC'!$G$4="",'Data Entry'!$D5332='Visual SPC'!$G$4),OR('Visual SPC'!$I$4="",'Data Entry'!$E5332='Visual SPC'!$I$4),OR('Visual SPC'!$K$4="",'Data Entry'!$F5332='Visual SPC'!$K$4)),1,0))</f>
        <v/>
      </c>
      <c r="C5332">
        <f>C5331+B5332</f>
        <v/>
      </c>
      <c r="D5332">
        <f>IF(B5332=1,INDEX('Data Entry'!$H$5:$BE$10004,5332-4,'Visual SPC'!$B$3),"")</f>
        <v/>
      </c>
      <c r="E5332">
        <f>IF(B5332=1,D5332,E5331)</f>
        <v/>
      </c>
      <c r="F5332">
        <f>IF(AND(B5332=1,C5332&gt;1,E5331&lt;&gt;""),ABS(D5332-E5331),"")</f>
        <v/>
      </c>
    </row>
    <row r="5333">
      <c r="A5333" t="n">
        <v>5333</v>
      </c>
      <c r="B5333">
        <f>IF(INDEX('Data Entry'!$H$5:$BE$10004,5333-4,'Visual SPC'!$B$3)="",0,IF(AND(OR('Visual SPC'!$C$4="",'Data Entry'!$C5333&gt;='Visual SPC'!$C$4),OR('Visual SPC'!$E$4="",'Data Entry'!$C5333&lt;='Visual SPC'!$E$4),OR('Visual SPC'!$G$4="",'Data Entry'!$D5333='Visual SPC'!$G$4),OR('Visual SPC'!$I$4="",'Data Entry'!$E5333='Visual SPC'!$I$4),OR('Visual SPC'!$K$4="",'Data Entry'!$F5333='Visual SPC'!$K$4)),1,0))</f>
        <v/>
      </c>
      <c r="C5333">
        <f>C5332+B5333</f>
        <v/>
      </c>
      <c r="D5333">
        <f>IF(B5333=1,INDEX('Data Entry'!$H$5:$BE$10004,5333-4,'Visual SPC'!$B$3),"")</f>
        <v/>
      </c>
      <c r="E5333">
        <f>IF(B5333=1,D5333,E5332)</f>
        <v/>
      </c>
      <c r="F5333">
        <f>IF(AND(B5333=1,C5333&gt;1,E5332&lt;&gt;""),ABS(D5333-E5332),"")</f>
        <v/>
      </c>
    </row>
    <row r="5334">
      <c r="A5334" t="n">
        <v>5334</v>
      </c>
      <c r="B5334">
        <f>IF(INDEX('Data Entry'!$H$5:$BE$10004,5334-4,'Visual SPC'!$B$3)="",0,IF(AND(OR('Visual SPC'!$C$4="",'Data Entry'!$C5334&gt;='Visual SPC'!$C$4),OR('Visual SPC'!$E$4="",'Data Entry'!$C5334&lt;='Visual SPC'!$E$4),OR('Visual SPC'!$G$4="",'Data Entry'!$D5334='Visual SPC'!$G$4),OR('Visual SPC'!$I$4="",'Data Entry'!$E5334='Visual SPC'!$I$4),OR('Visual SPC'!$K$4="",'Data Entry'!$F5334='Visual SPC'!$K$4)),1,0))</f>
        <v/>
      </c>
      <c r="C5334">
        <f>C5333+B5334</f>
        <v/>
      </c>
      <c r="D5334">
        <f>IF(B5334=1,INDEX('Data Entry'!$H$5:$BE$10004,5334-4,'Visual SPC'!$B$3),"")</f>
        <v/>
      </c>
      <c r="E5334">
        <f>IF(B5334=1,D5334,E5333)</f>
        <v/>
      </c>
      <c r="F5334">
        <f>IF(AND(B5334=1,C5334&gt;1,E5333&lt;&gt;""),ABS(D5334-E5333),"")</f>
        <v/>
      </c>
    </row>
    <row r="5335">
      <c r="A5335" t="n">
        <v>5335</v>
      </c>
      <c r="B5335">
        <f>IF(INDEX('Data Entry'!$H$5:$BE$10004,5335-4,'Visual SPC'!$B$3)="",0,IF(AND(OR('Visual SPC'!$C$4="",'Data Entry'!$C5335&gt;='Visual SPC'!$C$4),OR('Visual SPC'!$E$4="",'Data Entry'!$C5335&lt;='Visual SPC'!$E$4),OR('Visual SPC'!$G$4="",'Data Entry'!$D5335='Visual SPC'!$G$4),OR('Visual SPC'!$I$4="",'Data Entry'!$E5335='Visual SPC'!$I$4),OR('Visual SPC'!$K$4="",'Data Entry'!$F5335='Visual SPC'!$K$4)),1,0))</f>
        <v/>
      </c>
      <c r="C5335">
        <f>C5334+B5335</f>
        <v/>
      </c>
      <c r="D5335">
        <f>IF(B5335=1,INDEX('Data Entry'!$H$5:$BE$10004,5335-4,'Visual SPC'!$B$3),"")</f>
        <v/>
      </c>
      <c r="E5335">
        <f>IF(B5335=1,D5335,E5334)</f>
        <v/>
      </c>
      <c r="F5335">
        <f>IF(AND(B5335=1,C5335&gt;1,E5334&lt;&gt;""),ABS(D5335-E5334),"")</f>
        <v/>
      </c>
    </row>
    <row r="5336">
      <c r="A5336" t="n">
        <v>5336</v>
      </c>
      <c r="B5336">
        <f>IF(INDEX('Data Entry'!$H$5:$BE$10004,5336-4,'Visual SPC'!$B$3)="",0,IF(AND(OR('Visual SPC'!$C$4="",'Data Entry'!$C5336&gt;='Visual SPC'!$C$4),OR('Visual SPC'!$E$4="",'Data Entry'!$C5336&lt;='Visual SPC'!$E$4),OR('Visual SPC'!$G$4="",'Data Entry'!$D5336='Visual SPC'!$G$4),OR('Visual SPC'!$I$4="",'Data Entry'!$E5336='Visual SPC'!$I$4),OR('Visual SPC'!$K$4="",'Data Entry'!$F5336='Visual SPC'!$K$4)),1,0))</f>
        <v/>
      </c>
      <c r="C5336">
        <f>C5335+B5336</f>
        <v/>
      </c>
      <c r="D5336">
        <f>IF(B5336=1,INDEX('Data Entry'!$H$5:$BE$10004,5336-4,'Visual SPC'!$B$3),"")</f>
        <v/>
      </c>
      <c r="E5336">
        <f>IF(B5336=1,D5336,E5335)</f>
        <v/>
      </c>
      <c r="F5336">
        <f>IF(AND(B5336=1,C5336&gt;1,E5335&lt;&gt;""),ABS(D5336-E5335),"")</f>
        <v/>
      </c>
    </row>
    <row r="5337">
      <c r="A5337" t="n">
        <v>5337</v>
      </c>
      <c r="B5337">
        <f>IF(INDEX('Data Entry'!$H$5:$BE$10004,5337-4,'Visual SPC'!$B$3)="",0,IF(AND(OR('Visual SPC'!$C$4="",'Data Entry'!$C5337&gt;='Visual SPC'!$C$4),OR('Visual SPC'!$E$4="",'Data Entry'!$C5337&lt;='Visual SPC'!$E$4),OR('Visual SPC'!$G$4="",'Data Entry'!$D5337='Visual SPC'!$G$4),OR('Visual SPC'!$I$4="",'Data Entry'!$E5337='Visual SPC'!$I$4),OR('Visual SPC'!$K$4="",'Data Entry'!$F5337='Visual SPC'!$K$4)),1,0))</f>
        <v/>
      </c>
      <c r="C5337">
        <f>C5336+B5337</f>
        <v/>
      </c>
      <c r="D5337">
        <f>IF(B5337=1,INDEX('Data Entry'!$H$5:$BE$10004,5337-4,'Visual SPC'!$B$3),"")</f>
        <v/>
      </c>
      <c r="E5337">
        <f>IF(B5337=1,D5337,E5336)</f>
        <v/>
      </c>
      <c r="F5337">
        <f>IF(AND(B5337=1,C5337&gt;1,E5336&lt;&gt;""),ABS(D5337-E5336),"")</f>
        <v/>
      </c>
    </row>
    <row r="5338">
      <c r="A5338" t="n">
        <v>5338</v>
      </c>
      <c r="B5338">
        <f>IF(INDEX('Data Entry'!$H$5:$BE$10004,5338-4,'Visual SPC'!$B$3)="",0,IF(AND(OR('Visual SPC'!$C$4="",'Data Entry'!$C5338&gt;='Visual SPC'!$C$4),OR('Visual SPC'!$E$4="",'Data Entry'!$C5338&lt;='Visual SPC'!$E$4),OR('Visual SPC'!$G$4="",'Data Entry'!$D5338='Visual SPC'!$G$4),OR('Visual SPC'!$I$4="",'Data Entry'!$E5338='Visual SPC'!$I$4),OR('Visual SPC'!$K$4="",'Data Entry'!$F5338='Visual SPC'!$K$4)),1,0))</f>
        <v/>
      </c>
      <c r="C5338">
        <f>C5337+B5338</f>
        <v/>
      </c>
      <c r="D5338">
        <f>IF(B5338=1,INDEX('Data Entry'!$H$5:$BE$10004,5338-4,'Visual SPC'!$B$3),"")</f>
        <v/>
      </c>
      <c r="E5338">
        <f>IF(B5338=1,D5338,E5337)</f>
        <v/>
      </c>
      <c r="F5338">
        <f>IF(AND(B5338=1,C5338&gt;1,E5337&lt;&gt;""),ABS(D5338-E5337),"")</f>
        <v/>
      </c>
    </row>
    <row r="5339">
      <c r="A5339" t="n">
        <v>5339</v>
      </c>
      <c r="B5339">
        <f>IF(INDEX('Data Entry'!$H$5:$BE$10004,5339-4,'Visual SPC'!$B$3)="",0,IF(AND(OR('Visual SPC'!$C$4="",'Data Entry'!$C5339&gt;='Visual SPC'!$C$4),OR('Visual SPC'!$E$4="",'Data Entry'!$C5339&lt;='Visual SPC'!$E$4),OR('Visual SPC'!$G$4="",'Data Entry'!$D5339='Visual SPC'!$G$4),OR('Visual SPC'!$I$4="",'Data Entry'!$E5339='Visual SPC'!$I$4),OR('Visual SPC'!$K$4="",'Data Entry'!$F5339='Visual SPC'!$K$4)),1,0))</f>
        <v/>
      </c>
      <c r="C5339">
        <f>C5338+B5339</f>
        <v/>
      </c>
      <c r="D5339">
        <f>IF(B5339=1,INDEX('Data Entry'!$H$5:$BE$10004,5339-4,'Visual SPC'!$B$3),"")</f>
        <v/>
      </c>
      <c r="E5339">
        <f>IF(B5339=1,D5339,E5338)</f>
        <v/>
      </c>
      <c r="F5339">
        <f>IF(AND(B5339=1,C5339&gt;1,E5338&lt;&gt;""),ABS(D5339-E5338),"")</f>
        <v/>
      </c>
    </row>
    <row r="5340">
      <c r="A5340" t="n">
        <v>5340</v>
      </c>
      <c r="B5340">
        <f>IF(INDEX('Data Entry'!$H$5:$BE$10004,5340-4,'Visual SPC'!$B$3)="",0,IF(AND(OR('Visual SPC'!$C$4="",'Data Entry'!$C5340&gt;='Visual SPC'!$C$4),OR('Visual SPC'!$E$4="",'Data Entry'!$C5340&lt;='Visual SPC'!$E$4),OR('Visual SPC'!$G$4="",'Data Entry'!$D5340='Visual SPC'!$G$4),OR('Visual SPC'!$I$4="",'Data Entry'!$E5340='Visual SPC'!$I$4),OR('Visual SPC'!$K$4="",'Data Entry'!$F5340='Visual SPC'!$K$4)),1,0))</f>
        <v/>
      </c>
      <c r="C5340">
        <f>C5339+B5340</f>
        <v/>
      </c>
      <c r="D5340">
        <f>IF(B5340=1,INDEX('Data Entry'!$H$5:$BE$10004,5340-4,'Visual SPC'!$B$3),"")</f>
        <v/>
      </c>
      <c r="E5340">
        <f>IF(B5340=1,D5340,E5339)</f>
        <v/>
      </c>
      <c r="F5340">
        <f>IF(AND(B5340=1,C5340&gt;1,E5339&lt;&gt;""),ABS(D5340-E5339),"")</f>
        <v/>
      </c>
    </row>
    <row r="5341">
      <c r="A5341" t="n">
        <v>5341</v>
      </c>
      <c r="B5341">
        <f>IF(INDEX('Data Entry'!$H$5:$BE$10004,5341-4,'Visual SPC'!$B$3)="",0,IF(AND(OR('Visual SPC'!$C$4="",'Data Entry'!$C5341&gt;='Visual SPC'!$C$4),OR('Visual SPC'!$E$4="",'Data Entry'!$C5341&lt;='Visual SPC'!$E$4),OR('Visual SPC'!$G$4="",'Data Entry'!$D5341='Visual SPC'!$G$4),OR('Visual SPC'!$I$4="",'Data Entry'!$E5341='Visual SPC'!$I$4),OR('Visual SPC'!$K$4="",'Data Entry'!$F5341='Visual SPC'!$K$4)),1,0))</f>
        <v/>
      </c>
      <c r="C5341">
        <f>C5340+B5341</f>
        <v/>
      </c>
      <c r="D5341">
        <f>IF(B5341=1,INDEX('Data Entry'!$H$5:$BE$10004,5341-4,'Visual SPC'!$B$3),"")</f>
        <v/>
      </c>
      <c r="E5341">
        <f>IF(B5341=1,D5341,E5340)</f>
        <v/>
      </c>
      <c r="F5341">
        <f>IF(AND(B5341=1,C5341&gt;1,E5340&lt;&gt;""),ABS(D5341-E5340),"")</f>
        <v/>
      </c>
    </row>
    <row r="5342">
      <c r="A5342" t="n">
        <v>5342</v>
      </c>
      <c r="B5342">
        <f>IF(INDEX('Data Entry'!$H$5:$BE$10004,5342-4,'Visual SPC'!$B$3)="",0,IF(AND(OR('Visual SPC'!$C$4="",'Data Entry'!$C5342&gt;='Visual SPC'!$C$4),OR('Visual SPC'!$E$4="",'Data Entry'!$C5342&lt;='Visual SPC'!$E$4),OR('Visual SPC'!$G$4="",'Data Entry'!$D5342='Visual SPC'!$G$4),OR('Visual SPC'!$I$4="",'Data Entry'!$E5342='Visual SPC'!$I$4),OR('Visual SPC'!$K$4="",'Data Entry'!$F5342='Visual SPC'!$K$4)),1,0))</f>
        <v/>
      </c>
      <c r="C5342">
        <f>C5341+B5342</f>
        <v/>
      </c>
      <c r="D5342">
        <f>IF(B5342=1,INDEX('Data Entry'!$H$5:$BE$10004,5342-4,'Visual SPC'!$B$3),"")</f>
        <v/>
      </c>
      <c r="E5342">
        <f>IF(B5342=1,D5342,E5341)</f>
        <v/>
      </c>
      <c r="F5342">
        <f>IF(AND(B5342=1,C5342&gt;1,E5341&lt;&gt;""),ABS(D5342-E5341),"")</f>
        <v/>
      </c>
    </row>
    <row r="5343">
      <c r="A5343" t="n">
        <v>5343</v>
      </c>
      <c r="B5343">
        <f>IF(INDEX('Data Entry'!$H$5:$BE$10004,5343-4,'Visual SPC'!$B$3)="",0,IF(AND(OR('Visual SPC'!$C$4="",'Data Entry'!$C5343&gt;='Visual SPC'!$C$4),OR('Visual SPC'!$E$4="",'Data Entry'!$C5343&lt;='Visual SPC'!$E$4),OR('Visual SPC'!$G$4="",'Data Entry'!$D5343='Visual SPC'!$G$4),OR('Visual SPC'!$I$4="",'Data Entry'!$E5343='Visual SPC'!$I$4),OR('Visual SPC'!$K$4="",'Data Entry'!$F5343='Visual SPC'!$K$4)),1,0))</f>
        <v/>
      </c>
      <c r="C5343">
        <f>C5342+B5343</f>
        <v/>
      </c>
      <c r="D5343">
        <f>IF(B5343=1,INDEX('Data Entry'!$H$5:$BE$10004,5343-4,'Visual SPC'!$B$3),"")</f>
        <v/>
      </c>
      <c r="E5343">
        <f>IF(B5343=1,D5343,E5342)</f>
        <v/>
      </c>
      <c r="F5343">
        <f>IF(AND(B5343=1,C5343&gt;1,E5342&lt;&gt;""),ABS(D5343-E5342),"")</f>
        <v/>
      </c>
    </row>
    <row r="5344">
      <c r="A5344" t="n">
        <v>5344</v>
      </c>
      <c r="B5344">
        <f>IF(INDEX('Data Entry'!$H$5:$BE$10004,5344-4,'Visual SPC'!$B$3)="",0,IF(AND(OR('Visual SPC'!$C$4="",'Data Entry'!$C5344&gt;='Visual SPC'!$C$4),OR('Visual SPC'!$E$4="",'Data Entry'!$C5344&lt;='Visual SPC'!$E$4),OR('Visual SPC'!$G$4="",'Data Entry'!$D5344='Visual SPC'!$G$4),OR('Visual SPC'!$I$4="",'Data Entry'!$E5344='Visual SPC'!$I$4),OR('Visual SPC'!$K$4="",'Data Entry'!$F5344='Visual SPC'!$K$4)),1,0))</f>
        <v/>
      </c>
      <c r="C5344">
        <f>C5343+B5344</f>
        <v/>
      </c>
      <c r="D5344">
        <f>IF(B5344=1,INDEX('Data Entry'!$H$5:$BE$10004,5344-4,'Visual SPC'!$B$3),"")</f>
        <v/>
      </c>
      <c r="E5344">
        <f>IF(B5344=1,D5344,E5343)</f>
        <v/>
      </c>
      <c r="F5344">
        <f>IF(AND(B5344=1,C5344&gt;1,E5343&lt;&gt;""),ABS(D5344-E5343),"")</f>
        <v/>
      </c>
    </row>
    <row r="5345">
      <c r="A5345" t="n">
        <v>5345</v>
      </c>
      <c r="B5345">
        <f>IF(INDEX('Data Entry'!$H$5:$BE$10004,5345-4,'Visual SPC'!$B$3)="",0,IF(AND(OR('Visual SPC'!$C$4="",'Data Entry'!$C5345&gt;='Visual SPC'!$C$4),OR('Visual SPC'!$E$4="",'Data Entry'!$C5345&lt;='Visual SPC'!$E$4),OR('Visual SPC'!$G$4="",'Data Entry'!$D5345='Visual SPC'!$G$4),OR('Visual SPC'!$I$4="",'Data Entry'!$E5345='Visual SPC'!$I$4),OR('Visual SPC'!$K$4="",'Data Entry'!$F5345='Visual SPC'!$K$4)),1,0))</f>
        <v/>
      </c>
      <c r="C5345">
        <f>C5344+B5345</f>
        <v/>
      </c>
      <c r="D5345">
        <f>IF(B5345=1,INDEX('Data Entry'!$H$5:$BE$10004,5345-4,'Visual SPC'!$B$3),"")</f>
        <v/>
      </c>
      <c r="E5345">
        <f>IF(B5345=1,D5345,E5344)</f>
        <v/>
      </c>
      <c r="F5345">
        <f>IF(AND(B5345=1,C5345&gt;1,E5344&lt;&gt;""),ABS(D5345-E5344),"")</f>
        <v/>
      </c>
    </row>
    <row r="5346">
      <c r="A5346" t="n">
        <v>5346</v>
      </c>
      <c r="B5346">
        <f>IF(INDEX('Data Entry'!$H$5:$BE$10004,5346-4,'Visual SPC'!$B$3)="",0,IF(AND(OR('Visual SPC'!$C$4="",'Data Entry'!$C5346&gt;='Visual SPC'!$C$4),OR('Visual SPC'!$E$4="",'Data Entry'!$C5346&lt;='Visual SPC'!$E$4),OR('Visual SPC'!$G$4="",'Data Entry'!$D5346='Visual SPC'!$G$4),OR('Visual SPC'!$I$4="",'Data Entry'!$E5346='Visual SPC'!$I$4),OR('Visual SPC'!$K$4="",'Data Entry'!$F5346='Visual SPC'!$K$4)),1,0))</f>
        <v/>
      </c>
      <c r="C5346">
        <f>C5345+B5346</f>
        <v/>
      </c>
      <c r="D5346">
        <f>IF(B5346=1,INDEX('Data Entry'!$H$5:$BE$10004,5346-4,'Visual SPC'!$B$3),"")</f>
        <v/>
      </c>
      <c r="E5346">
        <f>IF(B5346=1,D5346,E5345)</f>
        <v/>
      </c>
      <c r="F5346">
        <f>IF(AND(B5346=1,C5346&gt;1,E5345&lt;&gt;""),ABS(D5346-E5345),"")</f>
        <v/>
      </c>
    </row>
    <row r="5347">
      <c r="A5347" t="n">
        <v>5347</v>
      </c>
      <c r="B5347">
        <f>IF(INDEX('Data Entry'!$H$5:$BE$10004,5347-4,'Visual SPC'!$B$3)="",0,IF(AND(OR('Visual SPC'!$C$4="",'Data Entry'!$C5347&gt;='Visual SPC'!$C$4),OR('Visual SPC'!$E$4="",'Data Entry'!$C5347&lt;='Visual SPC'!$E$4),OR('Visual SPC'!$G$4="",'Data Entry'!$D5347='Visual SPC'!$G$4),OR('Visual SPC'!$I$4="",'Data Entry'!$E5347='Visual SPC'!$I$4),OR('Visual SPC'!$K$4="",'Data Entry'!$F5347='Visual SPC'!$K$4)),1,0))</f>
        <v/>
      </c>
      <c r="C5347">
        <f>C5346+B5347</f>
        <v/>
      </c>
      <c r="D5347">
        <f>IF(B5347=1,INDEX('Data Entry'!$H$5:$BE$10004,5347-4,'Visual SPC'!$B$3),"")</f>
        <v/>
      </c>
      <c r="E5347">
        <f>IF(B5347=1,D5347,E5346)</f>
        <v/>
      </c>
      <c r="F5347">
        <f>IF(AND(B5347=1,C5347&gt;1,E5346&lt;&gt;""),ABS(D5347-E5346),"")</f>
        <v/>
      </c>
    </row>
    <row r="5348">
      <c r="A5348" t="n">
        <v>5348</v>
      </c>
      <c r="B5348">
        <f>IF(INDEX('Data Entry'!$H$5:$BE$10004,5348-4,'Visual SPC'!$B$3)="",0,IF(AND(OR('Visual SPC'!$C$4="",'Data Entry'!$C5348&gt;='Visual SPC'!$C$4),OR('Visual SPC'!$E$4="",'Data Entry'!$C5348&lt;='Visual SPC'!$E$4),OR('Visual SPC'!$G$4="",'Data Entry'!$D5348='Visual SPC'!$G$4),OR('Visual SPC'!$I$4="",'Data Entry'!$E5348='Visual SPC'!$I$4),OR('Visual SPC'!$K$4="",'Data Entry'!$F5348='Visual SPC'!$K$4)),1,0))</f>
        <v/>
      </c>
      <c r="C5348">
        <f>C5347+B5348</f>
        <v/>
      </c>
      <c r="D5348">
        <f>IF(B5348=1,INDEX('Data Entry'!$H$5:$BE$10004,5348-4,'Visual SPC'!$B$3),"")</f>
        <v/>
      </c>
      <c r="E5348">
        <f>IF(B5348=1,D5348,E5347)</f>
        <v/>
      </c>
      <c r="F5348">
        <f>IF(AND(B5348=1,C5348&gt;1,E5347&lt;&gt;""),ABS(D5348-E5347),"")</f>
        <v/>
      </c>
    </row>
    <row r="5349">
      <c r="A5349" t="n">
        <v>5349</v>
      </c>
      <c r="B5349">
        <f>IF(INDEX('Data Entry'!$H$5:$BE$10004,5349-4,'Visual SPC'!$B$3)="",0,IF(AND(OR('Visual SPC'!$C$4="",'Data Entry'!$C5349&gt;='Visual SPC'!$C$4),OR('Visual SPC'!$E$4="",'Data Entry'!$C5349&lt;='Visual SPC'!$E$4),OR('Visual SPC'!$G$4="",'Data Entry'!$D5349='Visual SPC'!$G$4),OR('Visual SPC'!$I$4="",'Data Entry'!$E5349='Visual SPC'!$I$4),OR('Visual SPC'!$K$4="",'Data Entry'!$F5349='Visual SPC'!$K$4)),1,0))</f>
        <v/>
      </c>
      <c r="C5349">
        <f>C5348+B5349</f>
        <v/>
      </c>
      <c r="D5349">
        <f>IF(B5349=1,INDEX('Data Entry'!$H$5:$BE$10004,5349-4,'Visual SPC'!$B$3),"")</f>
        <v/>
      </c>
      <c r="E5349">
        <f>IF(B5349=1,D5349,E5348)</f>
        <v/>
      </c>
      <c r="F5349">
        <f>IF(AND(B5349=1,C5349&gt;1,E5348&lt;&gt;""),ABS(D5349-E5348),"")</f>
        <v/>
      </c>
    </row>
    <row r="5350">
      <c r="A5350" t="n">
        <v>5350</v>
      </c>
      <c r="B5350">
        <f>IF(INDEX('Data Entry'!$H$5:$BE$10004,5350-4,'Visual SPC'!$B$3)="",0,IF(AND(OR('Visual SPC'!$C$4="",'Data Entry'!$C5350&gt;='Visual SPC'!$C$4),OR('Visual SPC'!$E$4="",'Data Entry'!$C5350&lt;='Visual SPC'!$E$4),OR('Visual SPC'!$G$4="",'Data Entry'!$D5350='Visual SPC'!$G$4),OR('Visual SPC'!$I$4="",'Data Entry'!$E5350='Visual SPC'!$I$4),OR('Visual SPC'!$K$4="",'Data Entry'!$F5350='Visual SPC'!$K$4)),1,0))</f>
        <v/>
      </c>
      <c r="C5350">
        <f>C5349+B5350</f>
        <v/>
      </c>
      <c r="D5350">
        <f>IF(B5350=1,INDEX('Data Entry'!$H$5:$BE$10004,5350-4,'Visual SPC'!$B$3),"")</f>
        <v/>
      </c>
      <c r="E5350">
        <f>IF(B5350=1,D5350,E5349)</f>
        <v/>
      </c>
      <c r="F5350">
        <f>IF(AND(B5350=1,C5350&gt;1,E5349&lt;&gt;""),ABS(D5350-E5349),"")</f>
        <v/>
      </c>
    </row>
    <row r="5351">
      <c r="A5351" t="n">
        <v>5351</v>
      </c>
      <c r="B5351">
        <f>IF(INDEX('Data Entry'!$H$5:$BE$10004,5351-4,'Visual SPC'!$B$3)="",0,IF(AND(OR('Visual SPC'!$C$4="",'Data Entry'!$C5351&gt;='Visual SPC'!$C$4),OR('Visual SPC'!$E$4="",'Data Entry'!$C5351&lt;='Visual SPC'!$E$4),OR('Visual SPC'!$G$4="",'Data Entry'!$D5351='Visual SPC'!$G$4),OR('Visual SPC'!$I$4="",'Data Entry'!$E5351='Visual SPC'!$I$4),OR('Visual SPC'!$K$4="",'Data Entry'!$F5351='Visual SPC'!$K$4)),1,0))</f>
        <v/>
      </c>
      <c r="C5351">
        <f>C5350+B5351</f>
        <v/>
      </c>
      <c r="D5351">
        <f>IF(B5351=1,INDEX('Data Entry'!$H$5:$BE$10004,5351-4,'Visual SPC'!$B$3),"")</f>
        <v/>
      </c>
      <c r="E5351">
        <f>IF(B5351=1,D5351,E5350)</f>
        <v/>
      </c>
      <c r="F5351">
        <f>IF(AND(B5351=1,C5351&gt;1,E5350&lt;&gt;""),ABS(D5351-E5350),"")</f>
        <v/>
      </c>
    </row>
    <row r="5352">
      <c r="A5352" t="n">
        <v>5352</v>
      </c>
      <c r="B5352">
        <f>IF(INDEX('Data Entry'!$H$5:$BE$10004,5352-4,'Visual SPC'!$B$3)="",0,IF(AND(OR('Visual SPC'!$C$4="",'Data Entry'!$C5352&gt;='Visual SPC'!$C$4),OR('Visual SPC'!$E$4="",'Data Entry'!$C5352&lt;='Visual SPC'!$E$4),OR('Visual SPC'!$G$4="",'Data Entry'!$D5352='Visual SPC'!$G$4),OR('Visual SPC'!$I$4="",'Data Entry'!$E5352='Visual SPC'!$I$4),OR('Visual SPC'!$K$4="",'Data Entry'!$F5352='Visual SPC'!$K$4)),1,0))</f>
        <v/>
      </c>
      <c r="C5352">
        <f>C5351+B5352</f>
        <v/>
      </c>
      <c r="D5352">
        <f>IF(B5352=1,INDEX('Data Entry'!$H$5:$BE$10004,5352-4,'Visual SPC'!$B$3),"")</f>
        <v/>
      </c>
      <c r="E5352">
        <f>IF(B5352=1,D5352,E5351)</f>
        <v/>
      </c>
      <c r="F5352">
        <f>IF(AND(B5352=1,C5352&gt;1,E5351&lt;&gt;""),ABS(D5352-E5351),"")</f>
        <v/>
      </c>
    </row>
    <row r="5353">
      <c r="A5353" t="n">
        <v>5353</v>
      </c>
      <c r="B5353">
        <f>IF(INDEX('Data Entry'!$H$5:$BE$10004,5353-4,'Visual SPC'!$B$3)="",0,IF(AND(OR('Visual SPC'!$C$4="",'Data Entry'!$C5353&gt;='Visual SPC'!$C$4),OR('Visual SPC'!$E$4="",'Data Entry'!$C5353&lt;='Visual SPC'!$E$4),OR('Visual SPC'!$G$4="",'Data Entry'!$D5353='Visual SPC'!$G$4),OR('Visual SPC'!$I$4="",'Data Entry'!$E5353='Visual SPC'!$I$4),OR('Visual SPC'!$K$4="",'Data Entry'!$F5353='Visual SPC'!$K$4)),1,0))</f>
        <v/>
      </c>
      <c r="C5353">
        <f>C5352+B5353</f>
        <v/>
      </c>
      <c r="D5353">
        <f>IF(B5353=1,INDEX('Data Entry'!$H$5:$BE$10004,5353-4,'Visual SPC'!$B$3),"")</f>
        <v/>
      </c>
      <c r="E5353">
        <f>IF(B5353=1,D5353,E5352)</f>
        <v/>
      </c>
      <c r="F5353">
        <f>IF(AND(B5353=1,C5353&gt;1,E5352&lt;&gt;""),ABS(D5353-E5352),"")</f>
        <v/>
      </c>
    </row>
    <row r="5354">
      <c r="A5354" t="n">
        <v>5354</v>
      </c>
      <c r="B5354">
        <f>IF(INDEX('Data Entry'!$H$5:$BE$10004,5354-4,'Visual SPC'!$B$3)="",0,IF(AND(OR('Visual SPC'!$C$4="",'Data Entry'!$C5354&gt;='Visual SPC'!$C$4),OR('Visual SPC'!$E$4="",'Data Entry'!$C5354&lt;='Visual SPC'!$E$4),OR('Visual SPC'!$G$4="",'Data Entry'!$D5354='Visual SPC'!$G$4),OR('Visual SPC'!$I$4="",'Data Entry'!$E5354='Visual SPC'!$I$4),OR('Visual SPC'!$K$4="",'Data Entry'!$F5354='Visual SPC'!$K$4)),1,0))</f>
        <v/>
      </c>
      <c r="C5354">
        <f>C5353+B5354</f>
        <v/>
      </c>
      <c r="D5354">
        <f>IF(B5354=1,INDEX('Data Entry'!$H$5:$BE$10004,5354-4,'Visual SPC'!$B$3),"")</f>
        <v/>
      </c>
      <c r="E5354">
        <f>IF(B5354=1,D5354,E5353)</f>
        <v/>
      </c>
      <c r="F5354">
        <f>IF(AND(B5354=1,C5354&gt;1,E5353&lt;&gt;""),ABS(D5354-E5353),"")</f>
        <v/>
      </c>
    </row>
    <row r="5355">
      <c r="A5355" t="n">
        <v>5355</v>
      </c>
      <c r="B5355">
        <f>IF(INDEX('Data Entry'!$H$5:$BE$10004,5355-4,'Visual SPC'!$B$3)="",0,IF(AND(OR('Visual SPC'!$C$4="",'Data Entry'!$C5355&gt;='Visual SPC'!$C$4),OR('Visual SPC'!$E$4="",'Data Entry'!$C5355&lt;='Visual SPC'!$E$4),OR('Visual SPC'!$G$4="",'Data Entry'!$D5355='Visual SPC'!$G$4),OR('Visual SPC'!$I$4="",'Data Entry'!$E5355='Visual SPC'!$I$4),OR('Visual SPC'!$K$4="",'Data Entry'!$F5355='Visual SPC'!$K$4)),1,0))</f>
        <v/>
      </c>
      <c r="C5355">
        <f>C5354+B5355</f>
        <v/>
      </c>
      <c r="D5355">
        <f>IF(B5355=1,INDEX('Data Entry'!$H$5:$BE$10004,5355-4,'Visual SPC'!$B$3),"")</f>
        <v/>
      </c>
      <c r="E5355">
        <f>IF(B5355=1,D5355,E5354)</f>
        <v/>
      </c>
      <c r="F5355">
        <f>IF(AND(B5355=1,C5355&gt;1,E5354&lt;&gt;""),ABS(D5355-E5354),"")</f>
        <v/>
      </c>
    </row>
    <row r="5356">
      <c r="A5356" t="n">
        <v>5356</v>
      </c>
      <c r="B5356">
        <f>IF(INDEX('Data Entry'!$H$5:$BE$10004,5356-4,'Visual SPC'!$B$3)="",0,IF(AND(OR('Visual SPC'!$C$4="",'Data Entry'!$C5356&gt;='Visual SPC'!$C$4),OR('Visual SPC'!$E$4="",'Data Entry'!$C5356&lt;='Visual SPC'!$E$4),OR('Visual SPC'!$G$4="",'Data Entry'!$D5356='Visual SPC'!$G$4),OR('Visual SPC'!$I$4="",'Data Entry'!$E5356='Visual SPC'!$I$4),OR('Visual SPC'!$K$4="",'Data Entry'!$F5356='Visual SPC'!$K$4)),1,0))</f>
        <v/>
      </c>
      <c r="C5356">
        <f>C5355+B5356</f>
        <v/>
      </c>
      <c r="D5356">
        <f>IF(B5356=1,INDEX('Data Entry'!$H$5:$BE$10004,5356-4,'Visual SPC'!$B$3),"")</f>
        <v/>
      </c>
      <c r="E5356">
        <f>IF(B5356=1,D5356,E5355)</f>
        <v/>
      </c>
      <c r="F5356">
        <f>IF(AND(B5356=1,C5356&gt;1,E5355&lt;&gt;""),ABS(D5356-E5355),"")</f>
        <v/>
      </c>
    </row>
    <row r="5357">
      <c r="A5357" t="n">
        <v>5357</v>
      </c>
      <c r="B5357">
        <f>IF(INDEX('Data Entry'!$H$5:$BE$10004,5357-4,'Visual SPC'!$B$3)="",0,IF(AND(OR('Visual SPC'!$C$4="",'Data Entry'!$C5357&gt;='Visual SPC'!$C$4),OR('Visual SPC'!$E$4="",'Data Entry'!$C5357&lt;='Visual SPC'!$E$4),OR('Visual SPC'!$G$4="",'Data Entry'!$D5357='Visual SPC'!$G$4),OR('Visual SPC'!$I$4="",'Data Entry'!$E5357='Visual SPC'!$I$4),OR('Visual SPC'!$K$4="",'Data Entry'!$F5357='Visual SPC'!$K$4)),1,0))</f>
        <v/>
      </c>
      <c r="C5357">
        <f>C5356+B5357</f>
        <v/>
      </c>
      <c r="D5357">
        <f>IF(B5357=1,INDEX('Data Entry'!$H$5:$BE$10004,5357-4,'Visual SPC'!$B$3),"")</f>
        <v/>
      </c>
      <c r="E5357">
        <f>IF(B5357=1,D5357,E5356)</f>
        <v/>
      </c>
      <c r="F5357">
        <f>IF(AND(B5357=1,C5357&gt;1,E5356&lt;&gt;""),ABS(D5357-E5356),"")</f>
        <v/>
      </c>
    </row>
    <row r="5358">
      <c r="A5358" t="n">
        <v>5358</v>
      </c>
      <c r="B5358">
        <f>IF(INDEX('Data Entry'!$H$5:$BE$10004,5358-4,'Visual SPC'!$B$3)="",0,IF(AND(OR('Visual SPC'!$C$4="",'Data Entry'!$C5358&gt;='Visual SPC'!$C$4),OR('Visual SPC'!$E$4="",'Data Entry'!$C5358&lt;='Visual SPC'!$E$4),OR('Visual SPC'!$G$4="",'Data Entry'!$D5358='Visual SPC'!$G$4),OR('Visual SPC'!$I$4="",'Data Entry'!$E5358='Visual SPC'!$I$4),OR('Visual SPC'!$K$4="",'Data Entry'!$F5358='Visual SPC'!$K$4)),1,0))</f>
        <v/>
      </c>
      <c r="C5358">
        <f>C5357+B5358</f>
        <v/>
      </c>
      <c r="D5358">
        <f>IF(B5358=1,INDEX('Data Entry'!$H$5:$BE$10004,5358-4,'Visual SPC'!$B$3),"")</f>
        <v/>
      </c>
      <c r="E5358">
        <f>IF(B5358=1,D5358,E5357)</f>
        <v/>
      </c>
      <c r="F5358">
        <f>IF(AND(B5358=1,C5358&gt;1,E5357&lt;&gt;""),ABS(D5358-E5357),"")</f>
        <v/>
      </c>
    </row>
    <row r="5359">
      <c r="A5359" t="n">
        <v>5359</v>
      </c>
      <c r="B5359">
        <f>IF(INDEX('Data Entry'!$H$5:$BE$10004,5359-4,'Visual SPC'!$B$3)="",0,IF(AND(OR('Visual SPC'!$C$4="",'Data Entry'!$C5359&gt;='Visual SPC'!$C$4),OR('Visual SPC'!$E$4="",'Data Entry'!$C5359&lt;='Visual SPC'!$E$4),OR('Visual SPC'!$G$4="",'Data Entry'!$D5359='Visual SPC'!$G$4),OR('Visual SPC'!$I$4="",'Data Entry'!$E5359='Visual SPC'!$I$4),OR('Visual SPC'!$K$4="",'Data Entry'!$F5359='Visual SPC'!$K$4)),1,0))</f>
        <v/>
      </c>
      <c r="C5359">
        <f>C5358+B5359</f>
        <v/>
      </c>
      <c r="D5359">
        <f>IF(B5359=1,INDEX('Data Entry'!$H$5:$BE$10004,5359-4,'Visual SPC'!$B$3),"")</f>
        <v/>
      </c>
      <c r="E5359">
        <f>IF(B5359=1,D5359,E5358)</f>
        <v/>
      </c>
      <c r="F5359">
        <f>IF(AND(B5359=1,C5359&gt;1,E5358&lt;&gt;""),ABS(D5359-E5358),"")</f>
        <v/>
      </c>
    </row>
    <row r="5360">
      <c r="A5360" t="n">
        <v>5360</v>
      </c>
      <c r="B5360">
        <f>IF(INDEX('Data Entry'!$H$5:$BE$10004,5360-4,'Visual SPC'!$B$3)="",0,IF(AND(OR('Visual SPC'!$C$4="",'Data Entry'!$C5360&gt;='Visual SPC'!$C$4),OR('Visual SPC'!$E$4="",'Data Entry'!$C5360&lt;='Visual SPC'!$E$4),OR('Visual SPC'!$G$4="",'Data Entry'!$D5360='Visual SPC'!$G$4),OR('Visual SPC'!$I$4="",'Data Entry'!$E5360='Visual SPC'!$I$4),OR('Visual SPC'!$K$4="",'Data Entry'!$F5360='Visual SPC'!$K$4)),1,0))</f>
        <v/>
      </c>
      <c r="C5360">
        <f>C5359+B5360</f>
        <v/>
      </c>
      <c r="D5360">
        <f>IF(B5360=1,INDEX('Data Entry'!$H$5:$BE$10004,5360-4,'Visual SPC'!$B$3),"")</f>
        <v/>
      </c>
      <c r="E5360">
        <f>IF(B5360=1,D5360,E5359)</f>
        <v/>
      </c>
      <c r="F5360">
        <f>IF(AND(B5360=1,C5360&gt;1,E5359&lt;&gt;""),ABS(D5360-E5359),"")</f>
        <v/>
      </c>
    </row>
    <row r="5361">
      <c r="A5361" t="n">
        <v>5361</v>
      </c>
      <c r="B5361">
        <f>IF(INDEX('Data Entry'!$H$5:$BE$10004,5361-4,'Visual SPC'!$B$3)="",0,IF(AND(OR('Visual SPC'!$C$4="",'Data Entry'!$C5361&gt;='Visual SPC'!$C$4),OR('Visual SPC'!$E$4="",'Data Entry'!$C5361&lt;='Visual SPC'!$E$4),OR('Visual SPC'!$G$4="",'Data Entry'!$D5361='Visual SPC'!$G$4),OR('Visual SPC'!$I$4="",'Data Entry'!$E5361='Visual SPC'!$I$4),OR('Visual SPC'!$K$4="",'Data Entry'!$F5361='Visual SPC'!$K$4)),1,0))</f>
        <v/>
      </c>
      <c r="C5361">
        <f>C5360+B5361</f>
        <v/>
      </c>
      <c r="D5361">
        <f>IF(B5361=1,INDEX('Data Entry'!$H$5:$BE$10004,5361-4,'Visual SPC'!$B$3),"")</f>
        <v/>
      </c>
      <c r="E5361">
        <f>IF(B5361=1,D5361,E5360)</f>
        <v/>
      </c>
      <c r="F5361">
        <f>IF(AND(B5361=1,C5361&gt;1,E5360&lt;&gt;""),ABS(D5361-E5360),"")</f>
        <v/>
      </c>
    </row>
    <row r="5362">
      <c r="A5362" t="n">
        <v>5362</v>
      </c>
      <c r="B5362">
        <f>IF(INDEX('Data Entry'!$H$5:$BE$10004,5362-4,'Visual SPC'!$B$3)="",0,IF(AND(OR('Visual SPC'!$C$4="",'Data Entry'!$C5362&gt;='Visual SPC'!$C$4),OR('Visual SPC'!$E$4="",'Data Entry'!$C5362&lt;='Visual SPC'!$E$4),OR('Visual SPC'!$G$4="",'Data Entry'!$D5362='Visual SPC'!$G$4),OR('Visual SPC'!$I$4="",'Data Entry'!$E5362='Visual SPC'!$I$4),OR('Visual SPC'!$K$4="",'Data Entry'!$F5362='Visual SPC'!$K$4)),1,0))</f>
        <v/>
      </c>
      <c r="C5362">
        <f>C5361+B5362</f>
        <v/>
      </c>
      <c r="D5362">
        <f>IF(B5362=1,INDEX('Data Entry'!$H$5:$BE$10004,5362-4,'Visual SPC'!$B$3),"")</f>
        <v/>
      </c>
      <c r="E5362">
        <f>IF(B5362=1,D5362,E5361)</f>
        <v/>
      </c>
      <c r="F5362">
        <f>IF(AND(B5362=1,C5362&gt;1,E5361&lt;&gt;""),ABS(D5362-E5361),"")</f>
        <v/>
      </c>
    </row>
    <row r="5363">
      <c r="A5363" t="n">
        <v>5363</v>
      </c>
      <c r="B5363">
        <f>IF(INDEX('Data Entry'!$H$5:$BE$10004,5363-4,'Visual SPC'!$B$3)="",0,IF(AND(OR('Visual SPC'!$C$4="",'Data Entry'!$C5363&gt;='Visual SPC'!$C$4),OR('Visual SPC'!$E$4="",'Data Entry'!$C5363&lt;='Visual SPC'!$E$4),OR('Visual SPC'!$G$4="",'Data Entry'!$D5363='Visual SPC'!$G$4),OR('Visual SPC'!$I$4="",'Data Entry'!$E5363='Visual SPC'!$I$4),OR('Visual SPC'!$K$4="",'Data Entry'!$F5363='Visual SPC'!$K$4)),1,0))</f>
        <v/>
      </c>
      <c r="C5363">
        <f>C5362+B5363</f>
        <v/>
      </c>
      <c r="D5363">
        <f>IF(B5363=1,INDEX('Data Entry'!$H$5:$BE$10004,5363-4,'Visual SPC'!$B$3),"")</f>
        <v/>
      </c>
      <c r="E5363">
        <f>IF(B5363=1,D5363,E5362)</f>
        <v/>
      </c>
      <c r="F5363">
        <f>IF(AND(B5363=1,C5363&gt;1,E5362&lt;&gt;""),ABS(D5363-E5362),"")</f>
        <v/>
      </c>
    </row>
    <row r="5364">
      <c r="A5364" t="n">
        <v>5364</v>
      </c>
      <c r="B5364">
        <f>IF(INDEX('Data Entry'!$H$5:$BE$10004,5364-4,'Visual SPC'!$B$3)="",0,IF(AND(OR('Visual SPC'!$C$4="",'Data Entry'!$C5364&gt;='Visual SPC'!$C$4),OR('Visual SPC'!$E$4="",'Data Entry'!$C5364&lt;='Visual SPC'!$E$4),OR('Visual SPC'!$G$4="",'Data Entry'!$D5364='Visual SPC'!$G$4),OR('Visual SPC'!$I$4="",'Data Entry'!$E5364='Visual SPC'!$I$4),OR('Visual SPC'!$K$4="",'Data Entry'!$F5364='Visual SPC'!$K$4)),1,0))</f>
        <v/>
      </c>
      <c r="C5364">
        <f>C5363+B5364</f>
        <v/>
      </c>
      <c r="D5364">
        <f>IF(B5364=1,INDEX('Data Entry'!$H$5:$BE$10004,5364-4,'Visual SPC'!$B$3),"")</f>
        <v/>
      </c>
      <c r="E5364">
        <f>IF(B5364=1,D5364,E5363)</f>
        <v/>
      </c>
      <c r="F5364">
        <f>IF(AND(B5364=1,C5364&gt;1,E5363&lt;&gt;""),ABS(D5364-E5363),"")</f>
        <v/>
      </c>
    </row>
    <row r="5365">
      <c r="A5365" t="n">
        <v>5365</v>
      </c>
      <c r="B5365">
        <f>IF(INDEX('Data Entry'!$H$5:$BE$10004,5365-4,'Visual SPC'!$B$3)="",0,IF(AND(OR('Visual SPC'!$C$4="",'Data Entry'!$C5365&gt;='Visual SPC'!$C$4),OR('Visual SPC'!$E$4="",'Data Entry'!$C5365&lt;='Visual SPC'!$E$4),OR('Visual SPC'!$G$4="",'Data Entry'!$D5365='Visual SPC'!$G$4),OR('Visual SPC'!$I$4="",'Data Entry'!$E5365='Visual SPC'!$I$4),OR('Visual SPC'!$K$4="",'Data Entry'!$F5365='Visual SPC'!$K$4)),1,0))</f>
        <v/>
      </c>
      <c r="C5365">
        <f>C5364+B5365</f>
        <v/>
      </c>
      <c r="D5365">
        <f>IF(B5365=1,INDEX('Data Entry'!$H$5:$BE$10004,5365-4,'Visual SPC'!$B$3),"")</f>
        <v/>
      </c>
      <c r="E5365">
        <f>IF(B5365=1,D5365,E5364)</f>
        <v/>
      </c>
      <c r="F5365">
        <f>IF(AND(B5365=1,C5365&gt;1,E5364&lt;&gt;""),ABS(D5365-E5364),"")</f>
        <v/>
      </c>
    </row>
    <row r="5366">
      <c r="A5366" t="n">
        <v>5366</v>
      </c>
      <c r="B5366">
        <f>IF(INDEX('Data Entry'!$H$5:$BE$10004,5366-4,'Visual SPC'!$B$3)="",0,IF(AND(OR('Visual SPC'!$C$4="",'Data Entry'!$C5366&gt;='Visual SPC'!$C$4),OR('Visual SPC'!$E$4="",'Data Entry'!$C5366&lt;='Visual SPC'!$E$4),OR('Visual SPC'!$G$4="",'Data Entry'!$D5366='Visual SPC'!$G$4),OR('Visual SPC'!$I$4="",'Data Entry'!$E5366='Visual SPC'!$I$4),OR('Visual SPC'!$K$4="",'Data Entry'!$F5366='Visual SPC'!$K$4)),1,0))</f>
        <v/>
      </c>
      <c r="C5366">
        <f>C5365+B5366</f>
        <v/>
      </c>
      <c r="D5366">
        <f>IF(B5366=1,INDEX('Data Entry'!$H$5:$BE$10004,5366-4,'Visual SPC'!$B$3),"")</f>
        <v/>
      </c>
      <c r="E5366">
        <f>IF(B5366=1,D5366,E5365)</f>
        <v/>
      </c>
      <c r="F5366">
        <f>IF(AND(B5366=1,C5366&gt;1,E5365&lt;&gt;""),ABS(D5366-E5365),"")</f>
        <v/>
      </c>
    </row>
    <row r="5367">
      <c r="A5367" t="n">
        <v>5367</v>
      </c>
      <c r="B5367">
        <f>IF(INDEX('Data Entry'!$H$5:$BE$10004,5367-4,'Visual SPC'!$B$3)="",0,IF(AND(OR('Visual SPC'!$C$4="",'Data Entry'!$C5367&gt;='Visual SPC'!$C$4),OR('Visual SPC'!$E$4="",'Data Entry'!$C5367&lt;='Visual SPC'!$E$4),OR('Visual SPC'!$G$4="",'Data Entry'!$D5367='Visual SPC'!$G$4),OR('Visual SPC'!$I$4="",'Data Entry'!$E5367='Visual SPC'!$I$4),OR('Visual SPC'!$K$4="",'Data Entry'!$F5367='Visual SPC'!$K$4)),1,0))</f>
        <v/>
      </c>
      <c r="C5367">
        <f>C5366+B5367</f>
        <v/>
      </c>
      <c r="D5367">
        <f>IF(B5367=1,INDEX('Data Entry'!$H$5:$BE$10004,5367-4,'Visual SPC'!$B$3),"")</f>
        <v/>
      </c>
      <c r="E5367">
        <f>IF(B5367=1,D5367,E5366)</f>
        <v/>
      </c>
      <c r="F5367">
        <f>IF(AND(B5367=1,C5367&gt;1,E5366&lt;&gt;""),ABS(D5367-E5366),"")</f>
        <v/>
      </c>
    </row>
    <row r="5368">
      <c r="A5368" t="n">
        <v>5368</v>
      </c>
      <c r="B5368">
        <f>IF(INDEX('Data Entry'!$H$5:$BE$10004,5368-4,'Visual SPC'!$B$3)="",0,IF(AND(OR('Visual SPC'!$C$4="",'Data Entry'!$C5368&gt;='Visual SPC'!$C$4),OR('Visual SPC'!$E$4="",'Data Entry'!$C5368&lt;='Visual SPC'!$E$4),OR('Visual SPC'!$G$4="",'Data Entry'!$D5368='Visual SPC'!$G$4),OR('Visual SPC'!$I$4="",'Data Entry'!$E5368='Visual SPC'!$I$4),OR('Visual SPC'!$K$4="",'Data Entry'!$F5368='Visual SPC'!$K$4)),1,0))</f>
        <v/>
      </c>
      <c r="C5368">
        <f>C5367+B5368</f>
        <v/>
      </c>
      <c r="D5368">
        <f>IF(B5368=1,INDEX('Data Entry'!$H$5:$BE$10004,5368-4,'Visual SPC'!$B$3),"")</f>
        <v/>
      </c>
      <c r="E5368">
        <f>IF(B5368=1,D5368,E5367)</f>
        <v/>
      </c>
      <c r="F5368">
        <f>IF(AND(B5368=1,C5368&gt;1,E5367&lt;&gt;""),ABS(D5368-E5367),"")</f>
        <v/>
      </c>
    </row>
    <row r="5369">
      <c r="A5369" t="n">
        <v>5369</v>
      </c>
      <c r="B5369">
        <f>IF(INDEX('Data Entry'!$H$5:$BE$10004,5369-4,'Visual SPC'!$B$3)="",0,IF(AND(OR('Visual SPC'!$C$4="",'Data Entry'!$C5369&gt;='Visual SPC'!$C$4),OR('Visual SPC'!$E$4="",'Data Entry'!$C5369&lt;='Visual SPC'!$E$4),OR('Visual SPC'!$G$4="",'Data Entry'!$D5369='Visual SPC'!$G$4),OR('Visual SPC'!$I$4="",'Data Entry'!$E5369='Visual SPC'!$I$4),OR('Visual SPC'!$K$4="",'Data Entry'!$F5369='Visual SPC'!$K$4)),1,0))</f>
        <v/>
      </c>
      <c r="C5369">
        <f>C5368+B5369</f>
        <v/>
      </c>
      <c r="D5369">
        <f>IF(B5369=1,INDEX('Data Entry'!$H$5:$BE$10004,5369-4,'Visual SPC'!$B$3),"")</f>
        <v/>
      </c>
      <c r="E5369">
        <f>IF(B5369=1,D5369,E5368)</f>
        <v/>
      </c>
      <c r="F5369">
        <f>IF(AND(B5369=1,C5369&gt;1,E5368&lt;&gt;""),ABS(D5369-E5368),"")</f>
        <v/>
      </c>
    </row>
    <row r="5370">
      <c r="A5370" t="n">
        <v>5370</v>
      </c>
      <c r="B5370">
        <f>IF(INDEX('Data Entry'!$H$5:$BE$10004,5370-4,'Visual SPC'!$B$3)="",0,IF(AND(OR('Visual SPC'!$C$4="",'Data Entry'!$C5370&gt;='Visual SPC'!$C$4),OR('Visual SPC'!$E$4="",'Data Entry'!$C5370&lt;='Visual SPC'!$E$4),OR('Visual SPC'!$G$4="",'Data Entry'!$D5370='Visual SPC'!$G$4),OR('Visual SPC'!$I$4="",'Data Entry'!$E5370='Visual SPC'!$I$4),OR('Visual SPC'!$K$4="",'Data Entry'!$F5370='Visual SPC'!$K$4)),1,0))</f>
        <v/>
      </c>
      <c r="C5370">
        <f>C5369+B5370</f>
        <v/>
      </c>
      <c r="D5370">
        <f>IF(B5370=1,INDEX('Data Entry'!$H$5:$BE$10004,5370-4,'Visual SPC'!$B$3),"")</f>
        <v/>
      </c>
      <c r="E5370">
        <f>IF(B5370=1,D5370,E5369)</f>
        <v/>
      </c>
      <c r="F5370">
        <f>IF(AND(B5370=1,C5370&gt;1,E5369&lt;&gt;""),ABS(D5370-E5369),"")</f>
        <v/>
      </c>
    </row>
    <row r="5371">
      <c r="A5371" t="n">
        <v>5371</v>
      </c>
      <c r="B5371">
        <f>IF(INDEX('Data Entry'!$H$5:$BE$10004,5371-4,'Visual SPC'!$B$3)="",0,IF(AND(OR('Visual SPC'!$C$4="",'Data Entry'!$C5371&gt;='Visual SPC'!$C$4),OR('Visual SPC'!$E$4="",'Data Entry'!$C5371&lt;='Visual SPC'!$E$4),OR('Visual SPC'!$G$4="",'Data Entry'!$D5371='Visual SPC'!$G$4),OR('Visual SPC'!$I$4="",'Data Entry'!$E5371='Visual SPC'!$I$4),OR('Visual SPC'!$K$4="",'Data Entry'!$F5371='Visual SPC'!$K$4)),1,0))</f>
        <v/>
      </c>
      <c r="C5371">
        <f>C5370+B5371</f>
        <v/>
      </c>
      <c r="D5371">
        <f>IF(B5371=1,INDEX('Data Entry'!$H$5:$BE$10004,5371-4,'Visual SPC'!$B$3),"")</f>
        <v/>
      </c>
      <c r="E5371">
        <f>IF(B5371=1,D5371,E5370)</f>
        <v/>
      </c>
      <c r="F5371">
        <f>IF(AND(B5371=1,C5371&gt;1,E5370&lt;&gt;""),ABS(D5371-E5370),"")</f>
        <v/>
      </c>
    </row>
    <row r="5372">
      <c r="A5372" t="n">
        <v>5372</v>
      </c>
      <c r="B5372">
        <f>IF(INDEX('Data Entry'!$H$5:$BE$10004,5372-4,'Visual SPC'!$B$3)="",0,IF(AND(OR('Visual SPC'!$C$4="",'Data Entry'!$C5372&gt;='Visual SPC'!$C$4),OR('Visual SPC'!$E$4="",'Data Entry'!$C5372&lt;='Visual SPC'!$E$4),OR('Visual SPC'!$G$4="",'Data Entry'!$D5372='Visual SPC'!$G$4),OR('Visual SPC'!$I$4="",'Data Entry'!$E5372='Visual SPC'!$I$4),OR('Visual SPC'!$K$4="",'Data Entry'!$F5372='Visual SPC'!$K$4)),1,0))</f>
        <v/>
      </c>
      <c r="C5372">
        <f>C5371+B5372</f>
        <v/>
      </c>
      <c r="D5372">
        <f>IF(B5372=1,INDEX('Data Entry'!$H$5:$BE$10004,5372-4,'Visual SPC'!$B$3),"")</f>
        <v/>
      </c>
      <c r="E5372">
        <f>IF(B5372=1,D5372,E5371)</f>
        <v/>
      </c>
      <c r="F5372">
        <f>IF(AND(B5372=1,C5372&gt;1,E5371&lt;&gt;""),ABS(D5372-E5371),"")</f>
        <v/>
      </c>
    </row>
    <row r="5373">
      <c r="A5373" t="n">
        <v>5373</v>
      </c>
      <c r="B5373">
        <f>IF(INDEX('Data Entry'!$H$5:$BE$10004,5373-4,'Visual SPC'!$B$3)="",0,IF(AND(OR('Visual SPC'!$C$4="",'Data Entry'!$C5373&gt;='Visual SPC'!$C$4),OR('Visual SPC'!$E$4="",'Data Entry'!$C5373&lt;='Visual SPC'!$E$4),OR('Visual SPC'!$G$4="",'Data Entry'!$D5373='Visual SPC'!$G$4),OR('Visual SPC'!$I$4="",'Data Entry'!$E5373='Visual SPC'!$I$4),OR('Visual SPC'!$K$4="",'Data Entry'!$F5373='Visual SPC'!$K$4)),1,0))</f>
        <v/>
      </c>
      <c r="C5373">
        <f>C5372+B5373</f>
        <v/>
      </c>
      <c r="D5373">
        <f>IF(B5373=1,INDEX('Data Entry'!$H$5:$BE$10004,5373-4,'Visual SPC'!$B$3),"")</f>
        <v/>
      </c>
      <c r="E5373">
        <f>IF(B5373=1,D5373,E5372)</f>
        <v/>
      </c>
      <c r="F5373">
        <f>IF(AND(B5373=1,C5373&gt;1,E5372&lt;&gt;""),ABS(D5373-E5372),"")</f>
        <v/>
      </c>
    </row>
    <row r="5374">
      <c r="A5374" t="n">
        <v>5374</v>
      </c>
      <c r="B5374">
        <f>IF(INDEX('Data Entry'!$H$5:$BE$10004,5374-4,'Visual SPC'!$B$3)="",0,IF(AND(OR('Visual SPC'!$C$4="",'Data Entry'!$C5374&gt;='Visual SPC'!$C$4),OR('Visual SPC'!$E$4="",'Data Entry'!$C5374&lt;='Visual SPC'!$E$4),OR('Visual SPC'!$G$4="",'Data Entry'!$D5374='Visual SPC'!$G$4),OR('Visual SPC'!$I$4="",'Data Entry'!$E5374='Visual SPC'!$I$4),OR('Visual SPC'!$K$4="",'Data Entry'!$F5374='Visual SPC'!$K$4)),1,0))</f>
        <v/>
      </c>
      <c r="C5374">
        <f>C5373+B5374</f>
        <v/>
      </c>
      <c r="D5374">
        <f>IF(B5374=1,INDEX('Data Entry'!$H$5:$BE$10004,5374-4,'Visual SPC'!$B$3),"")</f>
        <v/>
      </c>
      <c r="E5374">
        <f>IF(B5374=1,D5374,E5373)</f>
        <v/>
      </c>
      <c r="F5374">
        <f>IF(AND(B5374=1,C5374&gt;1,E5373&lt;&gt;""),ABS(D5374-E5373),"")</f>
        <v/>
      </c>
    </row>
    <row r="5375">
      <c r="A5375" t="n">
        <v>5375</v>
      </c>
      <c r="B5375">
        <f>IF(INDEX('Data Entry'!$H$5:$BE$10004,5375-4,'Visual SPC'!$B$3)="",0,IF(AND(OR('Visual SPC'!$C$4="",'Data Entry'!$C5375&gt;='Visual SPC'!$C$4),OR('Visual SPC'!$E$4="",'Data Entry'!$C5375&lt;='Visual SPC'!$E$4),OR('Visual SPC'!$G$4="",'Data Entry'!$D5375='Visual SPC'!$G$4),OR('Visual SPC'!$I$4="",'Data Entry'!$E5375='Visual SPC'!$I$4),OR('Visual SPC'!$K$4="",'Data Entry'!$F5375='Visual SPC'!$K$4)),1,0))</f>
        <v/>
      </c>
      <c r="C5375">
        <f>C5374+B5375</f>
        <v/>
      </c>
      <c r="D5375">
        <f>IF(B5375=1,INDEX('Data Entry'!$H$5:$BE$10004,5375-4,'Visual SPC'!$B$3),"")</f>
        <v/>
      </c>
      <c r="E5375">
        <f>IF(B5375=1,D5375,E5374)</f>
        <v/>
      </c>
      <c r="F5375">
        <f>IF(AND(B5375=1,C5375&gt;1,E5374&lt;&gt;""),ABS(D5375-E5374),"")</f>
        <v/>
      </c>
    </row>
    <row r="5376">
      <c r="A5376" t="n">
        <v>5376</v>
      </c>
      <c r="B5376">
        <f>IF(INDEX('Data Entry'!$H$5:$BE$10004,5376-4,'Visual SPC'!$B$3)="",0,IF(AND(OR('Visual SPC'!$C$4="",'Data Entry'!$C5376&gt;='Visual SPC'!$C$4),OR('Visual SPC'!$E$4="",'Data Entry'!$C5376&lt;='Visual SPC'!$E$4),OR('Visual SPC'!$G$4="",'Data Entry'!$D5376='Visual SPC'!$G$4),OR('Visual SPC'!$I$4="",'Data Entry'!$E5376='Visual SPC'!$I$4),OR('Visual SPC'!$K$4="",'Data Entry'!$F5376='Visual SPC'!$K$4)),1,0))</f>
        <v/>
      </c>
      <c r="C5376">
        <f>C5375+B5376</f>
        <v/>
      </c>
      <c r="D5376">
        <f>IF(B5376=1,INDEX('Data Entry'!$H$5:$BE$10004,5376-4,'Visual SPC'!$B$3),"")</f>
        <v/>
      </c>
      <c r="E5376">
        <f>IF(B5376=1,D5376,E5375)</f>
        <v/>
      </c>
      <c r="F5376">
        <f>IF(AND(B5376=1,C5376&gt;1,E5375&lt;&gt;""),ABS(D5376-E5375),"")</f>
        <v/>
      </c>
    </row>
    <row r="5377">
      <c r="A5377" t="n">
        <v>5377</v>
      </c>
      <c r="B5377">
        <f>IF(INDEX('Data Entry'!$H$5:$BE$10004,5377-4,'Visual SPC'!$B$3)="",0,IF(AND(OR('Visual SPC'!$C$4="",'Data Entry'!$C5377&gt;='Visual SPC'!$C$4),OR('Visual SPC'!$E$4="",'Data Entry'!$C5377&lt;='Visual SPC'!$E$4),OR('Visual SPC'!$G$4="",'Data Entry'!$D5377='Visual SPC'!$G$4),OR('Visual SPC'!$I$4="",'Data Entry'!$E5377='Visual SPC'!$I$4),OR('Visual SPC'!$K$4="",'Data Entry'!$F5377='Visual SPC'!$K$4)),1,0))</f>
        <v/>
      </c>
      <c r="C5377">
        <f>C5376+B5377</f>
        <v/>
      </c>
      <c r="D5377">
        <f>IF(B5377=1,INDEX('Data Entry'!$H$5:$BE$10004,5377-4,'Visual SPC'!$B$3),"")</f>
        <v/>
      </c>
      <c r="E5377">
        <f>IF(B5377=1,D5377,E5376)</f>
        <v/>
      </c>
      <c r="F5377">
        <f>IF(AND(B5377=1,C5377&gt;1,E5376&lt;&gt;""),ABS(D5377-E5376),"")</f>
        <v/>
      </c>
    </row>
    <row r="5378">
      <c r="A5378" t="n">
        <v>5378</v>
      </c>
      <c r="B5378">
        <f>IF(INDEX('Data Entry'!$H$5:$BE$10004,5378-4,'Visual SPC'!$B$3)="",0,IF(AND(OR('Visual SPC'!$C$4="",'Data Entry'!$C5378&gt;='Visual SPC'!$C$4),OR('Visual SPC'!$E$4="",'Data Entry'!$C5378&lt;='Visual SPC'!$E$4),OR('Visual SPC'!$G$4="",'Data Entry'!$D5378='Visual SPC'!$G$4),OR('Visual SPC'!$I$4="",'Data Entry'!$E5378='Visual SPC'!$I$4),OR('Visual SPC'!$K$4="",'Data Entry'!$F5378='Visual SPC'!$K$4)),1,0))</f>
        <v/>
      </c>
      <c r="C5378">
        <f>C5377+B5378</f>
        <v/>
      </c>
      <c r="D5378">
        <f>IF(B5378=1,INDEX('Data Entry'!$H$5:$BE$10004,5378-4,'Visual SPC'!$B$3),"")</f>
        <v/>
      </c>
      <c r="E5378">
        <f>IF(B5378=1,D5378,E5377)</f>
        <v/>
      </c>
      <c r="F5378">
        <f>IF(AND(B5378=1,C5378&gt;1,E5377&lt;&gt;""),ABS(D5378-E5377),"")</f>
        <v/>
      </c>
    </row>
    <row r="5379">
      <c r="A5379" t="n">
        <v>5379</v>
      </c>
      <c r="B5379">
        <f>IF(INDEX('Data Entry'!$H$5:$BE$10004,5379-4,'Visual SPC'!$B$3)="",0,IF(AND(OR('Visual SPC'!$C$4="",'Data Entry'!$C5379&gt;='Visual SPC'!$C$4),OR('Visual SPC'!$E$4="",'Data Entry'!$C5379&lt;='Visual SPC'!$E$4),OR('Visual SPC'!$G$4="",'Data Entry'!$D5379='Visual SPC'!$G$4),OR('Visual SPC'!$I$4="",'Data Entry'!$E5379='Visual SPC'!$I$4),OR('Visual SPC'!$K$4="",'Data Entry'!$F5379='Visual SPC'!$K$4)),1,0))</f>
        <v/>
      </c>
      <c r="C5379">
        <f>C5378+B5379</f>
        <v/>
      </c>
      <c r="D5379">
        <f>IF(B5379=1,INDEX('Data Entry'!$H$5:$BE$10004,5379-4,'Visual SPC'!$B$3),"")</f>
        <v/>
      </c>
      <c r="E5379">
        <f>IF(B5379=1,D5379,E5378)</f>
        <v/>
      </c>
      <c r="F5379">
        <f>IF(AND(B5379=1,C5379&gt;1,E5378&lt;&gt;""),ABS(D5379-E5378),"")</f>
        <v/>
      </c>
    </row>
    <row r="5380">
      <c r="A5380" t="n">
        <v>5380</v>
      </c>
      <c r="B5380">
        <f>IF(INDEX('Data Entry'!$H$5:$BE$10004,5380-4,'Visual SPC'!$B$3)="",0,IF(AND(OR('Visual SPC'!$C$4="",'Data Entry'!$C5380&gt;='Visual SPC'!$C$4),OR('Visual SPC'!$E$4="",'Data Entry'!$C5380&lt;='Visual SPC'!$E$4),OR('Visual SPC'!$G$4="",'Data Entry'!$D5380='Visual SPC'!$G$4),OR('Visual SPC'!$I$4="",'Data Entry'!$E5380='Visual SPC'!$I$4),OR('Visual SPC'!$K$4="",'Data Entry'!$F5380='Visual SPC'!$K$4)),1,0))</f>
        <v/>
      </c>
      <c r="C5380">
        <f>C5379+B5380</f>
        <v/>
      </c>
      <c r="D5380">
        <f>IF(B5380=1,INDEX('Data Entry'!$H$5:$BE$10004,5380-4,'Visual SPC'!$B$3),"")</f>
        <v/>
      </c>
      <c r="E5380">
        <f>IF(B5380=1,D5380,E5379)</f>
        <v/>
      </c>
      <c r="F5380">
        <f>IF(AND(B5380=1,C5380&gt;1,E5379&lt;&gt;""),ABS(D5380-E5379),"")</f>
        <v/>
      </c>
    </row>
    <row r="5381">
      <c r="A5381" t="n">
        <v>5381</v>
      </c>
      <c r="B5381">
        <f>IF(INDEX('Data Entry'!$H$5:$BE$10004,5381-4,'Visual SPC'!$B$3)="",0,IF(AND(OR('Visual SPC'!$C$4="",'Data Entry'!$C5381&gt;='Visual SPC'!$C$4),OR('Visual SPC'!$E$4="",'Data Entry'!$C5381&lt;='Visual SPC'!$E$4),OR('Visual SPC'!$G$4="",'Data Entry'!$D5381='Visual SPC'!$G$4),OR('Visual SPC'!$I$4="",'Data Entry'!$E5381='Visual SPC'!$I$4),OR('Visual SPC'!$K$4="",'Data Entry'!$F5381='Visual SPC'!$K$4)),1,0))</f>
        <v/>
      </c>
      <c r="C5381">
        <f>C5380+B5381</f>
        <v/>
      </c>
      <c r="D5381">
        <f>IF(B5381=1,INDEX('Data Entry'!$H$5:$BE$10004,5381-4,'Visual SPC'!$B$3),"")</f>
        <v/>
      </c>
      <c r="E5381">
        <f>IF(B5381=1,D5381,E5380)</f>
        <v/>
      </c>
      <c r="F5381">
        <f>IF(AND(B5381=1,C5381&gt;1,E5380&lt;&gt;""),ABS(D5381-E5380),"")</f>
        <v/>
      </c>
    </row>
    <row r="5382">
      <c r="A5382" t="n">
        <v>5382</v>
      </c>
      <c r="B5382">
        <f>IF(INDEX('Data Entry'!$H$5:$BE$10004,5382-4,'Visual SPC'!$B$3)="",0,IF(AND(OR('Visual SPC'!$C$4="",'Data Entry'!$C5382&gt;='Visual SPC'!$C$4),OR('Visual SPC'!$E$4="",'Data Entry'!$C5382&lt;='Visual SPC'!$E$4),OR('Visual SPC'!$G$4="",'Data Entry'!$D5382='Visual SPC'!$G$4),OR('Visual SPC'!$I$4="",'Data Entry'!$E5382='Visual SPC'!$I$4),OR('Visual SPC'!$K$4="",'Data Entry'!$F5382='Visual SPC'!$K$4)),1,0))</f>
        <v/>
      </c>
      <c r="C5382">
        <f>C5381+B5382</f>
        <v/>
      </c>
      <c r="D5382">
        <f>IF(B5382=1,INDEX('Data Entry'!$H$5:$BE$10004,5382-4,'Visual SPC'!$B$3),"")</f>
        <v/>
      </c>
      <c r="E5382">
        <f>IF(B5382=1,D5382,E5381)</f>
        <v/>
      </c>
      <c r="F5382">
        <f>IF(AND(B5382=1,C5382&gt;1,E5381&lt;&gt;""),ABS(D5382-E5381),"")</f>
        <v/>
      </c>
    </row>
    <row r="5383">
      <c r="A5383" t="n">
        <v>5383</v>
      </c>
      <c r="B5383">
        <f>IF(INDEX('Data Entry'!$H$5:$BE$10004,5383-4,'Visual SPC'!$B$3)="",0,IF(AND(OR('Visual SPC'!$C$4="",'Data Entry'!$C5383&gt;='Visual SPC'!$C$4),OR('Visual SPC'!$E$4="",'Data Entry'!$C5383&lt;='Visual SPC'!$E$4),OR('Visual SPC'!$G$4="",'Data Entry'!$D5383='Visual SPC'!$G$4),OR('Visual SPC'!$I$4="",'Data Entry'!$E5383='Visual SPC'!$I$4),OR('Visual SPC'!$K$4="",'Data Entry'!$F5383='Visual SPC'!$K$4)),1,0))</f>
        <v/>
      </c>
      <c r="C5383">
        <f>C5382+B5383</f>
        <v/>
      </c>
      <c r="D5383">
        <f>IF(B5383=1,INDEX('Data Entry'!$H$5:$BE$10004,5383-4,'Visual SPC'!$B$3),"")</f>
        <v/>
      </c>
      <c r="E5383">
        <f>IF(B5383=1,D5383,E5382)</f>
        <v/>
      </c>
      <c r="F5383">
        <f>IF(AND(B5383=1,C5383&gt;1,E5382&lt;&gt;""),ABS(D5383-E5382),"")</f>
        <v/>
      </c>
    </row>
    <row r="5384">
      <c r="A5384" t="n">
        <v>5384</v>
      </c>
      <c r="B5384">
        <f>IF(INDEX('Data Entry'!$H$5:$BE$10004,5384-4,'Visual SPC'!$B$3)="",0,IF(AND(OR('Visual SPC'!$C$4="",'Data Entry'!$C5384&gt;='Visual SPC'!$C$4),OR('Visual SPC'!$E$4="",'Data Entry'!$C5384&lt;='Visual SPC'!$E$4),OR('Visual SPC'!$G$4="",'Data Entry'!$D5384='Visual SPC'!$G$4),OR('Visual SPC'!$I$4="",'Data Entry'!$E5384='Visual SPC'!$I$4),OR('Visual SPC'!$K$4="",'Data Entry'!$F5384='Visual SPC'!$K$4)),1,0))</f>
        <v/>
      </c>
      <c r="C5384">
        <f>C5383+B5384</f>
        <v/>
      </c>
      <c r="D5384">
        <f>IF(B5384=1,INDEX('Data Entry'!$H$5:$BE$10004,5384-4,'Visual SPC'!$B$3),"")</f>
        <v/>
      </c>
      <c r="E5384">
        <f>IF(B5384=1,D5384,E5383)</f>
        <v/>
      </c>
      <c r="F5384">
        <f>IF(AND(B5384=1,C5384&gt;1,E5383&lt;&gt;""),ABS(D5384-E5383),"")</f>
        <v/>
      </c>
    </row>
    <row r="5385">
      <c r="A5385" t="n">
        <v>5385</v>
      </c>
      <c r="B5385">
        <f>IF(INDEX('Data Entry'!$H$5:$BE$10004,5385-4,'Visual SPC'!$B$3)="",0,IF(AND(OR('Visual SPC'!$C$4="",'Data Entry'!$C5385&gt;='Visual SPC'!$C$4),OR('Visual SPC'!$E$4="",'Data Entry'!$C5385&lt;='Visual SPC'!$E$4),OR('Visual SPC'!$G$4="",'Data Entry'!$D5385='Visual SPC'!$G$4),OR('Visual SPC'!$I$4="",'Data Entry'!$E5385='Visual SPC'!$I$4),OR('Visual SPC'!$K$4="",'Data Entry'!$F5385='Visual SPC'!$K$4)),1,0))</f>
        <v/>
      </c>
      <c r="C5385">
        <f>C5384+B5385</f>
        <v/>
      </c>
      <c r="D5385">
        <f>IF(B5385=1,INDEX('Data Entry'!$H$5:$BE$10004,5385-4,'Visual SPC'!$B$3),"")</f>
        <v/>
      </c>
      <c r="E5385">
        <f>IF(B5385=1,D5385,E5384)</f>
        <v/>
      </c>
      <c r="F5385">
        <f>IF(AND(B5385=1,C5385&gt;1,E5384&lt;&gt;""),ABS(D5385-E5384),"")</f>
        <v/>
      </c>
    </row>
    <row r="5386">
      <c r="A5386" t="n">
        <v>5386</v>
      </c>
      <c r="B5386">
        <f>IF(INDEX('Data Entry'!$H$5:$BE$10004,5386-4,'Visual SPC'!$B$3)="",0,IF(AND(OR('Visual SPC'!$C$4="",'Data Entry'!$C5386&gt;='Visual SPC'!$C$4),OR('Visual SPC'!$E$4="",'Data Entry'!$C5386&lt;='Visual SPC'!$E$4),OR('Visual SPC'!$G$4="",'Data Entry'!$D5386='Visual SPC'!$G$4),OR('Visual SPC'!$I$4="",'Data Entry'!$E5386='Visual SPC'!$I$4),OR('Visual SPC'!$K$4="",'Data Entry'!$F5386='Visual SPC'!$K$4)),1,0))</f>
        <v/>
      </c>
      <c r="C5386">
        <f>C5385+B5386</f>
        <v/>
      </c>
      <c r="D5386">
        <f>IF(B5386=1,INDEX('Data Entry'!$H$5:$BE$10004,5386-4,'Visual SPC'!$B$3),"")</f>
        <v/>
      </c>
      <c r="E5386">
        <f>IF(B5386=1,D5386,E5385)</f>
        <v/>
      </c>
      <c r="F5386">
        <f>IF(AND(B5386=1,C5386&gt;1,E5385&lt;&gt;""),ABS(D5386-E5385),"")</f>
        <v/>
      </c>
    </row>
    <row r="5387">
      <c r="A5387" t="n">
        <v>5387</v>
      </c>
      <c r="B5387">
        <f>IF(INDEX('Data Entry'!$H$5:$BE$10004,5387-4,'Visual SPC'!$B$3)="",0,IF(AND(OR('Visual SPC'!$C$4="",'Data Entry'!$C5387&gt;='Visual SPC'!$C$4),OR('Visual SPC'!$E$4="",'Data Entry'!$C5387&lt;='Visual SPC'!$E$4),OR('Visual SPC'!$G$4="",'Data Entry'!$D5387='Visual SPC'!$G$4),OR('Visual SPC'!$I$4="",'Data Entry'!$E5387='Visual SPC'!$I$4),OR('Visual SPC'!$K$4="",'Data Entry'!$F5387='Visual SPC'!$K$4)),1,0))</f>
        <v/>
      </c>
      <c r="C5387">
        <f>C5386+B5387</f>
        <v/>
      </c>
      <c r="D5387">
        <f>IF(B5387=1,INDEX('Data Entry'!$H$5:$BE$10004,5387-4,'Visual SPC'!$B$3),"")</f>
        <v/>
      </c>
      <c r="E5387">
        <f>IF(B5387=1,D5387,E5386)</f>
        <v/>
      </c>
      <c r="F5387">
        <f>IF(AND(B5387=1,C5387&gt;1,E5386&lt;&gt;""),ABS(D5387-E5386),"")</f>
        <v/>
      </c>
    </row>
    <row r="5388">
      <c r="A5388" t="n">
        <v>5388</v>
      </c>
      <c r="B5388">
        <f>IF(INDEX('Data Entry'!$H$5:$BE$10004,5388-4,'Visual SPC'!$B$3)="",0,IF(AND(OR('Visual SPC'!$C$4="",'Data Entry'!$C5388&gt;='Visual SPC'!$C$4),OR('Visual SPC'!$E$4="",'Data Entry'!$C5388&lt;='Visual SPC'!$E$4),OR('Visual SPC'!$G$4="",'Data Entry'!$D5388='Visual SPC'!$G$4),OR('Visual SPC'!$I$4="",'Data Entry'!$E5388='Visual SPC'!$I$4),OR('Visual SPC'!$K$4="",'Data Entry'!$F5388='Visual SPC'!$K$4)),1,0))</f>
        <v/>
      </c>
      <c r="C5388">
        <f>C5387+B5388</f>
        <v/>
      </c>
      <c r="D5388">
        <f>IF(B5388=1,INDEX('Data Entry'!$H$5:$BE$10004,5388-4,'Visual SPC'!$B$3),"")</f>
        <v/>
      </c>
      <c r="E5388">
        <f>IF(B5388=1,D5388,E5387)</f>
        <v/>
      </c>
      <c r="F5388">
        <f>IF(AND(B5388=1,C5388&gt;1,E5387&lt;&gt;""),ABS(D5388-E5387),"")</f>
        <v/>
      </c>
    </row>
    <row r="5389">
      <c r="A5389" t="n">
        <v>5389</v>
      </c>
      <c r="B5389">
        <f>IF(INDEX('Data Entry'!$H$5:$BE$10004,5389-4,'Visual SPC'!$B$3)="",0,IF(AND(OR('Visual SPC'!$C$4="",'Data Entry'!$C5389&gt;='Visual SPC'!$C$4),OR('Visual SPC'!$E$4="",'Data Entry'!$C5389&lt;='Visual SPC'!$E$4),OR('Visual SPC'!$G$4="",'Data Entry'!$D5389='Visual SPC'!$G$4),OR('Visual SPC'!$I$4="",'Data Entry'!$E5389='Visual SPC'!$I$4),OR('Visual SPC'!$K$4="",'Data Entry'!$F5389='Visual SPC'!$K$4)),1,0))</f>
        <v/>
      </c>
      <c r="C5389">
        <f>C5388+B5389</f>
        <v/>
      </c>
      <c r="D5389">
        <f>IF(B5389=1,INDEX('Data Entry'!$H$5:$BE$10004,5389-4,'Visual SPC'!$B$3),"")</f>
        <v/>
      </c>
      <c r="E5389">
        <f>IF(B5389=1,D5389,E5388)</f>
        <v/>
      </c>
      <c r="F5389">
        <f>IF(AND(B5389=1,C5389&gt;1,E5388&lt;&gt;""),ABS(D5389-E5388),"")</f>
        <v/>
      </c>
    </row>
    <row r="5390">
      <c r="A5390" t="n">
        <v>5390</v>
      </c>
      <c r="B5390">
        <f>IF(INDEX('Data Entry'!$H$5:$BE$10004,5390-4,'Visual SPC'!$B$3)="",0,IF(AND(OR('Visual SPC'!$C$4="",'Data Entry'!$C5390&gt;='Visual SPC'!$C$4),OR('Visual SPC'!$E$4="",'Data Entry'!$C5390&lt;='Visual SPC'!$E$4),OR('Visual SPC'!$G$4="",'Data Entry'!$D5390='Visual SPC'!$G$4),OR('Visual SPC'!$I$4="",'Data Entry'!$E5390='Visual SPC'!$I$4),OR('Visual SPC'!$K$4="",'Data Entry'!$F5390='Visual SPC'!$K$4)),1,0))</f>
        <v/>
      </c>
      <c r="C5390">
        <f>C5389+B5390</f>
        <v/>
      </c>
      <c r="D5390">
        <f>IF(B5390=1,INDEX('Data Entry'!$H$5:$BE$10004,5390-4,'Visual SPC'!$B$3),"")</f>
        <v/>
      </c>
      <c r="E5390">
        <f>IF(B5390=1,D5390,E5389)</f>
        <v/>
      </c>
      <c r="F5390">
        <f>IF(AND(B5390=1,C5390&gt;1,E5389&lt;&gt;""),ABS(D5390-E5389),"")</f>
        <v/>
      </c>
    </row>
    <row r="5391">
      <c r="A5391" t="n">
        <v>5391</v>
      </c>
      <c r="B5391">
        <f>IF(INDEX('Data Entry'!$H$5:$BE$10004,5391-4,'Visual SPC'!$B$3)="",0,IF(AND(OR('Visual SPC'!$C$4="",'Data Entry'!$C5391&gt;='Visual SPC'!$C$4),OR('Visual SPC'!$E$4="",'Data Entry'!$C5391&lt;='Visual SPC'!$E$4),OR('Visual SPC'!$G$4="",'Data Entry'!$D5391='Visual SPC'!$G$4),OR('Visual SPC'!$I$4="",'Data Entry'!$E5391='Visual SPC'!$I$4),OR('Visual SPC'!$K$4="",'Data Entry'!$F5391='Visual SPC'!$K$4)),1,0))</f>
        <v/>
      </c>
      <c r="C5391">
        <f>C5390+B5391</f>
        <v/>
      </c>
      <c r="D5391">
        <f>IF(B5391=1,INDEX('Data Entry'!$H$5:$BE$10004,5391-4,'Visual SPC'!$B$3),"")</f>
        <v/>
      </c>
      <c r="E5391">
        <f>IF(B5391=1,D5391,E5390)</f>
        <v/>
      </c>
      <c r="F5391">
        <f>IF(AND(B5391=1,C5391&gt;1,E5390&lt;&gt;""),ABS(D5391-E5390),"")</f>
        <v/>
      </c>
    </row>
    <row r="5392">
      <c r="A5392" t="n">
        <v>5392</v>
      </c>
      <c r="B5392">
        <f>IF(INDEX('Data Entry'!$H$5:$BE$10004,5392-4,'Visual SPC'!$B$3)="",0,IF(AND(OR('Visual SPC'!$C$4="",'Data Entry'!$C5392&gt;='Visual SPC'!$C$4),OR('Visual SPC'!$E$4="",'Data Entry'!$C5392&lt;='Visual SPC'!$E$4),OR('Visual SPC'!$G$4="",'Data Entry'!$D5392='Visual SPC'!$G$4),OR('Visual SPC'!$I$4="",'Data Entry'!$E5392='Visual SPC'!$I$4),OR('Visual SPC'!$K$4="",'Data Entry'!$F5392='Visual SPC'!$K$4)),1,0))</f>
        <v/>
      </c>
      <c r="C5392">
        <f>C5391+B5392</f>
        <v/>
      </c>
      <c r="D5392">
        <f>IF(B5392=1,INDEX('Data Entry'!$H$5:$BE$10004,5392-4,'Visual SPC'!$B$3),"")</f>
        <v/>
      </c>
      <c r="E5392">
        <f>IF(B5392=1,D5392,E5391)</f>
        <v/>
      </c>
      <c r="F5392">
        <f>IF(AND(B5392=1,C5392&gt;1,E5391&lt;&gt;""),ABS(D5392-E5391),"")</f>
        <v/>
      </c>
    </row>
    <row r="5393">
      <c r="A5393" t="n">
        <v>5393</v>
      </c>
      <c r="B5393">
        <f>IF(INDEX('Data Entry'!$H$5:$BE$10004,5393-4,'Visual SPC'!$B$3)="",0,IF(AND(OR('Visual SPC'!$C$4="",'Data Entry'!$C5393&gt;='Visual SPC'!$C$4),OR('Visual SPC'!$E$4="",'Data Entry'!$C5393&lt;='Visual SPC'!$E$4),OR('Visual SPC'!$G$4="",'Data Entry'!$D5393='Visual SPC'!$G$4),OR('Visual SPC'!$I$4="",'Data Entry'!$E5393='Visual SPC'!$I$4),OR('Visual SPC'!$K$4="",'Data Entry'!$F5393='Visual SPC'!$K$4)),1,0))</f>
        <v/>
      </c>
      <c r="C5393">
        <f>C5392+B5393</f>
        <v/>
      </c>
      <c r="D5393">
        <f>IF(B5393=1,INDEX('Data Entry'!$H$5:$BE$10004,5393-4,'Visual SPC'!$B$3),"")</f>
        <v/>
      </c>
      <c r="E5393">
        <f>IF(B5393=1,D5393,E5392)</f>
        <v/>
      </c>
      <c r="F5393">
        <f>IF(AND(B5393=1,C5393&gt;1,E5392&lt;&gt;""),ABS(D5393-E5392),"")</f>
        <v/>
      </c>
    </row>
    <row r="5394">
      <c r="A5394" t="n">
        <v>5394</v>
      </c>
      <c r="B5394">
        <f>IF(INDEX('Data Entry'!$H$5:$BE$10004,5394-4,'Visual SPC'!$B$3)="",0,IF(AND(OR('Visual SPC'!$C$4="",'Data Entry'!$C5394&gt;='Visual SPC'!$C$4),OR('Visual SPC'!$E$4="",'Data Entry'!$C5394&lt;='Visual SPC'!$E$4),OR('Visual SPC'!$G$4="",'Data Entry'!$D5394='Visual SPC'!$G$4),OR('Visual SPC'!$I$4="",'Data Entry'!$E5394='Visual SPC'!$I$4),OR('Visual SPC'!$K$4="",'Data Entry'!$F5394='Visual SPC'!$K$4)),1,0))</f>
        <v/>
      </c>
      <c r="C5394">
        <f>C5393+B5394</f>
        <v/>
      </c>
      <c r="D5394">
        <f>IF(B5394=1,INDEX('Data Entry'!$H$5:$BE$10004,5394-4,'Visual SPC'!$B$3),"")</f>
        <v/>
      </c>
      <c r="E5394">
        <f>IF(B5394=1,D5394,E5393)</f>
        <v/>
      </c>
      <c r="F5394">
        <f>IF(AND(B5394=1,C5394&gt;1,E5393&lt;&gt;""),ABS(D5394-E5393),"")</f>
        <v/>
      </c>
    </row>
    <row r="5395">
      <c r="A5395" t="n">
        <v>5395</v>
      </c>
      <c r="B5395">
        <f>IF(INDEX('Data Entry'!$H$5:$BE$10004,5395-4,'Visual SPC'!$B$3)="",0,IF(AND(OR('Visual SPC'!$C$4="",'Data Entry'!$C5395&gt;='Visual SPC'!$C$4),OR('Visual SPC'!$E$4="",'Data Entry'!$C5395&lt;='Visual SPC'!$E$4),OR('Visual SPC'!$G$4="",'Data Entry'!$D5395='Visual SPC'!$G$4),OR('Visual SPC'!$I$4="",'Data Entry'!$E5395='Visual SPC'!$I$4),OR('Visual SPC'!$K$4="",'Data Entry'!$F5395='Visual SPC'!$K$4)),1,0))</f>
        <v/>
      </c>
      <c r="C5395">
        <f>C5394+B5395</f>
        <v/>
      </c>
      <c r="D5395">
        <f>IF(B5395=1,INDEX('Data Entry'!$H$5:$BE$10004,5395-4,'Visual SPC'!$B$3),"")</f>
        <v/>
      </c>
      <c r="E5395">
        <f>IF(B5395=1,D5395,E5394)</f>
        <v/>
      </c>
      <c r="F5395">
        <f>IF(AND(B5395=1,C5395&gt;1,E5394&lt;&gt;""),ABS(D5395-E5394),"")</f>
        <v/>
      </c>
    </row>
    <row r="5396">
      <c r="A5396" t="n">
        <v>5396</v>
      </c>
      <c r="B5396">
        <f>IF(INDEX('Data Entry'!$H$5:$BE$10004,5396-4,'Visual SPC'!$B$3)="",0,IF(AND(OR('Visual SPC'!$C$4="",'Data Entry'!$C5396&gt;='Visual SPC'!$C$4),OR('Visual SPC'!$E$4="",'Data Entry'!$C5396&lt;='Visual SPC'!$E$4),OR('Visual SPC'!$G$4="",'Data Entry'!$D5396='Visual SPC'!$G$4),OR('Visual SPC'!$I$4="",'Data Entry'!$E5396='Visual SPC'!$I$4),OR('Visual SPC'!$K$4="",'Data Entry'!$F5396='Visual SPC'!$K$4)),1,0))</f>
        <v/>
      </c>
      <c r="C5396">
        <f>C5395+B5396</f>
        <v/>
      </c>
      <c r="D5396">
        <f>IF(B5396=1,INDEX('Data Entry'!$H$5:$BE$10004,5396-4,'Visual SPC'!$B$3),"")</f>
        <v/>
      </c>
      <c r="E5396">
        <f>IF(B5396=1,D5396,E5395)</f>
        <v/>
      </c>
      <c r="F5396">
        <f>IF(AND(B5396=1,C5396&gt;1,E5395&lt;&gt;""),ABS(D5396-E5395),"")</f>
        <v/>
      </c>
    </row>
    <row r="5397">
      <c r="A5397" t="n">
        <v>5397</v>
      </c>
      <c r="B5397">
        <f>IF(INDEX('Data Entry'!$H$5:$BE$10004,5397-4,'Visual SPC'!$B$3)="",0,IF(AND(OR('Visual SPC'!$C$4="",'Data Entry'!$C5397&gt;='Visual SPC'!$C$4),OR('Visual SPC'!$E$4="",'Data Entry'!$C5397&lt;='Visual SPC'!$E$4),OR('Visual SPC'!$G$4="",'Data Entry'!$D5397='Visual SPC'!$G$4),OR('Visual SPC'!$I$4="",'Data Entry'!$E5397='Visual SPC'!$I$4),OR('Visual SPC'!$K$4="",'Data Entry'!$F5397='Visual SPC'!$K$4)),1,0))</f>
        <v/>
      </c>
      <c r="C5397">
        <f>C5396+B5397</f>
        <v/>
      </c>
      <c r="D5397">
        <f>IF(B5397=1,INDEX('Data Entry'!$H$5:$BE$10004,5397-4,'Visual SPC'!$B$3),"")</f>
        <v/>
      </c>
      <c r="E5397">
        <f>IF(B5397=1,D5397,E5396)</f>
        <v/>
      </c>
      <c r="F5397">
        <f>IF(AND(B5397=1,C5397&gt;1,E5396&lt;&gt;""),ABS(D5397-E5396),"")</f>
        <v/>
      </c>
    </row>
    <row r="5398">
      <c r="A5398" t="n">
        <v>5398</v>
      </c>
      <c r="B5398">
        <f>IF(INDEX('Data Entry'!$H$5:$BE$10004,5398-4,'Visual SPC'!$B$3)="",0,IF(AND(OR('Visual SPC'!$C$4="",'Data Entry'!$C5398&gt;='Visual SPC'!$C$4),OR('Visual SPC'!$E$4="",'Data Entry'!$C5398&lt;='Visual SPC'!$E$4),OR('Visual SPC'!$G$4="",'Data Entry'!$D5398='Visual SPC'!$G$4),OR('Visual SPC'!$I$4="",'Data Entry'!$E5398='Visual SPC'!$I$4),OR('Visual SPC'!$K$4="",'Data Entry'!$F5398='Visual SPC'!$K$4)),1,0))</f>
        <v/>
      </c>
      <c r="C5398">
        <f>C5397+B5398</f>
        <v/>
      </c>
      <c r="D5398">
        <f>IF(B5398=1,INDEX('Data Entry'!$H$5:$BE$10004,5398-4,'Visual SPC'!$B$3),"")</f>
        <v/>
      </c>
      <c r="E5398">
        <f>IF(B5398=1,D5398,E5397)</f>
        <v/>
      </c>
      <c r="F5398">
        <f>IF(AND(B5398=1,C5398&gt;1,E5397&lt;&gt;""),ABS(D5398-E5397),"")</f>
        <v/>
      </c>
    </row>
    <row r="5399">
      <c r="A5399" t="n">
        <v>5399</v>
      </c>
      <c r="B5399">
        <f>IF(INDEX('Data Entry'!$H$5:$BE$10004,5399-4,'Visual SPC'!$B$3)="",0,IF(AND(OR('Visual SPC'!$C$4="",'Data Entry'!$C5399&gt;='Visual SPC'!$C$4),OR('Visual SPC'!$E$4="",'Data Entry'!$C5399&lt;='Visual SPC'!$E$4),OR('Visual SPC'!$G$4="",'Data Entry'!$D5399='Visual SPC'!$G$4),OR('Visual SPC'!$I$4="",'Data Entry'!$E5399='Visual SPC'!$I$4),OR('Visual SPC'!$K$4="",'Data Entry'!$F5399='Visual SPC'!$K$4)),1,0))</f>
        <v/>
      </c>
      <c r="C5399">
        <f>C5398+B5399</f>
        <v/>
      </c>
      <c r="D5399">
        <f>IF(B5399=1,INDEX('Data Entry'!$H$5:$BE$10004,5399-4,'Visual SPC'!$B$3),"")</f>
        <v/>
      </c>
      <c r="E5399">
        <f>IF(B5399=1,D5399,E5398)</f>
        <v/>
      </c>
      <c r="F5399">
        <f>IF(AND(B5399=1,C5399&gt;1,E5398&lt;&gt;""),ABS(D5399-E5398),"")</f>
        <v/>
      </c>
    </row>
    <row r="5400">
      <c r="A5400" t="n">
        <v>5400</v>
      </c>
      <c r="B5400">
        <f>IF(INDEX('Data Entry'!$H$5:$BE$10004,5400-4,'Visual SPC'!$B$3)="",0,IF(AND(OR('Visual SPC'!$C$4="",'Data Entry'!$C5400&gt;='Visual SPC'!$C$4),OR('Visual SPC'!$E$4="",'Data Entry'!$C5400&lt;='Visual SPC'!$E$4),OR('Visual SPC'!$G$4="",'Data Entry'!$D5400='Visual SPC'!$G$4),OR('Visual SPC'!$I$4="",'Data Entry'!$E5400='Visual SPC'!$I$4),OR('Visual SPC'!$K$4="",'Data Entry'!$F5400='Visual SPC'!$K$4)),1,0))</f>
        <v/>
      </c>
      <c r="C5400">
        <f>C5399+B5400</f>
        <v/>
      </c>
      <c r="D5400">
        <f>IF(B5400=1,INDEX('Data Entry'!$H$5:$BE$10004,5400-4,'Visual SPC'!$B$3),"")</f>
        <v/>
      </c>
      <c r="E5400">
        <f>IF(B5400=1,D5400,E5399)</f>
        <v/>
      </c>
      <c r="F5400">
        <f>IF(AND(B5400=1,C5400&gt;1,E5399&lt;&gt;""),ABS(D5400-E5399),"")</f>
        <v/>
      </c>
    </row>
    <row r="5401">
      <c r="A5401" t="n">
        <v>5401</v>
      </c>
      <c r="B5401">
        <f>IF(INDEX('Data Entry'!$H$5:$BE$10004,5401-4,'Visual SPC'!$B$3)="",0,IF(AND(OR('Visual SPC'!$C$4="",'Data Entry'!$C5401&gt;='Visual SPC'!$C$4),OR('Visual SPC'!$E$4="",'Data Entry'!$C5401&lt;='Visual SPC'!$E$4),OR('Visual SPC'!$G$4="",'Data Entry'!$D5401='Visual SPC'!$G$4),OR('Visual SPC'!$I$4="",'Data Entry'!$E5401='Visual SPC'!$I$4),OR('Visual SPC'!$K$4="",'Data Entry'!$F5401='Visual SPC'!$K$4)),1,0))</f>
        <v/>
      </c>
      <c r="C5401">
        <f>C5400+B5401</f>
        <v/>
      </c>
      <c r="D5401">
        <f>IF(B5401=1,INDEX('Data Entry'!$H$5:$BE$10004,5401-4,'Visual SPC'!$B$3),"")</f>
        <v/>
      </c>
      <c r="E5401">
        <f>IF(B5401=1,D5401,E5400)</f>
        <v/>
      </c>
      <c r="F5401">
        <f>IF(AND(B5401=1,C5401&gt;1,E5400&lt;&gt;""),ABS(D5401-E5400),"")</f>
        <v/>
      </c>
    </row>
    <row r="5402">
      <c r="A5402" t="n">
        <v>5402</v>
      </c>
      <c r="B5402">
        <f>IF(INDEX('Data Entry'!$H$5:$BE$10004,5402-4,'Visual SPC'!$B$3)="",0,IF(AND(OR('Visual SPC'!$C$4="",'Data Entry'!$C5402&gt;='Visual SPC'!$C$4),OR('Visual SPC'!$E$4="",'Data Entry'!$C5402&lt;='Visual SPC'!$E$4),OR('Visual SPC'!$G$4="",'Data Entry'!$D5402='Visual SPC'!$G$4),OR('Visual SPC'!$I$4="",'Data Entry'!$E5402='Visual SPC'!$I$4),OR('Visual SPC'!$K$4="",'Data Entry'!$F5402='Visual SPC'!$K$4)),1,0))</f>
        <v/>
      </c>
      <c r="C5402">
        <f>C5401+B5402</f>
        <v/>
      </c>
      <c r="D5402">
        <f>IF(B5402=1,INDEX('Data Entry'!$H$5:$BE$10004,5402-4,'Visual SPC'!$B$3),"")</f>
        <v/>
      </c>
      <c r="E5402">
        <f>IF(B5402=1,D5402,E5401)</f>
        <v/>
      </c>
      <c r="F5402">
        <f>IF(AND(B5402=1,C5402&gt;1,E5401&lt;&gt;""),ABS(D5402-E5401),"")</f>
        <v/>
      </c>
    </row>
    <row r="5403">
      <c r="A5403" t="n">
        <v>5403</v>
      </c>
      <c r="B5403">
        <f>IF(INDEX('Data Entry'!$H$5:$BE$10004,5403-4,'Visual SPC'!$B$3)="",0,IF(AND(OR('Visual SPC'!$C$4="",'Data Entry'!$C5403&gt;='Visual SPC'!$C$4),OR('Visual SPC'!$E$4="",'Data Entry'!$C5403&lt;='Visual SPC'!$E$4),OR('Visual SPC'!$G$4="",'Data Entry'!$D5403='Visual SPC'!$G$4),OR('Visual SPC'!$I$4="",'Data Entry'!$E5403='Visual SPC'!$I$4),OR('Visual SPC'!$K$4="",'Data Entry'!$F5403='Visual SPC'!$K$4)),1,0))</f>
        <v/>
      </c>
      <c r="C5403">
        <f>C5402+B5403</f>
        <v/>
      </c>
      <c r="D5403">
        <f>IF(B5403=1,INDEX('Data Entry'!$H$5:$BE$10004,5403-4,'Visual SPC'!$B$3),"")</f>
        <v/>
      </c>
      <c r="E5403">
        <f>IF(B5403=1,D5403,E5402)</f>
        <v/>
      </c>
      <c r="F5403">
        <f>IF(AND(B5403=1,C5403&gt;1,E5402&lt;&gt;""),ABS(D5403-E5402),"")</f>
        <v/>
      </c>
    </row>
    <row r="5404">
      <c r="A5404" t="n">
        <v>5404</v>
      </c>
      <c r="B5404">
        <f>IF(INDEX('Data Entry'!$H$5:$BE$10004,5404-4,'Visual SPC'!$B$3)="",0,IF(AND(OR('Visual SPC'!$C$4="",'Data Entry'!$C5404&gt;='Visual SPC'!$C$4),OR('Visual SPC'!$E$4="",'Data Entry'!$C5404&lt;='Visual SPC'!$E$4),OR('Visual SPC'!$G$4="",'Data Entry'!$D5404='Visual SPC'!$G$4),OR('Visual SPC'!$I$4="",'Data Entry'!$E5404='Visual SPC'!$I$4),OR('Visual SPC'!$K$4="",'Data Entry'!$F5404='Visual SPC'!$K$4)),1,0))</f>
        <v/>
      </c>
      <c r="C5404">
        <f>C5403+B5404</f>
        <v/>
      </c>
      <c r="D5404">
        <f>IF(B5404=1,INDEX('Data Entry'!$H$5:$BE$10004,5404-4,'Visual SPC'!$B$3),"")</f>
        <v/>
      </c>
      <c r="E5404">
        <f>IF(B5404=1,D5404,E5403)</f>
        <v/>
      </c>
      <c r="F5404">
        <f>IF(AND(B5404=1,C5404&gt;1,E5403&lt;&gt;""),ABS(D5404-E5403),"")</f>
        <v/>
      </c>
    </row>
    <row r="5405">
      <c r="A5405" t="n">
        <v>5405</v>
      </c>
      <c r="B5405">
        <f>IF(INDEX('Data Entry'!$H$5:$BE$10004,5405-4,'Visual SPC'!$B$3)="",0,IF(AND(OR('Visual SPC'!$C$4="",'Data Entry'!$C5405&gt;='Visual SPC'!$C$4),OR('Visual SPC'!$E$4="",'Data Entry'!$C5405&lt;='Visual SPC'!$E$4),OR('Visual SPC'!$G$4="",'Data Entry'!$D5405='Visual SPC'!$G$4),OR('Visual SPC'!$I$4="",'Data Entry'!$E5405='Visual SPC'!$I$4),OR('Visual SPC'!$K$4="",'Data Entry'!$F5405='Visual SPC'!$K$4)),1,0))</f>
        <v/>
      </c>
      <c r="C5405">
        <f>C5404+B5405</f>
        <v/>
      </c>
      <c r="D5405">
        <f>IF(B5405=1,INDEX('Data Entry'!$H$5:$BE$10004,5405-4,'Visual SPC'!$B$3),"")</f>
        <v/>
      </c>
      <c r="E5405">
        <f>IF(B5405=1,D5405,E5404)</f>
        <v/>
      </c>
      <c r="F5405">
        <f>IF(AND(B5405=1,C5405&gt;1,E5404&lt;&gt;""),ABS(D5405-E5404),"")</f>
        <v/>
      </c>
    </row>
    <row r="5406">
      <c r="A5406" t="n">
        <v>5406</v>
      </c>
      <c r="B5406">
        <f>IF(INDEX('Data Entry'!$H$5:$BE$10004,5406-4,'Visual SPC'!$B$3)="",0,IF(AND(OR('Visual SPC'!$C$4="",'Data Entry'!$C5406&gt;='Visual SPC'!$C$4),OR('Visual SPC'!$E$4="",'Data Entry'!$C5406&lt;='Visual SPC'!$E$4),OR('Visual SPC'!$G$4="",'Data Entry'!$D5406='Visual SPC'!$G$4),OR('Visual SPC'!$I$4="",'Data Entry'!$E5406='Visual SPC'!$I$4),OR('Visual SPC'!$K$4="",'Data Entry'!$F5406='Visual SPC'!$K$4)),1,0))</f>
        <v/>
      </c>
      <c r="C5406">
        <f>C5405+B5406</f>
        <v/>
      </c>
      <c r="D5406">
        <f>IF(B5406=1,INDEX('Data Entry'!$H$5:$BE$10004,5406-4,'Visual SPC'!$B$3),"")</f>
        <v/>
      </c>
      <c r="E5406">
        <f>IF(B5406=1,D5406,E5405)</f>
        <v/>
      </c>
      <c r="F5406">
        <f>IF(AND(B5406=1,C5406&gt;1,E5405&lt;&gt;""),ABS(D5406-E5405),"")</f>
        <v/>
      </c>
    </row>
    <row r="5407">
      <c r="A5407" t="n">
        <v>5407</v>
      </c>
      <c r="B5407">
        <f>IF(INDEX('Data Entry'!$H$5:$BE$10004,5407-4,'Visual SPC'!$B$3)="",0,IF(AND(OR('Visual SPC'!$C$4="",'Data Entry'!$C5407&gt;='Visual SPC'!$C$4),OR('Visual SPC'!$E$4="",'Data Entry'!$C5407&lt;='Visual SPC'!$E$4),OR('Visual SPC'!$G$4="",'Data Entry'!$D5407='Visual SPC'!$G$4),OR('Visual SPC'!$I$4="",'Data Entry'!$E5407='Visual SPC'!$I$4),OR('Visual SPC'!$K$4="",'Data Entry'!$F5407='Visual SPC'!$K$4)),1,0))</f>
        <v/>
      </c>
      <c r="C5407">
        <f>C5406+B5407</f>
        <v/>
      </c>
      <c r="D5407">
        <f>IF(B5407=1,INDEX('Data Entry'!$H$5:$BE$10004,5407-4,'Visual SPC'!$B$3),"")</f>
        <v/>
      </c>
      <c r="E5407">
        <f>IF(B5407=1,D5407,E5406)</f>
        <v/>
      </c>
      <c r="F5407">
        <f>IF(AND(B5407=1,C5407&gt;1,E5406&lt;&gt;""),ABS(D5407-E5406),"")</f>
        <v/>
      </c>
    </row>
    <row r="5408">
      <c r="A5408" t="n">
        <v>5408</v>
      </c>
      <c r="B5408">
        <f>IF(INDEX('Data Entry'!$H$5:$BE$10004,5408-4,'Visual SPC'!$B$3)="",0,IF(AND(OR('Visual SPC'!$C$4="",'Data Entry'!$C5408&gt;='Visual SPC'!$C$4),OR('Visual SPC'!$E$4="",'Data Entry'!$C5408&lt;='Visual SPC'!$E$4),OR('Visual SPC'!$G$4="",'Data Entry'!$D5408='Visual SPC'!$G$4),OR('Visual SPC'!$I$4="",'Data Entry'!$E5408='Visual SPC'!$I$4),OR('Visual SPC'!$K$4="",'Data Entry'!$F5408='Visual SPC'!$K$4)),1,0))</f>
        <v/>
      </c>
      <c r="C5408">
        <f>C5407+B5408</f>
        <v/>
      </c>
      <c r="D5408">
        <f>IF(B5408=1,INDEX('Data Entry'!$H$5:$BE$10004,5408-4,'Visual SPC'!$B$3),"")</f>
        <v/>
      </c>
      <c r="E5408">
        <f>IF(B5408=1,D5408,E5407)</f>
        <v/>
      </c>
      <c r="F5408">
        <f>IF(AND(B5408=1,C5408&gt;1,E5407&lt;&gt;""),ABS(D5408-E5407),"")</f>
        <v/>
      </c>
    </row>
    <row r="5409">
      <c r="A5409" t="n">
        <v>5409</v>
      </c>
      <c r="B5409">
        <f>IF(INDEX('Data Entry'!$H$5:$BE$10004,5409-4,'Visual SPC'!$B$3)="",0,IF(AND(OR('Visual SPC'!$C$4="",'Data Entry'!$C5409&gt;='Visual SPC'!$C$4),OR('Visual SPC'!$E$4="",'Data Entry'!$C5409&lt;='Visual SPC'!$E$4),OR('Visual SPC'!$G$4="",'Data Entry'!$D5409='Visual SPC'!$G$4),OR('Visual SPC'!$I$4="",'Data Entry'!$E5409='Visual SPC'!$I$4),OR('Visual SPC'!$K$4="",'Data Entry'!$F5409='Visual SPC'!$K$4)),1,0))</f>
        <v/>
      </c>
      <c r="C5409">
        <f>C5408+B5409</f>
        <v/>
      </c>
      <c r="D5409">
        <f>IF(B5409=1,INDEX('Data Entry'!$H$5:$BE$10004,5409-4,'Visual SPC'!$B$3),"")</f>
        <v/>
      </c>
      <c r="E5409">
        <f>IF(B5409=1,D5409,E5408)</f>
        <v/>
      </c>
      <c r="F5409">
        <f>IF(AND(B5409=1,C5409&gt;1,E5408&lt;&gt;""),ABS(D5409-E5408),"")</f>
        <v/>
      </c>
    </row>
    <row r="5410">
      <c r="A5410" t="n">
        <v>5410</v>
      </c>
      <c r="B5410">
        <f>IF(INDEX('Data Entry'!$H$5:$BE$10004,5410-4,'Visual SPC'!$B$3)="",0,IF(AND(OR('Visual SPC'!$C$4="",'Data Entry'!$C5410&gt;='Visual SPC'!$C$4),OR('Visual SPC'!$E$4="",'Data Entry'!$C5410&lt;='Visual SPC'!$E$4),OR('Visual SPC'!$G$4="",'Data Entry'!$D5410='Visual SPC'!$G$4),OR('Visual SPC'!$I$4="",'Data Entry'!$E5410='Visual SPC'!$I$4),OR('Visual SPC'!$K$4="",'Data Entry'!$F5410='Visual SPC'!$K$4)),1,0))</f>
        <v/>
      </c>
      <c r="C5410">
        <f>C5409+B5410</f>
        <v/>
      </c>
      <c r="D5410">
        <f>IF(B5410=1,INDEX('Data Entry'!$H$5:$BE$10004,5410-4,'Visual SPC'!$B$3),"")</f>
        <v/>
      </c>
      <c r="E5410">
        <f>IF(B5410=1,D5410,E5409)</f>
        <v/>
      </c>
      <c r="F5410">
        <f>IF(AND(B5410=1,C5410&gt;1,E5409&lt;&gt;""),ABS(D5410-E5409),"")</f>
        <v/>
      </c>
    </row>
    <row r="5411">
      <c r="A5411" t="n">
        <v>5411</v>
      </c>
      <c r="B5411">
        <f>IF(INDEX('Data Entry'!$H$5:$BE$10004,5411-4,'Visual SPC'!$B$3)="",0,IF(AND(OR('Visual SPC'!$C$4="",'Data Entry'!$C5411&gt;='Visual SPC'!$C$4),OR('Visual SPC'!$E$4="",'Data Entry'!$C5411&lt;='Visual SPC'!$E$4),OR('Visual SPC'!$G$4="",'Data Entry'!$D5411='Visual SPC'!$G$4),OR('Visual SPC'!$I$4="",'Data Entry'!$E5411='Visual SPC'!$I$4),OR('Visual SPC'!$K$4="",'Data Entry'!$F5411='Visual SPC'!$K$4)),1,0))</f>
        <v/>
      </c>
      <c r="C5411">
        <f>C5410+B5411</f>
        <v/>
      </c>
      <c r="D5411">
        <f>IF(B5411=1,INDEX('Data Entry'!$H$5:$BE$10004,5411-4,'Visual SPC'!$B$3),"")</f>
        <v/>
      </c>
      <c r="E5411">
        <f>IF(B5411=1,D5411,E5410)</f>
        <v/>
      </c>
      <c r="F5411">
        <f>IF(AND(B5411=1,C5411&gt;1,E5410&lt;&gt;""),ABS(D5411-E5410),"")</f>
        <v/>
      </c>
    </row>
    <row r="5412">
      <c r="A5412" t="n">
        <v>5412</v>
      </c>
      <c r="B5412">
        <f>IF(INDEX('Data Entry'!$H$5:$BE$10004,5412-4,'Visual SPC'!$B$3)="",0,IF(AND(OR('Visual SPC'!$C$4="",'Data Entry'!$C5412&gt;='Visual SPC'!$C$4),OR('Visual SPC'!$E$4="",'Data Entry'!$C5412&lt;='Visual SPC'!$E$4),OR('Visual SPC'!$G$4="",'Data Entry'!$D5412='Visual SPC'!$G$4),OR('Visual SPC'!$I$4="",'Data Entry'!$E5412='Visual SPC'!$I$4),OR('Visual SPC'!$K$4="",'Data Entry'!$F5412='Visual SPC'!$K$4)),1,0))</f>
        <v/>
      </c>
      <c r="C5412">
        <f>C5411+B5412</f>
        <v/>
      </c>
      <c r="D5412">
        <f>IF(B5412=1,INDEX('Data Entry'!$H$5:$BE$10004,5412-4,'Visual SPC'!$B$3),"")</f>
        <v/>
      </c>
      <c r="E5412">
        <f>IF(B5412=1,D5412,E5411)</f>
        <v/>
      </c>
      <c r="F5412">
        <f>IF(AND(B5412=1,C5412&gt;1,E5411&lt;&gt;""),ABS(D5412-E5411),"")</f>
        <v/>
      </c>
    </row>
    <row r="5413">
      <c r="A5413" t="n">
        <v>5413</v>
      </c>
      <c r="B5413">
        <f>IF(INDEX('Data Entry'!$H$5:$BE$10004,5413-4,'Visual SPC'!$B$3)="",0,IF(AND(OR('Visual SPC'!$C$4="",'Data Entry'!$C5413&gt;='Visual SPC'!$C$4),OR('Visual SPC'!$E$4="",'Data Entry'!$C5413&lt;='Visual SPC'!$E$4),OR('Visual SPC'!$G$4="",'Data Entry'!$D5413='Visual SPC'!$G$4),OR('Visual SPC'!$I$4="",'Data Entry'!$E5413='Visual SPC'!$I$4),OR('Visual SPC'!$K$4="",'Data Entry'!$F5413='Visual SPC'!$K$4)),1,0))</f>
        <v/>
      </c>
      <c r="C5413">
        <f>C5412+B5413</f>
        <v/>
      </c>
      <c r="D5413">
        <f>IF(B5413=1,INDEX('Data Entry'!$H$5:$BE$10004,5413-4,'Visual SPC'!$B$3),"")</f>
        <v/>
      </c>
      <c r="E5413">
        <f>IF(B5413=1,D5413,E5412)</f>
        <v/>
      </c>
      <c r="F5413">
        <f>IF(AND(B5413=1,C5413&gt;1,E5412&lt;&gt;""),ABS(D5413-E5412),"")</f>
        <v/>
      </c>
    </row>
    <row r="5414">
      <c r="A5414" t="n">
        <v>5414</v>
      </c>
      <c r="B5414">
        <f>IF(INDEX('Data Entry'!$H$5:$BE$10004,5414-4,'Visual SPC'!$B$3)="",0,IF(AND(OR('Visual SPC'!$C$4="",'Data Entry'!$C5414&gt;='Visual SPC'!$C$4),OR('Visual SPC'!$E$4="",'Data Entry'!$C5414&lt;='Visual SPC'!$E$4),OR('Visual SPC'!$G$4="",'Data Entry'!$D5414='Visual SPC'!$G$4),OR('Visual SPC'!$I$4="",'Data Entry'!$E5414='Visual SPC'!$I$4),OR('Visual SPC'!$K$4="",'Data Entry'!$F5414='Visual SPC'!$K$4)),1,0))</f>
        <v/>
      </c>
      <c r="C5414">
        <f>C5413+B5414</f>
        <v/>
      </c>
      <c r="D5414">
        <f>IF(B5414=1,INDEX('Data Entry'!$H$5:$BE$10004,5414-4,'Visual SPC'!$B$3),"")</f>
        <v/>
      </c>
      <c r="E5414">
        <f>IF(B5414=1,D5414,E5413)</f>
        <v/>
      </c>
      <c r="F5414">
        <f>IF(AND(B5414=1,C5414&gt;1,E5413&lt;&gt;""),ABS(D5414-E5413),"")</f>
        <v/>
      </c>
    </row>
    <row r="5415">
      <c r="A5415" t="n">
        <v>5415</v>
      </c>
      <c r="B5415">
        <f>IF(INDEX('Data Entry'!$H$5:$BE$10004,5415-4,'Visual SPC'!$B$3)="",0,IF(AND(OR('Visual SPC'!$C$4="",'Data Entry'!$C5415&gt;='Visual SPC'!$C$4),OR('Visual SPC'!$E$4="",'Data Entry'!$C5415&lt;='Visual SPC'!$E$4),OR('Visual SPC'!$G$4="",'Data Entry'!$D5415='Visual SPC'!$G$4),OR('Visual SPC'!$I$4="",'Data Entry'!$E5415='Visual SPC'!$I$4),OR('Visual SPC'!$K$4="",'Data Entry'!$F5415='Visual SPC'!$K$4)),1,0))</f>
        <v/>
      </c>
      <c r="C5415">
        <f>C5414+B5415</f>
        <v/>
      </c>
      <c r="D5415">
        <f>IF(B5415=1,INDEX('Data Entry'!$H$5:$BE$10004,5415-4,'Visual SPC'!$B$3),"")</f>
        <v/>
      </c>
      <c r="E5415">
        <f>IF(B5415=1,D5415,E5414)</f>
        <v/>
      </c>
      <c r="F5415">
        <f>IF(AND(B5415=1,C5415&gt;1,E5414&lt;&gt;""),ABS(D5415-E5414),"")</f>
        <v/>
      </c>
    </row>
    <row r="5416">
      <c r="A5416" t="n">
        <v>5416</v>
      </c>
      <c r="B5416">
        <f>IF(INDEX('Data Entry'!$H$5:$BE$10004,5416-4,'Visual SPC'!$B$3)="",0,IF(AND(OR('Visual SPC'!$C$4="",'Data Entry'!$C5416&gt;='Visual SPC'!$C$4),OR('Visual SPC'!$E$4="",'Data Entry'!$C5416&lt;='Visual SPC'!$E$4),OR('Visual SPC'!$G$4="",'Data Entry'!$D5416='Visual SPC'!$G$4),OR('Visual SPC'!$I$4="",'Data Entry'!$E5416='Visual SPC'!$I$4),OR('Visual SPC'!$K$4="",'Data Entry'!$F5416='Visual SPC'!$K$4)),1,0))</f>
        <v/>
      </c>
      <c r="C5416">
        <f>C5415+B5416</f>
        <v/>
      </c>
      <c r="D5416">
        <f>IF(B5416=1,INDEX('Data Entry'!$H$5:$BE$10004,5416-4,'Visual SPC'!$B$3),"")</f>
        <v/>
      </c>
      <c r="E5416">
        <f>IF(B5416=1,D5416,E5415)</f>
        <v/>
      </c>
      <c r="F5416">
        <f>IF(AND(B5416=1,C5416&gt;1,E5415&lt;&gt;""),ABS(D5416-E5415),"")</f>
        <v/>
      </c>
    </row>
    <row r="5417">
      <c r="A5417" t="n">
        <v>5417</v>
      </c>
      <c r="B5417">
        <f>IF(INDEX('Data Entry'!$H$5:$BE$10004,5417-4,'Visual SPC'!$B$3)="",0,IF(AND(OR('Visual SPC'!$C$4="",'Data Entry'!$C5417&gt;='Visual SPC'!$C$4),OR('Visual SPC'!$E$4="",'Data Entry'!$C5417&lt;='Visual SPC'!$E$4),OR('Visual SPC'!$G$4="",'Data Entry'!$D5417='Visual SPC'!$G$4),OR('Visual SPC'!$I$4="",'Data Entry'!$E5417='Visual SPC'!$I$4),OR('Visual SPC'!$K$4="",'Data Entry'!$F5417='Visual SPC'!$K$4)),1,0))</f>
        <v/>
      </c>
      <c r="C5417">
        <f>C5416+B5417</f>
        <v/>
      </c>
      <c r="D5417">
        <f>IF(B5417=1,INDEX('Data Entry'!$H$5:$BE$10004,5417-4,'Visual SPC'!$B$3),"")</f>
        <v/>
      </c>
      <c r="E5417">
        <f>IF(B5417=1,D5417,E5416)</f>
        <v/>
      </c>
      <c r="F5417">
        <f>IF(AND(B5417=1,C5417&gt;1,E5416&lt;&gt;""),ABS(D5417-E5416),"")</f>
        <v/>
      </c>
    </row>
    <row r="5418">
      <c r="A5418" t="n">
        <v>5418</v>
      </c>
      <c r="B5418">
        <f>IF(INDEX('Data Entry'!$H$5:$BE$10004,5418-4,'Visual SPC'!$B$3)="",0,IF(AND(OR('Visual SPC'!$C$4="",'Data Entry'!$C5418&gt;='Visual SPC'!$C$4),OR('Visual SPC'!$E$4="",'Data Entry'!$C5418&lt;='Visual SPC'!$E$4),OR('Visual SPC'!$G$4="",'Data Entry'!$D5418='Visual SPC'!$G$4),OR('Visual SPC'!$I$4="",'Data Entry'!$E5418='Visual SPC'!$I$4),OR('Visual SPC'!$K$4="",'Data Entry'!$F5418='Visual SPC'!$K$4)),1,0))</f>
        <v/>
      </c>
      <c r="C5418">
        <f>C5417+B5418</f>
        <v/>
      </c>
      <c r="D5418">
        <f>IF(B5418=1,INDEX('Data Entry'!$H$5:$BE$10004,5418-4,'Visual SPC'!$B$3),"")</f>
        <v/>
      </c>
      <c r="E5418">
        <f>IF(B5418=1,D5418,E5417)</f>
        <v/>
      </c>
      <c r="F5418">
        <f>IF(AND(B5418=1,C5418&gt;1,E5417&lt;&gt;""),ABS(D5418-E5417),"")</f>
        <v/>
      </c>
    </row>
    <row r="5419">
      <c r="A5419" t="n">
        <v>5419</v>
      </c>
      <c r="B5419">
        <f>IF(INDEX('Data Entry'!$H$5:$BE$10004,5419-4,'Visual SPC'!$B$3)="",0,IF(AND(OR('Visual SPC'!$C$4="",'Data Entry'!$C5419&gt;='Visual SPC'!$C$4),OR('Visual SPC'!$E$4="",'Data Entry'!$C5419&lt;='Visual SPC'!$E$4),OR('Visual SPC'!$G$4="",'Data Entry'!$D5419='Visual SPC'!$G$4),OR('Visual SPC'!$I$4="",'Data Entry'!$E5419='Visual SPC'!$I$4),OR('Visual SPC'!$K$4="",'Data Entry'!$F5419='Visual SPC'!$K$4)),1,0))</f>
        <v/>
      </c>
      <c r="C5419">
        <f>C5418+B5419</f>
        <v/>
      </c>
      <c r="D5419">
        <f>IF(B5419=1,INDEX('Data Entry'!$H$5:$BE$10004,5419-4,'Visual SPC'!$B$3),"")</f>
        <v/>
      </c>
      <c r="E5419">
        <f>IF(B5419=1,D5419,E5418)</f>
        <v/>
      </c>
      <c r="F5419">
        <f>IF(AND(B5419=1,C5419&gt;1,E5418&lt;&gt;""),ABS(D5419-E5418),"")</f>
        <v/>
      </c>
    </row>
    <row r="5420">
      <c r="A5420" t="n">
        <v>5420</v>
      </c>
      <c r="B5420">
        <f>IF(INDEX('Data Entry'!$H$5:$BE$10004,5420-4,'Visual SPC'!$B$3)="",0,IF(AND(OR('Visual SPC'!$C$4="",'Data Entry'!$C5420&gt;='Visual SPC'!$C$4),OR('Visual SPC'!$E$4="",'Data Entry'!$C5420&lt;='Visual SPC'!$E$4),OR('Visual SPC'!$G$4="",'Data Entry'!$D5420='Visual SPC'!$G$4),OR('Visual SPC'!$I$4="",'Data Entry'!$E5420='Visual SPC'!$I$4),OR('Visual SPC'!$K$4="",'Data Entry'!$F5420='Visual SPC'!$K$4)),1,0))</f>
        <v/>
      </c>
      <c r="C5420">
        <f>C5419+B5420</f>
        <v/>
      </c>
      <c r="D5420">
        <f>IF(B5420=1,INDEX('Data Entry'!$H$5:$BE$10004,5420-4,'Visual SPC'!$B$3),"")</f>
        <v/>
      </c>
      <c r="E5420">
        <f>IF(B5420=1,D5420,E5419)</f>
        <v/>
      </c>
      <c r="F5420">
        <f>IF(AND(B5420=1,C5420&gt;1,E5419&lt;&gt;""),ABS(D5420-E5419),"")</f>
        <v/>
      </c>
    </row>
    <row r="5421">
      <c r="A5421" t="n">
        <v>5421</v>
      </c>
      <c r="B5421">
        <f>IF(INDEX('Data Entry'!$H$5:$BE$10004,5421-4,'Visual SPC'!$B$3)="",0,IF(AND(OR('Visual SPC'!$C$4="",'Data Entry'!$C5421&gt;='Visual SPC'!$C$4),OR('Visual SPC'!$E$4="",'Data Entry'!$C5421&lt;='Visual SPC'!$E$4),OR('Visual SPC'!$G$4="",'Data Entry'!$D5421='Visual SPC'!$G$4),OR('Visual SPC'!$I$4="",'Data Entry'!$E5421='Visual SPC'!$I$4),OR('Visual SPC'!$K$4="",'Data Entry'!$F5421='Visual SPC'!$K$4)),1,0))</f>
        <v/>
      </c>
      <c r="C5421">
        <f>C5420+B5421</f>
        <v/>
      </c>
      <c r="D5421">
        <f>IF(B5421=1,INDEX('Data Entry'!$H$5:$BE$10004,5421-4,'Visual SPC'!$B$3),"")</f>
        <v/>
      </c>
      <c r="E5421">
        <f>IF(B5421=1,D5421,E5420)</f>
        <v/>
      </c>
      <c r="F5421">
        <f>IF(AND(B5421=1,C5421&gt;1,E5420&lt;&gt;""),ABS(D5421-E5420),"")</f>
        <v/>
      </c>
    </row>
    <row r="5422">
      <c r="A5422" t="n">
        <v>5422</v>
      </c>
      <c r="B5422">
        <f>IF(INDEX('Data Entry'!$H$5:$BE$10004,5422-4,'Visual SPC'!$B$3)="",0,IF(AND(OR('Visual SPC'!$C$4="",'Data Entry'!$C5422&gt;='Visual SPC'!$C$4),OR('Visual SPC'!$E$4="",'Data Entry'!$C5422&lt;='Visual SPC'!$E$4),OR('Visual SPC'!$G$4="",'Data Entry'!$D5422='Visual SPC'!$G$4),OR('Visual SPC'!$I$4="",'Data Entry'!$E5422='Visual SPC'!$I$4),OR('Visual SPC'!$K$4="",'Data Entry'!$F5422='Visual SPC'!$K$4)),1,0))</f>
        <v/>
      </c>
      <c r="C5422">
        <f>C5421+B5422</f>
        <v/>
      </c>
      <c r="D5422">
        <f>IF(B5422=1,INDEX('Data Entry'!$H$5:$BE$10004,5422-4,'Visual SPC'!$B$3),"")</f>
        <v/>
      </c>
      <c r="E5422">
        <f>IF(B5422=1,D5422,E5421)</f>
        <v/>
      </c>
      <c r="F5422">
        <f>IF(AND(B5422=1,C5422&gt;1,E5421&lt;&gt;""),ABS(D5422-E5421),"")</f>
        <v/>
      </c>
    </row>
    <row r="5423">
      <c r="A5423" t="n">
        <v>5423</v>
      </c>
      <c r="B5423">
        <f>IF(INDEX('Data Entry'!$H$5:$BE$10004,5423-4,'Visual SPC'!$B$3)="",0,IF(AND(OR('Visual SPC'!$C$4="",'Data Entry'!$C5423&gt;='Visual SPC'!$C$4),OR('Visual SPC'!$E$4="",'Data Entry'!$C5423&lt;='Visual SPC'!$E$4),OR('Visual SPC'!$G$4="",'Data Entry'!$D5423='Visual SPC'!$G$4),OR('Visual SPC'!$I$4="",'Data Entry'!$E5423='Visual SPC'!$I$4),OR('Visual SPC'!$K$4="",'Data Entry'!$F5423='Visual SPC'!$K$4)),1,0))</f>
        <v/>
      </c>
      <c r="C5423">
        <f>C5422+B5423</f>
        <v/>
      </c>
      <c r="D5423">
        <f>IF(B5423=1,INDEX('Data Entry'!$H$5:$BE$10004,5423-4,'Visual SPC'!$B$3),"")</f>
        <v/>
      </c>
      <c r="E5423">
        <f>IF(B5423=1,D5423,E5422)</f>
        <v/>
      </c>
      <c r="F5423">
        <f>IF(AND(B5423=1,C5423&gt;1,E5422&lt;&gt;""),ABS(D5423-E5422),"")</f>
        <v/>
      </c>
    </row>
    <row r="5424">
      <c r="A5424" t="n">
        <v>5424</v>
      </c>
      <c r="B5424">
        <f>IF(INDEX('Data Entry'!$H$5:$BE$10004,5424-4,'Visual SPC'!$B$3)="",0,IF(AND(OR('Visual SPC'!$C$4="",'Data Entry'!$C5424&gt;='Visual SPC'!$C$4),OR('Visual SPC'!$E$4="",'Data Entry'!$C5424&lt;='Visual SPC'!$E$4),OR('Visual SPC'!$G$4="",'Data Entry'!$D5424='Visual SPC'!$G$4),OR('Visual SPC'!$I$4="",'Data Entry'!$E5424='Visual SPC'!$I$4),OR('Visual SPC'!$K$4="",'Data Entry'!$F5424='Visual SPC'!$K$4)),1,0))</f>
        <v/>
      </c>
      <c r="C5424">
        <f>C5423+B5424</f>
        <v/>
      </c>
      <c r="D5424">
        <f>IF(B5424=1,INDEX('Data Entry'!$H$5:$BE$10004,5424-4,'Visual SPC'!$B$3),"")</f>
        <v/>
      </c>
      <c r="E5424">
        <f>IF(B5424=1,D5424,E5423)</f>
        <v/>
      </c>
      <c r="F5424">
        <f>IF(AND(B5424=1,C5424&gt;1,E5423&lt;&gt;""),ABS(D5424-E5423),"")</f>
        <v/>
      </c>
    </row>
    <row r="5425">
      <c r="A5425" t="n">
        <v>5425</v>
      </c>
      <c r="B5425">
        <f>IF(INDEX('Data Entry'!$H$5:$BE$10004,5425-4,'Visual SPC'!$B$3)="",0,IF(AND(OR('Visual SPC'!$C$4="",'Data Entry'!$C5425&gt;='Visual SPC'!$C$4),OR('Visual SPC'!$E$4="",'Data Entry'!$C5425&lt;='Visual SPC'!$E$4),OR('Visual SPC'!$G$4="",'Data Entry'!$D5425='Visual SPC'!$G$4),OR('Visual SPC'!$I$4="",'Data Entry'!$E5425='Visual SPC'!$I$4),OR('Visual SPC'!$K$4="",'Data Entry'!$F5425='Visual SPC'!$K$4)),1,0))</f>
        <v/>
      </c>
      <c r="C5425">
        <f>C5424+B5425</f>
        <v/>
      </c>
      <c r="D5425">
        <f>IF(B5425=1,INDEX('Data Entry'!$H$5:$BE$10004,5425-4,'Visual SPC'!$B$3),"")</f>
        <v/>
      </c>
      <c r="E5425">
        <f>IF(B5425=1,D5425,E5424)</f>
        <v/>
      </c>
      <c r="F5425">
        <f>IF(AND(B5425=1,C5425&gt;1,E5424&lt;&gt;""),ABS(D5425-E5424),"")</f>
        <v/>
      </c>
    </row>
    <row r="5426">
      <c r="A5426" t="n">
        <v>5426</v>
      </c>
      <c r="B5426">
        <f>IF(INDEX('Data Entry'!$H$5:$BE$10004,5426-4,'Visual SPC'!$B$3)="",0,IF(AND(OR('Visual SPC'!$C$4="",'Data Entry'!$C5426&gt;='Visual SPC'!$C$4),OR('Visual SPC'!$E$4="",'Data Entry'!$C5426&lt;='Visual SPC'!$E$4),OR('Visual SPC'!$G$4="",'Data Entry'!$D5426='Visual SPC'!$G$4),OR('Visual SPC'!$I$4="",'Data Entry'!$E5426='Visual SPC'!$I$4),OR('Visual SPC'!$K$4="",'Data Entry'!$F5426='Visual SPC'!$K$4)),1,0))</f>
        <v/>
      </c>
      <c r="C5426">
        <f>C5425+B5426</f>
        <v/>
      </c>
      <c r="D5426">
        <f>IF(B5426=1,INDEX('Data Entry'!$H$5:$BE$10004,5426-4,'Visual SPC'!$B$3),"")</f>
        <v/>
      </c>
      <c r="E5426">
        <f>IF(B5426=1,D5426,E5425)</f>
        <v/>
      </c>
      <c r="F5426">
        <f>IF(AND(B5426=1,C5426&gt;1,E5425&lt;&gt;""),ABS(D5426-E5425),"")</f>
        <v/>
      </c>
    </row>
    <row r="5427">
      <c r="A5427" t="n">
        <v>5427</v>
      </c>
      <c r="B5427">
        <f>IF(INDEX('Data Entry'!$H$5:$BE$10004,5427-4,'Visual SPC'!$B$3)="",0,IF(AND(OR('Visual SPC'!$C$4="",'Data Entry'!$C5427&gt;='Visual SPC'!$C$4),OR('Visual SPC'!$E$4="",'Data Entry'!$C5427&lt;='Visual SPC'!$E$4),OR('Visual SPC'!$G$4="",'Data Entry'!$D5427='Visual SPC'!$G$4),OR('Visual SPC'!$I$4="",'Data Entry'!$E5427='Visual SPC'!$I$4),OR('Visual SPC'!$K$4="",'Data Entry'!$F5427='Visual SPC'!$K$4)),1,0))</f>
        <v/>
      </c>
      <c r="C5427">
        <f>C5426+B5427</f>
        <v/>
      </c>
      <c r="D5427">
        <f>IF(B5427=1,INDEX('Data Entry'!$H$5:$BE$10004,5427-4,'Visual SPC'!$B$3),"")</f>
        <v/>
      </c>
      <c r="E5427">
        <f>IF(B5427=1,D5427,E5426)</f>
        <v/>
      </c>
      <c r="F5427">
        <f>IF(AND(B5427=1,C5427&gt;1,E5426&lt;&gt;""),ABS(D5427-E5426),"")</f>
        <v/>
      </c>
    </row>
    <row r="5428">
      <c r="A5428" t="n">
        <v>5428</v>
      </c>
      <c r="B5428">
        <f>IF(INDEX('Data Entry'!$H$5:$BE$10004,5428-4,'Visual SPC'!$B$3)="",0,IF(AND(OR('Visual SPC'!$C$4="",'Data Entry'!$C5428&gt;='Visual SPC'!$C$4),OR('Visual SPC'!$E$4="",'Data Entry'!$C5428&lt;='Visual SPC'!$E$4),OR('Visual SPC'!$G$4="",'Data Entry'!$D5428='Visual SPC'!$G$4),OR('Visual SPC'!$I$4="",'Data Entry'!$E5428='Visual SPC'!$I$4),OR('Visual SPC'!$K$4="",'Data Entry'!$F5428='Visual SPC'!$K$4)),1,0))</f>
        <v/>
      </c>
      <c r="C5428">
        <f>C5427+B5428</f>
        <v/>
      </c>
      <c r="D5428">
        <f>IF(B5428=1,INDEX('Data Entry'!$H$5:$BE$10004,5428-4,'Visual SPC'!$B$3),"")</f>
        <v/>
      </c>
      <c r="E5428">
        <f>IF(B5428=1,D5428,E5427)</f>
        <v/>
      </c>
      <c r="F5428">
        <f>IF(AND(B5428=1,C5428&gt;1,E5427&lt;&gt;""),ABS(D5428-E5427),"")</f>
        <v/>
      </c>
    </row>
    <row r="5429">
      <c r="A5429" t="n">
        <v>5429</v>
      </c>
      <c r="B5429">
        <f>IF(INDEX('Data Entry'!$H$5:$BE$10004,5429-4,'Visual SPC'!$B$3)="",0,IF(AND(OR('Visual SPC'!$C$4="",'Data Entry'!$C5429&gt;='Visual SPC'!$C$4),OR('Visual SPC'!$E$4="",'Data Entry'!$C5429&lt;='Visual SPC'!$E$4),OR('Visual SPC'!$G$4="",'Data Entry'!$D5429='Visual SPC'!$G$4),OR('Visual SPC'!$I$4="",'Data Entry'!$E5429='Visual SPC'!$I$4),OR('Visual SPC'!$K$4="",'Data Entry'!$F5429='Visual SPC'!$K$4)),1,0))</f>
        <v/>
      </c>
      <c r="C5429">
        <f>C5428+B5429</f>
        <v/>
      </c>
      <c r="D5429">
        <f>IF(B5429=1,INDEX('Data Entry'!$H$5:$BE$10004,5429-4,'Visual SPC'!$B$3),"")</f>
        <v/>
      </c>
      <c r="E5429">
        <f>IF(B5429=1,D5429,E5428)</f>
        <v/>
      </c>
      <c r="F5429">
        <f>IF(AND(B5429=1,C5429&gt;1,E5428&lt;&gt;""),ABS(D5429-E5428),"")</f>
        <v/>
      </c>
    </row>
    <row r="5430">
      <c r="A5430" t="n">
        <v>5430</v>
      </c>
      <c r="B5430">
        <f>IF(INDEX('Data Entry'!$H$5:$BE$10004,5430-4,'Visual SPC'!$B$3)="",0,IF(AND(OR('Visual SPC'!$C$4="",'Data Entry'!$C5430&gt;='Visual SPC'!$C$4),OR('Visual SPC'!$E$4="",'Data Entry'!$C5430&lt;='Visual SPC'!$E$4),OR('Visual SPC'!$G$4="",'Data Entry'!$D5430='Visual SPC'!$G$4),OR('Visual SPC'!$I$4="",'Data Entry'!$E5430='Visual SPC'!$I$4),OR('Visual SPC'!$K$4="",'Data Entry'!$F5430='Visual SPC'!$K$4)),1,0))</f>
        <v/>
      </c>
      <c r="C5430">
        <f>C5429+B5430</f>
        <v/>
      </c>
      <c r="D5430">
        <f>IF(B5430=1,INDEX('Data Entry'!$H$5:$BE$10004,5430-4,'Visual SPC'!$B$3),"")</f>
        <v/>
      </c>
      <c r="E5430">
        <f>IF(B5430=1,D5430,E5429)</f>
        <v/>
      </c>
      <c r="F5430">
        <f>IF(AND(B5430=1,C5430&gt;1,E5429&lt;&gt;""),ABS(D5430-E5429),"")</f>
        <v/>
      </c>
    </row>
    <row r="5431">
      <c r="A5431" t="n">
        <v>5431</v>
      </c>
      <c r="B5431">
        <f>IF(INDEX('Data Entry'!$H$5:$BE$10004,5431-4,'Visual SPC'!$B$3)="",0,IF(AND(OR('Visual SPC'!$C$4="",'Data Entry'!$C5431&gt;='Visual SPC'!$C$4),OR('Visual SPC'!$E$4="",'Data Entry'!$C5431&lt;='Visual SPC'!$E$4),OR('Visual SPC'!$G$4="",'Data Entry'!$D5431='Visual SPC'!$G$4),OR('Visual SPC'!$I$4="",'Data Entry'!$E5431='Visual SPC'!$I$4),OR('Visual SPC'!$K$4="",'Data Entry'!$F5431='Visual SPC'!$K$4)),1,0))</f>
        <v/>
      </c>
      <c r="C5431">
        <f>C5430+B5431</f>
        <v/>
      </c>
      <c r="D5431">
        <f>IF(B5431=1,INDEX('Data Entry'!$H$5:$BE$10004,5431-4,'Visual SPC'!$B$3),"")</f>
        <v/>
      </c>
      <c r="E5431">
        <f>IF(B5431=1,D5431,E5430)</f>
        <v/>
      </c>
      <c r="F5431">
        <f>IF(AND(B5431=1,C5431&gt;1,E5430&lt;&gt;""),ABS(D5431-E5430),"")</f>
        <v/>
      </c>
    </row>
    <row r="5432">
      <c r="A5432" t="n">
        <v>5432</v>
      </c>
      <c r="B5432">
        <f>IF(INDEX('Data Entry'!$H$5:$BE$10004,5432-4,'Visual SPC'!$B$3)="",0,IF(AND(OR('Visual SPC'!$C$4="",'Data Entry'!$C5432&gt;='Visual SPC'!$C$4),OR('Visual SPC'!$E$4="",'Data Entry'!$C5432&lt;='Visual SPC'!$E$4),OR('Visual SPC'!$G$4="",'Data Entry'!$D5432='Visual SPC'!$G$4),OR('Visual SPC'!$I$4="",'Data Entry'!$E5432='Visual SPC'!$I$4),OR('Visual SPC'!$K$4="",'Data Entry'!$F5432='Visual SPC'!$K$4)),1,0))</f>
        <v/>
      </c>
      <c r="C5432">
        <f>C5431+B5432</f>
        <v/>
      </c>
      <c r="D5432">
        <f>IF(B5432=1,INDEX('Data Entry'!$H$5:$BE$10004,5432-4,'Visual SPC'!$B$3),"")</f>
        <v/>
      </c>
      <c r="E5432">
        <f>IF(B5432=1,D5432,E5431)</f>
        <v/>
      </c>
      <c r="F5432">
        <f>IF(AND(B5432=1,C5432&gt;1,E5431&lt;&gt;""),ABS(D5432-E5431),"")</f>
        <v/>
      </c>
    </row>
    <row r="5433">
      <c r="A5433" t="n">
        <v>5433</v>
      </c>
      <c r="B5433">
        <f>IF(INDEX('Data Entry'!$H$5:$BE$10004,5433-4,'Visual SPC'!$B$3)="",0,IF(AND(OR('Visual SPC'!$C$4="",'Data Entry'!$C5433&gt;='Visual SPC'!$C$4),OR('Visual SPC'!$E$4="",'Data Entry'!$C5433&lt;='Visual SPC'!$E$4),OR('Visual SPC'!$G$4="",'Data Entry'!$D5433='Visual SPC'!$G$4),OR('Visual SPC'!$I$4="",'Data Entry'!$E5433='Visual SPC'!$I$4),OR('Visual SPC'!$K$4="",'Data Entry'!$F5433='Visual SPC'!$K$4)),1,0))</f>
        <v/>
      </c>
      <c r="C5433">
        <f>C5432+B5433</f>
        <v/>
      </c>
      <c r="D5433">
        <f>IF(B5433=1,INDEX('Data Entry'!$H$5:$BE$10004,5433-4,'Visual SPC'!$B$3),"")</f>
        <v/>
      </c>
      <c r="E5433">
        <f>IF(B5433=1,D5433,E5432)</f>
        <v/>
      </c>
      <c r="F5433">
        <f>IF(AND(B5433=1,C5433&gt;1,E5432&lt;&gt;""),ABS(D5433-E5432),"")</f>
        <v/>
      </c>
    </row>
    <row r="5434">
      <c r="A5434" t="n">
        <v>5434</v>
      </c>
      <c r="B5434">
        <f>IF(INDEX('Data Entry'!$H$5:$BE$10004,5434-4,'Visual SPC'!$B$3)="",0,IF(AND(OR('Visual SPC'!$C$4="",'Data Entry'!$C5434&gt;='Visual SPC'!$C$4),OR('Visual SPC'!$E$4="",'Data Entry'!$C5434&lt;='Visual SPC'!$E$4),OR('Visual SPC'!$G$4="",'Data Entry'!$D5434='Visual SPC'!$G$4),OR('Visual SPC'!$I$4="",'Data Entry'!$E5434='Visual SPC'!$I$4),OR('Visual SPC'!$K$4="",'Data Entry'!$F5434='Visual SPC'!$K$4)),1,0))</f>
        <v/>
      </c>
      <c r="C5434">
        <f>C5433+B5434</f>
        <v/>
      </c>
      <c r="D5434">
        <f>IF(B5434=1,INDEX('Data Entry'!$H$5:$BE$10004,5434-4,'Visual SPC'!$B$3),"")</f>
        <v/>
      </c>
      <c r="E5434">
        <f>IF(B5434=1,D5434,E5433)</f>
        <v/>
      </c>
      <c r="F5434">
        <f>IF(AND(B5434=1,C5434&gt;1,E5433&lt;&gt;""),ABS(D5434-E5433),"")</f>
        <v/>
      </c>
    </row>
    <row r="5435">
      <c r="A5435" t="n">
        <v>5435</v>
      </c>
      <c r="B5435">
        <f>IF(INDEX('Data Entry'!$H$5:$BE$10004,5435-4,'Visual SPC'!$B$3)="",0,IF(AND(OR('Visual SPC'!$C$4="",'Data Entry'!$C5435&gt;='Visual SPC'!$C$4),OR('Visual SPC'!$E$4="",'Data Entry'!$C5435&lt;='Visual SPC'!$E$4),OR('Visual SPC'!$G$4="",'Data Entry'!$D5435='Visual SPC'!$G$4),OR('Visual SPC'!$I$4="",'Data Entry'!$E5435='Visual SPC'!$I$4),OR('Visual SPC'!$K$4="",'Data Entry'!$F5435='Visual SPC'!$K$4)),1,0))</f>
        <v/>
      </c>
      <c r="C5435">
        <f>C5434+B5435</f>
        <v/>
      </c>
      <c r="D5435">
        <f>IF(B5435=1,INDEX('Data Entry'!$H$5:$BE$10004,5435-4,'Visual SPC'!$B$3),"")</f>
        <v/>
      </c>
      <c r="E5435">
        <f>IF(B5435=1,D5435,E5434)</f>
        <v/>
      </c>
      <c r="F5435">
        <f>IF(AND(B5435=1,C5435&gt;1,E5434&lt;&gt;""),ABS(D5435-E5434),"")</f>
        <v/>
      </c>
    </row>
    <row r="5436">
      <c r="A5436" t="n">
        <v>5436</v>
      </c>
      <c r="B5436">
        <f>IF(INDEX('Data Entry'!$H$5:$BE$10004,5436-4,'Visual SPC'!$B$3)="",0,IF(AND(OR('Visual SPC'!$C$4="",'Data Entry'!$C5436&gt;='Visual SPC'!$C$4),OR('Visual SPC'!$E$4="",'Data Entry'!$C5436&lt;='Visual SPC'!$E$4),OR('Visual SPC'!$G$4="",'Data Entry'!$D5436='Visual SPC'!$G$4),OR('Visual SPC'!$I$4="",'Data Entry'!$E5436='Visual SPC'!$I$4),OR('Visual SPC'!$K$4="",'Data Entry'!$F5436='Visual SPC'!$K$4)),1,0))</f>
        <v/>
      </c>
      <c r="C5436">
        <f>C5435+B5436</f>
        <v/>
      </c>
      <c r="D5436">
        <f>IF(B5436=1,INDEX('Data Entry'!$H$5:$BE$10004,5436-4,'Visual SPC'!$B$3),"")</f>
        <v/>
      </c>
      <c r="E5436">
        <f>IF(B5436=1,D5436,E5435)</f>
        <v/>
      </c>
      <c r="F5436">
        <f>IF(AND(B5436=1,C5436&gt;1,E5435&lt;&gt;""),ABS(D5436-E5435),"")</f>
        <v/>
      </c>
    </row>
    <row r="5437">
      <c r="A5437" t="n">
        <v>5437</v>
      </c>
      <c r="B5437">
        <f>IF(INDEX('Data Entry'!$H$5:$BE$10004,5437-4,'Visual SPC'!$B$3)="",0,IF(AND(OR('Visual SPC'!$C$4="",'Data Entry'!$C5437&gt;='Visual SPC'!$C$4),OR('Visual SPC'!$E$4="",'Data Entry'!$C5437&lt;='Visual SPC'!$E$4),OR('Visual SPC'!$G$4="",'Data Entry'!$D5437='Visual SPC'!$G$4),OR('Visual SPC'!$I$4="",'Data Entry'!$E5437='Visual SPC'!$I$4),OR('Visual SPC'!$K$4="",'Data Entry'!$F5437='Visual SPC'!$K$4)),1,0))</f>
        <v/>
      </c>
      <c r="C5437">
        <f>C5436+B5437</f>
        <v/>
      </c>
      <c r="D5437">
        <f>IF(B5437=1,INDEX('Data Entry'!$H$5:$BE$10004,5437-4,'Visual SPC'!$B$3),"")</f>
        <v/>
      </c>
      <c r="E5437">
        <f>IF(B5437=1,D5437,E5436)</f>
        <v/>
      </c>
      <c r="F5437">
        <f>IF(AND(B5437=1,C5437&gt;1,E5436&lt;&gt;""),ABS(D5437-E5436),"")</f>
        <v/>
      </c>
    </row>
    <row r="5438">
      <c r="A5438" t="n">
        <v>5438</v>
      </c>
      <c r="B5438">
        <f>IF(INDEX('Data Entry'!$H$5:$BE$10004,5438-4,'Visual SPC'!$B$3)="",0,IF(AND(OR('Visual SPC'!$C$4="",'Data Entry'!$C5438&gt;='Visual SPC'!$C$4),OR('Visual SPC'!$E$4="",'Data Entry'!$C5438&lt;='Visual SPC'!$E$4),OR('Visual SPC'!$G$4="",'Data Entry'!$D5438='Visual SPC'!$G$4),OR('Visual SPC'!$I$4="",'Data Entry'!$E5438='Visual SPC'!$I$4),OR('Visual SPC'!$K$4="",'Data Entry'!$F5438='Visual SPC'!$K$4)),1,0))</f>
        <v/>
      </c>
      <c r="C5438">
        <f>C5437+B5438</f>
        <v/>
      </c>
      <c r="D5438">
        <f>IF(B5438=1,INDEX('Data Entry'!$H$5:$BE$10004,5438-4,'Visual SPC'!$B$3),"")</f>
        <v/>
      </c>
      <c r="E5438">
        <f>IF(B5438=1,D5438,E5437)</f>
        <v/>
      </c>
      <c r="F5438">
        <f>IF(AND(B5438=1,C5438&gt;1,E5437&lt;&gt;""),ABS(D5438-E5437),"")</f>
        <v/>
      </c>
    </row>
    <row r="5439">
      <c r="A5439" t="n">
        <v>5439</v>
      </c>
      <c r="B5439">
        <f>IF(INDEX('Data Entry'!$H$5:$BE$10004,5439-4,'Visual SPC'!$B$3)="",0,IF(AND(OR('Visual SPC'!$C$4="",'Data Entry'!$C5439&gt;='Visual SPC'!$C$4),OR('Visual SPC'!$E$4="",'Data Entry'!$C5439&lt;='Visual SPC'!$E$4),OR('Visual SPC'!$G$4="",'Data Entry'!$D5439='Visual SPC'!$G$4),OR('Visual SPC'!$I$4="",'Data Entry'!$E5439='Visual SPC'!$I$4),OR('Visual SPC'!$K$4="",'Data Entry'!$F5439='Visual SPC'!$K$4)),1,0))</f>
        <v/>
      </c>
      <c r="C5439">
        <f>C5438+B5439</f>
        <v/>
      </c>
      <c r="D5439">
        <f>IF(B5439=1,INDEX('Data Entry'!$H$5:$BE$10004,5439-4,'Visual SPC'!$B$3),"")</f>
        <v/>
      </c>
      <c r="E5439">
        <f>IF(B5439=1,D5439,E5438)</f>
        <v/>
      </c>
      <c r="F5439">
        <f>IF(AND(B5439=1,C5439&gt;1,E5438&lt;&gt;""),ABS(D5439-E5438),"")</f>
        <v/>
      </c>
    </row>
    <row r="5440">
      <c r="A5440" t="n">
        <v>5440</v>
      </c>
      <c r="B5440">
        <f>IF(INDEX('Data Entry'!$H$5:$BE$10004,5440-4,'Visual SPC'!$B$3)="",0,IF(AND(OR('Visual SPC'!$C$4="",'Data Entry'!$C5440&gt;='Visual SPC'!$C$4),OR('Visual SPC'!$E$4="",'Data Entry'!$C5440&lt;='Visual SPC'!$E$4),OR('Visual SPC'!$G$4="",'Data Entry'!$D5440='Visual SPC'!$G$4),OR('Visual SPC'!$I$4="",'Data Entry'!$E5440='Visual SPC'!$I$4),OR('Visual SPC'!$K$4="",'Data Entry'!$F5440='Visual SPC'!$K$4)),1,0))</f>
        <v/>
      </c>
      <c r="C5440">
        <f>C5439+B5440</f>
        <v/>
      </c>
      <c r="D5440">
        <f>IF(B5440=1,INDEX('Data Entry'!$H$5:$BE$10004,5440-4,'Visual SPC'!$B$3),"")</f>
        <v/>
      </c>
      <c r="E5440">
        <f>IF(B5440=1,D5440,E5439)</f>
        <v/>
      </c>
      <c r="F5440">
        <f>IF(AND(B5440=1,C5440&gt;1,E5439&lt;&gt;""),ABS(D5440-E5439),"")</f>
        <v/>
      </c>
    </row>
    <row r="5441">
      <c r="A5441" t="n">
        <v>5441</v>
      </c>
      <c r="B5441">
        <f>IF(INDEX('Data Entry'!$H$5:$BE$10004,5441-4,'Visual SPC'!$B$3)="",0,IF(AND(OR('Visual SPC'!$C$4="",'Data Entry'!$C5441&gt;='Visual SPC'!$C$4),OR('Visual SPC'!$E$4="",'Data Entry'!$C5441&lt;='Visual SPC'!$E$4),OR('Visual SPC'!$G$4="",'Data Entry'!$D5441='Visual SPC'!$G$4),OR('Visual SPC'!$I$4="",'Data Entry'!$E5441='Visual SPC'!$I$4),OR('Visual SPC'!$K$4="",'Data Entry'!$F5441='Visual SPC'!$K$4)),1,0))</f>
        <v/>
      </c>
      <c r="C5441">
        <f>C5440+B5441</f>
        <v/>
      </c>
      <c r="D5441">
        <f>IF(B5441=1,INDEX('Data Entry'!$H$5:$BE$10004,5441-4,'Visual SPC'!$B$3),"")</f>
        <v/>
      </c>
      <c r="E5441">
        <f>IF(B5441=1,D5441,E5440)</f>
        <v/>
      </c>
      <c r="F5441">
        <f>IF(AND(B5441=1,C5441&gt;1,E5440&lt;&gt;""),ABS(D5441-E5440),"")</f>
        <v/>
      </c>
    </row>
    <row r="5442">
      <c r="A5442" t="n">
        <v>5442</v>
      </c>
      <c r="B5442">
        <f>IF(INDEX('Data Entry'!$H$5:$BE$10004,5442-4,'Visual SPC'!$B$3)="",0,IF(AND(OR('Visual SPC'!$C$4="",'Data Entry'!$C5442&gt;='Visual SPC'!$C$4),OR('Visual SPC'!$E$4="",'Data Entry'!$C5442&lt;='Visual SPC'!$E$4),OR('Visual SPC'!$G$4="",'Data Entry'!$D5442='Visual SPC'!$G$4),OR('Visual SPC'!$I$4="",'Data Entry'!$E5442='Visual SPC'!$I$4),OR('Visual SPC'!$K$4="",'Data Entry'!$F5442='Visual SPC'!$K$4)),1,0))</f>
        <v/>
      </c>
      <c r="C5442">
        <f>C5441+B5442</f>
        <v/>
      </c>
      <c r="D5442">
        <f>IF(B5442=1,INDEX('Data Entry'!$H$5:$BE$10004,5442-4,'Visual SPC'!$B$3),"")</f>
        <v/>
      </c>
      <c r="E5442">
        <f>IF(B5442=1,D5442,E5441)</f>
        <v/>
      </c>
      <c r="F5442">
        <f>IF(AND(B5442=1,C5442&gt;1,E5441&lt;&gt;""),ABS(D5442-E5441),"")</f>
        <v/>
      </c>
    </row>
    <row r="5443">
      <c r="A5443" t="n">
        <v>5443</v>
      </c>
      <c r="B5443">
        <f>IF(INDEX('Data Entry'!$H$5:$BE$10004,5443-4,'Visual SPC'!$B$3)="",0,IF(AND(OR('Visual SPC'!$C$4="",'Data Entry'!$C5443&gt;='Visual SPC'!$C$4),OR('Visual SPC'!$E$4="",'Data Entry'!$C5443&lt;='Visual SPC'!$E$4),OR('Visual SPC'!$G$4="",'Data Entry'!$D5443='Visual SPC'!$G$4),OR('Visual SPC'!$I$4="",'Data Entry'!$E5443='Visual SPC'!$I$4),OR('Visual SPC'!$K$4="",'Data Entry'!$F5443='Visual SPC'!$K$4)),1,0))</f>
        <v/>
      </c>
      <c r="C5443">
        <f>C5442+B5443</f>
        <v/>
      </c>
      <c r="D5443">
        <f>IF(B5443=1,INDEX('Data Entry'!$H$5:$BE$10004,5443-4,'Visual SPC'!$B$3),"")</f>
        <v/>
      </c>
      <c r="E5443">
        <f>IF(B5443=1,D5443,E5442)</f>
        <v/>
      </c>
      <c r="F5443">
        <f>IF(AND(B5443=1,C5443&gt;1,E5442&lt;&gt;""),ABS(D5443-E5442),"")</f>
        <v/>
      </c>
    </row>
    <row r="5444">
      <c r="A5444" t="n">
        <v>5444</v>
      </c>
      <c r="B5444">
        <f>IF(INDEX('Data Entry'!$H$5:$BE$10004,5444-4,'Visual SPC'!$B$3)="",0,IF(AND(OR('Visual SPC'!$C$4="",'Data Entry'!$C5444&gt;='Visual SPC'!$C$4),OR('Visual SPC'!$E$4="",'Data Entry'!$C5444&lt;='Visual SPC'!$E$4),OR('Visual SPC'!$G$4="",'Data Entry'!$D5444='Visual SPC'!$G$4),OR('Visual SPC'!$I$4="",'Data Entry'!$E5444='Visual SPC'!$I$4),OR('Visual SPC'!$K$4="",'Data Entry'!$F5444='Visual SPC'!$K$4)),1,0))</f>
        <v/>
      </c>
      <c r="C5444">
        <f>C5443+B5444</f>
        <v/>
      </c>
      <c r="D5444">
        <f>IF(B5444=1,INDEX('Data Entry'!$H$5:$BE$10004,5444-4,'Visual SPC'!$B$3),"")</f>
        <v/>
      </c>
      <c r="E5444">
        <f>IF(B5444=1,D5444,E5443)</f>
        <v/>
      </c>
      <c r="F5444">
        <f>IF(AND(B5444=1,C5444&gt;1,E5443&lt;&gt;""),ABS(D5444-E5443),"")</f>
        <v/>
      </c>
    </row>
    <row r="5445">
      <c r="A5445" t="n">
        <v>5445</v>
      </c>
      <c r="B5445">
        <f>IF(INDEX('Data Entry'!$H$5:$BE$10004,5445-4,'Visual SPC'!$B$3)="",0,IF(AND(OR('Visual SPC'!$C$4="",'Data Entry'!$C5445&gt;='Visual SPC'!$C$4),OR('Visual SPC'!$E$4="",'Data Entry'!$C5445&lt;='Visual SPC'!$E$4),OR('Visual SPC'!$G$4="",'Data Entry'!$D5445='Visual SPC'!$G$4),OR('Visual SPC'!$I$4="",'Data Entry'!$E5445='Visual SPC'!$I$4),OR('Visual SPC'!$K$4="",'Data Entry'!$F5445='Visual SPC'!$K$4)),1,0))</f>
        <v/>
      </c>
      <c r="C5445">
        <f>C5444+B5445</f>
        <v/>
      </c>
      <c r="D5445">
        <f>IF(B5445=1,INDEX('Data Entry'!$H$5:$BE$10004,5445-4,'Visual SPC'!$B$3),"")</f>
        <v/>
      </c>
      <c r="E5445">
        <f>IF(B5445=1,D5445,E5444)</f>
        <v/>
      </c>
      <c r="F5445">
        <f>IF(AND(B5445=1,C5445&gt;1,E5444&lt;&gt;""),ABS(D5445-E5444),"")</f>
        <v/>
      </c>
    </row>
    <row r="5446">
      <c r="A5446" t="n">
        <v>5446</v>
      </c>
      <c r="B5446">
        <f>IF(INDEX('Data Entry'!$H$5:$BE$10004,5446-4,'Visual SPC'!$B$3)="",0,IF(AND(OR('Visual SPC'!$C$4="",'Data Entry'!$C5446&gt;='Visual SPC'!$C$4),OR('Visual SPC'!$E$4="",'Data Entry'!$C5446&lt;='Visual SPC'!$E$4),OR('Visual SPC'!$G$4="",'Data Entry'!$D5446='Visual SPC'!$G$4),OR('Visual SPC'!$I$4="",'Data Entry'!$E5446='Visual SPC'!$I$4),OR('Visual SPC'!$K$4="",'Data Entry'!$F5446='Visual SPC'!$K$4)),1,0))</f>
        <v/>
      </c>
      <c r="C5446">
        <f>C5445+B5446</f>
        <v/>
      </c>
      <c r="D5446">
        <f>IF(B5446=1,INDEX('Data Entry'!$H$5:$BE$10004,5446-4,'Visual SPC'!$B$3),"")</f>
        <v/>
      </c>
      <c r="E5446">
        <f>IF(B5446=1,D5446,E5445)</f>
        <v/>
      </c>
      <c r="F5446">
        <f>IF(AND(B5446=1,C5446&gt;1,E5445&lt;&gt;""),ABS(D5446-E5445),"")</f>
        <v/>
      </c>
    </row>
    <row r="5447">
      <c r="A5447" t="n">
        <v>5447</v>
      </c>
      <c r="B5447">
        <f>IF(INDEX('Data Entry'!$H$5:$BE$10004,5447-4,'Visual SPC'!$B$3)="",0,IF(AND(OR('Visual SPC'!$C$4="",'Data Entry'!$C5447&gt;='Visual SPC'!$C$4),OR('Visual SPC'!$E$4="",'Data Entry'!$C5447&lt;='Visual SPC'!$E$4),OR('Visual SPC'!$G$4="",'Data Entry'!$D5447='Visual SPC'!$G$4),OR('Visual SPC'!$I$4="",'Data Entry'!$E5447='Visual SPC'!$I$4),OR('Visual SPC'!$K$4="",'Data Entry'!$F5447='Visual SPC'!$K$4)),1,0))</f>
        <v/>
      </c>
      <c r="C5447">
        <f>C5446+B5447</f>
        <v/>
      </c>
      <c r="D5447">
        <f>IF(B5447=1,INDEX('Data Entry'!$H$5:$BE$10004,5447-4,'Visual SPC'!$B$3),"")</f>
        <v/>
      </c>
      <c r="E5447">
        <f>IF(B5447=1,D5447,E5446)</f>
        <v/>
      </c>
      <c r="F5447">
        <f>IF(AND(B5447=1,C5447&gt;1,E5446&lt;&gt;""),ABS(D5447-E5446),"")</f>
        <v/>
      </c>
    </row>
    <row r="5448">
      <c r="A5448" t="n">
        <v>5448</v>
      </c>
      <c r="B5448">
        <f>IF(INDEX('Data Entry'!$H$5:$BE$10004,5448-4,'Visual SPC'!$B$3)="",0,IF(AND(OR('Visual SPC'!$C$4="",'Data Entry'!$C5448&gt;='Visual SPC'!$C$4),OR('Visual SPC'!$E$4="",'Data Entry'!$C5448&lt;='Visual SPC'!$E$4),OR('Visual SPC'!$G$4="",'Data Entry'!$D5448='Visual SPC'!$G$4),OR('Visual SPC'!$I$4="",'Data Entry'!$E5448='Visual SPC'!$I$4),OR('Visual SPC'!$K$4="",'Data Entry'!$F5448='Visual SPC'!$K$4)),1,0))</f>
        <v/>
      </c>
      <c r="C5448">
        <f>C5447+B5448</f>
        <v/>
      </c>
      <c r="D5448">
        <f>IF(B5448=1,INDEX('Data Entry'!$H$5:$BE$10004,5448-4,'Visual SPC'!$B$3),"")</f>
        <v/>
      </c>
      <c r="E5448">
        <f>IF(B5448=1,D5448,E5447)</f>
        <v/>
      </c>
      <c r="F5448">
        <f>IF(AND(B5448=1,C5448&gt;1,E5447&lt;&gt;""),ABS(D5448-E5447),"")</f>
        <v/>
      </c>
    </row>
    <row r="5449">
      <c r="A5449" t="n">
        <v>5449</v>
      </c>
      <c r="B5449">
        <f>IF(INDEX('Data Entry'!$H$5:$BE$10004,5449-4,'Visual SPC'!$B$3)="",0,IF(AND(OR('Visual SPC'!$C$4="",'Data Entry'!$C5449&gt;='Visual SPC'!$C$4),OR('Visual SPC'!$E$4="",'Data Entry'!$C5449&lt;='Visual SPC'!$E$4),OR('Visual SPC'!$G$4="",'Data Entry'!$D5449='Visual SPC'!$G$4),OR('Visual SPC'!$I$4="",'Data Entry'!$E5449='Visual SPC'!$I$4),OR('Visual SPC'!$K$4="",'Data Entry'!$F5449='Visual SPC'!$K$4)),1,0))</f>
        <v/>
      </c>
      <c r="C5449">
        <f>C5448+B5449</f>
        <v/>
      </c>
      <c r="D5449">
        <f>IF(B5449=1,INDEX('Data Entry'!$H$5:$BE$10004,5449-4,'Visual SPC'!$B$3),"")</f>
        <v/>
      </c>
      <c r="E5449">
        <f>IF(B5449=1,D5449,E5448)</f>
        <v/>
      </c>
      <c r="F5449">
        <f>IF(AND(B5449=1,C5449&gt;1,E5448&lt;&gt;""),ABS(D5449-E5448),"")</f>
        <v/>
      </c>
    </row>
    <row r="5450">
      <c r="A5450" t="n">
        <v>5450</v>
      </c>
      <c r="B5450">
        <f>IF(INDEX('Data Entry'!$H$5:$BE$10004,5450-4,'Visual SPC'!$B$3)="",0,IF(AND(OR('Visual SPC'!$C$4="",'Data Entry'!$C5450&gt;='Visual SPC'!$C$4),OR('Visual SPC'!$E$4="",'Data Entry'!$C5450&lt;='Visual SPC'!$E$4),OR('Visual SPC'!$G$4="",'Data Entry'!$D5450='Visual SPC'!$G$4),OR('Visual SPC'!$I$4="",'Data Entry'!$E5450='Visual SPC'!$I$4),OR('Visual SPC'!$K$4="",'Data Entry'!$F5450='Visual SPC'!$K$4)),1,0))</f>
        <v/>
      </c>
      <c r="C5450">
        <f>C5449+B5450</f>
        <v/>
      </c>
      <c r="D5450">
        <f>IF(B5450=1,INDEX('Data Entry'!$H$5:$BE$10004,5450-4,'Visual SPC'!$B$3),"")</f>
        <v/>
      </c>
      <c r="E5450">
        <f>IF(B5450=1,D5450,E5449)</f>
        <v/>
      </c>
      <c r="F5450">
        <f>IF(AND(B5450=1,C5450&gt;1,E5449&lt;&gt;""),ABS(D5450-E5449),"")</f>
        <v/>
      </c>
    </row>
    <row r="5451">
      <c r="A5451" t="n">
        <v>5451</v>
      </c>
      <c r="B5451">
        <f>IF(INDEX('Data Entry'!$H$5:$BE$10004,5451-4,'Visual SPC'!$B$3)="",0,IF(AND(OR('Visual SPC'!$C$4="",'Data Entry'!$C5451&gt;='Visual SPC'!$C$4),OR('Visual SPC'!$E$4="",'Data Entry'!$C5451&lt;='Visual SPC'!$E$4),OR('Visual SPC'!$G$4="",'Data Entry'!$D5451='Visual SPC'!$G$4),OR('Visual SPC'!$I$4="",'Data Entry'!$E5451='Visual SPC'!$I$4),OR('Visual SPC'!$K$4="",'Data Entry'!$F5451='Visual SPC'!$K$4)),1,0))</f>
        <v/>
      </c>
      <c r="C5451">
        <f>C5450+B5451</f>
        <v/>
      </c>
      <c r="D5451">
        <f>IF(B5451=1,INDEX('Data Entry'!$H$5:$BE$10004,5451-4,'Visual SPC'!$B$3),"")</f>
        <v/>
      </c>
      <c r="E5451">
        <f>IF(B5451=1,D5451,E5450)</f>
        <v/>
      </c>
      <c r="F5451">
        <f>IF(AND(B5451=1,C5451&gt;1,E5450&lt;&gt;""),ABS(D5451-E5450),"")</f>
        <v/>
      </c>
    </row>
    <row r="5452">
      <c r="A5452" t="n">
        <v>5452</v>
      </c>
      <c r="B5452">
        <f>IF(INDEX('Data Entry'!$H$5:$BE$10004,5452-4,'Visual SPC'!$B$3)="",0,IF(AND(OR('Visual SPC'!$C$4="",'Data Entry'!$C5452&gt;='Visual SPC'!$C$4),OR('Visual SPC'!$E$4="",'Data Entry'!$C5452&lt;='Visual SPC'!$E$4),OR('Visual SPC'!$G$4="",'Data Entry'!$D5452='Visual SPC'!$G$4),OR('Visual SPC'!$I$4="",'Data Entry'!$E5452='Visual SPC'!$I$4),OR('Visual SPC'!$K$4="",'Data Entry'!$F5452='Visual SPC'!$K$4)),1,0))</f>
        <v/>
      </c>
      <c r="C5452">
        <f>C5451+B5452</f>
        <v/>
      </c>
      <c r="D5452">
        <f>IF(B5452=1,INDEX('Data Entry'!$H$5:$BE$10004,5452-4,'Visual SPC'!$B$3),"")</f>
        <v/>
      </c>
      <c r="E5452">
        <f>IF(B5452=1,D5452,E5451)</f>
        <v/>
      </c>
      <c r="F5452">
        <f>IF(AND(B5452=1,C5452&gt;1,E5451&lt;&gt;""),ABS(D5452-E5451),"")</f>
        <v/>
      </c>
    </row>
    <row r="5453">
      <c r="A5453" t="n">
        <v>5453</v>
      </c>
      <c r="B5453">
        <f>IF(INDEX('Data Entry'!$H$5:$BE$10004,5453-4,'Visual SPC'!$B$3)="",0,IF(AND(OR('Visual SPC'!$C$4="",'Data Entry'!$C5453&gt;='Visual SPC'!$C$4),OR('Visual SPC'!$E$4="",'Data Entry'!$C5453&lt;='Visual SPC'!$E$4),OR('Visual SPC'!$G$4="",'Data Entry'!$D5453='Visual SPC'!$G$4),OR('Visual SPC'!$I$4="",'Data Entry'!$E5453='Visual SPC'!$I$4),OR('Visual SPC'!$K$4="",'Data Entry'!$F5453='Visual SPC'!$K$4)),1,0))</f>
        <v/>
      </c>
      <c r="C5453">
        <f>C5452+B5453</f>
        <v/>
      </c>
      <c r="D5453">
        <f>IF(B5453=1,INDEX('Data Entry'!$H$5:$BE$10004,5453-4,'Visual SPC'!$B$3),"")</f>
        <v/>
      </c>
      <c r="E5453">
        <f>IF(B5453=1,D5453,E5452)</f>
        <v/>
      </c>
      <c r="F5453">
        <f>IF(AND(B5453=1,C5453&gt;1,E5452&lt;&gt;""),ABS(D5453-E5452),"")</f>
        <v/>
      </c>
    </row>
    <row r="5454">
      <c r="A5454" t="n">
        <v>5454</v>
      </c>
      <c r="B5454">
        <f>IF(INDEX('Data Entry'!$H$5:$BE$10004,5454-4,'Visual SPC'!$B$3)="",0,IF(AND(OR('Visual SPC'!$C$4="",'Data Entry'!$C5454&gt;='Visual SPC'!$C$4),OR('Visual SPC'!$E$4="",'Data Entry'!$C5454&lt;='Visual SPC'!$E$4),OR('Visual SPC'!$G$4="",'Data Entry'!$D5454='Visual SPC'!$G$4),OR('Visual SPC'!$I$4="",'Data Entry'!$E5454='Visual SPC'!$I$4),OR('Visual SPC'!$K$4="",'Data Entry'!$F5454='Visual SPC'!$K$4)),1,0))</f>
        <v/>
      </c>
      <c r="C5454">
        <f>C5453+B5454</f>
        <v/>
      </c>
      <c r="D5454">
        <f>IF(B5454=1,INDEX('Data Entry'!$H$5:$BE$10004,5454-4,'Visual SPC'!$B$3),"")</f>
        <v/>
      </c>
      <c r="E5454">
        <f>IF(B5454=1,D5454,E5453)</f>
        <v/>
      </c>
      <c r="F5454">
        <f>IF(AND(B5454=1,C5454&gt;1,E5453&lt;&gt;""),ABS(D5454-E5453),"")</f>
        <v/>
      </c>
    </row>
    <row r="5455">
      <c r="A5455" t="n">
        <v>5455</v>
      </c>
      <c r="B5455">
        <f>IF(INDEX('Data Entry'!$H$5:$BE$10004,5455-4,'Visual SPC'!$B$3)="",0,IF(AND(OR('Visual SPC'!$C$4="",'Data Entry'!$C5455&gt;='Visual SPC'!$C$4),OR('Visual SPC'!$E$4="",'Data Entry'!$C5455&lt;='Visual SPC'!$E$4),OR('Visual SPC'!$G$4="",'Data Entry'!$D5455='Visual SPC'!$G$4),OR('Visual SPC'!$I$4="",'Data Entry'!$E5455='Visual SPC'!$I$4),OR('Visual SPC'!$K$4="",'Data Entry'!$F5455='Visual SPC'!$K$4)),1,0))</f>
        <v/>
      </c>
      <c r="C5455">
        <f>C5454+B5455</f>
        <v/>
      </c>
      <c r="D5455">
        <f>IF(B5455=1,INDEX('Data Entry'!$H$5:$BE$10004,5455-4,'Visual SPC'!$B$3),"")</f>
        <v/>
      </c>
      <c r="E5455">
        <f>IF(B5455=1,D5455,E5454)</f>
        <v/>
      </c>
      <c r="F5455">
        <f>IF(AND(B5455=1,C5455&gt;1,E5454&lt;&gt;""),ABS(D5455-E5454),"")</f>
        <v/>
      </c>
    </row>
    <row r="5456">
      <c r="A5456" t="n">
        <v>5456</v>
      </c>
      <c r="B5456">
        <f>IF(INDEX('Data Entry'!$H$5:$BE$10004,5456-4,'Visual SPC'!$B$3)="",0,IF(AND(OR('Visual SPC'!$C$4="",'Data Entry'!$C5456&gt;='Visual SPC'!$C$4),OR('Visual SPC'!$E$4="",'Data Entry'!$C5456&lt;='Visual SPC'!$E$4),OR('Visual SPC'!$G$4="",'Data Entry'!$D5456='Visual SPC'!$G$4),OR('Visual SPC'!$I$4="",'Data Entry'!$E5456='Visual SPC'!$I$4),OR('Visual SPC'!$K$4="",'Data Entry'!$F5456='Visual SPC'!$K$4)),1,0))</f>
        <v/>
      </c>
      <c r="C5456">
        <f>C5455+B5456</f>
        <v/>
      </c>
      <c r="D5456">
        <f>IF(B5456=1,INDEX('Data Entry'!$H$5:$BE$10004,5456-4,'Visual SPC'!$B$3),"")</f>
        <v/>
      </c>
      <c r="E5456">
        <f>IF(B5456=1,D5456,E5455)</f>
        <v/>
      </c>
      <c r="F5456">
        <f>IF(AND(B5456=1,C5456&gt;1,E5455&lt;&gt;""),ABS(D5456-E5455),"")</f>
        <v/>
      </c>
    </row>
    <row r="5457">
      <c r="A5457" t="n">
        <v>5457</v>
      </c>
      <c r="B5457">
        <f>IF(INDEX('Data Entry'!$H$5:$BE$10004,5457-4,'Visual SPC'!$B$3)="",0,IF(AND(OR('Visual SPC'!$C$4="",'Data Entry'!$C5457&gt;='Visual SPC'!$C$4),OR('Visual SPC'!$E$4="",'Data Entry'!$C5457&lt;='Visual SPC'!$E$4),OR('Visual SPC'!$G$4="",'Data Entry'!$D5457='Visual SPC'!$G$4),OR('Visual SPC'!$I$4="",'Data Entry'!$E5457='Visual SPC'!$I$4),OR('Visual SPC'!$K$4="",'Data Entry'!$F5457='Visual SPC'!$K$4)),1,0))</f>
        <v/>
      </c>
      <c r="C5457">
        <f>C5456+B5457</f>
        <v/>
      </c>
      <c r="D5457">
        <f>IF(B5457=1,INDEX('Data Entry'!$H$5:$BE$10004,5457-4,'Visual SPC'!$B$3),"")</f>
        <v/>
      </c>
      <c r="E5457">
        <f>IF(B5457=1,D5457,E5456)</f>
        <v/>
      </c>
      <c r="F5457">
        <f>IF(AND(B5457=1,C5457&gt;1,E5456&lt;&gt;""),ABS(D5457-E5456),"")</f>
        <v/>
      </c>
    </row>
    <row r="5458">
      <c r="A5458" t="n">
        <v>5458</v>
      </c>
      <c r="B5458">
        <f>IF(INDEX('Data Entry'!$H$5:$BE$10004,5458-4,'Visual SPC'!$B$3)="",0,IF(AND(OR('Visual SPC'!$C$4="",'Data Entry'!$C5458&gt;='Visual SPC'!$C$4),OR('Visual SPC'!$E$4="",'Data Entry'!$C5458&lt;='Visual SPC'!$E$4),OR('Visual SPC'!$G$4="",'Data Entry'!$D5458='Visual SPC'!$G$4),OR('Visual SPC'!$I$4="",'Data Entry'!$E5458='Visual SPC'!$I$4),OR('Visual SPC'!$K$4="",'Data Entry'!$F5458='Visual SPC'!$K$4)),1,0))</f>
        <v/>
      </c>
      <c r="C5458">
        <f>C5457+B5458</f>
        <v/>
      </c>
      <c r="D5458">
        <f>IF(B5458=1,INDEX('Data Entry'!$H$5:$BE$10004,5458-4,'Visual SPC'!$B$3),"")</f>
        <v/>
      </c>
      <c r="E5458">
        <f>IF(B5458=1,D5458,E5457)</f>
        <v/>
      </c>
      <c r="F5458">
        <f>IF(AND(B5458=1,C5458&gt;1,E5457&lt;&gt;""),ABS(D5458-E5457),"")</f>
        <v/>
      </c>
    </row>
    <row r="5459">
      <c r="A5459" t="n">
        <v>5459</v>
      </c>
      <c r="B5459">
        <f>IF(INDEX('Data Entry'!$H$5:$BE$10004,5459-4,'Visual SPC'!$B$3)="",0,IF(AND(OR('Visual SPC'!$C$4="",'Data Entry'!$C5459&gt;='Visual SPC'!$C$4),OR('Visual SPC'!$E$4="",'Data Entry'!$C5459&lt;='Visual SPC'!$E$4),OR('Visual SPC'!$G$4="",'Data Entry'!$D5459='Visual SPC'!$G$4),OR('Visual SPC'!$I$4="",'Data Entry'!$E5459='Visual SPC'!$I$4),OR('Visual SPC'!$K$4="",'Data Entry'!$F5459='Visual SPC'!$K$4)),1,0))</f>
        <v/>
      </c>
      <c r="C5459">
        <f>C5458+B5459</f>
        <v/>
      </c>
      <c r="D5459">
        <f>IF(B5459=1,INDEX('Data Entry'!$H$5:$BE$10004,5459-4,'Visual SPC'!$B$3),"")</f>
        <v/>
      </c>
      <c r="E5459">
        <f>IF(B5459=1,D5459,E5458)</f>
        <v/>
      </c>
      <c r="F5459">
        <f>IF(AND(B5459=1,C5459&gt;1,E5458&lt;&gt;""),ABS(D5459-E5458),"")</f>
        <v/>
      </c>
    </row>
    <row r="5460">
      <c r="A5460" t="n">
        <v>5460</v>
      </c>
      <c r="B5460">
        <f>IF(INDEX('Data Entry'!$H$5:$BE$10004,5460-4,'Visual SPC'!$B$3)="",0,IF(AND(OR('Visual SPC'!$C$4="",'Data Entry'!$C5460&gt;='Visual SPC'!$C$4),OR('Visual SPC'!$E$4="",'Data Entry'!$C5460&lt;='Visual SPC'!$E$4),OR('Visual SPC'!$G$4="",'Data Entry'!$D5460='Visual SPC'!$G$4),OR('Visual SPC'!$I$4="",'Data Entry'!$E5460='Visual SPC'!$I$4),OR('Visual SPC'!$K$4="",'Data Entry'!$F5460='Visual SPC'!$K$4)),1,0))</f>
        <v/>
      </c>
      <c r="C5460">
        <f>C5459+B5460</f>
        <v/>
      </c>
      <c r="D5460">
        <f>IF(B5460=1,INDEX('Data Entry'!$H$5:$BE$10004,5460-4,'Visual SPC'!$B$3),"")</f>
        <v/>
      </c>
      <c r="E5460">
        <f>IF(B5460=1,D5460,E5459)</f>
        <v/>
      </c>
      <c r="F5460">
        <f>IF(AND(B5460=1,C5460&gt;1,E5459&lt;&gt;""),ABS(D5460-E5459),"")</f>
        <v/>
      </c>
    </row>
    <row r="5461">
      <c r="A5461" t="n">
        <v>5461</v>
      </c>
      <c r="B5461">
        <f>IF(INDEX('Data Entry'!$H$5:$BE$10004,5461-4,'Visual SPC'!$B$3)="",0,IF(AND(OR('Visual SPC'!$C$4="",'Data Entry'!$C5461&gt;='Visual SPC'!$C$4),OR('Visual SPC'!$E$4="",'Data Entry'!$C5461&lt;='Visual SPC'!$E$4),OR('Visual SPC'!$G$4="",'Data Entry'!$D5461='Visual SPC'!$G$4),OR('Visual SPC'!$I$4="",'Data Entry'!$E5461='Visual SPC'!$I$4),OR('Visual SPC'!$K$4="",'Data Entry'!$F5461='Visual SPC'!$K$4)),1,0))</f>
        <v/>
      </c>
      <c r="C5461">
        <f>C5460+B5461</f>
        <v/>
      </c>
      <c r="D5461">
        <f>IF(B5461=1,INDEX('Data Entry'!$H$5:$BE$10004,5461-4,'Visual SPC'!$B$3),"")</f>
        <v/>
      </c>
      <c r="E5461">
        <f>IF(B5461=1,D5461,E5460)</f>
        <v/>
      </c>
      <c r="F5461">
        <f>IF(AND(B5461=1,C5461&gt;1,E5460&lt;&gt;""),ABS(D5461-E5460),"")</f>
        <v/>
      </c>
    </row>
    <row r="5462">
      <c r="A5462" t="n">
        <v>5462</v>
      </c>
      <c r="B5462">
        <f>IF(INDEX('Data Entry'!$H$5:$BE$10004,5462-4,'Visual SPC'!$B$3)="",0,IF(AND(OR('Visual SPC'!$C$4="",'Data Entry'!$C5462&gt;='Visual SPC'!$C$4),OR('Visual SPC'!$E$4="",'Data Entry'!$C5462&lt;='Visual SPC'!$E$4),OR('Visual SPC'!$G$4="",'Data Entry'!$D5462='Visual SPC'!$G$4),OR('Visual SPC'!$I$4="",'Data Entry'!$E5462='Visual SPC'!$I$4),OR('Visual SPC'!$K$4="",'Data Entry'!$F5462='Visual SPC'!$K$4)),1,0))</f>
        <v/>
      </c>
      <c r="C5462">
        <f>C5461+B5462</f>
        <v/>
      </c>
      <c r="D5462">
        <f>IF(B5462=1,INDEX('Data Entry'!$H$5:$BE$10004,5462-4,'Visual SPC'!$B$3),"")</f>
        <v/>
      </c>
      <c r="E5462">
        <f>IF(B5462=1,D5462,E5461)</f>
        <v/>
      </c>
      <c r="F5462">
        <f>IF(AND(B5462=1,C5462&gt;1,E5461&lt;&gt;""),ABS(D5462-E5461),"")</f>
        <v/>
      </c>
    </row>
    <row r="5463">
      <c r="A5463" t="n">
        <v>5463</v>
      </c>
      <c r="B5463">
        <f>IF(INDEX('Data Entry'!$H$5:$BE$10004,5463-4,'Visual SPC'!$B$3)="",0,IF(AND(OR('Visual SPC'!$C$4="",'Data Entry'!$C5463&gt;='Visual SPC'!$C$4),OR('Visual SPC'!$E$4="",'Data Entry'!$C5463&lt;='Visual SPC'!$E$4),OR('Visual SPC'!$G$4="",'Data Entry'!$D5463='Visual SPC'!$G$4),OR('Visual SPC'!$I$4="",'Data Entry'!$E5463='Visual SPC'!$I$4),OR('Visual SPC'!$K$4="",'Data Entry'!$F5463='Visual SPC'!$K$4)),1,0))</f>
        <v/>
      </c>
      <c r="C5463">
        <f>C5462+B5463</f>
        <v/>
      </c>
      <c r="D5463">
        <f>IF(B5463=1,INDEX('Data Entry'!$H$5:$BE$10004,5463-4,'Visual SPC'!$B$3),"")</f>
        <v/>
      </c>
      <c r="E5463">
        <f>IF(B5463=1,D5463,E5462)</f>
        <v/>
      </c>
      <c r="F5463">
        <f>IF(AND(B5463=1,C5463&gt;1,E5462&lt;&gt;""),ABS(D5463-E5462),"")</f>
        <v/>
      </c>
    </row>
    <row r="5464">
      <c r="A5464" t="n">
        <v>5464</v>
      </c>
      <c r="B5464">
        <f>IF(INDEX('Data Entry'!$H$5:$BE$10004,5464-4,'Visual SPC'!$B$3)="",0,IF(AND(OR('Visual SPC'!$C$4="",'Data Entry'!$C5464&gt;='Visual SPC'!$C$4),OR('Visual SPC'!$E$4="",'Data Entry'!$C5464&lt;='Visual SPC'!$E$4),OR('Visual SPC'!$G$4="",'Data Entry'!$D5464='Visual SPC'!$G$4),OR('Visual SPC'!$I$4="",'Data Entry'!$E5464='Visual SPC'!$I$4),OR('Visual SPC'!$K$4="",'Data Entry'!$F5464='Visual SPC'!$K$4)),1,0))</f>
        <v/>
      </c>
      <c r="C5464">
        <f>C5463+B5464</f>
        <v/>
      </c>
      <c r="D5464">
        <f>IF(B5464=1,INDEX('Data Entry'!$H$5:$BE$10004,5464-4,'Visual SPC'!$B$3),"")</f>
        <v/>
      </c>
      <c r="E5464">
        <f>IF(B5464=1,D5464,E5463)</f>
        <v/>
      </c>
      <c r="F5464">
        <f>IF(AND(B5464=1,C5464&gt;1,E5463&lt;&gt;""),ABS(D5464-E5463),"")</f>
        <v/>
      </c>
    </row>
    <row r="5465">
      <c r="A5465" t="n">
        <v>5465</v>
      </c>
      <c r="B5465">
        <f>IF(INDEX('Data Entry'!$H$5:$BE$10004,5465-4,'Visual SPC'!$B$3)="",0,IF(AND(OR('Visual SPC'!$C$4="",'Data Entry'!$C5465&gt;='Visual SPC'!$C$4),OR('Visual SPC'!$E$4="",'Data Entry'!$C5465&lt;='Visual SPC'!$E$4),OR('Visual SPC'!$G$4="",'Data Entry'!$D5465='Visual SPC'!$G$4),OR('Visual SPC'!$I$4="",'Data Entry'!$E5465='Visual SPC'!$I$4),OR('Visual SPC'!$K$4="",'Data Entry'!$F5465='Visual SPC'!$K$4)),1,0))</f>
        <v/>
      </c>
      <c r="C5465">
        <f>C5464+B5465</f>
        <v/>
      </c>
      <c r="D5465">
        <f>IF(B5465=1,INDEX('Data Entry'!$H$5:$BE$10004,5465-4,'Visual SPC'!$B$3),"")</f>
        <v/>
      </c>
      <c r="E5465">
        <f>IF(B5465=1,D5465,E5464)</f>
        <v/>
      </c>
      <c r="F5465">
        <f>IF(AND(B5465=1,C5465&gt;1,E5464&lt;&gt;""),ABS(D5465-E5464),"")</f>
        <v/>
      </c>
    </row>
    <row r="5466">
      <c r="A5466" t="n">
        <v>5466</v>
      </c>
      <c r="B5466">
        <f>IF(INDEX('Data Entry'!$H$5:$BE$10004,5466-4,'Visual SPC'!$B$3)="",0,IF(AND(OR('Visual SPC'!$C$4="",'Data Entry'!$C5466&gt;='Visual SPC'!$C$4),OR('Visual SPC'!$E$4="",'Data Entry'!$C5466&lt;='Visual SPC'!$E$4),OR('Visual SPC'!$G$4="",'Data Entry'!$D5466='Visual SPC'!$G$4),OR('Visual SPC'!$I$4="",'Data Entry'!$E5466='Visual SPC'!$I$4),OR('Visual SPC'!$K$4="",'Data Entry'!$F5466='Visual SPC'!$K$4)),1,0))</f>
        <v/>
      </c>
      <c r="C5466">
        <f>C5465+B5466</f>
        <v/>
      </c>
      <c r="D5466">
        <f>IF(B5466=1,INDEX('Data Entry'!$H$5:$BE$10004,5466-4,'Visual SPC'!$B$3),"")</f>
        <v/>
      </c>
      <c r="E5466">
        <f>IF(B5466=1,D5466,E5465)</f>
        <v/>
      </c>
      <c r="F5466">
        <f>IF(AND(B5466=1,C5466&gt;1,E5465&lt;&gt;""),ABS(D5466-E5465),"")</f>
        <v/>
      </c>
    </row>
    <row r="5467">
      <c r="A5467" t="n">
        <v>5467</v>
      </c>
      <c r="B5467">
        <f>IF(INDEX('Data Entry'!$H$5:$BE$10004,5467-4,'Visual SPC'!$B$3)="",0,IF(AND(OR('Visual SPC'!$C$4="",'Data Entry'!$C5467&gt;='Visual SPC'!$C$4),OR('Visual SPC'!$E$4="",'Data Entry'!$C5467&lt;='Visual SPC'!$E$4),OR('Visual SPC'!$G$4="",'Data Entry'!$D5467='Visual SPC'!$G$4),OR('Visual SPC'!$I$4="",'Data Entry'!$E5467='Visual SPC'!$I$4),OR('Visual SPC'!$K$4="",'Data Entry'!$F5467='Visual SPC'!$K$4)),1,0))</f>
        <v/>
      </c>
      <c r="C5467">
        <f>C5466+B5467</f>
        <v/>
      </c>
      <c r="D5467">
        <f>IF(B5467=1,INDEX('Data Entry'!$H$5:$BE$10004,5467-4,'Visual SPC'!$B$3),"")</f>
        <v/>
      </c>
      <c r="E5467">
        <f>IF(B5467=1,D5467,E5466)</f>
        <v/>
      </c>
      <c r="F5467">
        <f>IF(AND(B5467=1,C5467&gt;1,E5466&lt;&gt;""),ABS(D5467-E5466),"")</f>
        <v/>
      </c>
    </row>
    <row r="5468">
      <c r="A5468" t="n">
        <v>5468</v>
      </c>
      <c r="B5468">
        <f>IF(INDEX('Data Entry'!$H$5:$BE$10004,5468-4,'Visual SPC'!$B$3)="",0,IF(AND(OR('Visual SPC'!$C$4="",'Data Entry'!$C5468&gt;='Visual SPC'!$C$4),OR('Visual SPC'!$E$4="",'Data Entry'!$C5468&lt;='Visual SPC'!$E$4),OR('Visual SPC'!$G$4="",'Data Entry'!$D5468='Visual SPC'!$G$4),OR('Visual SPC'!$I$4="",'Data Entry'!$E5468='Visual SPC'!$I$4),OR('Visual SPC'!$K$4="",'Data Entry'!$F5468='Visual SPC'!$K$4)),1,0))</f>
        <v/>
      </c>
      <c r="C5468">
        <f>C5467+B5468</f>
        <v/>
      </c>
      <c r="D5468">
        <f>IF(B5468=1,INDEX('Data Entry'!$H$5:$BE$10004,5468-4,'Visual SPC'!$B$3),"")</f>
        <v/>
      </c>
      <c r="E5468">
        <f>IF(B5468=1,D5468,E5467)</f>
        <v/>
      </c>
      <c r="F5468">
        <f>IF(AND(B5468=1,C5468&gt;1,E5467&lt;&gt;""),ABS(D5468-E5467),"")</f>
        <v/>
      </c>
    </row>
    <row r="5469">
      <c r="A5469" t="n">
        <v>5469</v>
      </c>
      <c r="B5469">
        <f>IF(INDEX('Data Entry'!$H$5:$BE$10004,5469-4,'Visual SPC'!$B$3)="",0,IF(AND(OR('Visual SPC'!$C$4="",'Data Entry'!$C5469&gt;='Visual SPC'!$C$4),OR('Visual SPC'!$E$4="",'Data Entry'!$C5469&lt;='Visual SPC'!$E$4),OR('Visual SPC'!$G$4="",'Data Entry'!$D5469='Visual SPC'!$G$4),OR('Visual SPC'!$I$4="",'Data Entry'!$E5469='Visual SPC'!$I$4),OR('Visual SPC'!$K$4="",'Data Entry'!$F5469='Visual SPC'!$K$4)),1,0))</f>
        <v/>
      </c>
      <c r="C5469">
        <f>C5468+B5469</f>
        <v/>
      </c>
      <c r="D5469">
        <f>IF(B5469=1,INDEX('Data Entry'!$H$5:$BE$10004,5469-4,'Visual SPC'!$B$3),"")</f>
        <v/>
      </c>
      <c r="E5469">
        <f>IF(B5469=1,D5469,E5468)</f>
        <v/>
      </c>
      <c r="F5469">
        <f>IF(AND(B5469=1,C5469&gt;1,E5468&lt;&gt;""),ABS(D5469-E5468),"")</f>
        <v/>
      </c>
    </row>
    <row r="5470">
      <c r="A5470" t="n">
        <v>5470</v>
      </c>
      <c r="B5470">
        <f>IF(INDEX('Data Entry'!$H$5:$BE$10004,5470-4,'Visual SPC'!$B$3)="",0,IF(AND(OR('Visual SPC'!$C$4="",'Data Entry'!$C5470&gt;='Visual SPC'!$C$4),OR('Visual SPC'!$E$4="",'Data Entry'!$C5470&lt;='Visual SPC'!$E$4),OR('Visual SPC'!$G$4="",'Data Entry'!$D5470='Visual SPC'!$G$4),OR('Visual SPC'!$I$4="",'Data Entry'!$E5470='Visual SPC'!$I$4),OR('Visual SPC'!$K$4="",'Data Entry'!$F5470='Visual SPC'!$K$4)),1,0))</f>
        <v/>
      </c>
      <c r="C5470">
        <f>C5469+B5470</f>
        <v/>
      </c>
      <c r="D5470">
        <f>IF(B5470=1,INDEX('Data Entry'!$H$5:$BE$10004,5470-4,'Visual SPC'!$B$3),"")</f>
        <v/>
      </c>
      <c r="E5470">
        <f>IF(B5470=1,D5470,E5469)</f>
        <v/>
      </c>
      <c r="F5470">
        <f>IF(AND(B5470=1,C5470&gt;1,E5469&lt;&gt;""),ABS(D5470-E5469),"")</f>
        <v/>
      </c>
    </row>
    <row r="5471">
      <c r="A5471" t="n">
        <v>5471</v>
      </c>
      <c r="B5471">
        <f>IF(INDEX('Data Entry'!$H$5:$BE$10004,5471-4,'Visual SPC'!$B$3)="",0,IF(AND(OR('Visual SPC'!$C$4="",'Data Entry'!$C5471&gt;='Visual SPC'!$C$4),OR('Visual SPC'!$E$4="",'Data Entry'!$C5471&lt;='Visual SPC'!$E$4),OR('Visual SPC'!$G$4="",'Data Entry'!$D5471='Visual SPC'!$G$4),OR('Visual SPC'!$I$4="",'Data Entry'!$E5471='Visual SPC'!$I$4),OR('Visual SPC'!$K$4="",'Data Entry'!$F5471='Visual SPC'!$K$4)),1,0))</f>
        <v/>
      </c>
      <c r="C5471">
        <f>C5470+B5471</f>
        <v/>
      </c>
      <c r="D5471">
        <f>IF(B5471=1,INDEX('Data Entry'!$H$5:$BE$10004,5471-4,'Visual SPC'!$B$3),"")</f>
        <v/>
      </c>
      <c r="E5471">
        <f>IF(B5471=1,D5471,E5470)</f>
        <v/>
      </c>
      <c r="F5471">
        <f>IF(AND(B5471=1,C5471&gt;1,E5470&lt;&gt;""),ABS(D5471-E5470),"")</f>
        <v/>
      </c>
    </row>
    <row r="5472">
      <c r="A5472" t="n">
        <v>5472</v>
      </c>
      <c r="B5472">
        <f>IF(INDEX('Data Entry'!$H$5:$BE$10004,5472-4,'Visual SPC'!$B$3)="",0,IF(AND(OR('Visual SPC'!$C$4="",'Data Entry'!$C5472&gt;='Visual SPC'!$C$4),OR('Visual SPC'!$E$4="",'Data Entry'!$C5472&lt;='Visual SPC'!$E$4),OR('Visual SPC'!$G$4="",'Data Entry'!$D5472='Visual SPC'!$G$4),OR('Visual SPC'!$I$4="",'Data Entry'!$E5472='Visual SPC'!$I$4),OR('Visual SPC'!$K$4="",'Data Entry'!$F5472='Visual SPC'!$K$4)),1,0))</f>
        <v/>
      </c>
      <c r="C5472">
        <f>C5471+B5472</f>
        <v/>
      </c>
      <c r="D5472">
        <f>IF(B5472=1,INDEX('Data Entry'!$H$5:$BE$10004,5472-4,'Visual SPC'!$B$3),"")</f>
        <v/>
      </c>
      <c r="E5472">
        <f>IF(B5472=1,D5472,E5471)</f>
        <v/>
      </c>
      <c r="F5472">
        <f>IF(AND(B5472=1,C5472&gt;1,E5471&lt;&gt;""),ABS(D5472-E5471),"")</f>
        <v/>
      </c>
    </row>
    <row r="5473">
      <c r="A5473" t="n">
        <v>5473</v>
      </c>
      <c r="B5473">
        <f>IF(INDEX('Data Entry'!$H$5:$BE$10004,5473-4,'Visual SPC'!$B$3)="",0,IF(AND(OR('Visual SPC'!$C$4="",'Data Entry'!$C5473&gt;='Visual SPC'!$C$4),OR('Visual SPC'!$E$4="",'Data Entry'!$C5473&lt;='Visual SPC'!$E$4),OR('Visual SPC'!$G$4="",'Data Entry'!$D5473='Visual SPC'!$G$4),OR('Visual SPC'!$I$4="",'Data Entry'!$E5473='Visual SPC'!$I$4),OR('Visual SPC'!$K$4="",'Data Entry'!$F5473='Visual SPC'!$K$4)),1,0))</f>
        <v/>
      </c>
      <c r="C5473">
        <f>C5472+B5473</f>
        <v/>
      </c>
      <c r="D5473">
        <f>IF(B5473=1,INDEX('Data Entry'!$H$5:$BE$10004,5473-4,'Visual SPC'!$B$3),"")</f>
        <v/>
      </c>
      <c r="E5473">
        <f>IF(B5473=1,D5473,E5472)</f>
        <v/>
      </c>
      <c r="F5473">
        <f>IF(AND(B5473=1,C5473&gt;1,E5472&lt;&gt;""),ABS(D5473-E5472),"")</f>
        <v/>
      </c>
    </row>
    <row r="5474">
      <c r="A5474" t="n">
        <v>5474</v>
      </c>
      <c r="B5474">
        <f>IF(INDEX('Data Entry'!$H$5:$BE$10004,5474-4,'Visual SPC'!$B$3)="",0,IF(AND(OR('Visual SPC'!$C$4="",'Data Entry'!$C5474&gt;='Visual SPC'!$C$4),OR('Visual SPC'!$E$4="",'Data Entry'!$C5474&lt;='Visual SPC'!$E$4),OR('Visual SPC'!$G$4="",'Data Entry'!$D5474='Visual SPC'!$G$4),OR('Visual SPC'!$I$4="",'Data Entry'!$E5474='Visual SPC'!$I$4),OR('Visual SPC'!$K$4="",'Data Entry'!$F5474='Visual SPC'!$K$4)),1,0))</f>
        <v/>
      </c>
      <c r="C5474">
        <f>C5473+B5474</f>
        <v/>
      </c>
      <c r="D5474">
        <f>IF(B5474=1,INDEX('Data Entry'!$H$5:$BE$10004,5474-4,'Visual SPC'!$B$3),"")</f>
        <v/>
      </c>
      <c r="E5474">
        <f>IF(B5474=1,D5474,E5473)</f>
        <v/>
      </c>
      <c r="F5474">
        <f>IF(AND(B5474=1,C5474&gt;1,E5473&lt;&gt;""),ABS(D5474-E5473),"")</f>
        <v/>
      </c>
    </row>
    <row r="5475">
      <c r="A5475" t="n">
        <v>5475</v>
      </c>
      <c r="B5475">
        <f>IF(INDEX('Data Entry'!$H$5:$BE$10004,5475-4,'Visual SPC'!$B$3)="",0,IF(AND(OR('Visual SPC'!$C$4="",'Data Entry'!$C5475&gt;='Visual SPC'!$C$4),OR('Visual SPC'!$E$4="",'Data Entry'!$C5475&lt;='Visual SPC'!$E$4),OR('Visual SPC'!$G$4="",'Data Entry'!$D5475='Visual SPC'!$G$4),OR('Visual SPC'!$I$4="",'Data Entry'!$E5475='Visual SPC'!$I$4),OR('Visual SPC'!$K$4="",'Data Entry'!$F5475='Visual SPC'!$K$4)),1,0))</f>
        <v/>
      </c>
      <c r="C5475">
        <f>C5474+B5475</f>
        <v/>
      </c>
      <c r="D5475">
        <f>IF(B5475=1,INDEX('Data Entry'!$H$5:$BE$10004,5475-4,'Visual SPC'!$B$3),"")</f>
        <v/>
      </c>
      <c r="E5475">
        <f>IF(B5475=1,D5475,E5474)</f>
        <v/>
      </c>
      <c r="F5475">
        <f>IF(AND(B5475=1,C5475&gt;1,E5474&lt;&gt;""),ABS(D5475-E5474),"")</f>
        <v/>
      </c>
    </row>
    <row r="5476">
      <c r="A5476" t="n">
        <v>5476</v>
      </c>
      <c r="B5476">
        <f>IF(INDEX('Data Entry'!$H$5:$BE$10004,5476-4,'Visual SPC'!$B$3)="",0,IF(AND(OR('Visual SPC'!$C$4="",'Data Entry'!$C5476&gt;='Visual SPC'!$C$4),OR('Visual SPC'!$E$4="",'Data Entry'!$C5476&lt;='Visual SPC'!$E$4),OR('Visual SPC'!$G$4="",'Data Entry'!$D5476='Visual SPC'!$G$4),OR('Visual SPC'!$I$4="",'Data Entry'!$E5476='Visual SPC'!$I$4),OR('Visual SPC'!$K$4="",'Data Entry'!$F5476='Visual SPC'!$K$4)),1,0))</f>
        <v/>
      </c>
      <c r="C5476">
        <f>C5475+B5476</f>
        <v/>
      </c>
      <c r="D5476">
        <f>IF(B5476=1,INDEX('Data Entry'!$H$5:$BE$10004,5476-4,'Visual SPC'!$B$3),"")</f>
        <v/>
      </c>
      <c r="E5476">
        <f>IF(B5476=1,D5476,E5475)</f>
        <v/>
      </c>
      <c r="F5476">
        <f>IF(AND(B5476=1,C5476&gt;1,E5475&lt;&gt;""),ABS(D5476-E5475),"")</f>
        <v/>
      </c>
    </row>
    <row r="5477">
      <c r="A5477" t="n">
        <v>5477</v>
      </c>
      <c r="B5477">
        <f>IF(INDEX('Data Entry'!$H$5:$BE$10004,5477-4,'Visual SPC'!$B$3)="",0,IF(AND(OR('Visual SPC'!$C$4="",'Data Entry'!$C5477&gt;='Visual SPC'!$C$4),OR('Visual SPC'!$E$4="",'Data Entry'!$C5477&lt;='Visual SPC'!$E$4),OR('Visual SPC'!$G$4="",'Data Entry'!$D5477='Visual SPC'!$G$4),OR('Visual SPC'!$I$4="",'Data Entry'!$E5477='Visual SPC'!$I$4),OR('Visual SPC'!$K$4="",'Data Entry'!$F5477='Visual SPC'!$K$4)),1,0))</f>
        <v/>
      </c>
      <c r="C5477">
        <f>C5476+B5477</f>
        <v/>
      </c>
      <c r="D5477">
        <f>IF(B5477=1,INDEX('Data Entry'!$H$5:$BE$10004,5477-4,'Visual SPC'!$B$3),"")</f>
        <v/>
      </c>
      <c r="E5477">
        <f>IF(B5477=1,D5477,E5476)</f>
        <v/>
      </c>
      <c r="F5477">
        <f>IF(AND(B5477=1,C5477&gt;1,E5476&lt;&gt;""),ABS(D5477-E5476),"")</f>
        <v/>
      </c>
    </row>
    <row r="5478">
      <c r="A5478" t="n">
        <v>5478</v>
      </c>
      <c r="B5478">
        <f>IF(INDEX('Data Entry'!$H$5:$BE$10004,5478-4,'Visual SPC'!$B$3)="",0,IF(AND(OR('Visual SPC'!$C$4="",'Data Entry'!$C5478&gt;='Visual SPC'!$C$4),OR('Visual SPC'!$E$4="",'Data Entry'!$C5478&lt;='Visual SPC'!$E$4),OR('Visual SPC'!$G$4="",'Data Entry'!$D5478='Visual SPC'!$G$4),OR('Visual SPC'!$I$4="",'Data Entry'!$E5478='Visual SPC'!$I$4),OR('Visual SPC'!$K$4="",'Data Entry'!$F5478='Visual SPC'!$K$4)),1,0))</f>
        <v/>
      </c>
      <c r="C5478">
        <f>C5477+B5478</f>
        <v/>
      </c>
      <c r="D5478">
        <f>IF(B5478=1,INDEX('Data Entry'!$H$5:$BE$10004,5478-4,'Visual SPC'!$B$3),"")</f>
        <v/>
      </c>
      <c r="E5478">
        <f>IF(B5478=1,D5478,E5477)</f>
        <v/>
      </c>
      <c r="F5478">
        <f>IF(AND(B5478=1,C5478&gt;1,E5477&lt;&gt;""),ABS(D5478-E5477),"")</f>
        <v/>
      </c>
    </row>
    <row r="5479">
      <c r="A5479" t="n">
        <v>5479</v>
      </c>
      <c r="B5479">
        <f>IF(INDEX('Data Entry'!$H$5:$BE$10004,5479-4,'Visual SPC'!$B$3)="",0,IF(AND(OR('Visual SPC'!$C$4="",'Data Entry'!$C5479&gt;='Visual SPC'!$C$4),OR('Visual SPC'!$E$4="",'Data Entry'!$C5479&lt;='Visual SPC'!$E$4),OR('Visual SPC'!$G$4="",'Data Entry'!$D5479='Visual SPC'!$G$4),OR('Visual SPC'!$I$4="",'Data Entry'!$E5479='Visual SPC'!$I$4),OR('Visual SPC'!$K$4="",'Data Entry'!$F5479='Visual SPC'!$K$4)),1,0))</f>
        <v/>
      </c>
      <c r="C5479">
        <f>C5478+B5479</f>
        <v/>
      </c>
      <c r="D5479">
        <f>IF(B5479=1,INDEX('Data Entry'!$H$5:$BE$10004,5479-4,'Visual SPC'!$B$3),"")</f>
        <v/>
      </c>
      <c r="E5479">
        <f>IF(B5479=1,D5479,E5478)</f>
        <v/>
      </c>
      <c r="F5479">
        <f>IF(AND(B5479=1,C5479&gt;1,E5478&lt;&gt;""),ABS(D5479-E5478),"")</f>
        <v/>
      </c>
    </row>
    <row r="5480">
      <c r="A5480" t="n">
        <v>5480</v>
      </c>
      <c r="B5480">
        <f>IF(INDEX('Data Entry'!$H$5:$BE$10004,5480-4,'Visual SPC'!$B$3)="",0,IF(AND(OR('Visual SPC'!$C$4="",'Data Entry'!$C5480&gt;='Visual SPC'!$C$4),OR('Visual SPC'!$E$4="",'Data Entry'!$C5480&lt;='Visual SPC'!$E$4),OR('Visual SPC'!$G$4="",'Data Entry'!$D5480='Visual SPC'!$G$4),OR('Visual SPC'!$I$4="",'Data Entry'!$E5480='Visual SPC'!$I$4),OR('Visual SPC'!$K$4="",'Data Entry'!$F5480='Visual SPC'!$K$4)),1,0))</f>
        <v/>
      </c>
      <c r="C5480">
        <f>C5479+B5480</f>
        <v/>
      </c>
      <c r="D5480">
        <f>IF(B5480=1,INDEX('Data Entry'!$H$5:$BE$10004,5480-4,'Visual SPC'!$B$3),"")</f>
        <v/>
      </c>
      <c r="E5480">
        <f>IF(B5480=1,D5480,E5479)</f>
        <v/>
      </c>
      <c r="F5480">
        <f>IF(AND(B5480=1,C5480&gt;1,E5479&lt;&gt;""),ABS(D5480-E5479),"")</f>
        <v/>
      </c>
    </row>
    <row r="5481">
      <c r="A5481" t="n">
        <v>5481</v>
      </c>
      <c r="B5481">
        <f>IF(INDEX('Data Entry'!$H$5:$BE$10004,5481-4,'Visual SPC'!$B$3)="",0,IF(AND(OR('Visual SPC'!$C$4="",'Data Entry'!$C5481&gt;='Visual SPC'!$C$4),OR('Visual SPC'!$E$4="",'Data Entry'!$C5481&lt;='Visual SPC'!$E$4),OR('Visual SPC'!$G$4="",'Data Entry'!$D5481='Visual SPC'!$G$4),OR('Visual SPC'!$I$4="",'Data Entry'!$E5481='Visual SPC'!$I$4),OR('Visual SPC'!$K$4="",'Data Entry'!$F5481='Visual SPC'!$K$4)),1,0))</f>
        <v/>
      </c>
      <c r="C5481">
        <f>C5480+B5481</f>
        <v/>
      </c>
      <c r="D5481">
        <f>IF(B5481=1,INDEX('Data Entry'!$H$5:$BE$10004,5481-4,'Visual SPC'!$B$3),"")</f>
        <v/>
      </c>
      <c r="E5481">
        <f>IF(B5481=1,D5481,E5480)</f>
        <v/>
      </c>
      <c r="F5481">
        <f>IF(AND(B5481=1,C5481&gt;1,E5480&lt;&gt;""),ABS(D5481-E5480),"")</f>
        <v/>
      </c>
    </row>
    <row r="5482">
      <c r="A5482" t="n">
        <v>5482</v>
      </c>
      <c r="B5482">
        <f>IF(INDEX('Data Entry'!$H$5:$BE$10004,5482-4,'Visual SPC'!$B$3)="",0,IF(AND(OR('Visual SPC'!$C$4="",'Data Entry'!$C5482&gt;='Visual SPC'!$C$4),OR('Visual SPC'!$E$4="",'Data Entry'!$C5482&lt;='Visual SPC'!$E$4),OR('Visual SPC'!$G$4="",'Data Entry'!$D5482='Visual SPC'!$G$4),OR('Visual SPC'!$I$4="",'Data Entry'!$E5482='Visual SPC'!$I$4),OR('Visual SPC'!$K$4="",'Data Entry'!$F5482='Visual SPC'!$K$4)),1,0))</f>
        <v/>
      </c>
      <c r="C5482">
        <f>C5481+B5482</f>
        <v/>
      </c>
      <c r="D5482">
        <f>IF(B5482=1,INDEX('Data Entry'!$H$5:$BE$10004,5482-4,'Visual SPC'!$B$3),"")</f>
        <v/>
      </c>
      <c r="E5482">
        <f>IF(B5482=1,D5482,E5481)</f>
        <v/>
      </c>
      <c r="F5482">
        <f>IF(AND(B5482=1,C5482&gt;1,E5481&lt;&gt;""),ABS(D5482-E5481),"")</f>
        <v/>
      </c>
    </row>
    <row r="5483">
      <c r="A5483" t="n">
        <v>5483</v>
      </c>
      <c r="B5483">
        <f>IF(INDEX('Data Entry'!$H$5:$BE$10004,5483-4,'Visual SPC'!$B$3)="",0,IF(AND(OR('Visual SPC'!$C$4="",'Data Entry'!$C5483&gt;='Visual SPC'!$C$4),OR('Visual SPC'!$E$4="",'Data Entry'!$C5483&lt;='Visual SPC'!$E$4),OR('Visual SPC'!$G$4="",'Data Entry'!$D5483='Visual SPC'!$G$4),OR('Visual SPC'!$I$4="",'Data Entry'!$E5483='Visual SPC'!$I$4),OR('Visual SPC'!$K$4="",'Data Entry'!$F5483='Visual SPC'!$K$4)),1,0))</f>
        <v/>
      </c>
      <c r="C5483">
        <f>C5482+B5483</f>
        <v/>
      </c>
      <c r="D5483">
        <f>IF(B5483=1,INDEX('Data Entry'!$H$5:$BE$10004,5483-4,'Visual SPC'!$B$3),"")</f>
        <v/>
      </c>
      <c r="E5483">
        <f>IF(B5483=1,D5483,E5482)</f>
        <v/>
      </c>
      <c r="F5483">
        <f>IF(AND(B5483=1,C5483&gt;1,E5482&lt;&gt;""),ABS(D5483-E5482),"")</f>
        <v/>
      </c>
    </row>
    <row r="5484">
      <c r="A5484" t="n">
        <v>5484</v>
      </c>
      <c r="B5484">
        <f>IF(INDEX('Data Entry'!$H$5:$BE$10004,5484-4,'Visual SPC'!$B$3)="",0,IF(AND(OR('Visual SPC'!$C$4="",'Data Entry'!$C5484&gt;='Visual SPC'!$C$4),OR('Visual SPC'!$E$4="",'Data Entry'!$C5484&lt;='Visual SPC'!$E$4),OR('Visual SPC'!$G$4="",'Data Entry'!$D5484='Visual SPC'!$G$4),OR('Visual SPC'!$I$4="",'Data Entry'!$E5484='Visual SPC'!$I$4),OR('Visual SPC'!$K$4="",'Data Entry'!$F5484='Visual SPC'!$K$4)),1,0))</f>
        <v/>
      </c>
      <c r="C5484">
        <f>C5483+B5484</f>
        <v/>
      </c>
      <c r="D5484">
        <f>IF(B5484=1,INDEX('Data Entry'!$H$5:$BE$10004,5484-4,'Visual SPC'!$B$3),"")</f>
        <v/>
      </c>
      <c r="E5484">
        <f>IF(B5484=1,D5484,E5483)</f>
        <v/>
      </c>
      <c r="F5484">
        <f>IF(AND(B5484=1,C5484&gt;1,E5483&lt;&gt;""),ABS(D5484-E5483),"")</f>
        <v/>
      </c>
    </row>
    <row r="5485">
      <c r="A5485" t="n">
        <v>5485</v>
      </c>
      <c r="B5485">
        <f>IF(INDEX('Data Entry'!$H$5:$BE$10004,5485-4,'Visual SPC'!$B$3)="",0,IF(AND(OR('Visual SPC'!$C$4="",'Data Entry'!$C5485&gt;='Visual SPC'!$C$4),OR('Visual SPC'!$E$4="",'Data Entry'!$C5485&lt;='Visual SPC'!$E$4),OR('Visual SPC'!$G$4="",'Data Entry'!$D5485='Visual SPC'!$G$4),OR('Visual SPC'!$I$4="",'Data Entry'!$E5485='Visual SPC'!$I$4),OR('Visual SPC'!$K$4="",'Data Entry'!$F5485='Visual SPC'!$K$4)),1,0))</f>
        <v/>
      </c>
      <c r="C5485">
        <f>C5484+B5485</f>
        <v/>
      </c>
      <c r="D5485">
        <f>IF(B5485=1,INDEX('Data Entry'!$H$5:$BE$10004,5485-4,'Visual SPC'!$B$3),"")</f>
        <v/>
      </c>
      <c r="E5485">
        <f>IF(B5485=1,D5485,E5484)</f>
        <v/>
      </c>
      <c r="F5485">
        <f>IF(AND(B5485=1,C5485&gt;1,E5484&lt;&gt;""),ABS(D5485-E5484),"")</f>
        <v/>
      </c>
    </row>
    <row r="5486">
      <c r="A5486" t="n">
        <v>5486</v>
      </c>
      <c r="B5486">
        <f>IF(INDEX('Data Entry'!$H$5:$BE$10004,5486-4,'Visual SPC'!$B$3)="",0,IF(AND(OR('Visual SPC'!$C$4="",'Data Entry'!$C5486&gt;='Visual SPC'!$C$4),OR('Visual SPC'!$E$4="",'Data Entry'!$C5486&lt;='Visual SPC'!$E$4),OR('Visual SPC'!$G$4="",'Data Entry'!$D5486='Visual SPC'!$G$4),OR('Visual SPC'!$I$4="",'Data Entry'!$E5486='Visual SPC'!$I$4),OR('Visual SPC'!$K$4="",'Data Entry'!$F5486='Visual SPC'!$K$4)),1,0))</f>
        <v/>
      </c>
      <c r="C5486">
        <f>C5485+B5486</f>
        <v/>
      </c>
      <c r="D5486">
        <f>IF(B5486=1,INDEX('Data Entry'!$H$5:$BE$10004,5486-4,'Visual SPC'!$B$3),"")</f>
        <v/>
      </c>
      <c r="E5486">
        <f>IF(B5486=1,D5486,E5485)</f>
        <v/>
      </c>
      <c r="F5486">
        <f>IF(AND(B5486=1,C5486&gt;1,E5485&lt;&gt;""),ABS(D5486-E5485),"")</f>
        <v/>
      </c>
    </row>
    <row r="5487">
      <c r="A5487" t="n">
        <v>5487</v>
      </c>
      <c r="B5487">
        <f>IF(INDEX('Data Entry'!$H$5:$BE$10004,5487-4,'Visual SPC'!$B$3)="",0,IF(AND(OR('Visual SPC'!$C$4="",'Data Entry'!$C5487&gt;='Visual SPC'!$C$4),OR('Visual SPC'!$E$4="",'Data Entry'!$C5487&lt;='Visual SPC'!$E$4),OR('Visual SPC'!$G$4="",'Data Entry'!$D5487='Visual SPC'!$G$4),OR('Visual SPC'!$I$4="",'Data Entry'!$E5487='Visual SPC'!$I$4),OR('Visual SPC'!$K$4="",'Data Entry'!$F5487='Visual SPC'!$K$4)),1,0))</f>
        <v/>
      </c>
      <c r="C5487">
        <f>C5486+B5487</f>
        <v/>
      </c>
      <c r="D5487">
        <f>IF(B5487=1,INDEX('Data Entry'!$H$5:$BE$10004,5487-4,'Visual SPC'!$B$3),"")</f>
        <v/>
      </c>
      <c r="E5487">
        <f>IF(B5487=1,D5487,E5486)</f>
        <v/>
      </c>
      <c r="F5487">
        <f>IF(AND(B5487=1,C5487&gt;1,E5486&lt;&gt;""),ABS(D5487-E5486),"")</f>
        <v/>
      </c>
    </row>
    <row r="5488">
      <c r="A5488" t="n">
        <v>5488</v>
      </c>
      <c r="B5488">
        <f>IF(INDEX('Data Entry'!$H$5:$BE$10004,5488-4,'Visual SPC'!$B$3)="",0,IF(AND(OR('Visual SPC'!$C$4="",'Data Entry'!$C5488&gt;='Visual SPC'!$C$4),OR('Visual SPC'!$E$4="",'Data Entry'!$C5488&lt;='Visual SPC'!$E$4),OR('Visual SPC'!$G$4="",'Data Entry'!$D5488='Visual SPC'!$G$4),OR('Visual SPC'!$I$4="",'Data Entry'!$E5488='Visual SPC'!$I$4),OR('Visual SPC'!$K$4="",'Data Entry'!$F5488='Visual SPC'!$K$4)),1,0))</f>
        <v/>
      </c>
      <c r="C5488">
        <f>C5487+B5488</f>
        <v/>
      </c>
      <c r="D5488">
        <f>IF(B5488=1,INDEX('Data Entry'!$H$5:$BE$10004,5488-4,'Visual SPC'!$B$3),"")</f>
        <v/>
      </c>
      <c r="E5488">
        <f>IF(B5488=1,D5488,E5487)</f>
        <v/>
      </c>
      <c r="F5488">
        <f>IF(AND(B5488=1,C5488&gt;1,E5487&lt;&gt;""),ABS(D5488-E5487),"")</f>
        <v/>
      </c>
    </row>
    <row r="5489">
      <c r="A5489" t="n">
        <v>5489</v>
      </c>
      <c r="B5489">
        <f>IF(INDEX('Data Entry'!$H$5:$BE$10004,5489-4,'Visual SPC'!$B$3)="",0,IF(AND(OR('Visual SPC'!$C$4="",'Data Entry'!$C5489&gt;='Visual SPC'!$C$4),OR('Visual SPC'!$E$4="",'Data Entry'!$C5489&lt;='Visual SPC'!$E$4),OR('Visual SPC'!$G$4="",'Data Entry'!$D5489='Visual SPC'!$G$4),OR('Visual SPC'!$I$4="",'Data Entry'!$E5489='Visual SPC'!$I$4),OR('Visual SPC'!$K$4="",'Data Entry'!$F5489='Visual SPC'!$K$4)),1,0))</f>
        <v/>
      </c>
      <c r="C5489">
        <f>C5488+B5489</f>
        <v/>
      </c>
      <c r="D5489">
        <f>IF(B5489=1,INDEX('Data Entry'!$H$5:$BE$10004,5489-4,'Visual SPC'!$B$3),"")</f>
        <v/>
      </c>
      <c r="E5489">
        <f>IF(B5489=1,D5489,E5488)</f>
        <v/>
      </c>
      <c r="F5489">
        <f>IF(AND(B5489=1,C5489&gt;1,E5488&lt;&gt;""),ABS(D5489-E5488),"")</f>
        <v/>
      </c>
    </row>
    <row r="5490">
      <c r="A5490" t="n">
        <v>5490</v>
      </c>
      <c r="B5490">
        <f>IF(INDEX('Data Entry'!$H$5:$BE$10004,5490-4,'Visual SPC'!$B$3)="",0,IF(AND(OR('Visual SPC'!$C$4="",'Data Entry'!$C5490&gt;='Visual SPC'!$C$4),OR('Visual SPC'!$E$4="",'Data Entry'!$C5490&lt;='Visual SPC'!$E$4),OR('Visual SPC'!$G$4="",'Data Entry'!$D5490='Visual SPC'!$G$4),OR('Visual SPC'!$I$4="",'Data Entry'!$E5490='Visual SPC'!$I$4),OR('Visual SPC'!$K$4="",'Data Entry'!$F5490='Visual SPC'!$K$4)),1,0))</f>
        <v/>
      </c>
      <c r="C5490">
        <f>C5489+B5490</f>
        <v/>
      </c>
      <c r="D5490">
        <f>IF(B5490=1,INDEX('Data Entry'!$H$5:$BE$10004,5490-4,'Visual SPC'!$B$3),"")</f>
        <v/>
      </c>
      <c r="E5490">
        <f>IF(B5490=1,D5490,E5489)</f>
        <v/>
      </c>
      <c r="F5490">
        <f>IF(AND(B5490=1,C5490&gt;1,E5489&lt;&gt;""),ABS(D5490-E5489),"")</f>
        <v/>
      </c>
    </row>
    <row r="5491">
      <c r="A5491" t="n">
        <v>5491</v>
      </c>
      <c r="B5491">
        <f>IF(INDEX('Data Entry'!$H$5:$BE$10004,5491-4,'Visual SPC'!$B$3)="",0,IF(AND(OR('Visual SPC'!$C$4="",'Data Entry'!$C5491&gt;='Visual SPC'!$C$4),OR('Visual SPC'!$E$4="",'Data Entry'!$C5491&lt;='Visual SPC'!$E$4),OR('Visual SPC'!$G$4="",'Data Entry'!$D5491='Visual SPC'!$G$4),OR('Visual SPC'!$I$4="",'Data Entry'!$E5491='Visual SPC'!$I$4),OR('Visual SPC'!$K$4="",'Data Entry'!$F5491='Visual SPC'!$K$4)),1,0))</f>
        <v/>
      </c>
      <c r="C5491">
        <f>C5490+B5491</f>
        <v/>
      </c>
      <c r="D5491">
        <f>IF(B5491=1,INDEX('Data Entry'!$H$5:$BE$10004,5491-4,'Visual SPC'!$B$3),"")</f>
        <v/>
      </c>
      <c r="E5491">
        <f>IF(B5491=1,D5491,E5490)</f>
        <v/>
      </c>
      <c r="F5491">
        <f>IF(AND(B5491=1,C5491&gt;1,E5490&lt;&gt;""),ABS(D5491-E5490),"")</f>
        <v/>
      </c>
    </row>
    <row r="5492">
      <c r="A5492" t="n">
        <v>5492</v>
      </c>
      <c r="B5492">
        <f>IF(INDEX('Data Entry'!$H$5:$BE$10004,5492-4,'Visual SPC'!$B$3)="",0,IF(AND(OR('Visual SPC'!$C$4="",'Data Entry'!$C5492&gt;='Visual SPC'!$C$4),OR('Visual SPC'!$E$4="",'Data Entry'!$C5492&lt;='Visual SPC'!$E$4),OR('Visual SPC'!$G$4="",'Data Entry'!$D5492='Visual SPC'!$G$4),OR('Visual SPC'!$I$4="",'Data Entry'!$E5492='Visual SPC'!$I$4),OR('Visual SPC'!$K$4="",'Data Entry'!$F5492='Visual SPC'!$K$4)),1,0))</f>
        <v/>
      </c>
      <c r="C5492">
        <f>C5491+B5492</f>
        <v/>
      </c>
      <c r="D5492">
        <f>IF(B5492=1,INDEX('Data Entry'!$H$5:$BE$10004,5492-4,'Visual SPC'!$B$3),"")</f>
        <v/>
      </c>
      <c r="E5492">
        <f>IF(B5492=1,D5492,E5491)</f>
        <v/>
      </c>
      <c r="F5492">
        <f>IF(AND(B5492=1,C5492&gt;1,E5491&lt;&gt;""),ABS(D5492-E5491),"")</f>
        <v/>
      </c>
    </row>
    <row r="5493">
      <c r="A5493" t="n">
        <v>5493</v>
      </c>
      <c r="B5493">
        <f>IF(INDEX('Data Entry'!$H$5:$BE$10004,5493-4,'Visual SPC'!$B$3)="",0,IF(AND(OR('Visual SPC'!$C$4="",'Data Entry'!$C5493&gt;='Visual SPC'!$C$4),OR('Visual SPC'!$E$4="",'Data Entry'!$C5493&lt;='Visual SPC'!$E$4),OR('Visual SPC'!$G$4="",'Data Entry'!$D5493='Visual SPC'!$G$4),OR('Visual SPC'!$I$4="",'Data Entry'!$E5493='Visual SPC'!$I$4),OR('Visual SPC'!$K$4="",'Data Entry'!$F5493='Visual SPC'!$K$4)),1,0))</f>
        <v/>
      </c>
      <c r="C5493">
        <f>C5492+B5493</f>
        <v/>
      </c>
      <c r="D5493">
        <f>IF(B5493=1,INDEX('Data Entry'!$H$5:$BE$10004,5493-4,'Visual SPC'!$B$3),"")</f>
        <v/>
      </c>
      <c r="E5493">
        <f>IF(B5493=1,D5493,E5492)</f>
        <v/>
      </c>
      <c r="F5493">
        <f>IF(AND(B5493=1,C5493&gt;1,E5492&lt;&gt;""),ABS(D5493-E5492),"")</f>
        <v/>
      </c>
    </row>
    <row r="5494">
      <c r="A5494" t="n">
        <v>5494</v>
      </c>
      <c r="B5494">
        <f>IF(INDEX('Data Entry'!$H$5:$BE$10004,5494-4,'Visual SPC'!$B$3)="",0,IF(AND(OR('Visual SPC'!$C$4="",'Data Entry'!$C5494&gt;='Visual SPC'!$C$4),OR('Visual SPC'!$E$4="",'Data Entry'!$C5494&lt;='Visual SPC'!$E$4),OR('Visual SPC'!$G$4="",'Data Entry'!$D5494='Visual SPC'!$G$4),OR('Visual SPC'!$I$4="",'Data Entry'!$E5494='Visual SPC'!$I$4),OR('Visual SPC'!$K$4="",'Data Entry'!$F5494='Visual SPC'!$K$4)),1,0))</f>
        <v/>
      </c>
      <c r="C5494">
        <f>C5493+B5494</f>
        <v/>
      </c>
      <c r="D5494">
        <f>IF(B5494=1,INDEX('Data Entry'!$H$5:$BE$10004,5494-4,'Visual SPC'!$B$3),"")</f>
        <v/>
      </c>
      <c r="E5494">
        <f>IF(B5494=1,D5494,E5493)</f>
        <v/>
      </c>
      <c r="F5494">
        <f>IF(AND(B5494=1,C5494&gt;1,E5493&lt;&gt;""),ABS(D5494-E5493),"")</f>
        <v/>
      </c>
    </row>
    <row r="5495">
      <c r="A5495" t="n">
        <v>5495</v>
      </c>
      <c r="B5495">
        <f>IF(INDEX('Data Entry'!$H$5:$BE$10004,5495-4,'Visual SPC'!$B$3)="",0,IF(AND(OR('Visual SPC'!$C$4="",'Data Entry'!$C5495&gt;='Visual SPC'!$C$4),OR('Visual SPC'!$E$4="",'Data Entry'!$C5495&lt;='Visual SPC'!$E$4),OR('Visual SPC'!$G$4="",'Data Entry'!$D5495='Visual SPC'!$G$4),OR('Visual SPC'!$I$4="",'Data Entry'!$E5495='Visual SPC'!$I$4),OR('Visual SPC'!$K$4="",'Data Entry'!$F5495='Visual SPC'!$K$4)),1,0))</f>
        <v/>
      </c>
      <c r="C5495">
        <f>C5494+B5495</f>
        <v/>
      </c>
      <c r="D5495">
        <f>IF(B5495=1,INDEX('Data Entry'!$H$5:$BE$10004,5495-4,'Visual SPC'!$B$3),"")</f>
        <v/>
      </c>
      <c r="E5495">
        <f>IF(B5495=1,D5495,E5494)</f>
        <v/>
      </c>
      <c r="F5495">
        <f>IF(AND(B5495=1,C5495&gt;1,E5494&lt;&gt;""),ABS(D5495-E5494),"")</f>
        <v/>
      </c>
    </row>
    <row r="5496">
      <c r="A5496" t="n">
        <v>5496</v>
      </c>
      <c r="B5496">
        <f>IF(INDEX('Data Entry'!$H$5:$BE$10004,5496-4,'Visual SPC'!$B$3)="",0,IF(AND(OR('Visual SPC'!$C$4="",'Data Entry'!$C5496&gt;='Visual SPC'!$C$4),OR('Visual SPC'!$E$4="",'Data Entry'!$C5496&lt;='Visual SPC'!$E$4),OR('Visual SPC'!$G$4="",'Data Entry'!$D5496='Visual SPC'!$G$4),OR('Visual SPC'!$I$4="",'Data Entry'!$E5496='Visual SPC'!$I$4),OR('Visual SPC'!$K$4="",'Data Entry'!$F5496='Visual SPC'!$K$4)),1,0))</f>
        <v/>
      </c>
      <c r="C5496">
        <f>C5495+B5496</f>
        <v/>
      </c>
      <c r="D5496">
        <f>IF(B5496=1,INDEX('Data Entry'!$H$5:$BE$10004,5496-4,'Visual SPC'!$B$3),"")</f>
        <v/>
      </c>
      <c r="E5496">
        <f>IF(B5496=1,D5496,E5495)</f>
        <v/>
      </c>
      <c r="F5496">
        <f>IF(AND(B5496=1,C5496&gt;1,E5495&lt;&gt;""),ABS(D5496-E5495),"")</f>
        <v/>
      </c>
    </row>
    <row r="5497">
      <c r="A5497" t="n">
        <v>5497</v>
      </c>
      <c r="B5497">
        <f>IF(INDEX('Data Entry'!$H$5:$BE$10004,5497-4,'Visual SPC'!$B$3)="",0,IF(AND(OR('Visual SPC'!$C$4="",'Data Entry'!$C5497&gt;='Visual SPC'!$C$4),OR('Visual SPC'!$E$4="",'Data Entry'!$C5497&lt;='Visual SPC'!$E$4),OR('Visual SPC'!$G$4="",'Data Entry'!$D5497='Visual SPC'!$G$4),OR('Visual SPC'!$I$4="",'Data Entry'!$E5497='Visual SPC'!$I$4),OR('Visual SPC'!$K$4="",'Data Entry'!$F5497='Visual SPC'!$K$4)),1,0))</f>
        <v/>
      </c>
      <c r="C5497">
        <f>C5496+B5497</f>
        <v/>
      </c>
      <c r="D5497">
        <f>IF(B5497=1,INDEX('Data Entry'!$H$5:$BE$10004,5497-4,'Visual SPC'!$B$3),"")</f>
        <v/>
      </c>
      <c r="E5497">
        <f>IF(B5497=1,D5497,E5496)</f>
        <v/>
      </c>
      <c r="F5497">
        <f>IF(AND(B5497=1,C5497&gt;1,E5496&lt;&gt;""),ABS(D5497-E5496),"")</f>
        <v/>
      </c>
    </row>
    <row r="5498">
      <c r="A5498" t="n">
        <v>5498</v>
      </c>
      <c r="B5498">
        <f>IF(INDEX('Data Entry'!$H$5:$BE$10004,5498-4,'Visual SPC'!$B$3)="",0,IF(AND(OR('Visual SPC'!$C$4="",'Data Entry'!$C5498&gt;='Visual SPC'!$C$4),OR('Visual SPC'!$E$4="",'Data Entry'!$C5498&lt;='Visual SPC'!$E$4),OR('Visual SPC'!$G$4="",'Data Entry'!$D5498='Visual SPC'!$G$4),OR('Visual SPC'!$I$4="",'Data Entry'!$E5498='Visual SPC'!$I$4),OR('Visual SPC'!$K$4="",'Data Entry'!$F5498='Visual SPC'!$K$4)),1,0))</f>
        <v/>
      </c>
      <c r="C5498">
        <f>C5497+B5498</f>
        <v/>
      </c>
      <c r="D5498">
        <f>IF(B5498=1,INDEX('Data Entry'!$H$5:$BE$10004,5498-4,'Visual SPC'!$B$3),"")</f>
        <v/>
      </c>
      <c r="E5498">
        <f>IF(B5498=1,D5498,E5497)</f>
        <v/>
      </c>
      <c r="F5498">
        <f>IF(AND(B5498=1,C5498&gt;1,E5497&lt;&gt;""),ABS(D5498-E5497),"")</f>
        <v/>
      </c>
    </row>
    <row r="5499">
      <c r="A5499" t="n">
        <v>5499</v>
      </c>
      <c r="B5499">
        <f>IF(INDEX('Data Entry'!$H$5:$BE$10004,5499-4,'Visual SPC'!$B$3)="",0,IF(AND(OR('Visual SPC'!$C$4="",'Data Entry'!$C5499&gt;='Visual SPC'!$C$4),OR('Visual SPC'!$E$4="",'Data Entry'!$C5499&lt;='Visual SPC'!$E$4),OR('Visual SPC'!$G$4="",'Data Entry'!$D5499='Visual SPC'!$G$4),OR('Visual SPC'!$I$4="",'Data Entry'!$E5499='Visual SPC'!$I$4),OR('Visual SPC'!$K$4="",'Data Entry'!$F5499='Visual SPC'!$K$4)),1,0))</f>
        <v/>
      </c>
      <c r="C5499">
        <f>C5498+B5499</f>
        <v/>
      </c>
      <c r="D5499">
        <f>IF(B5499=1,INDEX('Data Entry'!$H$5:$BE$10004,5499-4,'Visual SPC'!$B$3),"")</f>
        <v/>
      </c>
      <c r="E5499">
        <f>IF(B5499=1,D5499,E5498)</f>
        <v/>
      </c>
      <c r="F5499">
        <f>IF(AND(B5499=1,C5499&gt;1,E5498&lt;&gt;""),ABS(D5499-E5498),"")</f>
        <v/>
      </c>
    </row>
    <row r="5500">
      <c r="A5500" t="n">
        <v>5500</v>
      </c>
      <c r="B5500">
        <f>IF(INDEX('Data Entry'!$H$5:$BE$10004,5500-4,'Visual SPC'!$B$3)="",0,IF(AND(OR('Visual SPC'!$C$4="",'Data Entry'!$C5500&gt;='Visual SPC'!$C$4),OR('Visual SPC'!$E$4="",'Data Entry'!$C5500&lt;='Visual SPC'!$E$4),OR('Visual SPC'!$G$4="",'Data Entry'!$D5500='Visual SPC'!$G$4),OR('Visual SPC'!$I$4="",'Data Entry'!$E5500='Visual SPC'!$I$4),OR('Visual SPC'!$K$4="",'Data Entry'!$F5500='Visual SPC'!$K$4)),1,0))</f>
        <v/>
      </c>
      <c r="C5500">
        <f>C5499+B5500</f>
        <v/>
      </c>
      <c r="D5500">
        <f>IF(B5500=1,INDEX('Data Entry'!$H$5:$BE$10004,5500-4,'Visual SPC'!$B$3),"")</f>
        <v/>
      </c>
      <c r="E5500">
        <f>IF(B5500=1,D5500,E5499)</f>
        <v/>
      </c>
      <c r="F5500">
        <f>IF(AND(B5500=1,C5500&gt;1,E5499&lt;&gt;""),ABS(D5500-E5499),"")</f>
        <v/>
      </c>
    </row>
    <row r="5501">
      <c r="A5501" t="n">
        <v>5501</v>
      </c>
      <c r="B5501">
        <f>IF(INDEX('Data Entry'!$H$5:$BE$10004,5501-4,'Visual SPC'!$B$3)="",0,IF(AND(OR('Visual SPC'!$C$4="",'Data Entry'!$C5501&gt;='Visual SPC'!$C$4),OR('Visual SPC'!$E$4="",'Data Entry'!$C5501&lt;='Visual SPC'!$E$4),OR('Visual SPC'!$G$4="",'Data Entry'!$D5501='Visual SPC'!$G$4),OR('Visual SPC'!$I$4="",'Data Entry'!$E5501='Visual SPC'!$I$4),OR('Visual SPC'!$K$4="",'Data Entry'!$F5501='Visual SPC'!$K$4)),1,0))</f>
        <v/>
      </c>
      <c r="C5501">
        <f>C5500+B5501</f>
        <v/>
      </c>
      <c r="D5501">
        <f>IF(B5501=1,INDEX('Data Entry'!$H$5:$BE$10004,5501-4,'Visual SPC'!$B$3),"")</f>
        <v/>
      </c>
      <c r="E5501">
        <f>IF(B5501=1,D5501,E5500)</f>
        <v/>
      </c>
      <c r="F5501">
        <f>IF(AND(B5501=1,C5501&gt;1,E5500&lt;&gt;""),ABS(D5501-E5500),"")</f>
        <v/>
      </c>
    </row>
    <row r="5502">
      <c r="A5502" t="n">
        <v>5502</v>
      </c>
      <c r="B5502">
        <f>IF(INDEX('Data Entry'!$H$5:$BE$10004,5502-4,'Visual SPC'!$B$3)="",0,IF(AND(OR('Visual SPC'!$C$4="",'Data Entry'!$C5502&gt;='Visual SPC'!$C$4),OR('Visual SPC'!$E$4="",'Data Entry'!$C5502&lt;='Visual SPC'!$E$4),OR('Visual SPC'!$G$4="",'Data Entry'!$D5502='Visual SPC'!$G$4),OR('Visual SPC'!$I$4="",'Data Entry'!$E5502='Visual SPC'!$I$4),OR('Visual SPC'!$K$4="",'Data Entry'!$F5502='Visual SPC'!$K$4)),1,0))</f>
        <v/>
      </c>
      <c r="C5502">
        <f>C5501+B5502</f>
        <v/>
      </c>
      <c r="D5502">
        <f>IF(B5502=1,INDEX('Data Entry'!$H$5:$BE$10004,5502-4,'Visual SPC'!$B$3),"")</f>
        <v/>
      </c>
      <c r="E5502">
        <f>IF(B5502=1,D5502,E5501)</f>
        <v/>
      </c>
      <c r="F5502">
        <f>IF(AND(B5502=1,C5502&gt;1,E5501&lt;&gt;""),ABS(D5502-E5501),"")</f>
        <v/>
      </c>
    </row>
    <row r="5503">
      <c r="A5503" t="n">
        <v>5503</v>
      </c>
      <c r="B5503">
        <f>IF(INDEX('Data Entry'!$H$5:$BE$10004,5503-4,'Visual SPC'!$B$3)="",0,IF(AND(OR('Visual SPC'!$C$4="",'Data Entry'!$C5503&gt;='Visual SPC'!$C$4),OR('Visual SPC'!$E$4="",'Data Entry'!$C5503&lt;='Visual SPC'!$E$4),OR('Visual SPC'!$G$4="",'Data Entry'!$D5503='Visual SPC'!$G$4),OR('Visual SPC'!$I$4="",'Data Entry'!$E5503='Visual SPC'!$I$4),OR('Visual SPC'!$K$4="",'Data Entry'!$F5503='Visual SPC'!$K$4)),1,0))</f>
        <v/>
      </c>
      <c r="C5503">
        <f>C5502+B5503</f>
        <v/>
      </c>
      <c r="D5503">
        <f>IF(B5503=1,INDEX('Data Entry'!$H$5:$BE$10004,5503-4,'Visual SPC'!$B$3),"")</f>
        <v/>
      </c>
      <c r="E5503">
        <f>IF(B5503=1,D5503,E5502)</f>
        <v/>
      </c>
      <c r="F5503">
        <f>IF(AND(B5503=1,C5503&gt;1,E5502&lt;&gt;""),ABS(D5503-E5502),"")</f>
        <v/>
      </c>
    </row>
    <row r="5504">
      <c r="A5504" t="n">
        <v>5504</v>
      </c>
      <c r="B5504">
        <f>IF(INDEX('Data Entry'!$H$5:$BE$10004,5504-4,'Visual SPC'!$B$3)="",0,IF(AND(OR('Visual SPC'!$C$4="",'Data Entry'!$C5504&gt;='Visual SPC'!$C$4),OR('Visual SPC'!$E$4="",'Data Entry'!$C5504&lt;='Visual SPC'!$E$4),OR('Visual SPC'!$G$4="",'Data Entry'!$D5504='Visual SPC'!$G$4),OR('Visual SPC'!$I$4="",'Data Entry'!$E5504='Visual SPC'!$I$4),OR('Visual SPC'!$K$4="",'Data Entry'!$F5504='Visual SPC'!$K$4)),1,0))</f>
        <v/>
      </c>
      <c r="C5504">
        <f>C5503+B5504</f>
        <v/>
      </c>
      <c r="D5504">
        <f>IF(B5504=1,INDEX('Data Entry'!$H$5:$BE$10004,5504-4,'Visual SPC'!$B$3),"")</f>
        <v/>
      </c>
      <c r="E5504">
        <f>IF(B5504=1,D5504,E5503)</f>
        <v/>
      </c>
      <c r="F5504">
        <f>IF(AND(B5504=1,C5504&gt;1,E5503&lt;&gt;""),ABS(D5504-E5503),"")</f>
        <v/>
      </c>
    </row>
    <row r="5505">
      <c r="A5505" t="n">
        <v>5505</v>
      </c>
      <c r="B5505">
        <f>IF(INDEX('Data Entry'!$H$5:$BE$10004,5505-4,'Visual SPC'!$B$3)="",0,IF(AND(OR('Visual SPC'!$C$4="",'Data Entry'!$C5505&gt;='Visual SPC'!$C$4),OR('Visual SPC'!$E$4="",'Data Entry'!$C5505&lt;='Visual SPC'!$E$4),OR('Visual SPC'!$G$4="",'Data Entry'!$D5505='Visual SPC'!$G$4),OR('Visual SPC'!$I$4="",'Data Entry'!$E5505='Visual SPC'!$I$4),OR('Visual SPC'!$K$4="",'Data Entry'!$F5505='Visual SPC'!$K$4)),1,0))</f>
        <v/>
      </c>
      <c r="C5505">
        <f>C5504+B5505</f>
        <v/>
      </c>
      <c r="D5505">
        <f>IF(B5505=1,INDEX('Data Entry'!$H$5:$BE$10004,5505-4,'Visual SPC'!$B$3),"")</f>
        <v/>
      </c>
      <c r="E5505">
        <f>IF(B5505=1,D5505,E5504)</f>
        <v/>
      </c>
      <c r="F5505">
        <f>IF(AND(B5505=1,C5505&gt;1,E5504&lt;&gt;""),ABS(D5505-E5504),"")</f>
        <v/>
      </c>
    </row>
    <row r="5506">
      <c r="A5506" t="n">
        <v>5506</v>
      </c>
      <c r="B5506">
        <f>IF(INDEX('Data Entry'!$H$5:$BE$10004,5506-4,'Visual SPC'!$B$3)="",0,IF(AND(OR('Visual SPC'!$C$4="",'Data Entry'!$C5506&gt;='Visual SPC'!$C$4),OR('Visual SPC'!$E$4="",'Data Entry'!$C5506&lt;='Visual SPC'!$E$4),OR('Visual SPC'!$G$4="",'Data Entry'!$D5506='Visual SPC'!$G$4),OR('Visual SPC'!$I$4="",'Data Entry'!$E5506='Visual SPC'!$I$4),OR('Visual SPC'!$K$4="",'Data Entry'!$F5506='Visual SPC'!$K$4)),1,0))</f>
        <v/>
      </c>
      <c r="C5506">
        <f>C5505+B5506</f>
        <v/>
      </c>
      <c r="D5506">
        <f>IF(B5506=1,INDEX('Data Entry'!$H$5:$BE$10004,5506-4,'Visual SPC'!$B$3),"")</f>
        <v/>
      </c>
      <c r="E5506">
        <f>IF(B5506=1,D5506,E5505)</f>
        <v/>
      </c>
      <c r="F5506">
        <f>IF(AND(B5506=1,C5506&gt;1,E5505&lt;&gt;""),ABS(D5506-E5505),"")</f>
        <v/>
      </c>
    </row>
    <row r="5507">
      <c r="A5507" t="n">
        <v>5507</v>
      </c>
      <c r="B5507">
        <f>IF(INDEX('Data Entry'!$H$5:$BE$10004,5507-4,'Visual SPC'!$B$3)="",0,IF(AND(OR('Visual SPC'!$C$4="",'Data Entry'!$C5507&gt;='Visual SPC'!$C$4),OR('Visual SPC'!$E$4="",'Data Entry'!$C5507&lt;='Visual SPC'!$E$4),OR('Visual SPC'!$G$4="",'Data Entry'!$D5507='Visual SPC'!$G$4),OR('Visual SPC'!$I$4="",'Data Entry'!$E5507='Visual SPC'!$I$4),OR('Visual SPC'!$K$4="",'Data Entry'!$F5507='Visual SPC'!$K$4)),1,0))</f>
        <v/>
      </c>
      <c r="C5507">
        <f>C5506+B5507</f>
        <v/>
      </c>
      <c r="D5507">
        <f>IF(B5507=1,INDEX('Data Entry'!$H$5:$BE$10004,5507-4,'Visual SPC'!$B$3),"")</f>
        <v/>
      </c>
      <c r="E5507">
        <f>IF(B5507=1,D5507,E5506)</f>
        <v/>
      </c>
      <c r="F5507">
        <f>IF(AND(B5507=1,C5507&gt;1,E5506&lt;&gt;""),ABS(D5507-E5506),"")</f>
        <v/>
      </c>
    </row>
    <row r="5508">
      <c r="A5508" t="n">
        <v>5508</v>
      </c>
      <c r="B5508">
        <f>IF(INDEX('Data Entry'!$H$5:$BE$10004,5508-4,'Visual SPC'!$B$3)="",0,IF(AND(OR('Visual SPC'!$C$4="",'Data Entry'!$C5508&gt;='Visual SPC'!$C$4),OR('Visual SPC'!$E$4="",'Data Entry'!$C5508&lt;='Visual SPC'!$E$4),OR('Visual SPC'!$G$4="",'Data Entry'!$D5508='Visual SPC'!$G$4),OR('Visual SPC'!$I$4="",'Data Entry'!$E5508='Visual SPC'!$I$4),OR('Visual SPC'!$K$4="",'Data Entry'!$F5508='Visual SPC'!$K$4)),1,0))</f>
        <v/>
      </c>
      <c r="C5508">
        <f>C5507+B5508</f>
        <v/>
      </c>
      <c r="D5508">
        <f>IF(B5508=1,INDEX('Data Entry'!$H$5:$BE$10004,5508-4,'Visual SPC'!$B$3),"")</f>
        <v/>
      </c>
      <c r="E5508">
        <f>IF(B5508=1,D5508,E5507)</f>
        <v/>
      </c>
      <c r="F5508">
        <f>IF(AND(B5508=1,C5508&gt;1,E5507&lt;&gt;""),ABS(D5508-E5507),"")</f>
        <v/>
      </c>
    </row>
    <row r="5509">
      <c r="A5509" t="n">
        <v>5509</v>
      </c>
      <c r="B5509">
        <f>IF(INDEX('Data Entry'!$H$5:$BE$10004,5509-4,'Visual SPC'!$B$3)="",0,IF(AND(OR('Visual SPC'!$C$4="",'Data Entry'!$C5509&gt;='Visual SPC'!$C$4),OR('Visual SPC'!$E$4="",'Data Entry'!$C5509&lt;='Visual SPC'!$E$4),OR('Visual SPC'!$G$4="",'Data Entry'!$D5509='Visual SPC'!$G$4),OR('Visual SPC'!$I$4="",'Data Entry'!$E5509='Visual SPC'!$I$4),OR('Visual SPC'!$K$4="",'Data Entry'!$F5509='Visual SPC'!$K$4)),1,0))</f>
        <v/>
      </c>
      <c r="C5509">
        <f>C5508+B5509</f>
        <v/>
      </c>
      <c r="D5509">
        <f>IF(B5509=1,INDEX('Data Entry'!$H$5:$BE$10004,5509-4,'Visual SPC'!$B$3),"")</f>
        <v/>
      </c>
      <c r="E5509">
        <f>IF(B5509=1,D5509,E5508)</f>
        <v/>
      </c>
      <c r="F5509">
        <f>IF(AND(B5509=1,C5509&gt;1,E5508&lt;&gt;""),ABS(D5509-E5508),"")</f>
        <v/>
      </c>
    </row>
    <row r="5510">
      <c r="A5510" t="n">
        <v>5510</v>
      </c>
      <c r="B5510">
        <f>IF(INDEX('Data Entry'!$H$5:$BE$10004,5510-4,'Visual SPC'!$B$3)="",0,IF(AND(OR('Visual SPC'!$C$4="",'Data Entry'!$C5510&gt;='Visual SPC'!$C$4),OR('Visual SPC'!$E$4="",'Data Entry'!$C5510&lt;='Visual SPC'!$E$4),OR('Visual SPC'!$G$4="",'Data Entry'!$D5510='Visual SPC'!$G$4),OR('Visual SPC'!$I$4="",'Data Entry'!$E5510='Visual SPC'!$I$4),OR('Visual SPC'!$K$4="",'Data Entry'!$F5510='Visual SPC'!$K$4)),1,0))</f>
        <v/>
      </c>
      <c r="C5510">
        <f>C5509+B5510</f>
        <v/>
      </c>
      <c r="D5510">
        <f>IF(B5510=1,INDEX('Data Entry'!$H$5:$BE$10004,5510-4,'Visual SPC'!$B$3),"")</f>
        <v/>
      </c>
      <c r="E5510">
        <f>IF(B5510=1,D5510,E5509)</f>
        <v/>
      </c>
      <c r="F5510">
        <f>IF(AND(B5510=1,C5510&gt;1,E5509&lt;&gt;""),ABS(D5510-E5509),"")</f>
        <v/>
      </c>
    </row>
    <row r="5511">
      <c r="A5511" t="n">
        <v>5511</v>
      </c>
      <c r="B5511">
        <f>IF(INDEX('Data Entry'!$H$5:$BE$10004,5511-4,'Visual SPC'!$B$3)="",0,IF(AND(OR('Visual SPC'!$C$4="",'Data Entry'!$C5511&gt;='Visual SPC'!$C$4),OR('Visual SPC'!$E$4="",'Data Entry'!$C5511&lt;='Visual SPC'!$E$4),OR('Visual SPC'!$G$4="",'Data Entry'!$D5511='Visual SPC'!$G$4),OR('Visual SPC'!$I$4="",'Data Entry'!$E5511='Visual SPC'!$I$4),OR('Visual SPC'!$K$4="",'Data Entry'!$F5511='Visual SPC'!$K$4)),1,0))</f>
        <v/>
      </c>
      <c r="C5511">
        <f>C5510+B5511</f>
        <v/>
      </c>
      <c r="D5511">
        <f>IF(B5511=1,INDEX('Data Entry'!$H$5:$BE$10004,5511-4,'Visual SPC'!$B$3),"")</f>
        <v/>
      </c>
      <c r="E5511">
        <f>IF(B5511=1,D5511,E5510)</f>
        <v/>
      </c>
      <c r="F5511">
        <f>IF(AND(B5511=1,C5511&gt;1,E5510&lt;&gt;""),ABS(D5511-E5510),"")</f>
        <v/>
      </c>
    </row>
    <row r="5512">
      <c r="A5512" t="n">
        <v>5512</v>
      </c>
      <c r="B5512">
        <f>IF(INDEX('Data Entry'!$H$5:$BE$10004,5512-4,'Visual SPC'!$B$3)="",0,IF(AND(OR('Visual SPC'!$C$4="",'Data Entry'!$C5512&gt;='Visual SPC'!$C$4),OR('Visual SPC'!$E$4="",'Data Entry'!$C5512&lt;='Visual SPC'!$E$4),OR('Visual SPC'!$G$4="",'Data Entry'!$D5512='Visual SPC'!$G$4),OR('Visual SPC'!$I$4="",'Data Entry'!$E5512='Visual SPC'!$I$4),OR('Visual SPC'!$K$4="",'Data Entry'!$F5512='Visual SPC'!$K$4)),1,0))</f>
        <v/>
      </c>
      <c r="C5512">
        <f>C5511+B5512</f>
        <v/>
      </c>
      <c r="D5512">
        <f>IF(B5512=1,INDEX('Data Entry'!$H$5:$BE$10004,5512-4,'Visual SPC'!$B$3),"")</f>
        <v/>
      </c>
      <c r="E5512">
        <f>IF(B5512=1,D5512,E5511)</f>
        <v/>
      </c>
      <c r="F5512">
        <f>IF(AND(B5512=1,C5512&gt;1,E5511&lt;&gt;""),ABS(D5512-E5511),"")</f>
        <v/>
      </c>
    </row>
    <row r="5513">
      <c r="A5513" t="n">
        <v>5513</v>
      </c>
      <c r="B5513">
        <f>IF(INDEX('Data Entry'!$H$5:$BE$10004,5513-4,'Visual SPC'!$B$3)="",0,IF(AND(OR('Visual SPC'!$C$4="",'Data Entry'!$C5513&gt;='Visual SPC'!$C$4),OR('Visual SPC'!$E$4="",'Data Entry'!$C5513&lt;='Visual SPC'!$E$4),OR('Visual SPC'!$G$4="",'Data Entry'!$D5513='Visual SPC'!$G$4),OR('Visual SPC'!$I$4="",'Data Entry'!$E5513='Visual SPC'!$I$4),OR('Visual SPC'!$K$4="",'Data Entry'!$F5513='Visual SPC'!$K$4)),1,0))</f>
        <v/>
      </c>
      <c r="C5513">
        <f>C5512+B5513</f>
        <v/>
      </c>
      <c r="D5513">
        <f>IF(B5513=1,INDEX('Data Entry'!$H$5:$BE$10004,5513-4,'Visual SPC'!$B$3),"")</f>
        <v/>
      </c>
      <c r="E5513">
        <f>IF(B5513=1,D5513,E5512)</f>
        <v/>
      </c>
      <c r="F5513">
        <f>IF(AND(B5513=1,C5513&gt;1,E5512&lt;&gt;""),ABS(D5513-E5512),"")</f>
        <v/>
      </c>
    </row>
    <row r="5514">
      <c r="A5514" t="n">
        <v>5514</v>
      </c>
      <c r="B5514">
        <f>IF(INDEX('Data Entry'!$H$5:$BE$10004,5514-4,'Visual SPC'!$B$3)="",0,IF(AND(OR('Visual SPC'!$C$4="",'Data Entry'!$C5514&gt;='Visual SPC'!$C$4),OR('Visual SPC'!$E$4="",'Data Entry'!$C5514&lt;='Visual SPC'!$E$4),OR('Visual SPC'!$G$4="",'Data Entry'!$D5514='Visual SPC'!$G$4),OR('Visual SPC'!$I$4="",'Data Entry'!$E5514='Visual SPC'!$I$4),OR('Visual SPC'!$K$4="",'Data Entry'!$F5514='Visual SPC'!$K$4)),1,0))</f>
        <v/>
      </c>
      <c r="C5514">
        <f>C5513+B5514</f>
        <v/>
      </c>
      <c r="D5514">
        <f>IF(B5514=1,INDEX('Data Entry'!$H$5:$BE$10004,5514-4,'Visual SPC'!$B$3),"")</f>
        <v/>
      </c>
      <c r="E5514">
        <f>IF(B5514=1,D5514,E5513)</f>
        <v/>
      </c>
      <c r="F5514">
        <f>IF(AND(B5514=1,C5514&gt;1,E5513&lt;&gt;""),ABS(D5514-E5513),"")</f>
        <v/>
      </c>
    </row>
    <row r="5515">
      <c r="A5515" t="n">
        <v>5515</v>
      </c>
      <c r="B5515">
        <f>IF(INDEX('Data Entry'!$H$5:$BE$10004,5515-4,'Visual SPC'!$B$3)="",0,IF(AND(OR('Visual SPC'!$C$4="",'Data Entry'!$C5515&gt;='Visual SPC'!$C$4),OR('Visual SPC'!$E$4="",'Data Entry'!$C5515&lt;='Visual SPC'!$E$4),OR('Visual SPC'!$G$4="",'Data Entry'!$D5515='Visual SPC'!$G$4),OR('Visual SPC'!$I$4="",'Data Entry'!$E5515='Visual SPC'!$I$4),OR('Visual SPC'!$K$4="",'Data Entry'!$F5515='Visual SPC'!$K$4)),1,0))</f>
        <v/>
      </c>
      <c r="C5515">
        <f>C5514+B5515</f>
        <v/>
      </c>
      <c r="D5515">
        <f>IF(B5515=1,INDEX('Data Entry'!$H$5:$BE$10004,5515-4,'Visual SPC'!$B$3),"")</f>
        <v/>
      </c>
      <c r="E5515">
        <f>IF(B5515=1,D5515,E5514)</f>
        <v/>
      </c>
      <c r="F5515">
        <f>IF(AND(B5515=1,C5515&gt;1,E5514&lt;&gt;""),ABS(D5515-E5514),"")</f>
        <v/>
      </c>
    </row>
    <row r="5516">
      <c r="A5516" t="n">
        <v>5516</v>
      </c>
      <c r="B5516">
        <f>IF(INDEX('Data Entry'!$H$5:$BE$10004,5516-4,'Visual SPC'!$B$3)="",0,IF(AND(OR('Visual SPC'!$C$4="",'Data Entry'!$C5516&gt;='Visual SPC'!$C$4),OR('Visual SPC'!$E$4="",'Data Entry'!$C5516&lt;='Visual SPC'!$E$4),OR('Visual SPC'!$G$4="",'Data Entry'!$D5516='Visual SPC'!$G$4),OR('Visual SPC'!$I$4="",'Data Entry'!$E5516='Visual SPC'!$I$4),OR('Visual SPC'!$K$4="",'Data Entry'!$F5516='Visual SPC'!$K$4)),1,0))</f>
        <v/>
      </c>
      <c r="C5516">
        <f>C5515+B5516</f>
        <v/>
      </c>
      <c r="D5516">
        <f>IF(B5516=1,INDEX('Data Entry'!$H$5:$BE$10004,5516-4,'Visual SPC'!$B$3),"")</f>
        <v/>
      </c>
      <c r="E5516">
        <f>IF(B5516=1,D5516,E5515)</f>
        <v/>
      </c>
      <c r="F5516">
        <f>IF(AND(B5516=1,C5516&gt;1,E5515&lt;&gt;""),ABS(D5516-E5515),"")</f>
        <v/>
      </c>
    </row>
    <row r="5517">
      <c r="A5517" t="n">
        <v>5517</v>
      </c>
      <c r="B5517">
        <f>IF(INDEX('Data Entry'!$H$5:$BE$10004,5517-4,'Visual SPC'!$B$3)="",0,IF(AND(OR('Visual SPC'!$C$4="",'Data Entry'!$C5517&gt;='Visual SPC'!$C$4),OR('Visual SPC'!$E$4="",'Data Entry'!$C5517&lt;='Visual SPC'!$E$4),OR('Visual SPC'!$G$4="",'Data Entry'!$D5517='Visual SPC'!$G$4),OR('Visual SPC'!$I$4="",'Data Entry'!$E5517='Visual SPC'!$I$4),OR('Visual SPC'!$K$4="",'Data Entry'!$F5517='Visual SPC'!$K$4)),1,0))</f>
        <v/>
      </c>
      <c r="C5517">
        <f>C5516+B5517</f>
        <v/>
      </c>
      <c r="D5517">
        <f>IF(B5517=1,INDEX('Data Entry'!$H$5:$BE$10004,5517-4,'Visual SPC'!$B$3),"")</f>
        <v/>
      </c>
      <c r="E5517">
        <f>IF(B5517=1,D5517,E5516)</f>
        <v/>
      </c>
      <c r="F5517">
        <f>IF(AND(B5517=1,C5517&gt;1,E5516&lt;&gt;""),ABS(D5517-E5516),"")</f>
        <v/>
      </c>
    </row>
    <row r="5518">
      <c r="A5518" t="n">
        <v>5518</v>
      </c>
      <c r="B5518">
        <f>IF(INDEX('Data Entry'!$H$5:$BE$10004,5518-4,'Visual SPC'!$B$3)="",0,IF(AND(OR('Visual SPC'!$C$4="",'Data Entry'!$C5518&gt;='Visual SPC'!$C$4),OR('Visual SPC'!$E$4="",'Data Entry'!$C5518&lt;='Visual SPC'!$E$4),OR('Visual SPC'!$G$4="",'Data Entry'!$D5518='Visual SPC'!$G$4),OR('Visual SPC'!$I$4="",'Data Entry'!$E5518='Visual SPC'!$I$4),OR('Visual SPC'!$K$4="",'Data Entry'!$F5518='Visual SPC'!$K$4)),1,0))</f>
        <v/>
      </c>
      <c r="C5518">
        <f>C5517+B5518</f>
        <v/>
      </c>
      <c r="D5518">
        <f>IF(B5518=1,INDEX('Data Entry'!$H$5:$BE$10004,5518-4,'Visual SPC'!$B$3),"")</f>
        <v/>
      </c>
      <c r="E5518">
        <f>IF(B5518=1,D5518,E5517)</f>
        <v/>
      </c>
      <c r="F5518">
        <f>IF(AND(B5518=1,C5518&gt;1,E5517&lt;&gt;""),ABS(D5518-E5517),"")</f>
        <v/>
      </c>
    </row>
    <row r="5519">
      <c r="A5519" t="n">
        <v>5519</v>
      </c>
      <c r="B5519">
        <f>IF(INDEX('Data Entry'!$H$5:$BE$10004,5519-4,'Visual SPC'!$B$3)="",0,IF(AND(OR('Visual SPC'!$C$4="",'Data Entry'!$C5519&gt;='Visual SPC'!$C$4),OR('Visual SPC'!$E$4="",'Data Entry'!$C5519&lt;='Visual SPC'!$E$4),OR('Visual SPC'!$G$4="",'Data Entry'!$D5519='Visual SPC'!$G$4),OR('Visual SPC'!$I$4="",'Data Entry'!$E5519='Visual SPC'!$I$4),OR('Visual SPC'!$K$4="",'Data Entry'!$F5519='Visual SPC'!$K$4)),1,0))</f>
        <v/>
      </c>
      <c r="C5519">
        <f>C5518+B5519</f>
        <v/>
      </c>
      <c r="D5519">
        <f>IF(B5519=1,INDEX('Data Entry'!$H$5:$BE$10004,5519-4,'Visual SPC'!$B$3),"")</f>
        <v/>
      </c>
      <c r="E5519">
        <f>IF(B5519=1,D5519,E5518)</f>
        <v/>
      </c>
      <c r="F5519">
        <f>IF(AND(B5519=1,C5519&gt;1,E5518&lt;&gt;""),ABS(D5519-E5518),"")</f>
        <v/>
      </c>
    </row>
    <row r="5520">
      <c r="A5520" t="n">
        <v>5520</v>
      </c>
      <c r="B5520">
        <f>IF(INDEX('Data Entry'!$H$5:$BE$10004,5520-4,'Visual SPC'!$B$3)="",0,IF(AND(OR('Visual SPC'!$C$4="",'Data Entry'!$C5520&gt;='Visual SPC'!$C$4),OR('Visual SPC'!$E$4="",'Data Entry'!$C5520&lt;='Visual SPC'!$E$4),OR('Visual SPC'!$G$4="",'Data Entry'!$D5520='Visual SPC'!$G$4),OR('Visual SPC'!$I$4="",'Data Entry'!$E5520='Visual SPC'!$I$4),OR('Visual SPC'!$K$4="",'Data Entry'!$F5520='Visual SPC'!$K$4)),1,0))</f>
        <v/>
      </c>
      <c r="C5520">
        <f>C5519+B5520</f>
        <v/>
      </c>
      <c r="D5520">
        <f>IF(B5520=1,INDEX('Data Entry'!$H$5:$BE$10004,5520-4,'Visual SPC'!$B$3),"")</f>
        <v/>
      </c>
      <c r="E5520">
        <f>IF(B5520=1,D5520,E5519)</f>
        <v/>
      </c>
      <c r="F5520">
        <f>IF(AND(B5520=1,C5520&gt;1,E5519&lt;&gt;""),ABS(D5520-E5519),"")</f>
        <v/>
      </c>
    </row>
    <row r="5521">
      <c r="A5521" t="n">
        <v>5521</v>
      </c>
      <c r="B5521">
        <f>IF(INDEX('Data Entry'!$H$5:$BE$10004,5521-4,'Visual SPC'!$B$3)="",0,IF(AND(OR('Visual SPC'!$C$4="",'Data Entry'!$C5521&gt;='Visual SPC'!$C$4),OR('Visual SPC'!$E$4="",'Data Entry'!$C5521&lt;='Visual SPC'!$E$4),OR('Visual SPC'!$G$4="",'Data Entry'!$D5521='Visual SPC'!$G$4),OR('Visual SPC'!$I$4="",'Data Entry'!$E5521='Visual SPC'!$I$4),OR('Visual SPC'!$K$4="",'Data Entry'!$F5521='Visual SPC'!$K$4)),1,0))</f>
        <v/>
      </c>
      <c r="C5521">
        <f>C5520+B5521</f>
        <v/>
      </c>
      <c r="D5521">
        <f>IF(B5521=1,INDEX('Data Entry'!$H$5:$BE$10004,5521-4,'Visual SPC'!$B$3),"")</f>
        <v/>
      </c>
      <c r="E5521">
        <f>IF(B5521=1,D5521,E5520)</f>
        <v/>
      </c>
      <c r="F5521">
        <f>IF(AND(B5521=1,C5521&gt;1,E5520&lt;&gt;""),ABS(D5521-E5520),"")</f>
        <v/>
      </c>
    </row>
    <row r="5522">
      <c r="A5522" t="n">
        <v>5522</v>
      </c>
      <c r="B5522">
        <f>IF(INDEX('Data Entry'!$H$5:$BE$10004,5522-4,'Visual SPC'!$B$3)="",0,IF(AND(OR('Visual SPC'!$C$4="",'Data Entry'!$C5522&gt;='Visual SPC'!$C$4),OR('Visual SPC'!$E$4="",'Data Entry'!$C5522&lt;='Visual SPC'!$E$4),OR('Visual SPC'!$G$4="",'Data Entry'!$D5522='Visual SPC'!$G$4),OR('Visual SPC'!$I$4="",'Data Entry'!$E5522='Visual SPC'!$I$4),OR('Visual SPC'!$K$4="",'Data Entry'!$F5522='Visual SPC'!$K$4)),1,0))</f>
        <v/>
      </c>
      <c r="C5522">
        <f>C5521+B5522</f>
        <v/>
      </c>
      <c r="D5522">
        <f>IF(B5522=1,INDEX('Data Entry'!$H$5:$BE$10004,5522-4,'Visual SPC'!$B$3),"")</f>
        <v/>
      </c>
      <c r="E5522">
        <f>IF(B5522=1,D5522,E5521)</f>
        <v/>
      </c>
      <c r="F5522">
        <f>IF(AND(B5522=1,C5522&gt;1,E5521&lt;&gt;""),ABS(D5522-E5521),"")</f>
        <v/>
      </c>
    </row>
    <row r="5523">
      <c r="A5523" t="n">
        <v>5523</v>
      </c>
      <c r="B5523">
        <f>IF(INDEX('Data Entry'!$H$5:$BE$10004,5523-4,'Visual SPC'!$B$3)="",0,IF(AND(OR('Visual SPC'!$C$4="",'Data Entry'!$C5523&gt;='Visual SPC'!$C$4),OR('Visual SPC'!$E$4="",'Data Entry'!$C5523&lt;='Visual SPC'!$E$4),OR('Visual SPC'!$G$4="",'Data Entry'!$D5523='Visual SPC'!$G$4),OR('Visual SPC'!$I$4="",'Data Entry'!$E5523='Visual SPC'!$I$4),OR('Visual SPC'!$K$4="",'Data Entry'!$F5523='Visual SPC'!$K$4)),1,0))</f>
        <v/>
      </c>
      <c r="C5523">
        <f>C5522+B5523</f>
        <v/>
      </c>
      <c r="D5523">
        <f>IF(B5523=1,INDEX('Data Entry'!$H$5:$BE$10004,5523-4,'Visual SPC'!$B$3),"")</f>
        <v/>
      </c>
      <c r="E5523">
        <f>IF(B5523=1,D5523,E5522)</f>
        <v/>
      </c>
      <c r="F5523">
        <f>IF(AND(B5523=1,C5523&gt;1,E5522&lt;&gt;""),ABS(D5523-E5522),"")</f>
        <v/>
      </c>
    </row>
    <row r="5524">
      <c r="A5524" t="n">
        <v>5524</v>
      </c>
      <c r="B5524">
        <f>IF(INDEX('Data Entry'!$H$5:$BE$10004,5524-4,'Visual SPC'!$B$3)="",0,IF(AND(OR('Visual SPC'!$C$4="",'Data Entry'!$C5524&gt;='Visual SPC'!$C$4),OR('Visual SPC'!$E$4="",'Data Entry'!$C5524&lt;='Visual SPC'!$E$4),OR('Visual SPC'!$G$4="",'Data Entry'!$D5524='Visual SPC'!$G$4),OR('Visual SPC'!$I$4="",'Data Entry'!$E5524='Visual SPC'!$I$4),OR('Visual SPC'!$K$4="",'Data Entry'!$F5524='Visual SPC'!$K$4)),1,0))</f>
        <v/>
      </c>
      <c r="C5524">
        <f>C5523+B5524</f>
        <v/>
      </c>
      <c r="D5524">
        <f>IF(B5524=1,INDEX('Data Entry'!$H$5:$BE$10004,5524-4,'Visual SPC'!$B$3),"")</f>
        <v/>
      </c>
      <c r="E5524">
        <f>IF(B5524=1,D5524,E5523)</f>
        <v/>
      </c>
      <c r="F5524">
        <f>IF(AND(B5524=1,C5524&gt;1,E5523&lt;&gt;""),ABS(D5524-E5523),"")</f>
        <v/>
      </c>
    </row>
    <row r="5525">
      <c r="A5525" t="n">
        <v>5525</v>
      </c>
      <c r="B5525">
        <f>IF(INDEX('Data Entry'!$H$5:$BE$10004,5525-4,'Visual SPC'!$B$3)="",0,IF(AND(OR('Visual SPC'!$C$4="",'Data Entry'!$C5525&gt;='Visual SPC'!$C$4),OR('Visual SPC'!$E$4="",'Data Entry'!$C5525&lt;='Visual SPC'!$E$4),OR('Visual SPC'!$G$4="",'Data Entry'!$D5525='Visual SPC'!$G$4),OR('Visual SPC'!$I$4="",'Data Entry'!$E5525='Visual SPC'!$I$4),OR('Visual SPC'!$K$4="",'Data Entry'!$F5525='Visual SPC'!$K$4)),1,0))</f>
        <v/>
      </c>
      <c r="C5525">
        <f>C5524+B5525</f>
        <v/>
      </c>
      <c r="D5525">
        <f>IF(B5525=1,INDEX('Data Entry'!$H$5:$BE$10004,5525-4,'Visual SPC'!$B$3),"")</f>
        <v/>
      </c>
      <c r="E5525">
        <f>IF(B5525=1,D5525,E5524)</f>
        <v/>
      </c>
      <c r="F5525">
        <f>IF(AND(B5525=1,C5525&gt;1,E5524&lt;&gt;""),ABS(D5525-E5524),"")</f>
        <v/>
      </c>
    </row>
    <row r="5526">
      <c r="A5526" t="n">
        <v>5526</v>
      </c>
      <c r="B5526">
        <f>IF(INDEX('Data Entry'!$H$5:$BE$10004,5526-4,'Visual SPC'!$B$3)="",0,IF(AND(OR('Visual SPC'!$C$4="",'Data Entry'!$C5526&gt;='Visual SPC'!$C$4),OR('Visual SPC'!$E$4="",'Data Entry'!$C5526&lt;='Visual SPC'!$E$4),OR('Visual SPC'!$G$4="",'Data Entry'!$D5526='Visual SPC'!$G$4),OR('Visual SPC'!$I$4="",'Data Entry'!$E5526='Visual SPC'!$I$4),OR('Visual SPC'!$K$4="",'Data Entry'!$F5526='Visual SPC'!$K$4)),1,0))</f>
        <v/>
      </c>
      <c r="C5526">
        <f>C5525+B5526</f>
        <v/>
      </c>
      <c r="D5526">
        <f>IF(B5526=1,INDEX('Data Entry'!$H$5:$BE$10004,5526-4,'Visual SPC'!$B$3),"")</f>
        <v/>
      </c>
      <c r="E5526">
        <f>IF(B5526=1,D5526,E5525)</f>
        <v/>
      </c>
      <c r="F5526">
        <f>IF(AND(B5526=1,C5526&gt;1,E5525&lt;&gt;""),ABS(D5526-E5525),"")</f>
        <v/>
      </c>
    </row>
    <row r="5527">
      <c r="A5527" t="n">
        <v>5527</v>
      </c>
      <c r="B5527">
        <f>IF(INDEX('Data Entry'!$H$5:$BE$10004,5527-4,'Visual SPC'!$B$3)="",0,IF(AND(OR('Visual SPC'!$C$4="",'Data Entry'!$C5527&gt;='Visual SPC'!$C$4),OR('Visual SPC'!$E$4="",'Data Entry'!$C5527&lt;='Visual SPC'!$E$4),OR('Visual SPC'!$G$4="",'Data Entry'!$D5527='Visual SPC'!$G$4),OR('Visual SPC'!$I$4="",'Data Entry'!$E5527='Visual SPC'!$I$4),OR('Visual SPC'!$K$4="",'Data Entry'!$F5527='Visual SPC'!$K$4)),1,0))</f>
        <v/>
      </c>
      <c r="C5527">
        <f>C5526+B5527</f>
        <v/>
      </c>
      <c r="D5527">
        <f>IF(B5527=1,INDEX('Data Entry'!$H$5:$BE$10004,5527-4,'Visual SPC'!$B$3),"")</f>
        <v/>
      </c>
      <c r="E5527">
        <f>IF(B5527=1,D5527,E5526)</f>
        <v/>
      </c>
      <c r="F5527">
        <f>IF(AND(B5527=1,C5527&gt;1,E5526&lt;&gt;""),ABS(D5527-E5526),"")</f>
        <v/>
      </c>
    </row>
    <row r="5528">
      <c r="A5528" t="n">
        <v>5528</v>
      </c>
      <c r="B5528">
        <f>IF(INDEX('Data Entry'!$H$5:$BE$10004,5528-4,'Visual SPC'!$B$3)="",0,IF(AND(OR('Visual SPC'!$C$4="",'Data Entry'!$C5528&gt;='Visual SPC'!$C$4),OR('Visual SPC'!$E$4="",'Data Entry'!$C5528&lt;='Visual SPC'!$E$4),OR('Visual SPC'!$G$4="",'Data Entry'!$D5528='Visual SPC'!$G$4),OR('Visual SPC'!$I$4="",'Data Entry'!$E5528='Visual SPC'!$I$4),OR('Visual SPC'!$K$4="",'Data Entry'!$F5528='Visual SPC'!$K$4)),1,0))</f>
        <v/>
      </c>
      <c r="C5528">
        <f>C5527+B5528</f>
        <v/>
      </c>
      <c r="D5528">
        <f>IF(B5528=1,INDEX('Data Entry'!$H$5:$BE$10004,5528-4,'Visual SPC'!$B$3),"")</f>
        <v/>
      </c>
      <c r="E5528">
        <f>IF(B5528=1,D5528,E5527)</f>
        <v/>
      </c>
      <c r="F5528">
        <f>IF(AND(B5528=1,C5528&gt;1,E5527&lt;&gt;""),ABS(D5528-E5527),"")</f>
        <v/>
      </c>
    </row>
    <row r="5529">
      <c r="A5529" t="n">
        <v>5529</v>
      </c>
      <c r="B5529">
        <f>IF(INDEX('Data Entry'!$H$5:$BE$10004,5529-4,'Visual SPC'!$B$3)="",0,IF(AND(OR('Visual SPC'!$C$4="",'Data Entry'!$C5529&gt;='Visual SPC'!$C$4),OR('Visual SPC'!$E$4="",'Data Entry'!$C5529&lt;='Visual SPC'!$E$4),OR('Visual SPC'!$G$4="",'Data Entry'!$D5529='Visual SPC'!$G$4),OR('Visual SPC'!$I$4="",'Data Entry'!$E5529='Visual SPC'!$I$4),OR('Visual SPC'!$K$4="",'Data Entry'!$F5529='Visual SPC'!$K$4)),1,0))</f>
        <v/>
      </c>
      <c r="C5529">
        <f>C5528+B5529</f>
        <v/>
      </c>
      <c r="D5529">
        <f>IF(B5529=1,INDEX('Data Entry'!$H$5:$BE$10004,5529-4,'Visual SPC'!$B$3),"")</f>
        <v/>
      </c>
      <c r="E5529">
        <f>IF(B5529=1,D5529,E5528)</f>
        <v/>
      </c>
      <c r="F5529">
        <f>IF(AND(B5529=1,C5529&gt;1,E5528&lt;&gt;""),ABS(D5529-E5528),"")</f>
        <v/>
      </c>
    </row>
    <row r="5530">
      <c r="A5530" t="n">
        <v>5530</v>
      </c>
      <c r="B5530">
        <f>IF(INDEX('Data Entry'!$H$5:$BE$10004,5530-4,'Visual SPC'!$B$3)="",0,IF(AND(OR('Visual SPC'!$C$4="",'Data Entry'!$C5530&gt;='Visual SPC'!$C$4),OR('Visual SPC'!$E$4="",'Data Entry'!$C5530&lt;='Visual SPC'!$E$4),OR('Visual SPC'!$G$4="",'Data Entry'!$D5530='Visual SPC'!$G$4),OR('Visual SPC'!$I$4="",'Data Entry'!$E5530='Visual SPC'!$I$4),OR('Visual SPC'!$K$4="",'Data Entry'!$F5530='Visual SPC'!$K$4)),1,0))</f>
        <v/>
      </c>
      <c r="C5530">
        <f>C5529+B5530</f>
        <v/>
      </c>
      <c r="D5530">
        <f>IF(B5530=1,INDEX('Data Entry'!$H$5:$BE$10004,5530-4,'Visual SPC'!$B$3),"")</f>
        <v/>
      </c>
      <c r="E5530">
        <f>IF(B5530=1,D5530,E5529)</f>
        <v/>
      </c>
      <c r="F5530">
        <f>IF(AND(B5530=1,C5530&gt;1,E5529&lt;&gt;""),ABS(D5530-E5529),"")</f>
        <v/>
      </c>
    </row>
    <row r="5531">
      <c r="A5531" t="n">
        <v>5531</v>
      </c>
      <c r="B5531">
        <f>IF(INDEX('Data Entry'!$H$5:$BE$10004,5531-4,'Visual SPC'!$B$3)="",0,IF(AND(OR('Visual SPC'!$C$4="",'Data Entry'!$C5531&gt;='Visual SPC'!$C$4),OR('Visual SPC'!$E$4="",'Data Entry'!$C5531&lt;='Visual SPC'!$E$4),OR('Visual SPC'!$G$4="",'Data Entry'!$D5531='Visual SPC'!$G$4),OR('Visual SPC'!$I$4="",'Data Entry'!$E5531='Visual SPC'!$I$4),OR('Visual SPC'!$K$4="",'Data Entry'!$F5531='Visual SPC'!$K$4)),1,0))</f>
        <v/>
      </c>
      <c r="C5531">
        <f>C5530+B5531</f>
        <v/>
      </c>
      <c r="D5531">
        <f>IF(B5531=1,INDEX('Data Entry'!$H$5:$BE$10004,5531-4,'Visual SPC'!$B$3),"")</f>
        <v/>
      </c>
      <c r="E5531">
        <f>IF(B5531=1,D5531,E5530)</f>
        <v/>
      </c>
      <c r="F5531">
        <f>IF(AND(B5531=1,C5531&gt;1,E5530&lt;&gt;""),ABS(D5531-E5530),"")</f>
        <v/>
      </c>
    </row>
    <row r="5532">
      <c r="A5532" t="n">
        <v>5532</v>
      </c>
      <c r="B5532">
        <f>IF(INDEX('Data Entry'!$H$5:$BE$10004,5532-4,'Visual SPC'!$B$3)="",0,IF(AND(OR('Visual SPC'!$C$4="",'Data Entry'!$C5532&gt;='Visual SPC'!$C$4),OR('Visual SPC'!$E$4="",'Data Entry'!$C5532&lt;='Visual SPC'!$E$4),OR('Visual SPC'!$G$4="",'Data Entry'!$D5532='Visual SPC'!$G$4),OR('Visual SPC'!$I$4="",'Data Entry'!$E5532='Visual SPC'!$I$4),OR('Visual SPC'!$K$4="",'Data Entry'!$F5532='Visual SPC'!$K$4)),1,0))</f>
        <v/>
      </c>
      <c r="C5532">
        <f>C5531+B5532</f>
        <v/>
      </c>
      <c r="D5532">
        <f>IF(B5532=1,INDEX('Data Entry'!$H$5:$BE$10004,5532-4,'Visual SPC'!$B$3),"")</f>
        <v/>
      </c>
      <c r="E5532">
        <f>IF(B5532=1,D5532,E5531)</f>
        <v/>
      </c>
      <c r="F5532">
        <f>IF(AND(B5532=1,C5532&gt;1,E5531&lt;&gt;""),ABS(D5532-E5531),"")</f>
        <v/>
      </c>
    </row>
    <row r="5533">
      <c r="A5533" t="n">
        <v>5533</v>
      </c>
      <c r="B5533">
        <f>IF(INDEX('Data Entry'!$H$5:$BE$10004,5533-4,'Visual SPC'!$B$3)="",0,IF(AND(OR('Visual SPC'!$C$4="",'Data Entry'!$C5533&gt;='Visual SPC'!$C$4),OR('Visual SPC'!$E$4="",'Data Entry'!$C5533&lt;='Visual SPC'!$E$4),OR('Visual SPC'!$G$4="",'Data Entry'!$D5533='Visual SPC'!$G$4),OR('Visual SPC'!$I$4="",'Data Entry'!$E5533='Visual SPC'!$I$4),OR('Visual SPC'!$K$4="",'Data Entry'!$F5533='Visual SPC'!$K$4)),1,0))</f>
        <v/>
      </c>
      <c r="C5533">
        <f>C5532+B5533</f>
        <v/>
      </c>
      <c r="D5533">
        <f>IF(B5533=1,INDEX('Data Entry'!$H$5:$BE$10004,5533-4,'Visual SPC'!$B$3),"")</f>
        <v/>
      </c>
      <c r="E5533">
        <f>IF(B5533=1,D5533,E5532)</f>
        <v/>
      </c>
      <c r="F5533">
        <f>IF(AND(B5533=1,C5533&gt;1,E5532&lt;&gt;""),ABS(D5533-E5532),"")</f>
        <v/>
      </c>
    </row>
    <row r="5534">
      <c r="A5534" t="n">
        <v>5534</v>
      </c>
      <c r="B5534">
        <f>IF(INDEX('Data Entry'!$H$5:$BE$10004,5534-4,'Visual SPC'!$B$3)="",0,IF(AND(OR('Visual SPC'!$C$4="",'Data Entry'!$C5534&gt;='Visual SPC'!$C$4),OR('Visual SPC'!$E$4="",'Data Entry'!$C5534&lt;='Visual SPC'!$E$4),OR('Visual SPC'!$G$4="",'Data Entry'!$D5534='Visual SPC'!$G$4),OR('Visual SPC'!$I$4="",'Data Entry'!$E5534='Visual SPC'!$I$4),OR('Visual SPC'!$K$4="",'Data Entry'!$F5534='Visual SPC'!$K$4)),1,0))</f>
        <v/>
      </c>
      <c r="C5534">
        <f>C5533+B5534</f>
        <v/>
      </c>
      <c r="D5534">
        <f>IF(B5534=1,INDEX('Data Entry'!$H$5:$BE$10004,5534-4,'Visual SPC'!$B$3),"")</f>
        <v/>
      </c>
      <c r="E5534">
        <f>IF(B5534=1,D5534,E5533)</f>
        <v/>
      </c>
      <c r="F5534">
        <f>IF(AND(B5534=1,C5534&gt;1,E5533&lt;&gt;""),ABS(D5534-E5533),"")</f>
        <v/>
      </c>
    </row>
    <row r="5535">
      <c r="A5535" t="n">
        <v>5535</v>
      </c>
      <c r="B5535">
        <f>IF(INDEX('Data Entry'!$H$5:$BE$10004,5535-4,'Visual SPC'!$B$3)="",0,IF(AND(OR('Visual SPC'!$C$4="",'Data Entry'!$C5535&gt;='Visual SPC'!$C$4),OR('Visual SPC'!$E$4="",'Data Entry'!$C5535&lt;='Visual SPC'!$E$4),OR('Visual SPC'!$G$4="",'Data Entry'!$D5535='Visual SPC'!$G$4),OR('Visual SPC'!$I$4="",'Data Entry'!$E5535='Visual SPC'!$I$4),OR('Visual SPC'!$K$4="",'Data Entry'!$F5535='Visual SPC'!$K$4)),1,0))</f>
        <v/>
      </c>
      <c r="C5535">
        <f>C5534+B5535</f>
        <v/>
      </c>
      <c r="D5535">
        <f>IF(B5535=1,INDEX('Data Entry'!$H$5:$BE$10004,5535-4,'Visual SPC'!$B$3),"")</f>
        <v/>
      </c>
      <c r="E5535">
        <f>IF(B5535=1,D5535,E5534)</f>
        <v/>
      </c>
      <c r="F5535">
        <f>IF(AND(B5535=1,C5535&gt;1,E5534&lt;&gt;""),ABS(D5535-E5534),"")</f>
        <v/>
      </c>
    </row>
    <row r="5536">
      <c r="A5536" t="n">
        <v>5536</v>
      </c>
      <c r="B5536">
        <f>IF(INDEX('Data Entry'!$H$5:$BE$10004,5536-4,'Visual SPC'!$B$3)="",0,IF(AND(OR('Visual SPC'!$C$4="",'Data Entry'!$C5536&gt;='Visual SPC'!$C$4),OR('Visual SPC'!$E$4="",'Data Entry'!$C5536&lt;='Visual SPC'!$E$4),OR('Visual SPC'!$G$4="",'Data Entry'!$D5536='Visual SPC'!$G$4),OR('Visual SPC'!$I$4="",'Data Entry'!$E5536='Visual SPC'!$I$4),OR('Visual SPC'!$K$4="",'Data Entry'!$F5536='Visual SPC'!$K$4)),1,0))</f>
        <v/>
      </c>
      <c r="C5536">
        <f>C5535+B5536</f>
        <v/>
      </c>
      <c r="D5536">
        <f>IF(B5536=1,INDEX('Data Entry'!$H$5:$BE$10004,5536-4,'Visual SPC'!$B$3),"")</f>
        <v/>
      </c>
      <c r="E5536">
        <f>IF(B5536=1,D5536,E5535)</f>
        <v/>
      </c>
      <c r="F5536">
        <f>IF(AND(B5536=1,C5536&gt;1,E5535&lt;&gt;""),ABS(D5536-E5535),"")</f>
        <v/>
      </c>
    </row>
    <row r="5537">
      <c r="A5537" t="n">
        <v>5537</v>
      </c>
      <c r="B5537">
        <f>IF(INDEX('Data Entry'!$H$5:$BE$10004,5537-4,'Visual SPC'!$B$3)="",0,IF(AND(OR('Visual SPC'!$C$4="",'Data Entry'!$C5537&gt;='Visual SPC'!$C$4),OR('Visual SPC'!$E$4="",'Data Entry'!$C5537&lt;='Visual SPC'!$E$4),OR('Visual SPC'!$G$4="",'Data Entry'!$D5537='Visual SPC'!$G$4),OR('Visual SPC'!$I$4="",'Data Entry'!$E5537='Visual SPC'!$I$4),OR('Visual SPC'!$K$4="",'Data Entry'!$F5537='Visual SPC'!$K$4)),1,0))</f>
        <v/>
      </c>
      <c r="C5537">
        <f>C5536+B5537</f>
        <v/>
      </c>
      <c r="D5537">
        <f>IF(B5537=1,INDEX('Data Entry'!$H$5:$BE$10004,5537-4,'Visual SPC'!$B$3),"")</f>
        <v/>
      </c>
      <c r="E5537">
        <f>IF(B5537=1,D5537,E5536)</f>
        <v/>
      </c>
      <c r="F5537">
        <f>IF(AND(B5537=1,C5537&gt;1,E5536&lt;&gt;""),ABS(D5537-E5536),"")</f>
        <v/>
      </c>
    </row>
    <row r="5538">
      <c r="A5538" t="n">
        <v>5538</v>
      </c>
      <c r="B5538">
        <f>IF(INDEX('Data Entry'!$H$5:$BE$10004,5538-4,'Visual SPC'!$B$3)="",0,IF(AND(OR('Visual SPC'!$C$4="",'Data Entry'!$C5538&gt;='Visual SPC'!$C$4),OR('Visual SPC'!$E$4="",'Data Entry'!$C5538&lt;='Visual SPC'!$E$4),OR('Visual SPC'!$G$4="",'Data Entry'!$D5538='Visual SPC'!$G$4),OR('Visual SPC'!$I$4="",'Data Entry'!$E5538='Visual SPC'!$I$4),OR('Visual SPC'!$K$4="",'Data Entry'!$F5538='Visual SPC'!$K$4)),1,0))</f>
        <v/>
      </c>
      <c r="C5538">
        <f>C5537+B5538</f>
        <v/>
      </c>
      <c r="D5538">
        <f>IF(B5538=1,INDEX('Data Entry'!$H$5:$BE$10004,5538-4,'Visual SPC'!$B$3),"")</f>
        <v/>
      </c>
      <c r="E5538">
        <f>IF(B5538=1,D5538,E5537)</f>
        <v/>
      </c>
      <c r="F5538">
        <f>IF(AND(B5538=1,C5538&gt;1,E5537&lt;&gt;""),ABS(D5538-E5537),"")</f>
        <v/>
      </c>
    </row>
    <row r="5539">
      <c r="A5539" t="n">
        <v>5539</v>
      </c>
      <c r="B5539">
        <f>IF(INDEX('Data Entry'!$H$5:$BE$10004,5539-4,'Visual SPC'!$B$3)="",0,IF(AND(OR('Visual SPC'!$C$4="",'Data Entry'!$C5539&gt;='Visual SPC'!$C$4),OR('Visual SPC'!$E$4="",'Data Entry'!$C5539&lt;='Visual SPC'!$E$4),OR('Visual SPC'!$G$4="",'Data Entry'!$D5539='Visual SPC'!$G$4),OR('Visual SPC'!$I$4="",'Data Entry'!$E5539='Visual SPC'!$I$4),OR('Visual SPC'!$K$4="",'Data Entry'!$F5539='Visual SPC'!$K$4)),1,0))</f>
        <v/>
      </c>
      <c r="C5539">
        <f>C5538+B5539</f>
        <v/>
      </c>
      <c r="D5539">
        <f>IF(B5539=1,INDEX('Data Entry'!$H$5:$BE$10004,5539-4,'Visual SPC'!$B$3),"")</f>
        <v/>
      </c>
      <c r="E5539">
        <f>IF(B5539=1,D5539,E5538)</f>
        <v/>
      </c>
      <c r="F5539">
        <f>IF(AND(B5539=1,C5539&gt;1,E5538&lt;&gt;""),ABS(D5539-E5538),"")</f>
        <v/>
      </c>
    </row>
    <row r="5540">
      <c r="A5540" t="n">
        <v>5540</v>
      </c>
      <c r="B5540">
        <f>IF(INDEX('Data Entry'!$H$5:$BE$10004,5540-4,'Visual SPC'!$B$3)="",0,IF(AND(OR('Visual SPC'!$C$4="",'Data Entry'!$C5540&gt;='Visual SPC'!$C$4),OR('Visual SPC'!$E$4="",'Data Entry'!$C5540&lt;='Visual SPC'!$E$4),OR('Visual SPC'!$G$4="",'Data Entry'!$D5540='Visual SPC'!$G$4),OR('Visual SPC'!$I$4="",'Data Entry'!$E5540='Visual SPC'!$I$4),OR('Visual SPC'!$K$4="",'Data Entry'!$F5540='Visual SPC'!$K$4)),1,0))</f>
        <v/>
      </c>
      <c r="C5540">
        <f>C5539+B5540</f>
        <v/>
      </c>
      <c r="D5540">
        <f>IF(B5540=1,INDEX('Data Entry'!$H$5:$BE$10004,5540-4,'Visual SPC'!$B$3),"")</f>
        <v/>
      </c>
      <c r="E5540">
        <f>IF(B5540=1,D5540,E5539)</f>
        <v/>
      </c>
      <c r="F5540">
        <f>IF(AND(B5540=1,C5540&gt;1,E5539&lt;&gt;""),ABS(D5540-E5539),"")</f>
        <v/>
      </c>
    </row>
    <row r="5541">
      <c r="A5541" t="n">
        <v>5541</v>
      </c>
      <c r="B5541">
        <f>IF(INDEX('Data Entry'!$H$5:$BE$10004,5541-4,'Visual SPC'!$B$3)="",0,IF(AND(OR('Visual SPC'!$C$4="",'Data Entry'!$C5541&gt;='Visual SPC'!$C$4),OR('Visual SPC'!$E$4="",'Data Entry'!$C5541&lt;='Visual SPC'!$E$4),OR('Visual SPC'!$G$4="",'Data Entry'!$D5541='Visual SPC'!$G$4),OR('Visual SPC'!$I$4="",'Data Entry'!$E5541='Visual SPC'!$I$4),OR('Visual SPC'!$K$4="",'Data Entry'!$F5541='Visual SPC'!$K$4)),1,0))</f>
        <v/>
      </c>
      <c r="C5541">
        <f>C5540+B5541</f>
        <v/>
      </c>
      <c r="D5541">
        <f>IF(B5541=1,INDEX('Data Entry'!$H$5:$BE$10004,5541-4,'Visual SPC'!$B$3),"")</f>
        <v/>
      </c>
      <c r="E5541">
        <f>IF(B5541=1,D5541,E5540)</f>
        <v/>
      </c>
      <c r="F5541">
        <f>IF(AND(B5541=1,C5541&gt;1,E5540&lt;&gt;""),ABS(D5541-E5540),"")</f>
        <v/>
      </c>
    </row>
    <row r="5542">
      <c r="A5542" t="n">
        <v>5542</v>
      </c>
      <c r="B5542">
        <f>IF(INDEX('Data Entry'!$H$5:$BE$10004,5542-4,'Visual SPC'!$B$3)="",0,IF(AND(OR('Visual SPC'!$C$4="",'Data Entry'!$C5542&gt;='Visual SPC'!$C$4),OR('Visual SPC'!$E$4="",'Data Entry'!$C5542&lt;='Visual SPC'!$E$4),OR('Visual SPC'!$G$4="",'Data Entry'!$D5542='Visual SPC'!$G$4),OR('Visual SPC'!$I$4="",'Data Entry'!$E5542='Visual SPC'!$I$4),OR('Visual SPC'!$K$4="",'Data Entry'!$F5542='Visual SPC'!$K$4)),1,0))</f>
        <v/>
      </c>
      <c r="C5542">
        <f>C5541+B5542</f>
        <v/>
      </c>
      <c r="D5542">
        <f>IF(B5542=1,INDEX('Data Entry'!$H$5:$BE$10004,5542-4,'Visual SPC'!$B$3),"")</f>
        <v/>
      </c>
      <c r="E5542">
        <f>IF(B5542=1,D5542,E5541)</f>
        <v/>
      </c>
      <c r="F5542">
        <f>IF(AND(B5542=1,C5542&gt;1,E5541&lt;&gt;""),ABS(D5542-E5541),"")</f>
        <v/>
      </c>
    </row>
    <row r="5543">
      <c r="A5543" t="n">
        <v>5543</v>
      </c>
      <c r="B5543">
        <f>IF(INDEX('Data Entry'!$H$5:$BE$10004,5543-4,'Visual SPC'!$B$3)="",0,IF(AND(OR('Visual SPC'!$C$4="",'Data Entry'!$C5543&gt;='Visual SPC'!$C$4),OR('Visual SPC'!$E$4="",'Data Entry'!$C5543&lt;='Visual SPC'!$E$4),OR('Visual SPC'!$G$4="",'Data Entry'!$D5543='Visual SPC'!$G$4),OR('Visual SPC'!$I$4="",'Data Entry'!$E5543='Visual SPC'!$I$4),OR('Visual SPC'!$K$4="",'Data Entry'!$F5543='Visual SPC'!$K$4)),1,0))</f>
        <v/>
      </c>
      <c r="C5543">
        <f>C5542+B5543</f>
        <v/>
      </c>
      <c r="D5543">
        <f>IF(B5543=1,INDEX('Data Entry'!$H$5:$BE$10004,5543-4,'Visual SPC'!$B$3),"")</f>
        <v/>
      </c>
      <c r="E5543">
        <f>IF(B5543=1,D5543,E5542)</f>
        <v/>
      </c>
      <c r="F5543">
        <f>IF(AND(B5543=1,C5543&gt;1,E5542&lt;&gt;""),ABS(D5543-E5542),"")</f>
        <v/>
      </c>
    </row>
    <row r="5544">
      <c r="A5544" t="n">
        <v>5544</v>
      </c>
      <c r="B5544">
        <f>IF(INDEX('Data Entry'!$H$5:$BE$10004,5544-4,'Visual SPC'!$B$3)="",0,IF(AND(OR('Visual SPC'!$C$4="",'Data Entry'!$C5544&gt;='Visual SPC'!$C$4),OR('Visual SPC'!$E$4="",'Data Entry'!$C5544&lt;='Visual SPC'!$E$4),OR('Visual SPC'!$G$4="",'Data Entry'!$D5544='Visual SPC'!$G$4),OR('Visual SPC'!$I$4="",'Data Entry'!$E5544='Visual SPC'!$I$4),OR('Visual SPC'!$K$4="",'Data Entry'!$F5544='Visual SPC'!$K$4)),1,0))</f>
        <v/>
      </c>
      <c r="C5544">
        <f>C5543+B5544</f>
        <v/>
      </c>
      <c r="D5544">
        <f>IF(B5544=1,INDEX('Data Entry'!$H$5:$BE$10004,5544-4,'Visual SPC'!$B$3),"")</f>
        <v/>
      </c>
      <c r="E5544">
        <f>IF(B5544=1,D5544,E5543)</f>
        <v/>
      </c>
      <c r="F5544">
        <f>IF(AND(B5544=1,C5544&gt;1,E5543&lt;&gt;""),ABS(D5544-E5543),"")</f>
        <v/>
      </c>
    </row>
    <row r="5545">
      <c r="A5545" t="n">
        <v>5545</v>
      </c>
      <c r="B5545">
        <f>IF(INDEX('Data Entry'!$H$5:$BE$10004,5545-4,'Visual SPC'!$B$3)="",0,IF(AND(OR('Visual SPC'!$C$4="",'Data Entry'!$C5545&gt;='Visual SPC'!$C$4),OR('Visual SPC'!$E$4="",'Data Entry'!$C5545&lt;='Visual SPC'!$E$4),OR('Visual SPC'!$G$4="",'Data Entry'!$D5545='Visual SPC'!$G$4),OR('Visual SPC'!$I$4="",'Data Entry'!$E5545='Visual SPC'!$I$4),OR('Visual SPC'!$K$4="",'Data Entry'!$F5545='Visual SPC'!$K$4)),1,0))</f>
        <v/>
      </c>
      <c r="C5545">
        <f>C5544+B5545</f>
        <v/>
      </c>
      <c r="D5545">
        <f>IF(B5545=1,INDEX('Data Entry'!$H$5:$BE$10004,5545-4,'Visual SPC'!$B$3),"")</f>
        <v/>
      </c>
      <c r="E5545">
        <f>IF(B5545=1,D5545,E5544)</f>
        <v/>
      </c>
      <c r="F5545">
        <f>IF(AND(B5545=1,C5545&gt;1,E5544&lt;&gt;""),ABS(D5545-E5544),"")</f>
        <v/>
      </c>
    </row>
    <row r="5546">
      <c r="A5546" t="n">
        <v>5546</v>
      </c>
      <c r="B5546">
        <f>IF(INDEX('Data Entry'!$H$5:$BE$10004,5546-4,'Visual SPC'!$B$3)="",0,IF(AND(OR('Visual SPC'!$C$4="",'Data Entry'!$C5546&gt;='Visual SPC'!$C$4),OR('Visual SPC'!$E$4="",'Data Entry'!$C5546&lt;='Visual SPC'!$E$4),OR('Visual SPC'!$G$4="",'Data Entry'!$D5546='Visual SPC'!$G$4),OR('Visual SPC'!$I$4="",'Data Entry'!$E5546='Visual SPC'!$I$4),OR('Visual SPC'!$K$4="",'Data Entry'!$F5546='Visual SPC'!$K$4)),1,0))</f>
        <v/>
      </c>
      <c r="C5546">
        <f>C5545+B5546</f>
        <v/>
      </c>
      <c r="D5546">
        <f>IF(B5546=1,INDEX('Data Entry'!$H$5:$BE$10004,5546-4,'Visual SPC'!$B$3),"")</f>
        <v/>
      </c>
      <c r="E5546">
        <f>IF(B5546=1,D5546,E5545)</f>
        <v/>
      </c>
      <c r="F5546">
        <f>IF(AND(B5546=1,C5546&gt;1,E5545&lt;&gt;""),ABS(D5546-E5545),"")</f>
        <v/>
      </c>
    </row>
    <row r="5547">
      <c r="A5547" t="n">
        <v>5547</v>
      </c>
      <c r="B5547">
        <f>IF(INDEX('Data Entry'!$H$5:$BE$10004,5547-4,'Visual SPC'!$B$3)="",0,IF(AND(OR('Visual SPC'!$C$4="",'Data Entry'!$C5547&gt;='Visual SPC'!$C$4),OR('Visual SPC'!$E$4="",'Data Entry'!$C5547&lt;='Visual SPC'!$E$4),OR('Visual SPC'!$G$4="",'Data Entry'!$D5547='Visual SPC'!$G$4),OR('Visual SPC'!$I$4="",'Data Entry'!$E5547='Visual SPC'!$I$4),OR('Visual SPC'!$K$4="",'Data Entry'!$F5547='Visual SPC'!$K$4)),1,0))</f>
        <v/>
      </c>
      <c r="C5547">
        <f>C5546+B5547</f>
        <v/>
      </c>
      <c r="D5547">
        <f>IF(B5547=1,INDEX('Data Entry'!$H$5:$BE$10004,5547-4,'Visual SPC'!$B$3),"")</f>
        <v/>
      </c>
      <c r="E5547">
        <f>IF(B5547=1,D5547,E5546)</f>
        <v/>
      </c>
      <c r="F5547">
        <f>IF(AND(B5547=1,C5547&gt;1,E5546&lt;&gt;""),ABS(D5547-E5546),"")</f>
        <v/>
      </c>
    </row>
    <row r="5548">
      <c r="A5548" t="n">
        <v>5548</v>
      </c>
      <c r="B5548">
        <f>IF(INDEX('Data Entry'!$H$5:$BE$10004,5548-4,'Visual SPC'!$B$3)="",0,IF(AND(OR('Visual SPC'!$C$4="",'Data Entry'!$C5548&gt;='Visual SPC'!$C$4),OR('Visual SPC'!$E$4="",'Data Entry'!$C5548&lt;='Visual SPC'!$E$4),OR('Visual SPC'!$G$4="",'Data Entry'!$D5548='Visual SPC'!$G$4),OR('Visual SPC'!$I$4="",'Data Entry'!$E5548='Visual SPC'!$I$4),OR('Visual SPC'!$K$4="",'Data Entry'!$F5548='Visual SPC'!$K$4)),1,0))</f>
        <v/>
      </c>
      <c r="C5548">
        <f>C5547+B5548</f>
        <v/>
      </c>
      <c r="D5548">
        <f>IF(B5548=1,INDEX('Data Entry'!$H$5:$BE$10004,5548-4,'Visual SPC'!$B$3),"")</f>
        <v/>
      </c>
      <c r="E5548">
        <f>IF(B5548=1,D5548,E5547)</f>
        <v/>
      </c>
      <c r="F5548">
        <f>IF(AND(B5548=1,C5548&gt;1,E5547&lt;&gt;""),ABS(D5548-E5547),"")</f>
        <v/>
      </c>
    </row>
    <row r="5549">
      <c r="A5549" t="n">
        <v>5549</v>
      </c>
      <c r="B5549">
        <f>IF(INDEX('Data Entry'!$H$5:$BE$10004,5549-4,'Visual SPC'!$B$3)="",0,IF(AND(OR('Visual SPC'!$C$4="",'Data Entry'!$C5549&gt;='Visual SPC'!$C$4),OR('Visual SPC'!$E$4="",'Data Entry'!$C5549&lt;='Visual SPC'!$E$4),OR('Visual SPC'!$G$4="",'Data Entry'!$D5549='Visual SPC'!$G$4),OR('Visual SPC'!$I$4="",'Data Entry'!$E5549='Visual SPC'!$I$4),OR('Visual SPC'!$K$4="",'Data Entry'!$F5549='Visual SPC'!$K$4)),1,0))</f>
        <v/>
      </c>
      <c r="C5549">
        <f>C5548+B5549</f>
        <v/>
      </c>
      <c r="D5549">
        <f>IF(B5549=1,INDEX('Data Entry'!$H$5:$BE$10004,5549-4,'Visual SPC'!$B$3),"")</f>
        <v/>
      </c>
      <c r="E5549">
        <f>IF(B5549=1,D5549,E5548)</f>
        <v/>
      </c>
      <c r="F5549">
        <f>IF(AND(B5549=1,C5549&gt;1,E5548&lt;&gt;""),ABS(D5549-E5548),"")</f>
        <v/>
      </c>
    </row>
    <row r="5550">
      <c r="A5550" t="n">
        <v>5550</v>
      </c>
      <c r="B5550">
        <f>IF(INDEX('Data Entry'!$H$5:$BE$10004,5550-4,'Visual SPC'!$B$3)="",0,IF(AND(OR('Visual SPC'!$C$4="",'Data Entry'!$C5550&gt;='Visual SPC'!$C$4),OR('Visual SPC'!$E$4="",'Data Entry'!$C5550&lt;='Visual SPC'!$E$4),OR('Visual SPC'!$G$4="",'Data Entry'!$D5550='Visual SPC'!$G$4),OR('Visual SPC'!$I$4="",'Data Entry'!$E5550='Visual SPC'!$I$4),OR('Visual SPC'!$K$4="",'Data Entry'!$F5550='Visual SPC'!$K$4)),1,0))</f>
        <v/>
      </c>
      <c r="C5550">
        <f>C5549+B5550</f>
        <v/>
      </c>
      <c r="D5550">
        <f>IF(B5550=1,INDEX('Data Entry'!$H$5:$BE$10004,5550-4,'Visual SPC'!$B$3),"")</f>
        <v/>
      </c>
      <c r="E5550">
        <f>IF(B5550=1,D5550,E5549)</f>
        <v/>
      </c>
      <c r="F5550">
        <f>IF(AND(B5550=1,C5550&gt;1,E5549&lt;&gt;""),ABS(D5550-E5549),"")</f>
        <v/>
      </c>
    </row>
    <row r="5551">
      <c r="A5551" t="n">
        <v>5551</v>
      </c>
      <c r="B5551">
        <f>IF(INDEX('Data Entry'!$H$5:$BE$10004,5551-4,'Visual SPC'!$B$3)="",0,IF(AND(OR('Visual SPC'!$C$4="",'Data Entry'!$C5551&gt;='Visual SPC'!$C$4),OR('Visual SPC'!$E$4="",'Data Entry'!$C5551&lt;='Visual SPC'!$E$4),OR('Visual SPC'!$G$4="",'Data Entry'!$D5551='Visual SPC'!$G$4),OR('Visual SPC'!$I$4="",'Data Entry'!$E5551='Visual SPC'!$I$4),OR('Visual SPC'!$K$4="",'Data Entry'!$F5551='Visual SPC'!$K$4)),1,0))</f>
        <v/>
      </c>
      <c r="C5551">
        <f>C5550+B5551</f>
        <v/>
      </c>
      <c r="D5551">
        <f>IF(B5551=1,INDEX('Data Entry'!$H$5:$BE$10004,5551-4,'Visual SPC'!$B$3),"")</f>
        <v/>
      </c>
      <c r="E5551">
        <f>IF(B5551=1,D5551,E5550)</f>
        <v/>
      </c>
      <c r="F5551">
        <f>IF(AND(B5551=1,C5551&gt;1,E5550&lt;&gt;""),ABS(D5551-E5550),"")</f>
        <v/>
      </c>
    </row>
    <row r="5552">
      <c r="A5552" t="n">
        <v>5552</v>
      </c>
      <c r="B5552">
        <f>IF(INDEX('Data Entry'!$H$5:$BE$10004,5552-4,'Visual SPC'!$B$3)="",0,IF(AND(OR('Visual SPC'!$C$4="",'Data Entry'!$C5552&gt;='Visual SPC'!$C$4),OR('Visual SPC'!$E$4="",'Data Entry'!$C5552&lt;='Visual SPC'!$E$4),OR('Visual SPC'!$G$4="",'Data Entry'!$D5552='Visual SPC'!$G$4),OR('Visual SPC'!$I$4="",'Data Entry'!$E5552='Visual SPC'!$I$4),OR('Visual SPC'!$K$4="",'Data Entry'!$F5552='Visual SPC'!$K$4)),1,0))</f>
        <v/>
      </c>
      <c r="C5552">
        <f>C5551+B5552</f>
        <v/>
      </c>
      <c r="D5552">
        <f>IF(B5552=1,INDEX('Data Entry'!$H$5:$BE$10004,5552-4,'Visual SPC'!$B$3),"")</f>
        <v/>
      </c>
      <c r="E5552">
        <f>IF(B5552=1,D5552,E5551)</f>
        <v/>
      </c>
      <c r="F5552">
        <f>IF(AND(B5552=1,C5552&gt;1,E5551&lt;&gt;""),ABS(D5552-E5551),"")</f>
        <v/>
      </c>
    </row>
    <row r="5553">
      <c r="A5553" t="n">
        <v>5553</v>
      </c>
      <c r="B5553">
        <f>IF(INDEX('Data Entry'!$H$5:$BE$10004,5553-4,'Visual SPC'!$B$3)="",0,IF(AND(OR('Visual SPC'!$C$4="",'Data Entry'!$C5553&gt;='Visual SPC'!$C$4),OR('Visual SPC'!$E$4="",'Data Entry'!$C5553&lt;='Visual SPC'!$E$4),OR('Visual SPC'!$G$4="",'Data Entry'!$D5553='Visual SPC'!$G$4),OR('Visual SPC'!$I$4="",'Data Entry'!$E5553='Visual SPC'!$I$4),OR('Visual SPC'!$K$4="",'Data Entry'!$F5553='Visual SPC'!$K$4)),1,0))</f>
        <v/>
      </c>
      <c r="C5553">
        <f>C5552+B5553</f>
        <v/>
      </c>
      <c r="D5553">
        <f>IF(B5553=1,INDEX('Data Entry'!$H$5:$BE$10004,5553-4,'Visual SPC'!$B$3),"")</f>
        <v/>
      </c>
      <c r="E5553">
        <f>IF(B5553=1,D5553,E5552)</f>
        <v/>
      </c>
      <c r="F5553">
        <f>IF(AND(B5553=1,C5553&gt;1,E5552&lt;&gt;""),ABS(D5553-E5552),"")</f>
        <v/>
      </c>
    </row>
    <row r="5554">
      <c r="A5554" t="n">
        <v>5554</v>
      </c>
      <c r="B5554">
        <f>IF(INDEX('Data Entry'!$H$5:$BE$10004,5554-4,'Visual SPC'!$B$3)="",0,IF(AND(OR('Visual SPC'!$C$4="",'Data Entry'!$C5554&gt;='Visual SPC'!$C$4),OR('Visual SPC'!$E$4="",'Data Entry'!$C5554&lt;='Visual SPC'!$E$4),OR('Visual SPC'!$G$4="",'Data Entry'!$D5554='Visual SPC'!$G$4),OR('Visual SPC'!$I$4="",'Data Entry'!$E5554='Visual SPC'!$I$4),OR('Visual SPC'!$K$4="",'Data Entry'!$F5554='Visual SPC'!$K$4)),1,0))</f>
        <v/>
      </c>
      <c r="C5554">
        <f>C5553+B5554</f>
        <v/>
      </c>
      <c r="D5554">
        <f>IF(B5554=1,INDEX('Data Entry'!$H$5:$BE$10004,5554-4,'Visual SPC'!$B$3),"")</f>
        <v/>
      </c>
      <c r="E5554">
        <f>IF(B5554=1,D5554,E5553)</f>
        <v/>
      </c>
      <c r="F5554">
        <f>IF(AND(B5554=1,C5554&gt;1,E5553&lt;&gt;""),ABS(D5554-E5553),"")</f>
        <v/>
      </c>
    </row>
    <row r="5555">
      <c r="A5555" t="n">
        <v>5555</v>
      </c>
      <c r="B5555">
        <f>IF(INDEX('Data Entry'!$H$5:$BE$10004,5555-4,'Visual SPC'!$B$3)="",0,IF(AND(OR('Visual SPC'!$C$4="",'Data Entry'!$C5555&gt;='Visual SPC'!$C$4),OR('Visual SPC'!$E$4="",'Data Entry'!$C5555&lt;='Visual SPC'!$E$4),OR('Visual SPC'!$G$4="",'Data Entry'!$D5555='Visual SPC'!$G$4),OR('Visual SPC'!$I$4="",'Data Entry'!$E5555='Visual SPC'!$I$4),OR('Visual SPC'!$K$4="",'Data Entry'!$F5555='Visual SPC'!$K$4)),1,0))</f>
        <v/>
      </c>
      <c r="C5555">
        <f>C5554+B5555</f>
        <v/>
      </c>
      <c r="D5555">
        <f>IF(B5555=1,INDEX('Data Entry'!$H$5:$BE$10004,5555-4,'Visual SPC'!$B$3),"")</f>
        <v/>
      </c>
      <c r="E5555">
        <f>IF(B5555=1,D5555,E5554)</f>
        <v/>
      </c>
      <c r="F5555">
        <f>IF(AND(B5555=1,C5555&gt;1,E5554&lt;&gt;""),ABS(D5555-E5554),"")</f>
        <v/>
      </c>
    </row>
    <row r="5556">
      <c r="A5556" t="n">
        <v>5556</v>
      </c>
      <c r="B5556">
        <f>IF(INDEX('Data Entry'!$H$5:$BE$10004,5556-4,'Visual SPC'!$B$3)="",0,IF(AND(OR('Visual SPC'!$C$4="",'Data Entry'!$C5556&gt;='Visual SPC'!$C$4),OR('Visual SPC'!$E$4="",'Data Entry'!$C5556&lt;='Visual SPC'!$E$4),OR('Visual SPC'!$G$4="",'Data Entry'!$D5556='Visual SPC'!$G$4),OR('Visual SPC'!$I$4="",'Data Entry'!$E5556='Visual SPC'!$I$4),OR('Visual SPC'!$K$4="",'Data Entry'!$F5556='Visual SPC'!$K$4)),1,0))</f>
        <v/>
      </c>
      <c r="C5556">
        <f>C5555+B5556</f>
        <v/>
      </c>
      <c r="D5556">
        <f>IF(B5556=1,INDEX('Data Entry'!$H$5:$BE$10004,5556-4,'Visual SPC'!$B$3),"")</f>
        <v/>
      </c>
      <c r="E5556">
        <f>IF(B5556=1,D5556,E5555)</f>
        <v/>
      </c>
      <c r="F5556">
        <f>IF(AND(B5556=1,C5556&gt;1,E5555&lt;&gt;""),ABS(D5556-E5555),"")</f>
        <v/>
      </c>
    </row>
    <row r="5557">
      <c r="A5557" t="n">
        <v>5557</v>
      </c>
      <c r="B5557">
        <f>IF(INDEX('Data Entry'!$H$5:$BE$10004,5557-4,'Visual SPC'!$B$3)="",0,IF(AND(OR('Visual SPC'!$C$4="",'Data Entry'!$C5557&gt;='Visual SPC'!$C$4),OR('Visual SPC'!$E$4="",'Data Entry'!$C5557&lt;='Visual SPC'!$E$4),OR('Visual SPC'!$G$4="",'Data Entry'!$D5557='Visual SPC'!$G$4),OR('Visual SPC'!$I$4="",'Data Entry'!$E5557='Visual SPC'!$I$4),OR('Visual SPC'!$K$4="",'Data Entry'!$F5557='Visual SPC'!$K$4)),1,0))</f>
        <v/>
      </c>
      <c r="C5557">
        <f>C5556+B5557</f>
        <v/>
      </c>
      <c r="D5557">
        <f>IF(B5557=1,INDEX('Data Entry'!$H$5:$BE$10004,5557-4,'Visual SPC'!$B$3),"")</f>
        <v/>
      </c>
      <c r="E5557">
        <f>IF(B5557=1,D5557,E5556)</f>
        <v/>
      </c>
      <c r="F5557">
        <f>IF(AND(B5557=1,C5557&gt;1,E5556&lt;&gt;""),ABS(D5557-E5556),"")</f>
        <v/>
      </c>
    </row>
    <row r="5558">
      <c r="A5558" t="n">
        <v>5558</v>
      </c>
      <c r="B5558">
        <f>IF(INDEX('Data Entry'!$H$5:$BE$10004,5558-4,'Visual SPC'!$B$3)="",0,IF(AND(OR('Visual SPC'!$C$4="",'Data Entry'!$C5558&gt;='Visual SPC'!$C$4),OR('Visual SPC'!$E$4="",'Data Entry'!$C5558&lt;='Visual SPC'!$E$4),OR('Visual SPC'!$G$4="",'Data Entry'!$D5558='Visual SPC'!$G$4),OR('Visual SPC'!$I$4="",'Data Entry'!$E5558='Visual SPC'!$I$4),OR('Visual SPC'!$K$4="",'Data Entry'!$F5558='Visual SPC'!$K$4)),1,0))</f>
        <v/>
      </c>
      <c r="C5558">
        <f>C5557+B5558</f>
        <v/>
      </c>
      <c r="D5558">
        <f>IF(B5558=1,INDEX('Data Entry'!$H$5:$BE$10004,5558-4,'Visual SPC'!$B$3),"")</f>
        <v/>
      </c>
      <c r="E5558">
        <f>IF(B5558=1,D5558,E5557)</f>
        <v/>
      </c>
      <c r="F5558">
        <f>IF(AND(B5558=1,C5558&gt;1,E5557&lt;&gt;""),ABS(D5558-E5557),"")</f>
        <v/>
      </c>
    </row>
    <row r="5559">
      <c r="A5559" t="n">
        <v>5559</v>
      </c>
      <c r="B5559">
        <f>IF(INDEX('Data Entry'!$H$5:$BE$10004,5559-4,'Visual SPC'!$B$3)="",0,IF(AND(OR('Visual SPC'!$C$4="",'Data Entry'!$C5559&gt;='Visual SPC'!$C$4),OR('Visual SPC'!$E$4="",'Data Entry'!$C5559&lt;='Visual SPC'!$E$4),OR('Visual SPC'!$G$4="",'Data Entry'!$D5559='Visual SPC'!$G$4),OR('Visual SPC'!$I$4="",'Data Entry'!$E5559='Visual SPC'!$I$4),OR('Visual SPC'!$K$4="",'Data Entry'!$F5559='Visual SPC'!$K$4)),1,0))</f>
        <v/>
      </c>
      <c r="C5559">
        <f>C5558+B5559</f>
        <v/>
      </c>
      <c r="D5559">
        <f>IF(B5559=1,INDEX('Data Entry'!$H$5:$BE$10004,5559-4,'Visual SPC'!$B$3),"")</f>
        <v/>
      </c>
      <c r="E5559">
        <f>IF(B5559=1,D5559,E5558)</f>
        <v/>
      </c>
      <c r="F5559">
        <f>IF(AND(B5559=1,C5559&gt;1,E5558&lt;&gt;""),ABS(D5559-E5558),"")</f>
        <v/>
      </c>
    </row>
    <row r="5560">
      <c r="A5560" t="n">
        <v>5560</v>
      </c>
      <c r="B5560">
        <f>IF(INDEX('Data Entry'!$H$5:$BE$10004,5560-4,'Visual SPC'!$B$3)="",0,IF(AND(OR('Visual SPC'!$C$4="",'Data Entry'!$C5560&gt;='Visual SPC'!$C$4),OR('Visual SPC'!$E$4="",'Data Entry'!$C5560&lt;='Visual SPC'!$E$4),OR('Visual SPC'!$G$4="",'Data Entry'!$D5560='Visual SPC'!$G$4),OR('Visual SPC'!$I$4="",'Data Entry'!$E5560='Visual SPC'!$I$4),OR('Visual SPC'!$K$4="",'Data Entry'!$F5560='Visual SPC'!$K$4)),1,0))</f>
        <v/>
      </c>
      <c r="C5560">
        <f>C5559+B5560</f>
        <v/>
      </c>
      <c r="D5560">
        <f>IF(B5560=1,INDEX('Data Entry'!$H$5:$BE$10004,5560-4,'Visual SPC'!$B$3),"")</f>
        <v/>
      </c>
      <c r="E5560">
        <f>IF(B5560=1,D5560,E5559)</f>
        <v/>
      </c>
      <c r="F5560">
        <f>IF(AND(B5560=1,C5560&gt;1,E5559&lt;&gt;""),ABS(D5560-E5559),"")</f>
        <v/>
      </c>
    </row>
    <row r="5561">
      <c r="A5561" t="n">
        <v>5561</v>
      </c>
      <c r="B5561">
        <f>IF(INDEX('Data Entry'!$H$5:$BE$10004,5561-4,'Visual SPC'!$B$3)="",0,IF(AND(OR('Visual SPC'!$C$4="",'Data Entry'!$C5561&gt;='Visual SPC'!$C$4),OR('Visual SPC'!$E$4="",'Data Entry'!$C5561&lt;='Visual SPC'!$E$4),OR('Visual SPC'!$G$4="",'Data Entry'!$D5561='Visual SPC'!$G$4),OR('Visual SPC'!$I$4="",'Data Entry'!$E5561='Visual SPC'!$I$4),OR('Visual SPC'!$K$4="",'Data Entry'!$F5561='Visual SPC'!$K$4)),1,0))</f>
        <v/>
      </c>
      <c r="C5561">
        <f>C5560+B5561</f>
        <v/>
      </c>
      <c r="D5561">
        <f>IF(B5561=1,INDEX('Data Entry'!$H$5:$BE$10004,5561-4,'Visual SPC'!$B$3),"")</f>
        <v/>
      </c>
      <c r="E5561">
        <f>IF(B5561=1,D5561,E5560)</f>
        <v/>
      </c>
      <c r="F5561">
        <f>IF(AND(B5561=1,C5561&gt;1,E5560&lt;&gt;""),ABS(D5561-E5560),"")</f>
        <v/>
      </c>
    </row>
    <row r="5562">
      <c r="A5562" t="n">
        <v>5562</v>
      </c>
      <c r="B5562">
        <f>IF(INDEX('Data Entry'!$H$5:$BE$10004,5562-4,'Visual SPC'!$B$3)="",0,IF(AND(OR('Visual SPC'!$C$4="",'Data Entry'!$C5562&gt;='Visual SPC'!$C$4),OR('Visual SPC'!$E$4="",'Data Entry'!$C5562&lt;='Visual SPC'!$E$4),OR('Visual SPC'!$G$4="",'Data Entry'!$D5562='Visual SPC'!$G$4),OR('Visual SPC'!$I$4="",'Data Entry'!$E5562='Visual SPC'!$I$4),OR('Visual SPC'!$K$4="",'Data Entry'!$F5562='Visual SPC'!$K$4)),1,0))</f>
        <v/>
      </c>
      <c r="C5562">
        <f>C5561+B5562</f>
        <v/>
      </c>
      <c r="D5562">
        <f>IF(B5562=1,INDEX('Data Entry'!$H$5:$BE$10004,5562-4,'Visual SPC'!$B$3),"")</f>
        <v/>
      </c>
      <c r="E5562">
        <f>IF(B5562=1,D5562,E5561)</f>
        <v/>
      </c>
      <c r="F5562">
        <f>IF(AND(B5562=1,C5562&gt;1,E5561&lt;&gt;""),ABS(D5562-E5561),"")</f>
        <v/>
      </c>
    </row>
    <row r="5563">
      <c r="A5563" t="n">
        <v>5563</v>
      </c>
      <c r="B5563">
        <f>IF(INDEX('Data Entry'!$H$5:$BE$10004,5563-4,'Visual SPC'!$B$3)="",0,IF(AND(OR('Visual SPC'!$C$4="",'Data Entry'!$C5563&gt;='Visual SPC'!$C$4),OR('Visual SPC'!$E$4="",'Data Entry'!$C5563&lt;='Visual SPC'!$E$4),OR('Visual SPC'!$G$4="",'Data Entry'!$D5563='Visual SPC'!$G$4),OR('Visual SPC'!$I$4="",'Data Entry'!$E5563='Visual SPC'!$I$4),OR('Visual SPC'!$K$4="",'Data Entry'!$F5563='Visual SPC'!$K$4)),1,0))</f>
        <v/>
      </c>
      <c r="C5563">
        <f>C5562+B5563</f>
        <v/>
      </c>
      <c r="D5563">
        <f>IF(B5563=1,INDEX('Data Entry'!$H$5:$BE$10004,5563-4,'Visual SPC'!$B$3),"")</f>
        <v/>
      </c>
      <c r="E5563">
        <f>IF(B5563=1,D5563,E5562)</f>
        <v/>
      </c>
      <c r="F5563">
        <f>IF(AND(B5563=1,C5563&gt;1,E5562&lt;&gt;""),ABS(D5563-E5562),"")</f>
        <v/>
      </c>
    </row>
    <row r="5564">
      <c r="A5564" t="n">
        <v>5564</v>
      </c>
      <c r="B5564">
        <f>IF(INDEX('Data Entry'!$H$5:$BE$10004,5564-4,'Visual SPC'!$B$3)="",0,IF(AND(OR('Visual SPC'!$C$4="",'Data Entry'!$C5564&gt;='Visual SPC'!$C$4),OR('Visual SPC'!$E$4="",'Data Entry'!$C5564&lt;='Visual SPC'!$E$4),OR('Visual SPC'!$G$4="",'Data Entry'!$D5564='Visual SPC'!$G$4),OR('Visual SPC'!$I$4="",'Data Entry'!$E5564='Visual SPC'!$I$4),OR('Visual SPC'!$K$4="",'Data Entry'!$F5564='Visual SPC'!$K$4)),1,0))</f>
        <v/>
      </c>
      <c r="C5564">
        <f>C5563+B5564</f>
        <v/>
      </c>
      <c r="D5564">
        <f>IF(B5564=1,INDEX('Data Entry'!$H$5:$BE$10004,5564-4,'Visual SPC'!$B$3),"")</f>
        <v/>
      </c>
      <c r="E5564">
        <f>IF(B5564=1,D5564,E5563)</f>
        <v/>
      </c>
      <c r="F5564">
        <f>IF(AND(B5564=1,C5564&gt;1,E5563&lt;&gt;""),ABS(D5564-E5563),"")</f>
        <v/>
      </c>
    </row>
    <row r="5565">
      <c r="A5565" t="n">
        <v>5565</v>
      </c>
      <c r="B5565">
        <f>IF(INDEX('Data Entry'!$H$5:$BE$10004,5565-4,'Visual SPC'!$B$3)="",0,IF(AND(OR('Visual SPC'!$C$4="",'Data Entry'!$C5565&gt;='Visual SPC'!$C$4),OR('Visual SPC'!$E$4="",'Data Entry'!$C5565&lt;='Visual SPC'!$E$4),OR('Visual SPC'!$G$4="",'Data Entry'!$D5565='Visual SPC'!$G$4),OR('Visual SPC'!$I$4="",'Data Entry'!$E5565='Visual SPC'!$I$4),OR('Visual SPC'!$K$4="",'Data Entry'!$F5565='Visual SPC'!$K$4)),1,0))</f>
        <v/>
      </c>
      <c r="C5565">
        <f>C5564+B5565</f>
        <v/>
      </c>
      <c r="D5565">
        <f>IF(B5565=1,INDEX('Data Entry'!$H$5:$BE$10004,5565-4,'Visual SPC'!$B$3),"")</f>
        <v/>
      </c>
      <c r="E5565">
        <f>IF(B5565=1,D5565,E5564)</f>
        <v/>
      </c>
      <c r="F5565">
        <f>IF(AND(B5565=1,C5565&gt;1,E5564&lt;&gt;""),ABS(D5565-E5564),"")</f>
        <v/>
      </c>
    </row>
    <row r="5566">
      <c r="A5566" t="n">
        <v>5566</v>
      </c>
      <c r="B5566">
        <f>IF(INDEX('Data Entry'!$H$5:$BE$10004,5566-4,'Visual SPC'!$B$3)="",0,IF(AND(OR('Visual SPC'!$C$4="",'Data Entry'!$C5566&gt;='Visual SPC'!$C$4),OR('Visual SPC'!$E$4="",'Data Entry'!$C5566&lt;='Visual SPC'!$E$4),OR('Visual SPC'!$G$4="",'Data Entry'!$D5566='Visual SPC'!$G$4),OR('Visual SPC'!$I$4="",'Data Entry'!$E5566='Visual SPC'!$I$4),OR('Visual SPC'!$K$4="",'Data Entry'!$F5566='Visual SPC'!$K$4)),1,0))</f>
        <v/>
      </c>
      <c r="C5566">
        <f>C5565+B5566</f>
        <v/>
      </c>
      <c r="D5566">
        <f>IF(B5566=1,INDEX('Data Entry'!$H$5:$BE$10004,5566-4,'Visual SPC'!$B$3),"")</f>
        <v/>
      </c>
      <c r="E5566">
        <f>IF(B5566=1,D5566,E5565)</f>
        <v/>
      </c>
      <c r="F5566">
        <f>IF(AND(B5566=1,C5566&gt;1,E5565&lt;&gt;""),ABS(D5566-E5565),"")</f>
        <v/>
      </c>
    </row>
    <row r="5567">
      <c r="A5567" t="n">
        <v>5567</v>
      </c>
      <c r="B5567">
        <f>IF(INDEX('Data Entry'!$H$5:$BE$10004,5567-4,'Visual SPC'!$B$3)="",0,IF(AND(OR('Visual SPC'!$C$4="",'Data Entry'!$C5567&gt;='Visual SPC'!$C$4),OR('Visual SPC'!$E$4="",'Data Entry'!$C5567&lt;='Visual SPC'!$E$4),OR('Visual SPC'!$G$4="",'Data Entry'!$D5567='Visual SPC'!$G$4),OR('Visual SPC'!$I$4="",'Data Entry'!$E5567='Visual SPC'!$I$4),OR('Visual SPC'!$K$4="",'Data Entry'!$F5567='Visual SPC'!$K$4)),1,0))</f>
        <v/>
      </c>
      <c r="C5567">
        <f>C5566+B5567</f>
        <v/>
      </c>
      <c r="D5567">
        <f>IF(B5567=1,INDEX('Data Entry'!$H$5:$BE$10004,5567-4,'Visual SPC'!$B$3),"")</f>
        <v/>
      </c>
      <c r="E5567">
        <f>IF(B5567=1,D5567,E5566)</f>
        <v/>
      </c>
      <c r="F5567">
        <f>IF(AND(B5567=1,C5567&gt;1,E5566&lt;&gt;""),ABS(D5567-E5566),"")</f>
        <v/>
      </c>
    </row>
    <row r="5568">
      <c r="A5568" t="n">
        <v>5568</v>
      </c>
      <c r="B5568">
        <f>IF(INDEX('Data Entry'!$H$5:$BE$10004,5568-4,'Visual SPC'!$B$3)="",0,IF(AND(OR('Visual SPC'!$C$4="",'Data Entry'!$C5568&gt;='Visual SPC'!$C$4),OR('Visual SPC'!$E$4="",'Data Entry'!$C5568&lt;='Visual SPC'!$E$4),OR('Visual SPC'!$G$4="",'Data Entry'!$D5568='Visual SPC'!$G$4),OR('Visual SPC'!$I$4="",'Data Entry'!$E5568='Visual SPC'!$I$4),OR('Visual SPC'!$K$4="",'Data Entry'!$F5568='Visual SPC'!$K$4)),1,0))</f>
        <v/>
      </c>
      <c r="C5568">
        <f>C5567+B5568</f>
        <v/>
      </c>
      <c r="D5568">
        <f>IF(B5568=1,INDEX('Data Entry'!$H$5:$BE$10004,5568-4,'Visual SPC'!$B$3),"")</f>
        <v/>
      </c>
      <c r="E5568">
        <f>IF(B5568=1,D5568,E5567)</f>
        <v/>
      </c>
      <c r="F5568">
        <f>IF(AND(B5568=1,C5568&gt;1,E5567&lt;&gt;""),ABS(D5568-E5567),"")</f>
        <v/>
      </c>
    </row>
    <row r="5569">
      <c r="A5569" t="n">
        <v>5569</v>
      </c>
      <c r="B5569">
        <f>IF(INDEX('Data Entry'!$H$5:$BE$10004,5569-4,'Visual SPC'!$B$3)="",0,IF(AND(OR('Visual SPC'!$C$4="",'Data Entry'!$C5569&gt;='Visual SPC'!$C$4),OR('Visual SPC'!$E$4="",'Data Entry'!$C5569&lt;='Visual SPC'!$E$4),OR('Visual SPC'!$G$4="",'Data Entry'!$D5569='Visual SPC'!$G$4),OR('Visual SPC'!$I$4="",'Data Entry'!$E5569='Visual SPC'!$I$4),OR('Visual SPC'!$K$4="",'Data Entry'!$F5569='Visual SPC'!$K$4)),1,0))</f>
        <v/>
      </c>
      <c r="C5569">
        <f>C5568+B5569</f>
        <v/>
      </c>
      <c r="D5569">
        <f>IF(B5569=1,INDEX('Data Entry'!$H$5:$BE$10004,5569-4,'Visual SPC'!$B$3),"")</f>
        <v/>
      </c>
      <c r="E5569">
        <f>IF(B5569=1,D5569,E5568)</f>
        <v/>
      </c>
      <c r="F5569">
        <f>IF(AND(B5569=1,C5569&gt;1,E5568&lt;&gt;""),ABS(D5569-E5568),"")</f>
        <v/>
      </c>
    </row>
    <row r="5570">
      <c r="A5570" t="n">
        <v>5570</v>
      </c>
      <c r="B5570">
        <f>IF(INDEX('Data Entry'!$H$5:$BE$10004,5570-4,'Visual SPC'!$B$3)="",0,IF(AND(OR('Visual SPC'!$C$4="",'Data Entry'!$C5570&gt;='Visual SPC'!$C$4),OR('Visual SPC'!$E$4="",'Data Entry'!$C5570&lt;='Visual SPC'!$E$4),OR('Visual SPC'!$G$4="",'Data Entry'!$D5570='Visual SPC'!$G$4),OR('Visual SPC'!$I$4="",'Data Entry'!$E5570='Visual SPC'!$I$4),OR('Visual SPC'!$K$4="",'Data Entry'!$F5570='Visual SPC'!$K$4)),1,0))</f>
        <v/>
      </c>
      <c r="C5570">
        <f>C5569+B5570</f>
        <v/>
      </c>
      <c r="D5570">
        <f>IF(B5570=1,INDEX('Data Entry'!$H$5:$BE$10004,5570-4,'Visual SPC'!$B$3),"")</f>
        <v/>
      </c>
      <c r="E5570">
        <f>IF(B5570=1,D5570,E5569)</f>
        <v/>
      </c>
      <c r="F5570">
        <f>IF(AND(B5570=1,C5570&gt;1,E5569&lt;&gt;""),ABS(D5570-E5569),"")</f>
        <v/>
      </c>
    </row>
    <row r="5571">
      <c r="A5571" t="n">
        <v>5571</v>
      </c>
      <c r="B5571">
        <f>IF(INDEX('Data Entry'!$H$5:$BE$10004,5571-4,'Visual SPC'!$B$3)="",0,IF(AND(OR('Visual SPC'!$C$4="",'Data Entry'!$C5571&gt;='Visual SPC'!$C$4),OR('Visual SPC'!$E$4="",'Data Entry'!$C5571&lt;='Visual SPC'!$E$4),OR('Visual SPC'!$G$4="",'Data Entry'!$D5571='Visual SPC'!$G$4),OR('Visual SPC'!$I$4="",'Data Entry'!$E5571='Visual SPC'!$I$4),OR('Visual SPC'!$K$4="",'Data Entry'!$F5571='Visual SPC'!$K$4)),1,0))</f>
        <v/>
      </c>
      <c r="C5571">
        <f>C5570+B5571</f>
        <v/>
      </c>
      <c r="D5571">
        <f>IF(B5571=1,INDEX('Data Entry'!$H$5:$BE$10004,5571-4,'Visual SPC'!$B$3),"")</f>
        <v/>
      </c>
      <c r="E5571">
        <f>IF(B5571=1,D5571,E5570)</f>
        <v/>
      </c>
      <c r="F5571">
        <f>IF(AND(B5571=1,C5571&gt;1,E5570&lt;&gt;""),ABS(D5571-E5570),"")</f>
        <v/>
      </c>
    </row>
    <row r="5572">
      <c r="A5572" t="n">
        <v>5572</v>
      </c>
      <c r="B5572">
        <f>IF(INDEX('Data Entry'!$H$5:$BE$10004,5572-4,'Visual SPC'!$B$3)="",0,IF(AND(OR('Visual SPC'!$C$4="",'Data Entry'!$C5572&gt;='Visual SPC'!$C$4),OR('Visual SPC'!$E$4="",'Data Entry'!$C5572&lt;='Visual SPC'!$E$4),OR('Visual SPC'!$G$4="",'Data Entry'!$D5572='Visual SPC'!$G$4),OR('Visual SPC'!$I$4="",'Data Entry'!$E5572='Visual SPC'!$I$4),OR('Visual SPC'!$K$4="",'Data Entry'!$F5572='Visual SPC'!$K$4)),1,0))</f>
        <v/>
      </c>
      <c r="C5572">
        <f>C5571+B5572</f>
        <v/>
      </c>
      <c r="D5572">
        <f>IF(B5572=1,INDEX('Data Entry'!$H$5:$BE$10004,5572-4,'Visual SPC'!$B$3),"")</f>
        <v/>
      </c>
      <c r="E5572">
        <f>IF(B5572=1,D5572,E5571)</f>
        <v/>
      </c>
      <c r="F5572">
        <f>IF(AND(B5572=1,C5572&gt;1,E5571&lt;&gt;""),ABS(D5572-E5571),"")</f>
        <v/>
      </c>
    </row>
    <row r="5573">
      <c r="A5573" t="n">
        <v>5573</v>
      </c>
      <c r="B5573">
        <f>IF(INDEX('Data Entry'!$H$5:$BE$10004,5573-4,'Visual SPC'!$B$3)="",0,IF(AND(OR('Visual SPC'!$C$4="",'Data Entry'!$C5573&gt;='Visual SPC'!$C$4),OR('Visual SPC'!$E$4="",'Data Entry'!$C5573&lt;='Visual SPC'!$E$4),OR('Visual SPC'!$G$4="",'Data Entry'!$D5573='Visual SPC'!$G$4),OR('Visual SPC'!$I$4="",'Data Entry'!$E5573='Visual SPC'!$I$4),OR('Visual SPC'!$K$4="",'Data Entry'!$F5573='Visual SPC'!$K$4)),1,0))</f>
        <v/>
      </c>
      <c r="C5573">
        <f>C5572+B5573</f>
        <v/>
      </c>
      <c r="D5573">
        <f>IF(B5573=1,INDEX('Data Entry'!$H$5:$BE$10004,5573-4,'Visual SPC'!$B$3),"")</f>
        <v/>
      </c>
      <c r="E5573">
        <f>IF(B5573=1,D5573,E5572)</f>
        <v/>
      </c>
      <c r="F5573">
        <f>IF(AND(B5573=1,C5573&gt;1,E5572&lt;&gt;""),ABS(D5573-E5572),"")</f>
        <v/>
      </c>
    </row>
    <row r="5574">
      <c r="A5574" t="n">
        <v>5574</v>
      </c>
      <c r="B5574">
        <f>IF(INDEX('Data Entry'!$H$5:$BE$10004,5574-4,'Visual SPC'!$B$3)="",0,IF(AND(OR('Visual SPC'!$C$4="",'Data Entry'!$C5574&gt;='Visual SPC'!$C$4),OR('Visual SPC'!$E$4="",'Data Entry'!$C5574&lt;='Visual SPC'!$E$4),OR('Visual SPC'!$G$4="",'Data Entry'!$D5574='Visual SPC'!$G$4),OR('Visual SPC'!$I$4="",'Data Entry'!$E5574='Visual SPC'!$I$4),OR('Visual SPC'!$K$4="",'Data Entry'!$F5574='Visual SPC'!$K$4)),1,0))</f>
        <v/>
      </c>
      <c r="C5574">
        <f>C5573+B5574</f>
        <v/>
      </c>
      <c r="D5574">
        <f>IF(B5574=1,INDEX('Data Entry'!$H$5:$BE$10004,5574-4,'Visual SPC'!$B$3),"")</f>
        <v/>
      </c>
      <c r="E5574">
        <f>IF(B5574=1,D5574,E5573)</f>
        <v/>
      </c>
      <c r="F5574">
        <f>IF(AND(B5574=1,C5574&gt;1,E5573&lt;&gt;""),ABS(D5574-E5573),"")</f>
        <v/>
      </c>
    </row>
    <row r="5575">
      <c r="A5575" t="n">
        <v>5575</v>
      </c>
      <c r="B5575">
        <f>IF(INDEX('Data Entry'!$H$5:$BE$10004,5575-4,'Visual SPC'!$B$3)="",0,IF(AND(OR('Visual SPC'!$C$4="",'Data Entry'!$C5575&gt;='Visual SPC'!$C$4),OR('Visual SPC'!$E$4="",'Data Entry'!$C5575&lt;='Visual SPC'!$E$4),OR('Visual SPC'!$G$4="",'Data Entry'!$D5575='Visual SPC'!$G$4),OR('Visual SPC'!$I$4="",'Data Entry'!$E5575='Visual SPC'!$I$4),OR('Visual SPC'!$K$4="",'Data Entry'!$F5575='Visual SPC'!$K$4)),1,0))</f>
        <v/>
      </c>
      <c r="C5575">
        <f>C5574+B5575</f>
        <v/>
      </c>
      <c r="D5575">
        <f>IF(B5575=1,INDEX('Data Entry'!$H$5:$BE$10004,5575-4,'Visual SPC'!$B$3),"")</f>
        <v/>
      </c>
      <c r="E5575">
        <f>IF(B5575=1,D5575,E5574)</f>
        <v/>
      </c>
      <c r="F5575">
        <f>IF(AND(B5575=1,C5575&gt;1,E5574&lt;&gt;""),ABS(D5575-E5574),"")</f>
        <v/>
      </c>
    </row>
    <row r="5576">
      <c r="A5576" t="n">
        <v>5576</v>
      </c>
      <c r="B5576">
        <f>IF(INDEX('Data Entry'!$H$5:$BE$10004,5576-4,'Visual SPC'!$B$3)="",0,IF(AND(OR('Visual SPC'!$C$4="",'Data Entry'!$C5576&gt;='Visual SPC'!$C$4),OR('Visual SPC'!$E$4="",'Data Entry'!$C5576&lt;='Visual SPC'!$E$4),OR('Visual SPC'!$G$4="",'Data Entry'!$D5576='Visual SPC'!$G$4),OR('Visual SPC'!$I$4="",'Data Entry'!$E5576='Visual SPC'!$I$4),OR('Visual SPC'!$K$4="",'Data Entry'!$F5576='Visual SPC'!$K$4)),1,0))</f>
        <v/>
      </c>
      <c r="C5576">
        <f>C5575+B5576</f>
        <v/>
      </c>
      <c r="D5576">
        <f>IF(B5576=1,INDEX('Data Entry'!$H$5:$BE$10004,5576-4,'Visual SPC'!$B$3),"")</f>
        <v/>
      </c>
      <c r="E5576">
        <f>IF(B5576=1,D5576,E5575)</f>
        <v/>
      </c>
      <c r="F5576">
        <f>IF(AND(B5576=1,C5576&gt;1,E5575&lt;&gt;""),ABS(D5576-E5575),"")</f>
        <v/>
      </c>
    </row>
    <row r="5577">
      <c r="A5577" t="n">
        <v>5577</v>
      </c>
      <c r="B5577">
        <f>IF(INDEX('Data Entry'!$H$5:$BE$10004,5577-4,'Visual SPC'!$B$3)="",0,IF(AND(OR('Visual SPC'!$C$4="",'Data Entry'!$C5577&gt;='Visual SPC'!$C$4),OR('Visual SPC'!$E$4="",'Data Entry'!$C5577&lt;='Visual SPC'!$E$4),OR('Visual SPC'!$G$4="",'Data Entry'!$D5577='Visual SPC'!$G$4),OR('Visual SPC'!$I$4="",'Data Entry'!$E5577='Visual SPC'!$I$4),OR('Visual SPC'!$K$4="",'Data Entry'!$F5577='Visual SPC'!$K$4)),1,0))</f>
        <v/>
      </c>
      <c r="C5577">
        <f>C5576+B5577</f>
        <v/>
      </c>
      <c r="D5577">
        <f>IF(B5577=1,INDEX('Data Entry'!$H$5:$BE$10004,5577-4,'Visual SPC'!$B$3),"")</f>
        <v/>
      </c>
      <c r="E5577">
        <f>IF(B5577=1,D5577,E5576)</f>
        <v/>
      </c>
      <c r="F5577">
        <f>IF(AND(B5577=1,C5577&gt;1,E5576&lt;&gt;""),ABS(D5577-E5576),"")</f>
        <v/>
      </c>
    </row>
    <row r="5578">
      <c r="A5578" t="n">
        <v>5578</v>
      </c>
      <c r="B5578">
        <f>IF(INDEX('Data Entry'!$H$5:$BE$10004,5578-4,'Visual SPC'!$B$3)="",0,IF(AND(OR('Visual SPC'!$C$4="",'Data Entry'!$C5578&gt;='Visual SPC'!$C$4),OR('Visual SPC'!$E$4="",'Data Entry'!$C5578&lt;='Visual SPC'!$E$4),OR('Visual SPC'!$G$4="",'Data Entry'!$D5578='Visual SPC'!$G$4),OR('Visual SPC'!$I$4="",'Data Entry'!$E5578='Visual SPC'!$I$4),OR('Visual SPC'!$K$4="",'Data Entry'!$F5578='Visual SPC'!$K$4)),1,0))</f>
        <v/>
      </c>
      <c r="C5578">
        <f>C5577+B5578</f>
        <v/>
      </c>
      <c r="D5578">
        <f>IF(B5578=1,INDEX('Data Entry'!$H$5:$BE$10004,5578-4,'Visual SPC'!$B$3),"")</f>
        <v/>
      </c>
      <c r="E5578">
        <f>IF(B5578=1,D5578,E5577)</f>
        <v/>
      </c>
      <c r="F5578">
        <f>IF(AND(B5578=1,C5578&gt;1,E5577&lt;&gt;""),ABS(D5578-E5577),"")</f>
        <v/>
      </c>
    </row>
    <row r="5579">
      <c r="A5579" t="n">
        <v>5579</v>
      </c>
      <c r="B5579">
        <f>IF(INDEX('Data Entry'!$H$5:$BE$10004,5579-4,'Visual SPC'!$B$3)="",0,IF(AND(OR('Visual SPC'!$C$4="",'Data Entry'!$C5579&gt;='Visual SPC'!$C$4),OR('Visual SPC'!$E$4="",'Data Entry'!$C5579&lt;='Visual SPC'!$E$4),OR('Visual SPC'!$G$4="",'Data Entry'!$D5579='Visual SPC'!$G$4),OR('Visual SPC'!$I$4="",'Data Entry'!$E5579='Visual SPC'!$I$4),OR('Visual SPC'!$K$4="",'Data Entry'!$F5579='Visual SPC'!$K$4)),1,0))</f>
        <v/>
      </c>
      <c r="C5579">
        <f>C5578+B5579</f>
        <v/>
      </c>
      <c r="D5579">
        <f>IF(B5579=1,INDEX('Data Entry'!$H$5:$BE$10004,5579-4,'Visual SPC'!$B$3),"")</f>
        <v/>
      </c>
      <c r="E5579">
        <f>IF(B5579=1,D5579,E5578)</f>
        <v/>
      </c>
      <c r="F5579">
        <f>IF(AND(B5579=1,C5579&gt;1,E5578&lt;&gt;""),ABS(D5579-E5578),"")</f>
        <v/>
      </c>
    </row>
    <row r="5580">
      <c r="A5580" t="n">
        <v>5580</v>
      </c>
      <c r="B5580">
        <f>IF(INDEX('Data Entry'!$H$5:$BE$10004,5580-4,'Visual SPC'!$B$3)="",0,IF(AND(OR('Visual SPC'!$C$4="",'Data Entry'!$C5580&gt;='Visual SPC'!$C$4),OR('Visual SPC'!$E$4="",'Data Entry'!$C5580&lt;='Visual SPC'!$E$4),OR('Visual SPC'!$G$4="",'Data Entry'!$D5580='Visual SPC'!$G$4),OR('Visual SPC'!$I$4="",'Data Entry'!$E5580='Visual SPC'!$I$4),OR('Visual SPC'!$K$4="",'Data Entry'!$F5580='Visual SPC'!$K$4)),1,0))</f>
        <v/>
      </c>
      <c r="C5580">
        <f>C5579+B5580</f>
        <v/>
      </c>
      <c r="D5580">
        <f>IF(B5580=1,INDEX('Data Entry'!$H$5:$BE$10004,5580-4,'Visual SPC'!$B$3),"")</f>
        <v/>
      </c>
      <c r="E5580">
        <f>IF(B5580=1,D5580,E5579)</f>
        <v/>
      </c>
      <c r="F5580">
        <f>IF(AND(B5580=1,C5580&gt;1,E5579&lt;&gt;""),ABS(D5580-E5579),"")</f>
        <v/>
      </c>
    </row>
    <row r="5581">
      <c r="A5581" t="n">
        <v>5581</v>
      </c>
      <c r="B5581">
        <f>IF(INDEX('Data Entry'!$H$5:$BE$10004,5581-4,'Visual SPC'!$B$3)="",0,IF(AND(OR('Visual SPC'!$C$4="",'Data Entry'!$C5581&gt;='Visual SPC'!$C$4),OR('Visual SPC'!$E$4="",'Data Entry'!$C5581&lt;='Visual SPC'!$E$4),OR('Visual SPC'!$G$4="",'Data Entry'!$D5581='Visual SPC'!$G$4),OR('Visual SPC'!$I$4="",'Data Entry'!$E5581='Visual SPC'!$I$4),OR('Visual SPC'!$K$4="",'Data Entry'!$F5581='Visual SPC'!$K$4)),1,0))</f>
        <v/>
      </c>
      <c r="C5581">
        <f>C5580+B5581</f>
        <v/>
      </c>
      <c r="D5581">
        <f>IF(B5581=1,INDEX('Data Entry'!$H$5:$BE$10004,5581-4,'Visual SPC'!$B$3),"")</f>
        <v/>
      </c>
      <c r="E5581">
        <f>IF(B5581=1,D5581,E5580)</f>
        <v/>
      </c>
      <c r="F5581">
        <f>IF(AND(B5581=1,C5581&gt;1,E5580&lt;&gt;""),ABS(D5581-E5580),"")</f>
        <v/>
      </c>
    </row>
    <row r="5582">
      <c r="A5582" t="n">
        <v>5582</v>
      </c>
      <c r="B5582">
        <f>IF(INDEX('Data Entry'!$H$5:$BE$10004,5582-4,'Visual SPC'!$B$3)="",0,IF(AND(OR('Visual SPC'!$C$4="",'Data Entry'!$C5582&gt;='Visual SPC'!$C$4),OR('Visual SPC'!$E$4="",'Data Entry'!$C5582&lt;='Visual SPC'!$E$4),OR('Visual SPC'!$G$4="",'Data Entry'!$D5582='Visual SPC'!$G$4),OR('Visual SPC'!$I$4="",'Data Entry'!$E5582='Visual SPC'!$I$4),OR('Visual SPC'!$K$4="",'Data Entry'!$F5582='Visual SPC'!$K$4)),1,0))</f>
        <v/>
      </c>
      <c r="C5582">
        <f>C5581+B5582</f>
        <v/>
      </c>
      <c r="D5582">
        <f>IF(B5582=1,INDEX('Data Entry'!$H$5:$BE$10004,5582-4,'Visual SPC'!$B$3),"")</f>
        <v/>
      </c>
      <c r="E5582">
        <f>IF(B5582=1,D5582,E5581)</f>
        <v/>
      </c>
      <c r="F5582">
        <f>IF(AND(B5582=1,C5582&gt;1,E5581&lt;&gt;""),ABS(D5582-E5581),"")</f>
        <v/>
      </c>
    </row>
    <row r="5583">
      <c r="A5583" t="n">
        <v>5583</v>
      </c>
      <c r="B5583">
        <f>IF(INDEX('Data Entry'!$H$5:$BE$10004,5583-4,'Visual SPC'!$B$3)="",0,IF(AND(OR('Visual SPC'!$C$4="",'Data Entry'!$C5583&gt;='Visual SPC'!$C$4),OR('Visual SPC'!$E$4="",'Data Entry'!$C5583&lt;='Visual SPC'!$E$4),OR('Visual SPC'!$G$4="",'Data Entry'!$D5583='Visual SPC'!$G$4),OR('Visual SPC'!$I$4="",'Data Entry'!$E5583='Visual SPC'!$I$4),OR('Visual SPC'!$K$4="",'Data Entry'!$F5583='Visual SPC'!$K$4)),1,0))</f>
        <v/>
      </c>
      <c r="C5583">
        <f>C5582+B5583</f>
        <v/>
      </c>
      <c r="D5583">
        <f>IF(B5583=1,INDEX('Data Entry'!$H$5:$BE$10004,5583-4,'Visual SPC'!$B$3),"")</f>
        <v/>
      </c>
      <c r="E5583">
        <f>IF(B5583=1,D5583,E5582)</f>
        <v/>
      </c>
      <c r="F5583">
        <f>IF(AND(B5583=1,C5583&gt;1,E5582&lt;&gt;""),ABS(D5583-E5582),"")</f>
        <v/>
      </c>
    </row>
    <row r="5584">
      <c r="A5584" t="n">
        <v>5584</v>
      </c>
      <c r="B5584">
        <f>IF(INDEX('Data Entry'!$H$5:$BE$10004,5584-4,'Visual SPC'!$B$3)="",0,IF(AND(OR('Visual SPC'!$C$4="",'Data Entry'!$C5584&gt;='Visual SPC'!$C$4),OR('Visual SPC'!$E$4="",'Data Entry'!$C5584&lt;='Visual SPC'!$E$4),OR('Visual SPC'!$G$4="",'Data Entry'!$D5584='Visual SPC'!$G$4),OR('Visual SPC'!$I$4="",'Data Entry'!$E5584='Visual SPC'!$I$4),OR('Visual SPC'!$K$4="",'Data Entry'!$F5584='Visual SPC'!$K$4)),1,0))</f>
        <v/>
      </c>
      <c r="C5584">
        <f>C5583+B5584</f>
        <v/>
      </c>
      <c r="D5584">
        <f>IF(B5584=1,INDEX('Data Entry'!$H$5:$BE$10004,5584-4,'Visual SPC'!$B$3),"")</f>
        <v/>
      </c>
      <c r="E5584">
        <f>IF(B5584=1,D5584,E5583)</f>
        <v/>
      </c>
      <c r="F5584">
        <f>IF(AND(B5584=1,C5584&gt;1,E5583&lt;&gt;""),ABS(D5584-E5583),"")</f>
        <v/>
      </c>
    </row>
    <row r="5585">
      <c r="A5585" t="n">
        <v>5585</v>
      </c>
      <c r="B5585">
        <f>IF(INDEX('Data Entry'!$H$5:$BE$10004,5585-4,'Visual SPC'!$B$3)="",0,IF(AND(OR('Visual SPC'!$C$4="",'Data Entry'!$C5585&gt;='Visual SPC'!$C$4),OR('Visual SPC'!$E$4="",'Data Entry'!$C5585&lt;='Visual SPC'!$E$4),OR('Visual SPC'!$G$4="",'Data Entry'!$D5585='Visual SPC'!$G$4),OR('Visual SPC'!$I$4="",'Data Entry'!$E5585='Visual SPC'!$I$4),OR('Visual SPC'!$K$4="",'Data Entry'!$F5585='Visual SPC'!$K$4)),1,0))</f>
        <v/>
      </c>
      <c r="C5585">
        <f>C5584+B5585</f>
        <v/>
      </c>
      <c r="D5585">
        <f>IF(B5585=1,INDEX('Data Entry'!$H$5:$BE$10004,5585-4,'Visual SPC'!$B$3),"")</f>
        <v/>
      </c>
      <c r="E5585">
        <f>IF(B5585=1,D5585,E5584)</f>
        <v/>
      </c>
      <c r="F5585">
        <f>IF(AND(B5585=1,C5585&gt;1,E5584&lt;&gt;""),ABS(D5585-E5584),"")</f>
        <v/>
      </c>
    </row>
    <row r="5586">
      <c r="A5586" t="n">
        <v>5586</v>
      </c>
      <c r="B5586">
        <f>IF(INDEX('Data Entry'!$H$5:$BE$10004,5586-4,'Visual SPC'!$B$3)="",0,IF(AND(OR('Visual SPC'!$C$4="",'Data Entry'!$C5586&gt;='Visual SPC'!$C$4),OR('Visual SPC'!$E$4="",'Data Entry'!$C5586&lt;='Visual SPC'!$E$4),OR('Visual SPC'!$G$4="",'Data Entry'!$D5586='Visual SPC'!$G$4),OR('Visual SPC'!$I$4="",'Data Entry'!$E5586='Visual SPC'!$I$4),OR('Visual SPC'!$K$4="",'Data Entry'!$F5586='Visual SPC'!$K$4)),1,0))</f>
        <v/>
      </c>
      <c r="C5586">
        <f>C5585+B5586</f>
        <v/>
      </c>
      <c r="D5586">
        <f>IF(B5586=1,INDEX('Data Entry'!$H$5:$BE$10004,5586-4,'Visual SPC'!$B$3),"")</f>
        <v/>
      </c>
      <c r="E5586">
        <f>IF(B5586=1,D5586,E5585)</f>
        <v/>
      </c>
      <c r="F5586">
        <f>IF(AND(B5586=1,C5586&gt;1,E5585&lt;&gt;""),ABS(D5586-E5585),"")</f>
        <v/>
      </c>
    </row>
    <row r="5587">
      <c r="A5587" t="n">
        <v>5587</v>
      </c>
      <c r="B5587">
        <f>IF(INDEX('Data Entry'!$H$5:$BE$10004,5587-4,'Visual SPC'!$B$3)="",0,IF(AND(OR('Visual SPC'!$C$4="",'Data Entry'!$C5587&gt;='Visual SPC'!$C$4),OR('Visual SPC'!$E$4="",'Data Entry'!$C5587&lt;='Visual SPC'!$E$4),OR('Visual SPC'!$G$4="",'Data Entry'!$D5587='Visual SPC'!$G$4),OR('Visual SPC'!$I$4="",'Data Entry'!$E5587='Visual SPC'!$I$4),OR('Visual SPC'!$K$4="",'Data Entry'!$F5587='Visual SPC'!$K$4)),1,0))</f>
        <v/>
      </c>
      <c r="C5587">
        <f>C5586+B5587</f>
        <v/>
      </c>
      <c r="D5587">
        <f>IF(B5587=1,INDEX('Data Entry'!$H$5:$BE$10004,5587-4,'Visual SPC'!$B$3),"")</f>
        <v/>
      </c>
      <c r="E5587">
        <f>IF(B5587=1,D5587,E5586)</f>
        <v/>
      </c>
      <c r="F5587">
        <f>IF(AND(B5587=1,C5587&gt;1,E5586&lt;&gt;""),ABS(D5587-E5586),"")</f>
        <v/>
      </c>
    </row>
    <row r="5588">
      <c r="A5588" t="n">
        <v>5588</v>
      </c>
      <c r="B5588">
        <f>IF(INDEX('Data Entry'!$H$5:$BE$10004,5588-4,'Visual SPC'!$B$3)="",0,IF(AND(OR('Visual SPC'!$C$4="",'Data Entry'!$C5588&gt;='Visual SPC'!$C$4),OR('Visual SPC'!$E$4="",'Data Entry'!$C5588&lt;='Visual SPC'!$E$4),OR('Visual SPC'!$G$4="",'Data Entry'!$D5588='Visual SPC'!$G$4),OR('Visual SPC'!$I$4="",'Data Entry'!$E5588='Visual SPC'!$I$4),OR('Visual SPC'!$K$4="",'Data Entry'!$F5588='Visual SPC'!$K$4)),1,0))</f>
        <v/>
      </c>
      <c r="C5588">
        <f>C5587+B5588</f>
        <v/>
      </c>
      <c r="D5588">
        <f>IF(B5588=1,INDEX('Data Entry'!$H$5:$BE$10004,5588-4,'Visual SPC'!$B$3),"")</f>
        <v/>
      </c>
      <c r="E5588">
        <f>IF(B5588=1,D5588,E5587)</f>
        <v/>
      </c>
      <c r="F5588">
        <f>IF(AND(B5588=1,C5588&gt;1,E5587&lt;&gt;""),ABS(D5588-E5587),"")</f>
        <v/>
      </c>
    </row>
    <row r="5589">
      <c r="A5589" t="n">
        <v>5589</v>
      </c>
      <c r="B5589">
        <f>IF(INDEX('Data Entry'!$H$5:$BE$10004,5589-4,'Visual SPC'!$B$3)="",0,IF(AND(OR('Visual SPC'!$C$4="",'Data Entry'!$C5589&gt;='Visual SPC'!$C$4),OR('Visual SPC'!$E$4="",'Data Entry'!$C5589&lt;='Visual SPC'!$E$4),OR('Visual SPC'!$G$4="",'Data Entry'!$D5589='Visual SPC'!$G$4),OR('Visual SPC'!$I$4="",'Data Entry'!$E5589='Visual SPC'!$I$4),OR('Visual SPC'!$K$4="",'Data Entry'!$F5589='Visual SPC'!$K$4)),1,0))</f>
        <v/>
      </c>
      <c r="C5589">
        <f>C5588+B5589</f>
        <v/>
      </c>
      <c r="D5589">
        <f>IF(B5589=1,INDEX('Data Entry'!$H$5:$BE$10004,5589-4,'Visual SPC'!$B$3),"")</f>
        <v/>
      </c>
      <c r="E5589">
        <f>IF(B5589=1,D5589,E5588)</f>
        <v/>
      </c>
      <c r="F5589">
        <f>IF(AND(B5589=1,C5589&gt;1,E5588&lt;&gt;""),ABS(D5589-E5588),"")</f>
        <v/>
      </c>
    </row>
    <row r="5590">
      <c r="A5590" t="n">
        <v>5590</v>
      </c>
      <c r="B5590">
        <f>IF(INDEX('Data Entry'!$H$5:$BE$10004,5590-4,'Visual SPC'!$B$3)="",0,IF(AND(OR('Visual SPC'!$C$4="",'Data Entry'!$C5590&gt;='Visual SPC'!$C$4),OR('Visual SPC'!$E$4="",'Data Entry'!$C5590&lt;='Visual SPC'!$E$4),OR('Visual SPC'!$G$4="",'Data Entry'!$D5590='Visual SPC'!$G$4),OR('Visual SPC'!$I$4="",'Data Entry'!$E5590='Visual SPC'!$I$4),OR('Visual SPC'!$K$4="",'Data Entry'!$F5590='Visual SPC'!$K$4)),1,0))</f>
        <v/>
      </c>
      <c r="C5590">
        <f>C5589+B5590</f>
        <v/>
      </c>
      <c r="D5590">
        <f>IF(B5590=1,INDEX('Data Entry'!$H$5:$BE$10004,5590-4,'Visual SPC'!$B$3),"")</f>
        <v/>
      </c>
      <c r="E5590">
        <f>IF(B5590=1,D5590,E5589)</f>
        <v/>
      </c>
      <c r="F5590">
        <f>IF(AND(B5590=1,C5590&gt;1,E5589&lt;&gt;""),ABS(D5590-E5589),"")</f>
        <v/>
      </c>
    </row>
    <row r="5591">
      <c r="A5591" t="n">
        <v>5591</v>
      </c>
      <c r="B5591">
        <f>IF(INDEX('Data Entry'!$H$5:$BE$10004,5591-4,'Visual SPC'!$B$3)="",0,IF(AND(OR('Visual SPC'!$C$4="",'Data Entry'!$C5591&gt;='Visual SPC'!$C$4),OR('Visual SPC'!$E$4="",'Data Entry'!$C5591&lt;='Visual SPC'!$E$4),OR('Visual SPC'!$G$4="",'Data Entry'!$D5591='Visual SPC'!$G$4),OR('Visual SPC'!$I$4="",'Data Entry'!$E5591='Visual SPC'!$I$4),OR('Visual SPC'!$K$4="",'Data Entry'!$F5591='Visual SPC'!$K$4)),1,0))</f>
        <v/>
      </c>
      <c r="C5591">
        <f>C5590+B5591</f>
        <v/>
      </c>
      <c r="D5591">
        <f>IF(B5591=1,INDEX('Data Entry'!$H$5:$BE$10004,5591-4,'Visual SPC'!$B$3),"")</f>
        <v/>
      </c>
      <c r="E5591">
        <f>IF(B5591=1,D5591,E5590)</f>
        <v/>
      </c>
      <c r="F5591">
        <f>IF(AND(B5591=1,C5591&gt;1,E5590&lt;&gt;""),ABS(D5591-E5590),"")</f>
        <v/>
      </c>
    </row>
    <row r="5592">
      <c r="A5592" t="n">
        <v>5592</v>
      </c>
      <c r="B5592">
        <f>IF(INDEX('Data Entry'!$H$5:$BE$10004,5592-4,'Visual SPC'!$B$3)="",0,IF(AND(OR('Visual SPC'!$C$4="",'Data Entry'!$C5592&gt;='Visual SPC'!$C$4),OR('Visual SPC'!$E$4="",'Data Entry'!$C5592&lt;='Visual SPC'!$E$4),OR('Visual SPC'!$G$4="",'Data Entry'!$D5592='Visual SPC'!$G$4),OR('Visual SPC'!$I$4="",'Data Entry'!$E5592='Visual SPC'!$I$4),OR('Visual SPC'!$K$4="",'Data Entry'!$F5592='Visual SPC'!$K$4)),1,0))</f>
        <v/>
      </c>
      <c r="C5592">
        <f>C5591+B5592</f>
        <v/>
      </c>
      <c r="D5592">
        <f>IF(B5592=1,INDEX('Data Entry'!$H$5:$BE$10004,5592-4,'Visual SPC'!$B$3),"")</f>
        <v/>
      </c>
      <c r="E5592">
        <f>IF(B5592=1,D5592,E5591)</f>
        <v/>
      </c>
      <c r="F5592">
        <f>IF(AND(B5592=1,C5592&gt;1,E5591&lt;&gt;""),ABS(D5592-E5591),"")</f>
        <v/>
      </c>
    </row>
    <row r="5593">
      <c r="A5593" t="n">
        <v>5593</v>
      </c>
      <c r="B5593">
        <f>IF(INDEX('Data Entry'!$H$5:$BE$10004,5593-4,'Visual SPC'!$B$3)="",0,IF(AND(OR('Visual SPC'!$C$4="",'Data Entry'!$C5593&gt;='Visual SPC'!$C$4),OR('Visual SPC'!$E$4="",'Data Entry'!$C5593&lt;='Visual SPC'!$E$4),OR('Visual SPC'!$G$4="",'Data Entry'!$D5593='Visual SPC'!$G$4),OR('Visual SPC'!$I$4="",'Data Entry'!$E5593='Visual SPC'!$I$4),OR('Visual SPC'!$K$4="",'Data Entry'!$F5593='Visual SPC'!$K$4)),1,0))</f>
        <v/>
      </c>
      <c r="C5593">
        <f>C5592+B5593</f>
        <v/>
      </c>
      <c r="D5593">
        <f>IF(B5593=1,INDEX('Data Entry'!$H$5:$BE$10004,5593-4,'Visual SPC'!$B$3),"")</f>
        <v/>
      </c>
      <c r="E5593">
        <f>IF(B5593=1,D5593,E5592)</f>
        <v/>
      </c>
      <c r="F5593">
        <f>IF(AND(B5593=1,C5593&gt;1,E5592&lt;&gt;""),ABS(D5593-E5592),"")</f>
        <v/>
      </c>
    </row>
    <row r="5594">
      <c r="A5594" t="n">
        <v>5594</v>
      </c>
      <c r="B5594">
        <f>IF(INDEX('Data Entry'!$H$5:$BE$10004,5594-4,'Visual SPC'!$B$3)="",0,IF(AND(OR('Visual SPC'!$C$4="",'Data Entry'!$C5594&gt;='Visual SPC'!$C$4),OR('Visual SPC'!$E$4="",'Data Entry'!$C5594&lt;='Visual SPC'!$E$4),OR('Visual SPC'!$G$4="",'Data Entry'!$D5594='Visual SPC'!$G$4),OR('Visual SPC'!$I$4="",'Data Entry'!$E5594='Visual SPC'!$I$4),OR('Visual SPC'!$K$4="",'Data Entry'!$F5594='Visual SPC'!$K$4)),1,0))</f>
        <v/>
      </c>
      <c r="C5594">
        <f>C5593+B5594</f>
        <v/>
      </c>
      <c r="D5594">
        <f>IF(B5594=1,INDEX('Data Entry'!$H$5:$BE$10004,5594-4,'Visual SPC'!$B$3),"")</f>
        <v/>
      </c>
      <c r="E5594">
        <f>IF(B5594=1,D5594,E5593)</f>
        <v/>
      </c>
      <c r="F5594">
        <f>IF(AND(B5594=1,C5594&gt;1,E5593&lt;&gt;""),ABS(D5594-E5593),"")</f>
        <v/>
      </c>
    </row>
    <row r="5595">
      <c r="A5595" t="n">
        <v>5595</v>
      </c>
      <c r="B5595">
        <f>IF(INDEX('Data Entry'!$H$5:$BE$10004,5595-4,'Visual SPC'!$B$3)="",0,IF(AND(OR('Visual SPC'!$C$4="",'Data Entry'!$C5595&gt;='Visual SPC'!$C$4),OR('Visual SPC'!$E$4="",'Data Entry'!$C5595&lt;='Visual SPC'!$E$4),OR('Visual SPC'!$G$4="",'Data Entry'!$D5595='Visual SPC'!$G$4),OR('Visual SPC'!$I$4="",'Data Entry'!$E5595='Visual SPC'!$I$4),OR('Visual SPC'!$K$4="",'Data Entry'!$F5595='Visual SPC'!$K$4)),1,0))</f>
        <v/>
      </c>
      <c r="C5595">
        <f>C5594+B5595</f>
        <v/>
      </c>
      <c r="D5595">
        <f>IF(B5595=1,INDEX('Data Entry'!$H$5:$BE$10004,5595-4,'Visual SPC'!$B$3),"")</f>
        <v/>
      </c>
      <c r="E5595">
        <f>IF(B5595=1,D5595,E5594)</f>
        <v/>
      </c>
      <c r="F5595">
        <f>IF(AND(B5595=1,C5595&gt;1,E5594&lt;&gt;""),ABS(D5595-E5594),"")</f>
        <v/>
      </c>
    </row>
    <row r="5596">
      <c r="A5596" t="n">
        <v>5596</v>
      </c>
      <c r="B5596">
        <f>IF(INDEX('Data Entry'!$H$5:$BE$10004,5596-4,'Visual SPC'!$B$3)="",0,IF(AND(OR('Visual SPC'!$C$4="",'Data Entry'!$C5596&gt;='Visual SPC'!$C$4),OR('Visual SPC'!$E$4="",'Data Entry'!$C5596&lt;='Visual SPC'!$E$4),OR('Visual SPC'!$G$4="",'Data Entry'!$D5596='Visual SPC'!$G$4),OR('Visual SPC'!$I$4="",'Data Entry'!$E5596='Visual SPC'!$I$4),OR('Visual SPC'!$K$4="",'Data Entry'!$F5596='Visual SPC'!$K$4)),1,0))</f>
        <v/>
      </c>
      <c r="C5596">
        <f>C5595+B5596</f>
        <v/>
      </c>
      <c r="D5596">
        <f>IF(B5596=1,INDEX('Data Entry'!$H$5:$BE$10004,5596-4,'Visual SPC'!$B$3),"")</f>
        <v/>
      </c>
      <c r="E5596">
        <f>IF(B5596=1,D5596,E5595)</f>
        <v/>
      </c>
      <c r="F5596">
        <f>IF(AND(B5596=1,C5596&gt;1,E5595&lt;&gt;""),ABS(D5596-E5595),"")</f>
        <v/>
      </c>
    </row>
    <row r="5597">
      <c r="A5597" t="n">
        <v>5597</v>
      </c>
      <c r="B5597">
        <f>IF(INDEX('Data Entry'!$H$5:$BE$10004,5597-4,'Visual SPC'!$B$3)="",0,IF(AND(OR('Visual SPC'!$C$4="",'Data Entry'!$C5597&gt;='Visual SPC'!$C$4),OR('Visual SPC'!$E$4="",'Data Entry'!$C5597&lt;='Visual SPC'!$E$4),OR('Visual SPC'!$G$4="",'Data Entry'!$D5597='Visual SPC'!$G$4),OR('Visual SPC'!$I$4="",'Data Entry'!$E5597='Visual SPC'!$I$4),OR('Visual SPC'!$K$4="",'Data Entry'!$F5597='Visual SPC'!$K$4)),1,0))</f>
        <v/>
      </c>
      <c r="C5597">
        <f>C5596+B5597</f>
        <v/>
      </c>
      <c r="D5597">
        <f>IF(B5597=1,INDEX('Data Entry'!$H$5:$BE$10004,5597-4,'Visual SPC'!$B$3),"")</f>
        <v/>
      </c>
      <c r="E5597">
        <f>IF(B5597=1,D5597,E5596)</f>
        <v/>
      </c>
      <c r="F5597">
        <f>IF(AND(B5597=1,C5597&gt;1,E5596&lt;&gt;""),ABS(D5597-E5596),"")</f>
        <v/>
      </c>
    </row>
    <row r="5598">
      <c r="A5598" t="n">
        <v>5598</v>
      </c>
      <c r="B5598">
        <f>IF(INDEX('Data Entry'!$H$5:$BE$10004,5598-4,'Visual SPC'!$B$3)="",0,IF(AND(OR('Visual SPC'!$C$4="",'Data Entry'!$C5598&gt;='Visual SPC'!$C$4),OR('Visual SPC'!$E$4="",'Data Entry'!$C5598&lt;='Visual SPC'!$E$4),OR('Visual SPC'!$G$4="",'Data Entry'!$D5598='Visual SPC'!$G$4),OR('Visual SPC'!$I$4="",'Data Entry'!$E5598='Visual SPC'!$I$4),OR('Visual SPC'!$K$4="",'Data Entry'!$F5598='Visual SPC'!$K$4)),1,0))</f>
        <v/>
      </c>
      <c r="C5598">
        <f>C5597+B5598</f>
        <v/>
      </c>
      <c r="D5598">
        <f>IF(B5598=1,INDEX('Data Entry'!$H$5:$BE$10004,5598-4,'Visual SPC'!$B$3),"")</f>
        <v/>
      </c>
      <c r="E5598">
        <f>IF(B5598=1,D5598,E5597)</f>
        <v/>
      </c>
      <c r="F5598">
        <f>IF(AND(B5598=1,C5598&gt;1,E5597&lt;&gt;""),ABS(D5598-E5597),"")</f>
        <v/>
      </c>
    </row>
    <row r="5599">
      <c r="A5599" t="n">
        <v>5599</v>
      </c>
      <c r="B5599">
        <f>IF(INDEX('Data Entry'!$H$5:$BE$10004,5599-4,'Visual SPC'!$B$3)="",0,IF(AND(OR('Visual SPC'!$C$4="",'Data Entry'!$C5599&gt;='Visual SPC'!$C$4),OR('Visual SPC'!$E$4="",'Data Entry'!$C5599&lt;='Visual SPC'!$E$4),OR('Visual SPC'!$G$4="",'Data Entry'!$D5599='Visual SPC'!$G$4),OR('Visual SPC'!$I$4="",'Data Entry'!$E5599='Visual SPC'!$I$4),OR('Visual SPC'!$K$4="",'Data Entry'!$F5599='Visual SPC'!$K$4)),1,0))</f>
        <v/>
      </c>
      <c r="C5599">
        <f>C5598+B5599</f>
        <v/>
      </c>
      <c r="D5599">
        <f>IF(B5599=1,INDEX('Data Entry'!$H$5:$BE$10004,5599-4,'Visual SPC'!$B$3),"")</f>
        <v/>
      </c>
      <c r="E5599">
        <f>IF(B5599=1,D5599,E5598)</f>
        <v/>
      </c>
      <c r="F5599">
        <f>IF(AND(B5599=1,C5599&gt;1,E5598&lt;&gt;""),ABS(D5599-E5598),"")</f>
        <v/>
      </c>
    </row>
    <row r="5600">
      <c r="A5600" t="n">
        <v>5600</v>
      </c>
      <c r="B5600">
        <f>IF(INDEX('Data Entry'!$H$5:$BE$10004,5600-4,'Visual SPC'!$B$3)="",0,IF(AND(OR('Visual SPC'!$C$4="",'Data Entry'!$C5600&gt;='Visual SPC'!$C$4),OR('Visual SPC'!$E$4="",'Data Entry'!$C5600&lt;='Visual SPC'!$E$4),OR('Visual SPC'!$G$4="",'Data Entry'!$D5600='Visual SPC'!$G$4),OR('Visual SPC'!$I$4="",'Data Entry'!$E5600='Visual SPC'!$I$4),OR('Visual SPC'!$K$4="",'Data Entry'!$F5600='Visual SPC'!$K$4)),1,0))</f>
        <v/>
      </c>
      <c r="C5600">
        <f>C5599+B5600</f>
        <v/>
      </c>
      <c r="D5600">
        <f>IF(B5600=1,INDEX('Data Entry'!$H$5:$BE$10004,5600-4,'Visual SPC'!$B$3),"")</f>
        <v/>
      </c>
      <c r="E5600">
        <f>IF(B5600=1,D5600,E5599)</f>
        <v/>
      </c>
      <c r="F5600">
        <f>IF(AND(B5600=1,C5600&gt;1,E5599&lt;&gt;""),ABS(D5600-E5599),"")</f>
        <v/>
      </c>
    </row>
    <row r="5601">
      <c r="A5601" t="n">
        <v>5601</v>
      </c>
      <c r="B5601">
        <f>IF(INDEX('Data Entry'!$H$5:$BE$10004,5601-4,'Visual SPC'!$B$3)="",0,IF(AND(OR('Visual SPC'!$C$4="",'Data Entry'!$C5601&gt;='Visual SPC'!$C$4),OR('Visual SPC'!$E$4="",'Data Entry'!$C5601&lt;='Visual SPC'!$E$4),OR('Visual SPC'!$G$4="",'Data Entry'!$D5601='Visual SPC'!$G$4),OR('Visual SPC'!$I$4="",'Data Entry'!$E5601='Visual SPC'!$I$4),OR('Visual SPC'!$K$4="",'Data Entry'!$F5601='Visual SPC'!$K$4)),1,0))</f>
        <v/>
      </c>
      <c r="C5601">
        <f>C5600+B5601</f>
        <v/>
      </c>
      <c r="D5601">
        <f>IF(B5601=1,INDEX('Data Entry'!$H$5:$BE$10004,5601-4,'Visual SPC'!$B$3),"")</f>
        <v/>
      </c>
      <c r="E5601">
        <f>IF(B5601=1,D5601,E5600)</f>
        <v/>
      </c>
      <c r="F5601">
        <f>IF(AND(B5601=1,C5601&gt;1,E5600&lt;&gt;""),ABS(D5601-E5600),"")</f>
        <v/>
      </c>
    </row>
    <row r="5602">
      <c r="A5602" t="n">
        <v>5602</v>
      </c>
      <c r="B5602">
        <f>IF(INDEX('Data Entry'!$H$5:$BE$10004,5602-4,'Visual SPC'!$B$3)="",0,IF(AND(OR('Visual SPC'!$C$4="",'Data Entry'!$C5602&gt;='Visual SPC'!$C$4),OR('Visual SPC'!$E$4="",'Data Entry'!$C5602&lt;='Visual SPC'!$E$4),OR('Visual SPC'!$G$4="",'Data Entry'!$D5602='Visual SPC'!$G$4),OR('Visual SPC'!$I$4="",'Data Entry'!$E5602='Visual SPC'!$I$4),OR('Visual SPC'!$K$4="",'Data Entry'!$F5602='Visual SPC'!$K$4)),1,0))</f>
        <v/>
      </c>
      <c r="C5602">
        <f>C5601+B5602</f>
        <v/>
      </c>
      <c r="D5602">
        <f>IF(B5602=1,INDEX('Data Entry'!$H$5:$BE$10004,5602-4,'Visual SPC'!$B$3),"")</f>
        <v/>
      </c>
      <c r="E5602">
        <f>IF(B5602=1,D5602,E5601)</f>
        <v/>
      </c>
      <c r="F5602">
        <f>IF(AND(B5602=1,C5602&gt;1,E5601&lt;&gt;""),ABS(D5602-E5601),"")</f>
        <v/>
      </c>
    </row>
    <row r="5603">
      <c r="A5603" t="n">
        <v>5603</v>
      </c>
      <c r="B5603">
        <f>IF(INDEX('Data Entry'!$H$5:$BE$10004,5603-4,'Visual SPC'!$B$3)="",0,IF(AND(OR('Visual SPC'!$C$4="",'Data Entry'!$C5603&gt;='Visual SPC'!$C$4),OR('Visual SPC'!$E$4="",'Data Entry'!$C5603&lt;='Visual SPC'!$E$4),OR('Visual SPC'!$G$4="",'Data Entry'!$D5603='Visual SPC'!$G$4),OR('Visual SPC'!$I$4="",'Data Entry'!$E5603='Visual SPC'!$I$4),OR('Visual SPC'!$K$4="",'Data Entry'!$F5603='Visual SPC'!$K$4)),1,0))</f>
        <v/>
      </c>
      <c r="C5603">
        <f>C5602+B5603</f>
        <v/>
      </c>
      <c r="D5603">
        <f>IF(B5603=1,INDEX('Data Entry'!$H$5:$BE$10004,5603-4,'Visual SPC'!$B$3),"")</f>
        <v/>
      </c>
      <c r="E5603">
        <f>IF(B5603=1,D5603,E5602)</f>
        <v/>
      </c>
      <c r="F5603">
        <f>IF(AND(B5603=1,C5603&gt;1,E5602&lt;&gt;""),ABS(D5603-E5602),"")</f>
        <v/>
      </c>
    </row>
    <row r="5604">
      <c r="A5604" t="n">
        <v>5604</v>
      </c>
      <c r="B5604">
        <f>IF(INDEX('Data Entry'!$H$5:$BE$10004,5604-4,'Visual SPC'!$B$3)="",0,IF(AND(OR('Visual SPC'!$C$4="",'Data Entry'!$C5604&gt;='Visual SPC'!$C$4),OR('Visual SPC'!$E$4="",'Data Entry'!$C5604&lt;='Visual SPC'!$E$4),OR('Visual SPC'!$G$4="",'Data Entry'!$D5604='Visual SPC'!$G$4),OR('Visual SPC'!$I$4="",'Data Entry'!$E5604='Visual SPC'!$I$4),OR('Visual SPC'!$K$4="",'Data Entry'!$F5604='Visual SPC'!$K$4)),1,0))</f>
        <v/>
      </c>
      <c r="C5604">
        <f>C5603+B5604</f>
        <v/>
      </c>
      <c r="D5604">
        <f>IF(B5604=1,INDEX('Data Entry'!$H$5:$BE$10004,5604-4,'Visual SPC'!$B$3),"")</f>
        <v/>
      </c>
      <c r="E5604">
        <f>IF(B5604=1,D5604,E5603)</f>
        <v/>
      </c>
      <c r="F5604">
        <f>IF(AND(B5604=1,C5604&gt;1,E5603&lt;&gt;""),ABS(D5604-E5603),"")</f>
        <v/>
      </c>
    </row>
    <row r="5605">
      <c r="A5605" t="n">
        <v>5605</v>
      </c>
      <c r="B5605">
        <f>IF(INDEX('Data Entry'!$H$5:$BE$10004,5605-4,'Visual SPC'!$B$3)="",0,IF(AND(OR('Visual SPC'!$C$4="",'Data Entry'!$C5605&gt;='Visual SPC'!$C$4),OR('Visual SPC'!$E$4="",'Data Entry'!$C5605&lt;='Visual SPC'!$E$4),OR('Visual SPC'!$G$4="",'Data Entry'!$D5605='Visual SPC'!$G$4),OR('Visual SPC'!$I$4="",'Data Entry'!$E5605='Visual SPC'!$I$4),OR('Visual SPC'!$K$4="",'Data Entry'!$F5605='Visual SPC'!$K$4)),1,0))</f>
        <v/>
      </c>
      <c r="C5605">
        <f>C5604+B5605</f>
        <v/>
      </c>
      <c r="D5605">
        <f>IF(B5605=1,INDEX('Data Entry'!$H$5:$BE$10004,5605-4,'Visual SPC'!$B$3),"")</f>
        <v/>
      </c>
      <c r="E5605">
        <f>IF(B5605=1,D5605,E5604)</f>
        <v/>
      </c>
      <c r="F5605">
        <f>IF(AND(B5605=1,C5605&gt;1,E5604&lt;&gt;""),ABS(D5605-E5604),"")</f>
        <v/>
      </c>
    </row>
    <row r="5606">
      <c r="A5606" t="n">
        <v>5606</v>
      </c>
      <c r="B5606">
        <f>IF(INDEX('Data Entry'!$H$5:$BE$10004,5606-4,'Visual SPC'!$B$3)="",0,IF(AND(OR('Visual SPC'!$C$4="",'Data Entry'!$C5606&gt;='Visual SPC'!$C$4),OR('Visual SPC'!$E$4="",'Data Entry'!$C5606&lt;='Visual SPC'!$E$4),OR('Visual SPC'!$G$4="",'Data Entry'!$D5606='Visual SPC'!$G$4),OR('Visual SPC'!$I$4="",'Data Entry'!$E5606='Visual SPC'!$I$4),OR('Visual SPC'!$K$4="",'Data Entry'!$F5606='Visual SPC'!$K$4)),1,0))</f>
        <v/>
      </c>
      <c r="C5606">
        <f>C5605+B5606</f>
        <v/>
      </c>
      <c r="D5606">
        <f>IF(B5606=1,INDEX('Data Entry'!$H$5:$BE$10004,5606-4,'Visual SPC'!$B$3),"")</f>
        <v/>
      </c>
      <c r="E5606">
        <f>IF(B5606=1,D5606,E5605)</f>
        <v/>
      </c>
      <c r="F5606">
        <f>IF(AND(B5606=1,C5606&gt;1,E5605&lt;&gt;""),ABS(D5606-E5605),"")</f>
        <v/>
      </c>
    </row>
    <row r="5607">
      <c r="A5607" t="n">
        <v>5607</v>
      </c>
      <c r="B5607">
        <f>IF(INDEX('Data Entry'!$H$5:$BE$10004,5607-4,'Visual SPC'!$B$3)="",0,IF(AND(OR('Visual SPC'!$C$4="",'Data Entry'!$C5607&gt;='Visual SPC'!$C$4),OR('Visual SPC'!$E$4="",'Data Entry'!$C5607&lt;='Visual SPC'!$E$4),OR('Visual SPC'!$G$4="",'Data Entry'!$D5607='Visual SPC'!$G$4),OR('Visual SPC'!$I$4="",'Data Entry'!$E5607='Visual SPC'!$I$4),OR('Visual SPC'!$K$4="",'Data Entry'!$F5607='Visual SPC'!$K$4)),1,0))</f>
        <v/>
      </c>
      <c r="C5607">
        <f>C5606+B5607</f>
        <v/>
      </c>
      <c r="D5607">
        <f>IF(B5607=1,INDEX('Data Entry'!$H$5:$BE$10004,5607-4,'Visual SPC'!$B$3),"")</f>
        <v/>
      </c>
      <c r="E5607">
        <f>IF(B5607=1,D5607,E5606)</f>
        <v/>
      </c>
      <c r="F5607">
        <f>IF(AND(B5607=1,C5607&gt;1,E5606&lt;&gt;""),ABS(D5607-E5606),"")</f>
        <v/>
      </c>
    </row>
    <row r="5608">
      <c r="A5608" t="n">
        <v>5608</v>
      </c>
      <c r="B5608">
        <f>IF(INDEX('Data Entry'!$H$5:$BE$10004,5608-4,'Visual SPC'!$B$3)="",0,IF(AND(OR('Visual SPC'!$C$4="",'Data Entry'!$C5608&gt;='Visual SPC'!$C$4),OR('Visual SPC'!$E$4="",'Data Entry'!$C5608&lt;='Visual SPC'!$E$4),OR('Visual SPC'!$G$4="",'Data Entry'!$D5608='Visual SPC'!$G$4),OR('Visual SPC'!$I$4="",'Data Entry'!$E5608='Visual SPC'!$I$4),OR('Visual SPC'!$K$4="",'Data Entry'!$F5608='Visual SPC'!$K$4)),1,0))</f>
        <v/>
      </c>
      <c r="C5608">
        <f>C5607+B5608</f>
        <v/>
      </c>
      <c r="D5608">
        <f>IF(B5608=1,INDEX('Data Entry'!$H$5:$BE$10004,5608-4,'Visual SPC'!$B$3),"")</f>
        <v/>
      </c>
      <c r="E5608">
        <f>IF(B5608=1,D5608,E5607)</f>
        <v/>
      </c>
      <c r="F5608">
        <f>IF(AND(B5608=1,C5608&gt;1,E5607&lt;&gt;""),ABS(D5608-E5607),"")</f>
        <v/>
      </c>
    </row>
    <row r="5609">
      <c r="A5609" t="n">
        <v>5609</v>
      </c>
      <c r="B5609">
        <f>IF(INDEX('Data Entry'!$H$5:$BE$10004,5609-4,'Visual SPC'!$B$3)="",0,IF(AND(OR('Visual SPC'!$C$4="",'Data Entry'!$C5609&gt;='Visual SPC'!$C$4),OR('Visual SPC'!$E$4="",'Data Entry'!$C5609&lt;='Visual SPC'!$E$4),OR('Visual SPC'!$G$4="",'Data Entry'!$D5609='Visual SPC'!$G$4),OR('Visual SPC'!$I$4="",'Data Entry'!$E5609='Visual SPC'!$I$4),OR('Visual SPC'!$K$4="",'Data Entry'!$F5609='Visual SPC'!$K$4)),1,0))</f>
        <v/>
      </c>
      <c r="C5609">
        <f>C5608+B5609</f>
        <v/>
      </c>
      <c r="D5609">
        <f>IF(B5609=1,INDEX('Data Entry'!$H$5:$BE$10004,5609-4,'Visual SPC'!$B$3),"")</f>
        <v/>
      </c>
      <c r="E5609">
        <f>IF(B5609=1,D5609,E5608)</f>
        <v/>
      </c>
      <c r="F5609">
        <f>IF(AND(B5609=1,C5609&gt;1,E5608&lt;&gt;""),ABS(D5609-E5608),"")</f>
        <v/>
      </c>
    </row>
    <row r="5610">
      <c r="A5610" t="n">
        <v>5610</v>
      </c>
      <c r="B5610">
        <f>IF(INDEX('Data Entry'!$H$5:$BE$10004,5610-4,'Visual SPC'!$B$3)="",0,IF(AND(OR('Visual SPC'!$C$4="",'Data Entry'!$C5610&gt;='Visual SPC'!$C$4),OR('Visual SPC'!$E$4="",'Data Entry'!$C5610&lt;='Visual SPC'!$E$4),OR('Visual SPC'!$G$4="",'Data Entry'!$D5610='Visual SPC'!$G$4),OR('Visual SPC'!$I$4="",'Data Entry'!$E5610='Visual SPC'!$I$4),OR('Visual SPC'!$K$4="",'Data Entry'!$F5610='Visual SPC'!$K$4)),1,0))</f>
        <v/>
      </c>
      <c r="C5610">
        <f>C5609+B5610</f>
        <v/>
      </c>
      <c r="D5610">
        <f>IF(B5610=1,INDEX('Data Entry'!$H$5:$BE$10004,5610-4,'Visual SPC'!$B$3),"")</f>
        <v/>
      </c>
      <c r="E5610">
        <f>IF(B5610=1,D5610,E5609)</f>
        <v/>
      </c>
      <c r="F5610">
        <f>IF(AND(B5610=1,C5610&gt;1,E5609&lt;&gt;""),ABS(D5610-E5609),"")</f>
        <v/>
      </c>
    </row>
    <row r="5611">
      <c r="A5611" t="n">
        <v>5611</v>
      </c>
      <c r="B5611">
        <f>IF(INDEX('Data Entry'!$H$5:$BE$10004,5611-4,'Visual SPC'!$B$3)="",0,IF(AND(OR('Visual SPC'!$C$4="",'Data Entry'!$C5611&gt;='Visual SPC'!$C$4),OR('Visual SPC'!$E$4="",'Data Entry'!$C5611&lt;='Visual SPC'!$E$4),OR('Visual SPC'!$G$4="",'Data Entry'!$D5611='Visual SPC'!$G$4),OR('Visual SPC'!$I$4="",'Data Entry'!$E5611='Visual SPC'!$I$4),OR('Visual SPC'!$K$4="",'Data Entry'!$F5611='Visual SPC'!$K$4)),1,0))</f>
        <v/>
      </c>
      <c r="C5611">
        <f>C5610+B5611</f>
        <v/>
      </c>
      <c r="D5611">
        <f>IF(B5611=1,INDEX('Data Entry'!$H$5:$BE$10004,5611-4,'Visual SPC'!$B$3),"")</f>
        <v/>
      </c>
      <c r="E5611">
        <f>IF(B5611=1,D5611,E5610)</f>
        <v/>
      </c>
      <c r="F5611">
        <f>IF(AND(B5611=1,C5611&gt;1,E5610&lt;&gt;""),ABS(D5611-E5610),"")</f>
        <v/>
      </c>
    </row>
    <row r="5612">
      <c r="A5612" t="n">
        <v>5612</v>
      </c>
      <c r="B5612">
        <f>IF(INDEX('Data Entry'!$H$5:$BE$10004,5612-4,'Visual SPC'!$B$3)="",0,IF(AND(OR('Visual SPC'!$C$4="",'Data Entry'!$C5612&gt;='Visual SPC'!$C$4),OR('Visual SPC'!$E$4="",'Data Entry'!$C5612&lt;='Visual SPC'!$E$4),OR('Visual SPC'!$G$4="",'Data Entry'!$D5612='Visual SPC'!$G$4),OR('Visual SPC'!$I$4="",'Data Entry'!$E5612='Visual SPC'!$I$4),OR('Visual SPC'!$K$4="",'Data Entry'!$F5612='Visual SPC'!$K$4)),1,0))</f>
        <v/>
      </c>
      <c r="C5612">
        <f>C5611+B5612</f>
        <v/>
      </c>
      <c r="D5612">
        <f>IF(B5612=1,INDEX('Data Entry'!$H$5:$BE$10004,5612-4,'Visual SPC'!$B$3),"")</f>
        <v/>
      </c>
      <c r="E5612">
        <f>IF(B5612=1,D5612,E5611)</f>
        <v/>
      </c>
      <c r="F5612">
        <f>IF(AND(B5612=1,C5612&gt;1,E5611&lt;&gt;""),ABS(D5612-E5611),"")</f>
        <v/>
      </c>
    </row>
    <row r="5613">
      <c r="A5613" t="n">
        <v>5613</v>
      </c>
      <c r="B5613">
        <f>IF(INDEX('Data Entry'!$H$5:$BE$10004,5613-4,'Visual SPC'!$B$3)="",0,IF(AND(OR('Visual SPC'!$C$4="",'Data Entry'!$C5613&gt;='Visual SPC'!$C$4),OR('Visual SPC'!$E$4="",'Data Entry'!$C5613&lt;='Visual SPC'!$E$4),OR('Visual SPC'!$G$4="",'Data Entry'!$D5613='Visual SPC'!$G$4),OR('Visual SPC'!$I$4="",'Data Entry'!$E5613='Visual SPC'!$I$4),OR('Visual SPC'!$K$4="",'Data Entry'!$F5613='Visual SPC'!$K$4)),1,0))</f>
        <v/>
      </c>
      <c r="C5613">
        <f>C5612+B5613</f>
        <v/>
      </c>
      <c r="D5613">
        <f>IF(B5613=1,INDEX('Data Entry'!$H$5:$BE$10004,5613-4,'Visual SPC'!$B$3),"")</f>
        <v/>
      </c>
      <c r="E5613">
        <f>IF(B5613=1,D5613,E5612)</f>
        <v/>
      </c>
      <c r="F5613">
        <f>IF(AND(B5613=1,C5613&gt;1,E5612&lt;&gt;""),ABS(D5613-E5612),"")</f>
        <v/>
      </c>
    </row>
    <row r="5614">
      <c r="A5614" t="n">
        <v>5614</v>
      </c>
      <c r="B5614">
        <f>IF(INDEX('Data Entry'!$H$5:$BE$10004,5614-4,'Visual SPC'!$B$3)="",0,IF(AND(OR('Visual SPC'!$C$4="",'Data Entry'!$C5614&gt;='Visual SPC'!$C$4),OR('Visual SPC'!$E$4="",'Data Entry'!$C5614&lt;='Visual SPC'!$E$4),OR('Visual SPC'!$G$4="",'Data Entry'!$D5614='Visual SPC'!$G$4),OR('Visual SPC'!$I$4="",'Data Entry'!$E5614='Visual SPC'!$I$4),OR('Visual SPC'!$K$4="",'Data Entry'!$F5614='Visual SPC'!$K$4)),1,0))</f>
        <v/>
      </c>
      <c r="C5614">
        <f>C5613+B5614</f>
        <v/>
      </c>
      <c r="D5614">
        <f>IF(B5614=1,INDEX('Data Entry'!$H$5:$BE$10004,5614-4,'Visual SPC'!$B$3),"")</f>
        <v/>
      </c>
      <c r="E5614">
        <f>IF(B5614=1,D5614,E5613)</f>
        <v/>
      </c>
      <c r="F5614">
        <f>IF(AND(B5614=1,C5614&gt;1,E5613&lt;&gt;""),ABS(D5614-E5613),"")</f>
        <v/>
      </c>
    </row>
    <row r="5615">
      <c r="A5615" t="n">
        <v>5615</v>
      </c>
      <c r="B5615">
        <f>IF(INDEX('Data Entry'!$H$5:$BE$10004,5615-4,'Visual SPC'!$B$3)="",0,IF(AND(OR('Visual SPC'!$C$4="",'Data Entry'!$C5615&gt;='Visual SPC'!$C$4),OR('Visual SPC'!$E$4="",'Data Entry'!$C5615&lt;='Visual SPC'!$E$4),OR('Visual SPC'!$G$4="",'Data Entry'!$D5615='Visual SPC'!$G$4),OR('Visual SPC'!$I$4="",'Data Entry'!$E5615='Visual SPC'!$I$4),OR('Visual SPC'!$K$4="",'Data Entry'!$F5615='Visual SPC'!$K$4)),1,0))</f>
        <v/>
      </c>
      <c r="C5615">
        <f>C5614+B5615</f>
        <v/>
      </c>
      <c r="D5615">
        <f>IF(B5615=1,INDEX('Data Entry'!$H$5:$BE$10004,5615-4,'Visual SPC'!$B$3),"")</f>
        <v/>
      </c>
      <c r="E5615">
        <f>IF(B5615=1,D5615,E5614)</f>
        <v/>
      </c>
      <c r="F5615">
        <f>IF(AND(B5615=1,C5615&gt;1,E5614&lt;&gt;""),ABS(D5615-E5614),"")</f>
        <v/>
      </c>
    </row>
    <row r="5616">
      <c r="A5616" t="n">
        <v>5616</v>
      </c>
      <c r="B5616">
        <f>IF(INDEX('Data Entry'!$H$5:$BE$10004,5616-4,'Visual SPC'!$B$3)="",0,IF(AND(OR('Visual SPC'!$C$4="",'Data Entry'!$C5616&gt;='Visual SPC'!$C$4),OR('Visual SPC'!$E$4="",'Data Entry'!$C5616&lt;='Visual SPC'!$E$4),OR('Visual SPC'!$G$4="",'Data Entry'!$D5616='Visual SPC'!$G$4),OR('Visual SPC'!$I$4="",'Data Entry'!$E5616='Visual SPC'!$I$4),OR('Visual SPC'!$K$4="",'Data Entry'!$F5616='Visual SPC'!$K$4)),1,0))</f>
        <v/>
      </c>
      <c r="C5616">
        <f>C5615+B5616</f>
        <v/>
      </c>
      <c r="D5616">
        <f>IF(B5616=1,INDEX('Data Entry'!$H$5:$BE$10004,5616-4,'Visual SPC'!$B$3),"")</f>
        <v/>
      </c>
      <c r="E5616">
        <f>IF(B5616=1,D5616,E5615)</f>
        <v/>
      </c>
      <c r="F5616">
        <f>IF(AND(B5616=1,C5616&gt;1,E5615&lt;&gt;""),ABS(D5616-E5615),"")</f>
        <v/>
      </c>
    </row>
    <row r="5617">
      <c r="A5617" t="n">
        <v>5617</v>
      </c>
      <c r="B5617">
        <f>IF(INDEX('Data Entry'!$H$5:$BE$10004,5617-4,'Visual SPC'!$B$3)="",0,IF(AND(OR('Visual SPC'!$C$4="",'Data Entry'!$C5617&gt;='Visual SPC'!$C$4),OR('Visual SPC'!$E$4="",'Data Entry'!$C5617&lt;='Visual SPC'!$E$4),OR('Visual SPC'!$G$4="",'Data Entry'!$D5617='Visual SPC'!$G$4),OR('Visual SPC'!$I$4="",'Data Entry'!$E5617='Visual SPC'!$I$4),OR('Visual SPC'!$K$4="",'Data Entry'!$F5617='Visual SPC'!$K$4)),1,0))</f>
        <v/>
      </c>
      <c r="C5617">
        <f>C5616+B5617</f>
        <v/>
      </c>
      <c r="D5617">
        <f>IF(B5617=1,INDEX('Data Entry'!$H$5:$BE$10004,5617-4,'Visual SPC'!$B$3),"")</f>
        <v/>
      </c>
      <c r="E5617">
        <f>IF(B5617=1,D5617,E5616)</f>
        <v/>
      </c>
      <c r="F5617">
        <f>IF(AND(B5617=1,C5617&gt;1,E5616&lt;&gt;""),ABS(D5617-E5616),"")</f>
        <v/>
      </c>
    </row>
    <row r="5618">
      <c r="A5618" t="n">
        <v>5618</v>
      </c>
      <c r="B5618">
        <f>IF(INDEX('Data Entry'!$H$5:$BE$10004,5618-4,'Visual SPC'!$B$3)="",0,IF(AND(OR('Visual SPC'!$C$4="",'Data Entry'!$C5618&gt;='Visual SPC'!$C$4),OR('Visual SPC'!$E$4="",'Data Entry'!$C5618&lt;='Visual SPC'!$E$4),OR('Visual SPC'!$G$4="",'Data Entry'!$D5618='Visual SPC'!$G$4),OR('Visual SPC'!$I$4="",'Data Entry'!$E5618='Visual SPC'!$I$4),OR('Visual SPC'!$K$4="",'Data Entry'!$F5618='Visual SPC'!$K$4)),1,0))</f>
        <v/>
      </c>
      <c r="C5618">
        <f>C5617+B5618</f>
        <v/>
      </c>
      <c r="D5618">
        <f>IF(B5618=1,INDEX('Data Entry'!$H$5:$BE$10004,5618-4,'Visual SPC'!$B$3),"")</f>
        <v/>
      </c>
      <c r="E5618">
        <f>IF(B5618=1,D5618,E5617)</f>
        <v/>
      </c>
      <c r="F5618">
        <f>IF(AND(B5618=1,C5618&gt;1,E5617&lt;&gt;""),ABS(D5618-E5617),"")</f>
        <v/>
      </c>
    </row>
    <row r="5619">
      <c r="A5619" t="n">
        <v>5619</v>
      </c>
      <c r="B5619">
        <f>IF(INDEX('Data Entry'!$H$5:$BE$10004,5619-4,'Visual SPC'!$B$3)="",0,IF(AND(OR('Visual SPC'!$C$4="",'Data Entry'!$C5619&gt;='Visual SPC'!$C$4),OR('Visual SPC'!$E$4="",'Data Entry'!$C5619&lt;='Visual SPC'!$E$4),OR('Visual SPC'!$G$4="",'Data Entry'!$D5619='Visual SPC'!$G$4),OR('Visual SPC'!$I$4="",'Data Entry'!$E5619='Visual SPC'!$I$4),OR('Visual SPC'!$K$4="",'Data Entry'!$F5619='Visual SPC'!$K$4)),1,0))</f>
        <v/>
      </c>
      <c r="C5619">
        <f>C5618+B5619</f>
        <v/>
      </c>
      <c r="D5619">
        <f>IF(B5619=1,INDEX('Data Entry'!$H$5:$BE$10004,5619-4,'Visual SPC'!$B$3),"")</f>
        <v/>
      </c>
      <c r="E5619">
        <f>IF(B5619=1,D5619,E5618)</f>
        <v/>
      </c>
      <c r="F5619">
        <f>IF(AND(B5619=1,C5619&gt;1,E5618&lt;&gt;""),ABS(D5619-E5618),"")</f>
        <v/>
      </c>
    </row>
    <row r="5620">
      <c r="A5620" t="n">
        <v>5620</v>
      </c>
      <c r="B5620">
        <f>IF(INDEX('Data Entry'!$H$5:$BE$10004,5620-4,'Visual SPC'!$B$3)="",0,IF(AND(OR('Visual SPC'!$C$4="",'Data Entry'!$C5620&gt;='Visual SPC'!$C$4),OR('Visual SPC'!$E$4="",'Data Entry'!$C5620&lt;='Visual SPC'!$E$4),OR('Visual SPC'!$G$4="",'Data Entry'!$D5620='Visual SPC'!$G$4),OR('Visual SPC'!$I$4="",'Data Entry'!$E5620='Visual SPC'!$I$4),OR('Visual SPC'!$K$4="",'Data Entry'!$F5620='Visual SPC'!$K$4)),1,0))</f>
        <v/>
      </c>
      <c r="C5620">
        <f>C5619+B5620</f>
        <v/>
      </c>
      <c r="D5620">
        <f>IF(B5620=1,INDEX('Data Entry'!$H$5:$BE$10004,5620-4,'Visual SPC'!$B$3),"")</f>
        <v/>
      </c>
      <c r="E5620">
        <f>IF(B5620=1,D5620,E5619)</f>
        <v/>
      </c>
      <c r="F5620">
        <f>IF(AND(B5620=1,C5620&gt;1,E5619&lt;&gt;""),ABS(D5620-E5619),"")</f>
        <v/>
      </c>
    </row>
    <row r="5621">
      <c r="A5621" t="n">
        <v>5621</v>
      </c>
      <c r="B5621">
        <f>IF(INDEX('Data Entry'!$H$5:$BE$10004,5621-4,'Visual SPC'!$B$3)="",0,IF(AND(OR('Visual SPC'!$C$4="",'Data Entry'!$C5621&gt;='Visual SPC'!$C$4),OR('Visual SPC'!$E$4="",'Data Entry'!$C5621&lt;='Visual SPC'!$E$4),OR('Visual SPC'!$G$4="",'Data Entry'!$D5621='Visual SPC'!$G$4),OR('Visual SPC'!$I$4="",'Data Entry'!$E5621='Visual SPC'!$I$4),OR('Visual SPC'!$K$4="",'Data Entry'!$F5621='Visual SPC'!$K$4)),1,0))</f>
        <v/>
      </c>
      <c r="C5621">
        <f>C5620+B5621</f>
        <v/>
      </c>
      <c r="D5621">
        <f>IF(B5621=1,INDEX('Data Entry'!$H$5:$BE$10004,5621-4,'Visual SPC'!$B$3),"")</f>
        <v/>
      </c>
      <c r="E5621">
        <f>IF(B5621=1,D5621,E5620)</f>
        <v/>
      </c>
      <c r="F5621">
        <f>IF(AND(B5621=1,C5621&gt;1,E5620&lt;&gt;""),ABS(D5621-E5620),"")</f>
        <v/>
      </c>
    </row>
    <row r="5622">
      <c r="A5622" t="n">
        <v>5622</v>
      </c>
      <c r="B5622">
        <f>IF(INDEX('Data Entry'!$H$5:$BE$10004,5622-4,'Visual SPC'!$B$3)="",0,IF(AND(OR('Visual SPC'!$C$4="",'Data Entry'!$C5622&gt;='Visual SPC'!$C$4),OR('Visual SPC'!$E$4="",'Data Entry'!$C5622&lt;='Visual SPC'!$E$4),OR('Visual SPC'!$G$4="",'Data Entry'!$D5622='Visual SPC'!$G$4),OR('Visual SPC'!$I$4="",'Data Entry'!$E5622='Visual SPC'!$I$4),OR('Visual SPC'!$K$4="",'Data Entry'!$F5622='Visual SPC'!$K$4)),1,0))</f>
        <v/>
      </c>
      <c r="C5622">
        <f>C5621+B5622</f>
        <v/>
      </c>
      <c r="D5622">
        <f>IF(B5622=1,INDEX('Data Entry'!$H$5:$BE$10004,5622-4,'Visual SPC'!$B$3),"")</f>
        <v/>
      </c>
      <c r="E5622">
        <f>IF(B5622=1,D5622,E5621)</f>
        <v/>
      </c>
      <c r="F5622">
        <f>IF(AND(B5622=1,C5622&gt;1,E5621&lt;&gt;""),ABS(D5622-E5621),"")</f>
        <v/>
      </c>
    </row>
    <row r="5623">
      <c r="A5623" t="n">
        <v>5623</v>
      </c>
      <c r="B5623">
        <f>IF(INDEX('Data Entry'!$H$5:$BE$10004,5623-4,'Visual SPC'!$B$3)="",0,IF(AND(OR('Visual SPC'!$C$4="",'Data Entry'!$C5623&gt;='Visual SPC'!$C$4),OR('Visual SPC'!$E$4="",'Data Entry'!$C5623&lt;='Visual SPC'!$E$4),OR('Visual SPC'!$G$4="",'Data Entry'!$D5623='Visual SPC'!$G$4),OR('Visual SPC'!$I$4="",'Data Entry'!$E5623='Visual SPC'!$I$4),OR('Visual SPC'!$K$4="",'Data Entry'!$F5623='Visual SPC'!$K$4)),1,0))</f>
        <v/>
      </c>
      <c r="C5623">
        <f>C5622+B5623</f>
        <v/>
      </c>
      <c r="D5623">
        <f>IF(B5623=1,INDEX('Data Entry'!$H$5:$BE$10004,5623-4,'Visual SPC'!$B$3),"")</f>
        <v/>
      </c>
      <c r="E5623">
        <f>IF(B5623=1,D5623,E5622)</f>
        <v/>
      </c>
      <c r="F5623">
        <f>IF(AND(B5623=1,C5623&gt;1,E5622&lt;&gt;""),ABS(D5623-E5622),"")</f>
        <v/>
      </c>
    </row>
    <row r="5624">
      <c r="A5624" t="n">
        <v>5624</v>
      </c>
      <c r="B5624">
        <f>IF(INDEX('Data Entry'!$H$5:$BE$10004,5624-4,'Visual SPC'!$B$3)="",0,IF(AND(OR('Visual SPC'!$C$4="",'Data Entry'!$C5624&gt;='Visual SPC'!$C$4),OR('Visual SPC'!$E$4="",'Data Entry'!$C5624&lt;='Visual SPC'!$E$4),OR('Visual SPC'!$G$4="",'Data Entry'!$D5624='Visual SPC'!$G$4),OR('Visual SPC'!$I$4="",'Data Entry'!$E5624='Visual SPC'!$I$4),OR('Visual SPC'!$K$4="",'Data Entry'!$F5624='Visual SPC'!$K$4)),1,0))</f>
        <v/>
      </c>
      <c r="C5624">
        <f>C5623+B5624</f>
        <v/>
      </c>
      <c r="D5624">
        <f>IF(B5624=1,INDEX('Data Entry'!$H$5:$BE$10004,5624-4,'Visual SPC'!$B$3),"")</f>
        <v/>
      </c>
      <c r="E5624">
        <f>IF(B5624=1,D5624,E5623)</f>
        <v/>
      </c>
      <c r="F5624">
        <f>IF(AND(B5624=1,C5624&gt;1,E5623&lt;&gt;""),ABS(D5624-E5623),"")</f>
        <v/>
      </c>
    </row>
    <row r="5625">
      <c r="A5625" t="n">
        <v>5625</v>
      </c>
      <c r="B5625">
        <f>IF(INDEX('Data Entry'!$H$5:$BE$10004,5625-4,'Visual SPC'!$B$3)="",0,IF(AND(OR('Visual SPC'!$C$4="",'Data Entry'!$C5625&gt;='Visual SPC'!$C$4),OR('Visual SPC'!$E$4="",'Data Entry'!$C5625&lt;='Visual SPC'!$E$4),OR('Visual SPC'!$G$4="",'Data Entry'!$D5625='Visual SPC'!$G$4),OR('Visual SPC'!$I$4="",'Data Entry'!$E5625='Visual SPC'!$I$4),OR('Visual SPC'!$K$4="",'Data Entry'!$F5625='Visual SPC'!$K$4)),1,0))</f>
        <v/>
      </c>
      <c r="C5625">
        <f>C5624+B5625</f>
        <v/>
      </c>
      <c r="D5625">
        <f>IF(B5625=1,INDEX('Data Entry'!$H$5:$BE$10004,5625-4,'Visual SPC'!$B$3),"")</f>
        <v/>
      </c>
      <c r="E5625">
        <f>IF(B5625=1,D5625,E5624)</f>
        <v/>
      </c>
      <c r="F5625">
        <f>IF(AND(B5625=1,C5625&gt;1,E5624&lt;&gt;""),ABS(D5625-E5624),"")</f>
        <v/>
      </c>
    </row>
    <row r="5626">
      <c r="A5626" t="n">
        <v>5626</v>
      </c>
      <c r="B5626">
        <f>IF(INDEX('Data Entry'!$H$5:$BE$10004,5626-4,'Visual SPC'!$B$3)="",0,IF(AND(OR('Visual SPC'!$C$4="",'Data Entry'!$C5626&gt;='Visual SPC'!$C$4),OR('Visual SPC'!$E$4="",'Data Entry'!$C5626&lt;='Visual SPC'!$E$4),OR('Visual SPC'!$G$4="",'Data Entry'!$D5626='Visual SPC'!$G$4),OR('Visual SPC'!$I$4="",'Data Entry'!$E5626='Visual SPC'!$I$4),OR('Visual SPC'!$K$4="",'Data Entry'!$F5626='Visual SPC'!$K$4)),1,0))</f>
        <v/>
      </c>
      <c r="C5626">
        <f>C5625+B5626</f>
        <v/>
      </c>
      <c r="D5626">
        <f>IF(B5626=1,INDEX('Data Entry'!$H$5:$BE$10004,5626-4,'Visual SPC'!$B$3),"")</f>
        <v/>
      </c>
      <c r="E5626">
        <f>IF(B5626=1,D5626,E5625)</f>
        <v/>
      </c>
      <c r="F5626">
        <f>IF(AND(B5626=1,C5626&gt;1,E5625&lt;&gt;""),ABS(D5626-E5625),"")</f>
        <v/>
      </c>
    </row>
    <row r="5627">
      <c r="A5627" t="n">
        <v>5627</v>
      </c>
      <c r="B5627">
        <f>IF(INDEX('Data Entry'!$H$5:$BE$10004,5627-4,'Visual SPC'!$B$3)="",0,IF(AND(OR('Visual SPC'!$C$4="",'Data Entry'!$C5627&gt;='Visual SPC'!$C$4),OR('Visual SPC'!$E$4="",'Data Entry'!$C5627&lt;='Visual SPC'!$E$4),OR('Visual SPC'!$G$4="",'Data Entry'!$D5627='Visual SPC'!$G$4),OR('Visual SPC'!$I$4="",'Data Entry'!$E5627='Visual SPC'!$I$4),OR('Visual SPC'!$K$4="",'Data Entry'!$F5627='Visual SPC'!$K$4)),1,0))</f>
        <v/>
      </c>
      <c r="C5627">
        <f>C5626+B5627</f>
        <v/>
      </c>
      <c r="D5627">
        <f>IF(B5627=1,INDEX('Data Entry'!$H$5:$BE$10004,5627-4,'Visual SPC'!$B$3),"")</f>
        <v/>
      </c>
      <c r="E5627">
        <f>IF(B5627=1,D5627,E5626)</f>
        <v/>
      </c>
      <c r="F5627">
        <f>IF(AND(B5627=1,C5627&gt;1,E5626&lt;&gt;""),ABS(D5627-E5626),"")</f>
        <v/>
      </c>
    </row>
    <row r="5628">
      <c r="A5628" t="n">
        <v>5628</v>
      </c>
      <c r="B5628">
        <f>IF(INDEX('Data Entry'!$H$5:$BE$10004,5628-4,'Visual SPC'!$B$3)="",0,IF(AND(OR('Visual SPC'!$C$4="",'Data Entry'!$C5628&gt;='Visual SPC'!$C$4),OR('Visual SPC'!$E$4="",'Data Entry'!$C5628&lt;='Visual SPC'!$E$4),OR('Visual SPC'!$G$4="",'Data Entry'!$D5628='Visual SPC'!$G$4),OR('Visual SPC'!$I$4="",'Data Entry'!$E5628='Visual SPC'!$I$4),OR('Visual SPC'!$K$4="",'Data Entry'!$F5628='Visual SPC'!$K$4)),1,0))</f>
        <v/>
      </c>
      <c r="C5628">
        <f>C5627+B5628</f>
        <v/>
      </c>
      <c r="D5628">
        <f>IF(B5628=1,INDEX('Data Entry'!$H$5:$BE$10004,5628-4,'Visual SPC'!$B$3),"")</f>
        <v/>
      </c>
      <c r="E5628">
        <f>IF(B5628=1,D5628,E5627)</f>
        <v/>
      </c>
      <c r="F5628">
        <f>IF(AND(B5628=1,C5628&gt;1,E5627&lt;&gt;""),ABS(D5628-E5627),"")</f>
        <v/>
      </c>
    </row>
    <row r="5629">
      <c r="A5629" t="n">
        <v>5629</v>
      </c>
      <c r="B5629">
        <f>IF(INDEX('Data Entry'!$H$5:$BE$10004,5629-4,'Visual SPC'!$B$3)="",0,IF(AND(OR('Visual SPC'!$C$4="",'Data Entry'!$C5629&gt;='Visual SPC'!$C$4),OR('Visual SPC'!$E$4="",'Data Entry'!$C5629&lt;='Visual SPC'!$E$4),OR('Visual SPC'!$G$4="",'Data Entry'!$D5629='Visual SPC'!$G$4),OR('Visual SPC'!$I$4="",'Data Entry'!$E5629='Visual SPC'!$I$4),OR('Visual SPC'!$K$4="",'Data Entry'!$F5629='Visual SPC'!$K$4)),1,0))</f>
        <v/>
      </c>
      <c r="C5629">
        <f>C5628+B5629</f>
        <v/>
      </c>
      <c r="D5629">
        <f>IF(B5629=1,INDEX('Data Entry'!$H$5:$BE$10004,5629-4,'Visual SPC'!$B$3),"")</f>
        <v/>
      </c>
      <c r="E5629">
        <f>IF(B5629=1,D5629,E5628)</f>
        <v/>
      </c>
      <c r="F5629">
        <f>IF(AND(B5629=1,C5629&gt;1,E5628&lt;&gt;""),ABS(D5629-E5628),"")</f>
        <v/>
      </c>
    </row>
    <row r="5630">
      <c r="A5630" t="n">
        <v>5630</v>
      </c>
      <c r="B5630">
        <f>IF(INDEX('Data Entry'!$H$5:$BE$10004,5630-4,'Visual SPC'!$B$3)="",0,IF(AND(OR('Visual SPC'!$C$4="",'Data Entry'!$C5630&gt;='Visual SPC'!$C$4),OR('Visual SPC'!$E$4="",'Data Entry'!$C5630&lt;='Visual SPC'!$E$4),OR('Visual SPC'!$G$4="",'Data Entry'!$D5630='Visual SPC'!$G$4),OR('Visual SPC'!$I$4="",'Data Entry'!$E5630='Visual SPC'!$I$4),OR('Visual SPC'!$K$4="",'Data Entry'!$F5630='Visual SPC'!$K$4)),1,0))</f>
        <v/>
      </c>
      <c r="C5630">
        <f>C5629+B5630</f>
        <v/>
      </c>
      <c r="D5630">
        <f>IF(B5630=1,INDEX('Data Entry'!$H$5:$BE$10004,5630-4,'Visual SPC'!$B$3),"")</f>
        <v/>
      </c>
      <c r="E5630">
        <f>IF(B5630=1,D5630,E5629)</f>
        <v/>
      </c>
      <c r="F5630">
        <f>IF(AND(B5630=1,C5630&gt;1,E5629&lt;&gt;""),ABS(D5630-E5629),"")</f>
        <v/>
      </c>
    </row>
    <row r="5631">
      <c r="A5631" t="n">
        <v>5631</v>
      </c>
      <c r="B5631">
        <f>IF(INDEX('Data Entry'!$H$5:$BE$10004,5631-4,'Visual SPC'!$B$3)="",0,IF(AND(OR('Visual SPC'!$C$4="",'Data Entry'!$C5631&gt;='Visual SPC'!$C$4),OR('Visual SPC'!$E$4="",'Data Entry'!$C5631&lt;='Visual SPC'!$E$4),OR('Visual SPC'!$G$4="",'Data Entry'!$D5631='Visual SPC'!$G$4),OR('Visual SPC'!$I$4="",'Data Entry'!$E5631='Visual SPC'!$I$4),OR('Visual SPC'!$K$4="",'Data Entry'!$F5631='Visual SPC'!$K$4)),1,0))</f>
        <v/>
      </c>
      <c r="C5631">
        <f>C5630+B5631</f>
        <v/>
      </c>
      <c r="D5631">
        <f>IF(B5631=1,INDEX('Data Entry'!$H$5:$BE$10004,5631-4,'Visual SPC'!$B$3),"")</f>
        <v/>
      </c>
      <c r="E5631">
        <f>IF(B5631=1,D5631,E5630)</f>
        <v/>
      </c>
      <c r="F5631">
        <f>IF(AND(B5631=1,C5631&gt;1,E5630&lt;&gt;""),ABS(D5631-E5630),"")</f>
        <v/>
      </c>
    </row>
    <row r="5632">
      <c r="A5632" t="n">
        <v>5632</v>
      </c>
      <c r="B5632">
        <f>IF(INDEX('Data Entry'!$H$5:$BE$10004,5632-4,'Visual SPC'!$B$3)="",0,IF(AND(OR('Visual SPC'!$C$4="",'Data Entry'!$C5632&gt;='Visual SPC'!$C$4),OR('Visual SPC'!$E$4="",'Data Entry'!$C5632&lt;='Visual SPC'!$E$4),OR('Visual SPC'!$G$4="",'Data Entry'!$D5632='Visual SPC'!$G$4),OR('Visual SPC'!$I$4="",'Data Entry'!$E5632='Visual SPC'!$I$4),OR('Visual SPC'!$K$4="",'Data Entry'!$F5632='Visual SPC'!$K$4)),1,0))</f>
        <v/>
      </c>
      <c r="C5632">
        <f>C5631+B5632</f>
        <v/>
      </c>
      <c r="D5632">
        <f>IF(B5632=1,INDEX('Data Entry'!$H$5:$BE$10004,5632-4,'Visual SPC'!$B$3),"")</f>
        <v/>
      </c>
      <c r="E5632">
        <f>IF(B5632=1,D5632,E5631)</f>
        <v/>
      </c>
      <c r="F5632">
        <f>IF(AND(B5632=1,C5632&gt;1,E5631&lt;&gt;""),ABS(D5632-E5631),"")</f>
        <v/>
      </c>
    </row>
    <row r="5633">
      <c r="A5633" t="n">
        <v>5633</v>
      </c>
      <c r="B5633">
        <f>IF(INDEX('Data Entry'!$H$5:$BE$10004,5633-4,'Visual SPC'!$B$3)="",0,IF(AND(OR('Visual SPC'!$C$4="",'Data Entry'!$C5633&gt;='Visual SPC'!$C$4),OR('Visual SPC'!$E$4="",'Data Entry'!$C5633&lt;='Visual SPC'!$E$4),OR('Visual SPC'!$G$4="",'Data Entry'!$D5633='Visual SPC'!$G$4),OR('Visual SPC'!$I$4="",'Data Entry'!$E5633='Visual SPC'!$I$4),OR('Visual SPC'!$K$4="",'Data Entry'!$F5633='Visual SPC'!$K$4)),1,0))</f>
        <v/>
      </c>
      <c r="C5633">
        <f>C5632+B5633</f>
        <v/>
      </c>
      <c r="D5633">
        <f>IF(B5633=1,INDEX('Data Entry'!$H$5:$BE$10004,5633-4,'Visual SPC'!$B$3),"")</f>
        <v/>
      </c>
      <c r="E5633">
        <f>IF(B5633=1,D5633,E5632)</f>
        <v/>
      </c>
      <c r="F5633">
        <f>IF(AND(B5633=1,C5633&gt;1,E5632&lt;&gt;""),ABS(D5633-E5632),"")</f>
        <v/>
      </c>
    </row>
    <row r="5634">
      <c r="A5634" t="n">
        <v>5634</v>
      </c>
      <c r="B5634">
        <f>IF(INDEX('Data Entry'!$H$5:$BE$10004,5634-4,'Visual SPC'!$B$3)="",0,IF(AND(OR('Visual SPC'!$C$4="",'Data Entry'!$C5634&gt;='Visual SPC'!$C$4),OR('Visual SPC'!$E$4="",'Data Entry'!$C5634&lt;='Visual SPC'!$E$4),OR('Visual SPC'!$G$4="",'Data Entry'!$D5634='Visual SPC'!$G$4),OR('Visual SPC'!$I$4="",'Data Entry'!$E5634='Visual SPC'!$I$4),OR('Visual SPC'!$K$4="",'Data Entry'!$F5634='Visual SPC'!$K$4)),1,0))</f>
        <v/>
      </c>
      <c r="C5634">
        <f>C5633+B5634</f>
        <v/>
      </c>
      <c r="D5634">
        <f>IF(B5634=1,INDEX('Data Entry'!$H$5:$BE$10004,5634-4,'Visual SPC'!$B$3),"")</f>
        <v/>
      </c>
      <c r="E5634">
        <f>IF(B5634=1,D5634,E5633)</f>
        <v/>
      </c>
      <c r="F5634">
        <f>IF(AND(B5634=1,C5634&gt;1,E5633&lt;&gt;""),ABS(D5634-E5633),"")</f>
        <v/>
      </c>
    </row>
    <row r="5635">
      <c r="A5635" t="n">
        <v>5635</v>
      </c>
      <c r="B5635">
        <f>IF(INDEX('Data Entry'!$H$5:$BE$10004,5635-4,'Visual SPC'!$B$3)="",0,IF(AND(OR('Visual SPC'!$C$4="",'Data Entry'!$C5635&gt;='Visual SPC'!$C$4),OR('Visual SPC'!$E$4="",'Data Entry'!$C5635&lt;='Visual SPC'!$E$4),OR('Visual SPC'!$G$4="",'Data Entry'!$D5635='Visual SPC'!$G$4),OR('Visual SPC'!$I$4="",'Data Entry'!$E5635='Visual SPC'!$I$4),OR('Visual SPC'!$K$4="",'Data Entry'!$F5635='Visual SPC'!$K$4)),1,0))</f>
        <v/>
      </c>
      <c r="C5635">
        <f>C5634+B5635</f>
        <v/>
      </c>
      <c r="D5635">
        <f>IF(B5635=1,INDEX('Data Entry'!$H$5:$BE$10004,5635-4,'Visual SPC'!$B$3),"")</f>
        <v/>
      </c>
      <c r="E5635">
        <f>IF(B5635=1,D5635,E5634)</f>
        <v/>
      </c>
      <c r="F5635">
        <f>IF(AND(B5635=1,C5635&gt;1,E5634&lt;&gt;""),ABS(D5635-E5634),"")</f>
        <v/>
      </c>
    </row>
    <row r="5636">
      <c r="A5636" t="n">
        <v>5636</v>
      </c>
      <c r="B5636">
        <f>IF(INDEX('Data Entry'!$H$5:$BE$10004,5636-4,'Visual SPC'!$B$3)="",0,IF(AND(OR('Visual SPC'!$C$4="",'Data Entry'!$C5636&gt;='Visual SPC'!$C$4),OR('Visual SPC'!$E$4="",'Data Entry'!$C5636&lt;='Visual SPC'!$E$4),OR('Visual SPC'!$G$4="",'Data Entry'!$D5636='Visual SPC'!$G$4),OR('Visual SPC'!$I$4="",'Data Entry'!$E5636='Visual SPC'!$I$4),OR('Visual SPC'!$K$4="",'Data Entry'!$F5636='Visual SPC'!$K$4)),1,0))</f>
        <v/>
      </c>
      <c r="C5636">
        <f>C5635+B5636</f>
        <v/>
      </c>
      <c r="D5636">
        <f>IF(B5636=1,INDEX('Data Entry'!$H$5:$BE$10004,5636-4,'Visual SPC'!$B$3),"")</f>
        <v/>
      </c>
      <c r="E5636">
        <f>IF(B5636=1,D5636,E5635)</f>
        <v/>
      </c>
      <c r="F5636">
        <f>IF(AND(B5636=1,C5636&gt;1,E5635&lt;&gt;""),ABS(D5636-E5635),"")</f>
        <v/>
      </c>
    </row>
    <row r="5637">
      <c r="A5637" t="n">
        <v>5637</v>
      </c>
      <c r="B5637">
        <f>IF(INDEX('Data Entry'!$H$5:$BE$10004,5637-4,'Visual SPC'!$B$3)="",0,IF(AND(OR('Visual SPC'!$C$4="",'Data Entry'!$C5637&gt;='Visual SPC'!$C$4),OR('Visual SPC'!$E$4="",'Data Entry'!$C5637&lt;='Visual SPC'!$E$4),OR('Visual SPC'!$G$4="",'Data Entry'!$D5637='Visual SPC'!$G$4),OR('Visual SPC'!$I$4="",'Data Entry'!$E5637='Visual SPC'!$I$4),OR('Visual SPC'!$K$4="",'Data Entry'!$F5637='Visual SPC'!$K$4)),1,0))</f>
        <v/>
      </c>
      <c r="C5637">
        <f>C5636+B5637</f>
        <v/>
      </c>
      <c r="D5637">
        <f>IF(B5637=1,INDEX('Data Entry'!$H$5:$BE$10004,5637-4,'Visual SPC'!$B$3),"")</f>
        <v/>
      </c>
      <c r="E5637">
        <f>IF(B5637=1,D5637,E5636)</f>
        <v/>
      </c>
      <c r="F5637">
        <f>IF(AND(B5637=1,C5637&gt;1,E5636&lt;&gt;""),ABS(D5637-E5636),"")</f>
        <v/>
      </c>
    </row>
    <row r="5638">
      <c r="A5638" t="n">
        <v>5638</v>
      </c>
      <c r="B5638">
        <f>IF(INDEX('Data Entry'!$H$5:$BE$10004,5638-4,'Visual SPC'!$B$3)="",0,IF(AND(OR('Visual SPC'!$C$4="",'Data Entry'!$C5638&gt;='Visual SPC'!$C$4),OR('Visual SPC'!$E$4="",'Data Entry'!$C5638&lt;='Visual SPC'!$E$4),OR('Visual SPC'!$G$4="",'Data Entry'!$D5638='Visual SPC'!$G$4),OR('Visual SPC'!$I$4="",'Data Entry'!$E5638='Visual SPC'!$I$4),OR('Visual SPC'!$K$4="",'Data Entry'!$F5638='Visual SPC'!$K$4)),1,0))</f>
        <v/>
      </c>
      <c r="C5638">
        <f>C5637+B5638</f>
        <v/>
      </c>
      <c r="D5638">
        <f>IF(B5638=1,INDEX('Data Entry'!$H$5:$BE$10004,5638-4,'Visual SPC'!$B$3),"")</f>
        <v/>
      </c>
      <c r="E5638">
        <f>IF(B5638=1,D5638,E5637)</f>
        <v/>
      </c>
      <c r="F5638">
        <f>IF(AND(B5638=1,C5638&gt;1,E5637&lt;&gt;""),ABS(D5638-E5637),"")</f>
        <v/>
      </c>
    </row>
    <row r="5639">
      <c r="A5639" t="n">
        <v>5639</v>
      </c>
      <c r="B5639">
        <f>IF(INDEX('Data Entry'!$H$5:$BE$10004,5639-4,'Visual SPC'!$B$3)="",0,IF(AND(OR('Visual SPC'!$C$4="",'Data Entry'!$C5639&gt;='Visual SPC'!$C$4),OR('Visual SPC'!$E$4="",'Data Entry'!$C5639&lt;='Visual SPC'!$E$4),OR('Visual SPC'!$G$4="",'Data Entry'!$D5639='Visual SPC'!$G$4),OR('Visual SPC'!$I$4="",'Data Entry'!$E5639='Visual SPC'!$I$4),OR('Visual SPC'!$K$4="",'Data Entry'!$F5639='Visual SPC'!$K$4)),1,0))</f>
        <v/>
      </c>
      <c r="C5639">
        <f>C5638+B5639</f>
        <v/>
      </c>
      <c r="D5639">
        <f>IF(B5639=1,INDEX('Data Entry'!$H$5:$BE$10004,5639-4,'Visual SPC'!$B$3),"")</f>
        <v/>
      </c>
      <c r="E5639">
        <f>IF(B5639=1,D5639,E5638)</f>
        <v/>
      </c>
      <c r="F5639">
        <f>IF(AND(B5639=1,C5639&gt;1,E5638&lt;&gt;""),ABS(D5639-E5638),"")</f>
        <v/>
      </c>
    </row>
    <row r="5640">
      <c r="A5640" t="n">
        <v>5640</v>
      </c>
      <c r="B5640">
        <f>IF(INDEX('Data Entry'!$H$5:$BE$10004,5640-4,'Visual SPC'!$B$3)="",0,IF(AND(OR('Visual SPC'!$C$4="",'Data Entry'!$C5640&gt;='Visual SPC'!$C$4),OR('Visual SPC'!$E$4="",'Data Entry'!$C5640&lt;='Visual SPC'!$E$4),OR('Visual SPC'!$G$4="",'Data Entry'!$D5640='Visual SPC'!$G$4),OR('Visual SPC'!$I$4="",'Data Entry'!$E5640='Visual SPC'!$I$4),OR('Visual SPC'!$K$4="",'Data Entry'!$F5640='Visual SPC'!$K$4)),1,0))</f>
        <v/>
      </c>
      <c r="C5640">
        <f>C5639+B5640</f>
        <v/>
      </c>
      <c r="D5640">
        <f>IF(B5640=1,INDEX('Data Entry'!$H$5:$BE$10004,5640-4,'Visual SPC'!$B$3),"")</f>
        <v/>
      </c>
      <c r="E5640">
        <f>IF(B5640=1,D5640,E5639)</f>
        <v/>
      </c>
      <c r="F5640">
        <f>IF(AND(B5640=1,C5640&gt;1,E5639&lt;&gt;""),ABS(D5640-E5639),"")</f>
        <v/>
      </c>
    </row>
    <row r="5641">
      <c r="A5641" t="n">
        <v>5641</v>
      </c>
      <c r="B5641">
        <f>IF(INDEX('Data Entry'!$H$5:$BE$10004,5641-4,'Visual SPC'!$B$3)="",0,IF(AND(OR('Visual SPC'!$C$4="",'Data Entry'!$C5641&gt;='Visual SPC'!$C$4),OR('Visual SPC'!$E$4="",'Data Entry'!$C5641&lt;='Visual SPC'!$E$4),OR('Visual SPC'!$G$4="",'Data Entry'!$D5641='Visual SPC'!$G$4),OR('Visual SPC'!$I$4="",'Data Entry'!$E5641='Visual SPC'!$I$4),OR('Visual SPC'!$K$4="",'Data Entry'!$F5641='Visual SPC'!$K$4)),1,0))</f>
        <v/>
      </c>
      <c r="C5641">
        <f>C5640+B5641</f>
        <v/>
      </c>
      <c r="D5641">
        <f>IF(B5641=1,INDEX('Data Entry'!$H$5:$BE$10004,5641-4,'Visual SPC'!$B$3),"")</f>
        <v/>
      </c>
      <c r="E5641">
        <f>IF(B5641=1,D5641,E5640)</f>
        <v/>
      </c>
      <c r="F5641">
        <f>IF(AND(B5641=1,C5641&gt;1,E5640&lt;&gt;""),ABS(D5641-E5640),"")</f>
        <v/>
      </c>
    </row>
    <row r="5642">
      <c r="A5642" t="n">
        <v>5642</v>
      </c>
      <c r="B5642">
        <f>IF(INDEX('Data Entry'!$H$5:$BE$10004,5642-4,'Visual SPC'!$B$3)="",0,IF(AND(OR('Visual SPC'!$C$4="",'Data Entry'!$C5642&gt;='Visual SPC'!$C$4),OR('Visual SPC'!$E$4="",'Data Entry'!$C5642&lt;='Visual SPC'!$E$4),OR('Visual SPC'!$G$4="",'Data Entry'!$D5642='Visual SPC'!$G$4),OR('Visual SPC'!$I$4="",'Data Entry'!$E5642='Visual SPC'!$I$4),OR('Visual SPC'!$K$4="",'Data Entry'!$F5642='Visual SPC'!$K$4)),1,0))</f>
        <v/>
      </c>
      <c r="C5642">
        <f>C5641+B5642</f>
        <v/>
      </c>
      <c r="D5642">
        <f>IF(B5642=1,INDEX('Data Entry'!$H$5:$BE$10004,5642-4,'Visual SPC'!$B$3),"")</f>
        <v/>
      </c>
      <c r="E5642">
        <f>IF(B5642=1,D5642,E5641)</f>
        <v/>
      </c>
      <c r="F5642">
        <f>IF(AND(B5642=1,C5642&gt;1,E5641&lt;&gt;""),ABS(D5642-E5641),"")</f>
        <v/>
      </c>
    </row>
    <row r="5643">
      <c r="A5643" t="n">
        <v>5643</v>
      </c>
      <c r="B5643">
        <f>IF(INDEX('Data Entry'!$H$5:$BE$10004,5643-4,'Visual SPC'!$B$3)="",0,IF(AND(OR('Visual SPC'!$C$4="",'Data Entry'!$C5643&gt;='Visual SPC'!$C$4),OR('Visual SPC'!$E$4="",'Data Entry'!$C5643&lt;='Visual SPC'!$E$4),OR('Visual SPC'!$G$4="",'Data Entry'!$D5643='Visual SPC'!$G$4),OR('Visual SPC'!$I$4="",'Data Entry'!$E5643='Visual SPC'!$I$4),OR('Visual SPC'!$K$4="",'Data Entry'!$F5643='Visual SPC'!$K$4)),1,0))</f>
        <v/>
      </c>
      <c r="C5643">
        <f>C5642+B5643</f>
        <v/>
      </c>
      <c r="D5643">
        <f>IF(B5643=1,INDEX('Data Entry'!$H$5:$BE$10004,5643-4,'Visual SPC'!$B$3),"")</f>
        <v/>
      </c>
      <c r="E5643">
        <f>IF(B5643=1,D5643,E5642)</f>
        <v/>
      </c>
      <c r="F5643">
        <f>IF(AND(B5643=1,C5643&gt;1,E5642&lt;&gt;""),ABS(D5643-E5642),"")</f>
        <v/>
      </c>
    </row>
    <row r="5644">
      <c r="A5644" t="n">
        <v>5644</v>
      </c>
      <c r="B5644">
        <f>IF(INDEX('Data Entry'!$H$5:$BE$10004,5644-4,'Visual SPC'!$B$3)="",0,IF(AND(OR('Visual SPC'!$C$4="",'Data Entry'!$C5644&gt;='Visual SPC'!$C$4),OR('Visual SPC'!$E$4="",'Data Entry'!$C5644&lt;='Visual SPC'!$E$4),OR('Visual SPC'!$G$4="",'Data Entry'!$D5644='Visual SPC'!$G$4),OR('Visual SPC'!$I$4="",'Data Entry'!$E5644='Visual SPC'!$I$4),OR('Visual SPC'!$K$4="",'Data Entry'!$F5644='Visual SPC'!$K$4)),1,0))</f>
        <v/>
      </c>
      <c r="C5644">
        <f>C5643+B5644</f>
        <v/>
      </c>
      <c r="D5644">
        <f>IF(B5644=1,INDEX('Data Entry'!$H$5:$BE$10004,5644-4,'Visual SPC'!$B$3),"")</f>
        <v/>
      </c>
      <c r="E5644">
        <f>IF(B5644=1,D5644,E5643)</f>
        <v/>
      </c>
      <c r="F5644">
        <f>IF(AND(B5644=1,C5644&gt;1,E5643&lt;&gt;""),ABS(D5644-E5643),"")</f>
        <v/>
      </c>
    </row>
    <row r="5645">
      <c r="A5645" t="n">
        <v>5645</v>
      </c>
      <c r="B5645">
        <f>IF(INDEX('Data Entry'!$H$5:$BE$10004,5645-4,'Visual SPC'!$B$3)="",0,IF(AND(OR('Visual SPC'!$C$4="",'Data Entry'!$C5645&gt;='Visual SPC'!$C$4),OR('Visual SPC'!$E$4="",'Data Entry'!$C5645&lt;='Visual SPC'!$E$4),OR('Visual SPC'!$G$4="",'Data Entry'!$D5645='Visual SPC'!$G$4),OR('Visual SPC'!$I$4="",'Data Entry'!$E5645='Visual SPC'!$I$4),OR('Visual SPC'!$K$4="",'Data Entry'!$F5645='Visual SPC'!$K$4)),1,0))</f>
        <v/>
      </c>
      <c r="C5645">
        <f>C5644+B5645</f>
        <v/>
      </c>
      <c r="D5645">
        <f>IF(B5645=1,INDEX('Data Entry'!$H$5:$BE$10004,5645-4,'Visual SPC'!$B$3),"")</f>
        <v/>
      </c>
      <c r="E5645">
        <f>IF(B5645=1,D5645,E5644)</f>
        <v/>
      </c>
      <c r="F5645">
        <f>IF(AND(B5645=1,C5645&gt;1,E5644&lt;&gt;""),ABS(D5645-E5644),"")</f>
        <v/>
      </c>
    </row>
    <row r="5646">
      <c r="A5646" t="n">
        <v>5646</v>
      </c>
      <c r="B5646">
        <f>IF(INDEX('Data Entry'!$H$5:$BE$10004,5646-4,'Visual SPC'!$B$3)="",0,IF(AND(OR('Visual SPC'!$C$4="",'Data Entry'!$C5646&gt;='Visual SPC'!$C$4),OR('Visual SPC'!$E$4="",'Data Entry'!$C5646&lt;='Visual SPC'!$E$4),OR('Visual SPC'!$G$4="",'Data Entry'!$D5646='Visual SPC'!$G$4),OR('Visual SPC'!$I$4="",'Data Entry'!$E5646='Visual SPC'!$I$4),OR('Visual SPC'!$K$4="",'Data Entry'!$F5646='Visual SPC'!$K$4)),1,0))</f>
        <v/>
      </c>
      <c r="C5646">
        <f>C5645+B5646</f>
        <v/>
      </c>
      <c r="D5646">
        <f>IF(B5646=1,INDEX('Data Entry'!$H$5:$BE$10004,5646-4,'Visual SPC'!$B$3),"")</f>
        <v/>
      </c>
      <c r="E5646">
        <f>IF(B5646=1,D5646,E5645)</f>
        <v/>
      </c>
      <c r="F5646">
        <f>IF(AND(B5646=1,C5646&gt;1,E5645&lt;&gt;""),ABS(D5646-E5645),"")</f>
        <v/>
      </c>
    </row>
    <row r="5647">
      <c r="A5647" t="n">
        <v>5647</v>
      </c>
      <c r="B5647">
        <f>IF(INDEX('Data Entry'!$H$5:$BE$10004,5647-4,'Visual SPC'!$B$3)="",0,IF(AND(OR('Visual SPC'!$C$4="",'Data Entry'!$C5647&gt;='Visual SPC'!$C$4),OR('Visual SPC'!$E$4="",'Data Entry'!$C5647&lt;='Visual SPC'!$E$4),OR('Visual SPC'!$G$4="",'Data Entry'!$D5647='Visual SPC'!$G$4),OR('Visual SPC'!$I$4="",'Data Entry'!$E5647='Visual SPC'!$I$4),OR('Visual SPC'!$K$4="",'Data Entry'!$F5647='Visual SPC'!$K$4)),1,0))</f>
        <v/>
      </c>
      <c r="C5647">
        <f>C5646+B5647</f>
        <v/>
      </c>
      <c r="D5647">
        <f>IF(B5647=1,INDEX('Data Entry'!$H$5:$BE$10004,5647-4,'Visual SPC'!$B$3),"")</f>
        <v/>
      </c>
      <c r="E5647">
        <f>IF(B5647=1,D5647,E5646)</f>
        <v/>
      </c>
      <c r="F5647">
        <f>IF(AND(B5647=1,C5647&gt;1,E5646&lt;&gt;""),ABS(D5647-E5646),"")</f>
        <v/>
      </c>
    </row>
    <row r="5648">
      <c r="A5648" t="n">
        <v>5648</v>
      </c>
      <c r="B5648">
        <f>IF(INDEX('Data Entry'!$H$5:$BE$10004,5648-4,'Visual SPC'!$B$3)="",0,IF(AND(OR('Visual SPC'!$C$4="",'Data Entry'!$C5648&gt;='Visual SPC'!$C$4),OR('Visual SPC'!$E$4="",'Data Entry'!$C5648&lt;='Visual SPC'!$E$4),OR('Visual SPC'!$G$4="",'Data Entry'!$D5648='Visual SPC'!$G$4),OR('Visual SPC'!$I$4="",'Data Entry'!$E5648='Visual SPC'!$I$4),OR('Visual SPC'!$K$4="",'Data Entry'!$F5648='Visual SPC'!$K$4)),1,0))</f>
        <v/>
      </c>
      <c r="C5648">
        <f>C5647+B5648</f>
        <v/>
      </c>
      <c r="D5648">
        <f>IF(B5648=1,INDEX('Data Entry'!$H$5:$BE$10004,5648-4,'Visual SPC'!$B$3),"")</f>
        <v/>
      </c>
      <c r="E5648">
        <f>IF(B5648=1,D5648,E5647)</f>
        <v/>
      </c>
      <c r="F5648">
        <f>IF(AND(B5648=1,C5648&gt;1,E5647&lt;&gt;""),ABS(D5648-E5647),"")</f>
        <v/>
      </c>
    </row>
    <row r="5649">
      <c r="A5649" t="n">
        <v>5649</v>
      </c>
      <c r="B5649">
        <f>IF(INDEX('Data Entry'!$H$5:$BE$10004,5649-4,'Visual SPC'!$B$3)="",0,IF(AND(OR('Visual SPC'!$C$4="",'Data Entry'!$C5649&gt;='Visual SPC'!$C$4),OR('Visual SPC'!$E$4="",'Data Entry'!$C5649&lt;='Visual SPC'!$E$4),OR('Visual SPC'!$G$4="",'Data Entry'!$D5649='Visual SPC'!$G$4),OR('Visual SPC'!$I$4="",'Data Entry'!$E5649='Visual SPC'!$I$4),OR('Visual SPC'!$K$4="",'Data Entry'!$F5649='Visual SPC'!$K$4)),1,0))</f>
        <v/>
      </c>
      <c r="C5649">
        <f>C5648+B5649</f>
        <v/>
      </c>
      <c r="D5649">
        <f>IF(B5649=1,INDEX('Data Entry'!$H$5:$BE$10004,5649-4,'Visual SPC'!$B$3),"")</f>
        <v/>
      </c>
      <c r="E5649">
        <f>IF(B5649=1,D5649,E5648)</f>
        <v/>
      </c>
      <c r="F5649">
        <f>IF(AND(B5649=1,C5649&gt;1,E5648&lt;&gt;""),ABS(D5649-E5648),"")</f>
        <v/>
      </c>
    </row>
    <row r="5650">
      <c r="A5650" t="n">
        <v>5650</v>
      </c>
      <c r="B5650">
        <f>IF(INDEX('Data Entry'!$H$5:$BE$10004,5650-4,'Visual SPC'!$B$3)="",0,IF(AND(OR('Visual SPC'!$C$4="",'Data Entry'!$C5650&gt;='Visual SPC'!$C$4),OR('Visual SPC'!$E$4="",'Data Entry'!$C5650&lt;='Visual SPC'!$E$4),OR('Visual SPC'!$G$4="",'Data Entry'!$D5650='Visual SPC'!$G$4),OR('Visual SPC'!$I$4="",'Data Entry'!$E5650='Visual SPC'!$I$4),OR('Visual SPC'!$K$4="",'Data Entry'!$F5650='Visual SPC'!$K$4)),1,0))</f>
        <v/>
      </c>
      <c r="C5650">
        <f>C5649+B5650</f>
        <v/>
      </c>
      <c r="D5650">
        <f>IF(B5650=1,INDEX('Data Entry'!$H$5:$BE$10004,5650-4,'Visual SPC'!$B$3),"")</f>
        <v/>
      </c>
      <c r="E5650">
        <f>IF(B5650=1,D5650,E5649)</f>
        <v/>
      </c>
      <c r="F5650">
        <f>IF(AND(B5650=1,C5650&gt;1,E5649&lt;&gt;""),ABS(D5650-E5649),"")</f>
        <v/>
      </c>
    </row>
    <row r="5651">
      <c r="A5651" t="n">
        <v>5651</v>
      </c>
      <c r="B5651">
        <f>IF(INDEX('Data Entry'!$H$5:$BE$10004,5651-4,'Visual SPC'!$B$3)="",0,IF(AND(OR('Visual SPC'!$C$4="",'Data Entry'!$C5651&gt;='Visual SPC'!$C$4),OR('Visual SPC'!$E$4="",'Data Entry'!$C5651&lt;='Visual SPC'!$E$4),OR('Visual SPC'!$G$4="",'Data Entry'!$D5651='Visual SPC'!$G$4),OR('Visual SPC'!$I$4="",'Data Entry'!$E5651='Visual SPC'!$I$4),OR('Visual SPC'!$K$4="",'Data Entry'!$F5651='Visual SPC'!$K$4)),1,0))</f>
        <v/>
      </c>
      <c r="C5651">
        <f>C5650+B5651</f>
        <v/>
      </c>
      <c r="D5651">
        <f>IF(B5651=1,INDEX('Data Entry'!$H$5:$BE$10004,5651-4,'Visual SPC'!$B$3),"")</f>
        <v/>
      </c>
      <c r="E5651">
        <f>IF(B5651=1,D5651,E5650)</f>
        <v/>
      </c>
      <c r="F5651">
        <f>IF(AND(B5651=1,C5651&gt;1,E5650&lt;&gt;""),ABS(D5651-E5650),"")</f>
        <v/>
      </c>
    </row>
    <row r="5652">
      <c r="A5652" t="n">
        <v>5652</v>
      </c>
      <c r="B5652">
        <f>IF(INDEX('Data Entry'!$H$5:$BE$10004,5652-4,'Visual SPC'!$B$3)="",0,IF(AND(OR('Visual SPC'!$C$4="",'Data Entry'!$C5652&gt;='Visual SPC'!$C$4),OR('Visual SPC'!$E$4="",'Data Entry'!$C5652&lt;='Visual SPC'!$E$4),OR('Visual SPC'!$G$4="",'Data Entry'!$D5652='Visual SPC'!$G$4),OR('Visual SPC'!$I$4="",'Data Entry'!$E5652='Visual SPC'!$I$4),OR('Visual SPC'!$K$4="",'Data Entry'!$F5652='Visual SPC'!$K$4)),1,0))</f>
        <v/>
      </c>
      <c r="C5652">
        <f>C5651+B5652</f>
        <v/>
      </c>
      <c r="D5652">
        <f>IF(B5652=1,INDEX('Data Entry'!$H$5:$BE$10004,5652-4,'Visual SPC'!$B$3),"")</f>
        <v/>
      </c>
      <c r="E5652">
        <f>IF(B5652=1,D5652,E5651)</f>
        <v/>
      </c>
      <c r="F5652">
        <f>IF(AND(B5652=1,C5652&gt;1,E5651&lt;&gt;""),ABS(D5652-E5651),"")</f>
        <v/>
      </c>
    </row>
    <row r="5653">
      <c r="A5653" t="n">
        <v>5653</v>
      </c>
      <c r="B5653">
        <f>IF(INDEX('Data Entry'!$H$5:$BE$10004,5653-4,'Visual SPC'!$B$3)="",0,IF(AND(OR('Visual SPC'!$C$4="",'Data Entry'!$C5653&gt;='Visual SPC'!$C$4),OR('Visual SPC'!$E$4="",'Data Entry'!$C5653&lt;='Visual SPC'!$E$4),OR('Visual SPC'!$G$4="",'Data Entry'!$D5653='Visual SPC'!$G$4),OR('Visual SPC'!$I$4="",'Data Entry'!$E5653='Visual SPC'!$I$4),OR('Visual SPC'!$K$4="",'Data Entry'!$F5653='Visual SPC'!$K$4)),1,0))</f>
        <v/>
      </c>
      <c r="C5653">
        <f>C5652+B5653</f>
        <v/>
      </c>
      <c r="D5653">
        <f>IF(B5653=1,INDEX('Data Entry'!$H$5:$BE$10004,5653-4,'Visual SPC'!$B$3),"")</f>
        <v/>
      </c>
      <c r="E5653">
        <f>IF(B5653=1,D5653,E5652)</f>
        <v/>
      </c>
      <c r="F5653">
        <f>IF(AND(B5653=1,C5653&gt;1,E5652&lt;&gt;""),ABS(D5653-E5652),"")</f>
        <v/>
      </c>
    </row>
    <row r="5654">
      <c r="A5654" t="n">
        <v>5654</v>
      </c>
      <c r="B5654">
        <f>IF(INDEX('Data Entry'!$H$5:$BE$10004,5654-4,'Visual SPC'!$B$3)="",0,IF(AND(OR('Visual SPC'!$C$4="",'Data Entry'!$C5654&gt;='Visual SPC'!$C$4),OR('Visual SPC'!$E$4="",'Data Entry'!$C5654&lt;='Visual SPC'!$E$4),OR('Visual SPC'!$G$4="",'Data Entry'!$D5654='Visual SPC'!$G$4),OR('Visual SPC'!$I$4="",'Data Entry'!$E5654='Visual SPC'!$I$4),OR('Visual SPC'!$K$4="",'Data Entry'!$F5654='Visual SPC'!$K$4)),1,0))</f>
        <v/>
      </c>
      <c r="C5654">
        <f>C5653+B5654</f>
        <v/>
      </c>
      <c r="D5654">
        <f>IF(B5654=1,INDEX('Data Entry'!$H$5:$BE$10004,5654-4,'Visual SPC'!$B$3),"")</f>
        <v/>
      </c>
      <c r="E5654">
        <f>IF(B5654=1,D5654,E5653)</f>
        <v/>
      </c>
      <c r="F5654">
        <f>IF(AND(B5654=1,C5654&gt;1,E5653&lt;&gt;""),ABS(D5654-E5653),"")</f>
        <v/>
      </c>
    </row>
    <row r="5655">
      <c r="A5655" t="n">
        <v>5655</v>
      </c>
      <c r="B5655">
        <f>IF(INDEX('Data Entry'!$H$5:$BE$10004,5655-4,'Visual SPC'!$B$3)="",0,IF(AND(OR('Visual SPC'!$C$4="",'Data Entry'!$C5655&gt;='Visual SPC'!$C$4),OR('Visual SPC'!$E$4="",'Data Entry'!$C5655&lt;='Visual SPC'!$E$4),OR('Visual SPC'!$G$4="",'Data Entry'!$D5655='Visual SPC'!$G$4),OR('Visual SPC'!$I$4="",'Data Entry'!$E5655='Visual SPC'!$I$4),OR('Visual SPC'!$K$4="",'Data Entry'!$F5655='Visual SPC'!$K$4)),1,0))</f>
        <v/>
      </c>
      <c r="C5655">
        <f>C5654+B5655</f>
        <v/>
      </c>
      <c r="D5655">
        <f>IF(B5655=1,INDEX('Data Entry'!$H$5:$BE$10004,5655-4,'Visual SPC'!$B$3),"")</f>
        <v/>
      </c>
      <c r="E5655">
        <f>IF(B5655=1,D5655,E5654)</f>
        <v/>
      </c>
      <c r="F5655">
        <f>IF(AND(B5655=1,C5655&gt;1,E5654&lt;&gt;""),ABS(D5655-E5654),"")</f>
        <v/>
      </c>
    </row>
    <row r="5656">
      <c r="A5656" t="n">
        <v>5656</v>
      </c>
      <c r="B5656">
        <f>IF(INDEX('Data Entry'!$H$5:$BE$10004,5656-4,'Visual SPC'!$B$3)="",0,IF(AND(OR('Visual SPC'!$C$4="",'Data Entry'!$C5656&gt;='Visual SPC'!$C$4),OR('Visual SPC'!$E$4="",'Data Entry'!$C5656&lt;='Visual SPC'!$E$4),OR('Visual SPC'!$G$4="",'Data Entry'!$D5656='Visual SPC'!$G$4),OR('Visual SPC'!$I$4="",'Data Entry'!$E5656='Visual SPC'!$I$4),OR('Visual SPC'!$K$4="",'Data Entry'!$F5656='Visual SPC'!$K$4)),1,0))</f>
        <v/>
      </c>
      <c r="C5656">
        <f>C5655+B5656</f>
        <v/>
      </c>
      <c r="D5656">
        <f>IF(B5656=1,INDEX('Data Entry'!$H$5:$BE$10004,5656-4,'Visual SPC'!$B$3),"")</f>
        <v/>
      </c>
      <c r="E5656">
        <f>IF(B5656=1,D5656,E5655)</f>
        <v/>
      </c>
      <c r="F5656">
        <f>IF(AND(B5656=1,C5656&gt;1,E5655&lt;&gt;""),ABS(D5656-E5655),"")</f>
        <v/>
      </c>
    </row>
    <row r="5657">
      <c r="A5657" t="n">
        <v>5657</v>
      </c>
      <c r="B5657">
        <f>IF(INDEX('Data Entry'!$H$5:$BE$10004,5657-4,'Visual SPC'!$B$3)="",0,IF(AND(OR('Visual SPC'!$C$4="",'Data Entry'!$C5657&gt;='Visual SPC'!$C$4),OR('Visual SPC'!$E$4="",'Data Entry'!$C5657&lt;='Visual SPC'!$E$4),OR('Visual SPC'!$G$4="",'Data Entry'!$D5657='Visual SPC'!$G$4),OR('Visual SPC'!$I$4="",'Data Entry'!$E5657='Visual SPC'!$I$4),OR('Visual SPC'!$K$4="",'Data Entry'!$F5657='Visual SPC'!$K$4)),1,0))</f>
        <v/>
      </c>
      <c r="C5657">
        <f>C5656+B5657</f>
        <v/>
      </c>
      <c r="D5657">
        <f>IF(B5657=1,INDEX('Data Entry'!$H$5:$BE$10004,5657-4,'Visual SPC'!$B$3),"")</f>
        <v/>
      </c>
      <c r="E5657">
        <f>IF(B5657=1,D5657,E5656)</f>
        <v/>
      </c>
      <c r="F5657">
        <f>IF(AND(B5657=1,C5657&gt;1,E5656&lt;&gt;""),ABS(D5657-E5656),"")</f>
        <v/>
      </c>
    </row>
    <row r="5658">
      <c r="A5658" t="n">
        <v>5658</v>
      </c>
      <c r="B5658">
        <f>IF(INDEX('Data Entry'!$H$5:$BE$10004,5658-4,'Visual SPC'!$B$3)="",0,IF(AND(OR('Visual SPC'!$C$4="",'Data Entry'!$C5658&gt;='Visual SPC'!$C$4),OR('Visual SPC'!$E$4="",'Data Entry'!$C5658&lt;='Visual SPC'!$E$4),OR('Visual SPC'!$G$4="",'Data Entry'!$D5658='Visual SPC'!$G$4),OR('Visual SPC'!$I$4="",'Data Entry'!$E5658='Visual SPC'!$I$4),OR('Visual SPC'!$K$4="",'Data Entry'!$F5658='Visual SPC'!$K$4)),1,0))</f>
        <v/>
      </c>
      <c r="C5658">
        <f>C5657+B5658</f>
        <v/>
      </c>
      <c r="D5658">
        <f>IF(B5658=1,INDEX('Data Entry'!$H$5:$BE$10004,5658-4,'Visual SPC'!$B$3),"")</f>
        <v/>
      </c>
      <c r="E5658">
        <f>IF(B5658=1,D5658,E5657)</f>
        <v/>
      </c>
      <c r="F5658">
        <f>IF(AND(B5658=1,C5658&gt;1,E5657&lt;&gt;""),ABS(D5658-E5657),"")</f>
        <v/>
      </c>
    </row>
    <row r="5659">
      <c r="A5659" t="n">
        <v>5659</v>
      </c>
      <c r="B5659">
        <f>IF(INDEX('Data Entry'!$H$5:$BE$10004,5659-4,'Visual SPC'!$B$3)="",0,IF(AND(OR('Visual SPC'!$C$4="",'Data Entry'!$C5659&gt;='Visual SPC'!$C$4),OR('Visual SPC'!$E$4="",'Data Entry'!$C5659&lt;='Visual SPC'!$E$4),OR('Visual SPC'!$G$4="",'Data Entry'!$D5659='Visual SPC'!$G$4),OR('Visual SPC'!$I$4="",'Data Entry'!$E5659='Visual SPC'!$I$4),OR('Visual SPC'!$K$4="",'Data Entry'!$F5659='Visual SPC'!$K$4)),1,0))</f>
        <v/>
      </c>
      <c r="C5659">
        <f>C5658+B5659</f>
        <v/>
      </c>
      <c r="D5659">
        <f>IF(B5659=1,INDEX('Data Entry'!$H$5:$BE$10004,5659-4,'Visual SPC'!$B$3),"")</f>
        <v/>
      </c>
      <c r="E5659">
        <f>IF(B5659=1,D5659,E5658)</f>
        <v/>
      </c>
      <c r="F5659">
        <f>IF(AND(B5659=1,C5659&gt;1,E5658&lt;&gt;""),ABS(D5659-E5658),"")</f>
        <v/>
      </c>
    </row>
    <row r="5660">
      <c r="A5660" t="n">
        <v>5660</v>
      </c>
      <c r="B5660">
        <f>IF(INDEX('Data Entry'!$H$5:$BE$10004,5660-4,'Visual SPC'!$B$3)="",0,IF(AND(OR('Visual SPC'!$C$4="",'Data Entry'!$C5660&gt;='Visual SPC'!$C$4),OR('Visual SPC'!$E$4="",'Data Entry'!$C5660&lt;='Visual SPC'!$E$4),OR('Visual SPC'!$G$4="",'Data Entry'!$D5660='Visual SPC'!$G$4),OR('Visual SPC'!$I$4="",'Data Entry'!$E5660='Visual SPC'!$I$4),OR('Visual SPC'!$K$4="",'Data Entry'!$F5660='Visual SPC'!$K$4)),1,0))</f>
        <v/>
      </c>
      <c r="C5660">
        <f>C5659+B5660</f>
        <v/>
      </c>
      <c r="D5660">
        <f>IF(B5660=1,INDEX('Data Entry'!$H$5:$BE$10004,5660-4,'Visual SPC'!$B$3),"")</f>
        <v/>
      </c>
      <c r="E5660">
        <f>IF(B5660=1,D5660,E5659)</f>
        <v/>
      </c>
      <c r="F5660">
        <f>IF(AND(B5660=1,C5660&gt;1,E5659&lt;&gt;""),ABS(D5660-E5659),"")</f>
        <v/>
      </c>
    </row>
    <row r="5661">
      <c r="A5661" t="n">
        <v>5661</v>
      </c>
      <c r="B5661">
        <f>IF(INDEX('Data Entry'!$H$5:$BE$10004,5661-4,'Visual SPC'!$B$3)="",0,IF(AND(OR('Visual SPC'!$C$4="",'Data Entry'!$C5661&gt;='Visual SPC'!$C$4),OR('Visual SPC'!$E$4="",'Data Entry'!$C5661&lt;='Visual SPC'!$E$4),OR('Visual SPC'!$G$4="",'Data Entry'!$D5661='Visual SPC'!$G$4),OR('Visual SPC'!$I$4="",'Data Entry'!$E5661='Visual SPC'!$I$4),OR('Visual SPC'!$K$4="",'Data Entry'!$F5661='Visual SPC'!$K$4)),1,0))</f>
        <v/>
      </c>
      <c r="C5661">
        <f>C5660+B5661</f>
        <v/>
      </c>
      <c r="D5661">
        <f>IF(B5661=1,INDEX('Data Entry'!$H$5:$BE$10004,5661-4,'Visual SPC'!$B$3),"")</f>
        <v/>
      </c>
      <c r="E5661">
        <f>IF(B5661=1,D5661,E5660)</f>
        <v/>
      </c>
      <c r="F5661">
        <f>IF(AND(B5661=1,C5661&gt;1,E5660&lt;&gt;""),ABS(D5661-E5660),"")</f>
        <v/>
      </c>
    </row>
    <row r="5662">
      <c r="A5662" t="n">
        <v>5662</v>
      </c>
      <c r="B5662">
        <f>IF(INDEX('Data Entry'!$H$5:$BE$10004,5662-4,'Visual SPC'!$B$3)="",0,IF(AND(OR('Visual SPC'!$C$4="",'Data Entry'!$C5662&gt;='Visual SPC'!$C$4),OR('Visual SPC'!$E$4="",'Data Entry'!$C5662&lt;='Visual SPC'!$E$4),OR('Visual SPC'!$G$4="",'Data Entry'!$D5662='Visual SPC'!$G$4),OR('Visual SPC'!$I$4="",'Data Entry'!$E5662='Visual SPC'!$I$4),OR('Visual SPC'!$K$4="",'Data Entry'!$F5662='Visual SPC'!$K$4)),1,0))</f>
        <v/>
      </c>
      <c r="C5662">
        <f>C5661+B5662</f>
        <v/>
      </c>
      <c r="D5662">
        <f>IF(B5662=1,INDEX('Data Entry'!$H$5:$BE$10004,5662-4,'Visual SPC'!$B$3),"")</f>
        <v/>
      </c>
      <c r="E5662">
        <f>IF(B5662=1,D5662,E5661)</f>
        <v/>
      </c>
      <c r="F5662">
        <f>IF(AND(B5662=1,C5662&gt;1,E5661&lt;&gt;""),ABS(D5662-E5661),"")</f>
        <v/>
      </c>
    </row>
    <row r="5663">
      <c r="A5663" t="n">
        <v>5663</v>
      </c>
      <c r="B5663">
        <f>IF(INDEX('Data Entry'!$H$5:$BE$10004,5663-4,'Visual SPC'!$B$3)="",0,IF(AND(OR('Visual SPC'!$C$4="",'Data Entry'!$C5663&gt;='Visual SPC'!$C$4),OR('Visual SPC'!$E$4="",'Data Entry'!$C5663&lt;='Visual SPC'!$E$4),OR('Visual SPC'!$G$4="",'Data Entry'!$D5663='Visual SPC'!$G$4),OR('Visual SPC'!$I$4="",'Data Entry'!$E5663='Visual SPC'!$I$4),OR('Visual SPC'!$K$4="",'Data Entry'!$F5663='Visual SPC'!$K$4)),1,0))</f>
        <v/>
      </c>
      <c r="C5663">
        <f>C5662+B5663</f>
        <v/>
      </c>
      <c r="D5663">
        <f>IF(B5663=1,INDEX('Data Entry'!$H$5:$BE$10004,5663-4,'Visual SPC'!$B$3),"")</f>
        <v/>
      </c>
      <c r="E5663">
        <f>IF(B5663=1,D5663,E5662)</f>
        <v/>
      </c>
      <c r="F5663">
        <f>IF(AND(B5663=1,C5663&gt;1,E5662&lt;&gt;""),ABS(D5663-E5662),"")</f>
        <v/>
      </c>
    </row>
    <row r="5664">
      <c r="A5664" t="n">
        <v>5664</v>
      </c>
      <c r="B5664">
        <f>IF(INDEX('Data Entry'!$H$5:$BE$10004,5664-4,'Visual SPC'!$B$3)="",0,IF(AND(OR('Visual SPC'!$C$4="",'Data Entry'!$C5664&gt;='Visual SPC'!$C$4),OR('Visual SPC'!$E$4="",'Data Entry'!$C5664&lt;='Visual SPC'!$E$4),OR('Visual SPC'!$G$4="",'Data Entry'!$D5664='Visual SPC'!$G$4),OR('Visual SPC'!$I$4="",'Data Entry'!$E5664='Visual SPC'!$I$4),OR('Visual SPC'!$K$4="",'Data Entry'!$F5664='Visual SPC'!$K$4)),1,0))</f>
        <v/>
      </c>
      <c r="C5664">
        <f>C5663+B5664</f>
        <v/>
      </c>
      <c r="D5664">
        <f>IF(B5664=1,INDEX('Data Entry'!$H$5:$BE$10004,5664-4,'Visual SPC'!$B$3),"")</f>
        <v/>
      </c>
      <c r="E5664">
        <f>IF(B5664=1,D5664,E5663)</f>
        <v/>
      </c>
      <c r="F5664">
        <f>IF(AND(B5664=1,C5664&gt;1,E5663&lt;&gt;""),ABS(D5664-E5663),"")</f>
        <v/>
      </c>
    </row>
    <row r="5665">
      <c r="A5665" t="n">
        <v>5665</v>
      </c>
      <c r="B5665">
        <f>IF(INDEX('Data Entry'!$H$5:$BE$10004,5665-4,'Visual SPC'!$B$3)="",0,IF(AND(OR('Visual SPC'!$C$4="",'Data Entry'!$C5665&gt;='Visual SPC'!$C$4),OR('Visual SPC'!$E$4="",'Data Entry'!$C5665&lt;='Visual SPC'!$E$4),OR('Visual SPC'!$G$4="",'Data Entry'!$D5665='Visual SPC'!$G$4),OR('Visual SPC'!$I$4="",'Data Entry'!$E5665='Visual SPC'!$I$4),OR('Visual SPC'!$K$4="",'Data Entry'!$F5665='Visual SPC'!$K$4)),1,0))</f>
        <v/>
      </c>
      <c r="C5665">
        <f>C5664+B5665</f>
        <v/>
      </c>
      <c r="D5665">
        <f>IF(B5665=1,INDEX('Data Entry'!$H$5:$BE$10004,5665-4,'Visual SPC'!$B$3),"")</f>
        <v/>
      </c>
      <c r="E5665">
        <f>IF(B5665=1,D5665,E5664)</f>
        <v/>
      </c>
      <c r="F5665">
        <f>IF(AND(B5665=1,C5665&gt;1,E5664&lt;&gt;""),ABS(D5665-E5664),"")</f>
        <v/>
      </c>
    </row>
    <row r="5666">
      <c r="A5666" t="n">
        <v>5666</v>
      </c>
      <c r="B5666">
        <f>IF(INDEX('Data Entry'!$H$5:$BE$10004,5666-4,'Visual SPC'!$B$3)="",0,IF(AND(OR('Visual SPC'!$C$4="",'Data Entry'!$C5666&gt;='Visual SPC'!$C$4),OR('Visual SPC'!$E$4="",'Data Entry'!$C5666&lt;='Visual SPC'!$E$4),OR('Visual SPC'!$G$4="",'Data Entry'!$D5666='Visual SPC'!$G$4),OR('Visual SPC'!$I$4="",'Data Entry'!$E5666='Visual SPC'!$I$4),OR('Visual SPC'!$K$4="",'Data Entry'!$F5666='Visual SPC'!$K$4)),1,0))</f>
        <v/>
      </c>
      <c r="C5666">
        <f>C5665+B5666</f>
        <v/>
      </c>
      <c r="D5666">
        <f>IF(B5666=1,INDEX('Data Entry'!$H$5:$BE$10004,5666-4,'Visual SPC'!$B$3),"")</f>
        <v/>
      </c>
      <c r="E5666">
        <f>IF(B5666=1,D5666,E5665)</f>
        <v/>
      </c>
      <c r="F5666">
        <f>IF(AND(B5666=1,C5666&gt;1,E5665&lt;&gt;""),ABS(D5666-E5665),"")</f>
        <v/>
      </c>
    </row>
    <row r="5667">
      <c r="A5667" t="n">
        <v>5667</v>
      </c>
      <c r="B5667">
        <f>IF(INDEX('Data Entry'!$H$5:$BE$10004,5667-4,'Visual SPC'!$B$3)="",0,IF(AND(OR('Visual SPC'!$C$4="",'Data Entry'!$C5667&gt;='Visual SPC'!$C$4),OR('Visual SPC'!$E$4="",'Data Entry'!$C5667&lt;='Visual SPC'!$E$4),OR('Visual SPC'!$G$4="",'Data Entry'!$D5667='Visual SPC'!$G$4),OR('Visual SPC'!$I$4="",'Data Entry'!$E5667='Visual SPC'!$I$4),OR('Visual SPC'!$K$4="",'Data Entry'!$F5667='Visual SPC'!$K$4)),1,0))</f>
        <v/>
      </c>
      <c r="C5667">
        <f>C5666+B5667</f>
        <v/>
      </c>
      <c r="D5667">
        <f>IF(B5667=1,INDEX('Data Entry'!$H$5:$BE$10004,5667-4,'Visual SPC'!$B$3),"")</f>
        <v/>
      </c>
      <c r="E5667">
        <f>IF(B5667=1,D5667,E5666)</f>
        <v/>
      </c>
      <c r="F5667">
        <f>IF(AND(B5667=1,C5667&gt;1,E5666&lt;&gt;""),ABS(D5667-E5666),"")</f>
        <v/>
      </c>
    </row>
    <row r="5668">
      <c r="A5668" t="n">
        <v>5668</v>
      </c>
      <c r="B5668">
        <f>IF(INDEX('Data Entry'!$H$5:$BE$10004,5668-4,'Visual SPC'!$B$3)="",0,IF(AND(OR('Visual SPC'!$C$4="",'Data Entry'!$C5668&gt;='Visual SPC'!$C$4),OR('Visual SPC'!$E$4="",'Data Entry'!$C5668&lt;='Visual SPC'!$E$4),OR('Visual SPC'!$G$4="",'Data Entry'!$D5668='Visual SPC'!$G$4),OR('Visual SPC'!$I$4="",'Data Entry'!$E5668='Visual SPC'!$I$4),OR('Visual SPC'!$K$4="",'Data Entry'!$F5668='Visual SPC'!$K$4)),1,0))</f>
        <v/>
      </c>
      <c r="C5668">
        <f>C5667+B5668</f>
        <v/>
      </c>
      <c r="D5668">
        <f>IF(B5668=1,INDEX('Data Entry'!$H$5:$BE$10004,5668-4,'Visual SPC'!$B$3),"")</f>
        <v/>
      </c>
      <c r="E5668">
        <f>IF(B5668=1,D5668,E5667)</f>
        <v/>
      </c>
      <c r="F5668">
        <f>IF(AND(B5668=1,C5668&gt;1,E5667&lt;&gt;""),ABS(D5668-E5667),"")</f>
        <v/>
      </c>
    </row>
    <row r="5669">
      <c r="A5669" t="n">
        <v>5669</v>
      </c>
      <c r="B5669">
        <f>IF(INDEX('Data Entry'!$H$5:$BE$10004,5669-4,'Visual SPC'!$B$3)="",0,IF(AND(OR('Visual SPC'!$C$4="",'Data Entry'!$C5669&gt;='Visual SPC'!$C$4),OR('Visual SPC'!$E$4="",'Data Entry'!$C5669&lt;='Visual SPC'!$E$4),OR('Visual SPC'!$G$4="",'Data Entry'!$D5669='Visual SPC'!$G$4),OR('Visual SPC'!$I$4="",'Data Entry'!$E5669='Visual SPC'!$I$4),OR('Visual SPC'!$K$4="",'Data Entry'!$F5669='Visual SPC'!$K$4)),1,0))</f>
        <v/>
      </c>
      <c r="C5669">
        <f>C5668+B5669</f>
        <v/>
      </c>
      <c r="D5669">
        <f>IF(B5669=1,INDEX('Data Entry'!$H$5:$BE$10004,5669-4,'Visual SPC'!$B$3),"")</f>
        <v/>
      </c>
      <c r="E5669">
        <f>IF(B5669=1,D5669,E5668)</f>
        <v/>
      </c>
      <c r="F5669">
        <f>IF(AND(B5669=1,C5669&gt;1,E5668&lt;&gt;""),ABS(D5669-E5668),"")</f>
        <v/>
      </c>
    </row>
    <row r="5670">
      <c r="A5670" t="n">
        <v>5670</v>
      </c>
      <c r="B5670">
        <f>IF(INDEX('Data Entry'!$H$5:$BE$10004,5670-4,'Visual SPC'!$B$3)="",0,IF(AND(OR('Visual SPC'!$C$4="",'Data Entry'!$C5670&gt;='Visual SPC'!$C$4),OR('Visual SPC'!$E$4="",'Data Entry'!$C5670&lt;='Visual SPC'!$E$4),OR('Visual SPC'!$G$4="",'Data Entry'!$D5670='Visual SPC'!$G$4),OR('Visual SPC'!$I$4="",'Data Entry'!$E5670='Visual SPC'!$I$4),OR('Visual SPC'!$K$4="",'Data Entry'!$F5670='Visual SPC'!$K$4)),1,0))</f>
        <v/>
      </c>
      <c r="C5670">
        <f>C5669+B5670</f>
        <v/>
      </c>
      <c r="D5670">
        <f>IF(B5670=1,INDEX('Data Entry'!$H$5:$BE$10004,5670-4,'Visual SPC'!$B$3),"")</f>
        <v/>
      </c>
      <c r="E5670">
        <f>IF(B5670=1,D5670,E5669)</f>
        <v/>
      </c>
      <c r="F5670">
        <f>IF(AND(B5670=1,C5670&gt;1,E5669&lt;&gt;""),ABS(D5670-E5669),"")</f>
        <v/>
      </c>
    </row>
    <row r="5671">
      <c r="A5671" t="n">
        <v>5671</v>
      </c>
      <c r="B5671">
        <f>IF(INDEX('Data Entry'!$H$5:$BE$10004,5671-4,'Visual SPC'!$B$3)="",0,IF(AND(OR('Visual SPC'!$C$4="",'Data Entry'!$C5671&gt;='Visual SPC'!$C$4),OR('Visual SPC'!$E$4="",'Data Entry'!$C5671&lt;='Visual SPC'!$E$4),OR('Visual SPC'!$G$4="",'Data Entry'!$D5671='Visual SPC'!$G$4),OR('Visual SPC'!$I$4="",'Data Entry'!$E5671='Visual SPC'!$I$4),OR('Visual SPC'!$K$4="",'Data Entry'!$F5671='Visual SPC'!$K$4)),1,0))</f>
        <v/>
      </c>
      <c r="C5671">
        <f>C5670+B5671</f>
        <v/>
      </c>
      <c r="D5671">
        <f>IF(B5671=1,INDEX('Data Entry'!$H$5:$BE$10004,5671-4,'Visual SPC'!$B$3),"")</f>
        <v/>
      </c>
      <c r="E5671">
        <f>IF(B5671=1,D5671,E5670)</f>
        <v/>
      </c>
      <c r="F5671">
        <f>IF(AND(B5671=1,C5671&gt;1,E5670&lt;&gt;""),ABS(D5671-E5670),"")</f>
        <v/>
      </c>
    </row>
    <row r="5672">
      <c r="A5672" t="n">
        <v>5672</v>
      </c>
      <c r="B5672">
        <f>IF(INDEX('Data Entry'!$H$5:$BE$10004,5672-4,'Visual SPC'!$B$3)="",0,IF(AND(OR('Visual SPC'!$C$4="",'Data Entry'!$C5672&gt;='Visual SPC'!$C$4),OR('Visual SPC'!$E$4="",'Data Entry'!$C5672&lt;='Visual SPC'!$E$4),OR('Visual SPC'!$G$4="",'Data Entry'!$D5672='Visual SPC'!$G$4),OR('Visual SPC'!$I$4="",'Data Entry'!$E5672='Visual SPC'!$I$4),OR('Visual SPC'!$K$4="",'Data Entry'!$F5672='Visual SPC'!$K$4)),1,0))</f>
        <v/>
      </c>
      <c r="C5672">
        <f>C5671+B5672</f>
        <v/>
      </c>
      <c r="D5672">
        <f>IF(B5672=1,INDEX('Data Entry'!$H$5:$BE$10004,5672-4,'Visual SPC'!$B$3),"")</f>
        <v/>
      </c>
      <c r="E5672">
        <f>IF(B5672=1,D5672,E5671)</f>
        <v/>
      </c>
      <c r="F5672">
        <f>IF(AND(B5672=1,C5672&gt;1,E5671&lt;&gt;""),ABS(D5672-E5671),"")</f>
        <v/>
      </c>
    </row>
    <row r="5673">
      <c r="A5673" t="n">
        <v>5673</v>
      </c>
      <c r="B5673">
        <f>IF(INDEX('Data Entry'!$H$5:$BE$10004,5673-4,'Visual SPC'!$B$3)="",0,IF(AND(OR('Visual SPC'!$C$4="",'Data Entry'!$C5673&gt;='Visual SPC'!$C$4),OR('Visual SPC'!$E$4="",'Data Entry'!$C5673&lt;='Visual SPC'!$E$4),OR('Visual SPC'!$G$4="",'Data Entry'!$D5673='Visual SPC'!$G$4),OR('Visual SPC'!$I$4="",'Data Entry'!$E5673='Visual SPC'!$I$4),OR('Visual SPC'!$K$4="",'Data Entry'!$F5673='Visual SPC'!$K$4)),1,0))</f>
        <v/>
      </c>
      <c r="C5673">
        <f>C5672+B5673</f>
        <v/>
      </c>
      <c r="D5673">
        <f>IF(B5673=1,INDEX('Data Entry'!$H$5:$BE$10004,5673-4,'Visual SPC'!$B$3),"")</f>
        <v/>
      </c>
      <c r="E5673">
        <f>IF(B5673=1,D5673,E5672)</f>
        <v/>
      </c>
      <c r="F5673">
        <f>IF(AND(B5673=1,C5673&gt;1,E5672&lt;&gt;""),ABS(D5673-E5672),"")</f>
        <v/>
      </c>
    </row>
    <row r="5674">
      <c r="A5674" t="n">
        <v>5674</v>
      </c>
      <c r="B5674">
        <f>IF(INDEX('Data Entry'!$H$5:$BE$10004,5674-4,'Visual SPC'!$B$3)="",0,IF(AND(OR('Visual SPC'!$C$4="",'Data Entry'!$C5674&gt;='Visual SPC'!$C$4),OR('Visual SPC'!$E$4="",'Data Entry'!$C5674&lt;='Visual SPC'!$E$4),OR('Visual SPC'!$G$4="",'Data Entry'!$D5674='Visual SPC'!$G$4),OR('Visual SPC'!$I$4="",'Data Entry'!$E5674='Visual SPC'!$I$4),OR('Visual SPC'!$K$4="",'Data Entry'!$F5674='Visual SPC'!$K$4)),1,0))</f>
        <v/>
      </c>
      <c r="C5674">
        <f>C5673+B5674</f>
        <v/>
      </c>
      <c r="D5674">
        <f>IF(B5674=1,INDEX('Data Entry'!$H$5:$BE$10004,5674-4,'Visual SPC'!$B$3),"")</f>
        <v/>
      </c>
      <c r="E5674">
        <f>IF(B5674=1,D5674,E5673)</f>
        <v/>
      </c>
      <c r="F5674">
        <f>IF(AND(B5674=1,C5674&gt;1,E5673&lt;&gt;""),ABS(D5674-E5673),"")</f>
        <v/>
      </c>
    </row>
    <row r="5675">
      <c r="A5675" t="n">
        <v>5675</v>
      </c>
      <c r="B5675">
        <f>IF(INDEX('Data Entry'!$H$5:$BE$10004,5675-4,'Visual SPC'!$B$3)="",0,IF(AND(OR('Visual SPC'!$C$4="",'Data Entry'!$C5675&gt;='Visual SPC'!$C$4),OR('Visual SPC'!$E$4="",'Data Entry'!$C5675&lt;='Visual SPC'!$E$4),OR('Visual SPC'!$G$4="",'Data Entry'!$D5675='Visual SPC'!$G$4),OR('Visual SPC'!$I$4="",'Data Entry'!$E5675='Visual SPC'!$I$4),OR('Visual SPC'!$K$4="",'Data Entry'!$F5675='Visual SPC'!$K$4)),1,0))</f>
        <v/>
      </c>
      <c r="C5675">
        <f>C5674+B5675</f>
        <v/>
      </c>
      <c r="D5675">
        <f>IF(B5675=1,INDEX('Data Entry'!$H$5:$BE$10004,5675-4,'Visual SPC'!$B$3),"")</f>
        <v/>
      </c>
      <c r="E5675">
        <f>IF(B5675=1,D5675,E5674)</f>
        <v/>
      </c>
      <c r="F5675">
        <f>IF(AND(B5675=1,C5675&gt;1,E5674&lt;&gt;""),ABS(D5675-E5674),"")</f>
        <v/>
      </c>
    </row>
    <row r="5676">
      <c r="A5676" t="n">
        <v>5676</v>
      </c>
      <c r="B5676">
        <f>IF(INDEX('Data Entry'!$H$5:$BE$10004,5676-4,'Visual SPC'!$B$3)="",0,IF(AND(OR('Visual SPC'!$C$4="",'Data Entry'!$C5676&gt;='Visual SPC'!$C$4),OR('Visual SPC'!$E$4="",'Data Entry'!$C5676&lt;='Visual SPC'!$E$4),OR('Visual SPC'!$G$4="",'Data Entry'!$D5676='Visual SPC'!$G$4),OR('Visual SPC'!$I$4="",'Data Entry'!$E5676='Visual SPC'!$I$4),OR('Visual SPC'!$K$4="",'Data Entry'!$F5676='Visual SPC'!$K$4)),1,0))</f>
        <v/>
      </c>
      <c r="C5676">
        <f>C5675+B5676</f>
        <v/>
      </c>
      <c r="D5676">
        <f>IF(B5676=1,INDEX('Data Entry'!$H$5:$BE$10004,5676-4,'Visual SPC'!$B$3),"")</f>
        <v/>
      </c>
      <c r="E5676">
        <f>IF(B5676=1,D5676,E5675)</f>
        <v/>
      </c>
      <c r="F5676">
        <f>IF(AND(B5676=1,C5676&gt;1,E5675&lt;&gt;""),ABS(D5676-E5675),"")</f>
        <v/>
      </c>
    </row>
    <row r="5677">
      <c r="A5677" t="n">
        <v>5677</v>
      </c>
      <c r="B5677">
        <f>IF(INDEX('Data Entry'!$H$5:$BE$10004,5677-4,'Visual SPC'!$B$3)="",0,IF(AND(OR('Visual SPC'!$C$4="",'Data Entry'!$C5677&gt;='Visual SPC'!$C$4),OR('Visual SPC'!$E$4="",'Data Entry'!$C5677&lt;='Visual SPC'!$E$4),OR('Visual SPC'!$G$4="",'Data Entry'!$D5677='Visual SPC'!$G$4),OR('Visual SPC'!$I$4="",'Data Entry'!$E5677='Visual SPC'!$I$4),OR('Visual SPC'!$K$4="",'Data Entry'!$F5677='Visual SPC'!$K$4)),1,0))</f>
        <v/>
      </c>
      <c r="C5677">
        <f>C5676+B5677</f>
        <v/>
      </c>
      <c r="D5677">
        <f>IF(B5677=1,INDEX('Data Entry'!$H$5:$BE$10004,5677-4,'Visual SPC'!$B$3),"")</f>
        <v/>
      </c>
      <c r="E5677">
        <f>IF(B5677=1,D5677,E5676)</f>
        <v/>
      </c>
      <c r="F5677">
        <f>IF(AND(B5677=1,C5677&gt;1,E5676&lt;&gt;""),ABS(D5677-E5676),"")</f>
        <v/>
      </c>
    </row>
    <row r="5678">
      <c r="A5678" t="n">
        <v>5678</v>
      </c>
      <c r="B5678">
        <f>IF(INDEX('Data Entry'!$H$5:$BE$10004,5678-4,'Visual SPC'!$B$3)="",0,IF(AND(OR('Visual SPC'!$C$4="",'Data Entry'!$C5678&gt;='Visual SPC'!$C$4),OR('Visual SPC'!$E$4="",'Data Entry'!$C5678&lt;='Visual SPC'!$E$4),OR('Visual SPC'!$G$4="",'Data Entry'!$D5678='Visual SPC'!$G$4),OR('Visual SPC'!$I$4="",'Data Entry'!$E5678='Visual SPC'!$I$4),OR('Visual SPC'!$K$4="",'Data Entry'!$F5678='Visual SPC'!$K$4)),1,0))</f>
        <v/>
      </c>
      <c r="C5678">
        <f>C5677+B5678</f>
        <v/>
      </c>
      <c r="D5678">
        <f>IF(B5678=1,INDEX('Data Entry'!$H$5:$BE$10004,5678-4,'Visual SPC'!$B$3),"")</f>
        <v/>
      </c>
      <c r="E5678">
        <f>IF(B5678=1,D5678,E5677)</f>
        <v/>
      </c>
      <c r="F5678">
        <f>IF(AND(B5678=1,C5678&gt;1,E5677&lt;&gt;""),ABS(D5678-E5677),"")</f>
        <v/>
      </c>
    </row>
    <row r="5679">
      <c r="A5679" t="n">
        <v>5679</v>
      </c>
      <c r="B5679">
        <f>IF(INDEX('Data Entry'!$H$5:$BE$10004,5679-4,'Visual SPC'!$B$3)="",0,IF(AND(OR('Visual SPC'!$C$4="",'Data Entry'!$C5679&gt;='Visual SPC'!$C$4),OR('Visual SPC'!$E$4="",'Data Entry'!$C5679&lt;='Visual SPC'!$E$4),OR('Visual SPC'!$G$4="",'Data Entry'!$D5679='Visual SPC'!$G$4),OR('Visual SPC'!$I$4="",'Data Entry'!$E5679='Visual SPC'!$I$4),OR('Visual SPC'!$K$4="",'Data Entry'!$F5679='Visual SPC'!$K$4)),1,0))</f>
        <v/>
      </c>
      <c r="C5679">
        <f>C5678+B5679</f>
        <v/>
      </c>
      <c r="D5679">
        <f>IF(B5679=1,INDEX('Data Entry'!$H$5:$BE$10004,5679-4,'Visual SPC'!$B$3),"")</f>
        <v/>
      </c>
      <c r="E5679">
        <f>IF(B5679=1,D5679,E5678)</f>
        <v/>
      </c>
      <c r="F5679">
        <f>IF(AND(B5679=1,C5679&gt;1,E5678&lt;&gt;""),ABS(D5679-E5678),"")</f>
        <v/>
      </c>
    </row>
    <row r="5680">
      <c r="A5680" t="n">
        <v>5680</v>
      </c>
      <c r="B5680">
        <f>IF(INDEX('Data Entry'!$H$5:$BE$10004,5680-4,'Visual SPC'!$B$3)="",0,IF(AND(OR('Visual SPC'!$C$4="",'Data Entry'!$C5680&gt;='Visual SPC'!$C$4),OR('Visual SPC'!$E$4="",'Data Entry'!$C5680&lt;='Visual SPC'!$E$4),OR('Visual SPC'!$G$4="",'Data Entry'!$D5680='Visual SPC'!$G$4),OR('Visual SPC'!$I$4="",'Data Entry'!$E5680='Visual SPC'!$I$4),OR('Visual SPC'!$K$4="",'Data Entry'!$F5680='Visual SPC'!$K$4)),1,0))</f>
        <v/>
      </c>
      <c r="C5680">
        <f>C5679+B5680</f>
        <v/>
      </c>
      <c r="D5680">
        <f>IF(B5680=1,INDEX('Data Entry'!$H$5:$BE$10004,5680-4,'Visual SPC'!$B$3),"")</f>
        <v/>
      </c>
      <c r="E5680">
        <f>IF(B5680=1,D5680,E5679)</f>
        <v/>
      </c>
      <c r="F5680">
        <f>IF(AND(B5680=1,C5680&gt;1,E5679&lt;&gt;""),ABS(D5680-E5679),"")</f>
        <v/>
      </c>
    </row>
    <row r="5681">
      <c r="A5681" t="n">
        <v>5681</v>
      </c>
      <c r="B5681">
        <f>IF(INDEX('Data Entry'!$H$5:$BE$10004,5681-4,'Visual SPC'!$B$3)="",0,IF(AND(OR('Visual SPC'!$C$4="",'Data Entry'!$C5681&gt;='Visual SPC'!$C$4),OR('Visual SPC'!$E$4="",'Data Entry'!$C5681&lt;='Visual SPC'!$E$4),OR('Visual SPC'!$G$4="",'Data Entry'!$D5681='Visual SPC'!$G$4),OR('Visual SPC'!$I$4="",'Data Entry'!$E5681='Visual SPC'!$I$4),OR('Visual SPC'!$K$4="",'Data Entry'!$F5681='Visual SPC'!$K$4)),1,0))</f>
        <v/>
      </c>
      <c r="C5681">
        <f>C5680+B5681</f>
        <v/>
      </c>
      <c r="D5681">
        <f>IF(B5681=1,INDEX('Data Entry'!$H$5:$BE$10004,5681-4,'Visual SPC'!$B$3),"")</f>
        <v/>
      </c>
      <c r="E5681">
        <f>IF(B5681=1,D5681,E5680)</f>
        <v/>
      </c>
      <c r="F5681">
        <f>IF(AND(B5681=1,C5681&gt;1,E5680&lt;&gt;""),ABS(D5681-E5680),"")</f>
        <v/>
      </c>
    </row>
    <row r="5682">
      <c r="A5682" t="n">
        <v>5682</v>
      </c>
      <c r="B5682">
        <f>IF(INDEX('Data Entry'!$H$5:$BE$10004,5682-4,'Visual SPC'!$B$3)="",0,IF(AND(OR('Visual SPC'!$C$4="",'Data Entry'!$C5682&gt;='Visual SPC'!$C$4),OR('Visual SPC'!$E$4="",'Data Entry'!$C5682&lt;='Visual SPC'!$E$4),OR('Visual SPC'!$G$4="",'Data Entry'!$D5682='Visual SPC'!$G$4),OR('Visual SPC'!$I$4="",'Data Entry'!$E5682='Visual SPC'!$I$4),OR('Visual SPC'!$K$4="",'Data Entry'!$F5682='Visual SPC'!$K$4)),1,0))</f>
        <v/>
      </c>
      <c r="C5682">
        <f>C5681+B5682</f>
        <v/>
      </c>
      <c r="D5682">
        <f>IF(B5682=1,INDEX('Data Entry'!$H$5:$BE$10004,5682-4,'Visual SPC'!$B$3),"")</f>
        <v/>
      </c>
      <c r="E5682">
        <f>IF(B5682=1,D5682,E5681)</f>
        <v/>
      </c>
      <c r="F5682">
        <f>IF(AND(B5682=1,C5682&gt;1,E5681&lt;&gt;""),ABS(D5682-E5681),"")</f>
        <v/>
      </c>
    </row>
    <row r="5683">
      <c r="A5683" t="n">
        <v>5683</v>
      </c>
      <c r="B5683">
        <f>IF(INDEX('Data Entry'!$H$5:$BE$10004,5683-4,'Visual SPC'!$B$3)="",0,IF(AND(OR('Visual SPC'!$C$4="",'Data Entry'!$C5683&gt;='Visual SPC'!$C$4),OR('Visual SPC'!$E$4="",'Data Entry'!$C5683&lt;='Visual SPC'!$E$4),OR('Visual SPC'!$G$4="",'Data Entry'!$D5683='Visual SPC'!$G$4),OR('Visual SPC'!$I$4="",'Data Entry'!$E5683='Visual SPC'!$I$4),OR('Visual SPC'!$K$4="",'Data Entry'!$F5683='Visual SPC'!$K$4)),1,0))</f>
        <v/>
      </c>
      <c r="C5683">
        <f>C5682+B5683</f>
        <v/>
      </c>
      <c r="D5683">
        <f>IF(B5683=1,INDEX('Data Entry'!$H$5:$BE$10004,5683-4,'Visual SPC'!$B$3),"")</f>
        <v/>
      </c>
      <c r="E5683">
        <f>IF(B5683=1,D5683,E5682)</f>
        <v/>
      </c>
      <c r="F5683">
        <f>IF(AND(B5683=1,C5683&gt;1,E5682&lt;&gt;""),ABS(D5683-E5682),"")</f>
        <v/>
      </c>
    </row>
    <row r="5684">
      <c r="A5684" t="n">
        <v>5684</v>
      </c>
      <c r="B5684">
        <f>IF(INDEX('Data Entry'!$H$5:$BE$10004,5684-4,'Visual SPC'!$B$3)="",0,IF(AND(OR('Visual SPC'!$C$4="",'Data Entry'!$C5684&gt;='Visual SPC'!$C$4),OR('Visual SPC'!$E$4="",'Data Entry'!$C5684&lt;='Visual SPC'!$E$4),OR('Visual SPC'!$G$4="",'Data Entry'!$D5684='Visual SPC'!$G$4),OR('Visual SPC'!$I$4="",'Data Entry'!$E5684='Visual SPC'!$I$4),OR('Visual SPC'!$K$4="",'Data Entry'!$F5684='Visual SPC'!$K$4)),1,0))</f>
        <v/>
      </c>
      <c r="C5684">
        <f>C5683+B5684</f>
        <v/>
      </c>
      <c r="D5684">
        <f>IF(B5684=1,INDEX('Data Entry'!$H$5:$BE$10004,5684-4,'Visual SPC'!$B$3),"")</f>
        <v/>
      </c>
      <c r="E5684">
        <f>IF(B5684=1,D5684,E5683)</f>
        <v/>
      </c>
      <c r="F5684">
        <f>IF(AND(B5684=1,C5684&gt;1,E5683&lt;&gt;""),ABS(D5684-E5683),"")</f>
        <v/>
      </c>
    </row>
    <row r="5685">
      <c r="A5685" t="n">
        <v>5685</v>
      </c>
      <c r="B5685">
        <f>IF(INDEX('Data Entry'!$H$5:$BE$10004,5685-4,'Visual SPC'!$B$3)="",0,IF(AND(OR('Visual SPC'!$C$4="",'Data Entry'!$C5685&gt;='Visual SPC'!$C$4),OR('Visual SPC'!$E$4="",'Data Entry'!$C5685&lt;='Visual SPC'!$E$4),OR('Visual SPC'!$G$4="",'Data Entry'!$D5685='Visual SPC'!$G$4),OR('Visual SPC'!$I$4="",'Data Entry'!$E5685='Visual SPC'!$I$4),OR('Visual SPC'!$K$4="",'Data Entry'!$F5685='Visual SPC'!$K$4)),1,0))</f>
        <v/>
      </c>
      <c r="C5685">
        <f>C5684+B5685</f>
        <v/>
      </c>
      <c r="D5685">
        <f>IF(B5685=1,INDEX('Data Entry'!$H$5:$BE$10004,5685-4,'Visual SPC'!$B$3),"")</f>
        <v/>
      </c>
      <c r="E5685">
        <f>IF(B5685=1,D5685,E5684)</f>
        <v/>
      </c>
      <c r="F5685">
        <f>IF(AND(B5685=1,C5685&gt;1,E5684&lt;&gt;""),ABS(D5685-E5684),"")</f>
        <v/>
      </c>
    </row>
    <row r="5686">
      <c r="A5686" t="n">
        <v>5686</v>
      </c>
      <c r="B5686">
        <f>IF(INDEX('Data Entry'!$H$5:$BE$10004,5686-4,'Visual SPC'!$B$3)="",0,IF(AND(OR('Visual SPC'!$C$4="",'Data Entry'!$C5686&gt;='Visual SPC'!$C$4),OR('Visual SPC'!$E$4="",'Data Entry'!$C5686&lt;='Visual SPC'!$E$4),OR('Visual SPC'!$G$4="",'Data Entry'!$D5686='Visual SPC'!$G$4),OR('Visual SPC'!$I$4="",'Data Entry'!$E5686='Visual SPC'!$I$4),OR('Visual SPC'!$K$4="",'Data Entry'!$F5686='Visual SPC'!$K$4)),1,0))</f>
        <v/>
      </c>
      <c r="C5686">
        <f>C5685+B5686</f>
        <v/>
      </c>
      <c r="D5686">
        <f>IF(B5686=1,INDEX('Data Entry'!$H$5:$BE$10004,5686-4,'Visual SPC'!$B$3),"")</f>
        <v/>
      </c>
      <c r="E5686">
        <f>IF(B5686=1,D5686,E5685)</f>
        <v/>
      </c>
      <c r="F5686">
        <f>IF(AND(B5686=1,C5686&gt;1,E5685&lt;&gt;""),ABS(D5686-E5685),"")</f>
        <v/>
      </c>
    </row>
    <row r="5687">
      <c r="A5687" t="n">
        <v>5687</v>
      </c>
      <c r="B5687">
        <f>IF(INDEX('Data Entry'!$H$5:$BE$10004,5687-4,'Visual SPC'!$B$3)="",0,IF(AND(OR('Visual SPC'!$C$4="",'Data Entry'!$C5687&gt;='Visual SPC'!$C$4),OR('Visual SPC'!$E$4="",'Data Entry'!$C5687&lt;='Visual SPC'!$E$4),OR('Visual SPC'!$G$4="",'Data Entry'!$D5687='Visual SPC'!$G$4),OR('Visual SPC'!$I$4="",'Data Entry'!$E5687='Visual SPC'!$I$4),OR('Visual SPC'!$K$4="",'Data Entry'!$F5687='Visual SPC'!$K$4)),1,0))</f>
        <v/>
      </c>
      <c r="C5687">
        <f>C5686+B5687</f>
        <v/>
      </c>
      <c r="D5687">
        <f>IF(B5687=1,INDEX('Data Entry'!$H$5:$BE$10004,5687-4,'Visual SPC'!$B$3),"")</f>
        <v/>
      </c>
      <c r="E5687">
        <f>IF(B5687=1,D5687,E5686)</f>
        <v/>
      </c>
      <c r="F5687">
        <f>IF(AND(B5687=1,C5687&gt;1,E5686&lt;&gt;""),ABS(D5687-E5686),"")</f>
        <v/>
      </c>
    </row>
    <row r="5688">
      <c r="A5688" t="n">
        <v>5688</v>
      </c>
      <c r="B5688">
        <f>IF(INDEX('Data Entry'!$H$5:$BE$10004,5688-4,'Visual SPC'!$B$3)="",0,IF(AND(OR('Visual SPC'!$C$4="",'Data Entry'!$C5688&gt;='Visual SPC'!$C$4),OR('Visual SPC'!$E$4="",'Data Entry'!$C5688&lt;='Visual SPC'!$E$4),OR('Visual SPC'!$G$4="",'Data Entry'!$D5688='Visual SPC'!$G$4),OR('Visual SPC'!$I$4="",'Data Entry'!$E5688='Visual SPC'!$I$4),OR('Visual SPC'!$K$4="",'Data Entry'!$F5688='Visual SPC'!$K$4)),1,0))</f>
        <v/>
      </c>
      <c r="C5688">
        <f>C5687+B5688</f>
        <v/>
      </c>
      <c r="D5688">
        <f>IF(B5688=1,INDEX('Data Entry'!$H$5:$BE$10004,5688-4,'Visual SPC'!$B$3),"")</f>
        <v/>
      </c>
      <c r="E5688">
        <f>IF(B5688=1,D5688,E5687)</f>
        <v/>
      </c>
      <c r="F5688">
        <f>IF(AND(B5688=1,C5688&gt;1,E5687&lt;&gt;""),ABS(D5688-E5687),"")</f>
        <v/>
      </c>
    </row>
    <row r="5689">
      <c r="A5689" t="n">
        <v>5689</v>
      </c>
      <c r="B5689">
        <f>IF(INDEX('Data Entry'!$H$5:$BE$10004,5689-4,'Visual SPC'!$B$3)="",0,IF(AND(OR('Visual SPC'!$C$4="",'Data Entry'!$C5689&gt;='Visual SPC'!$C$4),OR('Visual SPC'!$E$4="",'Data Entry'!$C5689&lt;='Visual SPC'!$E$4),OR('Visual SPC'!$G$4="",'Data Entry'!$D5689='Visual SPC'!$G$4),OR('Visual SPC'!$I$4="",'Data Entry'!$E5689='Visual SPC'!$I$4),OR('Visual SPC'!$K$4="",'Data Entry'!$F5689='Visual SPC'!$K$4)),1,0))</f>
        <v/>
      </c>
      <c r="C5689">
        <f>C5688+B5689</f>
        <v/>
      </c>
      <c r="D5689">
        <f>IF(B5689=1,INDEX('Data Entry'!$H$5:$BE$10004,5689-4,'Visual SPC'!$B$3),"")</f>
        <v/>
      </c>
      <c r="E5689">
        <f>IF(B5689=1,D5689,E5688)</f>
        <v/>
      </c>
      <c r="F5689">
        <f>IF(AND(B5689=1,C5689&gt;1,E5688&lt;&gt;""),ABS(D5689-E5688),"")</f>
        <v/>
      </c>
    </row>
    <row r="5690">
      <c r="A5690" t="n">
        <v>5690</v>
      </c>
      <c r="B5690">
        <f>IF(INDEX('Data Entry'!$H$5:$BE$10004,5690-4,'Visual SPC'!$B$3)="",0,IF(AND(OR('Visual SPC'!$C$4="",'Data Entry'!$C5690&gt;='Visual SPC'!$C$4),OR('Visual SPC'!$E$4="",'Data Entry'!$C5690&lt;='Visual SPC'!$E$4),OR('Visual SPC'!$G$4="",'Data Entry'!$D5690='Visual SPC'!$G$4),OR('Visual SPC'!$I$4="",'Data Entry'!$E5690='Visual SPC'!$I$4),OR('Visual SPC'!$K$4="",'Data Entry'!$F5690='Visual SPC'!$K$4)),1,0))</f>
        <v/>
      </c>
      <c r="C5690">
        <f>C5689+B5690</f>
        <v/>
      </c>
      <c r="D5690">
        <f>IF(B5690=1,INDEX('Data Entry'!$H$5:$BE$10004,5690-4,'Visual SPC'!$B$3),"")</f>
        <v/>
      </c>
      <c r="E5690">
        <f>IF(B5690=1,D5690,E5689)</f>
        <v/>
      </c>
      <c r="F5690">
        <f>IF(AND(B5690=1,C5690&gt;1,E5689&lt;&gt;""),ABS(D5690-E5689),"")</f>
        <v/>
      </c>
    </row>
    <row r="5691">
      <c r="A5691" t="n">
        <v>5691</v>
      </c>
      <c r="B5691">
        <f>IF(INDEX('Data Entry'!$H$5:$BE$10004,5691-4,'Visual SPC'!$B$3)="",0,IF(AND(OR('Visual SPC'!$C$4="",'Data Entry'!$C5691&gt;='Visual SPC'!$C$4),OR('Visual SPC'!$E$4="",'Data Entry'!$C5691&lt;='Visual SPC'!$E$4),OR('Visual SPC'!$G$4="",'Data Entry'!$D5691='Visual SPC'!$G$4),OR('Visual SPC'!$I$4="",'Data Entry'!$E5691='Visual SPC'!$I$4),OR('Visual SPC'!$K$4="",'Data Entry'!$F5691='Visual SPC'!$K$4)),1,0))</f>
        <v/>
      </c>
      <c r="C5691">
        <f>C5690+B5691</f>
        <v/>
      </c>
      <c r="D5691">
        <f>IF(B5691=1,INDEX('Data Entry'!$H$5:$BE$10004,5691-4,'Visual SPC'!$B$3),"")</f>
        <v/>
      </c>
      <c r="E5691">
        <f>IF(B5691=1,D5691,E5690)</f>
        <v/>
      </c>
      <c r="F5691">
        <f>IF(AND(B5691=1,C5691&gt;1,E5690&lt;&gt;""),ABS(D5691-E5690),"")</f>
        <v/>
      </c>
    </row>
    <row r="5692">
      <c r="A5692" t="n">
        <v>5692</v>
      </c>
      <c r="B5692">
        <f>IF(INDEX('Data Entry'!$H$5:$BE$10004,5692-4,'Visual SPC'!$B$3)="",0,IF(AND(OR('Visual SPC'!$C$4="",'Data Entry'!$C5692&gt;='Visual SPC'!$C$4),OR('Visual SPC'!$E$4="",'Data Entry'!$C5692&lt;='Visual SPC'!$E$4),OR('Visual SPC'!$G$4="",'Data Entry'!$D5692='Visual SPC'!$G$4),OR('Visual SPC'!$I$4="",'Data Entry'!$E5692='Visual SPC'!$I$4),OR('Visual SPC'!$K$4="",'Data Entry'!$F5692='Visual SPC'!$K$4)),1,0))</f>
        <v/>
      </c>
      <c r="C5692">
        <f>C5691+B5692</f>
        <v/>
      </c>
      <c r="D5692">
        <f>IF(B5692=1,INDEX('Data Entry'!$H$5:$BE$10004,5692-4,'Visual SPC'!$B$3),"")</f>
        <v/>
      </c>
      <c r="E5692">
        <f>IF(B5692=1,D5692,E5691)</f>
        <v/>
      </c>
      <c r="F5692">
        <f>IF(AND(B5692=1,C5692&gt;1,E5691&lt;&gt;""),ABS(D5692-E5691),"")</f>
        <v/>
      </c>
    </row>
    <row r="5693">
      <c r="A5693" t="n">
        <v>5693</v>
      </c>
      <c r="B5693">
        <f>IF(INDEX('Data Entry'!$H$5:$BE$10004,5693-4,'Visual SPC'!$B$3)="",0,IF(AND(OR('Visual SPC'!$C$4="",'Data Entry'!$C5693&gt;='Visual SPC'!$C$4),OR('Visual SPC'!$E$4="",'Data Entry'!$C5693&lt;='Visual SPC'!$E$4),OR('Visual SPC'!$G$4="",'Data Entry'!$D5693='Visual SPC'!$G$4),OR('Visual SPC'!$I$4="",'Data Entry'!$E5693='Visual SPC'!$I$4),OR('Visual SPC'!$K$4="",'Data Entry'!$F5693='Visual SPC'!$K$4)),1,0))</f>
        <v/>
      </c>
      <c r="C5693">
        <f>C5692+B5693</f>
        <v/>
      </c>
      <c r="D5693">
        <f>IF(B5693=1,INDEX('Data Entry'!$H$5:$BE$10004,5693-4,'Visual SPC'!$B$3),"")</f>
        <v/>
      </c>
      <c r="E5693">
        <f>IF(B5693=1,D5693,E5692)</f>
        <v/>
      </c>
      <c r="F5693">
        <f>IF(AND(B5693=1,C5693&gt;1,E5692&lt;&gt;""),ABS(D5693-E5692),"")</f>
        <v/>
      </c>
    </row>
    <row r="5694">
      <c r="A5694" t="n">
        <v>5694</v>
      </c>
      <c r="B5694">
        <f>IF(INDEX('Data Entry'!$H$5:$BE$10004,5694-4,'Visual SPC'!$B$3)="",0,IF(AND(OR('Visual SPC'!$C$4="",'Data Entry'!$C5694&gt;='Visual SPC'!$C$4),OR('Visual SPC'!$E$4="",'Data Entry'!$C5694&lt;='Visual SPC'!$E$4),OR('Visual SPC'!$G$4="",'Data Entry'!$D5694='Visual SPC'!$G$4),OR('Visual SPC'!$I$4="",'Data Entry'!$E5694='Visual SPC'!$I$4),OR('Visual SPC'!$K$4="",'Data Entry'!$F5694='Visual SPC'!$K$4)),1,0))</f>
        <v/>
      </c>
      <c r="C5694">
        <f>C5693+B5694</f>
        <v/>
      </c>
      <c r="D5694">
        <f>IF(B5694=1,INDEX('Data Entry'!$H$5:$BE$10004,5694-4,'Visual SPC'!$B$3),"")</f>
        <v/>
      </c>
      <c r="E5694">
        <f>IF(B5694=1,D5694,E5693)</f>
        <v/>
      </c>
      <c r="F5694">
        <f>IF(AND(B5694=1,C5694&gt;1,E5693&lt;&gt;""),ABS(D5694-E5693),"")</f>
        <v/>
      </c>
    </row>
    <row r="5695">
      <c r="A5695" t="n">
        <v>5695</v>
      </c>
      <c r="B5695">
        <f>IF(INDEX('Data Entry'!$H$5:$BE$10004,5695-4,'Visual SPC'!$B$3)="",0,IF(AND(OR('Visual SPC'!$C$4="",'Data Entry'!$C5695&gt;='Visual SPC'!$C$4),OR('Visual SPC'!$E$4="",'Data Entry'!$C5695&lt;='Visual SPC'!$E$4),OR('Visual SPC'!$G$4="",'Data Entry'!$D5695='Visual SPC'!$G$4),OR('Visual SPC'!$I$4="",'Data Entry'!$E5695='Visual SPC'!$I$4),OR('Visual SPC'!$K$4="",'Data Entry'!$F5695='Visual SPC'!$K$4)),1,0))</f>
        <v/>
      </c>
      <c r="C5695">
        <f>C5694+B5695</f>
        <v/>
      </c>
      <c r="D5695">
        <f>IF(B5695=1,INDEX('Data Entry'!$H$5:$BE$10004,5695-4,'Visual SPC'!$B$3),"")</f>
        <v/>
      </c>
      <c r="E5695">
        <f>IF(B5695=1,D5695,E5694)</f>
        <v/>
      </c>
      <c r="F5695">
        <f>IF(AND(B5695=1,C5695&gt;1,E5694&lt;&gt;""),ABS(D5695-E5694),"")</f>
        <v/>
      </c>
    </row>
    <row r="5696">
      <c r="A5696" t="n">
        <v>5696</v>
      </c>
      <c r="B5696">
        <f>IF(INDEX('Data Entry'!$H$5:$BE$10004,5696-4,'Visual SPC'!$B$3)="",0,IF(AND(OR('Visual SPC'!$C$4="",'Data Entry'!$C5696&gt;='Visual SPC'!$C$4),OR('Visual SPC'!$E$4="",'Data Entry'!$C5696&lt;='Visual SPC'!$E$4),OR('Visual SPC'!$G$4="",'Data Entry'!$D5696='Visual SPC'!$G$4),OR('Visual SPC'!$I$4="",'Data Entry'!$E5696='Visual SPC'!$I$4),OR('Visual SPC'!$K$4="",'Data Entry'!$F5696='Visual SPC'!$K$4)),1,0))</f>
        <v/>
      </c>
      <c r="C5696">
        <f>C5695+B5696</f>
        <v/>
      </c>
      <c r="D5696">
        <f>IF(B5696=1,INDEX('Data Entry'!$H$5:$BE$10004,5696-4,'Visual SPC'!$B$3),"")</f>
        <v/>
      </c>
      <c r="E5696">
        <f>IF(B5696=1,D5696,E5695)</f>
        <v/>
      </c>
      <c r="F5696">
        <f>IF(AND(B5696=1,C5696&gt;1,E5695&lt;&gt;""),ABS(D5696-E5695),"")</f>
        <v/>
      </c>
    </row>
    <row r="5697">
      <c r="A5697" t="n">
        <v>5697</v>
      </c>
      <c r="B5697">
        <f>IF(INDEX('Data Entry'!$H$5:$BE$10004,5697-4,'Visual SPC'!$B$3)="",0,IF(AND(OR('Visual SPC'!$C$4="",'Data Entry'!$C5697&gt;='Visual SPC'!$C$4),OR('Visual SPC'!$E$4="",'Data Entry'!$C5697&lt;='Visual SPC'!$E$4),OR('Visual SPC'!$G$4="",'Data Entry'!$D5697='Visual SPC'!$G$4),OR('Visual SPC'!$I$4="",'Data Entry'!$E5697='Visual SPC'!$I$4),OR('Visual SPC'!$K$4="",'Data Entry'!$F5697='Visual SPC'!$K$4)),1,0))</f>
        <v/>
      </c>
      <c r="C5697">
        <f>C5696+B5697</f>
        <v/>
      </c>
      <c r="D5697">
        <f>IF(B5697=1,INDEX('Data Entry'!$H$5:$BE$10004,5697-4,'Visual SPC'!$B$3),"")</f>
        <v/>
      </c>
      <c r="E5697">
        <f>IF(B5697=1,D5697,E5696)</f>
        <v/>
      </c>
      <c r="F5697">
        <f>IF(AND(B5697=1,C5697&gt;1,E5696&lt;&gt;""),ABS(D5697-E5696),"")</f>
        <v/>
      </c>
    </row>
    <row r="5698">
      <c r="A5698" t="n">
        <v>5698</v>
      </c>
      <c r="B5698">
        <f>IF(INDEX('Data Entry'!$H$5:$BE$10004,5698-4,'Visual SPC'!$B$3)="",0,IF(AND(OR('Visual SPC'!$C$4="",'Data Entry'!$C5698&gt;='Visual SPC'!$C$4),OR('Visual SPC'!$E$4="",'Data Entry'!$C5698&lt;='Visual SPC'!$E$4),OR('Visual SPC'!$G$4="",'Data Entry'!$D5698='Visual SPC'!$G$4),OR('Visual SPC'!$I$4="",'Data Entry'!$E5698='Visual SPC'!$I$4),OR('Visual SPC'!$K$4="",'Data Entry'!$F5698='Visual SPC'!$K$4)),1,0))</f>
        <v/>
      </c>
      <c r="C5698">
        <f>C5697+B5698</f>
        <v/>
      </c>
      <c r="D5698">
        <f>IF(B5698=1,INDEX('Data Entry'!$H$5:$BE$10004,5698-4,'Visual SPC'!$B$3),"")</f>
        <v/>
      </c>
      <c r="E5698">
        <f>IF(B5698=1,D5698,E5697)</f>
        <v/>
      </c>
      <c r="F5698">
        <f>IF(AND(B5698=1,C5698&gt;1,E5697&lt;&gt;""),ABS(D5698-E5697),"")</f>
        <v/>
      </c>
    </row>
    <row r="5699">
      <c r="A5699" t="n">
        <v>5699</v>
      </c>
      <c r="B5699">
        <f>IF(INDEX('Data Entry'!$H$5:$BE$10004,5699-4,'Visual SPC'!$B$3)="",0,IF(AND(OR('Visual SPC'!$C$4="",'Data Entry'!$C5699&gt;='Visual SPC'!$C$4),OR('Visual SPC'!$E$4="",'Data Entry'!$C5699&lt;='Visual SPC'!$E$4),OR('Visual SPC'!$G$4="",'Data Entry'!$D5699='Visual SPC'!$G$4),OR('Visual SPC'!$I$4="",'Data Entry'!$E5699='Visual SPC'!$I$4),OR('Visual SPC'!$K$4="",'Data Entry'!$F5699='Visual SPC'!$K$4)),1,0))</f>
        <v/>
      </c>
      <c r="C5699">
        <f>C5698+B5699</f>
        <v/>
      </c>
      <c r="D5699">
        <f>IF(B5699=1,INDEX('Data Entry'!$H$5:$BE$10004,5699-4,'Visual SPC'!$B$3),"")</f>
        <v/>
      </c>
      <c r="E5699">
        <f>IF(B5699=1,D5699,E5698)</f>
        <v/>
      </c>
      <c r="F5699">
        <f>IF(AND(B5699=1,C5699&gt;1,E5698&lt;&gt;""),ABS(D5699-E5698),"")</f>
        <v/>
      </c>
    </row>
    <row r="5700">
      <c r="A5700" t="n">
        <v>5700</v>
      </c>
      <c r="B5700">
        <f>IF(INDEX('Data Entry'!$H$5:$BE$10004,5700-4,'Visual SPC'!$B$3)="",0,IF(AND(OR('Visual SPC'!$C$4="",'Data Entry'!$C5700&gt;='Visual SPC'!$C$4),OR('Visual SPC'!$E$4="",'Data Entry'!$C5700&lt;='Visual SPC'!$E$4),OR('Visual SPC'!$G$4="",'Data Entry'!$D5700='Visual SPC'!$G$4),OR('Visual SPC'!$I$4="",'Data Entry'!$E5700='Visual SPC'!$I$4),OR('Visual SPC'!$K$4="",'Data Entry'!$F5700='Visual SPC'!$K$4)),1,0))</f>
        <v/>
      </c>
      <c r="C5700">
        <f>C5699+B5700</f>
        <v/>
      </c>
      <c r="D5700">
        <f>IF(B5700=1,INDEX('Data Entry'!$H$5:$BE$10004,5700-4,'Visual SPC'!$B$3),"")</f>
        <v/>
      </c>
      <c r="E5700">
        <f>IF(B5700=1,D5700,E5699)</f>
        <v/>
      </c>
      <c r="F5700">
        <f>IF(AND(B5700=1,C5700&gt;1,E5699&lt;&gt;""),ABS(D5700-E5699),"")</f>
        <v/>
      </c>
    </row>
    <row r="5701">
      <c r="A5701" t="n">
        <v>5701</v>
      </c>
      <c r="B5701">
        <f>IF(INDEX('Data Entry'!$H$5:$BE$10004,5701-4,'Visual SPC'!$B$3)="",0,IF(AND(OR('Visual SPC'!$C$4="",'Data Entry'!$C5701&gt;='Visual SPC'!$C$4),OR('Visual SPC'!$E$4="",'Data Entry'!$C5701&lt;='Visual SPC'!$E$4),OR('Visual SPC'!$G$4="",'Data Entry'!$D5701='Visual SPC'!$G$4),OR('Visual SPC'!$I$4="",'Data Entry'!$E5701='Visual SPC'!$I$4),OR('Visual SPC'!$K$4="",'Data Entry'!$F5701='Visual SPC'!$K$4)),1,0))</f>
        <v/>
      </c>
      <c r="C5701">
        <f>C5700+B5701</f>
        <v/>
      </c>
      <c r="D5701">
        <f>IF(B5701=1,INDEX('Data Entry'!$H$5:$BE$10004,5701-4,'Visual SPC'!$B$3),"")</f>
        <v/>
      </c>
      <c r="E5701">
        <f>IF(B5701=1,D5701,E5700)</f>
        <v/>
      </c>
      <c r="F5701">
        <f>IF(AND(B5701=1,C5701&gt;1,E5700&lt;&gt;""),ABS(D5701-E5700),"")</f>
        <v/>
      </c>
    </row>
    <row r="5702">
      <c r="A5702" t="n">
        <v>5702</v>
      </c>
      <c r="B5702">
        <f>IF(INDEX('Data Entry'!$H$5:$BE$10004,5702-4,'Visual SPC'!$B$3)="",0,IF(AND(OR('Visual SPC'!$C$4="",'Data Entry'!$C5702&gt;='Visual SPC'!$C$4),OR('Visual SPC'!$E$4="",'Data Entry'!$C5702&lt;='Visual SPC'!$E$4),OR('Visual SPC'!$G$4="",'Data Entry'!$D5702='Visual SPC'!$G$4),OR('Visual SPC'!$I$4="",'Data Entry'!$E5702='Visual SPC'!$I$4),OR('Visual SPC'!$K$4="",'Data Entry'!$F5702='Visual SPC'!$K$4)),1,0))</f>
        <v/>
      </c>
      <c r="C5702">
        <f>C5701+B5702</f>
        <v/>
      </c>
      <c r="D5702">
        <f>IF(B5702=1,INDEX('Data Entry'!$H$5:$BE$10004,5702-4,'Visual SPC'!$B$3),"")</f>
        <v/>
      </c>
      <c r="E5702">
        <f>IF(B5702=1,D5702,E5701)</f>
        <v/>
      </c>
      <c r="F5702">
        <f>IF(AND(B5702=1,C5702&gt;1,E5701&lt;&gt;""),ABS(D5702-E5701),"")</f>
        <v/>
      </c>
    </row>
    <row r="5703">
      <c r="A5703" t="n">
        <v>5703</v>
      </c>
      <c r="B5703">
        <f>IF(INDEX('Data Entry'!$H$5:$BE$10004,5703-4,'Visual SPC'!$B$3)="",0,IF(AND(OR('Visual SPC'!$C$4="",'Data Entry'!$C5703&gt;='Visual SPC'!$C$4),OR('Visual SPC'!$E$4="",'Data Entry'!$C5703&lt;='Visual SPC'!$E$4),OR('Visual SPC'!$G$4="",'Data Entry'!$D5703='Visual SPC'!$G$4),OR('Visual SPC'!$I$4="",'Data Entry'!$E5703='Visual SPC'!$I$4),OR('Visual SPC'!$K$4="",'Data Entry'!$F5703='Visual SPC'!$K$4)),1,0))</f>
        <v/>
      </c>
      <c r="C5703">
        <f>C5702+B5703</f>
        <v/>
      </c>
      <c r="D5703">
        <f>IF(B5703=1,INDEX('Data Entry'!$H$5:$BE$10004,5703-4,'Visual SPC'!$B$3),"")</f>
        <v/>
      </c>
      <c r="E5703">
        <f>IF(B5703=1,D5703,E5702)</f>
        <v/>
      </c>
      <c r="F5703">
        <f>IF(AND(B5703=1,C5703&gt;1,E5702&lt;&gt;""),ABS(D5703-E5702),"")</f>
        <v/>
      </c>
    </row>
    <row r="5704">
      <c r="A5704" t="n">
        <v>5704</v>
      </c>
      <c r="B5704">
        <f>IF(INDEX('Data Entry'!$H$5:$BE$10004,5704-4,'Visual SPC'!$B$3)="",0,IF(AND(OR('Visual SPC'!$C$4="",'Data Entry'!$C5704&gt;='Visual SPC'!$C$4),OR('Visual SPC'!$E$4="",'Data Entry'!$C5704&lt;='Visual SPC'!$E$4),OR('Visual SPC'!$G$4="",'Data Entry'!$D5704='Visual SPC'!$G$4),OR('Visual SPC'!$I$4="",'Data Entry'!$E5704='Visual SPC'!$I$4),OR('Visual SPC'!$K$4="",'Data Entry'!$F5704='Visual SPC'!$K$4)),1,0))</f>
        <v/>
      </c>
      <c r="C5704">
        <f>C5703+B5704</f>
        <v/>
      </c>
      <c r="D5704">
        <f>IF(B5704=1,INDEX('Data Entry'!$H$5:$BE$10004,5704-4,'Visual SPC'!$B$3),"")</f>
        <v/>
      </c>
      <c r="E5704">
        <f>IF(B5704=1,D5704,E5703)</f>
        <v/>
      </c>
      <c r="F5704">
        <f>IF(AND(B5704=1,C5704&gt;1,E5703&lt;&gt;""),ABS(D5704-E5703),"")</f>
        <v/>
      </c>
    </row>
    <row r="5705">
      <c r="A5705" t="n">
        <v>5705</v>
      </c>
      <c r="B5705">
        <f>IF(INDEX('Data Entry'!$H$5:$BE$10004,5705-4,'Visual SPC'!$B$3)="",0,IF(AND(OR('Visual SPC'!$C$4="",'Data Entry'!$C5705&gt;='Visual SPC'!$C$4),OR('Visual SPC'!$E$4="",'Data Entry'!$C5705&lt;='Visual SPC'!$E$4),OR('Visual SPC'!$G$4="",'Data Entry'!$D5705='Visual SPC'!$G$4),OR('Visual SPC'!$I$4="",'Data Entry'!$E5705='Visual SPC'!$I$4),OR('Visual SPC'!$K$4="",'Data Entry'!$F5705='Visual SPC'!$K$4)),1,0))</f>
        <v/>
      </c>
      <c r="C5705">
        <f>C5704+B5705</f>
        <v/>
      </c>
      <c r="D5705">
        <f>IF(B5705=1,INDEX('Data Entry'!$H$5:$BE$10004,5705-4,'Visual SPC'!$B$3),"")</f>
        <v/>
      </c>
      <c r="E5705">
        <f>IF(B5705=1,D5705,E5704)</f>
        <v/>
      </c>
      <c r="F5705">
        <f>IF(AND(B5705=1,C5705&gt;1,E5704&lt;&gt;""),ABS(D5705-E5704),"")</f>
        <v/>
      </c>
    </row>
    <row r="5706">
      <c r="A5706" t="n">
        <v>5706</v>
      </c>
      <c r="B5706">
        <f>IF(INDEX('Data Entry'!$H$5:$BE$10004,5706-4,'Visual SPC'!$B$3)="",0,IF(AND(OR('Visual SPC'!$C$4="",'Data Entry'!$C5706&gt;='Visual SPC'!$C$4),OR('Visual SPC'!$E$4="",'Data Entry'!$C5706&lt;='Visual SPC'!$E$4),OR('Visual SPC'!$G$4="",'Data Entry'!$D5706='Visual SPC'!$G$4),OR('Visual SPC'!$I$4="",'Data Entry'!$E5706='Visual SPC'!$I$4),OR('Visual SPC'!$K$4="",'Data Entry'!$F5706='Visual SPC'!$K$4)),1,0))</f>
        <v/>
      </c>
      <c r="C5706">
        <f>C5705+B5706</f>
        <v/>
      </c>
      <c r="D5706">
        <f>IF(B5706=1,INDEX('Data Entry'!$H$5:$BE$10004,5706-4,'Visual SPC'!$B$3),"")</f>
        <v/>
      </c>
      <c r="E5706">
        <f>IF(B5706=1,D5706,E5705)</f>
        <v/>
      </c>
      <c r="F5706">
        <f>IF(AND(B5706=1,C5706&gt;1,E5705&lt;&gt;""),ABS(D5706-E5705),"")</f>
        <v/>
      </c>
    </row>
    <row r="5707">
      <c r="A5707" t="n">
        <v>5707</v>
      </c>
      <c r="B5707">
        <f>IF(INDEX('Data Entry'!$H$5:$BE$10004,5707-4,'Visual SPC'!$B$3)="",0,IF(AND(OR('Visual SPC'!$C$4="",'Data Entry'!$C5707&gt;='Visual SPC'!$C$4),OR('Visual SPC'!$E$4="",'Data Entry'!$C5707&lt;='Visual SPC'!$E$4),OR('Visual SPC'!$G$4="",'Data Entry'!$D5707='Visual SPC'!$G$4),OR('Visual SPC'!$I$4="",'Data Entry'!$E5707='Visual SPC'!$I$4),OR('Visual SPC'!$K$4="",'Data Entry'!$F5707='Visual SPC'!$K$4)),1,0))</f>
        <v/>
      </c>
      <c r="C5707">
        <f>C5706+B5707</f>
        <v/>
      </c>
      <c r="D5707">
        <f>IF(B5707=1,INDEX('Data Entry'!$H$5:$BE$10004,5707-4,'Visual SPC'!$B$3),"")</f>
        <v/>
      </c>
      <c r="E5707">
        <f>IF(B5707=1,D5707,E5706)</f>
        <v/>
      </c>
      <c r="F5707">
        <f>IF(AND(B5707=1,C5707&gt;1,E5706&lt;&gt;""),ABS(D5707-E5706),"")</f>
        <v/>
      </c>
    </row>
    <row r="5708">
      <c r="A5708" t="n">
        <v>5708</v>
      </c>
      <c r="B5708">
        <f>IF(INDEX('Data Entry'!$H$5:$BE$10004,5708-4,'Visual SPC'!$B$3)="",0,IF(AND(OR('Visual SPC'!$C$4="",'Data Entry'!$C5708&gt;='Visual SPC'!$C$4),OR('Visual SPC'!$E$4="",'Data Entry'!$C5708&lt;='Visual SPC'!$E$4),OR('Visual SPC'!$G$4="",'Data Entry'!$D5708='Visual SPC'!$G$4),OR('Visual SPC'!$I$4="",'Data Entry'!$E5708='Visual SPC'!$I$4),OR('Visual SPC'!$K$4="",'Data Entry'!$F5708='Visual SPC'!$K$4)),1,0))</f>
        <v/>
      </c>
      <c r="C5708">
        <f>C5707+B5708</f>
        <v/>
      </c>
      <c r="D5708">
        <f>IF(B5708=1,INDEX('Data Entry'!$H$5:$BE$10004,5708-4,'Visual SPC'!$B$3),"")</f>
        <v/>
      </c>
      <c r="E5708">
        <f>IF(B5708=1,D5708,E5707)</f>
        <v/>
      </c>
      <c r="F5708">
        <f>IF(AND(B5708=1,C5708&gt;1,E5707&lt;&gt;""),ABS(D5708-E5707),"")</f>
        <v/>
      </c>
    </row>
    <row r="5709">
      <c r="A5709" t="n">
        <v>5709</v>
      </c>
      <c r="B5709">
        <f>IF(INDEX('Data Entry'!$H$5:$BE$10004,5709-4,'Visual SPC'!$B$3)="",0,IF(AND(OR('Visual SPC'!$C$4="",'Data Entry'!$C5709&gt;='Visual SPC'!$C$4),OR('Visual SPC'!$E$4="",'Data Entry'!$C5709&lt;='Visual SPC'!$E$4),OR('Visual SPC'!$G$4="",'Data Entry'!$D5709='Visual SPC'!$G$4),OR('Visual SPC'!$I$4="",'Data Entry'!$E5709='Visual SPC'!$I$4),OR('Visual SPC'!$K$4="",'Data Entry'!$F5709='Visual SPC'!$K$4)),1,0))</f>
        <v/>
      </c>
      <c r="C5709">
        <f>C5708+B5709</f>
        <v/>
      </c>
      <c r="D5709">
        <f>IF(B5709=1,INDEX('Data Entry'!$H$5:$BE$10004,5709-4,'Visual SPC'!$B$3),"")</f>
        <v/>
      </c>
      <c r="E5709">
        <f>IF(B5709=1,D5709,E5708)</f>
        <v/>
      </c>
      <c r="F5709">
        <f>IF(AND(B5709=1,C5709&gt;1,E5708&lt;&gt;""),ABS(D5709-E5708),"")</f>
        <v/>
      </c>
    </row>
    <row r="5710">
      <c r="A5710" t="n">
        <v>5710</v>
      </c>
      <c r="B5710">
        <f>IF(INDEX('Data Entry'!$H$5:$BE$10004,5710-4,'Visual SPC'!$B$3)="",0,IF(AND(OR('Visual SPC'!$C$4="",'Data Entry'!$C5710&gt;='Visual SPC'!$C$4),OR('Visual SPC'!$E$4="",'Data Entry'!$C5710&lt;='Visual SPC'!$E$4),OR('Visual SPC'!$G$4="",'Data Entry'!$D5710='Visual SPC'!$G$4),OR('Visual SPC'!$I$4="",'Data Entry'!$E5710='Visual SPC'!$I$4),OR('Visual SPC'!$K$4="",'Data Entry'!$F5710='Visual SPC'!$K$4)),1,0))</f>
        <v/>
      </c>
      <c r="C5710">
        <f>C5709+B5710</f>
        <v/>
      </c>
      <c r="D5710">
        <f>IF(B5710=1,INDEX('Data Entry'!$H$5:$BE$10004,5710-4,'Visual SPC'!$B$3),"")</f>
        <v/>
      </c>
      <c r="E5710">
        <f>IF(B5710=1,D5710,E5709)</f>
        <v/>
      </c>
      <c r="F5710">
        <f>IF(AND(B5710=1,C5710&gt;1,E5709&lt;&gt;""),ABS(D5710-E5709),"")</f>
        <v/>
      </c>
    </row>
    <row r="5711">
      <c r="A5711" t="n">
        <v>5711</v>
      </c>
      <c r="B5711">
        <f>IF(INDEX('Data Entry'!$H$5:$BE$10004,5711-4,'Visual SPC'!$B$3)="",0,IF(AND(OR('Visual SPC'!$C$4="",'Data Entry'!$C5711&gt;='Visual SPC'!$C$4),OR('Visual SPC'!$E$4="",'Data Entry'!$C5711&lt;='Visual SPC'!$E$4),OR('Visual SPC'!$G$4="",'Data Entry'!$D5711='Visual SPC'!$G$4),OR('Visual SPC'!$I$4="",'Data Entry'!$E5711='Visual SPC'!$I$4),OR('Visual SPC'!$K$4="",'Data Entry'!$F5711='Visual SPC'!$K$4)),1,0))</f>
        <v/>
      </c>
      <c r="C5711">
        <f>C5710+B5711</f>
        <v/>
      </c>
      <c r="D5711">
        <f>IF(B5711=1,INDEX('Data Entry'!$H$5:$BE$10004,5711-4,'Visual SPC'!$B$3),"")</f>
        <v/>
      </c>
      <c r="E5711">
        <f>IF(B5711=1,D5711,E5710)</f>
        <v/>
      </c>
      <c r="F5711">
        <f>IF(AND(B5711=1,C5711&gt;1,E5710&lt;&gt;""),ABS(D5711-E5710),"")</f>
        <v/>
      </c>
    </row>
    <row r="5712">
      <c r="A5712" t="n">
        <v>5712</v>
      </c>
      <c r="B5712">
        <f>IF(INDEX('Data Entry'!$H$5:$BE$10004,5712-4,'Visual SPC'!$B$3)="",0,IF(AND(OR('Visual SPC'!$C$4="",'Data Entry'!$C5712&gt;='Visual SPC'!$C$4),OR('Visual SPC'!$E$4="",'Data Entry'!$C5712&lt;='Visual SPC'!$E$4),OR('Visual SPC'!$G$4="",'Data Entry'!$D5712='Visual SPC'!$G$4),OR('Visual SPC'!$I$4="",'Data Entry'!$E5712='Visual SPC'!$I$4),OR('Visual SPC'!$K$4="",'Data Entry'!$F5712='Visual SPC'!$K$4)),1,0))</f>
        <v/>
      </c>
      <c r="C5712">
        <f>C5711+B5712</f>
        <v/>
      </c>
      <c r="D5712">
        <f>IF(B5712=1,INDEX('Data Entry'!$H$5:$BE$10004,5712-4,'Visual SPC'!$B$3),"")</f>
        <v/>
      </c>
      <c r="E5712">
        <f>IF(B5712=1,D5712,E5711)</f>
        <v/>
      </c>
      <c r="F5712">
        <f>IF(AND(B5712=1,C5712&gt;1,E5711&lt;&gt;""),ABS(D5712-E5711),"")</f>
        <v/>
      </c>
    </row>
    <row r="5713">
      <c r="A5713" t="n">
        <v>5713</v>
      </c>
      <c r="B5713">
        <f>IF(INDEX('Data Entry'!$H$5:$BE$10004,5713-4,'Visual SPC'!$B$3)="",0,IF(AND(OR('Visual SPC'!$C$4="",'Data Entry'!$C5713&gt;='Visual SPC'!$C$4),OR('Visual SPC'!$E$4="",'Data Entry'!$C5713&lt;='Visual SPC'!$E$4),OR('Visual SPC'!$G$4="",'Data Entry'!$D5713='Visual SPC'!$G$4),OR('Visual SPC'!$I$4="",'Data Entry'!$E5713='Visual SPC'!$I$4),OR('Visual SPC'!$K$4="",'Data Entry'!$F5713='Visual SPC'!$K$4)),1,0))</f>
        <v/>
      </c>
      <c r="C5713">
        <f>C5712+B5713</f>
        <v/>
      </c>
      <c r="D5713">
        <f>IF(B5713=1,INDEX('Data Entry'!$H$5:$BE$10004,5713-4,'Visual SPC'!$B$3),"")</f>
        <v/>
      </c>
      <c r="E5713">
        <f>IF(B5713=1,D5713,E5712)</f>
        <v/>
      </c>
      <c r="F5713">
        <f>IF(AND(B5713=1,C5713&gt;1,E5712&lt;&gt;""),ABS(D5713-E5712),"")</f>
        <v/>
      </c>
    </row>
    <row r="5714">
      <c r="A5714" t="n">
        <v>5714</v>
      </c>
      <c r="B5714">
        <f>IF(INDEX('Data Entry'!$H$5:$BE$10004,5714-4,'Visual SPC'!$B$3)="",0,IF(AND(OR('Visual SPC'!$C$4="",'Data Entry'!$C5714&gt;='Visual SPC'!$C$4),OR('Visual SPC'!$E$4="",'Data Entry'!$C5714&lt;='Visual SPC'!$E$4),OR('Visual SPC'!$G$4="",'Data Entry'!$D5714='Visual SPC'!$G$4),OR('Visual SPC'!$I$4="",'Data Entry'!$E5714='Visual SPC'!$I$4),OR('Visual SPC'!$K$4="",'Data Entry'!$F5714='Visual SPC'!$K$4)),1,0))</f>
        <v/>
      </c>
      <c r="C5714">
        <f>C5713+B5714</f>
        <v/>
      </c>
      <c r="D5714">
        <f>IF(B5714=1,INDEX('Data Entry'!$H$5:$BE$10004,5714-4,'Visual SPC'!$B$3),"")</f>
        <v/>
      </c>
      <c r="E5714">
        <f>IF(B5714=1,D5714,E5713)</f>
        <v/>
      </c>
      <c r="F5714">
        <f>IF(AND(B5714=1,C5714&gt;1,E5713&lt;&gt;""),ABS(D5714-E5713),"")</f>
        <v/>
      </c>
    </row>
    <row r="5715">
      <c r="A5715" t="n">
        <v>5715</v>
      </c>
      <c r="B5715">
        <f>IF(INDEX('Data Entry'!$H$5:$BE$10004,5715-4,'Visual SPC'!$B$3)="",0,IF(AND(OR('Visual SPC'!$C$4="",'Data Entry'!$C5715&gt;='Visual SPC'!$C$4),OR('Visual SPC'!$E$4="",'Data Entry'!$C5715&lt;='Visual SPC'!$E$4),OR('Visual SPC'!$G$4="",'Data Entry'!$D5715='Visual SPC'!$G$4),OR('Visual SPC'!$I$4="",'Data Entry'!$E5715='Visual SPC'!$I$4),OR('Visual SPC'!$K$4="",'Data Entry'!$F5715='Visual SPC'!$K$4)),1,0))</f>
        <v/>
      </c>
      <c r="C5715">
        <f>C5714+B5715</f>
        <v/>
      </c>
      <c r="D5715">
        <f>IF(B5715=1,INDEX('Data Entry'!$H$5:$BE$10004,5715-4,'Visual SPC'!$B$3),"")</f>
        <v/>
      </c>
      <c r="E5715">
        <f>IF(B5715=1,D5715,E5714)</f>
        <v/>
      </c>
      <c r="F5715">
        <f>IF(AND(B5715=1,C5715&gt;1,E5714&lt;&gt;""),ABS(D5715-E5714),"")</f>
        <v/>
      </c>
    </row>
    <row r="5716">
      <c r="A5716" t="n">
        <v>5716</v>
      </c>
      <c r="B5716">
        <f>IF(INDEX('Data Entry'!$H$5:$BE$10004,5716-4,'Visual SPC'!$B$3)="",0,IF(AND(OR('Visual SPC'!$C$4="",'Data Entry'!$C5716&gt;='Visual SPC'!$C$4),OR('Visual SPC'!$E$4="",'Data Entry'!$C5716&lt;='Visual SPC'!$E$4),OR('Visual SPC'!$G$4="",'Data Entry'!$D5716='Visual SPC'!$G$4),OR('Visual SPC'!$I$4="",'Data Entry'!$E5716='Visual SPC'!$I$4),OR('Visual SPC'!$K$4="",'Data Entry'!$F5716='Visual SPC'!$K$4)),1,0))</f>
        <v/>
      </c>
      <c r="C5716">
        <f>C5715+B5716</f>
        <v/>
      </c>
      <c r="D5716">
        <f>IF(B5716=1,INDEX('Data Entry'!$H$5:$BE$10004,5716-4,'Visual SPC'!$B$3),"")</f>
        <v/>
      </c>
      <c r="E5716">
        <f>IF(B5716=1,D5716,E5715)</f>
        <v/>
      </c>
      <c r="F5716">
        <f>IF(AND(B5716=1,C5716&gt;1,E5715&lt;&gt;""),ABS(D5716-E5715),"")</f>
        <v/>
      </c>
    </row>
    <row r="5717">
      <c r="A5717" t="n">
        <v>5717</v>
      </c>
      <c r="B5717">
        <f>IF(INDEX('Data Entry'!$H$5:$BE$10004,5717-4,'Visual SPC'!$B$3)="",0,IF(AND(OR('Visual SPC'!$C$4="",'Data Entry'!$C5717&gt;='Visual SPC'!$C$4),OR('Visual SPC'!$E$4="",'Data Entry'!$C5717&lt;='Visual SPC'!$E$4),OR('Visual SPC'!$G$4="",'Data Entry'!$D5717='Visual SPC'!$G$4),OR('Visual SPC'!$I$4="",'Data Entry'!$E5717='Visual SPC'!$I$4),OR('Visual SPC'!$K$4="",'Data Entry'!$F5717='Visual SPC'!$K$4)),1,0))</f>
        <v/>
      </c>
      <c r="C5717">
        <f>C5716+B5717</f>
        <v/>
      </c>
      <c r="D5717">
        <f>IF(B5717=1,INDEX('Data Entry'!$H$5:$BE$10004,5717-4,'Visual SPC'!$B$3),"")</f>
        <v/>
      </c>
      <c r="E5717">
        <f>IF(B5717=1,D5717,E5716)</f>
        <v/>
      </c>
      <c r="F5717">
        <f>IF(AND(B5717=1,C5717&gt;1,E5716&lt;&gt;""),ABS(D5717-E5716),"")</f>
        <v/>
      </c>
    </row>
    <row r="5718">
      <c r="A5718" t="n">
        <v>5718</v>
      </c>
      <c r="B5718">
        <f>IF(INDEX('Data Entry'!$H$5:$BE$10004,5718-4,'Visual SPC'!$B$3)="",0,IF(AND(OR('Visual SPC'!$C$4="",'Data Entry'!$C5718&gt;='Visual SPC'!$C$4),OR('Visual SPC'!$E$4="",'Data Entry'!$C5718&lt;='Visual SPC'!$E$4),OR('Visual SPC'!$G$4="",'Data Entry'!$D5718='Visual SPC'!$G$4),OR('Visual SPC'!$I$4="",'Data Entry'!$E5718='Visual SPC'!$I$4),OR('Visual SPC'!$K$4="",'Data Entry'!$F5718='Visual SPC'!$K$4)),1,0))</f>
        <v/>
      </c>
      <c r="C5718">
        <f>C5717+B5718</f>
        <v/>
      </c>
      <c r="D5718">
        <f>IF(B5718=1,INDEX('Data Entry'!$H$5:$BE$10004,5718-4,'Visual SPC'!$B$3),"")</f>
        <v/>
      </c>
      <c r="E5718">
        <f>IF(B5718=1,D5718,E5717)</f>
        <v/>
      </c>
      <c r="F5718">
        <f>IF(AND(B5718=1,C5718&gt;1,E5717&lt;&gt;""),ABS(D5718-E5717),"")</f>
        <v/>
      </c>
    </row>
    <row r="5719">
      <c r="A5719" t="n">
        <v>5719</v>
      </c>
      <c r="B5719">
        <f>IF(INDEX('Data Entry'!$H$5:$BE$10004,5719-4,'Visual SPC'!$B$3)="",0,IF(AND(OR('Visual SPC'!$C$4="",'Data Entry'!$C5719&gt;='Visual SPC'!$C$4),OR('Visual SPC'!$E$4="",'Data Entry'!$C5719&lt;='Visual SPC'!$E$4),OR('Visual SPC'!$G$4="",'Data Entry'!$D5719='Visual SPC'!$G$4),OR('Visual SPC'!$I$4="",'Data Entry'!$E5719='Visual SPC'!$I$4),OR('Visual SPC'!$K$4="",'Data Entry'!$F5719='Visual SPC'!$K$4)),1,0))</f>
        <v/>
      </c>
      <c r="C5719">
        <f>C5718+B5719</f>
        <v/>
      </c>
      <c r="D5719">
        <f>IF(B5719=1,INDEX('Data Entry'!$H$5:$BE$10004,5719-4,'Visual SPC'!$B$3),"")</f>
        <v/>
      </c>
      <c r="E5719">
        <f>IF(B5719=1,D5719,E5718)</f>
        <v/>
      </c>
      <c r="F5719">
        <f>IF(AND(B5719=1,C5719&gt;1,E5718&lt;&gt;""),ABS(D5719-E5718),"")</f>
        <v/>
      </c>
    </row>
    <row r="5720">
      <c r="A5720" t="n">
        <v>5720</v>
      </c>
      <c r="B5720">
        <f>IF(INDEX('Data Entry'!$H$5:$BE$10004,5720-4,'Visual SPC'!$B$3)="",0,IF(AND(OR('Visual SPC'!$C$4="",'Data Entry'!$C5720&gt;='Visual SPC'!$C$4),OR('Visual SPC'!$E$4="",'Data Entry'!$C5720&lt;='Visual SPC'!$E$4),OR('Visual SPC'!$G$4="",'Data Entry'!$D5720='Visual SPC'!$G$4),OR('Visual SPC'!$I$4="",'Data Entry'!$E5720='Visual SPC'!$I$4),OR('Visual SPC'!$K$4="",'Data Entry'!$F5720='Visual SPC'!$K$4)),1,0))</f>
        <v/>
      </c>
      <c r="C5720">
        <f>C5719+B5720</f>
        <v/>
      </c>
      <c r="D5720">
        <f>IF(B5720=1,INDEX('Data Entry'!$H$5:$BE$10004,5720-4,'Visual SPC'!$B$3),"")</f>
        <v/>
      </c>
      <c r="E5720">
        <f>IF(B5720=1,D5720,E5719)</f>
        <v/>
      </c>
      <c r="F5720">
        <f>IF(AND(B5720=1,C5720&gt;1,E5719&lt;&gt;""),ABS(D5720-E5719),"")</f>
        <v/>
      </c>
    </row>
    <row r="5721">
      <c r="A5721" t="n">
        <v>5721</v>
      </c>
      <c r="B5721">
        <f>IF(INDEX('Data Entry'!$H$5:$BE$10004,5721-4,'Visual SPC'!$B$3)="",0,IF(AND(OR('Visual SPC'!$C$4="",'Data Entry'!$C5721&gt;='Visual SPC'!$C$4),OR('Visual SPC'!$E$4="",'Data Entry'!$C5721&lt;='Visual SPC'!$E$4),OR('Visual SPC'!$G$4="",'Data Entry'!$D5721='Visual SPC'!$G$4),OR('Visual SPC'!$I$4="",'Data Entry'!$E5721='Visual SPC'!$I$4),OR('Visual SPC'!$K$4="",'Data Entry'!$F5721='Visual SPC'!$K$4)),1,0))</f>
        <v/>
      </c>
      <c r="C5721">
        <f>C5720+B5721</f>
        <v/>
      </c>
      <c r="D5721">
        <f>IF(B5721=1,INDEX('Data Entry'!$H$5:$BE$10004,5721-4,'Visual SPC'!$B$3),"")</f>
        <v/>
      </c>
      <c r="E5721">
        <f>IF(B5721=1,D5721,E5720)</f>
        <v/>
      </c>
      <c r="F5721">
        <f>IF(AND(B5721=1,C5721&gt;1,E5720&lt;&gt;""),ABS(D5721-E5720),"")</f>
        <v/>
      </c>
    </row>
    <row r="5722">
      <c r="A5722" t="n">
        <v>5722</v>
      </c>
      <c r="B5722">
        <f>IF(INDEX('Data Entry'!$H$5:$BE$10004,5722-4,'Visual SPC'!$B$3)="",0,IF(AND(OR('Visual SPC'!$C$4="",'Data Entry'!$C5722&gt;='Visual SPC'!$C$4),OR('Visual SPC'!$E$4="",'Data Entry'!$C5722&lt;='Visual SPC'!$E$4),OR('Visual SPC'!$G$4="",'Data Entry'!$D5722='Visual SPC'!$G$4),OR('Visual SPC'!$I$4="",'Data Entry'!$E5722='Visual SPC'!$I$4),OR('Visual SPC'!$K$4="",'Data Entry'!$F5722='Visual SPC'!$K$4)),1,0))</f>
        <v/>
      </c>
      <c r="C5722">
        <f>C5721+B5722</f>
        <v/>
      </c>
      <c r="D5722">
        <f>IF(B5722=1,INDEX('Data Entry'!$H$5:$BE$10004,5722-4,'Visual SPC'!$B$3),"")</f>
        <v/>
      </c>
      <c r="E5722">
        <f>IF(B5722=1,D5722,E5721)</f>
        <v/>
      </c>
      <c r="F5722">
        <f>IF(AND(B5722=1,C5722&gt;1,E5721&lt;&gt;""),ABS(D5722-E5721),"")</f>
        <v/>
      </c>
    </row>
    <row r="5723">
      <c r="A5723" t="n">
        <v>5723</v>
      </c>
      <c r="B5723">
        <f>IF(INDEX('Data Entry'!$H$5:$BE$10004,5723-4,'Visual SPC'!$B$3)="",0,IF(AND(OR('Visual SPC'!$C$4="",'Data Entry'!$C5723&gt;='Visual SPC'!$C$4),OR('Visual SPC'!$E$4="",'Data Entry'!$C5723&lt;='Visual SPC'!$E$4),OR('Visual SPC'!$G$4="",'Data Entry'!$D5723='Visual SPC'!$G$4),OR('Visual SPC'!$I$4="",'Data Entry'!$E5723='Visual SPC'!$I$4),OR('Visual SPC'!$K$4="",'Data Entry'!$F5723='Visual SPC'!$K$4)),1,0))</f>
        <v/>
      </c>
      <c r="C5723">
        <f>C5722+B5723</f>
        <v/>
      </c>
      <c r="D5723">
        <f>IF(B5723=1,INDEX('Data Entry'!$H$5:$BE$10004,5723-4,'Visual SPC'!$B$3),"")</f>
        <v/>
      </c>
      <c r="E5723">
        <f>IF(B5723=1,D5723,E5722)</f>
        <v/>
      </c>
      <c r="F5723">
        <f>IF(AND(B5723=1,C5723&gt;1,E5722&lt;&gt;""),ABS(D5723-E5722),"")</f>
        <v/>
      </c>
    </row>
    <row r="5724">
      <c r="A5724" t="n">
        <v>5724</v>
      </c>
      <c r="B5724">
        <f>IF(INDEX('Data Entry'!$H$5:$BE$10004,5724-4,'Visual SPC'!$B$3)="",0,IF(AND(OR('Visual SPC'!$C$4="",'Data Entry'!$C5724&gt;='Visual SPC'!$C$4),OR('Visual SPC'!$E$4="",'Data Entry'!$C5724&lt;='Visual SPC'!$E$4),OR('Visual SPC'!$G$4="",'Data Entry'!$D5724='Visual SPC'!$G$4),OR('Visual SPC'!$I$4="",'Data Entry'!$E5724='Visual SPC'!$I$4),OR('Visual SPC'!$K$4="",'Data Entry'!$F5724='Visual SPC'!$K$4)),1,0))</f>
        <v/>
      </c>
      <c r="C5724">
        <f>C5723+B5724</f>
        <v/>
      </c>
      <c r="D5724">
        <f>IF(B5724=1,INDEX('Data Entry'!$H$5:$BE$10004,5724-4,'Visual SPC'!$B$3),"")</f>
        <v/>
      </c>
      <c r="E5724">
        <f>IF(B5724=1,D5724,E5723)</f>
        <v/>
      </c>
      <c r="F5724">
        <f>IF(AND(B5724=1,C5724&gt;1,E5723&lt;&gt;""),ABS(D5724-E5723),"")</f>
        <v/>
      </c>
    </row>
    <row r="5725">
      <c r="A5725" t="n">
        <v>5725</v>
      </c>
      <c r="B5725">
        <f>IF(INDEX('Data Entry'!$H$5:$BE$10004,5725-4,'Visual SPC'!$B$3)="",0,IF(AND(OR('Visual SPC'!$C$4="",'Data Entry'!$C5725&gt;='Visual SPC'!$C$4),OR('Visual SPC'!$E$4="",'Data Entry'!$C5725&lt;='Visual SPC'!$E$4),OR('Visual SPC'!$G$4="",'Data Entry'!$D5725='Visual SPC'!$G$4),OR('Visual SPC'!$I$4="",'Data Entry'!$E5725='Visual SPC'!$I$4),OR('Visual SPC'!$K$4="",'Data Entry'!$F5725='Visual SPC'!$K$4)),1,0))</f>
        <v/>
      </c>
      <c r="C5725">
        <f>C5724+B5725</f>
        <v/>
      </c>
      <c r="D5725">
        <f>IF(B5725=1,INDEX('Data Entry'!$H$5:$BE$10004,5725-4,'Visual SPC'!$B$3),"")</f>
        <v/>
      </c>
      <c r="E5725">
        <f>IF(B5725=1,D5725,E5724)</f>
        <v/>
      </c>
      <c r="F5725">
        <f>IF(AND(B5725=1,C5725&gt;1,E5724&lt;&gt;""),ABS(D5725-E5724),"")</f>
        <v/>
      </c>
    </row>
    <row r="5726">
      <c r="A5726" t="n">
        <v>5726</v>
      </c>
      <c r="B5726">
        <f>IF(INDEX('Data Entry'!$H$5:$BE$10004,5726-4,'Visual SPC'!$B$3)="",0,IF(AND(OR('Visual SPC'!$C$4="",'Data Entry'!$C5726&gt;='Visual SPC'!$C$4),OR('Visual SPC'!$E$4="",'Data Entry'!$C5726&lt;='Visual SPC'!$E$4),OR('Visual SPC'!$G$4="",'Data Entry'!$D5726='Visual SPC'!$G$4),OR('Visual SPC'!$I$4="",'Data Entry'!$E5726='Visual SPC'!$I$4),OR('Visual SPC'!$K$4="",'Data Entry'!$F5726='Visual SPC'!$K$4)),1,0))</f>
        <v/>
      </c>
      <c r="C5726">
        <f>C5725+B5726</f>
        <v/>
      </c>
      <c r="D5726">
        <f>IF(B5726=1,INDEX('Data Entry'!$H$5:$BE$10004,5726-4,'Visual SPC'!$B$3),"")</f>
        <v/>
      </c>
      <c r="E5726">
        <f>IF(B5726=1,D5726,E5725)</f>
        <v/>
      </c>
      <c r="F5726">
        <f>IF(AND(B5726=1,C5726&gt;1,E5725&lt;&gt;""),ABS(D5726-E5725),"")</f>
        <v/>
      </c>
    </row>
    <row r="5727">
      <c r="A5727" t="n">
        <v>5727</v>
      </c>
      <c r="B5727">
        <f>IF(INDEX('Data Entry'!$H$5:$BE$10004,5727-4,'Visual SPC'!$B$3)="",0,IF(AND(OR('Visual SPC'!$C$4="",'Data Entry'!$C5727&gt;='Visual SPC'!$C$4),OR('Visual SPC'!$E$4="",'Data Entry'!$C5727&lt;='Visual SPC'!$E$4),OR('Visual SPC'!$G$4="",'Data Entry'!$D5727='Visual SPC'!$G$4),OR('Visual SPC'!$I$4="",'Data Entry'!$E5727='Visual SPC'!$I$4),OR('Visual SPC'!$K$4="",'Data Entry'!$F5727='Visual SPC'!$K$4)),1,0))</f>
        <v/>
      </c>
      <c r="C5727">
        <f>C5726+B5727</f>
        <v/>
      </c>
      <c r="D5727">
        <f>IF(B5727=1,INDEX('Data Entry'!$H$5:$BE$10004,5727-4,'Visual SPC'!$B$3),"")</f>
        <v/>
      </c>
      <c r="E5727">
        <f>IF(B5727=1,D5727,E5726)</f>
        <v/>
      </c>
      <c r="F5727">
        <f>IF(AND(B5727=1,C5727&gt;1,E5726&lt;&gt;""),ABS(D5727-E5726),"")</f>
        <v/>
      </c>
    </row>
    <row r="5728">
      <c r="A5728" t="n">
        <v>5728</v>
      </c>
      <c r="B5728">
        <f>IF(INDEX('Data Entry'!$H$5:$BE$10004,5728-4,'Visual SPC'!$B$3)="",0,IF(AND(OR('Visual SPC'!$C$4="",'Data Entry'!$C5728&gt;='Visual SPC'!$C$4),OR('Visual SPC'!$E$4="",'Data Entry'!$C5728&lt;='Visual SPC'!$E$4),OR('Visual SPC'!$G$4="",'Data Entry'!$D5728='Visual SPC'!$G$4),OR('Visual SPC'!$I$4="",'Data Entry'!$E5728='Visual SPC'!$I$4),OR('Visual SPC'!$K$4="",'Data Entry'!$F5728='Visual SPC'!$K$4)),1,0))</f>
        <v/>
      </c>
      <c r="C5728">
        <f>C5727+B5728</f>
        <v/>
      </c>
      <c r="D5728">
        <f>IF(B5728=1,INDEX('Data Entry'!$H$5:$BE$10004,5728-4,'Visual SPC'!$B$3),"")</f>
        <v/>
      </c>
      <c r="E5728">
        <f>IF(B5728=1,D5728,E5727)</f>
        <v/>
      </c>
      <c r="F5728">
        <f>IF(AND(B5728=1,C5728&gt;1,E5727&lt;&gt;""),ABS(D5728-E5727),"")</f>
        <v/>
      </c>
    </row>
    <row r="5729">
      <c r="A5729" t="n">
        <v>5729</v>
      </c>
      <c r="B5729">
        <f>IF(INDEX('Data Entry'!$H$5:$BE$10004,5729-4,'Visual SPC'!$B$3)="",0,IF(AND(OR('Visual SPC'!$C$4="",'Data Entry'!$C5729&gt;='Visual SPC'!$C$4),OR('Visual SPC'!$E$4="",'Data Entry'!$C5729&lt;='Visual SPC'!$E$4),OR('Visual SPC'!$G$4="",'Data Entry'!$D5729='Visual SPC'!$G$4),OR('Visual SPC'!$I$4="",'Data Entry'!$E5729='Visual SPC'!$I$4),OR('Visual SPC'!$K$4="",'Data Entry'!$F5729='Visual SPC'!$K$4)),1,0))</f>
        <v/>
      </c>
      <c r="C5729">
        <f>C5728+B5729</f>
        <v/>
      </c>
      <c r="D5729">
        <f>IF(B5729=1,INDEX('Data Entry'!$H$5:$BE$10004,5729-4,'Visual SPC'!$B$3),"")</f>
        <v/>
      </c>
      <c r="E5729">
        <f>IF(B5729=1,D5729,E5728)</f>
        <v/>
      </c>
      <c r="F5729">
        <f>IF(AND(B5729=1,C5729&gt;1,E5728&lt;&gt;""),ABS(D5729-E5728),"")</f>
        <v/>
      </c>
    </row>
    <row r="5730">
      <c r="A5730" t="n">
        <v>5730</v>
      </c>
      <c r="B5730">
        <f>IF(INDEX('Data Entry'!$H$5:$BE$10004,5730-4,'Visual SPC'!$B$3)="",0,IF(AND(OR('Visual SPC'!$C$4="",'Data Entry'!$C5730&gt;='Visual SPC'!$C$4),OR('Visual SPC'!$E$4="",'Data Entry'!$C5730&lt;='Visual SPC'!$E$4),OR('Visual SPC'!$G$4="",'Data Entry'!$D5730='Visual SPC'!$G$4),OR('Visual SPC'!$I$4="",'Data Entry'!$E5730='Visual SPC'!$I$4),OR('Visual SPC'!$K$4="",'Data Entry'!$F5730='Visual SPC'!$K$4)),1,0))</f>
        <v/>
      </c>
      <c r="C5730">
        <f>C5729+B5730</f>
        <v/>
      </c>
      <c r="D5730">
        <f>IF(B5730=1,INDEX('Data Entry'!$H$5:$BE$10004,5730-4,'Visual SPC'!$B$3),"")</f>
        <v/>
      </c>
      <c r="E5730">
        <f>IF(B5730=1,D5730,E5729)</f>
        <v/>
      </c>
      <c r="F5730">
        <f>IF(AND(B5730=1,C5730&gt;1,E5729&lt;&gt;""),ABS(D5730-E5729),"")</f>
        <v/>
      </c>
    </row>
    <row r="5731">
      <c r="A5731" t="n">
        <v>5731</v>
      </c>
      <c r="B5731">
        <f>IF(INDEX('Data Entry'!$H$5:$BE$10004,5731-4,'Visual SPC'!$B$3)="",0,IF(AND(OR('Visual SPC'!$C$4="",'Data Entry'!$C5731&gt;='Visual SPC'!$C$4),OR('Visual SPC'!$E$4="",'Data Entry'!$C5731&lt;='Visual SPC'!$E$4),OR('Visual SPC'!$G$4="",'Data Entry'!$D5731='Visual SPC'!$G$4),OR('Visual SPC'!$I$4="",'Data Entry'!$E5731='Visual SPC'!$I$4),OR('Visual SPC'!$K$4="",'Data Entry'!$F5731='Visual SPC'!$K$4)),1,0))</f>
        <v/>
      </c>
      <c r="C5731">
        <f>C5730+B5731</f>
        <v/>
      </c>
      <c r="D5731">
        <f>IF(B5731=1,INDEX('Data Entry'!$H$5:$BE$10004,5731-4,'Visual SPC'!$B$3),"")</f>
        <v/>
      </c>
      <c r="E5731">
        <f>IF(B5731=1,D5731,E5730)</f>
        <v/>
      </c>
      <c r="F5731">
        <f>IF(AND(B5731=1,C5731&gt;1,E5730&lt;&gt;""),ABS(D5731-E5730),"")</f>
        <v/>
      </c>
    </row>
    <row r="5732">
      <c r="A5732" t="n">
        <v>5732</v>
      </c>
      <c r="B5732">
        <f>IF(INDEX('Data Entry'!$H$5:$BE$10004,5732-4,'Visual SPC'!$B$3)="",0,IF(AND(OR('Visual SPC'!$C$4="",'Data Entry'!$C5732&gt;='Visual SPC'!$C$4),OR('Visual SPC'!$E$4="",'Data Entry'!$C5732&lt;='Visual SPC'!$E$4),OR('Visual SPC'!$G$4="",'Data Entry'!$D5732='Visual SPC'!$G$4),OR('Visual SPC'!$I$4="",'Data Entry'!$E5732='Visual SPC'!$I$4),OR('Visual SPC'!$K$4="",'Data Entry'!$F5732='Visual SPC'!$K$4)),1,0))</f>
        <v/>
      </c>
      <c r="C5732">
        <f>C5731+B5732</f>
        <v/>
      </c>
      <c r="D5732">
        <f>IF(B5732=1,INDEX('Data Entry'!$H$5:$BE$10004,5732-4,'Visual SPC'!$B$3),"")</f>
        <v/>
      </c>
      <c r="E5732">
        <f>IF(B5732=1,D5732,E5731)</f>
        <v/>
      </c>
      <c r="F5732">
        <f>IF(AND(B5732=1,C5732&gt;1,E5731&lt;&gt;""),ABS(D5732-E5731),"")</f>
        <v/>
      </c>
    </row>
    <row r="5733">
      <c r="A5733" t="n">
        <v>5733</v>
      </c>
      <c r="B5733">
        <f>IF(INDEX('Data Entry'!$H$5:$BE$10004,5733-4,'Visual SPC'!$B$3)="",0,IF(AND(OR('Visual SPC'!$C$4="",'Data Entry'!$C5733&gt;='Visual SPC'!$C$4),OR('Visual SPC'!$E$4="",'Data Entry'!$C5733&lt;='Visual SPC'!$E$4),OR('Visual SPC'!$G$4="",'Data Entry'!$D5733='Visual SPC'!$G$4),OR('Visual SPC'!$I$4="",'Data Entry'!$E5733='Visual SPC'!$I$4),OR('Visual SPC'!$K$4="",'Data Entry'!$F5733='Visual SPC'!$K$4)),1,0))</f>
        <v/>
      </c>
      <c r="C5733">
        <f>C5732+B5733</f>
        <v/>
      </c>
      <c r="D5733">
        <f>IF(B5733=1,INDEX('Data Entry'!$H$5:$BE$10004,5733-4,'Visual SPC'!$B$3),"")</f>
        <v/>
      </c>
      <c r="E5733">
        <f>IF(B5733=1,D5733,E5732)</f>
        <v/>
      </c>
      <c r="F5733">
        <f>IF(AND(B5733=1,C5733&gt;1,E5732&lt;&gt;""),ABS(D5733-E5732),"")</f>
        <v/>
      </c>
    </row>
    <row r="5734">
      <c r="A5734" t="n">
        <v>5734</v>
      </c>
      <c r="B5734">
        <f>IF(INDEX('Data Entry'!$H$5:$BE$10004,5734-4,'Visual SPC'!$B$3)="",0,IF(AND(OR('Visual SPC'!$C$4="",'Data Entry'!$C5734&gt;='Visual SPC'!$C$4),OR('Visual SPC'!$E$4="",'Data Entry'!$C5734&lt;='Visual SPC'!$E$4),OR('Visual SPC'!$G$4="",'Data Entry'!$D5734='Visual SPC'!$G$4),OR('Visual SPC'!$I$4="",'Data Entry'!$E5734='Visual SPC'!$I$4),OR('Visual SPC'!$K$4="",'Data Entry'!$F5734='Visual SPC'!$K$4)),1,0))</f>
        <v/>
      </c>
      <c r="C5734">
        <f>C5733+B5734</f>
        <v/>
      </c>
      <c r="D5734">
        <f>IF(B5734=1,INDEX('Data Entry'!$H$5:$BE$10004,5734-4,'Visual SPC'!$B$3),"")</f>
        <v/>
      </c>
      <c r="E5734">
        <f>IF(B5734=1,D5734,E5733)</f>
        <v/>
      </c>
      <c r="F5734">
        <f>IF(AND(B5734=1,C5734&gt;1,E5733&lt;&gt;""),ABS(D5734-E5733),"")</f>
        <v/>
      </c>
    </row>
    <row r="5735">
      <c r="A5735" t="n">
        <v>5735</v>
      </c>
      <c r="B5735">
        <f>IF(INDEX('Data Entry'!$H$5:$BE$10004,5735-4,'Visual SPC'!$B$3)="",0,IF(AND(OR('Visual SPC'!$C$4="",'Data Entry'!$C5735&gt;='Visual SPC'!$C$4),OR('Visual SPC'!$E$4="",'Data Entry'!$C5735&lt;='Visual SPC'!$E$4),OR('Visual SPC'!$G$4="",'Data Entry'!$D5735='Visual SPC'!$G$4),OR('Visual SPC'!$I$4="",'Data Entry'!$E5735='Visual SPC'!$I$4),OR('Visual SPC'!$K$4="",'Data Entry'!$F5735='Visual SPC'!$K$4)),1,0))</f>
        <v/>
      </c>
      <c r="C5735">
        <f>C5734+B5735</f>
        <v/>
      </c>
      <c r="D5735">
        <f>IF(B5735=1,INDEX('Data Entry'!$H$5:$BE$10004,5735-4,'Visual SPC'!$B$3),"")</f>
        <v/>
      </c>
      <c r="E5735">
        <f>IF(B5735=1,D5735,E5734)</f>
        <v/>
      </c>
      <c r="F5735">
        <f>IF(AND(B5735=1,C5735&gt;1,E5734&lt;&gt;""),ABS(D5735-E5734),"")</f>
        <v/>
      </c>
    </row>
    <row r="5736">
      <c r="A5736" t="n">
        <v>5736</v>
      </c>
      <c r="B5736">
        <f>IF(INDEX('Data Entry'!$H$5:$BE$10004,5736-4,'Visual SPC'!$B$3)="",0,IF(AND(OR('Visual SPC'!$C$4="",'Data Entry'!$C5736&gt;='Visual SPC'!$C$4),OR('Visual SPC'!$E$4="",'Data Entry'!$C5736&lt;='Visual SPC'!$E$4),OR('Visual SPC'!$G$4="",'Data Entry'!$D5736='Visual SPC'!$G$4),OR('Visual SPC'!$I$4="",'Data Entry'!$E5736='Visual SPC'!$I$4),OR('Visual SPC'!$K$4="",'Data Entry'!$F5736='Visual SPC'!$K$4)),1,0))</f>
        <v/>
      </c>
      <c r="C5736">
        <f>C5735+B5736</f>
        <v/>
      </c>
      <c r="D5736">
        <f>IF(B5736=1,INDEX('Data Entry'!$H$5:$BE$10004,5736-4,'Visual SPC'!$B$3),"")</f>
        <v/>
      </c>
      <c r="E5736">
        <f>IF(B5736=1,D5736,E5735)</f>
        <v/>
      </c>
      <c r="F5736">
        <f>IF(AND(B5736=1,C5736&gt;1,E5735&lt;&gt;""),ABS(D5736-E5735),"")</f>
        <v/>
      </c>
    </row>
    <row r="5737">
      <c r="A5737" t="n">
        <v>5737</v>
      </c>
      <c r="B5737">
        <f>IF(INDEX('Data Entry'!$H$5:$BE$10004,5737-4,'Visual SPC'!$B$3)="",0,IF(AND(OR('Visual SPC'!$C$4="",'Data Entry'!$C5737&gt;='Visual SPC'!$C$4),OR('Visual SPC'!$E$4="",'Data Entry'!$C5737&lt;='Visual SPC'!$E$4),OR('Visual SPC'!$G$4="",'Data Entry'!$D5737='Visual SPC'!$G$4),OR('Visual SPC'!$I$4="",'Data Entry'!$E5737='Visual SPC'!$I$4),OR('Visual SPC'!$K$4="",'Data Entry'!$F5737='Visual SPC'!$K$4)),1,0))</f>
        <v/>
      </c>
      <c r="C5737">
        <f>C5736+B5737</f>
        <v/>
      </c>
      <c r="D5737">
        <f>IF(B5737=1,INDEX('Data Entry'!$H$5:$BE$10004,5737-4,'Visual SPC'!$B$3),"")</f>
        <v/>
      </c>
      <c r="E5737">
        <f>IF(B5737=1,D5737,E5736)</f>
        <v/>
      </c>
      <c r="F5737">
        <f>IF(AND(B5737=1,C5737&gt;1,E5736&lt;&gt;""),ABS(D5737-E5736),"")</f>
        <v/>
      </c>
    </row>
    <row r="5738">
      <c r="A5738" t="n">
        <v>5738</v>
      </c>
      <c r="B5738">
        <f>IF(INDEX('Data Entry'!$H$5:$BE$10004,5738-4,'Visual SPC'!$B$3)="",0,IF(AND(OR('Visual SPC'!$C$4="",'Data Entry'!$C5738&gt;='Visual SPC'!$C$4),OR('Visual SPC'!$E$4="",'Data Entry'!$C5738&lt;='Visual SPC'!$E$4),OR('Visual SPC'!$G$4="",'Data Entry'!$D5738='Visual SPC'!$G$4),OR('Visual SPC'!$I$4="",'Data Entry'!$E5738='Visual SPC'!$I$4),OR('Visual SPC'!$K$4="",'Data Entry'!$F5738='Visual SPC'!$K$4)),1,0))</f>
        <v/>
      </c>
      <c r="C5738">
        <f>C5737+B5738</f>
        <v/>
      </c>
      <c r="D5738">
        <f>IF(B5738=1,INDEX('Data Entry'!$H$5:$BE$10004,5738-4,'Visual SPC'!$B$3),"")</f>
        <v/>
      </c>
      <c r="E5738">
        <f>IF(B5738=1,D5738,E5737)</f>
        <v/>
      </c>
      <c r="F5738">
        <f>IF(AND(B5738=1,C5738&gt;1,E5737&lt;&gt;""),ABS(D5738-E5737),"")</f>
        <v/>
      </c>
    </row>
    <row r="5739">
      <c r="A5739" t="n">
        <v>5739</v>
      </c>
      <c r="B5739">
        <f>IF(INDEX('Data Entry'!$H$5:$BE$10004,5739-4,'Visual SPC'!$B$3)="",0,IF(AND(OR('Visual SPC'!$C$4="",'Data Entry'!$C5739&gt;='Visual SPC'!$C$4),OR('Visual SPC'!$E$4="",'Data Entry'!$C5739&lt;='Visual SPC'!$E$4),OR('Visual SPC'!$G$4="",'Data Entry'!$D5739='Visual SPC'!$G$4),OR('Visual SPC'!$I$4="",'Data Entry'!$E5739='Visual SPC'!$I$4),OR('Visual SPC'!$K$4="",'Data Entry'!$F5739='Visual SPC'!$K$4)),1,0))</f>
        <v/>
      </c>
      <c r="C5739">
        <f>C5738+B5739</f>
        <v/>
      </c>
      <c r="D5739">
        <f>IF(B5739=1,INDEX('Data Entry'!$H$5:$BE$10004,5739-4,'Visual SPC'!$B$3),"")</f>
        <v/>
      </c>
      <c r="E5739">
        <f>IF(B5739=1,D5739,E5738)</f>
        <v/>
      </c>
      <c r="F5739">
        <f>IF(AND(B5739=1,C5739&gt;1,E5738&lt;&gt;""),ABS(D5739-E5738),"")</f>
        <v/>
      </c>
    </row>
    <row r="5740">
      <c r="A5740" t="n">
        <v>5740</v>
      </c>
      <c r="B5740">
        <f>IF(INDEX('Data Entry'!$H$5:$BE$10004,5740-4,'Visual SPC'!$B$3)="",0,IF(AND(OR('Visual SPC'!$C$4="",'Data Entry'!$C5740&gt;='Visual SPC'!$C$4),OR('Visual SPC'!$E$4="",'Data Entry'!$C5740&lt;='Visual SPC'!$E$4),OR('Visual SPC'!$G$4="",'Data Entry'!$D5740='Visual SPC'!$G$4),OR('Visual SPC'!$I$4="",'Data Entry'!$E5740='Visual SPC'!$I$4),OR('Visual SPC'!$K$4="",'Data Entry'!$F5740='Visual SPC'!$K$4)),1,0))</f>
        <v/>
      </c>
      <c r="C5740">
        <f>C5739+B5740</f>
        <v/>
      </c>
      <c r="D5740">
        <f>IF(B5740=1,INDEX('Data Entry'!$H$5:$BE$10004,5740-4,'Visual SPC'!$B$3),"")</f>
        <v/>
      </c>
      <c r="E5740">
        <f>IF(B5740=1,D5740,E5739)</f>
        <v/>
      </c>
      <c r="F5740">
        <f>IF(AND(B5740=1,C5740&gt;1,E5739&lt;&gt;""),ABS(D5740-E5739),"")</f>
        <v/>
      </c>
    </row>
    <row r="5741">
      <c r="A5741" t="n">
        <v>5741</v>
      </c>
      <c r="B5741">
        <f>IF(INDEX('Data Entry'!$H$5:$BE$10004,5741-4,'Visual SPC'!$B$3)="",0,IF(AND(OR('Visual SPC'!$C$4="",'Data Entry'!$C5741&gt;='Visual SPC'!$C$4),OR('Visual SPC'!$E$4="",'Data Entry'!$C5741&lt;='Visual SPC'!$E$4),OR('Visual SPC'!$G$4="",'Data Entry'!$D5741='Visual SPC'!$G$4),OR('Visual SPC'!$I$4="",'Data Entry'!$E5741='Visual SPC'!$I$4),OR('Visual SPC'!$K$4="",'Data Entry'!$F5741='Visual SPC'!$K$4)),1,0))</f>
        <v/>
      </c>
      <c r="C5741">
        <f>C5740+B5741</f>
        <v/>
      </c>
      <c r="D5741">
        <f>IF(B5741=1,INDEX('Data Entry'!$H$5:$BE$10004,5741-4,'Visual SPC'!$B$3),"")</f>
        <v/>
      </c>
      <c r="E5741">
        <f>IF(B5741=1,D5741,E5740)</f>
        <v/>
      </c>
      <c r="F5741">
        <f>IF(AND(B5741=1,C5741&gt;1,E5740&lt;&gt;""),ABS(D5741-E5740),"")</f>
        <v/>
      </c>
    </row>
    <row r="5742">
      <c r="A5742" t="n">
        <v>5742</v>
      </c>
      <c r="B5742">
        <f>IF(INDEX('Data Entry'!$H$5:$BE$10004,5742-4,'Visual SPC'!$B$3)="",0,IF(AND(OR('Visual SPC'!$C$4="",'Data Entry'!$C5742&gt;='Visual SPC'!$C$4),OR('Visual SPC'!$E$4="",'Data Entry'!$C5742&lt;='Visual SPC'!$E$4),OR('Visual SPC'!$G$4="",'Data Entry'!$D5742='Visual SPC'!$G$4),OR('Visual SPC'!$I$4="",'Data Entry'!$E5742='Visual SPC'!$I$4),OR('Visual SPC'!$K$4="",'Data Entry'!$F5742='Visual SPC'!$K$4)),1,0))</f>
        <v/>
      </c>
      <c r="C5742">
        <f>C5741+B5742</f>
        <v/>
      </c>
      <c r="D5742">
        <f>IF(B5742=1,INDEX('Data Entry'!$H$5:$BE$10004,5742-4,'Visual SPC'!$B$3),"")</f>
        <v/>
      </c>
      <c r="E5742">
        <f>IF(B5742=1,D5742,E5741)</f>
        <v/>
      </c>
      <c r="F5742">
        <f>IF(AND(B5742=1,C5742&gt;1,E5741&lt;&gt;""),ABS(D5742-E5741),"")</f>
        <v/>
      </c>
    </row>
    <row r="5743">
      <c r="A5743" t="n">
        <v>5743</v>
      </c>
      <c r="B5743">
        <f>IF(INDEX('Data Entry'!$H$5:$BE$10004,5743-4,'Visual SPC'!$B$3)="",0,IF(AND(OR('Visual SPC'!$C$4="",'Data Entry'!$C5743&gt;='Visual SPC'!$C$4),OR('Visual SPC'!$E$4="",'Data Entry'!$C5743&lt;='Visual SPC'!$E$4),OR('Visual SPC'!$G$4="",'Data Entry'!$D5743='Visual SPC'!$G$4),OR('Visual SPC'!$I$4="",'Data Entry'!$E5743='Visual SPC'!$I$4),OR('Visual SPC'!$K$4="",'Data Entry'!$F5743='Visual SPC'!$K$4)),1,0))</f>
        <v/>
      </c>
      <c r="C5743">
        <f>C5742+B5743</f>
        <v/>
      </c>
      <c r="D5743">
        <f>IF(B5743=1,INDEX('Data Entry'!$H$5:$BE$10004,5743-4,'Visual SPC'!$B$3),"")</f>
        <v/>
      </c>
      <c r="E5743">
        <f>IF(B5743=1,D5743,E5742)</f>
        <v/>
      </c>
      <c r="F5743">
        <f>IF(AND(B5743=1,C5743&gt;1,E5742&lt;&gt;""),ABS(D5743-E5742),"")</f>
        <v/>
      </c>
    </row>
    <row r="5744">
      <c r="A5744" t="n">
        <v>5744</v>
      </c>
      <c r="B5744">
        <f>IF(INDEX('Data Entry'!$H$5:$BE$10004,5744-4,'Visual SPC'!$B$3)="",0,IF(AND(OR('Visual SPC'!$C$4="",'Data Entry'!$C5744&gt;='Visual SPC'!$C$4),OR('Visual SPC'!$E$4="",'Data Entry'!$C5744&lt;='Visual SPC'!$E$4),OR('Visual SPC'!$G$4="",'Data Entry'!$D5744='Visual SPC'!$G$4),OR('Visual SPC'!$I$4="",'Data Entry'!$E5744='Visual SPC'!$I$4),OR('Visual SPC'!$K$4="",'Data Entry'!$F5744='Visual SPC'!$K$4)),1,0))</f>
        <v/>
      </c>
      <c r="C5744">
        <f>C5743+B5744</f>
        <v/>
      </c>
      <c r="D5744">
        <f>IF(B5744=1,INDEX('Data Entry'!$H$5:$BE$10004,5744-4,'Visual SPC'!$B$3),"")</f>
        <v/>
      </c>
      <c r="E5744">
        <f>IF(B5744=1,D5744,E5743)</f>
        <v/>
      </c>
      <c r="F5744">
        <f>IF(AND(B5744=1,C5744&gt;1,E5743&lt;&gt;""),ABS(D5744-E5743),"")</f>
        <v/>
      </c>
    </row>
    <row r="5745">
      <c r="A5745" t="n">
        <v>5745</v>
      </c>
      <c r="B5745">
        <f>IF(INDEX('Data Entry'!$H$5:$BE$10004,5745-4,'Visual SPC'!$B$3)="",0,IF(AND(OR('Visual SPC'!$C$4="",'Data Entry'!$C5745&gt;='Visual SPC'!$C$4),OR('Visual SPC'!$E$4="",'Data Entry'!$C5745&lt;='Visual SPC'!$E$4),OR('Visual SPC'!$G$4="",'Data Entry'!$D5745='Visual SPC'!$G$4),OR('Visual SPC'!$I$4="",'Data Entry'!$E5745='Visual SPC'!$I$4),OR('Visual SPC'!$K$4="",'Data Entry'!$F5745='Visual SPC'!$K$4)),1,0))</f>
        <v/>
      </c>
      <c r="C5745">
        <f>C5744+B5745</f>
        <v/>
      </c>
      <c r="D5745">
        <f>IF(B5745=1,INDEX('Data Entry'!$H$5:$BE$10004,5745-4,'Visual SPC'!$B$3),"")</f>
        <v/>
      </c>
      <c r="E5745">
        <f>IF(B5745=1,D5745,E5744)</f>
        <v/>
      </c>
      <c r="F5745">
        <f>IF(AND(B5745=1,C5745&gt;1,E5744&lt;&gt;""),ABS(D5745-E5744),"")</f>
        <v/>
      </c>
    </row>
    <row r="5746">
      <c r="A5746" t="n">
        <v>5746</v>
      </c>
      <c r="B5746">
        <f>IF(INDEX('Data Entry'!$H$5:$BE$10004,5746-4,'Visual SPC'!$B$3)="",0,IF(AND(OR('Visual SPC'!$C$4="",'Data Entry'!$C5746&gt;='Visual SPC'!$C$4),OR('Visual SPC'!$E$4="",'Data Entry'!$C5746&lt;='Visual SPC'!$E$4),OR('Visual SPC'!$G$4="",'Data Entry'!$D5746='Visual SPC'!$G$4),OR('Visual SPC'!$I$4="",'Data Entry'!$E5746='Visual SPC'!$I$4),OR('Visual SPC'!$K$4="",'Data Entry'!$F5746='Visual SPC'!$K$4)),1,0))</f>
        <v/>
      </c>
      <c r="C5746">
        <f>C5745+B5746</f>
        <v/>
      </c>
      <c r="D5746">
        <f>IF(B5746=1,INDEX('Data Entry'!$H$5:$BE$10004,5746-4,'Visual SPC'!$B$3),"")</f>
        <v/>
      </c>
      <c r="E5746">
        <f>IF(B5746=1,D5746,E5745)</f>
        <v/>
      </c>
      <c r="F5746">
        <f>IF(AND(B5746=1,C5746&gt;1,E5745&lt;&gt;""),ABS(D5746-E5745),"")</f>
        <v/>
      </c>
    </row>
    <row r="5747">
      <c r="A5747" t="n">
        <v>5747</v>
      </c>
      <c r="B5747">
        <f>IF(INDEX('Data Entry'!$H$5:$BE$10004,5747-4,'Visual SPC'!$B$3)="",0,IF(AND(OR('Visual SPC'!$C$4="",'Data Entry'!$C5747&gt;='Visual SPC'!$C$4),OR('Visual SPC'!$E$4="",'Data Entry'!$C5747&lt;='Visual SPC'!$E$4),OR('Visual SPC'!$G$4="",'Data Entry'!$D5747='Visual SPC'!$G$4),OR('Visual SPC'!$I$4="",'Data Entry'!$E5747='Visual SPC'!$I$4),OR('Visual SPC'!$K$4="",'Data Entry'!$F5747='Visual SPC'!$K$4)),1,0))</f>
        <v/>
      </c>
      <c r="C5747">
        <f>C5746+B5747</f>
        <v/>
      </c>
      <c r="D5747">
        <f>IF(B5747=1,INDEX('Data Entry'!$H$5:$BE$10004,5747-4,'Visual SPC'!$B$3),"")</f>
        <v/>
      </c>
      <c r="E5747">
        <f>IF(B5747=1,D5747,E5746)</f>
        <v/>
      </c>
      <c r="F5747">
        <f>IF(AND(B5747=1,C5747&gt;1,E5746&lt;&gt;""),ABS(D5747-E5746),"")</f>
        <v/>
      </c>
    </row>
    <row r="5748">
      <c r="A5748" t="n">
        <v>5748</v>
      </c>
      <c r="B5748">
        <f>IF(INDEX('Data Entry'!$H$5:$BE$10004,5748-4,'Visual SPC'!$B$3)="",0,IF(AND(OR('Visual SPC'!$C$4="",'Data Entry'!$C5748&gt;='Visual SPC'!$C$4),OR('Visual SPC'!$E$4="",'Data Entry'!$C5748&lt;='Visual SPC'!$E$4),OR('Visual SPC'!$G$4="",'Data Entry'!$D5748='Visual SPC'!$G$4),OR('Visual SPC'!$I$4="",'Data Entry'!$E5748='Visual SPC'!$I$4),OR('Visual SPC'!$K$4="",'Data Entry'!$F5748='Visual SPC'!$K$4)),1,0))</f>
        <v/>
      </c>
      <c r="C5748">
        <f>C5747+B5748</f>
        <v/>
      </c>
      <c r="D5748">
        <f>IF(B5748=1,INDEX('Data Entry'!$H$5:$BE$10004,5748-4,'Visual SPC'!$B$3),"")</f>
        <v/>
      </c>
      <c r="E5748">
        <f>IF(B5748=1,D5748,E5747)</f>
        <v/>
      </c>
      <c r="F5748">
        <f>IF(AND(B5748=1,C5748&gt;1,E5747&lt;&gt;""),ABS(D5748-E5747),"")</f>
        <v/>
      </c>
    </row>
    <row r="5749">
      <c r="A5749" t="n">
        <v>5749</v>
      </c>
      <c r="B5749">
        <f>IF(INDEX('Data Entry'!$H$5:$BE$10004,5749-4,'Visual SPC'!$B$3)="",0,IF(AND(OR('Visual SPC'!$C$4="",'Data Entry'!$C5749&gt;='Visual SPC'!$C$4),OR('Visual SPC'!$E$4="",'Data Entry'!$C5749&lt;='Visual SPC'!$E$4),OR('Visual SPC'!$G$4="",'Data Entry'!$D5749='Visual SPC'!$G$4),OR('Visual SPC'!$I$4="",'Data Entry'!$E5749='Visual SPC'!$I$4),OR('Visual SPC'!$K$4="",'Data Entry'!$F5749='Visual SPC'!$K$4)),1,0))</f>
        <v/>
      </c>
      <c r="C5749">
        <f>C5748+B5749</f>
        <v/>
      </c>
      <c r="D5749">
        <f>IF(B5749=1,INDEX('Data Entry'!$H$5:$BE$10004,5749-4,'Visual SPC'!$B$3),"")</f>
        <v/>
      </c>
      <c r="E5749">
        <f>IF(B5749=1,D5749,E5748)</f>
        <v/>
      </c>
      <c r="F5749">
        <f>IF(AND(B5749=1,C5749&gt;1,E5748&lt;&gt;""),ABS(D5749-E5748),"")</f>
        <v/>
      </c>
    </row>
    <row r="5750">
      <c r="A5750" t="n">
        <v>5750</v>
      </c>
      <c r="B5750">
        <f>IF(INDEX('Data Entry'!$H$5:$BE$10004,5750-4,'Visual SPC'!$B$3)="",0,IF(AND(OR('Visual SPC'!$C$4="",'Data Entry'!$C5750&gt;='Visual SPC'!$C$4),OR('Visual SPC'!$E$4="",'Data Entry'!$C5750&lt;='Visual SPC'!$E$4),OR('Visual SPC'!$G$4="",'Data Entry'!$D5750='Visual SPC'!$G$4),OR('Visual SPC'!$I$4="",'Data Entry'!$E5750='Visual SPC'!$I$4),OR('Visual SPC'!$K$4="",'Data Entry'!$F5750='Visual SPC'!$K$4)),1,0))</f>
        <v/>
      </c>
      <c r="C5750">
        <f>C5749+B5750</f>
        <v/>
      </c>
      <c r="D5750">
        <f>IF(B5750=1,INDEX('Data Entry'!$H$5:$BE$10004,5750-4,'Visual SPC'!$B$3),"")</f>
        <v/>
      </c>
      <c r="E5750">
        <f>IF(B5750=1,D5750,E5749)</f>
        <v/>
      </c>
      <c r="F5750">
        <f>IF(AND(B5750=1,C5750&gt;1,E5749&lt;&gt;""),ABS(D5750-E5749),"")</f>
        <v/>
      </c>
    </row>
    <row r="5751">
      <c r="A5751" t="n">
        <v>5751</v>
      </c>
      <c r="B5751">
        <f>IF(INDEX('Data Entry'!$H$5:$BE$10004,5751-4,'Visual SPC'!$B$3)="",0,IF(AND(OR('Visual SPC'!$C$4="",'Data Entry'!$C5751&gt;='Visual SPC'!$C$4),OR('Visual SPC'!$E$4="",'Data Entry'!$C5751&lt;='Visual SPC'!$E$4),OR('Visual SPC'!$G$4="",'Data Entry'!$D5751='Visual SPC'!$G$4),OR('Visual SPC'!$I$4="",'Data Entry'!$E5751='Visual SPC'!$I$4),OR('Visual SPC'!$K$4="",'Data Entry'!$F5751='Visual SPC'!$K$4)),1,0))</f>
        <v/>
      </c>
      <c r="C5751">
        <f>C5750+B5751</f>
        <v/>
      </c>
      <c r="D5751">
        <f>IF(B5751=1,INDEX('Data Entry'!$H$5:$BE$10004,5751-4,'Visual SPC'!$B$3),"")</f>
        <v/>
      </c>
      <c r="E5751">
        <f>IF(B5751=1,D5751,E5750)</f>
        <v/>
      </c>
      <c r="F5751">
        <f>IF(AND(B5751=1,C5751&gt;1,E5750&lt;&gt;""),ABS(D5751-E5750),"")</f>
        <v/>
      </c>
    </row>
    <row r="5752">
      <c r="A5752" t="n">
        <v>5752</v>
      </c>
      <c r="B5752">
        <f>IF(INDEX('Data Entry'!$H$5:$BE$10004,5752-4,'Visual SPC'!$B$3)="",0,IF(AND(OR('Visual SPC'!$C$4="",'Data Entry'!$C5752&gt;='Visual SPC'!$C$4),OR('Visual SPC'!$E$4="",'Data Entry'!$C5752&lt;='Visual SPC'!$E$4),OR('Visual SPC'!$G$4="",'Data Entry'!$D5752='Visual SPC'!$G$4),OR('Visual SPC'!$I$4="",'Data Entry'!$E5752='Visual SPC'!$I$4),OR('Visual SPC'!$K$4="",'Data Entry'!$F5752='Visual SPC'!$K$4)),1,0))</f>
        <v/>
      </c>
      <c r="C5752">
        <f>C5751+B5752</f>
        <v/>
      </c>
      <c r="D5752">
        <f>IF(B5752=1,INDEX('Data Entry'!$H$5:$BE$10004,5752-4,'Visual SPC'!$B$3),"")</f>
        <v/>
      </c>
      <c r="E5752">
        <f>IF(B5752=1,D5752,E5751)</f>
        <v/>
      </c>
      <c r="F5752">
        <f>IF(AND(B5752=1,C5752&gt;1,E5751&lt;&gt;""),ABS(D5752-E5751),"")</f>
        <v/>
      </c>
    </row>
    <row r="5753">
      <c r="A5753" t="n">
        <v>5753</v>
      </c>
      <c r="B5753">
        <f>IF(INDEX('Data Entry'!$H$5:$BE$10004,5753-4,'Visual SPC'!$B$3)="",0,IF(AND(OR('Visual SPC'!$C$4="",'Data Entry'!$C5753&gt;='Visual SPC'!$C$4),OR('Visual SPC'!$E$4="",'Data Entry'!$C5753&lt;='Visual SPC'!$E$4),OR('Visual SPC'!$G$4="",'Data Entry'!$D5753='Visual SPC'!$G$4),OR('Visual SPC'!$I$4="",'Data Entry'!$E5753='Visual SPC'!$I$4),OR('Visual SPC'!$K$4="",'Data Entry'!$F5753='Visual SPC'!$K$4)),1,0))</f>
        <v/>
      </c>
      <c r="C5753">
        <f>C5752+B5753</f>
        <v/>
      </c>
      <c r="D5753">
        <f>IF(B5753=1,INDEX('Data Entry'!$H$5:$BE$10004,5753-4,'Visual SPC'!$B$3),"")</f>
        <v/>
      </c>
      <c r="E5753">
        <f>IF(B5753=1,D5753,E5752)</f>
        <v/>
      </c>
      <c r="F5753">
        <f>IF(AND(B5753=1,C5753&gt;1,E5752&lt;&gt;""),ABS(D5753-E5752),"")</f>
        <v/>
      </c>
    </row>
    <row r="5754">
      <c r="A5754" t="n">
        <v>5754</v>
      </c>
      <c r="B5754">
        <f>IF(INDEX('Data Entry'!$H$5:$BE$10004,5754-4,'Visual SPC'!$B$3)="",0,IF(AND(OR('Visual SPC'!$C$4="",'Data Entry'!$C5754&gt;='Visual SPC'!$C$4),OR('Visual SPC'!$E$4="",'Data Entry'!$C5754&lt;='Visual SPC'!$E$4),OR('Visual SPC'!$G$4="",'Data Entry'!$D5754='Visual SPC'!$G$4),OR('Visual SPC'!$I$4="",'Data Entry'!$E5754='Visual SPC'!$I$4),OR('Visual SPC'!$K$4="",'Data Entry'!$F5754='Visual SPC'!$K$4)),1,0))</f>
        <v/>
      </c>
      <c r="C5754">
        <f>C5753+B5754</f>
        <v/>
      </c>
      <c r="D5754">
        <f>IF(B5754=1,INDEX('Data Entry'!$H$5:$BE$10004,5754-4,'Visual SPC'!$B$3),"")</f>
        <v/>
      </c>
      <c r="E5754">
        <f>IF(B5754=1,D5754,E5753)</f>
        <v/>
      </c>
      <c r="F5754">
        <f>IF(AND(B5754=1,C5754&gt;1,E5753&lt;&gt;""),ABS(D5754-E5753),"")</f>
        <v/>
      </c>
    </row>
    <row r="5755">
      <c r="A5755" t="n">
        <v>5755</v>
      </c>
      <c r="B5755">
        <f>IF(INDEX('Data Entry'!$H$5:$BE$10004,5755-4,'Visual SPC'!$B$3)="",0,IF(AND(OR('Visual SPC'!$C$4="",'Data Entry'!$C5755&gt;='Visual SPC'!$C$4),OR('Visual SPC'!$E$4="",'Data Entry'!$C5755&lt;='Visual SPC'!$E$4),OR('Visual SPC'!$G$4="",'Data Entry'!$D5755='Visual SPC'!$G$4),OR('Visual SPC'!$I$4="",'Data Entry'!$E5755='Visual SPC'!$I$4),OR('Visual SPC'!$K$4="",'Data Entry'!$F5755='Visual SPC'!$K$4)),1,0))</f>
        <v/>
      </c>
      <c r="C5755">
        <f>C5754+B5755</f>
        <v/>
      </c>
      <c r="D5755">
        <f>IF(B5755=1,INDEX('Data Entry'!$H$5:$BE$10004,5755-4,'Visual SPC'!$B$3),"")</f>
        <v/>
      </c>
      <c r="E5755">
        <f>IF(B5755=1,D5755,E5754)</f>
        <v/>
      </c>
      <c r="F5755">
        <f>IF(AND(B5755=1,C5755&gt;1,E5754&lt;&gt;""),ABS(D5755-E5754),"")</f>
        <v/>
      </c>
    </row>
    <row r="5756">
      <c r="A5756" t="n">
        <v>5756</v>
      </c>
      <c r="B5756">
        <f>IF(INDEX('Data Entry'!$H$5:$BE$10004,5756-4,'Visual SPC'!$B$3)="",0,IF(AND(OR('Visual SPC'!$C$4="",'Data Entry'!$C5756&gt;='Visual SPC'!$C$4),OR('Visual SPC'!$E$4="",'Data Entry'!$C5756&lt;='Visual SPC'!$E$4),OR('Visual SPC'!$G$4="",'Data Entry'!$D5756='Visual SPC'!$G$4),OR('Visual SPC'!$I$4="",'Data Entry'!$E5756='Visual SPC'!$I$4),OR('Visual SPC'!$K$4="",'Data Entry'!$F5756='Visual SPC'!$K$4)),1,0))</f>
        <v/>
      </c>
      <c r="C5756">
        <f>C5755+B5756</f>
        <v/>
      </c>
      <c r="D5756">
        <f>IF(B5756=1,INDEX('Data Entry'!$H$5:$BE$10004,5756-4,'Visual SPC'!$B$3),"")</f>
        <v/>
      </c>
      <c r="E5756">
        <f>IF(B5756=1,D5756,E5755)</f>
        <v/>
      </c>
      <c r="F5756">
        <f>IF(AND(B5756=1,C5756&gt;1,E5755&lt;&gt;""),ABS(D5756-E5755),"")</f>
        <v/>
      </c>
    </row>
    <row r="5757">
      <c r="A5757" t="n">
        <v>5757</v>
      </c>
      <c r="B5757">
        <f>IF(INDEX('Data Entry'!$H$5:$BE$10004,5757-4,'Visual SPC'!$B$3)="",0,IF(AND(OR('Visual SPC'!$C$4="",'Data Entry'!$C5757&gt;='Visual SPC'!$C$4),OR('Visual SPC'!$E$4="",'Data Entry'!$C5757&lt;='Visual SPC'!$E$4),OR('Visual SPC'!$G$4="",'Data Entry'!$D5757='Visual SPC'!$G$4),OR('Visual SPC'!$I$4="",'Data Entry'!$E5757='Visual SPC'!$I$4),OR('Visual SPC'!$K$4="",'Data Entry'!$F5757='Visual SPC'!$K$4)),1,0))</f>
        <v/>
      </c>
      <c r="C5757">
        <f>C5756+B5757</f>
        <v/>
      </c>
      <c r="D5757">
        <f>IF(B5757=1,INDEX('Data Entry'!$H$5:$BE$10004,5757-4,'Visual SPC'!$B$3),"")</f>
        <v/>
      </c>
      <c r="E5757">
        <f>IF(B5757=1,D5757,E5756)</f>
        <v/>
      </c>
      <c r="F5757">
        <f>IF(AND(B5757=1,C5757&gt;1,E5756&lt;&gt;""),ABS(D5757-E5756),"")</f>
        <v/>
      </c>
    </row>
    <row r="5758">
      <c r="A5758" t="n">
        <v>5758</v>
      </c>
      <c r="B5758">
        <f>IF(INDEX('Data Entry'!$H$5:$BE$10004,5758-4,'Visual SPC'!$B$3)="",0,IF(AND(OR('Visual SPC'!$C$4="",'Data Entry'!$C5758&gt;='Visual SPC'!$C$4),OR('Visual SPC'!$E$4="",'Data Entry'!$C5758&lt;='Visual SPC'!$E$4),OR('Visual SPC'!$G$4="",'Data Entry'!$D5758='Visual SPC'!$G$4),OR('Visual SPC'!$I$4="",'Data Entry'!$E5758='Visual SPC'!$I$4),OR('Visual SPC'!$K$4="",'Data Entry'!$F5758='Visual SPC'!$K$4)),1,0))</f>
        <v/>
      </c>
      <c r="C5758">
        <f>C5757+B5758</f>
        <v/>
      </c>
      <c r="D5758">
        <f>IF(B5758=1,INDEX('Data Entry'!$H$5:$BE$10004,5758-4,'Visual SPC'!$B$3),"")</f>
        <v/>
      </c>
      <c r="E5758">
        <f>IF(B5758=1,D5758,E5757)</f>
        <v/>
      </c>
      <c r="F5758">
        <f>IF(AND(B5758=1,C5758&gt;1,E5757&lt;&gt;""),ABS(D5758-E5757),"")</f>
        <v/>
      </c>
    </row>
    <row r="5759">
      <c r="A5759" t="n">
        <v>5759</v>
      </c>
      <c r="B5759">
        <f>IF(INDEX('Data Entry'!$H$5:$BE$10004,5759-4,'Visual SPC'!$B$3)="",0,IF(AND(OR('Visual SPC'!$C$4="",'Data Entry'!$C5759&gt;='Visual SPC'!$C$4),OR('Visual SPC'!$E$4="",'Data Entry'!$C5759&lt;='Visual SPC'!$E$4),OR('Visual SPC'!$G$4="",'Data Entry'!$D5759='Visual SPC'!$G$4),OR('Visual SPC'!$I$4="",'Data Entry'!$E5759='Visual SPC'!$I$4),OR('Visual SPC'!$K$4="",'Data Entry'!$F5759='Visual SPC'!$K$4)),1,0))</f>
        <v/>
      </c>
      <c r="C5759">
        <f>C5758+B5759</f>
        <v/>
      </c>
      <c r="D5759">
        <f>IF(B5759=1,INDEX('Data Entry'!$H$5:$BE$10004,5759-4,'Visual SPC'!$B$3),"")</f>
        <v/>
      </c>
      <c r="E5759">
        <f>IF(B5759=1,D5759,E5758)</f>
        <v/>
      </c>
      <c r="F5759">
        <f>IF(AND(B5759=1,C5759&gt;1,E5758&lt;&gt;""),ABS(D5759-E5758),"")</f>
        <v/>
      </c>
    </row>
    <row r="5760">
      <c r="A5760" t="n">
        <v>5760</v>
      </c>
      <c r="B5760">
        <f>IF(INDEX('Data Entry'!$H$5:$BE$10004,5760-4,'Visual SPC'!$B$3)="",0,IF(AND(OR('Visual SPC'!$C$4="",'Data Entry'!$C5760&gt;='Visual SPC'!$C$4),OR('Visual SPC'!$E$4="",'Data Entry'!$C5760&lt;='Visual SPC'!$E$4),OR('Visual SPC'!$G$4="",'Data Entry'!$D5760='Visual SPC'!$G$4),OR('Visual SPC'!$I$4="",'Data Entry'!$E5760='Visual SPC'!$I$4),OR('Visual SPC'!$K$4="",'Data Entry'!$F5760='Visual SPC'!$K$4)),1,0))</f>
        <v/>
      </c>
      <c r="C5760">
        <f>C5759+B5760</f>
        <v/>
      </c>
      <c r="D5760">
        <f>IF(B5760=1,INDEX('Data Entry'!$H$5:$BE$10004,5760-4,'Visual SPC'!$B$3),"")</f>
        <v/>
      </c>
      <c r="E5760">
        <f>IF(B5760=1,D5760,E5759)</f>
        <v/>
      </c>
      <c r="F5760">
        <f>IF(AND(B5760=1,C5760&gt;1,E5759&lt;&gt;""),ABS(D5760-E5759),"")</f>
        <v/>
      </c>
    </row>
    <row r="5761">
      <c r="A5761" t="n">
        <v>5761</v>
      </c>
      <c r="B5761">
        <f>IF(INDEX('Data Entry'!$H$5:$BE$10004,5761-4,'Visual SPC'!$B$3)="",0,IF(AND(OR('Visual SPC'!$C$4="",'Data Entry'!$C5761&gt;='Visual SPC'!$C$4),OR('Visual SPC'!$E$4="",'Data Entry'!$C5761&lt;='Visual SPC'!$E$4),OR('Visual SPC'!$G$4="",'Data Entry'!$D5761='Visual SPC'!$G$4),OR('Visual SPC'!$I$4="",'Data Entry'!$E5761='Visual SPC'!$I$4),OR('Visual SPC'!$K$4="",'Data Entry'!$F5761='Visual SPC'!$K$4)),1,0))</f>
        <v/>
      </c>
      <c r="C5761">
        <f>C5760+B5761</f>
        <v/>
      </c>
      <c r="D5761">
        <f>IF(B5761=1,INDEX('Data Entry'!$H$5:$BE$10004,5761-4,'Visual SPC'!$B$3),"")</f>
        <v/>
      </c>
      <c r="E5761">
        <f>IF(B5761=1,D5761,E5760)</f>
        <v/>
      </c>
      <c r="F5761">
        <f>IF(AND(B5761=1,C5761&gt;1,E5760&lt;&gt;""),ABS(D5761-E5760),"")</f>
        <v/>
      </c>
    </row>
    <row r="5762">
      <c r="A5762" t="n">
        <v>5762</v>
      </c>
      <c r="B5762">
        <f>IF(INDEX('Data Entry'!$H$5:$BE$10004,5762-4,'Visual SPC'!$B$3)="",0,IF(AND(OR('Visual SPC'!$C$4="",'Data Entry'!$C5762&gt;='Visual SPC'!$C$4),OR('Visual SPC'!$E$4="",'Data Entry'!$C5762&lt;='Visual SPC'!$E$4),OR('Visual SPC'!$G$4="",'Data Entry'!$D5762='Visual SPC'!$G$4),OR('Visual SPC'!$I$4="",'Data Entry'!$E5762='Visual SPC'!$I$4),OR('Visual SPC'!$K$4="",'Data Entry'!$F5762='Visual SPC'!$K$4)),1,0))</f>
        <v/>
      </c>
      <c r="C5762">
        <f>C5761+B5762</f>
        <v/>
      </c>
      <c r="D5762">
        <f>IF(B5762=1,INDEX('Data Entry'!$H$5:$BE$10004,5762-4,'Visual SPC'!$B$3),"")</f>
        <v/>
      </c>
      <c r="E5762">
        <f>IF(B5762=1,D5762,E5761)</f>
        <v/>
      </c>
      <c r="F5762">
        <f>IF(AND(B5762=1,C5762&gt;1,E5761&lt;&gt;""),ABS(D5762-E5761),"")</f>
        <v/>
      </c>
    </row>
    <row r="5763">
      <c r="A5763" t="n">
        <v>5763</v>
      </c>
      <c r="B5763">
        <f>IF(INDEX('Data Entry'!$H$5:$BE$10004,5763-4,'Visual SPC'!$B$3)="",0,IF(AND(OR('Visual SPC'!$C$4="",'Data Entry'!$C5763&gt;='Visual SPC'!$C$4),OR('Visual SPC'!$E$4="",'Data Entry'!$C5763&lt;='Visual SPC'!$E$4),OR('Visual SPC'!$G$4="",'Data Entry'!$D5763='Visual SPC'!$G$4),OR('Visual SPC'!$I$4="",'Data Entry'!$E5763='Visual SPC'!$I$4),OR('Visual SPC'!$K$4="",'Data Entry'!$F5763='Visual SPC'!$K$4)),1,0))</f>
        <v/>
      </c>
      <c r="C5763">
        <f>C5762+B5763</f>
        <v/>
      </c>
      <c r="D5763">
        <f>IF(B5763=1,INDEX('Data Entry'!$H$5:$BE$10004,5763-4,'Visual SPC'!$B$3),"")</f>
        <v/>
      </c>
      <c r="E5763">
        <f>IF(B5763=1,D5763,E5762)</f>
        <v/>
      </c>
      <c r="F5763">
        <f>IF(AND(B5763=1,C5763&gt;1,E5762&lt;&gt;""),ABS(D5763-E5762),"")</f>
        <v/>
      </c>
    </row>
    <row r="5764">
      <c r="A5764" t="n">
        <v>5764</v>
      </c>
      <c r="B5764">
        <f>IF(INDEX('Data Entry'!$H$5:$BE$10004,5764-4,'Visual SPC'!$B$3)="",0,IF(AND(OR('Visual SPC'!$C$4="",'Data Entry'!$C5764&gt;='Visual SPC'!$C$4),OR('Visual SPC'!$E$4="",'Data Entry'!$C5764&lt;='Visual SPC'!$E$4),OR('Visual SPC'!$G$4="",'Data Entry'!$D5764='Visual SPC'!$G$4),OR('Visual SPC'!$I$4="",'Data Entry'!$E5764='Visual SPC'!$I$4),OR('Visual SPC'!$K$4="",'Data Entry'!$F5764='Visual SPC'!$K$4)),1,0))</f>
        <v/>
      </c>
      <c r="C5764">
        <f>C5763+B5764</f>
        <v/>
      </c>
      <c r="D5764">
        <f>IF(B5764=1,INDEX('Data Entry'!$H$5:$BE$10004,5764-4,'Visual SPC'!$B$3),"")</f>
        <v/>
      </c>
      <c r="E5764">
        <f>IF(B5764=1,D5764,E5763)</f>
        <v/>
      </c>
      <c r="F5764">
        <f>IF(AND(B5764=1,C5764&gt;1,E5763&lt;&gt;""),ABS(D5764-E5763),"")</f>
        <v/>
      </c>
    </row>
    <row r="5765">
      <c r="A5765" t="n">
        <v>5765</v>
      </c>
      <c r="B5765">
        <f>IF(INDEX('Data Entry'!$H$5:$BE$10004,5765-4,'Visual SPC'!$B$3)="",0,IF(AND(OR('Visual SPC'!$C$4="",'Data Entry'!$C5765&gt;='Visual SPC'!$C$4),OR('Visual SPC'!$E$4="",'Data Entry'!$C5765&lt;='Visual SPC'!$E$4),OR('Visual SPC'!$G$4="",'Data Entry'!$D5765='Visual SPC'!$G$4),OR('Visual SPC'!$I$4="",'Data Entry'!$E5765='Visual SPC'!$I$4),OR('Visual SPC'!$K$4="",'Data Entry'!$F5765='Visual SPC'!$K$4)),1,0))</f>
        <v/>
      </c>
      <c r="C5765">
        <f>C5764+B5765</f>
        <v/>
      </c>
      <c r="D5765">
        <f>IF(B5765=1,INDEX('Data Entry'!$H$5:$BE$10004,5765-4,'Visual SPC'!$B$3),"")</f>
        <v/>
      </c>
      <c r="E5765">
        <f>IF(B5765=1,D5765,E5764)</f>
        <v/>
      </c>
      <c r="F5765">
        <f>IF(AND(B5765=1,C5765&gt;1,E5764&lt;&gt;""),ABS(D5765-E5764),"")</f>
        <v/>
      </c>
    </row>
    <row r="5766">
      <c r="A5766" t="n">
        <v>5766</v>
      </c>
      <c r="B5766">
        <f>IF(INDEX('Data Entry'!$H$5:$BE$10004,5766-4,'Visual SPC'!$B$3)="",0,IF(AND(OR('Visual SPC'!$C$4="",'Data Entry'!$C5766&gt;='Visual SPC'!$C$4),OR('Visual SPC'!$E$4="",'Data Entry'!$C5766&lt;='Visual SPC'!$E$4),OR('Visual SPC'!$G$4="",'Data Entry'!$D5766='Visual SPC'!$G$4),OR('Visual SPC'!$I$4="",'Data Entry'!$E5766='Visual SPC'!$I$4),OR('Visual SPC'!$K$4="",'Data Entry'!$F5766='Visual SPC'!$K$4)),1,0))</f>
        <v/>
      </c>
      <c r="C5766">
        <f>C5765+B5766</f>
        <v/>
      </c>
      <c r="D5766">
        <f>IF(B5766=1,INDEX('Data Entry'!$H$5:$BE$10004,5766-4,'Visual SPC'!$B$3),"")</f>
        <v/>
      </c>
      <c r="E5766">
        <f>IF(B5766=1,D5766,E5765)</f>
        <v/>
      </c>
      <c r="F5766">
        <f>IF(AND(B5766=1,C5766&gt;1,E5765&lt;&gt;""),ABS(D5766-E5765),"")</f>
        <v/>
      </c>
    </row>
    <row r="5767">
      <c r="A5767" t="n">
        <v>5767</v>
      </c>
      <c r="B5767">
        <f>IF(INDEX('Data Entry'!$H$5:$BE$10004,5767-4,'Visual SPC'!$B$3)="",0,IF(AND(OR('Visual SPC'!$C$4="",'Data Entry'!$C5767&gt;='Visual SPC'!$C$4),OR('Visual SPC'!$E$4="",'Data Entry'!$C5767&lt;='Visual SPC'!$E$4),OR('Visual SPC'!$G$4="",'Data Entry'!$D5767='Visual SPC'!$G$4),OR('Visual SPC'!$I$4="",'Data Entry'!$E5767='Visual SPC'!$I$4),OR('Visual SPC'!$K$4="",'Data Entry'!$F5767='Visual SPC'!$K$4)),1,0))</f>
        <v/>
      </c>
      <c r="C5767">
        <f>C5766+B5767</f>
        <v/>
      </c>
      <c r="D5767">
        <f>IF(B5767=1,INDEX('Data Entry'!$H$5:$BE$10004,5767-4,'Visual SPC'!$B$3),"")</f>
        <v/>
      </c>
      <c r="E5767">
        <f>IF(B5767=1,D5767,E5766)</f>
        <v/>
      </c>
      <c r="F5767">
        <f>IF(AND(B5767=1,C5767&gt;1,E5766&lt;&gt;""),ABS(D5767-E5766),"")</f>
        <v/>
      </c>
    </row>
    <row r="5768">
      <c r="A5768" t="n">
        <v>5768</v>
      </c>
      <c r="B5768">
        <f>IF(INDEX('Data Entry'!$H$5:$BE$10004,5768-4,'Visual SPC'!$B$3)="",0,IF(AND(OR('Visual SPC'!$C$4="",'Data Entry'!$C5768&gt;='Visual SPC'!$C$4),OR('Visual SPC'!$E$4="",'Data Entry'!$C5768&lt;='Visual SPC'!$E$4),OR('Visual SPC'!$G$4="",'Data Entry'!$D5768='Visual SPC'!$G$4),OR('Visual SPC'!$I$4="",'Data Entry'!$E5768='Visual SPC'!$I$4),OR('Visual SPC'!$K$4="",'Data Entry'!$F5768='Visual SPC'!$K$4)),1,0))</f>
        <v/>
      </c>
      <c r="C5768">
        <f>C5767+B5768</f>
        <v/>
      </c>
      <c r="D5768">
        <f>IF(B5768=1,INDEX('Data Entry'!$H$5:$BE$10004,5768-4,'Visual SPC'!$B$3),"")</f>
        <v/>
      </c>
      <c r="E5768">
        <f>IF(B5768=1,D5768,E5767)</f>
        <v/>
      </c>
      <c r="F5768">
        <f>IF(AND(B5768=1,C5768&gt;1,E5767&lt;&gt;""),ABS(D5768-E5767),"")</f>
        <v/>
      </c>
    </row>
    <row r="5769">
      <c r="A5769" t="n">
        <v>5769</v>
      </c>
      <c r="B5769">
        <f>IF(INDEX('Data Entry'!$H$5:$BE$10004,5769-4,'Visual SPC'!$B$3)="",0,IF(AND(OR('Visual SPC'!$C$4="",'Data Entry'!$C5769&gt;='Visual SPC'!$C$4),OR('Visual SPC'!$E$4="",'Data Entry'!$C5769&lt;='Visual SPC'!$E$4),OR('Visual SPC'!$G$4="",'Data Entry'!$D5769='Visual SPC'!$G$4),OR('Visual SPC'!$I$4="",'Data Entry'!$E5769='Visual SPC'!$I$4),OR('Visual SPC'!$K$4="",'Data Entry'!$F5769='Visual SPC'!$K$4)),1,0))</f>
        <v/>
      </c>
      <c r="C5769">
        <f>C5768+B5769</f>
        <v/>
      </c>
      <c r="D5769">
        <f>IF(B5769=1,INDEX('Data Entry'!$H$5:$BE$10004,5769-4,'Visual SPC'!$B$3),"")</f>
        <v/>
      </c>
      <c r="E5769">
        <f>IF(B5769=1,D5769,E5768)</f>
        <v/>
      </c>
      <c r="F5769">
        <f>IF(AND(B5769=1,C5769&gt;1,E5768&lt;&gt;""),ABS(D5769-E5768),"")</f>
        <v/>
      </c>
    </row>
    <row r="5770">
      <c r="A5770" t="n">
        <v>5770</v>
      </c>
      <c r="B5770">
        <f>IF(INDEX('Data Entry'!$H$5:$BE$10004,5770-4,'Visual SPC'!$B$3)="",0,IF(AND(OR('Visual SPC'!$C$4="",'Data Entry'!$C5770&gt;='Visual SPC'!$C$4),OR('Visual SPC'!$E$4="",'Data Entry'!$C5770&lt;='Visual SPC'!$E$4),OR('Visual SPC'!$G$4="",'Data Entry'!$D5770='Visual SPC'!$G$4),OR('Visual SPC'!$I$4="",'Data Entry'!$E5770='Visual SPC'!$I$4),OR('Visual SPC'!$K$4="",'Data Entry'!$F5770='Visual SPC'!$K$4)),1,0))</f>
        <v/>
      </c>
      <c r="C5770">
        <f>C5769+B5770</f>
        <v/>
      </c>
      <c r="D5770">
        <f>IF(B5770=1,INDEX('Data Entry'!$H$5:$BE$10004,5770-4,'Visual SPC'!$B$3),"")</f>
        <v/>
      </c>
      <c r="E5770">
        <f>IF(B5770=1,D5770,E5769)</f>
        <v/>
      </c>
      <c r="F5770">
        <f>IF(AND(B5770=1,C5770&gt;1,E5769&lt;&gt;""),ABS(D5770-E5769),"")</f>
        <v/>
      </c>
    </row>
    <row r="5771">
      <c r="A5771" t="n">
        <v>5771</v>
      </c>
      <c r="B5771">
        <f>IF(INDEX('Data Entry'!$H$5:$BE$10004,5771-4,'Visual SPC'!$B$3)="",0,IF(AND(OR('Visual SPC'!$C$4="",'Data Entry'!$C5771&gt;='Visual SPC'!$C$4),OR('Visual SPC'!$E$4="",'Data Entry'!$C5771&lt;='Visual SPC'!$E$4),OR('Visual SPC'!$G$4="",'Data Entry'!$D5771='Visual SPC'!$G$4),OR('Visual SPC'!$I$4="",'Data Entry'!$E5771='Visual SPC'!$I$4),OR('Visual SPC'!$K$4="",'Data Entry'!$F5771='Visual SPC'!$K$4)),1,0))</f>
        <v/>
      </c>
      <c r="C5771">
        <f>C5770+B5771</f>
        <v/>
      </c>
      <c r="D5771">
        <f>IF(B5771=1,INDEX('Data Entry'!$H$5:$BE$10004,5771-4,'Visual SPC'!$B$3),"")</f>
        <v/>
      </c>
      <c r="E5771">
        <f>IF(B5771=1,D5771,E5770)</f>
        <v/>
      </c>
      <c r="F5771">
        <f>IF(AND(B5771=1,C5771&gt;1,E5770&lt;&gt;""),ABS(D5771-E5770),"")</f>
        <v/>
      </c>
    </row>
    <row r="5772">
      <c r="A5772" t="n">
        <v>5772</v>
      </c>
      <c r="B5772">
        <f>IF(INDEX('Data Entry'!$H$5:$BE$10004,5772-4,'Visual SPC'!$B$3)="",0,IF(AND(OR('Visual SPC'!$C$4="",'Data Entry'!$C5772&gt;='Visual SPC'!$C$4),OR('Visual SPC'!$E$4="",'Data Entry'!$C5772&lt;='Visual SPC'!$E$4),OR('Visual SPC'!$G$4="",'Data Entry'!$D5772='Visual SPC'!$G$4),OR('Visual SPC'!$I$4="",'Data Entry'!$E5772='Visual SPC'!$I$4),OR('Visual SPC'!$K$4="",'Data Entry'!$F5772='Visual SPC'!$K$4)),1,0))</f>
        <v/>
      </c>
      <c r="C5772">
        <f>C5771+B5772</f>
        <v/>
      </c>
      <c r="D5772">
        <f>IF(B5772=1,INDEX('Data Entry'!$H$5:$BE$10004,5772-4,'Visual SPC'!$B$3),"")</f>
        <v/>
      </c>
      <c r="E5772">
        <f>IF(B5772=1,D5772,E5771)</f>
        <v/>
      </c>
      <c r="F5772">
        <f>IF(AND(B5772=1,C5772&gt;1,E5771&lt;&gt;""),ABS(D5772-E5771),"")</f>
        <v/>
      </c>
    </row>
    <row r="5773">
      <c r="A5773" t="n">
        <v>5773</v>
      </c>
      <c r="B5773">
        <f>IF(INDEX('Data Entry'!$H$5:$BE$10004,5773-4,'Visual SPC'!$B$3)="",0,IF(AND(OR('Visual SPC'!$C$4="",'Data Entry'!$C5773&gt;='Visual SPC'!$C$4),OR('Visual SPC'!$E$4="",'Data Entry'!$C5773&lt;='Visual SPC'!$E$4),OR('Visual SPC'!$G$4="",'Data Entry'!$D5773='Visual SPC'!$G$4),OR('Visual SPC'!$I$4="",'Data Entry'!$E5773='Visual SPC'!$I$4),OR('Visual SPC'!$K$4="",'Data Entry'!$F5773='Visual SPC'!$K$4)),1,0))</f>
        <v/>
      </c>
      <c r="C5773">
        <f>C5772+B5773</f>
        <v/>
      </c>
      <c r="D5773">
        <f>IF(B5773=1,INDEX('Data Entry'!$H$5:$BE$10004,5773-4,'Visual SPC'!$B$3),"")</f>
        <v/>
      </c>
      <c r="E5773">
        <f>IF(B5773=1,D5773,E5772)</f>
        <v/>
      </c>
      <c r="F5773">
        <f>IF(AND(B5773=1,C5773&gt;1,E5772&lt;&gt;""),ABS(D5773-E5772),"")</f>
        <v/>
      </c>
    </row>
    <row r="5774">
      <c r="A5774" t="n">
        <v>5774</v>
      </c>
      <c r="B5774">
        <f>IF(INDEX('Data Entry'!$H$5:$BE$10004,5774-4,'Visual SPC'!$B$3)="",0,IF(AND(OR('Visual SPC'!$C$4="",'Data Entry'!$C5774&gt;='Visual SPC'!$C$4),OR('Visual SPC'!$E$4="",'Data Entry'!$C5774&lt;='Visual SPC'!$E$4),OR('Visual SPC'!$G$4="",'Data Entry'!$D5774='Visual SPC'!$G$4),OR('Visual SPC'!$I$4="",'Data Entry'!$E5774='Visual SPC'!$I$4),OR('Visual SPC'!$K$4="",'Data Entry'!$F5774='Visual SPC'!$K$4)),1,0))</f>
        <v/>
      </c>
      <c r="C5774">
        <f>C5773+B5774</f>
        <v/>
      </c>
      <c r="D5774">
        <f>IF(B5774=1,INDEX('Data Entry'!$H$5:$BE$10004,5774-4,'Visual SPC'!$B$3),"")</f>
        <v/>
      </c>
      <c r="E5774">
        <f>IF(B5774=1,D5774,E5773)</f>
        <v/>
      </c>
      <c r="F5774">
        <f>IF(AND(B5774=1,C5774&gt;1,E5773&lt;&gt;""),ABS(D5774-E5773),"")</f>
        <v/>
      </c>
    </row>
    <row r="5775">
      <c r="A5775" t="n">
        <v>5775</v>
      </c>
      <c r="B5775">
        <f>IF(INDEX('Data Entry'!$H$5:$BE$10004,5775-4,'Visual SPC'!$B$3)="",0,IF(AND(OR('Visual SPC'!$C$4="",'Data Entry'!$C5775&gt;='Visual SPC'!$C$4),OR('Visual SPC'!$E$4="",'Data Entry'!$C5775&lt;='Visual SPC'!$E$4),OR('Visual SPC'!$G$4="",'Data Entry'!$D5775='Visual SPC'!$G$4),OR('Visual SPC'!$I$4="",'Data Entry'!$E5775='Visual SPC'!$I$4),OR('Visual SPC'!$K$4="",'Data Entry'!$F5775='Visual SPC'!$K$4)),1,0))</f>
        <v/>
      </c>
      <c r="C5775">
        <f>C5774+B5775</f>
        <v/>
      </c>
      <c r="D5775">
        <f>IF(B5775=1,INDEX('Data Entry'!$H$5:$BE$10004,5775-4,'Visual SPC'!$B$3),"")</f>
        <v/>
      </c>
      <c r="E5775">
        <f>IF(B5775=1,D5775,E5774)</f>
        <v/>
      </c>
      <c r="F5775">
        <f>IF(AND(B5775=1,C5775&gt;1,E5774&lt;&gt;""),ABS(D5775-E5774),"")</f>
        <v/>
      </c>
    </row>
    <row r="5776">
      <c r="A5776" t="n">
        <v>5776</v>
      </c>
      <c r="B5776">
        <f>IF(INDEX('Data Entry'!$H$5:$BE$10004,5776-4,'Visual SPC'!$B$3)="",0,IF(AND(OR('Visual SPC'!$C$4="",'Data Entry'!$C5776&gt;='Visual SPC'!$C$4),OR('Visual SPC'!$E$4="",'Data Entry'!$C5776&lt;='Visual SPC'!$E$4),OR('Visual SPC'!$G$4="",'Data Entry'!$D5776='Visual SPC'!$G$4),OR('Visual SPC'!$I$4="",'Data Entry'!$E5776='Visual SPC'!$I$4),OR('Visual SPC'!$K$4="",'Data Entry'!$F5776='Visual SPC'!$K$4)),1,0))</f>
        <v/>
      </c>
      <c r="C5776">
        <f>C5775+B5776</f>
        <v/>
      </c>
      <c r="D5776">
        <f>IF(B5776=1,INDEX('Data Entry'!$H$5:$BE$10004,5776-4,'Visual SPC'!$B$3),"")</f>
        <v/>
      </c>
      <c r="E5776">
        <f>IF(B5776=1,D5776,E5775)</f>
        <v/>
      </c>
      <c r="F5776">
        <f>IF(AND(B5776=1,C5776&gt;1,E5775&lt;&gt;""),ABS(D5776-E5775),"")</f>
        <v/>
      </c>
    </row>
    <row r="5777">
      <c r="A5777" t="n">
        <v>5777</v>
      </c>
      <c r="B5777">
        <f>IF(INDEX('Data Entry'!$H$5:$BE$10004,5777-4,'Visual SPC'!$B$3)="",0,IF(AND(OR('Visual SPC'!$C$4="",'Data Entry'!$C5777&gt;='Visual SPC'!$C$4),OR('Visual SPC'!$E$4="",'Data Entry'!$C5777&lt;='Visual SPC'!$E$4),OR('Visual SPC'!$G$4="",'Data Entry'!$D5777='Visual SPC'!$G$4),OR('Visual SPC'!$I$4="",'Data Entry'!$E5777='Visual SPC'!$I$4),OR('Visual SPC'!$K$4="",'Data Entry'!$F5777='Visual SPC'!$K$4)),1,0))</f>
        <v/>
      </c>
      <c r="C5777">
        <f>C5776+B5777</f>
        <v/>
      </c>
      <c r="D5777">
        <f>IF(B5777=1,INDEX('Data Entry'!$H$5:$BE$10004,5777-4,'Visual SPC'!$B$3),"")</f>
        <v/>
      </c>
      <c r="E5777">
        <f>IF(B5777=1,D5777,E5776)</f>
        <v/>
      </c>
      <c r="F5777">
        <f>IF(AND(B5777=1,C5777&gt;1,E5776&lt;&gt;""),ABS(D5777-E5776),"")</f>
        <v/>
      </c>
    </row>
    <row r="5778">
      <c r="A5778" t="n">
        <v>5778</v>
      </c>
      <c r="B5778">
        <f>IF(INDEX('Data Entry'!$H$5:$BE$10004,5778-4,'Visual SPC'!$B$3)="",0,IF(AND(OR('Visual SPC'!$C$4="",'Data Entry'!$C5778&gt;='Visual SPC'!$C$4),OR('Visual SPC'!$E$4="",'Data Entry'!$C5778&lt;='Visual SPC'!$E$4),OR('Visual SPC'!$G$4="",'Data Entry'!$D5778='Visual SPC'!$G$4),OR('Visual SPC'!$I$4="",'Data Entry'!$E5778='Visual SPC'!$I$4),OR('Visual SPC'!$K$4="",'Data Entry'!$F5778='Visual SPC'!$K$4)),1,0))</f>
        <v/>
      </c>
      <c r="C5778">
        <f>C5777+B5778</f>
        <v/>
      </c>
      <c r="D5778">
        <f>IF(B5778=1,INDEX('Data Entry'!$H$5:$BE$10004,5778-4,'Visual SPC'!$B$3),"")</f>
        <v/>
      </c>
      <c r="E5778">
        <f>IF(B5778=1,D5778,E5777)</f>
        <v/>
      </c>
      <c r="F5778">
        <f>IF(AND(B5778=1,C5778&gt;1,E5777&lt;&gt;""),ABS(D5778-E5777),"")</f>
        <v/>
      </c>
    </row>
    <row r="5779">
      <c r="A5779" t="n">
        <v>5779</v>
      </c>
      <c r="B5779">
        <f>IF(INDEX('Data Entry'!$H$5:$BE$10004,5779-4,'Visual SPC'!$B$3)="",0,IF(AND(OR('Visual SPC'!$C$4="",'Data Entry'!$C5779&gt;='Visual SPC'!$C$4),OR('Visual SPC'!$E$4="",'Data Entry'!$C5779&lt;='Visual SPC'!$E$4),OR('Visual SPC'!$G$4="",'Data Entry'!$D5779='Visual SPC'!$G$4),OR('Visual SPC'!$I$4="",'Data Entry'!$E5779='Visual SPC'!$I$4),OR('Visual SPC'!$K$4="",'Data Entry'!$F5779='Visual SPC'!$K$4)),1,0))</f>
        <v/>
      </c>
      <c r="C5779">
        <f>C5778+B5779</f>
        <v/>
      </c>
      <c r="D5779">
        <f>IF(B5779=1,INDEX('Data Entry'!$H$5:$BE$10004,5779-4,'Visual SPC'!$B$3),"")</f>
        <v/>
      </c>
      <c r="E5779">
        <f>IF(B5779=1,D5779,E5778)</f>
        <v/>
      </c>
      <c r="F5779">
        <f>IF(AND(B5779=1,C5779&gt;1,E5778&lt;&gt;""),ABS(D5779-E5778),"")</f>
        <v/>
      </c>
    </row>
    <row r="5780">
      <c r="A5780" t="n">
        <v>5780</v>
      </c>
      <c r="B5780">
        <f>IF(INDEX('Data Entry'!$H$5:$BE$10004,5780-4,'Visual SPC'!$B$3)="",0,IF(AND(OR('Visual SPC'!$C$4="",'Data Entry'!$C5780&gt;='Visual SPC'!$C$4),OR('Visual SPC'!$E$4="",'Data Entry'!$C5780&lt;='Visual SPC'!$E$4),OR('Visual SPC'!$G$4="",'Data Entry'!$D5780='Visual SPC'!$G$4),OR('Visual SPC'!$I$4="",'Data Entry'!$E5780='Visual SPC'!$I$4),OR('Visual SPC'!$K$4="",'Data Entry'!$F5780='Visual SPC'!$K$4)),1,0))</f>
        <v/>
      </c>
      <c r="C5780">
        <f>C5779+B5780</f>
        <v/>
      </c>
      <c r="D5780">
        <f>IF(B5780=1,INDEX('Data Entry'!$H$5:$BE$10004,5780-4,'Visual SPC'!$B$3),"")</f>
        <v/>
      </c>
      <c r="E5780">
        <f>IF(B5780=1,D5780,E5779)</f>
        <v/>
      </c>
      <c r="F5780">
        <f>IF(AND(B5780=1,C5780&gt;1,E5779&lt;&gt;""),ABS(D5780-E5779),"")</f>
        <v/>
      </c>
    </row>
    <row r="5781">
      <c r="A5781" t="n">
        <v>5781</v>
      </c>
      <c r="B5781">
        <f>IF(INDEX('Data Entry'!$H$5:$BE$10004,5781-4,'Visual SPC'!$B$3)="",0,IF(AND(OR('Visual SPC'!$C$4="",'Data Entry'!$C5781&gt;='Visual SPC'!$C$4),OR('Visual SPC'!$E$4="",'Data Entry'!$C5781&lt;='Visual SPC'!$E$4),OR('Visual SPC'!$G$4="",'Data Entry'!$D5781='Visual SPC'!$G$4),OR('Visual SPC'!$I$4="",'Data Entry'!$E5781='Visual SPC'!$I$4),OR('Visual SPC'!$K$4="",'Data Entry'!$F5781='Visual SPC'!$K$4)),1,0))</f>
        <v/>
      </c>
      <c r="C5781">
        <f>C5780+B5781</f>
        <v/>
      </c>
      <c r="D5781">
        <f>IF(B5781=1,INDEX('Data Entry'!$H$5:$BE$10004,5781-4,'Visual SPC'!$B$3),"")</f>
        <v/>
      </c>
      <c r="E5781">
        <f>IF(B5781=1,D5781,E5780)</f>
        <v/>
      </c>
      <c r="F5781">
        <f>IF(AND(B5781=1,C5781&gt;1,E5780&lt;&gt;""),ABS(D5781-E5780),"")</f>
        <v/>
      </c>
    </row>
    <row r="5782">
      <c r="A5782" t="n">
        <v>5782</v>
      </c>
      <c r="B5782">
        <f>IF(INDEX('Data Entry'!$H$5:$BE$10004,5782-4,'Visual SPC'!$B$3)="",0,IF(AND(OR('Visual SPC'!$C$4="",'Data Entry'!$C5782&gt;='Visual SPC'!$C$4),OR('Visual SPC'!$E$4="",'Data Entry'!$C5782&lt;='Visual SPC'!$E$4),OR('Visual SPC'!$G$4="",'Data Entry'!$D5782='Visual SPC'!$G$4),OR('Visual SPC'!$I$4="",'Data Entry'!$E5782='Visual SPC'!$I$4),OR('Visual SPC'!$K$4="",'Data Entry'!$F5782='Visual SPC'!$K$4)),1,0))</f>
        <v/>
      </c>
      <c r="C5782">
        <f>C5781+B5782</f>
        <v/>
      </c>
      <c r="D5782">
        <f>IF(B5782=1,INDEX('Data Entry'!$H$5:$BE$10004,5782-4,'Visual SPC'!$B$3),"")</f>
        <v/>
      </c>
      <c r="E5782">
        <f>IF(B5782=1,D5782,E5781)</f>
        <v/>
      </c>
      <c r="F5782">
        <f>IF(AND(B5782=1,C5782&gt;1,E5781&lt;&gt;""),ABS(D5782-E5781),"")</f>
        <v/>
      </c>
    </row>
    <row r="5783">
      <c r="A5783" t="n">
        <v>5783</v>
      </c>
      <c r="B5783">
        <f>IF(INDEX('Data Entry'!$H$5:$BE$10004,5783-4,'Visual SPC'!$B$3)="",0,IF(AND(OR('Visual SPC'!$C$4="",'Data Entry'!$C5783&gt;='Visual SPC'!$C$4),OR('Visual SPC'!$E$4="",'Data Entry'!$C5783&lt;='Visual SPC'!$E$4),OR('Visual SPC'!$G$4="",'Data Entry'!$D5783='Visual SPC'!$G$4),OR('Visual SPC'!$I$4="",'Data Entry'!$E5783='Visual SPC'!$I$4),OR('Visual SPC'!$K$4="",'Data Entry'!$F5783='Visual SPC'!$K$4)),1,0))</f>
        <v/>
      </c>
      <c r="C5783">
        <f>C5782+B5783</f>
        <v/>
      </c>
      <c r="D5783">
        <f>IF(B5783=1,INDEX('Data Entry'!$H$5:$BE$10004,5783-4,'Visual SPC'!$B$3),"")</f>
        <v/>
      </c>
      <c r="E5783">
        <f>IF(B5783=1,D5783,E5782)</f>
        <v/>
      </c>
      <c r="F5783">
        <f>IF(AND(B5783=1,C5783&gt;1,E5782&lt;&gt;""),ABS(D5783-E5782),"")</f>
        <v/>
      </c>
    </row>
    <row r="5784">
      <c r="A5784" t="n">
        <v>5784</v>
      </c>
      <c r="B5784">
        <f>IF(INDEX('Data Entry'!$H$5:$BE$10004,5784-4,'Visual SPC'!$B$3)="",0,IF(AND(OR('Visual SPC'!$C$4="",'Data Entry'!$C5784&gt;='Visual SPC'!$C$4),OR('Visual SPC'!$E$4="",'Data Entry'!$C5784&lt;='Visual SPC'!$E$4),OR('Visual SPC'!$G$4="",'Data Entry'!$D5784='Visual SPC'!$G$4),OR('Visual SPC'!$I$4="",'Data Entry'!$E5784='Visual SPC'!$I$4),OR('Visual SPC'!$K$4="",'Data Entry'!$F5784='Visual SPC'!$K$4)),1,0))</f>
        <v/>
      </c>
      <c r="C5784">
        <f>C5783+B5784</f>
        <v/>
      </c>
      <c r="D5784">
        <f>IF(B5784=1,INDEX('Data Entry'!$H$5:$BE$10004,5784-4,'Visual SPC'!$B$3),"")</f>
        <v/>
      </c>
      <c r="E5784">
        <f>IF(B5784=1,D5784,E5783)</f>
        <v/>
      </c>
      <c r="F5784">
        <f>IF(AND(B5784=1,C5784&gt;1,E5783&lt;&gt;""),ABS(D5784-E5783),"")</f>
        <v/>
      </c>
    </row>
    <row r="5785">
      <c r="A5785" t="n">
        <v>5785</v>
      </c>
      <c r="B5785">
        <f>IF(INDEX('Data Entry'!$H$5:$BE$10004,5785-4,'Visual SPC'!$B$3)="",0,IF(AND(OR('Visual SPC'!$C$4="",'Data Entry'!$C5785&gt;='Visual SPC'!$C$4),OR('Visual SPC'!$E$4="",'Data Entry'!$C5785&lt;='Visual SPC'!$E$4),OR('Visual SPC'!$G$4="",'Data Entry'!$D5785='Visual SPC'!$G$4),OR('Visual SPC'!$I$4="",'Data Entry'!$E5785='Visual SPC'!$I$4),OR('Visual SPC'!$K$4="",'Data Entry'!$F5785='Visual SPC'!$K$4)),1,0))</f>
        <v/>
      </c>
      <c r="C5785">
        <f>C5784+B5785</f>
        <v/>
      </c>
      <c r="D5785">
        <f>IF(B5785=1,INDEX('Data Entry'!$H$5:$BE$10004,5785-4,'Visual SPC'!$B$3),"")</f>
        <v/>
      </c>
      <c r="E5785">
        <f>IF(B5785=1,D5785,E5784)</f>
        <v/>
      </c>
      <c r="F5785">
        <f>IF(AND(B5785=1,C5785&gt;1,E5784&lt;&gt;""),ABS(D5785-E5784),"")</f>
        <v/>
      </c>
    </row>
    <row r="5786">
      <c r="A5786" t="n">
        <v>5786</v>
      </c>
      <c r="B5786">
        <f>IF(INDEX('Data Entry'!$H$5:$BE$10004,5786-4,'Visual SPC'!$B$3)="",0,IF(AND(OR('Visual SPC'!$C$4="",'Data Entry'!$C5786&gt;='Visual SPC'!$C$4),OR('Visual SPC'!$E$4="",'Data Entry'!$C5786&lt;='Visual SPC'!$E$4),OR('Visual SPC'!$G$4="",'Data Entry'!$D5786='Visual SPC'!$G$4),OR('Visual SPC'!$I$4="",'Data Entry'!$E5786='Visual SPC'!$I$4),OR('Visual SPC'!$K$4="",'Data Entry'!$F5786='Visual SPC'!$K$4)),1,0))</f>
        <v/>
      </c>
      <c r="C5786">
        <f>C5785+B5786</f>
        <v/>
      </c>
      <c r="D5786">
        <f>IF(B5786=1,INDEX('Data Entry'!$H$5:$BE$10004,5786-4,'Visual SPC'!$B$3),"")</f>
        <v/>
      </c>
      <c r="E5786">
        <f>IF(B5786=1,D5786,E5785)</f>
        <v/>
      </c>
      <c r="F5786">
        <f>IF(AND(B5786=1,C5786&gt;1,E5785&lt;&gt;""),ABS(D5786-E5785),"")</f>
        <v/>
      </c>
    </row>
    <row r="5787">
      <c r="A5787" t="n">
        <v>5787</v>
      </c>
      <c r="B5787">
        <f>IF(INDEX('Data Entry'!$H$5:$BE$10004,5787-4,'Visual SPC'!$B$3)="",0,IF(AND(OR('Visual SPC'!$C$4="",'Data Entry'!$C5787&gt;='Visual SPC'!$C$4),OR('Visual SPC'!$E$4="",'Data Entry'!$C5787&lt;='Visual SPC'!$E$4),OR('Visual SPC'!$G$4="",'Data Entry'!$D5787='Visual SPC'!$G$4),OR('Visual SPC'!$I$4="",'Data Entry'!$E5787='Visual SPC'!$I$4),OR('Visual SPC'!$K$4="",'Data Entry'!$F5787='Visual SPC'!$K$4)),1,0))</f>
        <v/>
      </c>
      <c r="C5787">
        <f>C5786+B5787</f>
        <v/>
      </c>
      <c r="D5787">
        <f>IF(B5787=1,INDEX('Data Entry'!$H$5:$BE$10004,5787-4,'Visual SPC'!$B$3),"")</f>
        <v/>
      </c>
      <c r="E5787">
        <f>IF(B5787=1,D5787,E5786)</f>
        <v/>
      </c>
      <c r="F5787">
        <f>IF(AND(B5787=1,C5787&gt;1,E5786&lt;&gt;""),ABS(D5787-E5786),"")</f>
        <v/>
      </c>
    </row>
    <row r="5788">
      <c r="A5788" t="n">
        <v>5788</v>
      </c>
      <c r="B5788">
        <f>IF(INDEX('Data Entry'!$H$5:$BE$10004,5788-4,'Visual SPC'!$B$3)="",0,IF(AND(OR('Visual SPC'!$C$4="",'Data Entry'!$C5788&gt;='Visual SPC'!$C$4),OR('Visual SPC'!$E$4="",'Data Entry'!$C5788&lt;='Visual SPC'!$E$4),OR('Visual SPC'!$G$4="",'Data Entry'!$D5788='Visual SPC'!$G$4),OR('Visual SPC'!$I$4="",'Data Entry'!$E5788='Visual SPC'!$I$4),OR('Visual SPC'!$K$4="",'Data Entry'!$F5788='Visual SPC'!$K$4)),1,0))</f>
        <v/>
      </c>
      <c r="C5788">
        <f>C5787+B5788</f>
        <v/>
      </c>
      <c r="D5788">
        <f>IF(B5788=1,INDEX('Data Entry'!$H$5:$BE$10004,5788-4,'Visual SPC'!$B$3),"")</f>
        <v/>
      </c>
      <c r="E5788">
        <f>IF(B5788=1,D5788,E5787)</f>
        <v/>
      </c>
      <c r="F5788">
        <f>IF(AND(B5788=1,C5788&gt;1,E5787&lt;&gt;""),ABS(D5788-E5787),"")</f>
        <v/>
      </c>
    </row>
    <row r="5789">
      <c r="A5789" t="n">
        <v>5789</v>
      </c>
      <c r="B5789">
        <f>IF(INDEX('Data Entry'!$H$5:$BE$10004,5789-4,'Visual SPC'!$B$3)="",0,IF(AND(OR('Visual SPC'!$C$4="",'Data Entry'!$C5789&gt;='Visual SPC'!$C$4),OR('Visual SPC'!$E$4="",'Data Entry'!$C5789&lt;='Visual SPC'!$E$4),OR('Visual SPC'!$G$4="",'Data Entry'!$D5789='Visual SPC'!$G$4),OR('Visual SPC'!$I$4="",'Data Entry'!$E5789='Visual SPC'!$I$4),OR('Visual SPC'!$K$4="",'Data Entry'!$F5789='Visual SPC'!$K$4)),1,0))</f>
        <v/>
      </c>
      <c r="C5789">
        <f>C5788+B5789</f>
        <v/>
      </c>
      <c r="D5789">
        <f>IF(B5789=1,INDEX('Data Entry'!$H$5:$BE$10004,5789-4,'Visual SPC'!$B$3),"")</f>
        <v/>
      </c>
      <c r="E5789">
        <f>IF(B5789=1,D5789,E5788)</f>
        <v/>
      </c>
      <c r="F5789">
        <f>IF(AND(B5789=1,C5789&gt;1,E5788&lt;&gt;""),ABS(D5789-E5788),"")</f>
        <v/>
      </c>
    </row>
    <row r="5790">
      <c r="A5790" t="n">
        <v>5790</v>
      </c>
      <c r="B5790">
        <f>IF(INDEX('Data Entry'!$H$5:$BE$10004,5790-4,'Visual SPC'!$B$3)="",0,IF(AND(OR('Visual SPC'!$C$4="",'Data Entry'!$C5790&gt;='Visual SPC'!$C$4),OR('Visual SPC'!$E$4="",'Data Entry'!$C5790&lt;='Visual SPC'!$E$4),OR('Visual SPC'!$G$4="",'Data Entry'!$D5790='Visual SPC'!$G$4),OR('Visual SPC'!$I$4="",'Data Entry'!$E5790='Visual SPC'!$I$4),OR('Visual SPC'!$K$4="",'Data Entry'!$F5790='Visual SPC'!$K$4)),1,0))</f>
        <v/>
      </c>
      <c r="C5790">
        <f>C5789+B5790</f>
        <v/>
      </c>
      <c r="D5790">
        <f>IF(B5790=1,INDEX('Data Entry'!$H$5:$BE$10004,5790-4,'Visual SPC'!$B$3),"")</f>
        <v/>
      </c>
      <c r="E5790">
        <f>IF(B5790=1,D5790,E5789)</f>
        <v/>
      </c>
      <c r="F5790">
        <f>IF(AND(B5790=1,C5790&gt;1,E5789&lt;&gt;""),ABS(D5790-E5789),"")</f>
        <v/>
      </c>
    </row>
    <row r="5791">
      <c r="A5791" t="n">
        <v>5791</v>
      </c>
      <c r="B5791">
        <f>IF(INDEX('Data Entry'!$H$5:$BE$10004,5791-4,'Visual SPC'!$B$3)="",0,IF(AND(OR('Visual SPC'!$C$4="",'Data Entry'!$C5791&gt;='Visual SPC'!$C$4),OR('Visual SPC'!$E$4="",'Data Entry'!$C5791&lt;='Visual SPC'!$E$4),OR('Visual SPC'!$G$4="",'Data Entry'!$D5791='Visual SPC'!$G$4),OR('Visual SPC'!$I$4="",'Data Entry'!$E5791='Visual SPC'!$I$4),OR('Visual SPC'!$K$4="",'Data Entry'!$F5791='Visual SPC'!$K$4)),1,0))</f>
        <v/>
      </c>
      <c r="C5791">
        <f>C5790+B5791</f>
        <v/>
      </c>
      <c r="D5791">
        <f>IF(B5791=1,INDEX('Data Entry'!$H$5:$BE$10004,5791-4,'Visual SPC'!$B$3),"")</f>
        <v/>
      </c>
      <c r="E5791">
        <f>IF(B5791=1,D5791,E5790)</f>
        <v/>
      </c>
      <c r="F5791">
        <f>IF(AND(B5791=1,C5791&gt;1,E5790&lt;&gt;""),ABS(D5791-E5790),"")</f>
        <v/>
      </c>
    </row>
    <row r="5792">
      <c r="A5792" t="n">
        <v>5792</v>
      </c>
      <c r="B5792">
        <f>IF(INDEX('Data Entry'!$H$5:$BE$10004,5792-4,'Visual SPC'!$B$3)="",0,IF(AND(OR('Visual SPC'!$C$4="",'Data Entry'!$C5792&gt;='Visual SPC'!$C$4),OR('Visual SPC'!$E$4="",'Data Entry'!$C5792&lt;='Visual SPC'!$E$4),OR('Visual SPC'!$G$4="",'Data Entry'!$D5792='Visual SPC'!$G$4),OR('Visual SPC'!$I$4="",'Data Entry'!$E5792='Visual SPC'!$I$4),OR('Visual SPC'!$K$4="",'Data Entry'!$F5792='Visual SPC'!$K$4)),1,0))</f>
        <v/>
      </c>
      <c r="C5792">
        <f>C5791+B5792</f>
        <v/>
      </c>
      <c r="D5792">
        <f>IF(B5792=1,INDEX('Data Entry'!$H$5:$BE$10004,5792-4,'Visual SPC'!$B$3),"")</f>
        <v/>
      </c>
      <c r="E5792">
        <f>IF(B5792=1,D5792,E5791)</f>
        <v/>
      </c>
      <c r="F5792">
        <f>IF(AND(B5792=1,C5792&gt;1,E5791&lt;&gt;""),ABS(D5792-E5791),"")</f>
        <v/>
      </c>
    </row>
    <row r="5793">
      <c r="A5793" t="n">
        <v>5793</v>
      </c>
      <c r="B5793">
        <f>IF(INDEX('Data Entry'!$H$5:$BE$10004,5793-4,'Visual SPC'!$B$3)="",0,IF(AND(OR('Visual SPC'!$C$4="",'Data Entry'!$C5793&gt;='Visual SPC'!$C$4),OR('Visual SPC'!$E$4="",'Data Entry'!$C5793&lt;='Visual SPC'!$E$4),OR('Visual SPC'!$G$4="",'Data Entry'!$D5793='Visual SPC'!$G$4),OR('Visual SPC'!$I$4="",'Data Entry'!$E5793='Visual SPC'!$I$4),OR('Visual SPC'!$K$4="",'Data Entry'!$F5793='Visual SPC'!$K$4)),1,0))</f>
        <v/>
      </c>
      <c r="C5793">
        <f>C5792+B5793</f>
        <v/>
      </c>
      <c r="D5793">
        <f>IF(B5793=1,INDEX('Data Entry'!$H$5:$BE$10004,5793-4,'Visual SPC'!$B$3),"")</f>
        <v/>
      </c>
      <c r="E5793">
        <f>IF(B5793=1,D5793,E5792)</f>
        <v/>
      </c>
      <c r="F5793">
        <f>IF(AND(B5793=1,C5793&gt;1,E5792&lt;&gt;""),ABS(D5793-E5792),"")</f>
        <v/>
      </c>
    </row>
    <row r="5794">
      <c r="A5794" t="n">
        <v>5794</v>
      </c>
      <c r="B5794">
        <f>IF(INDEX('Data Entry'!$H$5:$BE$10004,5794-4,'Visual SPC'!$B$3)="",0,IF(AND(OR('Visual SPC'!$C$4="",'Data Entry'!$C5794&gt;='Visual SPC'!$C$4),OR('Visual SPC'!$E$4="",'Data Entry'!$C5794&lt;='Visual SPC'!$E$4),OR('Visual SPC'!$G$4="",'Data Entry'!$D5794='Visual SPC'!$G$4),OR('Visual SPC'!$I$4="",'Data Entry'!$E5794='Visual SPC'!$I$4),OR('Visual SPC'!$K$4="",'Data Entry'!$F5794='Visual SPC'!$K$4)),1,0))</f>
        <v/>
      </c>
      <c r="C5794">
        <f>C5793+B5794</f>
        <v/>
      </c>
      <c r="D5794">
        <f>IF(B5794=1,INDEX('Data Entry'!$H$5:$BE$10004,5794-4,'Visual SPC'!$B$3),"")</f>
        <v/>
      </c>
      <c r="E5794">
        <f>IF(B5794=1,D5794,E5793)</f>
        <v/>
      </c>
      <c r="F5794">
        <f>IF(AND(B5794=1,C5794&gt;1,E5793&lt;&gt;""),ABS(D5794-E5793),"")</f>
        <v/>
      </c>
    </row>
    <row r="5795">
      <c r="A5795" t="n">
        <v>5795</v>
      </c>
      <c r="B5795">
        <f>IF(INDEX('Data Entry'!$H$5:$BE$10004,5795-4,'Visual SPC'!$B$3)="",0,IF(AND(OR('Visual SPC'!$C$4="",'Data Entry'!$C5795&gt;='Visual SPC'!$C$4),OR('Visual SPC'!$E$4="",'Data Entry'!$C5795&lt;='Visual SPC'!$E$4),OR('Visual SPC'!$G$4="",'Data Entry'!$D5795='Visual SPC'!$G$4),OR('Visual SPC'!$I$4="",'Data Entry'!$E5795='Visual SPC'!$I$4),OR('Visual SPC'!$K$4="",'Data Entry'!$F5795='Visual SPC'!$K$4)),1,0))</f>
        <v/>
      </c>
      <c r="C5795">
        <f>C5794+B5795</f>
        <v/>
      </c>
      <c r="D5795">
        <f>IF(B5795=1,INDEX('Data Entry'!$H$5:$BE$10004,5795-4,'Visual SPC'!$B$3),"")</f>
        <v/>
      </c>
      <c r="E5795">
        <f>IF(B5795=1,D5795,E5794)</f>
        <v/>
      </c>
      <c r="F5795">
        <f>IF(AND(B5795=1,C5795&gt;1,E5794&lt;&gt;""),ABS(D5795-E5794),"")</f>
        <v/>
      </c>
    </row>
    <row r="5796">
      <c r="A5796" t="n">
        <v>5796</v>
      </c>
      <c r="B5796">
        <f>IF(INDEX('Data Entry'!$H$5:$BE$10004,5796-4,'Visual SPC'!$B$3)="",0,IF(AND(OR('Visual SPC'!$C$4="",'Data Entry'!$C5796&gt;='Visual SPC'!$C$4),OR('Visual SPC'!$E$4="",'Data Entry'!$C5796&lt;='Visual SPC'!$E$4),OR('Visual SPC'!$G$4="",'Data Entry'!$D5796='Visual SPC'!$G$4),OR('Visual SPC'!$I$4="",'Data Entry'!$E5796='Visual SPC'!$I$4),OR('Visual SPC'!$K$4="",'Data Entry'!$F5796='Visual SPC'!$K$4)),1,0))</f>
        <v/>
      </c>
      <c r="C5796">
        <f>C5795+B5796</f>
        <v/>
      </c>
      <c r="D5796">
        <f>IF(B5796=1,INDEX('Data Entry'!$H$5:$BE$10004,5796-4,'Visual SPC'!$B$3),"")</f>
        <v/>
      </c>
      <c r="E5796">
        <f>IF(B5796=1,D5796,E5795)</f>
        <v/>
      </c>
      <c r="F5796">
        <f>IF(AND(B5796=1,C5796&gt;1,E5795&lt;&gt;""),ABS(D5796-E5795),"")</f>
        <v/>
      </c>
    </row>
    <row r="5797">
      <c r="A5797" t="n">
        <v>5797</v>
      </c>
      <c r="B5797">
        <f>IF(INDEX('Data Entry'!$H$5:$BE$10004,5797-4,'Visual SPC'!$B$3)="",0,IF(AND(OR('Visual SPC'!$C$4="",'Data Entry'!$C5797&gt;='Visual SPC'!$C$4),OR('Visual SPC'!$E$4="",'Data Entry'!$C5797&lt;='Visual SPC'!$E$4),OR('Visual SPC'!$G$4="",'Data Entry'!$D5797='Visual SPC'!$G$4),OR('Visual SPC'!$I$4="",'Data Entry'!$E5797='Visual SPC'!$I$4),OR('Visual SPC'!$K$4="",'Data Entry'!$F5797='Visual SPC'!$K$4)),1,0))</f>
        <v/>
      </c>
      <c r="C5797">
        <f>C5796+B5797</f>
        <v/>
      </c>
      <c r="D5797">
        <f>IF(B5797=1,INDEX('Data Entry'!$H$5:$BE$10004,5797-4,'Visual SPC'!$B$3),"")</f>
        <v/>
      </c>
      <c r="E5797">
        <f>IF(B5797=1,D5797,E5796)</f>
        <v/>
      </c>
      <c r="F5797">
        <f>IF(AND(B5797=1,C5797&gt;1,E5796&lt;&gt;""),ABS(D5797-E5796),"")</f>
        <v/>
      </c>
    </row>
    <row r="5798">
      <c r="A5798" t="n">
        <v>5798</v>
      </c>
      <c r="B5798">
        <f>IF(INDEX('Data Entry'!$H$5:$BE$10004,5798-4,'Visual SPC'!$B$3)="",0,IF(AND(OR('Visual SPC'!$C$4="",'Data Entry'!$C5798&gt;='Visual SPC'!$C$4),OR('Visual SPC'!$E$4="",'Data Entry'!$C5798&lt;='Visual SPC'!$E$4),OR('Visual SPC'!$G$4="",'Data Entry'!$D5798='Visual SPC'!$G$4),OR('Visual SPC'!$I$4="",'Data Entry'!$E5798='Visual SPC'!$I$4),OR('Visual SPC'!$K$4="",'Data Entry'!$F5798='Visual SPC'!$K$4)),1,0))</f>
        <v/>
      </c>
      <c r="C5798">
        <f>C5797+B5798</f>
        <v/>
      </c>
      <c r="D5798">
        <f>IF(B5798=1,INDEX('Data Entry'!$H$5:$BE$10004,5798-4,'Visual SPC'!$B$3),"")</f>
        <v/>
      </c>
      <c r="E5798">
        <f>IF(B5798=1,D5798,E5797)</f>
        <v/>
      </c>
      <c r="F5798">
        <f>IF(AND(B5798=1,C5798&gt;1,E5797&lt;&gt;""),ABS(D5798-E5797),"")</f>
        <v/>
      </c>
    </row>
    <row r="5799">
      <c r="A5799" t="n">
        <v>5799</v>
      </c>
      <c r="B5799">
        <f>IF(INDEX('Data Entry'!$H$5:$BE$10004,5799-4,'Visual SPC'!$B$3)="",0,IF(AND(OR('Visual SPC'!$C$4="",'Data Entry'!$C5799&gt;='Visual SPC'!$C$4),OR('Visual SPC'!$E$4="",'Data Entry'!$C5799&lt;='Visual SPC'!$E$4),OR('Visual SPC'!$G$4="",'Data Entry'!$D5799='Visual SPC'!$G$4),OR('Visual SPC'!$I$4="",'Data Entry'!$E5799='Visual SPC'!$I$4),OR('Visual SPC'!$K$4="",'Data Entry'!$F5799='Visual SPC'!$K$4)),1,0))</f>
        <v/>
      </c>
      <c r="C5799">
        <f>C5798+B5799</f>
        <v/>
      </c>
      <c r="D5799">
        <f>IF(B5799=1,INDEX('Data Entry'!$H$5:$BE$10004,5799-4,'Visual SPC'!$B$3),"")</f>
        <v/>
      </c>
      <c r="E5799">
        <f>IF(B5799=1,D5799,E5798)</f>
        <v/>
      </c>
      <c r="F5799">
        <f>IF(AND(B5799=1,C5799&gt;1,E5798&lt;&gt;""),ABS(D5799-E5798),"")</f>
        <v/>
      </c>
    </row>
    <row r="5800">
      <c r="A5800" t="n">
        <v>5800</v>
      </c>
      <c r="B5800">
        <f>IF(INDEX('Data Entry'!$H$5:$BE$10004,5800-4,'Visual SPC'!$B$3)="",0,IF(AND(OR('Visual SPC'!$C$4="",'Data Entry'!$C5800&gt;='Visual SPC'!$C$4),OR('Visual SPC'!$E$4="",'Data Entry'!$C5800&lt;='Visual SPC'!$E$4),OR('Visual SPC'!$G$4="",'Data Entry'!$D5800='Visual SPC'!$G$4),OR('Visual SPC'!$I$4="",'Data Entry'!$E5800='Visual SPC'!$I$4),OR('Visual SPC'!$K$4="",'Data Entry'!$F5800='Visual SPC'!$K$4)),1,0))</f>
        <v/>
      </c>
      <c r="C5800">
        <f>C5799+B5800</f>
        <v/>
      </c>
      <c r="D5800">
        <f>IF(B5800=1,INDEX('Data Entry'!$H$5:$BE$10004,5800-4,'Visual SPC'!$B$3),"")</f>
        <v/>
      </c>
      <c r="E5800">
        <f>IF(B5800=1,D5800,E5799)</f>
        <v/>
      </c>
      <c r="F5800">
        <f>IF(AND(B5800=1,C5800&gt;1,E5799&lt;&gt;""),ABS(D5800-E5799),"")</f>
        <v/>
      </c>
    </row>
    <row r="5801">
      <c r="A5801" t="n">
        <v>5801</v>
      </c>
      <c r="B5801">
        <f>IF(INDEX('Data Entry'!$H$5:$BE$10004,5801-4,'Visual SPC'!$B$3)="",0,IF(AND(OR('Visual SPC'!$C$4="",'Data Entry'!$C5801&gt;='Visual SPC'!$C$4),OR('Visual SPC'!$E$4="",'Data Entry'!$C5801&lt;='Visual SPC'!$E$4),OR('Visual SPC'!$G$4="",'Data Entry'!$D5801='Visual SPC'!$G$4),OR('Visual SPC'!$I$4="",'Data Entry'!$E5801='Visual SPC'!$I$4),OR('Visual SPC'!$K$4="",'Data Entry'!$F5801='Visual SPC'!$K$4)),1,0))</f>
        <v/>
      </c>
      <c r="C5801">
        <f>C5800+B5801</f>
        <v/>
      </c>
      <c r="D5801">
        <f>IF(B5801=1,INDEX('Data Entry'!$H$5:$BE$10004,5801-4,'Visual SPC'!$B$3),"")</f>
        <v/>
      </c>
      <c r="E5801">
        <f>IF(B5801=1,D5801,E5800)</f>
        <v/>
      </c>
      <c r="F5801">
        <f>IF(AND(B5801=1,C5801&gt;1,E5800&lt;&gt;""),ABS(D5801-E5800),"")</f>
        <v/>
      </c>
    </row>
    <row r="5802">
      <c r="A5802" t="n">
        <v>5802</v>
      </c>
      <c r="B5802">
        <f>IF(INDEX('Data Entry'!$H$5:$BE$10004,5802-4,'Visual SPC'!$B$3)="",0,IF(AND(OR('Visual SPC'!$C$4="",'Data Entry'!$C5802&gt;='Visual SPC'!$C$4),OR('Visual SPC'!$E$4="",'Data Entry'!$C5802&lt;='Visual SPC'!$E$4),OR('Visual SPC'!$G$4="",'Data Entry'!$D5802='Visual SPC'!$G$4),OR('Visual SPC'!$I$4="",'Data Entry'!$E5802='Visual SPC'!$I$4),OR('Visual SPC'!$K$4="",'Data Entry'!$F5802='Visual SPC'!$K$4)),1,0))</f>
        <v/>
      </c>
      <c r="C5802">
        <f>C5801+B5802</f>
        <v/>
      </c>
      <c r="D5802">
        <f>IF(B5802=1,INDEX('Data Entry'!$H$5:$BE$10004,5802-4,'Visual SPC'!$B$3),"")</f>
        <v/>
      </c>
      <c r="E5802">
        <f>IF(B5802=1,D5802,E5801)</f>
        <v/>
      </c>
      <c r="F5802">
        <f>IF(AND(B5802=1,C5802&gt;1,E5801&lt;&gt;""),ABS(D5802-E5801),"")</f>
        <v/>
      </c>
    </row>
    <row r="5803">
      <c r="A5803" t="n">
        <v>5803</v>
      </c>
      <c r="B5803">
        <f>IF(INDEX('Data Entry'!$H$5:$BE$10004,5803-4,'Visual SPC'!$B$3)="",0,IF(AND(OR('Visual SPC'!$C$4="",'Data Entry'!$C5803&gt;='Visual SPC'!$C$4),OR('Visual SPC'!$E$4="",'Data Entry'!$C5803&lt;='Visual SPC'!$E$4),OR('Visual SPC'!$G$4="",'Data Entry'!$D5803='Visual SPC'!$G$4),OR('Visual SPC'!$I$4="",'Data Entry'!$E5803='Visual SPC'!$I$4),OR('Visual SPC'!$K$4="",'Data Entry'!$F5803='Visual SPC'!$K$4)),1,0))</f>
        <v/>
      </c>
      <c r="C5803">
        <f>C5802+B5803</f>
        <v/>
      </c>
      <c r="D5803">
        <f>IF(B5803=1,INDEX('Data Entry'!$H$5:$BE$10004,5803-4,'Visual SPC'!$B$3),"")</f>
        <v/>
      </c>
      <c r="E5803">
        <f>IF(B5803=1,D5803,E5802)</f>
        <v/>
      </c>
      <c r="F5803">
        <f>IF(AND(B5803=1,C5803&gt;1,E5802&lt;&gt;""),ABS(D5803-E5802),"")</f>
        <v/>
      </c>
    </row>
    <row r="5804">
      <c r="A5804" t="n">
        <v>5804</v>
      </c>
      <c r="B5804">
        <f>IF(INDEX('Data Entry'!$H$5:$BE$10004,5804-4,'Visual SPC'!$B$3)="",0,IF(AND(OR('Visual SPC'!$C$4="",'Data Entry'!$C5804&gt;='Visual SPC'!$C$4),OR('Visual SPC'!$E$4="",'Data Entry'!$C5804&lt;='Visual SPC'!$E$4),OR('Visual SPC'!$G$4="",'Data Entry'!$D5804='Visual SPC'!$G$4),OR('Visual SPC'!$I$4="",'Data Entry'!$E5804='Visual SPC'!$I$4),OR('Visual SPC'!$K$4="",'Data Entry'!$F5804='Visual SPC'!$K$4)),1,0))</f>
        <v/>
      </c>
      <c r="C5804">
        <f>C5803+B5804</f>
        <v/>
      </c>
      <c r="D5804">
        <f>IF(B5804=1,INDEX('Data Entry'!$H$5:$BE$10004,5804-4,'Visual SPC'!$B$3),"")</f>
        <v/>
      </c>
      <c r="E5804">
        <f>IF(B5804=1,D5804,E5803)</f>
        <v/>
      </c>
      <c r="F5804">
        <f>IF(AND(B5804=1,C5804&gt;1,E5803&lt;&gt;""),ABS(D5804-E5803),"")</f>
        <v/>
      </c>
    </row>
    <row r="5805">
      <c r="A5805" t="n">
        <v>5805</v>
      </c>
      <c r="B5805">
        <f>IF(INDEX('Data Entry'!$H$5:$BE$10004,5805-4,'Visual SPC'!$B$3)="",0,IF(AND(OR('Visual SPC'!$C$4="",'Data Entry'!$C5805&gt;='Visual SPC'!$C$4),OR('Visual SPC'!$E$4="",'Data Entry'!$C5805&lt;='Visual SPC'!$E$4),OR('Visual SPC'!$G$4="",'Data Entry'!$D5805='Visual SPC'!$G$4),OR('Visual SPC'!$I$4="",'Data Entry'!$E5805='Visual SPC'!$I$4),OR('Visual SPC'!$K$4="",'Data Entry'!$F5805='Visual SPC'!$K$4)),1,0))</f>
        <v/>
      </c>
      <c r="C5805">
        <f>C5804+B5805</f>
        <v/>
      </c>
      <c r="D5805">
        <f>IF(B5805=1,INDEX('Data Entry'!$H$5:$BE$10004,5805-4,'Visual SPC'!$B$3),"")</f>
        <v/>
      </c>
      <c r="E5805">
        <f>IF(B5805=1,D5805,E5804)</f>
        <v/>
      </c>
      <c r="F5805">
        <f>IF(AND(B5805=1,C5805&gt;1,E5804&lt;&gt;""),ABS(D5805-E5804),"")</f>
        <v/>
      </c>
    </row>
    <row r="5806">
      <c r="A5806" t="n">
        <v>5806</v>
      </c>
      <c r="B5806">
        <f>IF(INDEX('Data Entry'!$H$5:$BE$10004,5806-4,'Visual SPC'!$B$3)="",0,IF(AND(OR('Visual SPC'!$C$4="",'Data Entry'!$C5806&gt;='Visual SPC'!$C$4),OR('Visual SPC'!$E$4="",'Data Entry'!$C5806&lt;='Visual SPC'!$E$4),OR('Visual SPC'!$G$4="",'Data Entry'!$D5806='Visual SPC'!$G$4),OR('Visual SPC'!$I$4="",'Data Entry'!$E5806='Visual SPC'!$I$4),OR('Visual SPC'!$K$4="",'Data Entry'!$F5806='Visual SPC'!$K$4)),1,0))</f>
        <v/>
      </c>
      <c r="C5806">
        <f>C5805+B5806</f>
        <v/>
      </c>
      <c r="D5806">
        <f>IF(B5806=1,INDEX('Data Entry'!$H$5:$BE$10004,5806-4,'Visual SPC'!$B$3),"")</f>
        <v/>
      </c>
      <c r="E5806">
        <f>IF(B5806=1,D5806,E5805)</f>
        <v/>
      </c>
      <c r="F5806">
        <f>IF(AND(B5806=1,C5806&gt;1,E5805&lt;&gt;""),ABS(D5806-E5805),"")</f>
        <v/>
      </c>
    </row>
    <row r="5807">
      <c r="A5807" t="n">
        <v>5807</v>
      </c>
      <c r="B5807">
        <f>IF(INDEX('Data Entry'!$H$5:$BE$10004,5807-4,'Visual SPC'!$B$3)="",0,IF(AND(OR('Visual SPC'!$C$4="",'Data Entry'!$C5807&gt;='Visual SPC'!$C$4),OR('Visual SPC'!$E$4="",'Data Entry'!$C5807&lt;='Visual SPC'!$E$4),OR('Visual SPC'!$G$4="",'Data Entry'!$D5807='Visual SPC'!$G$4),OR('Visual SPC'!$I$4="",'Data Entry'!$E5807='Visual SPC'!$I$4),OR('Visual SPC'!$K$4="",'Data Entry'!$F5807='Visual SPC'!$K$4)),1,0))</f>
        <v/>
      </c>
      <c r="C5807">
        <f>C5806+B5807</f>
        <v/>
      </c>
      <c r="D5807">
        <f>IF(B5807=1,INDEX('Data Entry'!$H$5:$BE$10004,5807-4,'Visual SPC'!$B$3),"")</f>
        <v/>
      </c>
      <c r="E5807">
        <f>IF(B5807=1,D5807,E5806)</f>
        <v/>
      </c>
      <c r="F5807">
        <f>IF(AND(B5807=1,C5807&gt;1,E5806&lt;&gt;""),ABS(D5807-E5806),"")</f>
        <v/>
      </c>
    </row>
    <row r="5808">
      <c r="A5808" t="n">
        <v>5808</v>
      </c>
      <c r="B5808">
        <f>IF(INDEX('Data Entry'!$H$5:$BE$10004,5808-4,'Visual SPC'!$B$3)="",0,IF(AND(OR('Visual SPC'!$C$4="",'Data Entry'!$C5808&gt;='Visual SPC'!$C$4),OR('Visual SPC'!$E$4="",'Data Entry'!$C5808&lt;='Visual SPC'!$E$4),OR('Visual SPC'!$G$4="",'Data Entry'!$D5808='Visual SPC'!$G$4),OR('Visual SPC'!$I$4="",'Data Entry'!$E5808='Visual SPC'!$I$4),OR('Visual SPC'!$K$4="",'Data Entry'!$F5808='Visual SPC'!$K$4)),1,0))</f>
        <v/>
      </c>
      <c r="C5808">
        <f>C5807+B5808</f>
        <v/>
      </c>
      <c r="D5808">
        <f>IF(B5808=1,INDEX('Data Entry'!$H$5:$BE$10004,5808-4,'Visual SPC'!$B$3),"")</f>
        <v/>
      </c>
      <c r="E5808">
        <f>IF(B5808=1,D5808,E5807)</f>
        <v/>
      </c>
      <c r="F5808">
        <f>IF(AND(B5808=1,C5808&gt;1,E5807&lt;&gt;""),ABS(D5808-E5807),"")</f>
        <v/>
      </c>
    </row>
    <row r="5809">
      <c r="A5809" t="n">
        <v>5809</v>
      </c>
      <c r="B5809">
        <f>IF(INDEX('Data Entry'!$H$5:$BE$10004,5809-4,'Visual SPC'!$B$3)="",0,IF(AND(OR('Visual SPC'!$C$4="",'Data Entry'!$C5809&gt;='Visual SPC'!$C$4),OR('Visual SPC'!$E$4="",'Data Entry'!$C5809&lt;='Visual SPC'!$E$4),OR('Visual SPC'!$G$4="",'Data Entry'!$D5809='Visual SPC'!$G$4),OR('Visual SPC'!$I$4="",'Data Entry'!$E5809='Visual SPC'!$I$4),OR('Visual SPC'!$K$4="",'Data Entry'!$F5809='Visual SPC'!$K$4)),1,0))</f>
        <v/>
      </c>
      <c r="C5809">
        <f>C5808+B5809</f>
        <v/>
      </c>
      <c r="D5809">
        <f>IF(B5809=1,INDEX('Data Entry'!$H$5:$BE$10004,5809-4,'Visual SPC'!$B$3),"")</f>
        <v/>
      </c>
      <c r="E5809">
        <f>IF(B5809=1,D5809,E5808)</f>
        <v/>
      </c>
      <c r="F5809">
        <f>IF(AND(B5809=1,C5809&gt;1,E5808&lt;&gt;""),ABS(D5809-E5808),"")</f>
        <v/>
      </c>
    </row>
    <row r="5810">
      <c r="A5810" t="n">
        <v>5810</v>
      </c>
      <c r="B5810">
        <f>IF(INDEX('Data Entry'!$H$5:$BE$10004,5810-4,'Visual SPC'!$B$3)="",0,IF(AND(OR('Visual SPC'!$C$4="",'Data Entry'!$C5810&gt;='Visual SPC'!$C$4),OR('Visual SPC'!$E$4="",'Data Entry'!$C5810&lt;='Visual SPC'!$E$4),OR('Visual SPC'!$G$4="",'Data Entry'!$D5810='Visual SPC'!$G$4),OR('Visual SPC'!$I$4="",'Data Entry'!$E5810='Visual SPC'!$I$4),OR('Visual SPC'!$K$4="",'Data Entry'!$F5810='Visual SPC'!$K$4)),1,0))</f>
        <v/>
      </c>
      <c r="C5810">
        <f>C5809+B5810</f>
        <v/>
      </c>
      <c r="D5810">
        <f>IF(B5810=1,INDEX('Data Entry'!$H$5:$BE$10004,5810-4,'Visual SPC'!$B$3),"")</f>
        <v/>
      </c>
      <c r="E5810">
        <f>IF(B5810=1,D5810,E5809)</f>
        <v/>
      </c>
      <c r="F5810">
        <f>IF(AND(B5810=1,C5810&gt;1,E5809&lt;&gt;""),ABS(D5810-E5809),"")</f>
        <v/>
      </c>
    </row>
    <row r="5811">
      <c r="A5811" t="n">
        <v>5811</v>
      </c>
      <c r="B5811">
        <f>IF(INDEX('Data Entry'!$H$5:$BE$10004,5811-4,'Visual SPC'!$B$3)="",0,IF(AND(OR('Visual SPC'!$C$4="",'Data Entry'!$C5811&gt;='Visual SPC'!$C$4),OR('Visual SPC'!$E$4="",'Data Entry'!$C5811&lt;='Visual SPC'!$E$4),OR('Visual SPC'!$G$4="",'Data Entry'!$D5811='Visual SPC'!$G$4),OR('Visual SPC'!$I$4="",'Data Entry'!$E5811='Visual SPC'!$I$4),OR('Visual SPC'!$K$4="",'Data Entry'!$F5811='Visual SPC'!$K$4)),1,0))</f>
        <v/>
      </c>
      <c r="C5811">
        <f>C5810+B5811</f>
        <v/>
      </c>
      <c r="D5811">
        <f>IF(B5811=1,INDEX('Data Entry'!$H$5:$BE$10004,5811-4,'Visual SPC'!$B$3),"")</f>
        <v/>
      </c>
      <c r="E5811">
        <f>IF(B5811=1,D5811,E5810)</f>
        <v/>
      </c>
      <c r="F5811">
        <f>IF(AND(B5811=1,C5811&gt;1,E5810&lt;&gt;""),ABS(D5811-E5810),"")</f>
        <v/>
      </c>
    </row>
    <row r="5812">
      <c r="A5812" t="n">
        <v>5812</v>
      </c>
      <c r="B5812">
        <f>IF(INDEX('Data Entry'!$H$5:$BE$10004,5812-4,'Visual SPC'!$B$3)="",0,IF(AND(OR('Visual SPC'!$C$4="",'Data Entry'!$C5812&gt;='Visual SPC'!$C$4),OR('Visual SPC'!$E$4="",'Data Entry'!$C5812&lt;='Visual SPC'!$E$4),OR('Visual SPC'!$G$4="",'Data Entry'!$D5812='Visual SPC'!$G$4),OR('Visual SPC'!$I$4="",'Data Entry'!$E5812='Visual SPC'!$I$4),OR('Visual SPC'!$K$4="",'Data Entry'!$F5812='Visual SPC'!$K$4)),1,0))</f>
        <v/>
      </c>
      <c r="C5812">
        <f>C5811+B5812</f>
        <v/>
      </c>
      <c r="D5812">
        <f>IF(B5812=1,INDEX('Data Entry'!$H$5:$BE$10004,5812-4,'Visual SPC'!$B$3),"")</f>
        <v/>
      </c>
      <c r="E5812">
        <f>IF(B5812=1,D5812,E5811)</f>
        <v/>
      </c>
      <c r="F5812">
        <f>IF(AND(B5812=1,C5812&gt;1,E5811&lt;&gt;""),ABS(D5812-E5811),"")</f>
        <v/>
      </c>
    </row>
    <row r="5813">
      <c r="A5813" t="n">
        <v>5813</v>
      </c>
      <c r="B5813">
        <f>IF(INDEX('Data Entry'!$H$5:$BE$10004,5813-4,'Visual SPC'!$B$3)="",0,IF(AND(OR('Visual SPC'!$C$4="",'Data Entry'!$C5813&gt;='Visual SPC'!$C$4),OR('Visual SPC'!$E$4="",'Data Entry'!$C5813&lt;='Visual SPC'!$E$4),OR('Visual SPC'!$G$4="",'Data Entry'!$D5813='Visual SPC'!$G$4),OR('Visual SPC'!$I$4="",'Data Entry'!$E5813='Visual SPC'!$I$4),OR('Visual SPC'!$K$4="",'Data Entry'!$F5813='Visual SPC'!$K$4)),1,0))</f>
        <v/>
      </c>
      <c r="C5813">
        <f>C5812+B5813</f>
        <v/>
      </c>
      <c r="D5813">
        <f>IF(B5813=1,INDEX('Data Entry'!$H$5:$BE$10004,5813-4,'Visual SPC'!$B$3),"")</f>
        <v/>
      </c>
      <c r="E5813">
        <f>IF(B5813=1,D5813,E5812)</f>
        <v/>
      </c>
      <c r="F5813">
        <f>IF(AND(B5813=1,C5813&gt;1,E5812&lt;&gt;""),ABS(D5813-E5812),"")</f>
        <v/>
      </c>
    </row>
    <row r="5814">
      <c r="A5814" t="n">
        <v>5814</v>
      </c>
      <c r="B5814">
        <f>IF(INDEX('Data Entry'!$H$5:$BE$10004,5814-4,'Visual SPC'!$B$3)="",0,IF(AND(OR('Visual SPC'!$C$4="",'Data Entry'!$C5814&gt;='Visual SPC'!$C$4),OR('Visual SPC'!$E$4="",'Data Entry'!$C5814&lt;='Visual SPC'!$E$4),OR('Visual SPC'!$G$4="",'Data Entry'!$D5814='Visual SPC'!$G$4),OR('Visual SPC'!$I$4="",'Data Entry'!$E5814='Visual SPC'!$I$4),OR('Visual SPC'!$K$4="",'Data Entry'!$F5814='Visual SPC'!$K$4)),1,0))</f>
        <v/>
      </c>
      <c r="C5814">
        <f>C5813+B5814</f>
        <v/>
      </c>
      <c r="D5814">
        <f>IF(B5814=1,INDEX('Data Entry'!$H$5:$BE$10004,5814-4,'Visual SPC'!$B$3),"")</f>
        <v/>
      </c>
      <c r="E5814">
        <f>IF(B5814=1,D5814,E5813)</f>
        <v/>
      </c>
      <c r="F5814">
        <f>IF(AND(B5814=1,C5814&gt;1,E5813&lt;&gt;""),ABS(D5814-E5813),"")</f>
        <v/>
      </c>
    </row>
    <row r="5815">
      <c r="A5815" t="n">
        <v>5815</v>
      </c>
      <c r="B5815">
        <f>IF(INDEX('Data Entry'!$H$5:$BE$10004,5815-4,'Visual SPC'!$B$3)="",0,IF(AND(OR('Visual SPC'!$C$4="",'Data Entry'!$C5815&gt;='Visual SPC'!$C$4),OR('Visual SPC'!$E$4="",'Data Entry'!$C5815&lt;='Visual SPC'!$E$4),OR('Visual SPC'!$G$4="",'Data Entry'!$D5815='Visual SPC'!$G$4),OR('Visual SPC'!$I$4="",'Data Entry'!$E5815='Visual SPC'!$I$4),OR('Visual SPC'!$K$4="",'Data Entry'!$F5815='Visual SPC'!$K$4)),1,0))</f>
        <v/>
      </c>
      <c r="C5815">
        <f>C5814+B5815</f>
        <v/>
      </c>
      <c r="D5815">
        <f>IF(B5815=1,INDEX('Data Entry'!$H$5:$BE$10004,5815-4,'Visual SPC'!$B$3),"")</f>
        <v/>
      </c>
      <c r="E5815">
        <f>IF(B5815=1,D5815,E5814)</f>
        <v/>
      </c>
      <c r="F5815">
        <f>IF(AND(B5815=1,C5815&gt;1,E5814&lt;&gt;""),ABS(D5815-E5814),"")</f>
        <v/>
      </c>
    </row>
    <row r="5816">
      <c r="A5816" t="n">
        <v>5816</v>
      </c>
      <c r="B5816">
        <f>IF(INDEX('Data Entry'!$H$5:$BE$10004,5816-4,'Visual SPC'!$B$3)="",0,IF(AND(OR('Visual SPC'!$C$4="",'Data Entry'!$C5816&gt;='Visual SPC'!$C$4),OR('Visual SPC'!$E$4="",'Data Entry'!$C5816&lt;='Visual SPC'!$E$4),OR('Visual SPC'!$G$4="",'Data Entry'!$D5816='Visual SPC'!$G$4),OR('Visual SPC'!$I$4="",'Data Entry'!$E5816='Visual SPC'!$I$4),OR('Visual SPC'!$K$4="",'Data Entry'!$F5816='Visual SPC'!$K$4)),1,0))</f>
        <v/>
      </c>
      <c r="C5816">
        <f>C5815+B5816</f>
        <v/>
      </c>
      <c r="D5816">
        <f>IF(B5816=1,INDEX('Data Entry'!$H$5:$BE$10004,5816-4,'Visual SPC'!$B$3),"")</f>
        <v/>
      </c>
      <c r="E5816">
        <f>IF(B5816=1,D5816,E5815)</f>
        <v/>
      </c>
      <c r="F5816">
        <f>IF(AND(B5816=1,C5816&gt;1,E5815&lt;&gt;""),ABS(D5816-E5815),"")</f>
        <v/>
      </c>
    </row>
    <row r="5817">
      <c r="A5817" t="n">
        <v>5817</v>
      </c>
      <c r="B5817">
        <f>IF(INDEX('Data Entry'!$H$5:$BE$10004,5817-4,'Visual SPC'!$B$3)="",0,IF(AND(OR('Visual SPC'!$C$4="",'Data Entry'!$C5817&gt;='Visual SPC'!$C$4),OR('Visual SPC'!$E$4="",'Data Entry'!$C5817&lt;='Visual SPC'!$E$4),OR('Visual SPC'!$G$4="",'Data Entry'!$D5817='Visual SPC'!$G$4),OR('Visual SPC'!$I$4="",'Data Entry'!$E5817='Visual SPC'!$I$4),OR('Visual SPC'!$K$4="",'Data Entry'!$F5817='Visual SPC'!$K$4)),1,0))</f>
        <v/>
      </c>
      <c r="C5817">
        <f>C5816+B5817</f>
        <v/>
      </c>
      <c r="D5817">
        <f>IF(B5817=1,INDEX('Data Entry'!$H$5:$BE$10004,5817-4,'Visual SPC'!$B$3),"")</f>
        <v/>
      </c>
      <c r="E5817">
        <f>IF(B5817=1,D5817,E5816)</f>
        <v/>
      </c>
      <c r="F5817">
        <f>IF(AND(B5817=1,C5817&gt;1,E5816&lt;&gt;""),ABS(D5817-E5816),"")</f>
        <v/>
      </c>
    </row>
    <row r="5818">
      <c r="A5818" t="n">
        <v>5818</v>
      </c>
      <c r="B5818">
        <f>IF(INDEX('Data Entry'!$H$5:$BE$10004,5818-4,'Visual SPC'!$B$3)="",0,IF(AND(OR('Visual SPC'!$C$4="",'Data Entry'!$C5818&gt;='Visual SPC'!$C$4),OR('Visual SPC'!$E$4="",'Data Entry'!$C5818&lt;='Visual SPC'!$E$4),OR('Visual SPC'!$G$4="",'Data Entry'!$D5818='Visual SPC'!$G$4),OR('Visual SPC'!$I$4="",'Data Entry'!$E5818='Visual SPC'!$I$4),OR('Visual SPC'!$K$4="",'Data Entry'!$F5818='Visual SPC'!$K$4)),1,0))</f>
        <v/>
      </c>
      <c r="C5818">
        <f>C5817+B5818</f>
        <v/>
      </c>
      <c r="D5818">
        <f>IF(B5818=1,INDEX('Data Entry'!$H$5:$BE$10004,5818-4,'Visual SPC'!$B$3),"")</f>
        <v/>
      </c>
      <c r="E5818">
        <f>IF(B5818=1,D5818,E5817)</f>
        <v/>
      </c>
      <c r="F5818">
        <f>IF(AND(B5818=1,C5818&gt;1,E5817&lt;&gt;""),ABS(D5818-E5817),"")</f>
        <v/>
      </c>
    </row>
    <row r="5819">
      <c r="A5819" t="n">
        <v>5819</v>
      </c>
      <c r="B5819">
        <f>IF(INDEX('Data Entry'!$H$5:$BE$10004,5819-4,'Visual SPC'!$B$3)="",0,IF(AND(OR('Visual SPC'!$C$4="",'Data Entry'!$C5819&gt;='Visual SPC'!$C$4),OR('Visual SPC'!$E$4="",'Data Entry'!$C5819&lt;='Visual SPC'!$E$4),OR('Visual SPC'!$G$4="",'Data Entry'!$D5819='Visual SPC'!$G$4),OR('Visual SPC'!$I$4="",'Data Entry'!$E5819='Visual SPC'!$I$4),OR('Visual SPC'!$K$4="",'Data Entry'!$F5819='Visual SPC'!$K$4)),1,0))</f>
        <v/>
      </c>
      <c r="C5819">
        <f>C5818+B5819</f>
        <v/>
      </c>
      <c r="D5819">
        <f>IF(B5819=1,INDEX('Data Entry'!$H$5:$BE$10004,5819-4,'Visual SPC'!$B$3),"")</f>
        <v/>
      </c>
      <c r="E5819">
        <f>IF(B5819=1,D5819,E5818)</f>
        <v/>
      </c>
      <c r="F5819">
        <f>IF(AND(B5819=1,C5819&gt;1,E5818&lt;&gt;""),ABS(D5819-E5818),"")</f>
        <v/>
      </c>
    </row>
    <row r="5820">
      <c r="A5820" t="n">
        <v>5820</v>
      </c>
      <c r="B5820">
        <f>IF(INDEX('Data Entry'!$H$5:$BE$10004,5820-4,'Visual SPC'!$B$3)="",0,IF(AND(OR('Visual SPC'!$C$4="",'Data Entry'!$C5820&gt;='Visual SPC'!$C$4),OR('Visual SPC'!$E$4="",'Data Entry'!$C5820&lt;='Visual SPC'!$E$4),OR('Visual SPC'!$G$4="",'Data Entry'!$D5820='Visual SPC'!$G$4),OR('Visual SPC'!$I$4="",'Data Entry'!$E5820='Visual SPC'!$I$4),OR('Visual SPC'!$K$4="",'Data Entry'!$F5820='Visual SPC'!$K$4)),1,0))</f>
        <v/>
      </c>
      <c r="C5820">
        <f>C5819+B5820</f>
        <v/>
      </c>
      <c r="D5820">
        <f>IF(B5820=1,INDEX('Data Entry'!$H$5:$BE$10004,5820-4,'Visual SPC'!$B$3),"")</f>
        <v/>
      </c>
      <c r="E5820">
        <f>IF(B5820=1,D5820,E5819)</f>
        <v/>
      </c>
      <c r="F5820">
        <f>IF(AND(B5820=1,C5820&gt;1,E5819&lt;&gt;""),ABS(D5820-E5819),"")</f>
        <v/>
      </c>
    </row>
    <row r="5821">
      <c r="A5821" t="n">
        <v>5821</v>
      </c>
      <c r="B5821">
        <f>IF(INDEX('Data Entry'!$H$5:$BE$10004,5821-4,'Visual SPC'!$B$3)="",0,IF(AND(OR('Visual SPC'!$C$4="",'Data Entry'!$C5821&gt;='Visual SPC'!$C$4),OR('Visual SPC'!$E$4="",'Data Entry'!$C5821&lt;='Visual SPC'!$E$4),OR('Visual SPC'!$G$4="",'Data Entry'!$D5821='Visual SPC'!$G$4),OR('Visual SPC'!$I$4="",'Data Entry'!$E5821='Visual SPC'!$I$4),OR('Visual SPC'!$K$4="",'Data Entry'!$F5821='Visual SPC'!$K$4)),1,0))</f>
        <v/>
      </c>
      <c r="C5821">
        <f>C5820+B5821</f>
        <v/>
      </c>
      <c r="D5821">
        <f>IF(B5821=1,INDEX('Data Entry'!$H$5:$BE$10004,5821-4,'Visual SPC'!$B$3),"")</f>
        <v/>
      </c>
      <c r="E5821">
        <f>IF(B5821=1,D5821,E5820)</f>
        <v/>
      </c>
      <c r="F5821">
        <f>IF(AND(B5821=1,C5821&gt;1,E5820&lt;&gt;""),ABS(D5821-E5820),"")</f>
        <v/>
      </c>
    </row>
    <row r="5822">
      <c r="A5822" t="n">
        <v>5822</v>
      </c>
      <c r="B5822">
        <f>IF(INDEX('Data Entry'!$H$5:$BE$10004,5822-4,'Visual SPC'!$B$3)="",0,IF(AND(OR('Visual SPC'!$C$4="",'Data Entry'!$C5822&gt;='Visual SPC'!$C$4),OR('Visual SPC'!$E$4="",'Data Entry'!$C5822&lt;='Visual SPC'!$E$4),OR('Visual SPC'!$G$4="",'Data Entry'!$D5822='Visual SPC'!$G$4),OR('Visual SPC'!$I$4="",'Data Entry'!$E5822='Visual SPC'!$I$4),OR('Visual SPC'!$K$4="",'Data Entry'!$F5822='Visual SPC'!$K$4)),1,0))</f>
        <v/>
      </c>
      <c r="C5822">
        <f>C5821+B5822</f>
        <v/>
      </c>
      <c r="D5822">
        <f>IF(B5822=1,INDEX('Data Entry'!$H$5:$BE$10004,5822-4,'Visual SPC'!$B$3),"")</f>
        <v/>
      </c>
      <c r="E5822">
        <f>IF(B5822=1,D5822,E5821)</f>
        <v/>
      </c>
      <c r="F5822">
        <f>IF(AND(B5822=1,C5822&gt;1,E5821&lt;&gt;""),ABS(D5822-E5821),"")</f>
        <v/>
      </c>
    </row>
    <row r="5823">
      <c r="A5823" t="n">
        <v>5823</v>
      </c>
      <c r="B5823">
        <f>IF(INDEX('Data Entry'!$H$5:$BE$10004,5823-4,'Visual SPC'!$B$3)="",0,IF(AND(OR('Visual SPC'!$C$4="",'Data Entry'!$C5823&gt;='Visual SPC'!$C$4),OR('Visual SPC'!$E$4="",'Data Entry'!$C5823&lt;='Visual SPC'!$E$4),OR('Visual SPC'!$G$4="",'Data Entry'!$D5823='Visual SPC'!$G$4),OR('Visual SPC'!$I$4="",'Data Entry'!$E5823='Visual SPC'!$I$4),OR('Visual SPC'!$K$4="",'Data Entry'!$F5823='Visual SPC'!$K$4)),1,0))</f>
        <v/>
      </c>
      <c r="C5823">
        <f>C5822+B5823</f>
        <v/>
      </c>
      <c r="D5823">
        <f>IF(B5823=1,INDEX('Data Entry'!$H$5:$BE$10004,5823-4,'Visual SPC'!$B$3),"")</f>
        <v/>
      </c>
      <c r="E5823">
        <f>IF(B5823=1,D5823,E5822)</f>
        <v/>
      </c>
      <c r="F5823">
        <f>IF(AND(B5823=1,C5823&gt;1,E5822&lt;&gt;""),ABS(D5823-E5822),"")</f>
        <v/>
      </c>
    </row>
    <row r="5824">
      <c r="A5824" t="n">
        <v>5824</v>
      </c>
      <c r="B5824">
        <f>IF(INDEX('Data Entry'!$H$5:$BE$10004,5824-4,'Visual SPC'!$B$3)="",0,IF(AND(OR('Visual SPC'!$C$4="",'Data Entry'!$C5824&gt;='Visual SPC'!$C$4),OR('Visual SPC'!$E$4="",'Data Entry'!$C5824&lt;='Visual SPC'!$E$4),OR('Visual SPC'!$G$4="",'Data Entry'!$D5824='Visual SPC'!$G$4),OR('Visual SPC'!$I$4="",'Data Entry'!$E5824='Visual SPC'!$I$4),OR('Visual SPC'!$K$4="",'Data Entry'!$F5824='Visual SPC'!$K$4)),1,0))</f>
        <v/>
      </c>
      <c r="C5824">
        <f>C5823+B5824</f>
        <v/>
      </c>
      <c r="D5824">
        <f>IF(B5824=1,INDEX('Data Entry'!$H$5:$BE$10004,5824-4,'Visual SPC'!$B$3),"")</f>
        <v/>
      </c>
      <c r="E5824">
        <f>IF(B5824=1,D5824,E5823)</f>
        <v/>
      </c>
      <c r="F5824">
        <f>IF(AND(B5824=1,C5824&gt;1,E5823&lt;&gt;""),ABS(D5824-E5823),"")</f>
        <v/>
      </c>
    </row>
    <row r="5825">
      <c r="A5825" t="n">
        <v>5825</v>
      </c>
      <c r="B5825">
        <f>IF(INDEX('Data Entry'!$H$5:$BE$10004,5825-4,'Visual SPC'!$B$3)="",0,IF(AND(OR('Visual SPC'!$C$4="",'Data Entry'!$C5825&gt;='Visual SPC'!$C$4),OR('Visual SPC'!$E$4="",'Data Entry'!$C5825&lt;='Visual SPC'!$E$4),OR('Visual SPC'!$G$4="",'Data Entry'!$D5825='Visual SPC'!$G$4),OR('Visual SPC'!$I$4="",'Data Entry'!$E5825='Visual SPC'!$I$4),OR('Visual SPC'!$K$4="",'Data Entry'!$F5825='Visual SPC'!$K$4)),1,0))</f>
        <v/>
      </c>
      <c r="C5825">
        <f>C5824+B5825</f>
        <v/>
      </c>
      <c r="D5825">
        <f>IF(B5825=1,INDEX('Data Entry'!$H$5:$BE$10004,5825-4,'Visual SPC'!$B$3),"")</f>
        <v/>
      </c>
      <c r="E5825">
        <f>IF(B5825=1,D5825,E5824)</f>
        <v/>
      </c>
      <c r="F5825">
        <f>IF(AND(B5825=1,C5825&gt;1,E5824&lt;&gt;""),ABS(D5825-E5824),"")</f>
        <v/>
      </c>
    </row>
    <row r="5826">
      <c r="A5826" t="n">
        <v>5826</v>
      </c>
      <c r="B5826">
        <f>IF(INDEX('Data Entry'!$H$5:$BE$10004,5826-4,'Visual SPC'!$B$3)="",0,IF(AND(OR('Visual SPC'!$C$4="",'Data Entry'!$C5826&gt;='Visual SPC'!$C$4),OR('Visual SPC'!$E$4="",'Data Entry'!$C5826&lt;='Visual SPC'!$E$4),OR('Visual SPC'!$G$4="",'Data Entry'!$D5826='Visual SPC'!$G$4),OR('Visual SPC'!$I$4="",'Data Entry'!$E5826='Visual SPC'!$I$4),OR('Visual SPC'!$K$4="",'Data Entry'!$F5826='Visual SPC'!$K$4)),1,0))</f>
        <v/>
      </c>
      <c r="C5826">
        <f>C5825+B5826</f>
        <v/>
      </c>
      <c r="D5826">
        <f>IF(B5826=1,INDEX('Data Entry'!$H$5:$BE$10004,5826-4,'Visual SPC'!$B$3),"")</f>
        <v/>
      </c>
      <c r="E5826">
        <f>IF(B5826=1,D5826,E5825)</f>
        <v/>
      </c>
      <c r="F5826">
        <f>IF(AND(B5826=1,C5826&gt;1,E5825&lt;&gt;""),ABS(D5826-E5825),"")</f>
        <v/>
      </c>
    </row>
    <row r="5827">
      <c r="A5827" t="n">
        <v>5827</v>
      </c>
      <c r="B5827">
        <f>IF(INDEX('Data Entry'!$H$5:$BE$10004,5827-4,'Visual SPC'!$B$3)="",0,IF(AND(OR('Visual SPC'!$C$4="",'Data Entry'!$C5827&gt;='Visual SPC'!$C$4),OR('Visual SPC'!$E$4="",'Data Entry'!$C5827&lt;='Visual SPC'!$E$4),OR('Visual SPC'!$G$4="",'Data Entry'!$D5827='Visual SPC'!$G$4),OR('Visual SPC'!$I$4="",'Data Entry'!$E5827='Visual SPC'!$I$4),OR('Visual SPC'!$K$4="",'Data Entry'!$F5827='Visual SPC'!$K$4)),1,0))</f>
        <v/>
      </c>
      <c r="C5827">
        <f>C5826+B5827</f>
        <v/>
      </c>
      <c r="D5827">
        <f>IF(B5827=1,INDEX('Data Entry'!$H$5:$BE$10004,5827-4,'Visual SPC'!$B$3),"")</f>
        <v/>
      </c>
      <c r="E5827">
        <f>IF(B5827=1,D5827,E5826)</f>
        <v/>
      </c>
      <c r="F5827">
        <f>IF(AND(B5827=1,C5827&gt;1,E5826&lt;&gt;""),ABS(D5827-E5826),"")</f>
        <v/>
      </c>
    </row>
    <row r="5828">
      <c r="A5828" t="n">
        <v>5828</v>
      </c>
      <c r="B5828">
        <f>IF(INDEX('Data Entry'!$H$5:$BE$10004,5828-4,'Visual SPC'!$B$3)="",0,IF(AND(OR('Visual SPC'!$C$4="",'Data Entry'!$C5828&gt;='Visual SPC'!$C$4),OR('Visual SPC'!$E$4="",'Data Entry'!$C5828&lt;='Visual SPC'!$E$4),OR('Visual SPC'!$G$4="",'Data Entry'!$D5828='Visual SPC'!$G$4),OR('Visual SPC'!$I$4="",'Data Entry'!$E5828='Visual SPC'!$I$4),OR('Visual SPC'!$K$4="",'Data Entry'!$F5828='Visual SPC'!$K$4)),1,0))</f>
        <v/>
      </c>
      <c r="C5828">
        <f>C5827+B5828</f>
        <v/>
      </c>
      <c r="D5828">
        <f>IF(B5828=1,INDEX('Data Entry'!$H$5:$BE$10004,5828-4,'Visual SPC'!$B$3),"")</f>
        <v/>
      </c>
      <c r="E5828">
        <f>IF(B5828=1,D5828,E5827)</f>
        <v/>
      </c>
      <c r="F5828">
        <f>IF(AND(B5828=1,C5828&gt;1,E5827&lt;&gt;""),ABS(D5828-E5827),"")</f>
        <v/>
      </c>
    </row>
    <row r="5829">
      <c r="A5829" t="n">
        <v>5829</v>
      </c>
      <c r="B5829">
        <f>IF(INDEX('Data Entry'!$H$5:$BE$10004,5829-4,'Visual SPC'!$B$3)="",0,IF(AND(OR('Visual SPC'!$C$4="",'Data Entry'!$C5829&gt;='Visual SPC'!$C$4),OR('Visual SPC'!$E$4="",'Data Entry'!$C5829&lt;='Visual SPC'!$E$4),OR('Visual SPC'!$G$4="",'Data Entry'!$D5829='Visual SPC'!$G$4),OR('Visual SPC'!$I$4="",'Data Entry'!$E5829='Visual SPC'!$I$4),OR('Visual SPC'!$K$4="",'Data Entry'!$F5829='Visual SPC'!$K$4)),1,0))</f>
        <v/>
      </c>
      <c r="C5829">
        <f>C5828+B5829</f>
        <v/>
      </c>
      <c r="D5829">
        <f>IF(B5829=1,INDEX('Data Entry'!$H$5:$BE$10004,5829-4,'Visual SPC'!$B$3),"")</f>
        <v/>
      </c>
      <c r="E5829">
        <f>IF(B5829=1,D5829,E5828)</f>
        <v/>
      </c>
      <c r="F5829">
        <f>IF(AND(B5829=1,C5829&gt;1,E5828&lt;&gt;""),ABS(D5829-E5828),"")</f>
        <v/>
      </c>
    </row>
    <row r="5830">
      <c r="A5830" t="n">
        <v>5830</v>
      </c>
      <c r="B5830">
        <f>IF(INDEX('Data Entry'!$H$5:$BE$10004,5830-4,'Visual SPC'!$B$3)="",0,IF(AND(OR('Visual SPC'!$C$4="",'Data Entry'!$C5830&gt;='Visual SPC'!$C$4),OR('Visual SPC'!$E$4="",'Data Entry'!$C5830&lt;='Visual SPC'!$E$4),OR('Visual SPC'!$G$4="",'Data Entry'!$D5830='Visual SPC'!$G$4),OR('Visual SPC'!$I$4="",'Data Entry'!$E5830='Visual SPC'!$I$4),OR('Visual SPC'!$K$4="",'Data Entry'!$F5830='Visual SPC'!$K$4)),1,0))</f>
        <v/>
      </c>
      <c r="C5830">
        <f>C5829+B5830</f>
        <v/>
      </c>
      <c r="D5830">
        <f>IF(B5830=1,INDEX('Data Entry'!$H$5:$BE$10004,5830-4,'Visual SPC'!$B$3),"")</f>
        <v/>
      </c>
      <c r="E5830">
        <f>IF(B5830=1,D5830,E5829)</f>
        <v/>
      </c>
      <c r="F5830">
        <f>IF(AND(B5830=1,C5830&gt;1,E5829&lt;&gt;""),ABS(D5830-E5829),"")</f>
        <v/>
      </c>
    </row>
    <row r="5831">
      <c r="A5831" t="n">
        <v>5831</v>
      </c>
      <c r="B5831">
        <f>IF(INDEX('Data Entry'!$H$5:$BE$10004,5831-4,'Visual SPC'!$B$3)="",0,IF(AND(OR('Visual SPC'!$C$4="",'Data Entry'!$C5831&gt;='Visual SPC'!$C$4),OR('Visual SPC'!$E$4="",'Data Entry'!$C5831&lt;='Visual SPC'!$E$4),OR('Visual SPC'!$G$4="",'Data Entry'!$D5831='Visual SPC'!$G$4),OR('Visual SPC'!$I$4="",'Data Entry'!$E5831='Visual SPC'!$I$4),OR('Visual SPC'!$K$4="",'Data Entry'!$F5831='Visual SPC'!$K$4)),1,0))</f>
        <v/>
      </c>
      <c r="C5831">
        <f>C5830+B5831</f>
        <v/>
      </c>
      <c r="D5831">
        <f>IF(B5831=1,INDEX('Data Entry'!$H$5:$BE$10004,5831-4,'Visual SPC'!$B$3),"")</f>
        <v/>
      </c>
      <c r="E5831">
        <f>IF(B5831=1,D5831,E5830)</f>
        <v/>
      </c>
      <c r="F5831">
        <f>IF(AND(B5831=1,C5831&gt;1,E5830&lt;&gt;""),ABS(D5831-E5830),"")</f>
        <v/>
      </c>
    </row>
    <row r="5832">
      <c r="A5832" t="n">
        <v>5832</v>
      </c>
      <c r="B5832">
        <f>IF(INDEX('Data Entry'!$H$5:$BE$10004,5832-4,'Visual SPC'!$B$3)="",0,IF(AND(OR('Visual SPC'!$C$4="",'Data Entry'!$C5832&gt;='Visual SPC'!$C$4),OR('Visual SPC'!$E$4="",'Data Entry'!$C5832&lt;='Visual SPC'!$E$4),OR('Visual SPC'!$G$4="",'Data Entry'!$D5832='Visual SPC'!$G$4),OR('Visual SPC'!$I$4="",'Data Entry'!$E5832='Visual SPC'!$I$4),OR('Visual SPC'!$K$4="",'Data Entry'!$F5832='Visual SPC'!$K$4)),1,0))</f>
        <v/>
      </c>
      <c r="C5832">
        <f>C5831+B5832</f>
        <v/>
      </c>
      <c r="D5832">
        <f>IF(B5832=1,INDEX('Data Entry'!$H$5:$BE$10004,5832-4,'Visual SPC'!$B$3),"")</f>
        <v/>
      </c>
      <c r="E5832">
        <f>IF(B5832=1,D5832,E5831)</f>
        <v/>
      </c>
      <c r="F5832">
        <f>IF(AND(B5832=1,C5832&gt;1,E5831&lt;&gt;""),ABS(D5832-E5831),"")</f>
        <v/>
      </c>
    </row>
    <row r="5833">
      <c r="A5833" t="n">
        <v>5833</v>
      </c>
      <c r="B5833">
        <f>IF(INDEX('Data Entry'!$H$5:$BE$10004,5833-4,'Visual SPC'!$B$3)="",0,IF(AND(OR('Visual SPC'!$C$4="",'Data Entry'!$C5833&gt;='Visual SPC'!$C$4),OR('Visual SPC'!$E$4="",'Data Entry'!$C5833&lt;='Visual SPC'!$E$4),OR('Visual SPC'!$G$4="",'Data Entry'!$D5833='Visual SPC'!$G$4),OR('Visual SPC'!$I$4="",'Data Entry'!$E5833='Visual SPC'!$I$4),OR('Visual SPC'!$K$4="",'Data Entry'!$F5833='Visual SPC'!$K$4)),1,0))</f>
        <v/>
      </c>
      <c r="C5833">
        <f>C5832+B5833</f>
        <v/>
      </c>
      <c r="D5833">
        <f>IF(B5833=1,INDEX('Data Entry'!$H$5:$BE$10004,5833-4,'Visual SPC'!$B$3),"")</f>
        <v/>
      </c>
      <c r="E5833">
        <f>IF(B5833=1,D5833,E5832)</f>
        <v/>
      </c>
      <c r="F5833">
        <f>IF(AND(B5833=1,C5833&gt;1,E5832&lt;&gt;""),ABS(D5833-E5832),"")</f>
        <v/>
      </c>
    </row>
    <row r="5834">
      <c r="A5834" t="n">
        <v>5834</v>
      </c>
      <c r="B5834">
        <f>IF(INDEX('Data Entry'!$H$5:$BE$10004,5834-4,'Visual SPC'!$B$3)="",0,IF(AND(OR('Visual SPC'!$C$4="",'Data Entry'!$C5834&gt;='Visual SPC'!$C$4),OR('Visual SPC'!$E$4="",'Data Entry'!$C5834&lt;='Visual SPC'!$E$4),OR('Visual SPC'!$G$4="",'Data Entry'!$D5834='Visual SPC'!$G$4),OR('Visual SPC'!$I$4="",'Data Entry'!$E5834='Visual SPC'!$I$4),OR('Visual SPC'!$K$4="",'Data Entry'!$F5834='Visual SPC'!$K$4)),1,0))</f>
        <v/>
      </c>
      <c r="C5834">
        <f>C5833+B5834</f>
        <v/>
      </c>
      <c r="D5834">
        <f>IF(B5834=1,INDEX('Data Entry'!$H$5:$BE$10004,5834-4,'Visual SPC'!$B$3),"")</f>
        <v/>
      </c>
      <c r="E5834">
        <f>IF(B5834=1,D5834,E5833)</f>
        <v/>
      </c>
      <c r="F5834">
        <f>IF(AND(B5834=1,C5834&gt;1,E5833&lt;&gt;""),ABS(D5834-E5833),"")</f>
        <v/>
      </c>
    </row>
    <row r="5835">
      <c r="A5835" t="n">
        <v>5835</v>
      </c>
      <c r="B5835">
        <f>IF(INDEX('Data Entry'!$H$5:$BE$10004,5835-4,'Visual SPC'!$B$3)="",0,IF(AND(OR('Visual SPC'!$C$4="",'Data Entry'!$C5835&gt;='Visual SPC'!$C$4),OR('Visual SPC'!$E$4="",'Data Entry'!$C5835&lt;='Visual SPC'!$E$4),OR('Visual SPC'!$G$4="",'Data Entry'!$D5835='Visual SPC'!$G$4),OR('Visual SPC'!$I$4="",'Data Entry'!$E5835='Visual SPC'!$I$4),OR('Visual SPC'!$K$4="",'Data Entry'!$F5835='Visual SPC'!$K$4)),1,0))</f>
        <v/>
      </c>
      <c r="C5835">
        <f>C5834+B5835</f>
        <v/>
      </c>
      <c r="D5835">
        <f>IF(B5835=1,INDEX('Data Entry'!$H$5:$BE$10004,5835-4,'Visual SPC'!$B$3),"")</f>
        <v/>
      </c>
      <c r="E5835">
        <f>IF(B5835=1,D5835,E5834)</f>
        <v/>
      </c>
      <c r="F5835">
        <f>IF(AND(B5835=1,C5835&gt;1,E5834&lt;&gt;""),ABS(D5835-E5834),"")</f>
        <v/>
      </c>
    </row>
    <row r="5836">
      <c r="A5836" t="n">
        <v>5836</v>
      </c>
      <c r="B5836">
        <f>IF(INDEX('Data Entry'!$H$5:$BE$10004,5836-4,'Visual SPC'!$B$3)="",0,IF(AND(OR('Visual SPC'!$C$4="",'Data Entry'!$C5836&gt;='Visual SPC'!$C$4),OR('Visual SPC'!$E$4="",'Data Entry'!$C5836&lt;='Visual SPC'!$E$4),OR('Visual SPC'!$G$4="",'Data Entry'!$D5836='Visual SPC'!$G$4),OR('Visual SPC'!$I$4="",'Data Entry'!$E5836='Visual SPC'!$I$4),OR('Visual SPC'!$K$4="",'Data Entry'!$F5836='Visual SPC'!$K$4)),1,0))</f>
        <v/>
      </c>
      <c r="C5836">
        <f>C5835+B5836</f>
        <v/>
      </c>
      <c r="D5836">
        <f>IF(B5836=1,INDEX('Data Entry'!$H$5:$BE$10004,5836-4,'Visual SPC'!$B$3),"")</f>
        <v/>
      </c>
      <c r="E5836">
        <f>IF(B5836=1,D5836,E5835)</f>
        <v/>
      </c>
      <c r="F5836">
        <f>IF(AND(B5836=1,C5836&gt;1,E5835&lt;&gt;""),ABS(D5836-E5835),"")</f>
        <v/>
      </c>
    </row>
    <row r="5837">
      <c r="A5837" t="n">
        <v>5837</v>
      </c>
      <c r="B5837">
        <f>IF(INDEX('Data Entry'!$H$5:$BE$10004,5837-4,'Visual SPC'!$B$3)="",0,IF(AND(OR('Visual SPC'!$C$4="",'Data Entry'!$C5837&gt;='Visual SPC'!$C$4),OR('Visual SPC'!$E$4="",'Data Entry'!$C5837&lt;='Visual SPC'!$E$4),OR('Visual SPC'!$G$4="",'Data Entry'!$D5837='Visual SPC'!$G$4),OR('Visual SPC'!$I$4="",'Data Entry'!$E5837='Visual SPC'!$I$4),OR('Visual SPC'!$K$4="",'Data Entry'!$F5837='Visual SPC'!$K$4)),1,0))</f>
        <v/>
      </c>
      <c r="C5837">
        <f>C5836+B5837</f>
        <v/>
      </c>
      <c r="D5837">
        <f>IF(B5837=1,INDEX('Data Entry'!$H$5:$BE$10004,5837-4,'Visual SPC'!$B$3),"")</f>
        <v/>
      </c>
      <c r="E5837">
        <f>IF(B5837=1,D5837,E5836)</f>
        <v/>
      </c>
      <c r="F5837">
        <f>IF(AND(B5837=1,C5837&gt;1,E5836&lt;&gt;""),ABS(D5837-E5836),"")</f>
        <v/>
      </c>
    </row>
    <row r="5838">
      <c r="A5838" t="n">
        <v>5838</v>
      </c>
      <c r="B5838">
        <f>IF(INDEX('Data Entry'!$H$5:$BE$10004,5838-4,'Visual SPC'!$B$3)="",0,IF(AND(OR('Visual SPC'!$C$4="",'Data Entry'!$C5838&gt;='Visual SPC'!$C$4),OR('Visual SPC'!$E$4="",'Data Entry'!$C5838&lt;='Visual SPC'!$E$4),OR('Visual SPC'!$G$4="",'Data Entry'!$D5838='Visual SPC'!$G$4),OR('Visual SPC'!$I$4="",'Data Entry'!$E5838='Visual SPC'!$I$4),OR('Visual SPC'!$K$4="",'Data Entry'!$F5838='Visual SPC'!$K$4)),1,0))</f>
        <v/>
      </c>
      <c r="C5838">
        <f>C5837+B5838</f>
        <v/>
      </c>
      <c r="D5838">
        <f>IF(B5838=1,INDEX('Data Entry'!$H$5:$BE$10004,5838-4,'Visual SPC'!$B$3),"")</f>
        <v/>
      </c>
      <c r="E5838">
        <f>IF(B5838=1,D5838,E5837)</f>
        <v/>
      </c>
      <c r="F5838">
        <f>IF(AND(B5838=1,C5838&gt;1,E5837&lt;&gt;""),ABS(D5838-E5837),"")</f>
        <v/>
      </c>
    </row>
    <row r="5839">
      <c r="A5839" t="n">
        <v>5839</v>
      </c>
      <c r="B5839">
        <f>IF(INDEX('Data Entry'!$H$5:$BE$10004,5839-4,'Visual SPC'!$B$3)="",0,IF(AND(OR('Visual SPC'!$C$4="",'Data Entry'!$C5839&gt;='Visual SPC'!$C$4),OR('Visual SPC'!$E$4="",'Data Entry'!$C5839&lt;='Visual SPC'!$E$4),OR('Visual SPC'!$G$4="",'Data Entry'!$D5839='Visual SPC'!$G$4),OR('Visual SPC'!$I$4="",'Data Entry'!$E5839='Visual SPC'!$I$4),OR('Visual SPC'!$K$4="",'Data Entry'!$F5839='Visual SPC'!$K$4)),1,0))</f>
        <v/>
      </c>
      <c r="C5839">
        <f>C5838+B5839</f>
        <v/>
      </c>
      <c r="D5839">
        <f>IF(B5839=1,INDEX('Data Entry'!$H$5:$BE$10004,5839-4,'Visual SPC'!$B$3),"")</f>
        <v/>
      </c>
      <c r="E5839">
        <f>IF(B5839=1,D5839,E5838)</f>
        <v/>
      </c>
      <c r="F5839">
        <f>IF(AND(B5839=1,C5839&gt;1,E5838&lt;&gt;""),ABS(D5839-E5838),"")</f>
        <v/>
      </c>
    </row>
    <row r="5840">
      <c r="A5840" t="n">
        <v>5840</v>
      </c>
      <c r="B5840">
        <f>IF(INDEX('Data Entry'!$H$5:$BE$10004,5840-4,'Visual SPC'!$B$3)="",0,IF(AND(OR('Visual SPC'!$C$4="",'Data Entry'!$C5840&gt;='Visual SPC'!$C$4),OR('Visual SPC'!$E$4="",'Data Entry'!$C5840&lt;='Visual SPC'!$E$4),OR('Visual SPC'!$G$4="",'Data Entry'!$D5840='Visual SPC'!$G$4),OR('Visual SPC'!$I$4="",'Data Entry'!$E5840='Visual SPC'!$I$4),OR('Visual SPC'!$K$4="",'Data Entry'!$F5840='Visual SPC'!$K$4)),1,0))</f>
        <v/>
      </c>
      <c r="C5840">
        <f>C5839+B5840</f>
        <v/>
      </c>
      <c r="D5840">
        <f>IF(B5840=1,INDEX('Data Entry'!$H$5:$BE$10004,5840-4,'Visual SPC'!$B$3),"")</f>
        <v/>
      </c>
      <c r="E5840">
        <f>IF(B5840=1,D5840,E5839)</f>
        <v/>
      </c>
      <c r="F5840">
        <f>IF(AND(B5840=1,C5840&gt;1,E5839&lt;&gt;""),ABS(D5840-E5839),"")</f>
        <v/>
      </c>
    </row>
    <row r="5841">
      <c r="A5841" t="n">
        <v>5841</v>
      </c>
      <c r="B5841">
        <f>IF(INDEX('Data Entry'!$H$5:$BE$10004,5841-4,'Visual SPC'!$B$3)="",0,IF(AND(OR('Visual SPC'!$C$4="",'Data Entry'!$C5841&gt;='Visual SPC'!$C$4),OR('Visual SPC'!$E$4="",'Data Entry'!$C5841&lt;='Visual SPC'!$E$4),OR('Visual SPC'!$G$4="",'Data Entry'!$D5841='Visual SPC'!$G$4),OR('Visual SPC'!$I$4="",'Data Entry'!$E5841='Visual SPC'!$I$4),OR('Visual SPC'!$K$4="",'Data Entry'!$F5841='Visual SPC'!$K$4)),1,0))</f>
        <v/>
      </c>
      <c r="C5841">
        <f>C5840+B5841</f>
        <v/>
      </c>
      <c r="D5841">
        <f>IF(B5841=1,INDEX('Data Entry'!$H$5:$BE$10004,5841-4,'Visual SPC'!$B$3),"")</f>
        <v/>
      </c>
      <c r="E5841">
        <f>IF(B5841=1,D5841,E5840)</f>
        <v/>
      </c>
      <c r="F5841">
        <f>IF(AND(B5841=1,C5841&gt;1,E5840&lt;&gt;""),ABS(D5841-E5840),"")</f>
        <v/>
      </c>
    </row>
    <row r="5842">
      <c r="A5842" t="n">
        <v>5842</v>
      </c>
      <c r="B5842">
        <f>IF(INDEX('Data Entry'!$H$5:$BE$10004,5842-4,'Visual SPC'!$B$3)="",0,IF(AND(OR('Visual SPC'!$C$4="",'Data Entry'!$C5842&gt;='Visual SPC'!$C$4),OR('Visual SPC'!$E$4="",'Data Entry'!$C5842&lt;='Visual SPC'!$E$4),OR('Visual SPC'!$G$4="",'Data Entry'!$D5842='Visual SPC'!$G$4),OR('Visual SPC'!$I$4="",'Data Entry'!$E5842='Visual SPC'!$I$4),OR('Visual SPC'!$K$4="",'Data Entry'!$F5842='Visual SPC'!$K$4)),1,0))</f>
        <v/>
      </c>
      <c r="C5842">
        <f>C5841+B5842</f>
        <v/>
      </c>
      <c r="D5842">
        <f>IF(B5842=1,INDEX('Data Entry'!$H$5:$BE$10004,5842-4,'Visual SPC'!$B$3),"")</f>
        <v/>
      </c>
      <c r="E5842">
        <f>IF(B5842=1,D5842,E5841)</f>
        <v/>
      </c>
      <c r="F5842">
        <f>IF(AND(B5842=1,C5842&gt;1,E5841&lt;&gt;""),ABS(D5842-E5841),"")</f>
        <v/>
      </c>
    </row>
    <row r="5843">
      <c r="A5843" t="n">
        <v>5843</v>
      </c>
      <c r="B5843">
        <f>IF(INDEX('Data Entry'!$H$5:$BE$10004,5843-4,'Visual SPC'!$B$3)="",0,IF(AND(OR('Visual SPC'!$C$4="",'Data Entry'!$C5843&gt;='Visual SPC'!$C$4),OR('Visual SPC'!$E$4="",'Data Entry'!$C5843&lt;='Visual SPC'!$E$4),OR('Visual SPC'!$G$4="",'Data Entry'!$D5843='Visual SPC'!$G$4),OR('Visual SPC'!$I$4="",'Data Entry'!$E5843='Visual SPC'!$I$4),OR('Visual SPC'!$K$4="",'Data Entry'!$F5843='Visual SPC'!$K$4)),1,0))</f>
        <v/>
      </c>
      <c r="C5843">
        <f>C5842+B5843</f>
        <v/>
      </c>
      <c r="D5843">
        <f>IF(B5843=1,INDEX('Data Entry'!$H$5:$BE$10004,5843-4,'Visual SPC'!$B$3),"")</f>
        <v/>
      </c>
      <c r="E5843">
        <f>IF(B5843=1,D5843,E5842)</f>
        <v/>
      </c>
      <c r="F5843">
        <f>IF(AND(B5843=1,C5843&gt;1,E5842&lt;&gt;""),ABS(D5843-E5842),"")</f>
        <v/>
      </c>
    </row>
    <row r="5844">
      <c r="A5844" t="n">
        <v>5844</v>
      </c>
      <c r="B5844">
        <f>IF(INDEX('Data Entry'!$H$5:$BE$10004,5844-4,'Visual SPC'!$B$3)="",0,IF(AND(OR('Visual SPC'!$C$4="",'Data Entry'!$C5844&gt;='Visual SPC'!$C$4),OR('Visual SPC'!$E$4="",'Data Entry'!$C5844&lt;='Visual SPC'!$E$4),OR('Visual SPC'!$G$4="",'Data Entry'!$D5844='Visual SPC'!$G$4),OR('Visual SPC'!$I$4="",'Data Entry'!$E5844='Visual SPC'!$I$4),OR('Visual SPC'!$K$4="",'Data Entry'!$F5844='Visual SPC'!$K$4)),1,0))</f>
        <v/>
      </c>
      <c r="C5844">
        <f>C5843+B5844</f>
        <v/>
      </c>
      <c r="D5844">
        <f>IF(B5844=1,INDEX('Data Entry'!$H$5:$BE$10004,5844-4,'Visual SPC'!$B$3),"")</f>
        <v/>
      </c>
      <c r="E5844">
        <f>IF(B5844=1,D5844,E5843)</f>
        <v/>
      </c>
      <c r="F5844">
        <f>IF(AND(B5844=1,C5844&gt;1,E5843&lt;&gt;""),ABS(D5844-E5843),"")</f>
        <v/>
      </c>
    </row>
    <row r="5845">
      <c r="A5845" t="n">
        <v>5845</v>
      </c>
      <c r="B5845">
        <f>IF(INDEX('Data Entry'!$H$5:$BE$10004,5845-4,'Visual SPC'!$B$3)="",0,IF(AND(OR('Visual SPC'!$C$4="",'Data Entry'!$C5845&gt;='Visual SPC'!$C$4),OR('Visual SPC'!$E$4="",'Data Entry'!$C5845&lt;='Visual SPC'!$E$4),OR('Visual SPC'!$G$4="",'Data Entry'!$D5845='Visual SPC'!$G$4),OR('Visual SPC'!$I$4="",'Data Entry'!$E5845='Visual SPC'!$I$4),OR('Visual SPC'!$K$4="",'Data Entry'!$F5845='Visual SPC'!$K$4)),1,0))</f>
        <v/>
      </c>
      <c r="C5845">
        <f>C5844+B5845</f>
        <v/>
      </c>
      <c r="D5845">
        <f>IF(B5845=1,INDEX('Data Entry'!$H$5:$BE$10004,5845-4,'Visual SPC'!$B$3),"")</f>
        <v/>
      </c>
      <c r="E5845">
        <f>IF(B5845=1,D5845,E5844)</f>
        <v/>
      </c>
      <c r="F5845">
        <f>IF(AND(B5845=1,C5845&gt;1,E5844&lt;&gt;""),ABS(D5845-E5844),"")</f>
        <v/>
      </c>
    </row>
    <row r="5846">
      <c r="A5846" t="n">
        <v>5846</v>
      </c>
      <c r="B5846">
        <f>IF(INDEX('Data Entry'!$H$5:$BE$10004,5846-4,'Visual SPC'!$B$3)="",0,IF(AND(OR('Visual SPC'!$C$4="",'Data Entry'!$C5846&gt;='Visual SPC'!$C$4),OR('Visual SPC'!$E$4="",'Data Entry'!$C5846&lt;='Visual SPC'!$E$4),OR('Visual SPC'!$G$4="",'Data Entry'!$D5846='Visual SPC'!$G$4),OR('Visual SPC'!$I$4="",'Data Entry'!$E5846='Visual SPC'!$I$4),OR('Visual SPC'!$K$4="",'Data Entry'!$F5846='Visual SPC'!$K$4)),1,0))</f>
        <v/>
      </c>
      <c r="C5846">
        <f>C5845+B5846</f>
        <v/>
      </c>
      <c r="D5846">
        <f>IF(B5846=1,INDEX('Data Entry'!$H$5:$BE$10004,5846-4,'Visual SPC'!$B$3),"")</f>
        <v/>
      </c>
      <c r="E5846">
        <f>IF(B5846=1,D5846,E5845)</f>
        <v/>
      </c>
      <c r="F5846">
        <f>IF(AND(B5846=1,C5846&gt;1,E5845&lt;&gt;""),ABS(D5846-E5845),"")</f>
        <v/>
      </c>
    </row>
    <row r="5847">
      <c r="A5847" t="n">
        <v>5847</v>
      </c>
      <c r="B5847">
        <f>IF(INDEX('Data Entry'!$H$5:$BE$10004,5847-4,'Visual SPC'!$B$3)="",0,IF(AND(OR('Visual SPC'!$C$4="",'Data Entry'!$C5847&gt;='Visual SPC'!$C$4),OR('Visual SPC'!$E$4="",'Data Entry'!$C5847&lt;='Visual SPC'!$E$4),OR('Visual SPC'!$G$4="",'Data Entry'!$D5847='Visual SPC'!$G$4),OR('Visual SPC'!$I$4="",'Data Entry'!$E5847='Visual SPC'!$I$4),OR('Visual SPC'!$K$4="",'Data Entry'!$F5847='Visual SPC'!$K$4)),1,0))</f>
        <v/>
      </c>
      <c r="C5847">
        <f>C5846+B5847</f>
        <v/>
      </c>
      <c r="D5847">
        <f>IF(B5847=1,INDEX('Data Entry'!$H$5:$BE$10004,5847-4,'Visual SPC'!$B$3),"")</f>
        <v/>
      </c>
      <c r="E5847">
        <f>IF(B5847=1,D5847,E5846)</f>
        <v/>
      </c>
      <c r="F5847">
        <f>IF(AND(B5847=1,C5847&gt;1,E5846&lt;&gt;""),ABS(D5847-E5846),"")</f>
        <v/>
      </c>
    </row>
    <row r="5848">
      <c r="A5848" t="n">
        <v>5848</v>
      </c>
      <c r="B5848">
        <f>IF(INDEX('Data Entry'!$H$5:$BE$10004,5848-4,'Visual SPC'!$B$3)="",0,IF(AND(OR('Visual SPC'!$C$4="",'Data Entry'!$C5848&gt;='Visual SPC'!$C$4),OR('Visual SPC'!$E$4="",'Data Entry'!$C5848&lt;='Visual SPC'!$E$4),OR('Visual SPC'!$G$4="",'Data Entry'!$D5848='Visual SPC'!$G$4),OR('Visual SPC'!$I$4="",'Data Entry'!$E5848='Visual SPC'!$I$4),OR('Visual SPC'!$K$4="",'Data Entry'!$F5848='Visual SPC'!$K$4)),1,0))</f>
        <v/>
      </c>
      <c r="C5848">
        <f>C5847+B5848</f>
        <v/>
      </c>
      <c r="D5848">
        <f>IF(B5848=1,INDEX('Data Entry'!$H$5:$BE$10004,5848-4,'Visual SPC'!$B$3),"")</f>
        <v/>
      </c>
      <c r="E5848">
        <f>IF(B5848=1,D5848,E5847)</f>
        <v/>
      </c>
      <c r="F5848">
        <f>IF(AND(B5848=1,C5848&gt;1,E5847&lt;&gt;""),ABS(D5848-E5847),"")</f>
        <v/>
      </c>
    </row>
    <row r="5849">
      <c r="A5849" t="n">
        <v>5849</v>
      </c>
      <c r="B5849">
        <f>IF(INDEX('Data Entry'!$H$5:$BE$10004,5849-4,'Visual SPC'!$B$3)="",0,IF(AND(OR('Visual SPC'!$C$4="",'Data Entry'!$C5849&gt;='Visual SPC'!$C$4),OR('Visual SPC'!$E$4="",'Data Entry'!$C5849&lt;='Visual SPC'!$E$4),OR('Visual SPC'!$G$4="",'Data Entry'!$D5849='Visual SPC'!$G$4),OR('Visual SPC'!$I$4="",'Data Entry'!$E5849='Visual SPC'!$I$4),OR('Visual SPC'!$K$4="",'Data Entry'!$F5849='Visual SPC'!$K$4)),1,0))</f>
        <v/>
      </c>
      <c r="C5849">
        <f>C5848+B5849</f>
        <v/>
      </c>
      <c r="D5849">
        <f>IF(B5849=1,INDEX('Data Entry'!$H$5:$BE$10004,5849-4,'Visual SPC'!$B$3),"")</f>
        <v/>
      </c>
      <c r="E5849">
        <f>IF(B5849=1,D5849,E5848)</f>
        <v/>
      </c>
      <c r="F5849">
        <f>IF(AND(B5849=1,C5849&gt;1,E5848&lt;&gt;""),ABS(D5849-E5848),"")</f>
        <v/>
      </c>
    </row>
    <row r="5850">
      <c r="A5850" t="n">
        <v>5850</v>
      </c>
      <c r="B5850">
        <f>IF(INDEX('Data Entry'!$H$5:$BE$10004,5850-4,'Visual SPC'!$B$3)="",0,IF(AND(OR('Visual SPC'!$C$4="",'Data Entry'!$C5850&gt;='Visual SPC'!$C$4),OR('Visual SPC'!$E$4="",'Data Entry'!$C5850&lt;='Visual SPC'!$E$4),OR('Visual SPC'!$G$4="",'Data Entry'!$D5850='Visual SPC'!$G$4),OR('Visual SPC'!$I$4="",'Data Entry'!$E5850='Visual SPC'!$I$4),OR('Visual SPC'!$K$4="",'Data Entry'!$F5850='Visual SPC'!$K$4)),1,0))</f>
        <v/>
      </c>
      <c r="C5850">
        <f>C5849+B5850</f>
        <v/>
      </c>
      <c r="D5850">
        <f>IF(B5850=1,INDEX('Data Entry'!$H$5:$BE$10004,5850-4,'Visual SPC'!$B$3),"")</f>
        <v/>
      </c>
      <c r="E5850">
        <f>IF(B5850=1,D5850,E5849)</f>
        <v/>
      </c>
      <c r="F5850">
        <f>IF(AND(B5850=1,C5850&gt;1,E5849&lt;&gt;""),ABS(D5850-E5849),"")</f>
        <v/>
      </c>
    </row>
    <row r="5851">
      <c r="A5851" t="n">
        <v>5851</v>
      </c>
      <c r="B5851">
        <f>IF(INDEX('Data Entry'!$H$5:$BE$10004,5851-4,'Visual SPC'!$B$3)="",0,IF(AND(OR('Visual SPC'!$C$4="",'Data Entry'!$C5851&gt;='Visual SPC'!$C$4),OR('Visual SPC'!$E$4="",'Data Entry'!$C5851&lt;='Visual SPC'!$E$4),OR('Visual SPC'!$G$4="",'Data Entry'!$D5851='Visual SPC'!$G$4),OR('Visual SPC'!$I$4="",'Data Entry'!$E5851='Visual SPC'!$I$4),OR('Visual SPC'!$K$4="",'Data Entry'!$F5851='Visual SPC'!$K$4)),1,0))</f>
        <v/>
      </c>
      <c r="C5851">
        <f>C5850+B5851</f>
        <v/>
      </c>
      <c r="D5851">
        <f>IF(B5851=1,INDEX('Data Entry'!$H$5:$BE$10004,5851-4,'Visual SPC'!$B$3),"")</f>
        <v/>
      </c>
      <c r="E5851">
        <f>IF(B5851=1,D5851,E5850)</f>
        <v/>
      </c>
      <c r="F5851">
        <f>IF(AND(B5851=1,C5851&gt;1,E5850&lt;&gt;""),ABS(D5851-E5850),"")</f>
        <v/>
      </c>
    </row>
    <row r="5852">
      <c r="A5852" t="n">
        <v>5852</v>
      </c>
      <c r="B5852">
        <f>IF(INDEX('Data Entry'!$H$5:$BE$10004,5852-4,'Visual SPC'!$B$3)="",0,IF(AND(OR('Visual SPC'!$C$4="",'Data Entry'!$C5852&gt;='Visual SPC'!$C$4),OR('Visual SPC'!$E$4="",'Data Entry'!$C5852&lt;='Visual SPC'!$E$4),OR('Visual SPC'!$G$4="",'Data Entry'!$D5852='Visual SPC'!$G$4),OR('Visual SPC'!$I$4="",'Data Entry'!$E5852='Visual SPC'!$I$4),OR('Visual SPC'!$K$4="",'Data Entry'!$F5852='Visual SPC'!$K$4)),1,0))</f>
        <v/>
      </c>
      <c r="C5852">
        <f>C5851+B5852</f>
        <v/>
      </c>
      <c r="D5852">
        <f>IF(B5852=1,INDEX('Data Entry'!$H$5:$BE$10004,5852-4,'Visual SPC'!$B$3),"")</f>
        <v/>
      </c>
      <c r="E5852">
        <f>IF(B5852=1,D5852,E5851)</f>
        <v/>
      </c>
      <c r="F5852">
        <f>IF(AND(B5852=1,C5852&gt;1,E5851&lt;&gt;""),ABS(D5852-E5851),"")</f>
        <v/>
      </c>
    </row>
    <row r="5853">
      <c r="A5853" t="n">
        <v>5853</v>
      </c>
      <c r="B5853">
        <f>IF(INDEX('Data Entry'!$H$5:$BE$10004,5853-4,'Visual SPC'!$B$3)="",0,IF(AND(OR('Visual SPC'!$C$4="",'Data Entry'!$C5853&gt;='Visual SPC'!$C$4),OR('Visual SPC'!$E$4="",'Data Entry'!$C5853&lt;='Visual SPC'!$E$4),OR('Visual SPC'!$G$4="",'Data Entry'!$D5853='Visual SPC'!$G$4),OR('Visual SPC'!$I$4="",'Data Entry'!$E5853='Visual SPC'!$I$4),OR('Visual SPC'!$K$4="",'Data Entry'!$F5853='Visual SPC'!$K$4)),1,0))</f>
        <v/>
      </c>
      <c r="C5853">
        <f>C5852+B5853</f>
        <v/>
      </c>
      <c r="D5853">
        <f>IF(B5853=1,INDEX('Data Entry'!$H$5:$BE$10004,5853-4,'Visual SPC'!$B$3),"")</f>
        <v/>
      </c>
      <c r="E5853">
        <f>IF(B5853=1,D5853,E5852)</f>
        <v/>
      </c>
      <c r="F5853">
        <f>IF(AND(B5853=1,C5853&gt;1,E5852&lt;&gt;""),ABS(D5853-E5852),"")</f>
        <v/>
      </c>
    </row>
    <row r="5854">
      <c r="A5854" t="n">
        <v>5854</v>
      </c>
      <c r="B5854">
        <f>IF(INDEX('Data Entry'!$H$5:$BE$10004,5854-4,'Visual SPC'!$B$3)="",0,IF(AND(OR('Visual SPC'!$C$4="",'Data Entry'!$C5854&gt;='Visual SPC'!$C$4),OR('Visual SPC'!$E$4="",'Data Entry'!$C5854&lt;='Visual SPC'!$E$4),OR('Visual SPC'!$G$4="",'Data Entry'!$D5854='Visual SPC'!$G$4),OR('Visual SPC'!$I$4="",'Data Entry'!$E5854='Visual SPC'!$I$4),OR('Visual SPC'!$K$4="",'Data Entry'!$F5854='Visual SPC'!$K$4)),1,0))</f>
        <v/>
      </c>
      <c r="C5854">
        <f>C5853+B5854</f>
        <v/>
      </c>
      <c r="D5854">
        <f>IF(B5854=1,INDEX('Data Entry'!$H$5:$BE$10004,5854-4,'Visual SPC'!$B$3),"")</f>
        <v/>
      </c>
      <c r="E5854">
        <f>IF(B5854=1,D5854,E5853)</f>
        <v/>
      </c>
      <c r="F5854">
        <f>IF(AND(B5854=1,C5854&gt;1,E5853&lt;&gt;""),ABS(D5854-E5853),"")</f>
        <v/>
      </c>
    </row>
    <row r="5855">
      <c r="A5855" t="n">
        <v>5855</v>
      </c>
      <c r="B5855">
        <f>IF(INDEX('Data Entry'!$H$5:$BE$10004,5855-4,'Visual SPC'!$B$3)="",0,IF(AND(OR('Visual SPC'!$C$4="",'Data Entry'!$C5855&gt;='Visual SPC'!$C$4),OR('Visual SPC'!$E$4="",'Data Entry'!$C5855&lt;='Visual SPC'!$E$4),OR('Visual SPC'!$G$4="",'Data Entry'!$D5855='Visual SPC'!$G$4),OR('Visual SPC'!$I$4="",'Data Entry'!$E5855='Visual SPC'!$I$4),OR('Visual SPC'!$K$4="",'Data Entry'!$F5855='Visual SPC'!$K$4)),1,0))</f>
        <v/>
      </c>
      <c r="C5855">
        <f>C5854+B5855</f>
        <v/>
      </c>
      <c r="D5855">
        <f>IF(B5855=1,INDEX('Data Entry'!$H$5:$BE$10004,5855-4,'Visual SPC'!$B$3),"")</f>
        <v/>
      </c>
      <c r="E5855">
        <f>IF(B5855=1,D5855,E5854)</f>
        <v/>
      </c>
      <c r="F5855">
        <f>IF(AND(B5855=1,C5855&gt;1,E5854&lt;&gt;""),ABS(D5855-E5854),"")</f>
        <v/>
      </c>
    </row>
    <row r="5856">
      <c r="A5856" t="n">
        <v>5856</v>
      </c>
      <c r="B5856">
        <f>IF(INDEX('Data Entry'!$H$5:$BE$10004,5856-4,'Visual SPC'!$B$3)="",0,IF(AND(OR('Visual SPC'!$C$4="",'Data Entry'!$C5856&gt;='Visual SPC'!$C$4),OR('Visual SPC'!$E$4="",'Data Entry'!$C5856&lt;='Visual SPC'!$E$4),OR('Visual SPC'!$G$4="",'Data Entry'!$D5856='Visual SPC'!$G$4),OR('Visual SPC'!$I$4="",'Data Entry'!$E5856='Visual SPC'!$I$4),OR('Visual SPC'!$K$4="",'Data Entry'!$F5856='Visual SPC'!$K$4)),1,0))</f>
        <v/>
      </c>
      <c r="C5856">
        <f>C5855+B5856</f>
        <v/>
      </c>
      <c r="D5856">
        <f>IF(B5856=1,INDEX('Data Entry'!$H$5:$BE$10004,5856-4,'Visual SPC'!$B$3),"")</f>
        <v/>
      </c>
      <c r="E5856">
        <f>IF(B5856=1,D5856,E5855)</f>
        <v/>
      </c>
      <c r="F5856">
        <f>IF(AND(B5856=1,C5856&gt;1,E5855&lt;&gt;""),ABS(D5856-E5855),"")</f>
        <v/>
      </c>
    </row>
    <row r="5857">
      <c r="A5857" t="n">
        <v>5857</v>
      </c>
      <c r="B5857">
        <f>IF(INDEX('Data Entry'!$H$5:$BE$10004,5857-4,'Visual SPC'!$B$3)="",0,IF(AND(OR('Visual SPC'!$C$4="",'Data Entry'!$C5857&gt;='Visual SPC'!$C$4),OR('Visual SPC'!$E$4="",'Data Entry'!$C5857&lt;='Visual SPC'!$E$4),OR('Visual SPC'!$G$4="",'Data Entry'!$D5857='Visual SPC'!$G$4),OR('Visual SPC'!$I$4="",'Data Entry'!$E5857='Visual SPC'!$I$4),OR('Visual SPC'!$K$4="",'Data Entry'!$F5857='Visual SPC'!$K$4)),1,0))</f>
        <v/>
      </c>
      <c r="C5857">
        <f>C5856+B5857</f>
        <v/>
      </c>
      <c r="D5857">
        <f>IF(B5857=1,INDEX('Data Entry'!$H$5:$BE$10004,5857-4,'Visual SPC'!$B$3),"")</f>
        <v/>
      </c>
      <c r="E5857">
        <f>IF(B5857=1,D5857,E5856)</f>
        <v/>
      </c>
      <c r="F5857">
        <f>IF(AND(B5857=1,C5857&gt;1,E5856&lt;&gt;""),ABS(D5857-E5856),"")</f>
        <v/>
      </c>
    </row>
    <row r="5858">
      <c r="A5858" t="n">
        <v>5858</v>
      </c>
      <c r="B5858">
        <f>IF(INDEX('Data Entry'!$H$5:$BE$10004,5858-4,'Visual SPC'!$B$3)="",0,IF(AND(OR('Visual SPC'!$C$4="",'Data Entry'!$C5858&gt;='Visual SPC'!$C$4),OR('Visual SPC'!$E$4="",'Data Entry'!$C5858&lt;='Visual SPC'!$E$4),OR('Visual SPC'!$G$4="",'Data Entry'!$D5858='Visual SPC'!$G$4),OR('Visual SPC'!$I$4="",'Data Entry'!$E5858='Visual SPC'!$I$4),OR('Visual SPC'!$K$4="",'Data Entry'!$F5858='Visual SPC'!$K$4)),1,0))</f>
        <v/>
      </c>
      <c r="C5858">
        <f>C5857+B5858</f>
        <v/>
      </c>
      <c r="D5858">
        <f>IF(B5858=1,INDEX('Data Entry'!$H$5:$BE$10004,5858-4,'Visual SPC'!$B$3),"")</f>
        <v/>
      </c>
      <c r="E5858">
        <f>IF(B5858=1,D5858,E5857)</f>
        <v/>
      </c>
      <c r="F5858">
        <f>IF(AND(B5858=1,C5858&gt;1,E5857&lt;&gt;""),ABS(D5858-E5857),"")</f>
        <v/>
      </c>
    </row>
    <row r="5859">
      <c r="A5859" t="n">
        <v>5859</v>
      </c>
      <c r="B5859">
        <f>IF(INDEX('Data Entry'!$H$5:$BE$10004,5859-4,'Visual SPC'!$B$3)="",0,IF(AND(OR('Visual SPC'!$C$4="",'Data Entry'!$C5859&gt;='Visual SPC'!$C$4),OR('Visual SPC'!$E$4="",'Data Entry'!$C5859&lt;='Visual SPC'!$E$4),OR('Visual SPC'!$G$4="",'Data Entry'!$D5859='Visual SPC'!$G$4),OR('Visual SPC'!$I$4="",'Data Entry'!$E5859='Visual SPC'!$I$4),OR('Visual SPC'!$K$4="",'Data Entry'!$F5859='Visual SPC'!$K$4)),1,0))</f>
        <v/>
      </c>
      <c r="C5859">
        <f>C5858+B5859</f>
        <v/>
      </c>
      <c r="D5859">
        <f>IF(B5859=1,INDEX('Data Entry'!$H$5:$BE$10004,5859-4,'Visual SPC'!$B$3),"")</f>
        <v/>
      </c>
      <c r="E5859">
        <f>IF(B5859=1,D5859,E5858)</f>
        <v/>
      </c>
      <c r="F5859">
        <f>IF(AND(B5859=1,C5859&gt;1,E5858&lt;&gt;""),ABS(D5859-E5858),"")</f>
        <v/>
      </c>
    </row>
    <row r="5860">
      <c r="A5860" t="n">
        <v>5860</v>
      </c>
      <c r="B5860">
        <f>IF(INDEX('Data Entry'!$H$5:$BE$10004,5860-4,'Visual SPC'!$B$3)="",0,IF(AND(OR('Visual SPC'!$C$4="",'Data Entry'!$C5860&gt;='Visual SPC'!$C$4),OR('Visual SPC'!$E$4="",'Data Entry'!$C5860&lt;='Visual SPC'!$E$4),OR('Visual SPC'!$G$4="",'Data Entry'!$D5860='Visual SPC'!$G$4),OR('Visual SPC'!$I$4="",'Data Entry'!$E5860='Visual SPC'!$I$4),OR('Visual SPC'!$K$4="",'Data Entry'!$F5860='Visual SPC'!$K$4)),1,0))</f>
        <v/>
      </c>
      <c r="C5860">
        <f>C5859+B5860</f>
        <v/>
      </c>
      <c r="D5860">
        <f>IF(B5860=1,INDEX('Data Entry'!$H$5:$BE$10004,5860-4,'Visual SPC'!$B$3),"")</f>
        <v/>
      </c>
      <c r="E5860">
        <f>IF(B5860=1,D5860,E5859)</f>
        <v/>
      </c>
      <c r="F5860">
        <f>IF(AND(B5860=1,C5860&gt;1,E5859&lt;&gt;""),ABS(D5860-E5859),"")</f>
        <v/>
      </c>
    </row>
    <row r="5861">
      <c r="A5861" t="n">
        <v>5861</v>
      </c>
      <c r="B5861">
        <f>IF(INDEX('Data Entry'!$H$5:$BE$10004,5861-4,'Visual SPC'!$B$3)="",0,IF(AND(OR('Visual SPC'!$C$4="",'Data Entry'!$C5861&gt;='Visual SPC'!$C$4),OR('Visual SPC'!$E$4="",'Data Entry'!$C5861&lt;='Visual SPC'!$E$4),OR('Visual SPC'!$G$4="",'Data Entry'!$D5861='Visual SPC'!$G$4),OR('Visual SPC'!$I$4="",'Data Entry'!$E5861='Visual SPC'!$I$4),OR('Visual SPC'!$K$4="",'Data Entry'!$F5861='Visual SPC'!$K$4)),1,0))</f>
        <v/>
      </c>
      <c r="C5861">
        <f>C5860+B5861</f>
        <v/>
      </c>
      <c r="D5861">
        <f>IF(B5861=1,INDEX('Data Entry'!$H$5:$BE$10004,5861-4,'Visual SPC'!$B$3),"")</f>
        <v/>
      </c>
      <c r="E5861">
        <f>IF(B5861=1,D5861,E5860)</f>
        <v/>
      </c>
      <c r="F5861">
        <f>IF(AND(B5861=1,C5861&gt;1,E5860&lt;&gt;""),ABS(D5861-E5860),"")</f>
        <v/>
      </c>
    </row>
    <row r="5862">
      <c r="A5862" t="n">
        <v>5862</v>
      </c>
      <c r="B5862">
        <f>IF(INDEX('Data Entry'!$H$5:$BE$10004,5862-4,'Visual SPC'!$B$3)="",0,IF(AND(OR('Visual SPC'!$C$4="",'Data Entry'!$C5862&gt;='Visual SPC'!$C$4),OR('Visual SPC'!$E$4="",'Data Entry'!$C5862&lt;='Visual SPC'!$E$4),OR('Visual SPC'!$G$4="",'Data Entry'!$D5862='Visual SPC'!$G$4),OR('Visual SPC'!$I$4="",'Data Entry'!$E5862='Visual SPC'!$I$4),OR('Visual SPC'!$K$4="",'Data Entry'!$F5862='Visual SPC'!$K$4)),1,0))</f>
        <v/>
      </c>
      <c r="C5862">
        <f>C5861+B5862</f>
        <v/>
      </c>
      <c r="D5862">
        <f>IF(B5862=1,INDEX('Data Entry'!$H$5:$BE$10004,5862-4,'Visual SPC'!$B$3),"")</f>
        <v/>
      </c>
      <c r="E5862">
        <f>IF(B5862=1,D5862,E5861)</f>
        <v/>
      </c>
      <c r="F5862">
        <f>IF(AND(B5862=1,C5862&gt;1,E5861&lt;&gt;""),ABS(D5862-E5861),"")</f>
        <v/>
      </c>
    </row>
    <row r="5863">
      <c r="A5863" t="n">
        <v>5863</v>
      </c>
      <c r="B5863">
        <f>IF(INDEX('Data Entry'!$H$5:$BE$10004,5863-4,'Visual SPC'!$B$3)="",0,IF(AND(OR('Visual SPC'!$C$4="",'Data Entry'!$C5863&gt;='Visual SPC'!$C$4),OR('Visual SPC'!$E$4="",'Data Entry'!$C5863&lt;='Visual SPC'!$E$4),OR('Visual SPC'!$G$4="",'Data Entry'!$D5863='Visual SPC'!$G$4),OR('Visual SPC'!$I$4="",'Data Entry'!$E5863='Visual SPC'!$I$4),OR('Visual SPC'!$K$4="",'Data Entry'!$F5863='Visual SPC'!$K$4)),1,0))</f>
        <v/>
      </c>
      <c r="C5863">
        <f>C5862+B5863</f>
        <v/>
      </c>
      <c r="D5863">
        <f>IF(B5863=1,INDEX('Data Entry'!$H$5:$BE$10004,5863-4,'Visual SPC'!$B$3),"")</f>
        <v/>
      </c>
      <c r="E5863">
        <f>IF(B5863=1,D5863,E5862)</f>
        <v/>
      </c>
      <c r="F5863">
        <f>IF(AND(B5863=1,C5863&gt;1,E5862&lt;&gt;""),ABS(D5863-E5862),"")</f>
        <v/>
      </c>
    </row>
    <row r="5864">
      <c r="A5864" t="n">
        <v>5864</v>
      </c>
      <c r="B5864">
        <f>IF(INDEX('Data Entry'!$H$5:$BE$10004,5864-4,'Visual SPC'!$B$3)="",0,IF(AND(OR('Visual SPC'!$C$4="",'Data Entry'!$C5864&gt;='Visual SPC'!$C$4),OR('Visual SPC'!$E$4="",'Data Entry'!$C5864&lt;='Visual SPC'!$E$4),OR('Visual SPC'!$G$4="",'Data Entry'!$D5864='Visual SPC'!$G$4),OR('Visual SPC'!$I$4="",'Data Entry'!$E5864='Visual SPC'!$I$4),OR('Visual SPC'!$K$4="",'Data Entry'!$F5864='Visual SPC'!$K$4)),1,0))</f>
        <v/>
      </c>
      <c r="C5864">
        <f>C5863+B5864</f>
        <v/>
      </c>
      <c r="D5864">
        <f>IF(B5864=1,INDEX('Data Entry'!$H$5:$BE$10004,5864-4,'Visual SPC'!$B$3),"")</f>
        <v/>
      </c>
      <c r="E5864">
        <f>IF(B5864=1,D5864,E5863)</f>
        <v/>
      </c>
      <c r="F5864">
        <f>IF(AND(B5864=1,C5864&gt;1,E5863&lt;&gt;""),ABS(D5864-E5863),"")</f>
        <v/>
      </c>
    </row>
    <row r="5865">
      <c r="A5865" t="n">
        <v>5865</v>
      </c>
      <c r="B5865">
        <f>IF(INDEX('Data Entry'!$H$5:$BE$10004,5865-4,'Visual SPC'!$B$3)="",0,IF(AND(OR('Visual SPC'!$C$4="",'Data Entry'!$C5865&gt;='Visual SPC'!$C$4),OR('Visual SPC'!$E$4="",'Data Entry'!$C5865&lt;='Visual SPC'!$E$4),OR('Visual SPC'!$G$4="",'Data Entry'!$D5865='Visual SPC'!$G$4),OR('Visual SPC'!$I$4="",'Data Entry'!$E5865='Visual SPC'!$I$4),OR('Visual SPC'!$K$4="",'Data Entry'!$F5865='Visual SPC'!$K$4)),1,0))</f>
        <v/>
      </c>
      <c r="C5865">
        <f>C5864+B5865</f>
        <v/>
      </c>
      <c r="D5865">
        <f>IF(B5865=1,INDEX('Data Entry'!$H$5:$BE$10004,5865-4,'Visual SPC'!$B$3),"")</f>
        <v/>
      </c>
      <c r="E5865">
        <f>IF(B5865=1,D5865,E5864)</f>
        <v/>
      </c>
      <c r="F5865">
        <f>IF(AND(B5865=1,C5865&gt;1,E5864&lt;&gt;""),ABS(D5865-E5864),"")</f>
        <v/>
      </c>
    </row>
    <row r="5866">
      <c r="A5866" t="n">
        <v>5866</v>
      </c>
      <c r="B5866">
        <f>IF(INDEX('Data Entry'!$H$5:$BE$10004,5866-4,'Visual SPC'!$B$3)="",0,IF(AND(OR('Visual SPC'!$C$4="",'Data Entry'!$C5866&gt;='Visual SPC'!$C$4),OR('Visual SPC'!$E$4="",'Data Entry'!$C5866&lt;='Visual SPC'!$E$4),OR('Visual SPC'!$G$4="",'Data Entry'!$D5866='Visual SPC'!$G$4),OR('Visual SPC'!$I$4="",'Data Entry'!$E5866='Visual SPC'!$I$4),OR('Visual SPC'!$K$4="",'Data Entry'!$F5866='Visual SPC'!$K$4)),1,0))</f>
        <v/>
      </c>
      <c r="C5866">
        <f>C5865+B5866</f>
        <v/>
      </c>
      <c r="D5866">
        <f>IF(B5866=1,INDEX('Data Entry'!$H$5:$BE$10004,5866-4,'Visual SPC'!$B$3),"")</f>
        <v/>
      </c>
      <c r="E5866">
        <f>IF(B5866=1,D5866,E5865)</f>
        <v/>
      </c>
      <c r="F5866">
        <f>IF(AND(B5866=1,C5866&gt;1,E5865&lt;&gt;""),ABS(D5866-E5865),"")</f>
        <v/>
      </c>
    </row>
    <row r="5867">
      <c r="A5867" t="n">
        <v>5867</v>
      </c>
      <c r="B5867">
        <f>IF(INDEX('Data Entry'!$H$5:$BE$10004,5867-4,'Visual SPC'!$B$3)="",0,IF(AND(OR('Visual SPC'!$C$4="",'Data Entry'!$C5867&gt;='Visual SPC'!$C$4),OR('Visual SPC'!$E$4="",'Data Entry'!$C5867&lt;='Visual SPC'!$E$4),OR('Visual SPC'!$G$4="",'Data Entry'!$D5867='Visual SPC'!$G$4),OR('Visual SPC'!$I$4="",'Data Entry'!$E5867='Visual SPC'!$I$4),OR('Visual SPC'!$K$4="",'Data Entry'!$F5867='Visual SPC'!$K$4)),1,0))</f>
        <v/>
      </c>
      <c r="C5867">
        <f>C5866+B5867</f>
        <v/>
      </c>
      <c r="D5867">
        <f>IF(B5867=1,INDEX('Data Entry'!$H$5:$BE$10004,5867-4,'Visual SPC'!$B$3),"")</f>
        <v/>
      </c>
      <c r="E5867">
        <f>IF(B5867=1,D5867,E5866)</f>
        <v/>
      </c>
      <c r="F5867">
        <f>IF(AND(B5867=1,C5867&gt;1,E5866&lt;&gt;""),ABS(D5867-E5866),"")</f>
        <v/>
      </c>
    </row>
    <row r="5868">
      <c r="A5868" t="n">
        <v>5868</v>
      </c>
      <c r="B5868">
        <f>IF(INDEX('Data Entry'!$H$5:$BE$10004,5868-4,'Visual SPC'!$B$3)="",0,IF(AND(OR('Visual SPC'!$C$4="",'Data Entry'!$C5868&gt;='Visual SPC'!$C$4),OR('Visual SPC'!$E$4="",'Data Entry'!$C5868&lt;='Visual SPC'!$E$4),OR('Visual SPC'!$G$4="",'Data Entry'!$D5868='Visual SPC'!$G$4),OR('Visual SPC'!$I$4="",'Data Entry'!$E5868='Visual SPC'!$I$4),OR('Visual SPC'!$K$4="",'Data Entry'!$F5868='Visual SPC'!$K$4)),1,0))</f>
        <v/>
      </c>
      <c r="C5868">
        <f>C5867+B5868</f>
        <v/>
      </c>
      <c r="D5868">
        <f>IF(B5868=1,INDEX('Data Entry'!$H$5:$BE$10004,5868-4,'Visual SPC'!$B$3),"")</f>
        <v/>
      </c>
      <c r="E5868">
        <f>IF(B5868=1,D5868,E5867)</f>
        <v/>
      </c>
      <c r="F5868">
        <f>IF(AND(B5868=1,C5868&gt;1,E5867&lt;&gt;""),ABS(D5868-E5867),"")</f>
        <v/>
      </c>
    </row>
    <row r="5869">
      <c r="A5869" t="n">
        <v>5869</v>
      </c>
      <c r="B5869">
        <f>IF(INDEX('Data Entry'!$H$5:$BE$10004,5869-4,'Visual SPC'!$B$3)="",0,IF(AND(OR('Visual SPC'!$C$4="",'Data Entry'!$C5869&gt;='Visual SPC'!$C$4),OR('Visual SPC'!$E$4="",'Data Entry'!$C5869&lt;='Visual SPC'!$E$4),OR('Visual SPC'!$G$4="",'Data Entry'!$D5869='Visual SPC'!$G$4),OR('Visual SPC'!$I$4="",'Data Entry'!$E5869='Visual SPC'!$I$4),OR('Visual SPC'!$K$4="",'Data Entry'!$F5869='Visual SPC'!$K$4)),1,0))</f>
        <v/>
      </c>
      <c r="C5869">
        <f>C5868+B5869</f>
        <v/>
      </c>
      <c r="D5869">
        <f>IF(B5869=1,INDEX('Data Entry'!$H$5:$BE$10004,5869-4,'Visual SPC'!$B$3),"")</f>
        <v/>
      </c>
      <c r="E5869">
        <f>IF(B5869=1,D5869,E5868)</f>
        <v/>
      </c>
      <c r="F5869">
        <f>IF(AND(B5869=1,C5869&gt;1,E5868&lt;&gt;""),ABS(D5869-E5868),"")</f>
        <v/>
      </c>
    </row>
    <row r="5870">
      <c r="A5870" t="n">
        <v>5870</v>
      </c>
      <c r="B5870">
        <f>IF(INDEX('Data Entry'!$H$5:$BE$10004,5870-4,'Visual SPC'!$B$3)="",0,IF(AND(OR('Visual SPC'!$C$4="",'Data Entry'!$C5870&gt;='Visual SPC'!$C$4),OR('Visual SPC'!$E$4="",'Data Entry'!$C5870&lt;='Visual SPC'!$E$4),OR('Visual SPC'!$G$4="",'Data Entry'!$D5870='Visual SPC'!$G$4),OR('Visual SPC'!$I$4="",'Data Entry'!$E5870='Visual SPC'!$I$4),OR('Visual SPC'!$K$4="",'Data Entry'!$F5870='Visual SPC'!$K$4)),1,0))</f>
        <v/>
      </c>
      <c r="C5870">
        <f>C5869+B5870</f>
        <v/>
      </c>
      <c r="D5870">
        <f>IF(B5870=1,INDEX('Data Entry'!$H$5:$BE$10004,5870-4,'Visual SPC'!$B$3),"")</f>
        <v/>
      </c>
      <c r="E5870">
        <f>IF(B5870=1,D5870,E5869)</f>
        <v/>
      </c>
      <c r="F5870">
        <f>IF(AND(B5870=1,C5870&gt;1,E5869&lt;&gt;""),ABS(D5870-E5869),"")</f>
        <v/>
      </c>
    </row>
    <row r="5871">
      <c r="A5871" t="n">
        <v>5871</v>
      </c>
      <c r="B5871">
        <f>IF(INDEX('Data Entry'!$H$5:$BE$10004,5871-4,'Visual SPC'!$B$3)="",0,IF(AND(OR('Visual SPC'!$C$4="",'Data Entry'!$C5871&gt;='Visual SPC'!$C$4),OR('Visual SPC'!$E$4="",'Data Entry'!$C5871&lt;='Visual SPC'!$E$4),OR('Visual SPC'!$G$4="",'Data Entry'!$D5871='Visual SPC'!$G$4),OR('Visual SPC'!$I$4="",'Data Entry'!$E5871='Visual SPC'!$I$4),OR('Visual SPC'!$K$4="",'Data Entry'!$F5871='Visual SPC'!$K$4)),1,0))</f>
        <v/>
      </c>
      <c r="C5871">
        <f>C5870+B5871</f>
        <v/>
      </c>
      <c r="D5871">
        <f>IF(B5871=1,INDEX('Data Entry'!$H$5:$BE$10004,5871-4,'Visual SPC'!$B$3),"")</f>
        <v/>
      </c>
      <c r="E5871">
        <f>IF(B5871=1,D5871,E5870)</f>
        <v/>
      </c>
      <c r="F5871">
        <f>IF(AND(B5871=1,C5871&gt;1,E5870&lt;&gt;""),ABS(D5871-E5870),"")</f>
        <v/>
      </c>
    </row>
    <row r="5872">
      <c r="A5872" t="n">
        <v>5872</v>
      </c>
      <c r="B5872">
        <f>IF(INDEX('Data Entry'!$H$5:$BE$10004,5872-4,'Visual SPC'!$B$3)="",0,IF(AND(OR('Visual SPC'!$C$4="",'Data Entry'!$C5872&gt;='Visual SPC'!$C$4),OR('Visual SPC'!$E$4="",'Data Entry'!$C5872&lt;='Visual SPC'!$E$4),OR('Visual SPC'!$G$4="",'Data Entry'!$D5872='Visual SPC'!$G$4),OR('Visual SPC'!$I$4="",'Data Entry'!$E5872='Visual SPC'!$I$4),OR('Visual SPC'!$K$4="",'Data Entry'!$F5872='Visual SPC'!$K$4)),1,0))</f>
        <v/>
      </c>
      <c r="C5872">
        <f>C5871+B5872</f>
        <v/>
      </c>
      <c r="D5872">
        <f>IF(B5872=1,INDEX('Data Entry'!$H$5:$BE$10004,5872-4,'Visual SPC'!$B$3),"")</f>
        <v/>
      </c>
      <c r="E5872">
        <f>IF(B5872=1,D5872,E5871)</f>
        <v/>
      </c>
      <c r="F5872">
        <f>IF(AND(B5872=1,C5872&gt;1,E5871&lt;&gt;""),ABS(D5872-E5871),"")</f>
        <v/>
      </c>
    </row>
    <row r="5873">
      <c r="A5873" t="n">
        <v>5873</v>
      </c>
      <c r="B5873">
        <f>IF(INDEX('Data Entry'!$H$5:$BE$10004,5873-4,'Visual SPC'!$B$3)="",0,IF(AND(OR('Visual SPC'!$C$4="",'Data Entry'!$C5873&gt;='Visual SPC'!$C$4),OR('Visual SPC'!$E$4="",'Data Entry'!$C5873&lt;='Visual SPC'!$E$4),OR('Visual SPC'!$G$4="",'Data Entry'!$D5873='Visual SPC'!$G$4),OR('Visual SPC'!$I$4="",'Data Entry'!$E5873='Visual SPC'!$I$4),OR('Visual SPC'!$K$4="",'Data Entry'!$F5873='Visual SPC'!$K$4)),1,0))</f>
        <v/>
      </c>
      <c r="C5873">
        <f>C5872+B5873</f>
        <v/>
      </c>
      <c r="D5873">
        <f>IF(B5873=1,INDEX('Data Entry'!$H$5:$BE$10004,5873-4,'Visual SPC'!$B$3),"")</f>
        <v/>
      </c>
      <c r="E5873">
        <f>IF(B5873=1,D5873,E5872)</f>
        <v/>
      </c>
      <c r="F5873">
        <f>IF(AND(B5873=1,C5873&gt;1,E5872&lt;&gt;""),ABS(D5873-E5872),"")</f>
        <v/>
      </c>
    </row>
    <row r="5874">
      <c r="A5874" t="n">
        <v>5874</v>
      </c>
      <c r="B5874">
        <f>IF(INDEX('Data Entry'!$H$5:$BE$10004,5874-4,'Visual SPC'!$B$3)="",0,IF(AND(OR('Visual SPC'!$C$4="",'Data Entry'!$C5874&gt;='Visual SPC'!$C$4),OR('Visual SPC'!$E$4="",'Data Entry'!$C5874&lt;='Visual SPC'!$E$4),OR('Visual SPC'!$G$4="",'Data Entry'!$D5874='Visual SPC'!$G$4),OR('Visual SPC'!$I$4="",'Data Entry'!$E5874='Visual SPC'!$I$4),OR('Visual SPC'!$K$4="",'Data Entry'!$F5874='Visual SPC'!$K$4)),1,0))</f>
        <v/>
      </c>
      <c r="C5874">
        <f>C5873+B5874</f>
        <v/>
      </c>
      <c r="D5874">
        <f>IF(B5874=1,INDEX('Data Entry'!$H$5:$BE$10004,5874-4,'Visual SPC'!$B$3),"")</f>
        <v/>
      </c>
      <c r="E5874">
        <f>IF(B5874=1,D5874,E5873)</f>
        <v/>
      </c>
      <c r="F5874">
        <f>IF(AND(B5874=1,C5874&gt;1,E5873&lt;&gt;""),ABS(D5874-E5873),"")</f>
        <v/>
      </c>
    </row>
    <row r="5875">
      <c r="A5875" t="n">
        <v>5875</v>
      </c>
      <c r="B5875">
        <f>IF(INDEX('Data Entry'!$H$5:$BE$10004,5875-4,'Visual SPC'!$B$3)="",0,IF(AND(OR('Visual SPC'!$C$4="",'Data Entry'!$C5875&gt;='Visual SPC'!$C$4),OR('Visual SPC'!$E$4="",'Data Entry'!$C5875&lt;='Visual SPC'!$E$4),OR('Visual SPC'!$G$4="",'Data Entry'!$D5875='Visual SPC'!$G$4),OR('Visual SPC'!$I$4="",'Data Entry'!$E5875='Visual SPC'!$I$4),OR('Visual SPC'!$K$4="",'Data Entry'!$F5875='Visual SPC'!$K$4)),1,0))</f>
        <v/>
      </c>
      <c r="C5875">
        <f>C5874+B5875</f>
        <v/>
      </c>
      <c r="D5875">
        <f>IF(B5875=1,INDEX('Data Entry'!$H$5:$BE$10004,5875-4,'Visual SPC'!$B$3),"")</f>
        <v/>
      </c>
      <c r="E5875">
        <f>IF(B5875=1,D5875,E5874)</f>
        <v/>
      </c>
      <c r="F5875">
        <f>IF(AND(B5875=1,C5875&gt;1,E5874&lt;&gt;""),ABS(D5875-E5874),"")</f>
        <v/>
      </c>
    </row>
    <row r="5876">
      <c r="A5876" t="n">
        <v>5876</v>
      </c>
      <c r="B5876">
        <f>IF(INDEX('Data Entry'!$H$5:$BE$10004,5876-4,'Visual SPC'!$B$3)="",0,IF(AND(OR('Visual SPC'!$C$4="",'Data Entry'!$C5876&gt;='Visual SPC'!$C$4),OR('Visual SPC'!$E$4="",'Data Entry'!$C5876&lt;='Visual SPC'!$E$4),OR('Visual SPC'!$G$4="",'Data Entry'!$D5876='Visual SPC'!$G$4),OR('Visual SPC'!$I$4="",'Data Entry'!$E5876='Visual SPC'!$I$4),OR('Visual SPC'!$K$4="",'Data Entry'!$F5876='Visual SPC'!$K$4)),1,0))</f>
        <v/>
      </c>
      <c r="C5876">
        <f>C5875+B5876</f>
        <v/>
      </c>
      <c r="D5876">
        <f>IF(B5876=1,INDEX('Data Entry'!$H$5:$BE$10004,5876-4,'Visual SPC'!$B$3),"")</f>
        <v/>
      </c>
      <c r="E5876">
        <f>IF(B5876=1,D5876,E5875)</f>
        <v/>
      </c>
      <c r="F5876">
        <f>IF(AND(B5876=1,C5876&gt;1,E5875&lt;&gt;""),ABS(D5876-E5875),"")</f>
        <v/>
      </c>
    </row>
    <row r="5877">
      <c r="A5877" t="n">
        <v>5877</v>
      </c>
      <c r="B5877">
        <f>IF(INDEX('Data Entry'!$H$5:$BE$10004,5877-4,'Visual SPC'!$B$3)="",0,IF(AND(OR('Visual SPC'!$C$4="",'Data Entry'!$C5877&gt;='Visual SPC'!$C$4),OR('Visual SPC'!$E$4="",'Data Entry'!$C5877&lt;='Visual SPC'!$E$4),OR('Visual SPC'!$G$4="",'Data Entry'!$D5877='Visual SPC'!$G$4),OR('Visual SPC'!$I$4="",'Data Entry'!$E5877='Visual SPC'!$I$4),OR('Visual SPC'!$K$4="",'Data Entry'!$F5877='Visual SPC'!$K$4)),1,0))</f>
        <v/>
      </c>
      <c r="C5877">
        <f>C5876+B5877</f>
        <v/>
      </c>
      <c r="D5877">
        <f>IF(B5877=1,INDEX('Data Entry'!$H$5:$BE$10004,5877-4,'Visual SPC'!$B$3),"")</f>
        <v/>
      </c>
      <c r="E5877">
        <f>IF(B5877=1,D5877,E5876)</f>
        <v/>
      </c>
      <c r="F5877">
        <f>IF(AND(B5877=1,C5877&gt;1,E5876&lt;&gt;""),ABS(D5877-E5876),"")</f>
        <v/>
      </c>
    </row>
    <row r="5878">
      <c r="A5878" t="n">
        <v>5878</v>
      </c>
      <c r="B5878">
        <f>IF(INDEX('Data Entry'!$H$5:$BE$10004,5878-4,'Visual SPC'!$B$3)="",0,IF(AND(OR('Visual SPC'!$C$4="",'Data Entry'!$C5878&gt;='Visual SPC'!$C$4),OR('Visual SPC'!$E$4="",'Data Entry'!$C5878&lt;='Visual SPC'!$E$4),OR('Visual SPC'!$G$4="",'Data Entry'!$D5878='Visual SPC'!$G$4),OR('Visual SPC'!$I$4="",'Data Entry'!$E5878='Visual SPC'!$I$4),OR('Visual SPC'!$K$4="",'Data Entry'!$F5878='Visual SPC'!$K$4)),1,0))</f>
        <v/>
      </c>
      <c r="C5878">
        <f>C5877+B5878</f>
        <v/>
      </c>
      <c r="D5878">
        <f>IF(B5878=1,INDEX('Data Entry'!$H$5:$BE$10004,5878-4,'Visual SPC'!$B$3),"")</f>
        <v/>
      </c>
      <c r="E5878">
        <f>IF(B5878=1,D5878,E5877)</f>
        <v/>
      </c>
      <c r="F5878">
        <f>IF(AND(B5878=1,C5878&gt;1,E5877&lt;&gt;""),ABS(D5878-E5877),"")</f>
        <v/>
      </c>
    </row>
    <row r="5879">
      <c r="A5879" t="n">
        <v>5879</v>
      </c>
      <c r="B5879">
        <f>IF(INDEX('Data Entry'!$H$5:$BE$10004,5879-4,'Visual SPC'!$B$3)="",0,IF(AND(OR('Visual SPC'!$C$4="",'Data Entry'!$C5879&gt;='Visual SPC'!$C$4),OR('Visual SPC'!$E$4="",'Data Entry'!$C5879&lt;='Visual SPC'!$E$4),OR('Visual SPC'!$G$4="",'Data Entry'!$D5879='Visual SPC'!$G$4),OR('Visual SPC'!$I$4="",'Data Entry'!$E5879='Visual SPC'!$I$4),OR('Visual SPC'!$K$4="",'Data Entry'!$F5879='Visual SPC'!$K$4)),1,0))</f>
        <v/>
      </c>
      <c r="C5879">
        <f>C5878+B5879</f>
        <v/>
      </c>
      <c r="D5879">
        <f>IF(B5879=1,INDEX('Data Entry'!$H$5:$BE$10004,5879-4,'Visual SPC'!$B$3),"")</f>
        <v/>
      </c>
      <c r="E5879">
        <f>IF(B5879=1,D5879,E5878)</f>
        <v/>
      </c>
      <c r="F5879">
        <f>IF(AND(B5879=1,C5879&gt;1,E5878&lt;&gt;""),ABS(D5879-E5878),"")</f>
        <v/>
      </c>
    </row>
    <row r="5880">
      <c r="A5880" t="n">
        <v>5880</v>
      </c>
      <c r="B5880">
        <f>IF(INDEX('Data Entry'!$H$5:$BE$10004,5880-4,'Visual SPC'!$B$3)="",0,IF(AND(OR('Visual SPC'!$C$4="",'Data Entry'!$C5880&gt;='Visual SPC'!$C$4),OR('Visual SPC'!$E$4="",'Data Entry'!$C5880&lt;='Visual SPC'!$E$4),OR('Visual SPC'!$G$4="",'Data Entry'!$D5880='Visual SPC'!$G$4),OR('Visual SPC'!$I$4="",'Data Entry'!$E5880='Visual SPC'!$I$4),OR('Visual SPC'!$K$4="",'Data Entry'!$F5880='Visual SPC'!$K$4)),1,0))</f>
        <v/>
      </c>
      <c r="C5880">
        <f>C5879+B5880</f>
        <v/>
      </c>
      <c r="D5880">
        <f>IF(B5880=1,INDEX('Data Entry'!$H$5:$BE$10004,5880-4,'Visual SPC'!$B$3),"")</f>
        <v/>
      </c>
      <c r="E5880">
        <f>IF(B5880=1,D5880,E5879)</f>
        <v/>
      </c>
      <c r="F5880">
        <f>IF(AND(B5880=1,C5880&gt;1,E5879&lt;&gt;""),ABS(D5880-E5879),"")</f>
        <v/>
      </c>
    </row>
    <row r="5881">
      <c r="A5881" t="n">
        <v>5881</v>
      </c>
      <c r="B5881">
        <f>IF(INDEX('Data Entry'!$H$5:$BE$10004,5881-4,'Visual SPC'!$B$3)="",0,IF(AND(OR('Visual SPC'!$C$4="",'Data Entry'!$C5881&gt;='Visual SPC'!$C$4),OR('Visual SPC'!$E$4="",'Data Entry'!$C5881&lt;='Visual SPC'!$E$4),OR('Visual SPC'!$G$4="",'Data Entry'!$D5881='Visual SPC'!$G$4),OR('Visual SPC'!$I$4="",'Data Entry'!$E5881='Visual SPC'!$I$4),OR('Visual SPC'!$K$4="",'Data Entry'!$F5881='Visual SPC'!$K$4)),1,0))</f>
        <v/>
      </c>
      <c r="C5881">
        <f>C5880+B5881</f>
        <v/>
      </c>
      <c r="D5881">
        <f>IF(B5881=1,INDEX('Data Entry'!$H$5:$BE$10004,5881-4,'Visual SPC'!$B$3),"")</f>
        <v/>
      </c>
      <c r="E5881">
        <f>IF(B5881=1,D5881,E5880)</f>
        <v/>
      </c>
      <c r="F5881">
        <f>IF(AND(B5881=1,C5881&gt;1,E5880&lt;&gt;""),ABS(D5881-E5880),"")</f>
        <v/>
      </c>
    </row>
    <row r="5882">
      <c r="A5882" t="n">
        <v>5882</v>
      </c>
      <c r="B5882">
        <f>IF(INDEX('Data Entry'!$H$5:$BE$10004,5882-4,'Visual SPC'!$B$3)="",0,IF(AND(OR('Visual SPC'!$C$4="",'Data Entry'!$C5882&gt;='Visual SPC'!$C$4),OR('Visual SPC'!$E$4="",'Data Entry'!$C5882&lt;='Visual SPC'!$E$4),OR('Visual SPC'!$G$4="",'Data Entry'!$D5882='Visual SPC'!$G$4),OR('Visual SPC'!$I$4="",'Data Entry'!$E5882='Visual SPC'!$I$4),OR('Visual SPC'!$K$4="",'Data Entry'!$F5882='Visual SPC'!$K$4)),1,0))</f>
        <v/>
      </c>
      <c r="C5882">
        <f>C5881+B5882</f>
        <v/>
      </c>
      <c r="D5882">
        <f>IF(B5882=1,INDEX('Data Entry'!$H$5:$BE$10004,5882-4,'Visual SPC'!$B$3),"")</f>
        <v/>
      </c>
      <c r="E5882">
        <f>IF(B5882=1,D5882,E5881)</f>
        <v/>
      </c>
      <c r="F5882">
        <f>IF(AND(B5882=1,C5882&gt;1,E5881&lt;&gt;""),ABS(D5882-E5881),"")</f>
        <v/>
      </c>
    </row>
    <row r="5883">
      <c r="A5883" t="n">
        <v>5883</v>
      </c>
      <c r="B5883">
        <f>IF(INDEX('Data Entry'!$H$5:$BE$10004,5883-4,'Visual SPC'!$B$3)="",0,IF(AND(OR('Visual SPC'!$C$4="",'Data Entry'!$C5883&gt;='Visual SPC'!$C$4),OR('Visual SPC'!$E$4="",'Data Entry'!$C5883&lt;='Visual SPC'!$E$4),OR('Visual SPC'!$G$4="",'Data Entry'!$D5883='Visual SPC'!$G$4),OR('Visual SPC'!$I$4="",'Data Entry'!$E5883='Visual SPC'!$I$4),OR('Visual SPC'!$K$4="",'Data Entry'!$F5883='Visual SPC'!$K$4)),1,0))</f>
        <v/>
      </c>
      <c r="C5883">
        <f>C5882+B5883</f>
        <v/>
      </c>
      <c r="D5883">
        <f>IF(B5883=1,INDEX('Data Entry'!$H$5:$BE$10004,5883-4,'Visual SPC'!$B$3),"")</f>
        <v/>
      </c>
      <c r="E5883">
        <f>IF(B5883=1,D5883,E5882)</f>
        <v/>
      </c>
      <c r="F5883">
        <f>IF(AND(B5883=1,C5883&gt;1,E5882&lt;&gt;""),ABS(D5883-E5882),"")</f>
        <v/>
      </c>
    </row>
    <row r="5884">
      <c r="A5884" t="n">
        <v>5884</v>
      </c>
      <c r="B5884">
        <f>IF(INDEX('Data Entry'!$H$5:$BE$10004,5884-4,'Visual SPC'!$B$3)="",0,IF(AND(OR('Visual SPC'!$C$4="",'Data Entry'!$C5884&gt;='Visual SPC'!$C$4),OR('Visual SPC'!$E$4="",'Data Entry'!$C5884&lt;='Visual SPC'!$E$4),OR('Visual SPC'!$G$4="",'Data Entry'!$D5884='Visual SPC'!$G$4),OR('Visual SPC'!$I$4="",'Data Entry'!$E5884='Visual SPC'!$I$4),OR('Visual SPC'!$K$4="",'Data Entry'!$F5884='Visual SPC'!$K$4)),1,0))</f>
        <v/>
      </c>
      <c r="C5884">
        <f>C5883+B5884</f>
        <v/>
      </c>
      <c r="D5884">
        <f>IF(B5884=1,INDEX('Data Entry'!$H$5:$BE$10004,5884-4,'Visual SPC'!$B$3),"")</f>
        <v/>
      </c>
      <c r="E5884">
        <f>IF(B5884=1,D5884,E5883)</f>
        <v/>
      </c>
      <c r="F5884">
        <f>IF(AND(B5884=1,C5884&gt;1,E5883&lt;&gt;""),ABS(D5884-E5883),"")</f>
        <v/>
      </c>
    </row>
    <row r="5885">
      <c r="A5885" t="n">
        <v>5885</v>
      </c>
      <c r="B5885">
        <f>IF(INDEX('Data Entry'!$H$5:$BE$10004,5885-4,'Visual SPC'!$B$3)="",0,IF(AND(OR('Visual SPC'!$C$4="",'Data Entry'!$C5885&gt;='Visual SPC'!$C$4),OR('Visual SPC'!$E$4="",'Data Entry'!$C5885&lt;='Visual SPC'!$E$4),OR('Visual SPC'!$G$4="",'Data Entry'!$D5885='Visual SPC'!$G$4),OR('Visual SPC'!$I$4="",'Data Entry'!$E5885='Visual SPC'!$I$4),OR('Visual SPC'!$K$4="",'Data Entry'!$F5885='Visual SPC'!$K$4)),1,0))</f>
        <v/>
      </c>
      <c r="C5885">
        <f>C5884+B5885</f>
        <v/>
      </c>
      <c r="D5885">
        <f>IF(B5885=1,INDEX('Data Entry'!$H$5:$BE$10004,5885-4,'Visual SPC'!$B$3),"")</f>
        <v/>
      </c>
      <c r="E5885">
        <f>IF(B5885=1,D5885,E5884)</f>
        <v/>
      </c>
      <c r="F5885">
        <f>IF(AND(B5885=1,C5885&gt;1,E5884&lt;&gt;""),ABS(D5885-E5884),"")</f>
        <v/>
      </c>
    </row>
    <row r="5886">
      <c r="A5886" t="n">
        <v>5886</v>
      </c>
      <c r="B5886">
        <f>IF(INDEX('Data Entry'!$H$5:$BE$10004,5886-4,'Visual SPC'!$B$3)="",0,IF(AND(OR('Visual SPC'!$C$4="",'Data Entry'!$C5886&gt;='Visual SPC'!$C$4),OR('Visual SPC'!$E$4="",'Data Entry'!$C5886&lt;='Visual SPC'!$E$4),OR('Visual SPC'!$G$4="",'Data Entry'!$D5886='Visual SPC'!$G$4),OR('Visual SPC'!$I$4="",'Data Entry'!$E5886='Visual SPC'!$I$4),OR('Visual SPC'!$K$4="",'Data Entry'!$F5886='Visual SPC'!$K$4)),1,0))</f>
        <v/>
      </c>
      <c r="C5886">
        <f>C5885+B5886</f>
        <v/>
      </c>
      <c r="D5886">
        <f>IF(B5886=1,INDEX('Data Entry'!$H$5:$BE$10004,5886-4,'Visual SPC'!$B$3),"")</f>
        <v/>
      </c>
      <c r="E5886">
        <f>IF(B5886=1,D5886,E5885)</f>
        <v/>
      </c>
      <c r="F5886">
        <f>IF(AND(B5886=1,C5886&gt;1,E5885&lt;&gt;""),ABS(D5886-E5885),"")</f>
        <v/>
      </c>
    </row>
    <row r="5887">
      <c r="A5887" t="n">
        <v>5887</v>
      </c>
      <c r="B5887">
        <f>IF(INDEX('Data Entry'!$H$5:$BE$10004,5887-4,'Visual SPC'!$B$3)="",0,IF(AND(OR('Visual SPC'!$C$4="",'Data Entry'!$C5887&gt;='Visual SPC'!$C$4),OR('Visual SPC'!$E$4="",'Data Entry'!$C5887&lt;='Visual SPC'!$E$4),OR('Visual SPC'!$G$4="",'Data Entry'!$D5887='Visual SPC'!$G$4),OR('Visual SPC'!$I$4="",'Data Entry'!$E5887='Visual SPC'!$I$4),OR('Visual SPC'!$K$4="",'Data Entry'!$F5887='Visual SPC'!$K$4)),1,0))</f>
        <v/>
      </c>
      <c r="C5887">
        <f>C5886+B5887</f>
        <v/>
      </c>
      <c r="D5887">
        <f>IF(B5887=1,INDEX('Data Entry'!$H$5:$BE$10004,5887-4,'Visual SPC'!$B$3),"")</f>
        <v/>
      </c>
      <c r="E5887">
        <f>IF(B5887=1,D5887,E5886)</f>
        <v/>
      </c>
      <c r="F5887">
        <f>IF(AND(B5887=1,C5887&gt;1,E5886&lt;&gt;""),ABS(D5887-E5886),"")</f>
        <v/>
      </c>
    </row>
    <row r="5888">
      <c r="A5888" t="n">
        <v>5888</v>
      </c>
      <c r="B5888">
        <f>IF(INDEX('Data Entry'!$H$5:$BE$10004,5888-4,'Visual SPC'!$B$3)="",0,IF(AND(OR('Visual SPC'!$C$4="",'Data Entry'!$C5888&gt;='Visual SPC'!$C$4),OR('Visual SPC'!$E$4="",'Data Entry'!$C5888&lt;='Visual SPC'!$E$4),OR('Visual SPC'!$G$4="",'Data Entry'!$D5888='Visual SPC'!$G$4),OR('Visual SPC'!$I$4="",'Data Entry'!$E5888='Visual SPC'!$I$4),OR('Visual SPC'!$K$4="",'Data Entry'!$F5888='Visual SPC'!$K$4)),1,0))</f>
        <v/>
      </c>
      <c r="C5888">
        <f>C5887+B5888</f>
        <v/>
      </c>
      <c r="D5888">
        <f>IF(B5888=1,INDEX('Data Entry'!$H$5:$BE$10004,5888-4,'Visual SPC'!$B$3),"")</f>
        <v/>
      </c>
      <c r="E5888">
        <f>IF(B5888=1,D5888,E5887)</f>
        <v/>
      </c>
      <c r="F5888">
        <f>IF(AND(B5888=1,C5888&gt;1,E5887&lt;&gt;""),ABS(D5888-E5887),"")</f>
        <v/>
      </c>
    </row>
    <row r="5889">
      <c r="A5889" t="n">
        <v>5889</v>
      </c>
      <c r="B5889">
        <f>IF(INDEX('Data Entry'!$H$5:$BE$10004,5889-4,'Visual SPC'!$B$3)="",0,IF(AND(OR('Visual SPC'!$C$4="",'Data Entry'!$C5889&gt;='Visual SPC'!$C$4),OR('Visual SPC'!$E$4="",'Data Entry'!$C5889&lt;='Visual SPC'!$E$4),OR('Visual SPC'!$G$4="",'Data Entry'!$D5889='Visual SPC'!$G$4),OR('Visual SPC'!$I$4="",'Data Entry'!$E5889='Visual SPC'!$I$4),OR('Visual SPC'!$K$4="",'Data Entry'!$F5889='Visual SPC'!$K$4)),1,0))</f>
        <v/>
      </c>
      <c r="C5889">
        <f>C5888+B5889</f>
        <v/>
      </c>
      <c r="D5889">
        <f>IF(B5889=1,INDEX('Data Entry'!$H$5:$BE$10004,5889-4,'Visual SPC'!$B$3),"")</f>
        <v/>
      </c>
      <c r="E5889">
        <f>IF(B5889=1,D5889,E5888)</f>
        <v/>
      </c>
      <c r="F5889">
        <f>IF(AND(B5889=1,C5889&gt;1,E5888&lt;&gt;""),ABS(D5889-E5888),"")</f>
        <v/>
      </c>
    </row>
    <row r="5890">
      <c r="A5890" t="n">
        <v>5890</v>
      </c>
      <c r="B5890">
        <f>IF(INDEX('Data Entry'!$H$5:$BE$10004,5890-4,'Visual SPC'!$B$3)="",0,IF(AND(OR('Visual SPC'!$C$4="",'Data Entry'!$C5890&gt;='Visual SPC'!$C$4),OR('Visual SPC'!$E$4="",'Data Entry'!$C5890&lt;='Visual SPC'!$E$4),OR('Visual SPC'!$G$4="",'Data Entry'!$D5890='Visual SPC'!$G$4),OR('Visual SPC'!$I$4="",'Data Entry'!$E5890='Visual SPC'!$I$4),OR('Visual SPC'!$K$4="",'Data Entry'!$F5890='Visual SPC'!$K$4)),1,0))</f>
        <v/>
      </c>
      <c r="C5890">
        <f>C5889+B5890</f>
        <v/>
      </c>
      <c r="D5890">
        <f>IF(B5890=1,INDEX('Data Entry'!$H$5:$BE$10004,5890-4,'Visual SPC'!$B$3),"")</f>
        <v/>
      </c>
      <c r="E5890">
        <f>IF(B5890=1,D5890,E5889)</f>
        <v/>
      </c>
      <c r="F5890">
        <f>IF(AND(B5890=1,C5890&gt;1,E5889&lt;&gt;""),ABS(D5890-E5889),"")</f>
        <v/>
      </c>
    </row>
    <row r="5891">
      <c r="A5891" t="n">
        <v>5891</v>
      </c>
      <c r="B5891">
        <f>IF(INDEX('Data Entry'!$H$5:$BE$10004,5891-4,'Visual SPC'!$B$3)="",0,IF(AND(OR('Visual SPC'!$C$4="",'Data Entry'!$C5891&gt;='Visual SPC'!$C$4),OR('Visual SPC'!$E$4="",'Data Entry'!$C5891&lt;='Visual SPC'!$E$4),OR('Visual SPC'!$G$4="",'Data Entry'!$D5891='Visual SPC'!$G$4),OR('Visual SPC'!$I$4="",'Data Entry'!$E5891='Visual SPC'!$I$4),OR('Visual SPC'!$K$4="",'Data Entry'!$F5891='Visual SPC'!$K$4)),1,0))</f>
        <v/>
      </c>
      <c r="C5891">
        <f>C5890+B5891</f>
        <v/>
      </c>
      <c r="D5891">
        <f>IF(B5891=1,INDEX('Data Entry'!$H$5:$BE$10004,5891-4,'Visual SPC'!$B$3),"")</f>
        <v/>
      </c>
      <c r="E5891">
        <f>IF(B5891=1,D5891,E5890)</f>
        <v/>
      </c>
      <c r="F5891">
        <f>IF(AND(B5891=1,C5891&gt;1,E5890&lt;&gt;""),ABS(D5891-E5890),"")</f>
        <v/>
      </c>
    </row>
    <row r="5892">
      <c r="A5892" t="n">
        <v>5892</v>
      </c>
      <c r="B5892">
        <f>IF(INDEX('Data Entry'!$H$5:$BE$10004,5892-4,'Visual SPC'!$B$3)="",0,IF(AND(OR('Visual SPC'!$C$4="",'Data Entry'!$C5892&gt;='Visual SPC'!$C$4),OR('Visual SPC'!$E$4="",'Data Entry'!$C5892&lt;='Visual SPC'!$E$4),OR('Visual SPC'!$G$4="",'Data Entry'!$D5892='Visual SPC'!$G$4),OR('Visual SPC'!$I$4="",'Data Entry'!$E5892='Visual SPC'!$I$4),OR('Visual SPC'!$K$4="",'Data Entry'!$F5892='Visual SPC'!$K$4)),1,0))</f>
        <v/>
      </c>
      <c r="C5892">
        <f>C5891+B5892</f>
        <v/>
      </c>
      <c r="D5892">
        <f>IF(B5892=1,INDEX('Data Entry'!$H$5:$BE$10004,5892-4,'Visual SPC'!$B$3),"")</f>
        <v/>
      </c>
      <c r="E5892">
        <f>IF(B5892=1,D5892,E5891)</f>
        <v/>
      </c>
      <c r="F5892">
        <f>IF(AND(B5892=1,C5892&gt;1,E5891&lt;&gt;""),ABS(D5892-E5891),"")</f>
        <v/>
      </c>
    </row>
    <row r="5893">
      <c r="A5893" t="n">
        <v>5893</v>
      </c>
      <c r="B5893">
        <f>IF(INDEX('Data Entry'!$H$5:$BE$10004,5893-4,'Visual SPC'!$B$3)="",0,IF(AND(OR('Visual SPC'!$C$4="",'Data Entry'!$C5893&gt;='Visual SPC'!$C$4),OR('Visual SPC'!$E$4="",'Data Entry'!$C5893&lt;='Visual SPC'!$E$4),OR('Visual SPC'!$G$4="",'Data Entry'!$D5893='Visual SPC'!$G$4),OR('Visual SPC'!$I$4="",'Data Entry'!$E5893='Visual SPC'!$I$4),OR('Visual SPC'!$K$4="",'Data Entry'!$F5893='Visual SPC'!$K$4)),1,0))</f>
        <v/>
      </c>
      <c r="C5893">
        <f>C5892+B5893</f>
        <v/>
      </c>
      <c r="D5893">
        <f>IF(B5893=1,INDEX('Data Entry'!$H$5:$BE$10004,5893-4,'Visual SPC'!$B$3),"")</f>
        <v/>
      </c>
      <c r="E5893">
        <f>IF(B5893=1,D5893,E5892)</f>
        <v/>
      </c>
      <c r="F5893">
        <f>IF(AND(B5893=1,C5893&gt;1,E5892&lt;&gt;""),ABS(D5893-E5892),"")</f>
        <v/>
      </c>
    </row>
    <row r="5894">
      <c r="A5894" t="n">
        <v>5894</v>
      </c>
      <c r="B5894">
        <f>IF(INDEX('Data Entry'!$H$5:$BE$10004,5894-4,'Visual SPC'!$B$3)="",0,IF(AND(OR('Visual SPC'!$C$4="",'Data Entry'!$C5894&gt;='Visual SPC'!$C$4),OR('Visual SPC'!$E$4="",'Data Entry'!$C5894&lt;='Visual SPC'!$E$4),OR('Visual SPC'!$G$4="",'Data Entry'!$D5894='Visual SPC'!$G$4),OR('Visual SPC'!$I$4="",'Data Entry'!$E5894='Visual SPC'!$I$4),OR('Visual SPC'!$K$4="",'Data Entry'!$F5894='Visual SPC'!$K$4)),1,0))</f>
        <v/>
      </c>
      <c r="C5894">
        <f>C5893+B5894</f>
        <v/>
      </c>
      <c r="D5894">
        <f>IF(B5894=1,INDEX('Data Entry'!$H$5:$BE$10004,5894-4,'Visual SPC'!$B$3),"")</f>
        <v/>
      </c>
      <c r="E5894">
        <f>IF(B5894=1,D5894,E5893)</f>
        <v/>
      </c>
      <c r="F5894">
        <f>IF(AND(B5894=1,C5894&gt;1,E5893&lt;&gt;""),ABS(D5894-E5893),"")</f>
        <v/>
      </c>
    </row>
    <row r="5895">
      <c r="A5895" t="n">
        <v>5895</v>
      </c>
      <c r="B5895">
        <f>IF(INDEX('Data Entry'!$H$5:$BE$10004,5895-4,'Visual SPC'!$B$3)="",0,IF(AND(OR('Visual SPC'!$C$4="",'Data Entry'!$C5895&gt;='Visual SPC'!$C$4),OR('Visual SPC'!$E$4="",'Data Entry'!$C5895&lt;='Visual SPC'!$E$4),OR('Visual SPC'!$G$4="",'Data Entry'!$D5895='Visual SPC'!$G$4),OR('Visual SPC'!$I$4="",'Data Entry'!$E5895='Visual SPC'!$I$4),OR('Visual SPC'!$K$4="",'Data Entry'!$F5895='Visual SPC'!$K$4)),1,0))</f>
        <v/>
      </c>
      <c r="C5895">
        <f>C5894+B5895</f>
        <v/>
      </c>
      <c r="D5895">
        <f>IF(B5895=1,INDEX('Data Entry'!$H$5:$BE$10004,5895-4,'Visual SPC'!$B$3),"")</f>
        <v/>
      </c>
      <c r="E5895">
        <f>IF(B5895=1,D5895,E5894)</f>
        <v/>
      </c>
      <c r="F5895">
        <f>IF(AND(B5895=1,C5895&gt;1,E5894&lt;&gt;""),ABS(D5895-E5894),"")</f>
        <v/>
      </c>
    </row>
    <row r="5896">
      <c r="A5896" t="n">
        <v>5896</v>
      </c>
      <c r="B5896">
        <f>IF(INDEX('Data Entry'!$H$5:$BE$10004,5896-4,'Visual SPC'!$B$3)="",0,IF(AND(OR('Visual SPC'!$C$4="",'Data Entry'!$C5896&gt;='Visual SPC'!$C$4),OR('Visual SPC'!$E$4="",'Data Entry'!$C5896&lt;='Visual SPC'!$E$4),OR('Visual SPC'!$G$4="",'Data Entry'!$D5896='Visual SPC'!$G$4),OR('Visual SPC'!$I$4="",'Data Entry'!$E5896='Visual SPC'!$I$4),OR('Visual SPC'!$K$4="",'Data Entry'!$F5896='Visual SPC'!$K$4)),1,0))</f>
        <v/>
      </c>
      <c r="C5896">
        <f>C5895+B5896</f>
        <v/>
      </c>
      <c r="D5896">
        <f>IF(B5896=1,INDEX('Data Entry'!$H$5:$BE$10004,5896-4,'Visual SPC'!$B$3),"")</f>
        <v/>
      </c>
      <c r="E5896">
        <f>IF(B5896=1,D5896,E5895)</f>
        <v/>
      </c>
      <c r="F5896">
        <f>IF(AND(B5896=1,C5896&gt;1,E5895&lt;&gt;""),ABS(D5896-E5895),"")</f>
        <v/>
      </c>
    </row>
    <row r="5897">
      <c r="A5897" t="n">
        <v>5897</v>
      </c>
      <c r="B5897">
        <f>IF(INDEX('Data Entry'!$H$5:$BE$10004,5897-4,'Visual SPC'!$B$3)="",0,IF(AND(OR('Visual SPC'!$C$4="",'Data Entry'!$C5897&gt;='Visual SPC'!$C$4),OR('Visual SPC'!$E$4="",'Data Entry'!$C5897&lt;='Visual SPC'!$E$4),OR('Visual SPC'!$G$4="",'Data Entry'!$D5897='Visual SPC'!$G$4),OR('Visual SPC'!$I$4="",'Data Entry'!$E5897='Visual SPC'!$I$4),OR('Visual SPC'!$K$4="",'Data Entry'!$F5897='Visual SPC'!$K$4)),1,0))</f>
        <v/>
      </c>
      <c r="C5897">
        <f>C5896+B5897</f>
        <v/>
      </c>
      <c r="D5897">
        <f>IF(B5897=1,INDEX('Data Entry'!$H$5:$BE$10004,5897-4,'Visual SPC'!$B$3),"")</f>
        <v/>
      </c>
      <c r="E5897">
        <f>IF(B5897=1,D5897,E5896)</f>
        <v/>
      </c>
      <c r="F5897">
        <f>IF(AND(B5897=1,C5897&gt;1,E5896&lt;&gt;""),ABS(D5897-E5896),"")</f>
        <v/>
      </c>
    </row>
    <row r="5898">
      <c r="A5898" t="n">
        <v>5898</v>
      </c>
      <c r="B5898">
        <f>IF(INDEX('Data Entry'!$H$5:$BE$10004,5898-4,'Visual SPC'!$B$3)="",0,IF(AND(OR('Visual SPC'!$C$4="",'Data Entry'!$C5898&gt;='Visual SPC'!$C$4),OR('Visual SPC'!$E$4="",'Data Entry'!$C5898&lt;='Visual SPC'!$E$4),OR('Visual SPC'!$G$4="",'Data Entry'!$D5898='Visual SPC'!$G$4),OR('Visual SPC'!$I$4="",'Data Entry'!$E5898='Visual SPC'!$I$4),OR('Visual SPC'!$K$4="",'Data Entry'!$F5898='Visual SPC'!$K$4)),1,0))</f>
        <v/>
      </c>
      <c r="C5898">
        <f>C5897+B5898</f>
        <v/>
      </c>
      <c r="D5898">
        <f>IF(B5898=1,INDEX('Data Entry'!$H$5:$BE$10004,5898-4,'Visual SPC'!$B$3),"")</f>
        <v/>
      </c>
      <c r="E5898">
        <f>IF(B5898=1,D5898,E5897)</f>
        <v/>
      </c>
      <c r="F5898">
        <f>IF(AND(B5898=1,C5898&gt;1,E5897&lt;&gt;""),ABS(D5898-E5897),"")</f>
        <v/>
      </c>
    </row>
    <row r="5899">
      <c r="A5899" t="n">
        <v>5899</v>
      </c>
      <c r="B5899">
        <f>IF(INDEX('Data Entry'!$H$5:$BE$10004,5899-4,'Visual SPC'!$B$3)="",0,IF(AND(OR('Visual SPC'!$C$4="",'Data Entry'!$C5899&gt;='Visual SPC'!$C$4),OR('Visual SPC'!$E$4="",'Data Entry'!$C5899&lt;='Visual SPC'!$E$4),OR('Visual SPC'!$G$4="",'Data Entry'!$D5899='Visual SPC'!$G$4),OR('Visual SPC'!$I$4="",'Data Entry'!$E5899='Visual SPC'!$I$4),OR('Visual SPC'!$K$4="",'Data Entry'!$F5899='Visual SPC'!$K$4)),1,0))</f>
        <v/>
      </c>
      <c r="C5899">
        <f>C5898+B5899</f>
        <v/>
      </c>
      <c r="D5899">
        <f>IF(B5899=1,INDEX('Data Entry'!$H$5:$BE$10004,5899-4,'Visual SPC'!$B$3),"")</f>
        <v/>
      </c>
      <c r="E5899">
        <f>IF(B5899=1,D5899,E5898)</f>
        <v/>
      </c>
      <c r="F5899">
        <f>IF(AND(B5899=1,C5899&gt;1,E5898&lt;&gt;""),ABS(D5899-E5898),"")</f>
        <v/>
      </c>
    </row>
    <row r="5900">
      <c r="A5900" t="n">
        <v>5900</v>
      </c>
      <c r="B5900">
        <f>IF(INDEX('Data Entry'!$H$5:$BE$10004,5900-4,'Visual SPC'!$B$3)="",0,IF(AND(OR('Visual SPC'!$C$4="",'Data Entry'!$C5900&gt;='Visual SPC'!$C$4),OR('Visual SPC'!$E$4="",'Data Entry'!$C5900&lt;='Visual SPC'!$E$4),OR('Visual SPC'!$G$4="",'Data Entry'!$D5900='Visual SPC'!$G$4),OR('Visual SPC'!$I$4="",'Data Entry'!$E5900='Visual SPC'!$I$4),OR('Visual SPC'!$K$4="",'Data Entry'!$F5900='Visual SPC'!$K$4)),1,0))</f>
        <v/>
      </c>
      <c r="C5900">
        <f>C5899+B5900</f>
        <v/>
      </c>
      <c r="D5900">
        <f>IF(B5900=1,INDEX('Data Entry'!$H$5:$BE$10004,5900-4,'Visual SPC'!$B$3),"")</f>
        <v/>
      </c>
      <c r="E5900">
        <f>IF(B5900=1,D5900,E5899)</f>
        <v/>
      </c>
      <c r="F5900">
        <f>IF(AND(B5900=1,C5900&gt;1,E5899&lt;&gt;""),ABS(D5900-E5899),"")</f>
        <v/>
      </c>
    </row>
    <row r="5901">
      <c r="A5901" t="n">
        <v>5901</v>
      </c>
      <c r="B5901">
        <f>IF(INDEX('Data Entry'!$H$5:$BE$10004,5901-4,'Visual SPC'!$B$3)="",0,IF(AND(OR('Visual SPC'!$C$4="",'Data Entry'!$C5901&gt;='Visual SPC'!$C$4),OR('Visual SPC'!$E$4="",'Data Entry'!$C5901&lt;='Visual SPC'!$E$4),OR('Visual SPC'!$G$4="",'Data Entry'!$D5901='Visual SPC'!$G$4),OR('Visual SPC'!$I$4="",'Data Entry'!$E5901='Visual SPC'!$I$4),OR('Visual SPC'!$K$4="",'Data Entry'!$F5901='Visual SPC'!$K$4)),1,0))</f>
        <v/>
      </c>
      <c r="C5901">
        <f>C5900+B5901</f>
        <v/>
      </c>
      <c r="D5901">
        <f>IF(B5901=1,INDEX('Data Entry'!$H$5:$BE$10004,5901-4,'Visual SPC'!$B$3),"")</f>
        <v/>
      </c>
      <c r="E5901">
        <f>IF(B5901=1,D5901,E5900)</f>
        <v/>
      </c>
      <c r="F5901">
        <f>IF(AND(B5901=1,C5901&gt;1,E5900&lt;&gt;""),ABS(D5901-E5900),"")</f>
        <v/>
      </c>
    </row>
    <row r="5902">
      <c r="A5902" t="n">
        <v>5902</v>
      </c>
      <c r="B5902">
        <f>IF(INDEX('Data Entry'!$H$5:$BE$10004,5902-4,'Visual SPC'!$B$3)="",0,IF(AND(OR('Visual SPC'!$C$4="",'Data Entry'!$C5902&gt;='Visual SPC'!$C$4),OR('Visual SPC'!$E$4="",'Data Entry'!$C5902&lt;='Visual SPC'!$E$4),OR('Visual SPC'!$G$4="",'Data Entry'!$D5902='Visual SPC'!$G$4),OR('Visual SPC'!$I$4="",'Data Entry'!$E5902='Visual SPC'!$I$4),OR('Visual SPC'!$K$4="",'Data Entry'!$F5902='Visual SPC'!$K$4)),1,0))</f>
        <v/>
      </c>
      <c r="C5902">
        <f>C5901+B5902</f>
        <v/>
      </c>
      <c r="D5902">
        <f>IF(B5902=1,INDEX('Data Entry'!$H$5:$BE$10004,5902-4,'Visual SPC'!$B$3),"")</f>
        <v/>
      </c>
      <c r="E5902">
        <f>IF(B5902=1,D5902,E5901)</f>
        <v/>
      </c>
      <c r="F5902">
        <f>IF(AND(B5902=1,C5902&gt;1,E5901&lt;&gt;""),ABS(D5902-E5901),"")</f>
        <v/>
      </c>
    </row>
    <row r="5903">
      <c r="A5903" t="n">
        <v>5903</v>
      </c>
      <c r="B5903">
        <f>IF(INDEX('Data Entry'!$H$5:$BE$10004,5903-4,'Visual SPC'!$B$3)="",0,IF(AND(OR('Visual SPC'!$C$4="",'Data Entry'!$C5903&gt;='Visual SPC'!$C$4),OR('Visual SPC'!$E$4="",'Data Entry'!$C5903&lt;='Visual SPC'!$E$4),OR('Visual SPC'!$G$4="",'Data Entry'!$D5903='Visual SPC'!$G$4),OR('Visual SPC'!$I$4="",'Data Entry'!$E5903='Visual SPC'!$I$4),OR('Visual SPC'!$K$4="",'Data Entry'!$F5903='Visual SPC'!$K$4)),1,0))</f>
        <v/>
      </c>
      <c r="C5903">
        <f>C5902+B5903</f>
        <v/>
      </c>
      <c r="D5903">
        <f>IF(B5903=1,INDEX('Data Entry'!$H$5:$BE$10004,5903-4,'Visual SPC'!$B$3),"")</f>
        <v/>
      </c>
      <c r="E5903">
        <f>IF(B5903=1,D5903,E5902)</f>
        <v/>
      </c>
      <c r="F5903">
        <f>IF(AND(B5903=1,C5903&gt;1,E5902&lt;&gt;""),ABS(D5903-E5902),"")</f>
        <v/>
      </c>
    </row>
    <row r="5904">
      <c r="A5904" t="n">
        <v>5904</v>
      </c>
      <c r="B5904">
        <f>IF(INDEX('Data Entry'!$H$5:$BE$10004,5904-4,'Visual SPC'!$B$3)="",0,IF(AND(OR('Visual SPC'!$C$4="",'Data Entry'!$C5904&gt;='Visual SPC'!$C$4),OR('Visual SPC'!$E$4="",'Data Entry'!$C5904&lt;='Visual SPC'!$E$4),OR('Visual SPC'!$G$4="",'Data Entry'!$D5904='Visual SPC'!$G$4),OR('Visual SPC'!$I$4="",'Data Entry'!$E5904='Visual SPC'!$I$4),OR('Visual SPC'!$K$4="",'Data Entry'!$F5904='Visual SPC'!$K$4)),1,0))</f>
        <v/>
      </c>
      <c r="C5904">
        <f>C5903+B5904</f>
        <v/>
      </c>
      <c r="D5904">
        <f>IF(B5904=1,INDEX('Data Entry'!$H$5:$BE$10004,5904-4,'Visual SPC'!$B$3),"")</f>
        <v/>
      </c>
      <c r="E5904">
        <f>IF(B5904=1,D5904,E5903)</f>
        <v/>
      </c>
      <c r="F5904">
        <f>IF(AND(B5904=1,C5904&gt;1,E5903&lt;&gt;""),ABS(D5904-E5903),"")</f>
        <v/>
      </c>
    </row>
    <row r="5905">
      <c r="A5905" t="n">
        <v>5905</v>
      </c>
      <c r="B5905">
        <f>IF(INDEX('Data Entry'!$H$5:$BE$10004,5905-4,'Visual SPC'!$B$3)="",0,IF(AND(OR('Visual SPC'!$C$4="",'Data Entry'!$C5905&gt;='Visual SPC'!$C$4),OR('Visual SPC'!$E$4="",'Data Entry'!$C5905&lt;='Visual SPC'!$E$4),OR('Visual SPC'!$G$4="",'Data Entry'!$D5905='Visual SPC'!$G$4),OR('Visual SPC'!$I$4="",'Data Entry'!$E5905='Visual SPC'!$I$4),OR('Visual SPC'!$K$4="",'Data Entry'!$F5905='Visual SPC'!$K$4)),1,0))</f>
        <v/>
      </c>
      <c r="C5905">
        <f>C5904+B5905</f>
        <v/>
      </c>
      <c r="D5905">
        <f>IF(B5905=1,INDEX('Data Entry'!$H$5:$BE$10004,5905-4,'Visual SPC'!$B$3),"")</f>
        <v/>
      </c>
      <c r="E5905">
        <f>IF(B5905=1,D5905,E5904)</f>
        <v/>
      </c>
      <c r="F5905">
        <f>IF(AND(B5905=1,C5905&gt;1,E5904&lt;&gt;""),ABS(D5905-E5904),"")</f>
        <v/>
      </c>
    </row>
    <row r="5906">
      <c r="A5906" t="n">
        <v>5906</v>
      </c>
      <c r="B5906">
        <f>IF(INDEX('Data Entry'!$H$5:$BE$10004,5906-4,'Visual SPC'!$B$3)="",0,IF(AND(OR('Visual SPC'!$C$4="",'Data Entry'!$C5906&gt;='Visual SPC'!$C$4),OR('Visual SPC'!$E$4="",'Data Entry'!$C5906&lt;='Visual SPC'!$E$4),OR('Visual SPC'!$G$4="",'Data Entry'!$D5906='Visual SPC'!$G$4),OR('Visual SPC'!$I$4="",'Data Entry'!$E5906='Visual SPC'!$I$4),OR('Visual SPC'!$K$4="",'Data Entry'!$F5906='Visual SPC'!$K$4)),1,0))</f>
        <v/>
      </c>
      <c r="C5906">
        <f>C5905+B5906</f>
        <v/>
      </c>
      <c r="D5906">
        <f>IF(B5906=1,INDEX('Data Entry'!$H$5:$BE$10004,5906-4,'Visual SPC'!$B$3),"")</f>
        <v/>
      </c>
      <c r="E5906">
        <f>IF(B5906=1,D5906,E5905)</f>
        <v/>
      </c>
      <c r="F5906">
        <f>IF(AND(B5906=1,C5906&gt;1,E5905&lt;&gt;""),ABS(D5906-E5905),"")</f>
        <v/>
      </c>
    </row>
    <row r="5907">
      <c r="A5907" t="n">
        <v>5907</v>
      </c>
      <c r="B5907">
        <f>IF(INDEX('Data Entry'!$H$5:$BE$10004,5907-4,'Visual SPC'!$B$3)="",0,IF(AND(OR('Visual SPC'!$C$4="",'Data Entry'!$C5907&gt;='Visual SPC'!$C$4),OR('Visual SPC'!$E$4="",'Data Entry'!$C5907&lt;='Visual SPC'!$E$4),OR('Visual SPC'!$G$4="",'Data Entry'!$D5907='Visual SPC'!$G$4),OR('Visual SPC'!$I$4="",'Data Entry'!$E5907='Visual SPC'!$I$4),OR('Visual SPC'!$K$4="",'Data Entry'!$F5907='Visual SPC'!$K$4)),1,0))</f>
        <v/>
      </c>
      <c r="C5907">
        <f>C5906+B5907</f>
        <v/>
      </c>
      <c r="D5907">
        <f>IF(B5907=1,INDEX('Data Entry'!$H$5:$BE$10004,5907-4,'Visual SPC'!$B$3),"")</f>
        <v/>
      </c>
      <c r="E5907">
        <f>IF(B5907=1,D5907,E5906)</f>
        <v/>
      </c>
      <c r="F5907">
        <f>IF(AND(B5907=1,C5907&gt;1,E5906&lt;&gt;""),ABS(D5907-E5906),"")</f>
        <v/>
      </c>
    </row>
    <row r="5908">
      <c r="A5908" t="n">
        <v>5908</v>
      </c>
      <c r="B5908">
        <f>IF(INDEX('Data Entry'!$H$5:$BE$10004,5908-4,'Visual SPC'!$B$3)="",0,IF(AND(OR('Visual SPC'!$C$4="",'Data Entry'!$C5908&gt;='Visual SPC'!$C$4),OR('Visual SPC'!$E$4="",'Data Entry'!$C5908&lt;='Visual SPC'!$E$4),OR('Visual SPC'!$G$4="",'Data Entry'!$D5908='Visual SPC'!$G$4),OR('Visual SPC'!$I$4="",'Data Entry'!$E5908='Visual SPC'!$I$4),OR('Visual SPC'!$K$4="",'Data Entry'!$F5908='Visual SPC'!$K$4)),1,0))</f>
        <v/>
      </c>
      <c r="C5908">
        <f>C5907+B5908</f>
        <v/>
      </c>
      <c r="D5908">
        <f>IF(B5908=1,INDEX('Data Entry'!$H$5:$BE$10004,5908-4,'Visual SPC'!$B$3),"")</f>
        <v/>
      </c>
      <c r="E5908">
        <f>IF(B5908=1,D5908,E5907)</f>
        <v/>
      </c>
      <c r="F5908">
        <f>IF(AND(B5908=1,C5908&gt;1,E5907&lt;&gt;""),ABS(D5908-E5907),"")</f>
        <v/>
      </c>
    </row>
    <row r="5909">
      <c r="A5909" t="n">
        <v>5909</v>
      </c>
      <c r="B5909">
        <f>IF(INDEX('Data Entry'!$H$5:$BE$10004,5909-4,'Visual SPC'!$B$3)="",0,IF(AND(OR('Visual SPC'!$C$4="",'Data Entry'!$C5909&gt;='Visual SPC'!$C$4),OR('Visual SPC'!$E$4="",'Data Entry'!$C5909&lt;='Visual SPC'!$E$4),OR('Visual SPC'!$G$4="",'Data Entry'!$D5909='Visual SPC'!$G$4),OR('Visual SPC'!$I$4="",'Data Entry'!$E5909='Visual SPC'!$I$4),OR('Visual SPC'!$K$4="",'Data Entry'!$F5909='Visual SPC'!$K$4)),1,0))</f>
        <v/>
      </c>
      <c r="C5909">
        <f>C5908+B5909</f>
        <v/>
      </c>
      <c r="D5909">
        <f>IF(B5909=1,INDEX('Data Entry'!$H$5:$BE$10004,5909-4,'Visual SPC'!$B$3),"")</f>
        <v/>
      </c>
      <c r="E5909">
        <f>IF(B5909=1,D5909,E5908)</f>
        <v/>
      </c>
      <c r="F5909">
        <f>IF(AND(B5909=1,C5909&gt;1,E5908&lt;&gt;""),ABS(D5909-E5908),"")</f>
        <v/>
      </c>
    </row>
    <row r="5910">
      <c r="A5910" t="n">
        <v>5910</v>
      </c>
      <c r="B5910">
        <f>IF(INDEX('Data Entry'!$H$5:$BE$10004,5910-4,'Visual SPC'!$B$3)="",0,IF(AND(OR('Visual SPC'!$C$4="",'Data Entry'!$C5910&gt;='Visual SPC'!$C$4),OR('Visual SPC'!$E$4="",'Data Entry'!$C5910&lt;='Visual SPC'!$E$4),OR('Visual SPC'!$G$4="",'Data Entry'!$D5910='Visual SPC'!$G$4),OR('Visual SPC'!$I$4="",'Data Entry'!$E5910='Visual SPC'!$I$4),OR('Visual SPC'!$K$4="",'Data Entry'!$F5910='Visual SPC'!$K$4)),1,0))</f>
        <v/>
      </c>
      <c r="C5910">
        <f>C5909+B5910</f>
        <v/>
      </c>
      <c r="D5910">
        <f>IF(B5910=1,INDEX('Data Entry'!$H$5:$BE$10004,5910-4,'Visual SPC'!$B$3),"")</f>
        <v/>
      </c>
      <c r="E5910">
        <f>IF(B5910=1,D5910,E5909)</f>
        <v/>
      </c>
      <c r="F5910">
        <f>IF(AND(B5910=1,C5910&gt;1,E5909&lt;&gt;""),ABS(D5910-E5909),"")</f>
        <v/>
      </c>
    </row>
    <row r="5911">
      <c r="A5911" t="n">
        <v>5911</v>
      </c>
      <c r="B5911">
        <f>IF(INDEX('Data Entry'!$H$5:$BE$10004,5911-4,'Visual SPC'!$B$3)="",0,IF(AND(OR('Visual SPC'!$C$4="",'Data Entry'!$C5911&gt;='Visual SPC'!$C$4),OR('Visual SPC'!$E$4="",'Data Entry'!$C5911&lt;='Visual SPC'!$E$4),OR('Visual SPC'!$G$4="",'Data Entry'!$D5911='Visual SPC'!$G$4),OR('Visual SPC'!$I$4="",'Data Entry'!$E5911='Visual SPC'!$I$4),OR('Visual SPC'!$K$4="",'Data Entry'!$F5911='Visual SPC'!$K$4)),1,0))</f>
        <v/>
      </c>
      <c r="C5911">
        <f>C5910+B5911</f>
        <v/>
      </c>
      <c r="D5911">
        <f>IF(B5911=1,INDEX('Data Entry'!$H$5:$BE$10004,5911-4,'Visual SPC'!$B$3),"")</f>
        <v/>
      </c>
      <c r="E5911">
        <f>IF(B5911=1,D5911,E5910)</f>
        <v/>
      </c>
      <c r="F5911">
        <f>IF(AND(B5911=1,C5911&gt;1,E5910&lt;&gt;""),ABS(D5911-E5910),"")</f>
        <v/>
      </c>
    </row>
    <row r="5912">
      <c r="A5912" t="n">
        <v>5912</v>
      </c>
      <c r="B5912">
        <f>IF(INDEX('Data Entry'!$H$5:$BE$10004,5912-4,'Visual SPC'!$B$3)="",0,IF(AND(OR('Visual SPC'!$C$4="",'Data Entry'!$C5912&gt;='Visual SPC'!$C$4),OR('Visual SPC'!$E$4="",'Data Entry'!$C5912&lt;='Visual SPC'!$E$4),OR('Visual SPC'!$G$4="",'Data Entry'!$D5912='Visual SPC'!$G$4),OR('Visual SPC'!$I$4="",'Data Entry'!$E5912='Visual SPC'!$I$4),OR('Visual SPC'!$K$4="",'Data Entry'!$F5912='Visual SPC'!$K$4)),1,0))</f>
        <v/>
      </c>
      <c r="C5912">
        <f>C5911+B5912</f>
        <v/>
      </c>
      <c r="D5912">
        <f>IF(B5912=1,INDEX('Data Entry'!$H$5:$BE$10004,5912-4,'Visual SPC'!$B$3),"")</f>
        <v/>
      </c>
      <c r="E5912">
        <f>IF(B5912=1,D5912,E5911)</f>
        <v/>
      </c>
      <c r="F5912">
        <f>IF(AND(B5912=1,C5912&gt;1,E5911&lt;&gt;""),ABS(D5912-E5911),"")</f>
        <v/>
      </c>
    </row>
    <row r="5913">
      <c r="A5913" t="n">
        <v>5913</v>
      </c>
      <c r="B5913">
        <f>IF(INDEX('Data Entry'!$H$5:$BE$10004,5913-4,'Visual SPC'!$B$3)="",0,IF(AND(OR('Visual SPC'!$C$4="",'Data Entry'!$C5913&gt;='Visual SPC'!$C$4),OR('Visual SPC'!$E$4="",'Data Entry'!$C5913&lt;='Visual SPC'!$E$4),OR('Visual SPC'!$G$4="",'Data Entry'!$D5913='Visual SPC'!$G$4),OR('Visual SPC'!$I$4="",'Data Entry'!$E5913='Visual SPC'!$I$4),OR('Visual SPC'!$K$4="",'Data Entry'!$F5913='Visual SPC'!$K$4)),1,0))</f>
        <v/>
      </c>
      <c r="C5913">
        <f>C5912+B5913</f>
        <v/>
      </c>
      <c r="D5913">
        <f>IF(B5913=1,INDEX('Data Entry'!$H$5:$BE$10004,5913-4,'Visual SPC'!$B$3),"")</f>
        <v/>
      </c>
      <c r="E5913">
        <f>IF(B5913=1,D5913,E5912)</f>
        <v/>
      </c>
      <c r="F5913">
        <f>IF(AND(B5913=1,C5913&gt;1,E5912&lt;&gt;""),ABS(D5913-E5912),"")</f>
        <v/>
      </c>
    </row>
    <row r="5914">
      <c r="A5914" t="n">
        <v>5914</v>
      </c>
      <c r="B5914">
        <f>IF(INDEX('Data Entry'!$H$5:$BE$10004,5914-4,'Visual SPC'!$B$3)="",0,IF(AND(OR('Visual SPC'!$C$4="",'Data Entry'!$C5914&gt;='Visual SPC'!$C$4),OR('Visual SPC'!$E$4="",'Data Entry'!$C5914&lt;='Visual SPC'!$E$4),OR('Visual SPC'!$G$4="",'Data Entry'!$D5914='Visual SPC'!$G$4),OR('Visual SPC'!$I$4="",'Data Entry'!$E5914='Visual SPC'!$I$4),OR('Visual SPC'!$K$4="",'Data Entry'!$F5914='Visual SPC'!$K$4)),1,0))</f>
        <v/>
      </c>
      <c r="C5914">
        <f>C5913+B5914</f>
        <v/>
      </c>
      <c r="D5914">
        <f>IF(B5914=1,INDEX('Data Entry'!$H$5:$BE$10004,5914-4,'Visual SPC'!$B$3),"")</f>
        <v/>
      </c>
      <c r="E5914">
        <f>IF(B5914=1,D5914,E5913)</f>
        <v/>
      </c>
      <c r="F5914">
        <f>IF(AND(B5914=1,C5914&gt;1,E5913&lt;&gt;""),ABS(D5914-E5913),"")</f>
        <v/>
      </c>
    </row>
    <row r="5915">
      <c r="A5915" t="n">
        <v>5915</v>
      </c>
      <c r="B5915">
        <f>IF(INDEX('Data Entry'!$H$5:$BE$10004,5915-4,'Visual SPC'!$B$3)="",0,IF(AND(OR('Visual SPC'!$C$4="",'Data Entry'!$C5915&gt;='Visual SPC'!$C$4),OR('Visual SPC'!$E$4="",'Data Entry'!$C5915&lt;='Visual SPC'!$E$4),OR('Visual SPC'!$G$4="",'Data Entry'!$D5915='Visual SPC'!$G$4),OR('Visual SPC'!$I$4="",'Data Entry'!$E5915='Visual SPC'!$I$4),OR('Visual SPC'!$K$4="",'Data Entry'!$F5915='Visual SPC'!$K$4)),1,0))</f>
        <v/>
      </c>
      <c r="C5915">
        <f>C5914+B5915</f>
        <v/>
      </c>
      <c r="D5915">
        <f>IF(B5915=1,INDEX('Data Entry'!$H$5:$BE$10004,5915-4,'Visual SPC'!$B$3),"")</f>
        <v/>
      </c>
      <c r="E5915">
        <f>IF(B5915=1,D5915,E5914)</f>
        <v/>
      </c>
      <c r="F5915">
        <f>IF(AND(B5915=1,C5915&gt;1,E5914&lt;&gt;""),ABS(D5915-E5914),"")</f>
        <v/>
      </c>
    </row>
    <row r="5916">
      <c r="A5916" t="n">
        <v>5916</v>
      </c>
      <c r="B5916">
        <f>IF(INDEX('Data Entry'!$H$5:$BE$10004,5916-4,'Visual SPC'!$B$3)="",0,IF(AND(OR('Visual SPC'!$C$4="",'Data Entry'!$C5916&gt;='Visual SPC'!$C$4),OR('Visual SPC'!$E$4="",'Data Entry'!$C5916&lt;='Visual SPC'!$E$4),OR('Visual SPC'!$G$4="",'Data Entry'!$D5916='Visual SPC'!$G$4),OR('Visual SPC'!$I$4="",'Data Entry'!$E5916='Visual SPC'!$I$4),OR('Visual SPC'!$K$4="",'Data Entry'!$F5916='Visual SPC'!$K$4)),1,0))</f>
        <v/>
      </c>
      <c r="C5916">
        <f>C5915+B5916</f>
        <v/>
      </c>
      <c r="D5916">
        <f>IF(B5916=1,INDEX('Data Entry'!$H$5:$BE$10004,5916-4,'Visual SPC'!$B$3),"")</f>
        <v/>
      </c>
      <c r="E5916">
        <f>IF(B5916=1,D5916,E5915)</f>
        <v/>
      </c>
      <c r="F5916">
        <f>IF(AND(B5916=1,C5916&gt;1,E5915&lt;&gt;""),ABS(D5916-E5915),"")</f>
        <v/>
      </c>
    </row>
    <row r="5917">
      <c r="A5917" t="n">
        <v>5917</v>
      </c>
      <c r="B5917">
        <f>IF(INDEX('Data Entry'!$H$5:$BE$10004,5917-4,'Visual SPC'!$B$3)="",0,IF(AND(OR('Visual SPC'!$C$4="",'Data Entry'!$C5917&gt;='Visual SPC'!$C$4),OR('Visual SPC'!$E$4="",'Data Entry'!$C5917&lt;='Visual SPC'!$E$4),OR('Visual SPC'!$G$4="",'Data Entry'!$D5917='Visual SPC'!$G$4),OR('Visual SPC'!$I$4="",'Data Entry'!$E5917='Visual SPC'!$I$4),OR('Visual SPC'!$K$4="",'Data Entry'!$F5917='Visual SPC'!$K$4)),1,0))</f>
        <v/>
      </c>
      <c r="C5917">
        <f>C5916+B5917</f>
        <v/>
      </c>
      <c r="D5917">
        <f>IF(B5917=1,INDEX('Data Entry'!$H$5:$BE$10004,5917-4,'Visual SPC'!$B$3),"")</f>
        <v/>
      </c>
      <c r="E5917">
        <f>IF(B5917=1,D5917,E5916)</f>
        <v/>
      </c>
      <c r="F5917">
        <f>IF(AND(B5917=1,C5917&gt;1,E5916&lt;&gt;""),ABS(D5917-E5916),"")</f>
        <v/>
      </c>
    </row>
    <row r="5918">
      <c r="A5918" t="n">
        <v>5918</v>
      </c>
      <c r="B5918">
        <f>IF(INDEX('Data Entry'!$H$5:$BE$10004,5918-4,'Visual SPC'!$B$3)="",0,IF(AND(OR('Visual SPC'!$C$4="",'Data Entry'!$C5918&gt;='Visual SPC'!$C$4),OR('Visual SPC'!$E$4="",'Data Entry'!$C5918&lt;='Visual SPC'!$E$4),OR('Visual SPC'!$G$4="",'Data Entry'!$D5918='Visual SPC'!$G$4),OR('Visual SPC'!$I$4="",'Data Entry'!$E5918='Visual SPC'!$I$4),OR('Visual SPC'!$K$4="",'Data Entry'!$F5918='Visual SPC'!$K$4)),1,0))</f>
        <v/>
      </c>
      <c r="C5918">
        <f>C5917+B5918</f>
        <v/>
      </c>
      <c r="D5918">
        <f>IF(B5918=1,INDEX('Data Entry'!$H$5:$BE$10004,5918-4,'Visual SPC'!$B$3),"")</f>
        <v/>
      </c>
      <c r="E5918">
        <f>IF(B5918=1,D5918,E5917)</f>
        <v/>
      </c>
      <c r="F5918">
        <f>IF(AND(B5918=1,C5918&gt;1,E5917&lt;&gt;""),ABS(D5918-E5917),"")</f>
        <v/>
      </c>
    </row>
    <row r="5919">
      <c r="A5919" t="n">
        <v>5919</v>
      </c>
      <c r="B5919">
        <f>IF(INDEX('Data Entry'!$H$5:$BE$10004,5919-4,'Visual SPC'!$B$3)="",0,IF(AND(OR('Visual SPC'!$C$4="",'Data Entry'!$C5919&gt;='Visual SPC'!$C$4),OR('Visual SPC'!$E$4="",'Data Entry'!$C5919&lt;='Visual SPC'!$E$4),OR('Visual SPC'!$G$4="",'Data Entry'!$D5919='Visual SPC'!$G$4),OR('Visual SPC'!$I$4="",'Data Entry'!$E5919='Visual SPC'!$I$4),OR('Visual SPC'!$K$4="",'Data Entry'!$F5919='Visual SPC'!$K$4)),1,0))</f>
        <v/>
      </c>
      <c r="C5919">
        <f>C5918+B5919</f>
        <v/>
      </c>
      <c r="D5919">
        <f>IF(B5919=1,INDEX('Data Entry'!$H$5:$BE$10004,5919-4,'Visual SPC'!$B$3),"")</f>
        <v/>
      </c>
      <c r="E5919">
        <f>IF(B5919=1,D5919,E5918)</f>
        <v/>
      </c>
      <c r="F5919">
        <f>IF(AND(B5919=1,C5919&gt;1,E5918&lt;&gt;""),ABS(D5919-E5918),"")</f>
        <v/>
      </c>
    </row>
    <row r="5920">
      <c r="A5920" t="n">
        <v>5920</v>
      </c>
      <c r="B5920">
        <f>IF(INDEX('Data Entry'!$H$5:$BE$10004,5920-4,'Visual SPC'!$B$3)="",0,IF(AND(OR('Visual SPC'!$C$4="",'Data Entry'!$C5920&gt;='Visual SPC'!$C$4),OR('Visual SPC'!$E$4="",'Data Entry'!$C5920&lt;='Visual SPC'!$E$4),OR('Visual SPC'!$G$4="",'Data Entry'!$D5920='Visual SPC'!$G$4),OR('Visual SPC'!$I$4="",'Data Entry'!$E5920='Visual SPC'!$I$4),OR('Visual SPC'!$K$4="",'Data Entry'!$F5920='Visual SPC'!$K$4)),1,0))</f>
        <v/>
      </c>
      <c r="C5920">
        <f>C5919+B5920</f>
        <v/>
      </c>
      <c r="D5920">
        <f>IF(B5920=1,INDEX('Data Entry'!$H$5:$BE$10004,5920-4,'Visual SPC'!$B$3),"")</f>
        <v/>
      </c>
      <c r="E5920">
        <f>IF(B5920=1,D5920,E5919)</f>
        <v/>
      </c>
      <c r="F5920">
        <f>IF(AND(B5920=1,C5920&gt;1,E5919&lt;&gt;""),ABS(D5920-E5919),"")</f>
        <v/>
      </c>
    </row>
    <row r="5921">
      <c r="A5921" t="n">
        <v>5921</v>
      </c>
      <c r="B5921">
        <f>IF(INDEX('Data Entry'!$H$5:$BE$10004,5921-4,'Visual SPC'!$B$3)="",0,IF(AND(OR('Visual SPC'!$C$4="",'Data Entry'!$C5921&gt;='Visual SPC'!$C$4),OR('Visual SPC'!$E$4="",'Data Entry'!$C5921&lt;='Visual SPC'!$E$4),OR('Visual SPC'!$G$4="",'Data Entry'!$D5921='Visual SPC'!$G$4),OR('Visual SPC'!$I$4="",'Data Entry'!$E5921='Visual SPC'!$I$4),OR('Visual SPC'!$K$4="",'Data Entry'!$F5921='Visual SPC'!$K$4)),1,0))</f>
        <v/>
      </c>
      <c r="C5921">
        <f>C5920+B5921</f>
        <v/>
      </c>
      <c r="D5921">
        <f>IF(B5921=1,INDEX('Data Entry'!$H$5:$BE$10004,5921-4,'Visual SPC'!$B$3),"")</f>
        <v/>
      </c>
      <c r="E5921">
        <f>IF(B5921=1,D5921,E5920)</f>
        <v/>
      </c>
      <c r="F5921">
        <f>IF(AND(B5921=1,C5921&gt;1,E5920&lt;&gt;""),ABS(D5921-E5920),"")</f>
        <v/>
      </c>
    </row>
    <row r="5922">
      <c r="A5922" t="n">
        <v>5922</v>
      </c>
      <c r="B5922">
        <f>IF(INDEX('Data Entry'!$H$5:$BE$10004,5922-4,'Visual SPC'!$B$3)="",0,IF(AND(OR('Visual SPC'!$C$4="",'Data Entry'!$C5922&gt;='Visual SPC'!$C$4),OR('Visual SPC'!$E$4="",'Data Entry'!$C5922&lt;='Visual SPC'!$E$4),OR('Visual SPC'!$G$4="",'Data Entry'!$D5922='Visual SPC'!$G$4),OR('Visual SPC'!$I$4="",'Data Entry'!$E5922='Visual SPC'!$I$4),OR('Visual SPC'!$K$4="",'Data Entry'!$F5922='Visual SPC'!$K$4)),1,0))</f>
        <v/>
      </c>
      <c r="C5922">
        <f>C5921+B5922</f>
        <v/>
      </c>
      <c r="D5922">
        <f>IF(B5922=1,INDEX('Data Entry'!$H$5:$BE$10004,5922-4,'Visual SPC'!$B$3),"")</f>
        <v/>
      </c>
      <c r="E5922">
        <f>IF(B5922=1,D5922,E5921)</f>
        <v/>
      </c>
      <c r="F5922">
        <f>IF(AND(B5922=1,C5922&gt;1,E5921&lt;&gt;""),ABS(D5922-E5921),"")</f>
        <v/>
      </c>
    </row>
    <row r="5923">
      <c r="A5923" t="n">
        <v>5923</v>
      </c>
      <c r="B5923">
        <f>IF(INDEX('Data Entry'!$H$5:$BE$10004,5923-4,'Visual SPC'!$B$3)="",0,IF(AND(OR('Visual SPC'!$C$4="",'Data Entry'!$C5923&gt;='Visual SPC'!$C$4),OR('Visual SPC'!$E$4="",'Data Entry'!$C5923&lt;='Visual SPC'!$E$4),OR('Visual SPC'!$G$4="",'Data Entry'!$D5923='Visual SPC'!$G$4),OR('Visual SPC'!$I$4="",'Data Entry'!$E5923='Visual SPC'!$I$4),OR('Visual SPC'!$K$4="",'Data Entry'!$F5923='Visual SPC'!$K$4)),1,0))</f>
        <v/>
      </c>
      <c r="C5923">
        <f>C5922+B5923</f>
        <v/>
      </c>
      <c r="D5923">
        <f>IF(B5923=1,INDEX('Data Entry'!$H$5:$BE$10004,5923-4,'Visual SPC'!$B$3),"")</f>
        <v/>
      </c>
      <c r="E5923">
        <f>IF(B5923=1,D5923,E5922)</f>
        <v/>
      </c>
      <c r="F5923">
        <f>IF(AND(B5923=1,C5923&gt;1,E5922&lt;&gt;""),ABS(D5923-E5922),"")</f>
        <v/>
      </c>
    </row>
    <row r="5924">
      <c r="A5924" t="n">
        <v>5924</v>
      </c>
      <c r="B5924">
        <f>IF(INDEX('Data Entry'!$H$5:$BE$10004,5924-4,'Visual SPC'!$B$3)="",0,IF(AND(OR('Visual SPC'!$C$4="",'Data Entry'!$C5924&gt;='Visual SPC'!$C$4),OR('Visual SPC'!$E$4="",'Data Entry'!$C5924&lt;='Visual SPC'!$E$4),OR('Visual SPC'!$G$4="",'Data Entry'!$D5924='Visual SPC'!$G$4),OR('Visual SPC'!$I$4="",'Data Entry'!$E5924='Visual SPC'!$I$4),OR('Visual SPC'!$K$4="",'Data Entry'!$F5924='Visual SPC'!$K$4)),1,0))</f>
        <v/>
      </c>
      <c r="C5924">
        <f>C5923+B5924</f>
        <v/>
      </c>
      <c r="D5924">
        <f>IF(B5924=1,INDEX('Data Entry'!$H$5:$BE$10004,5924-4,'Visual SPC'!$B$3),"")</f>
        <v/>
      </c>
      <c r="E5924">
        <f>IF(B5924=1,D5924,E5923)</f>
        <v/>
      </c>
      <c r="F5924">
        <f>IF(AND(B5924=1,C5924&gt;1,E5923&lt;&gt;""),ABS(D5924-E5923),"")</f>
        <v/>
      </c>
    </row>
    <row r="5925">
      <c r="A5925" t="n">
        <v>5925</v>
      </c>
      <c r="B5925">
        <f>IF(INDEX('Data Entry'!$H$5:$BE$10004,5925-4,'Visual SPC'!$B$3)="",0,IF(AND(OR('Visual SPC'!$C$4="",'Data Entry'!$C5925&gt;='Visual SPC'!$C$4),OR('Visual SPC'!$E$4="",'Data Entry'!$C5925&lt;='Visual SPC'!$E$4),OR('Visual SPC'!$G$4="",'Data Entry'!$D5925='Visual SPC'!$G$4),OR('Visual SPC'!$I$4="",'Data Entry'!$E5925='Visual SPC'!$I$4),OR('Visual SPC'!$K$4="",'Data Entry'!$F5925='Visual SPC'!$K$4)),1,0))</f>
        <v/>
      </c>
      <c r="C5925">
        <f>C5924+B5925</f>
        <v/>
      </c>
      <c r="D5925">
        <f>IF(B5925=1,INDEX('Data Entry'!$H$5:$BE$10004,5925-4,'Visual SPC'!$B$3),"")</f>
        <v/>
      </c>
      <c r="E5925">
        <f>IF(B5925=1,D5925,E5924)</f>
        <v/>
      </c>
      <c r="F5925">
        <f>IF(AND(B5925=1,C5925&gt;1,E5924&lt;&gt;""),ABS(D5925-E5924),"")</f>
        <v/>
      </c>
    </row>
    <row r="5926">
      <c r="A5926" t="n">
        <v>5926</v>
      </c>
      <c r="B5926">
        <f>IF(INDEX('Data Entry'!$H$5:$BE$10004,5926-4,'Visual SPC'!$B$3)="",0,IF(AND(OR('Visual SPC'!$C$4="",'Data Entry'!$C5926&gt;='Visual SPC'!$C$4),OR('Visual SPC'!$E$4="",'Data Entry'!$C5926&lt;='Visual SPC'!$E$4),OR('Visual SPC'!$G$4="",'Data Entry'!$D5926='Visual SPC'!$G$4),OR('Visual SPC'!$I$4="",'Data Entry'!$E5926='Visual SPC'!$I$4),OR('Visual SPC'!$K$4="",'Data Entry'!$F5926='Visual SPC'!$K$4)),1,0))</f>
        <v/>
      </c>
      <c r="C5926">
        <f>C5925+B5926</f>
        <v/>
      </c>
      <c r="D5926">
        <f>IF(B5926=1,INDEX('Data Entry'!$H$5:$BE$10004,5926-4,'Visual SPC'!$B$3),"")</f>
        <v/>
      </c>
      <c r="E5926">
        <f>IF(B5926=1,D5926,E5925)</f>
        <v/>
      </c>
      <c r="F5926">
        <f>IF(AND(B5926=1,C5926&gt;1,E5925&lt;&gt;""),ABS(D5926-E5925),"")</f>
        <v/>
      </c>
    </row>
    <row r="5927">
      <c r="A5927" t="n">
        <v>5927</v>
      </c>
      <c r="B5927">
        <f>IF(INDEX('Data Entry'!$H$5:$BE$10004,5927-4,'Visual SPC'!$B$3)="",0,IF(AND(OR('Visual SPC'!$C$4="",'Data Entry'!$C5927&gt;='Visual SPC'!$C$4),OR('Visual SPC'!$E$4="",'Data Entry'!$C5927&lt;='Visual SPC'!$E$4),OR('Visual SPC'!$G$4="",'Data Entry'!$D5927='Visual SPC'!$G$4),OR('Visual SPC'!$I$4="",'Data Entry'!$E5927='Visual SPC'!$I$4),OR('Visual SPC'!$K$4="",'Data Entry'!$F5927='Visual SPC'!$K$4)),1,0))</f>
        <v/>
      </c>
      <c r="C5927">
        <f>C5926+B5927</f>
        <v/>
      </c>
      <c r="D5927">
        <f>IF(B5927=1,INDEX('Data Entry'!$H$5:$BE$10004,5927-4,'Visual SPC'!$B$3),"")</f>
        <v/>
      </c>
      <c r="E5927">
        <f>IF(B5927=1,D5927,E5926)</f>
        <v/>
      </c>
      <c r="F5927">
        <f>IF(AND(B5927=1,C5927&gt;1,E5926&lt;&gt;""),ABS(D5927-E5926),"")</f>
        <v/>
      </c>
    </row>
    <row r="5928">
      <c r="A5928" t="n">
        <v>5928</v>
      </c>
      <c r="B5928">
        <f>IF(INDEX('Data Entry'!$H$5:$BE$10004,5928-4,'Visual SPC'!$B$3)="",0,IF(AND(OR('Visual SPC'!$C$4="",'Data Entry'!$C5928&gt;='Visual SPC'!$C$4),OR('Visual SPC'!$E$4="",'Data Entry'!$C5928&lt;='Visual SPC'!$E$4),OR('Visual SPC'!$G$4="",'Data Entry'!$D5928='Visual SPC'!$G$4),OR('Visual SPC'!$I$4="",'Data Entry'!$E5928='Visual SPC'!$I$4),OR('Visual SPC'!$K$4="",'Data Entry'!$F5928='Visual SPC'!$K$4)),1,0))</f>
        <v/>
      </c>
      <c r="C5928">
        <f>C5927+B5928</f>
        <v/>
      </c>
      <c r="D5928">
        <f>IF(B5928=1,INDEX('Data Entry'!$H$5:$BE$10004,5928-4,'Visual SPC'!$B$3),"")</f>
        <v/>
      </c>
      <c r="E5928">
        <f>IF(B5928=1,D5928,E5927)</f>
        <v/>
      </c>
      <c r="F5928">
        <f>IF(AND(B5928=1,C5928&gt;1,E5927&lt;&gt;""),ABS(D5928-E5927),"")</f>
        <v/>
      </c>
    </row>
    <row r="5929">
      <c r="A5929" t="n">
        <v>5929</v>
      </c>
      <c r="B5929">
        <f>IF(INDEX('Data Entry'!$H$5:$BE$10004,5929-4,'Visual SPC'!$B$3)="",0,IF(AND(OR('Visual SPC'!$C$4="",'Data Entry'!$C5929&gt;='Visual SPC'!$C$4),OR('Visual SPC'!$E$4="",'Data Entry'!$C5929&lt;='Visual SPC'!$E$4),OR('Visual SPC'!$G$4="",'Data Entry'!$D5929='Visual SPC'!$G$4),OR('Visual SPC'!$I$4="",'Data Entry'!$E5929='Visual SPC'!$I$4),OR('Visual SPC'!$K$4="",'Data Entry'!$F5929='Visual SPC'!$K$4)),1,0))</f>
        <v/>
      </c>
      <c r="C5929">
        <f>C5928+B5929</f>
        <v/>
      </c>
      <c r="D5929">
        <f>IF(B5929=1,INDEX('Data Entry'!$H$5:$BE$10004,5929-4,'Visual SPC'!$B$3),"")</f>
        <v/>
      </c>
      <c r="E5929">
        <f>IF(B5929=1,D5929,E5928)</f>
        <v/>
      </c>
      <c r="F5929">
        <f>IF(AND(B5929=1,C5929&gt;1,E5928&lt;&gt;""),ABS(D5929-E5928),"")</f>
        <v/>
      </c>
    </row>
    <row r="5930">
      <c r="A5930" t="n">
        <v>5930</v>
      </c>
      <c r="B5930">
        <f>IF(INDEX('Data Entry'!$H$5:$BE$10004,5930-4,'Visual SPC'!$B$3)="",0,IF(AND(OR('Visual SPC'!$C$4="",'Data Entry'!$C5930&gt;='Visual SPC'!$C$4),OR('Visual SPC'!$E$4="",'Data Entry'!$C5930&lt;='Visual SPC'!$E$4),OR('Visual SPC'!$G$4="",'Data Entry'!$D5930='Visual SPC'!$G$4),OR('Visual SPC'!$I$4="",'Data Entry'!$E5930='Visual SPC'!$I$4),OR('Visual SPC'!$K$4="",'Data Entry'!$F5930='Visual SPC'!$K$4)),1,0))</f>
        <v/>
      </c>
      <c r="C5930">
        <f>C5929+B5930</f>
        <v/>
      </c>
      <c r="D5930">
        <f>IF(B5930=1,INDEX('Data Entry'!$H$5:$BE$10004,5930-4,'Visual SPC'!$B$3),"")</f>
        <v/>
      </c>
      <c r="E5930">
        <f>IF(B5930=1,D5930,E5929)</f>
        <v/>
      </c>
      <c r="F5930">
        <f>IF(AND(B5930=1,C5930&gt;1,E5929&lt;&gt;""),ABS(D5930-E5929),"")</f>
        <v/>
      </c>
    </row>
    <row r="5931">
      <c r="A5931" t="n">
        <v>5931</v>
      </c>
      <c r="B5931">
        <f>IF(INDEX('Data Entry'!$H$5:$BE$10004,5931-4,'Visual SPC'!$B$3)="",0,IF(AND(OR('Visual SPC'!$C$4="",'Data Entry'!$C5931&gt;='Visual SPC'!$C$4),OR('Visual SPC'!$E$4="",'Data Entry'!$C5931&lt;='Visual SPC'!$E$4),OR('Visual SPC'!$G$4="",'Data Entry'!$D5931='Visual SPC'!$G$4),OR('Visual SPC'!$I$4="",'Data Entry'!$E5931='Visual SPC'!$I$4),OR('Visual SPC'!$K$4="",'Data Entry'!$F5931='Visual SPC'!$K$4)),1,0))</f>
        <v/>
      </c>
      <c r="C5931">
        <f>C5930+B5931</f>
        <v/>
      </c>
      <c r="D5931">
        <f>IF(B5931=1,INDEX('Data Entry'!$H$5:$BE$10004,5931-4,'Visual SPC'!$B$3),"")</f>
        <v/>
      </c>
      <c r="E5931">
        <f>IF(B5931=1,D5931,E5930)</f>
        <v/>
      </c>
      <c r="F5931">
        <f>IF(AND(B5931=1,C5931&gt;1,E5930&lt;&gt;""),ABS(D5931-E5930),"")</f>
        <v/>
      </c>
    </row>
    <row r="5932">
      <c r="A5932" t="n">
        <v>5932</v>
      </c>
      <c r="B5932">
        <f>IF(INDEX('Data Entry'!$H$5:$BE$10004,5932-4,'Visual SPC'!$B$3)="",0,IF(AND(OR('Visual SPC'!$C$4="",'Data Entry'!$C5932&gt;='Visual SPC'!$C$4),OR('Visual SPC'!$E$4="",'Data Entry'!$C5932&lt;='Visual SPC'!$E$4),OR('Visual SPC'!$G$4="",'Data Entry'!$D5932='Visual SPC'!$G$4),OR('Visual SPC'!$I$4="",'Data Entry'!$E5932='Visual SPC'!$I$4),OR('Visual SPC'!$K$4="",'Data Entry'!$F5932='Visual SPC'!$K$4)),1,0))</f>
        <v/>
      </c>
      <c r="C5932">
        <f>C5931+B5932</f>
        <v/>
      </c>
      <c r="D5932">
        <f>IF(B5932=1,INDEX('Data Entry'!$H$5:$BE$10004,5932-4,'Visual SPC'!$B$3),"")</f>
        <v/>
      </c>
      <c r="E5932">
        <f>IF(B5932=1,D5932,E5931)</f>
        <v/>
      </c>
      <c r="F5932">
        <f>IF(AND(B5932=1,C5932&gt;1,E5931&lt;&gt;""),ABS(D5932-E5931),"")</f>
        <v/>
      </c>
    </row>
    <row r="5933">
      <c r="A5933" t="n">
        <v>5933</v>
      </c>
      <c r="B5933">
        <f>IF(INDEX('Data Entry'!$H$5:$BE$10004,5933-4,'Visual SPC'!$B$3)="",0,IF(AND(OR('Visual SPC'!$C$4="",'Data Entry'!$C5933&gt;='Visual SPC'!$C$4),OR('Visual SPC'!$E$4="",'Data Entry'!$C5933&lt;='Visual SPC'!$E$4),OR('Visual SPC'!$G$4="",'Data Entry'!$D5933='Visual SPC'!$G$4),OR('Visual SPC'!$I$4="",'Data Entry'!$E5933='Visual SPC'!$I$4),OR('Visual SPC'!$K$4="",'Data Entry'!$F5933='Visual SPC'!$K$4)),1,0))</f>
        <v/>
      </c>
      <c r="C5933">
        <f>C5932+B5933</f>
        <v/>
      </c>
      <c r="D5933">
        <f>IF(B5933=1,INDEX('Data Entry'!$H$5:$BE$10004,5933-4,'Visual SPC'!$B$3),"")</f>
        <v/>
      </c>
      <c r="E5933">
        <f>IF(B5933=1,D5933,E5932)</f>
        <v/>
      </c>
      <c r="F5933">
        <f>IF(AND(B5933=1,C5933&gt;1,E5932&lt;&gt;""),ABS(D5933-E5932),"")</f>
        <v/>
      </c>
    </row>
    <row r="5934">
      <c r="A5934" t="n">
        <v>5934</v>
      </c>
      <c r="B5934">
        <f>IF(INDEX('Data Entry'!$H$5:$BE$10004,5934-4,'Visual SPC'!$B$3)="",0,IF(AND(OR('Visual SPC'!$C$4="",'Data Entry'!$C5934&gt;='Visual SPC'!$C$4),OR('Visual SPC'!$E$4="",'Data Entry'!$C5934&lt;='Visual SPC'!$E$4),OR('Visual SPC'!$G$4="",'Data Entry'!$D5934='Visual SPC'!$G$4),OR('Visual SPC'!$I$4="",'Data Entry'!$E5934='Visual SPC'!$I$4),OR('Visual SPC'!$K$4="",'Data Entry'!$F5934='Visual SPC'!$K$4)),1,0))</f>
        <v/>
      </c>
      <c r="C5934">
        <f>C5933+B5934</f>
        <v/>
      </c>
      <c r="D5934">
        <f>IF(B5934=1,INDEX('Data Entry'!$H$5:$BE$10004,5934-4,'Visual SPC'!$B$3),"")</f>
        <v/>
      </c>
      <c r="E5934">
        <f>IF(B5934=1,D5934,E5933)</f>
        <v/>
      </c>
      <c r="F5934">
        <f>IF(AND(B5934=1,C5934&gt;1,E5933&lt;&gt;""),ABS(D5934-E5933),"")</f>
        <v/>
      </c>
    </row>
    <row r="5935">
      <c r="A5935" t="n">
        <v>5935</v>
      </c>
      <c r="B5935">
        <f>IF(INDEX('Data Entry'!$H$5:$BE$10004,5935-4,'Visual SPC'!$B$3)="",0,IF(AND(OR('Visual SPC'!$C$4="",'Data Entry'!$C5935&gt;='Visual SPC'!$C$4),OR('Visual SPC'!$E$4="",'Data Entry'!$C5935&lt;='Visual SPC'!$E$4),OR('Visual SPC'!$G$4="",'Data Entry'!$D5935='Visual SPC'!$G$4),OR('Visual SPC'!$I$4="",'Data Entry'!$E5935='Visual SPC'!$I$4),OR('Visual SPC'!$K$4="",'Data Entry'!$F5935='Visual SPC'!$K$4)),1,0))</f>
        <v/>
      </c>
      <c r="C5935">
        <f>C5934+B5935</f>
        <v/>
      </c>
      <c r="D5935">
        <f>IF(B5935=1,INDEX('Data Entry'!$H$5:$BE$10004,5935-4,'Visual SPC'!$B$3),"")</f>
        <v/>
      </c>
      <c r="E5935">
        <f>IF(B5935=1,D5935,E5934)</f>
        <v/>
      </c>
      <c r="F5935">
        <f>IF(AND(B5935=1,C5935&gt;1,E5934&lt;&gt;""),ABS(D5935-E5934),"")</f>
        <v/>
      </c>
    </row>
    <row r="5936">
      <c r="A5936" t="n">
        <v>5936</v>
      </c>
      <c r="B5936">
        <f>IF(INDEX('Data Entry'!$H$5:$BE$10004,5936-4,'Visual SPC'!$B$3)="",0,IF(AND(OR('Visual SPC'!$C$4="",'Data Entry'!$C5936&gt;='Visual SPC'!$C$4),OR('Visual SPC'!$E$4="",'Data Entry'!$C5936&lt;='Visual SPC'!$E$4),OR('Visual SPC'!$G$4="",'Data Entry'!$D5936='Visual SPC'!$G$4),OR('Visual SPC'!$I$4="",'Data Entry'!$E5936='Visual SPC'!$I$4),OR('Visual SPC'!$K$4="",'Data Entry'!$F5936='Visual SPC'!$K$4)),1,0))</f>
        <v/>
      </c>
      <c r="C5936">
        <f>C5935+B5936</f>
        <v/>
      </c>
      <c r="D5936">
        <f>IF(B5936=1,INDEX('Data Entry'!$H$5:$BE$10004,5936-4,'Visual SPC'!$B$3),"")</f>
        <v/>
      </c>
      <c r="E5936">
        <f>IF(B5936=1,D5936,E5935)</f>
        <v/>
      </c>
      <c r="F5936">
        <f>IF(AND(B5936=1,C5936&gt;1,E5935&lt;&gt;""),ABS(D5936-E5935),"")</f>
        <v/>
      </c>
    </row>
    <row r="5937">
      <c r="A5937" t="n">
        <v>5937</v>
      </c>
      <c r="B5937">
        <f>IF(INDEX('Data Entry'!$H$5:$BE$10004,5937-4,'Visual SPC'!$B$3)="",0,IF(AND(OR('Visual SPC'!$C$4="",'Data Entry'!$C5937&gt;='Visual SPC'!$C$4),OR('Visual SPC'!$E$4="",'Data Entry'!$C5937&lt;='Visual SPC'!$E$4),OR('Visual SPC'!$G$4="",'Data Entry'!$D5937='Visual SPC'!$G$4),OR('Visual SPC'!$I$4="",'Data Entry'!$E5937='Visual SPC'!$I$4),OR('Visual SPC'!$K$4="",'Data Entry'!$F5937='Visual SPC'!$K$4)),1,0))</f>
        <v/>
      </c>
      <c r="C5937">
        <f>C5936+B5937</f>
        <v/>
      </c>
      <c r="D5937">
        <f>IF(B5937=1,INDEX('Data Entry'!$H$5:$BE$10004,5937-4,'Visual SPC'!$B$3),"")</f>
        <v/>
      </c>
      <c r="E5937">
        <f>IF(B5937=1,D5937,E5936)</f>
        <v/>
      </c>
      <c r="F5937">
        <f>IF(AND(B5937=1,C5937&gt;1,E5936&lt;&gt;""),ABS(D5937-E5936),"")</f>
        <v/>
      </c>
    </row>
    <row r="5938">
      <c r="A5938" t="n">
        <v>5938</v>
      </c>
      <c r="B5938">
        <f>IF(INDEX('Data Entry'!$H$5:$BE$10004,5938-4,'Visual SPC'!$B$3)="",0,IF(AND(OR('Visual SPC'!$C$4="",'Data Entry'!$C5938&gt;='Visual SPC'!$C$4),OR('Visual SPC'!$E$4="",'Data Entry'!$C5938&lt;='Visual SPC'!$E$4),OR('Visual SPC'!$G$4="",'Data Entry'!$D5938='Visual SPC'!$G$4),OR('Visual SPC'!$I$4="",'Data Entry'!$E5938='Visual SPC'!$I$4),OR('Visual SPC'!$K$4="",'Data Entry'!$F5938='Visual SPC'!$K$4)),1,0))</f>
        <v/>
      </c>
      <c r="C5938">
        <f>C5937+B5938</f>
        <v/>
      </c>
      <c r="D5938">
        <f>IF(B5938=1,INDEX('Data Entry'!$H$5:$BE$10004,5938-4,'Visual SPC'!$B$3),"")</f>
        <v/>
      </c>
      <c r="E5938">
        <f>IF(B5938=1,D5938,E5937)</f>
        <v/>
      </c>
      <c r="F5938">
        <f>IF(AND(B5938=1,C5938&gt;1,E5937&lt;&gt;""),ABS(D5938-E5937),"")</f>
        <v/>
      </c>
    </row>
    <row r="5939">
      <c r="A5939" t="n">
        <v>5939</v>
      </c>
      <c r="B5939">
        <f>IF(INDEX('Data Entry'!$H$5:$BE$10004,5939-4,'Visual SPC'!$B$3)="",0,IF(AND(OR('Visual SPC'!$C$4="",'Data Entry'!$C5939&gt;='Visual SPC'!$C$4),OR('Visual SPC'!$E$4="",'Data Entry'!$C5939&lt;='Visual SPC'!$E$4),OR('Visual SPC'!$G$4="",'Data Entry'!$D5939='Visual SPC'!$G$4),OR('Visual SPC'!$I$4="",'Data Entry'!$E5939='Visual SPC'!$I$4),OR('Visual SPC'!$K$4="",'Data Entry'!$F5939='Visual SPC'!$K$4)),1,0))</f>
        <v/>
      </c>
      <c r="C5939">
        <f>C5938+B5939</f>
        <v/>
      </c>
      <c r="D5939">
        <f>IF(B5939=1,INDEX('Data Entry'!$H$5:$BE$10004,5939-4,'Visual SPC'!$B$3),"")</f>
        <v/>
      </c>
      <c r="E5939">
        <f>IF(B5939=1,D5939,E5938)</f>
        <v/>
      </c>
      <c r="F5939">
        <f>IF(AND(B5939=1,C5939&gt;1,E5938&lt;&gt;""),ABS(D5939-E5938),"")</f>
        <v/>
      </c>
    </row>
    <row r="5940">
      <c r="A5940" t="n">
        <v>5940</v>
      </c>
      <c r="B5940">
        <f>IF(INDEX('Data Entry'!$H$5:$BE$10004,5940-4,'Visual SPC'!$B$3)="",0,IF(AND(OR('Visual SPC'!$C$4="",'Data Entry'!$C5940&gt;='Visual SPC'!$C$4),OR('Visual SPC'!$E$4="",'Data Entry'!$C5940&lt;='Visual SPC'!$E$4),OR('Visual SPC'!$G$4="",'Data Entry'!$D5940='Visual SPC'!$G$4),OR('Visual SPC'!$I$4="",'Data Entry'!$E5940='Visual SPC'!$I$4),OR('Visual SPC'!$K$4="",'Data Entry'!$F5940='Visual SPC'!$K$4)),1,0))</f>
        <v/>
      </c>
      <c r="C5940">
        <f>C5939+B5940</f>
        <v/>
      </c>
      <c r="D5940">
        <f>IF(B5940=1,INDEX('Data Entry'!$H$5:$BE$10004,5940-4,'Visual SPC'!$B$3),"")</f>
        <v/>
      </c>
      <c r="E5940">
        <f>IF(B5940=1,D5940,E5939)</f>
        <v/>
      </c>
      <c r="F5940">
        <f>IF(AND(B5940=1,C5940&gt;1,E5939&lt;&gt;""),ABS(D5940-E5939),"")</f>
        <v/>
      </c>
    </row>
    <row r="5941">
      <c r="A5941" t="n">
        <v>5941</v>
      </c>
      <c r="B5941">
        <f>IF(INDEX('Data Entry'!$H$5:$BE$10004,5941-4,'Visual SPC'!$B$3)="",0,IF(AND(OR('Visual SPC'!$C$4="",'Data Entry'!$C5941&gt;='Visual SPC'!$C$4),OR('Visual SPC'!$E$4="",'Data Entry'!$C5941&lt;='Visual SPC'!$E$4),OR('Visual SPC'!$G$4="",'Data Entry'!$D5941='Visual SPC'!$G$4),OR('Visual SPC'!$I$4="",'Data Entry'!$E5941='Visual SPC'!$I$4),OR('Visual SPC'!$K$4="",'Data Entry'!$F5941='Visual SPC'!$K$4)),1,0))</f>
        <v/>
      </c>
      <c r="C5941">
        <f>C5940+B5941</f>
        <v/>
      </c>
      <c r="D5941">
        <f>IF(B5941=1,INDEX('Data Entry'!$H$5:$BE$10004,5941-4,'Visual SPC'!$B$3),"")</f>
        <v/>
      </c>
      <c r="E5941">
        <f>IF(B5941=1,D5941,E5940)</f>
        <v/>
      </c>
      <c r="F5941">
        <f>IF(AND(B5941=1,C5941&gt;1,E5940&lt;&gt;""),ABS(D5941-E5940),"")</f>
        <v/>
      </c>
    </row>
    <row r="5942">
      <c r="A5942" t="n">
        <v>5942</v>
      </c>
      <c r="B5942">
        <f>IF(INDEX('Data Entry'!$H$5:$BE$10004,5942-4,'Visual SPC'!$B$3)="",0,IF(AND(OR('Visual SPC'!$C$4="",'Data Entry'!$C5942&gt;='Visual SPC'!$C$4),OR('Visual SPC'!$E$4="",'Data Entry'!$C5942&lt;='Visual SPC'!$E$4),OR('Visual SPC'!$G$4="",'Data Entry'!$D5942='Visual SPC'!$G$4),OR('Visual SPC'!$I$4="",'Data Entry'!$E5942='Visual SPC'!$I$4),OR('Visual SPC'!$K$4="",'Data Entry'!$F5942='Visual SPC'!$K$4)),1,0))</f>
        <v/>
      </c>
      <c r="C5942">
        <f>C5941+B5942</f>
        <v/>
      </c>
      <c r="D5942">
        <f>IF(B5942=1,INDEX('Data Entry'!$H$5:$BE$10004,5942-4,'Visual SPC'!$B$3),"")</f>
        <v/>
      </c>
      <c r="E5942">
        <f>IF(B5942=1,D5942,E5941)</f>
        <v/>
      </c>
      <c r="F5942">
        <f>IF(AND(B5942=1,C5942&gt;1,E5941&lt;&gt;""),ABS(D5942-E5941),"")</f>
        <v/>
      </c>
    </row>
    <row r="5943">
      <c r="A5943" t="n">
        <v>5943</v>
      </c>
      <c r="B5943">
        <f>IF(INDEX('Data Entry'!$H$5:$BE$10004,5943-4,'Visual SPC'!$B$3)="",0,IF(AND(OR('Visual SPC'!$C$4="",'Data Entry'!$C5943&gt;='Visual SPC'!$C$4),OR('Visual SPC'!$E$4="",'Data Entry'!$C5943&lt;='Visual SPC'!$E$4),OR('Visual SPC'!$G$4="",'Data Entry'!$D5943='Visual SPC'!$G$4),OR('Visual SPC'!$I$4="",'Data Entry'!$E5943='Visual SPC'!$I$4),OR('Visual SPC'!$K$4="",'Data Entry'!$F5943='Visual SPC'!$K$4)),1,0))</f>
        <v/>
      </c>
      <c r="C5943">
        <f>C5942+B5943</f>
        <v/>
      </c>
      <c r="D5943">
        <f>IF(B5943=1,INDEX('Data Entry'!$H$5:$BE$10004,5943-4,'Visual SPC'!$B$3),"")</f>
        <v/>
      </c>
      <c r="E5943">
        <f>IF(B5943=1,D5943,E5942)</f>
        <v/>
      </c>
      <c r="F5943">
        <f>IF(AND(B5943=1,C5943&gt;1,E5942&lt;&gt;""),ABS(D5943-E5942),"")</f>
        <v/>
      </c>
    </row>
    <row r="5944">
      <c r="A5944" t="n">
        <v>5944</v>
      </c>
      <c r="B5944">
        <f>IF(INDEX('Data Entry'!$H$5:$BE$10004,5944-4,'Visual SPC'!$B$3)="",0,IF(AND(OR('Visual SPC'!$C$4="",'Data Entry'!$C5944&gt;='Visual SPC'!$C$4),OR('Visual SPC'!$E$4="",'Data Entry'!$C5944&lt;='Visual SPC'!$E$4),OR('Visual SPC'!$G$4="",'Data Entry'!$D5944='Visual SPC'!$G$4),OR('Visual SPC'!$I$4="",'Data Entry'!$E5944='Visual SPC'!$I$4),OR('Visual SPC'!$K$4="",'Data Entry'!$F5944='Visual SPC'!$K$4)),1,0))</f>
        <v/>
      </c>
      <c r="C5944">
        <f>C5943+B5944</f>
        <v/>
      </c>
      <c r="D5944">
        <f>IF(B5944=1,INDEX('Data Entry'!$H$5:$BE$10004,5944-4,'Visual SPC'!$B$3),"")</f>
        <v/>
      </c>
      <c r="E5944">
        <f>IF(B5944=1,D5944,E5943)</f>
        <v/>
      </c>
      <c r="F5944">
        <f>IF(AND(B5944=1,C5944&gt;1,E5943&lt;&gt;""),ABS(D5944-E5943),"")</f>
        <v/>
      </c>
    </row>
    <row r="5945">
      <c r="A5945" t="n">
        <v>5945</v>
      </c>
      <c r="B5945">
        <f>IF(INDEX('Data Entry'!$H$5:$BE$10004,5945-4,'Visual SPC'!$B$3)="",0,IF(AND(OR('Visual SPC'!$C$4="",'Data Entry'!$C5945&gt;='Visual SPC'!$C$4),OR('Visual SPC'!$E$4="",'Data Entry'!$C5945&lt;='Visual SPC'!$E$4),OR('Visual SPC'!$G$4="",'Data Entry'!$D5945='Visual SPC'!$G$4),OR('Visual SPC'!$I$4="",'Data Entry'!$E5945='Visual SPC'!$I$4),OR('Visual SPC'!$K$4="",'Data Entry'!$F5945='Visual SPC'!$K$4)),1,0))</f>
        <v/>
      </c>
      <c r="C5945">
        <f>C5944+B5945</f>
        <v/>
      </c>
      <c r="D5945">
        <f>IF(B5945=1,INDEX('Data Entry'!$H$5:$BE$10004,5945-4,'Visual SPC'!$B$3),"")</f>
        <v/>
      </c>
      <c r="E5945">
        <f>IF(B5945=1,D5945,E5944)</f>
        <v/>
      </c>
      <c r="F5945">
        <f>IF(AND(B5945=1,C5945&gt;1,E5944&lt;&gt;""),ABS(D5945-E5944),"")</f>
        <v/>
      </c>
    </row>
    <row r="5946">
      <c r="A5946" t="n">
        <v>5946</v>
      </c>
      <c r="B5946">
        <f>IF(INDEX('Data Entry'!$H$5:$BE$10004,5946-4,'Visual SPC'!$B$3)="",0,IF(AND(OR('Visual SPC'!$C$4="",'Data Entry'!$C5946&gt;='Visual SPC'!$C$4),OR('Visual SPC'!$E$4="",'Data Entry'!$C5946&lt;='Visual SPC'!$E$4),OR('Visual SPC'!$G$4="",'Data Entry'!$D5946='Visual SPC'!$G$4),OR('Visual SPC'!$I$4="",'Data Entry'!$E5946='Visual SPC'!$I$4),OR('Visual SPC'!$K$4="",'Data Entry'!$F5946='Visual SPC'!$K$4)),1,0))</f>
        <v/>
      </c>
      <c r="C5946">
        <f>C5945+B5946</f>
        <v/>
      </c>
      <c r="D5946">
        <f>IF(B5946=1,INDEX('Data Entry'!$H$5:$BE$10004,5946-4,'Visual SPC'!$B$3),"")</f>
        <v/>
      </c>
      <c r="E5946">
        <f>IF(B5946=1,D5946,E5945)</f>
        <v/>
      </c>
      <c r="F5946">
        <f>IF(AND(B5946=1,C5946&gt;1,E5945&lt;&gt;""),ABS(D5946-E5945),"")</f>
        <v/>
      </c>
    </row>
    <row r="5947">
      <c r="A5947" t="n">
        <v>5947</v>
      </c>
      <c r="B5947">
        <f>IF(INDEX('Data Entry'!$H$5:$BE$10004,5947-4,'Visual SPC'!$B$3)="",0,IF(AND(OR('Visual SPC'!$C$4="",'Data Entry'!$C5947&gt;='Visual SPC'!$C$4),OR('Visual SPC'!$E$4="",'Data Entry'!$C5947&lt;='Visual SPC'!$E$4),OR('Visual SPC'!$G$4="",'Data Entry'!$D5947='Visual SPC'!$G$4),OR('Visual SPC'!$I$4="",'Data Entry'!$E5947='Visual SPC'!$I$4),OR('Visual SPC'!$K$4="",'Data Entry'!$F5947='Visual SPC'!$K$4)),1,0))</f>
        <v/>
      </c>
      <c r="C5947">
        <f>C5946+B5947</f>
        <v/>
      </c>
      <c r="D5947">
        <f>IF(B5947=1,INDEX('Data Entry'!$H$5:$BE$10004,5947-4,'Visual SPC'!$B$3),"")</f>
        <v/>
      </c>
      <c r="E5947">
        <f>IF(B5947=1,D5947,E5946)</f>
        <v/>
      </c>
      <c r="F5947">
        <f>IF(AND(B5947=1,C5947&gt;1,E5946&lt;&gt;""),ABS(D5947-E5946),"")</f>
        <v/>
      </c>
    </row>
    <row r="5948">
      <c r="A5948" t="n">
        <v>5948</v>
      </c>
      <c r="B5948">
        <f>IF(INDEX('Data Entry'!$H$5:$BE$10004,5948-4,'Visual SPC'!$B$3)="",0,IF(AND(OR('Visual SPC'!$C$4="",'Data Entry'!$C5948&gt;='Visual SPC'!$C$4),OR('Visual SPC'!$E$4="",'Data Entry'!$C5948&lt;='Visual SPC'!$E$4),OR('Visual SPC'!$G$4="",'Data Entry'!$D5948='Visual SPC'!$G$4),OR('Visual SPC'!$I$4="",'Data Entry'!$E5948='Visual SPC'!$I$4),OR('Visual SPC'!$K$4="",'Data Entry'!$F5948='Visual SPC'!$K$4)),1,0))</f>
        <v/>
      </c>
      <c r="C5948">
        <f>C5947+B5948</f>
        <v/>
      </c>
      <c r="D5948">
        <f>IF(B5948=1,INDEX('Data Entry'!$H$5:$BE$10004,5948-4,'Visual SPC'!$B$3),"")</f>
        <v/>
      </c>
      <c r="E5948">
        <f>IF(B5948=1,D5948,E5947)</f>
        <v/>
      </c>
      <c r="F5948">
        <f>IF(AND(B5948=1,C5948&gt;1,E5947&lt;&gt;""),ABS(D5948-E5947),"")</f>
        <v/>
      </c>
    </row>
    <row r="5949">
      <c r="A5949" t="n">
        <v>5949</v>
      </c>
      <c r="B5949">
        <f>IF(INDEX('Data Entry'!$H$5:$BE$10004,5949-4,'Visual SPC'!$B$3)="",0,IF(AND(OR('Visual SPC'!$C$4="",'Data Entry'!$C5949&gt;='Visual SPC'!$C$4),OR('Visual SPC'!$E$4="",'Data Entry'!$C5949&lt;='Visual SPC'!$E$4),OR('Visual SPC'!$G$4="",'Data Entry'!$D5949='Visual SPC'!$G$4),OR('Visual SPC'!$I$4="",'Data Entry'!$E5949='Visual SPC'!$I$4),OR('Visual SPC'!$K$4="",'Data Entry'!$F5949='Visual SPC'!$K$4)),1,0))</f>
        <v/>
      </c>
      <c r="C5949">
        <f>C5948+B5949</f>
        <v/>
      </c>
      <c r="D5949">
        <f>IF(B5949=1,INDEX('Data Entry'!$H$5:$BE$10004,5949-4,'Visual SPC'!$B$3),"")</f>
        <v/>
      </c>
      <c r="E5949">
        <f>IF(B5949=1,D5949,E5948)</f>
        <v/>
      </c>
      <c r="F5949">
        <f>IF(AND(B5949=1,C5949&gt;1,E5948&lt;&gt;""),ABS(D5949-E5948),"")</f>
        <v/>
      </c>
    </row>
    <row r="5950">
      <c r="A5950" t="n">
        <v>5950</v>
      </c>
      <c r="B5950">
        <f>IF(INDEX('Data Entry'!$H$5:$BE$10004,5950-4,'Visual SPC'!$B$3)="",0,IF(AND(OR('Visual SPC'!$C$4="",'Data Entry'!$C5950&gt;='Visual SPC'!$C$4),OR('Visual SPC'!$E$4="",'Data Entry'!$C5950&lt;='Visual SPC'!$E$4),OR('Visual SPC'!$G$4="",'Data Entry'!$D5950='Visual SPC'!$G$4),OR('Visual SPC'!$I$4="",'Data Entry'!$E5950='Visual SPC'!$I$4),OR('Visual SPC'!$K$4="",'Data Entry'!$F5950='Visual SPC'!$K$4)),1,0))</f>
        <v/>
      </c>
      <c r="C5950">
        <f>C5949+B5950</f>
        <v/>
      </c>
      <c r="D5950">
        <f>IF(B5950=1,INDEX('Data Entry'!$H$5:$BE$10004,5950-4,'Visual SPC'!$B$3),"")</f>
        <v/>
      </c>
      <c r="E5950">
        <f>IF(B5950=1,D5950,E5949)</f>
        <v/>
      </c>
      <c r="F5950">
        <f>IF(AND(B5950=1,C5950&gt;1,E5949&lt;&gt;""),ABS(D5950-E5949),"")</f>
        <v/>
      </c>
    </row>
    <row r="5951">
      <c r="A5951" t="n">
        <v>5951</v>
      </c>
      <c r="B5951">
        <f>IF(INDEX('Data Entry'!$H$5:$BE$10004,5951-4,'Visual SPC'!$B$3)="",0,IF(AND(OR('Visual SPC'!$C$4="",'Data Entry'!$C5951&gt;='Visual SPC'!$C$4),OR('Visual SPC'!$E$4="",'Data Entry'!$C5951&lt;='Visual SPC'!$E$4),OR('Visual SPC'!$G$4="",'Data Entry'!$D5951='Visual SPC'!$G$4),OR('Visual SPC'!$I$4="",'Data Entry'!$E5951='Visual SPC'!$I$4),OR('Visual SPC'!$K$4="",'Data Entry'!$F5951='Visual SPC'!$K$4)),1,0))</f>
        <v/>
      </c>
      <c r="C5951">
        <f>C5950+B5951</f>
        <v/>
      </c>
      <c r="D5951">
        <f>IF(B5951=1,INDEX('Data Entry'!$H$5:$BE$10004,5951-4,'Visual SPC'!$B$3),"")</f>
        <v/>
      </c>
      <c r="E5951">
        <f>IF(B5951=1,D5951,E5950)</f>
        <v/>
      </c>
      <c r="F5951">
        <f>IF(AND(B5951=1,C5951&gt;1,E5950&lt;&gt;""),ABS(D5951-E5950),"")</f>
        <v/>
      </c>
    </row>
    <row r="5952">
      <c r="A5952" t="n">
        <v>5952</v>
      </c>
      <c r="B5952">
        <f>IF(INDEX('Data Entry'!$H$5:$BE$10004,5952-4,'Visual SPC'!$B$3)="",0,IF(AND(OR('Visual SPC'!$C$4="",'Data Entry'!$C5952&gt;='Visual SPC'!$C$4),OR('Visual SPC'!$E$4="",'Data Entry'!$C5952&lt;='Visual SPC'!$E$4),OR('Visual SPC'!$G$4="",'Data Entry'!$D5952='Visual SPC'!$G$4),OR('Visual SPC'!$I$4="",'Data Entry'!$E5952='Visual SPC'!$I$4),OR('Visual SPC'!$K$4="",'Data Entry'!$F5952='Visual SPC'!$K$4)),1,0))</f>
        <v/>
      </c>
      <c r="C5952">
        <f>C5951+B5952</f>
        <v/>
      </c>
      <c r="D5952">
        <f>IF(B5952=1,INDEX('Data Entry'!$H$5:$BE$10004,5952-4,'Visual SPC'!$B$3),"")</f>
        <v/>
      </c>
      <c r="E5952">
        <f>IF(B5952=1,D5952,E5951)</f>
        <v/>
      </c>
      <c r="F5952">
        <f>IF(AND(B5952=1,C5952&gt;1,E5951&lt;&gt;""),ABS(D5952-E5951),"")</f>
        <v/>
      </c>
    </row>
    <row r="5953">
      <c r="A5953" t="n">
        <v>5953</v>
      </c>
      <c r="B5953">
        <f>IF(INDEX('Data Entry'!$H$5:$BE$10004,5953-4,'Visual SPC'!$B$3)="",0,IF(AND(OR('Visual SPC'!$C$4="",'Data Entry'!$C5953&gt;='Visual SPC'!$C$4),OR('Visual SPC'!$E$4="",'Data Entry'!$C5953&lt;='Visual SPC'!$E$4),OR('Visual SPC'!$G$4="",'Data Entry'!$D5953='Visual SPC'!$G$4),OR('Visual SPC'!$I$4="",'Data Entry'!$E5953='Visual SPC'!$I$4),OR('Visual SPC'!$K$4="",'Data Entry'!$F5953='Visual SPC'!$K$4)),1,0))</f>
        <v/>
      </c>
      <c r="C5953">
        <f>C5952+B5953</f>
        <v/>
      </c>
      <c r="D5953">
        <f>IF(B5953=1,INDEX('Data Entry'!$H$5:$BE$10004,5953-4,'Visual SPC'!$B$3),"")</f>
        <v/>
      </c>
      <c r="E5953">
        <f>IF(B5953=1,D5953,E5952)</f>
        <v/>
      </c>
      <c r="F5953">
        <f>IF(AND(B5953=1,C5953&gt;1,E5952&lt;&gt;""),ABS(D5953-E5952),"")</f>
        <v/>
      </c>
    </row>
    <row r="5954">
      <c r="A5954" t="n">
        <v>5954</v>
      </c>
      <c r="B5954">
        <f>IF(INDEX('Data Entry'!$H$5:$BE$10004,5954-4,'Visual SPC'!$B$3)="",0,IF(AND(OR('Visual SPC'!$C$4="",'Data Entry'!$C5954&gt;='Visual SPC'!$C$4),OR('Visual SPC'!$E$4="",'Data Entry'!$C5954&lt;='Visual SPC'!$E$4),OR('Visual SPC'!$G$4="",'Data Entry'!$D5954='Visual SPC'!$G$4),OR('Visual SPC'!$I$4="",'Data Entry'!$E5954='Visual SPC'!$I$4),OR('Visual SPC'!$K$4="",'Data Entry'!$F5954='Visual SPC'!$K$4)),1,0))</f>
        <v/>
      </c>
      <c r="C5954">
        <f>C5953+B5954</f>
        <v/>
      </c>
      <c r="D5954">
        <f>IF(B5954=1,INDEX('Data Entry'!$H$5:$BE$10004,5954-4,'Visual SPC'!$B$3),"")</f>
        <v/>
      </c>
      <c r="E5954">
        <f>IF(B5954=1,D5954,E5953)</f>
        <v/>
      </c>
      <c r="F5954">
        <f>IF(AND(B5954=1,C5954&gt;1,E5953&lt;&gt;""),ABS(D5954-E5953),"")</f>
        <v/>
      </c>
    </row>
    <row r="5955">
      <c r="A5955" t="n">
        <v>5955</v>
      </c>
      <c r="B5955">
        <f>IF(INDEX('Data Entry'!$H$5:$BE$10004,5955-4,'Visual SPC'!$B$3)="",0,IF(AND(OR('Visual SPC'!$C$4="",'Data Entry'!$C5955&gt;='Visual SPC'!$C$4),OR('Visual SPC'!$E$4="",'Data Entry'!$C5955&lt;='Visual SPC'!$E$4),OR('Visual SPC'!$G$4="",'Data Entry'!$D5955='Visual SPC'!$G$4),OR('Visual SPC'!$I$4="",'Data Entry'!$E5955='Visual SPC'!$I$4),OR('Visual SPC'!$K$4="",'Data Entry'!$F5955='Visual SPC'!$K$4)),1,0))</f>
        <v/>
      </c>
      <c r="C5955">
        <f>C5954+B5955</f>
        <v/>
      </c>
      <c r="D5955">
        <f>IF(B5955=1,INDEX('Data Entry'!$H$5:$BE$10004,5955-4,'Visual SPC'!$B$3),"")</f>
        <v/>
      </c>
      <c r="E5955">
        <f>IF(B5955=1,D5955,E5954)</f>
        <v/>
      </c>
      <c r="F5955">
        <f>IF(AND(B5955=1,C5955&gt;1,E5954&lt;&gt;""),ABS(D5955-E5954),"")</f>
        <v/>
      </c>
    </row>
    <row r="5956">
      <c r="A5956" t="n">
        <v>5956</v>
      </c>
      <c r="B5956">
        <f>IF(INDEX('Data Entry'!$H$5:$BE$10004,5956-4,'Visual SPC'!$B$3)="",0,IF(AND(OR('Visual SPC'!$C$4="",'Data Entry'!$C5956&gt;='Visual SPC'!$C$4),OR('Visual SPC'!$E$4="",'Data Entry'!$C5956&lt;='Visual SPC'!$E$4),OR('Visual SPC'!$G$4="",'Data Entry'!$D5956='Visual SPC'!$G$4),OR('Visual SPC'!$I$4="",'Data Entry'!$E5956='Visual SPC'!$I$4),OR('Visual SPC'!$K$4="",'Data Entry'!$F5956='Visual SPC'!$K$4)),1,0))</f>
        <v/>
      </c>
      <c r="C5956">
        <f>C5955+B5956</f>
        <v/>
      </c>
      <c r="D5956">
        <f>IF(B5956=1,INDEX('Data Entry'!$H$5:$BE$10004,5956-4,'Visual SPC'!$B$3),"")</f>
        <v/>
      </c>
      <c r="E5956">
        <f>IF(B5956=1,D5956,E5955)</f>
        <v/>
      </c>
      <c r="F5956">
        <f>IF(AND(B5956=1,C5956&gt;1,E5955&lt;&gt;""),ABS(D5956-E5955),"")</f>
        <v/>
      </c>
    </row>
    <row r="5957">
      <c r="A5957" t="n">
        <v>5957</v>
      </c>
      <c r="B5957">
        <f>IF(INDEX('Data Entry'!$H$5:$BE$10004,5957-4,'Visual SPC'!$B$3)="",0,IF(AND(OR('Visual SPC'!$C$4="",'Data Entry'!$C5957&gt;='Visual SPC'!$C$4),OR('Visual SPC'!$E$4="",'Data Entry'!$C5957&lt;='Visual SPC'!$E$4),OR('Visual SPC'!$G$4="",'Data Entry'!$D5957='Visual SPC'!$G$4),OR('Visual SPC'!$I$4="",'Data Entry'!$E5957='Visual SPC'!$I$4),OR('Visual SPC'!$K$4="",'Data Entry'!$F5957='Visual SPC'!$K$4)),1,0))</f>
        <v/>
      </c>
      <c r="C5957">
        <f>C5956+B5957</f>
        <v/>
      </c>
      <c r="D5957">
        <f>IF(B5957=1,INDEX('Data Entry'!$H$5:$BE$10004,5957-4,'Visual SPC'!$B$3),"")</f>
        <v/>
      </c>
      <c r="E5957">
        <f>IF(B5957=1,D5957,E5956)</f>
        <v/>
      </c>
      <c r="F5957">
        <f>IF(AND(B5957=1,C5957&gt;1,E5956&lt;&gt;""),ABS(D5957-E5956),"")</f>
        <v/>
      </c>
    </row>
    <row r="5958">
      <c r="A5958" t="n">
        <v>5958</v>
      </c>
      <c r="B5958">
        <f>IF(INDEX('Data Entry'!$H$5:$BE$10004,5958-4,'Visual SPC'!$B$3)="",0,IF(AND(OR('Visual SPC'!$C$4="",'Data Entry'!$C5958&gt;='Visual SPC'!$C$4),OR('Visual SPC'!$E$4="",'Data Entry'!$C5958&lt;='Visual SPC'!$E$4),OR('Visual SPC'!$G$4="",'Data Entry'!$D5958='Visual SPC'!$G$4),OR('Visual SPC'!$I$4="",'Data Entry'!$E5958='Visual SPC'!$I$4),OR('Visual SPC'!$K$4="",'Data Entry'!$F5958='Visual SPC'!$K$4)),1,0))</f>
        <v/>
      </c>
      <c r="C5958">
        <f>C5957+B5958</f>
        <v/>
      </c>
      <c r="D5958">
        <f>IF(B5958=1,INDEX('Data Entry'!$H$5:$BE$10004,5958-4,'Visual SPC'!$B$3),"")</f>
        <v/>
      </c>
      <c r="E5958">
        <f>IF(B5958=1,D5958,E5957)</f>
        <v/>
      </c>
      <c r="F5958">
        <f>IF(AND(B5958=1,C5958&gt;1,E5957&lt;&gt;""),ABS(D5958-E5957),"")</f>
        <v/>
      </c>
    </row>
    <row r="5959">
      <c r="A5959" t="n">
        <v>5959</v>
      </c>
      <c r="B5959">
        <f>IF(INDEX('Data Entry'!$H$5:$BE$10004,5959-4,'Visual SPC'!$B$3)="",0,IF(AND(OR('Visual SPC'!$C$4="",'Data Entry'!$C5959&gt;='Visual SPC'!$C$4),OR('Visual SPC'!$E$4="",'Data Entry'!$C5959&lt;='Visual SPC'!$E$4),OR('Visual SPC'!$G$4="",'Data Entry'!$D5959='Visual SPC'!$G$4),OR('Visual SPC'!$I$4="",'Data Entry'!$E5959='Visual SPC'!$I$4),OR('Visual SPC'!$K$4="",'Data Entry'!$F5959='Visual SPC'!$K$4)),1,0))</f>
        <v/>
      </c>
      <c r="C5959">
        <f>C5958+B5959</f>
        <v/>
      </c>
      <c r="D5959">
        <f>IF(B5959=1,INDEX('Data Entry'!$H$5:$BE$10004,5959-4,'Visual SPC'!$B$3),"")</f>
        <v/>
      </c>
      <c r="E5959">
        <f>IF(B5959=1,D5959,E5958)</f>
        <v/>
      </c>
      <c r="F5959">
        <f>IF(AND(B5959=1,C5959&gt;1,E5958&lt;&gt;""),ABS(D5959-E5958),"")</f>
        <v/>
      </c>
    </row>
    <row r="5960">
      <c r="A5960" t="n">
        <v>5960</v>
      </c>
      <c r="B5960">
        <f>IF(INDEX('Data Entry'!$H$5:$BE$10004,5960-4,'Visual SPC'!$B$3)="",0,IF(AND(OR('Visual SPC'!$C$4="",'Data Entry'!$C5960&gt;='Visual SPC'!$C$4),OR('Visual SPC'!$E$4="",'Data Entry'!$C5960&lt;='Visual SPC'!$E$4),OR('Visual SPC'!$G$4="",'Data Entry'!$D5960='Visual SPC'!$G$4),OR('Visual SPC'!$I$4="",'Data Entry'!$E5960='Visual SPC'!$I$4),OR('Visual SPC'!$K$4="",'Data Entry'!$F5960='Visual SPC'!$K$4)),1,0))</f>
        <v/>
      </c>
      <c r="C5960">
        <f>C5959+B5960</f>
        <v/>
      </c>
      <c r="D5960">
        <f>IF(B5960=1,INDEX('Data Entry'!$H$5:$BE$10004,5960-4,'Visual SPC'!$B$3),"")</f>
        <v/>
      </c>
      <c r="E5960">
        <f>IF(B5960=1,D5960,E5959)</f>
        <v/>
      </c>
      <c r="F5960">
        <f>IF(AND(B5960=1,C5960&gt;1,E5959&lt;&gt;""),ABS(D5960-E5959),"")</f>
        <v/>
      </c>
    </row>
    <row r="5961">
      <c r="A5961" t="n">
        <v>5961</v>
      </c>
      <c r="B5961">
        <f>IF(INDEX('Data Entry'!$H$5:$BE$10004,5961-4,'Visual SPC'!$B$3)="",0,IF(AND(OR('Visual SPC'!$C$4="",'Data Entry'!$C5961&gt;='Visual SPC'!$C$4),OR('Visual SPC'!$E$4="",'Data Entry'!$C5961&lt;='Visual SPC'!$E$4),OR('Visual SPC'!$G$4="",'Data Entry'!$D5961='Visual SPC'!$G$4),OR('Visual SPC'!$I$4="",'Data Entry'!$E5961='Visual SPC'!$I$4),OR('Visual SPC'!$K$4="",'Data Entry'!$F5961='Visual SPC'!$K$4)),1,0))</f>
        <v/>
      </c>
      <c r="C5961">
        <f>C5960+B5961</f>
        <v/>
      </c>
      <c r="D5961">
        <f>IF(B5961=1,INDEX('Data Entry'!$H$5:$BE$10004,5961-4,'Visual SPC'!$B$3),"")</f>
        <v/>
      </c>
      <c r="E5961">
        <f>IF(B5961=1,D5961,E5960)</f>
        <v/>
      </c>
      <c r="F5961">
        <f>IF(AND(B5961=1,C5961&gt;1,E5960&lt;&gt;""),ABS(D5961-E5960),"")</f>
        <v/>
      </c>
    </row>
    <row r="5962">
      <c r="A5962" t="n">
        <v>5962</v>
      </c>
      <c r="B5962">
        <f>IF(INDEX('Data Entry'!$H$5:$BE$10004,5962-4,'Visual SPC'!$B$3)="",0,IF(AND(OR('Visual SPC'!$C$4="",'Data Entry'!$C5962&gt;='Visual SPC'!$C$4),OR('Visual SPC'!$E$4="",'Data Entry'!$C5962&lt;='Visual SPC'!$E$4),OR('Visual SPC'!$G$4="",'Data Entry'!$D5962='Visual SPC'!$G$4),OR('Visual SPC'!$I$4="",'Data Entry'!$E5962='Visual SPC'!$I$4),OR('Visual SPC'!$K$4="",'Data Entry'!$F5962='Visual SPC'!$K$4)),1,0))</f>
        <v/>
      </c>
      <c r="C5962">
        <f>C5961+B5962</f>
        <v/>
      </c>
      <c r="D5962">
        <f>IF(B5962=1,INDEX('Data Entry'!$H$5:$BE$10004,5962-4,'Visual SPC'!$B$3),"")</f>
        <v/>
      </c>
      <c r="E5962">
        <f>IF(B5962=1,D5962,E5961)</f>
        <v/>
      </c>
      <c r="F5962">
        <f>IF(AND(B5962=1,C5962&gt;1,E5961&lt;&gt;""),ABS(D5962-E5961),"")</f>
        <v/>
      </c>
    </row>
    <row r="5963">
      <c r="A5963" t="n">
        <v>5963</v>
      </c>
      <c r="B5963">
        <f>IF(INDEX('Data Entry'!$H$5:$BE$10004,5963-4,'Visual SPC'!$B$3)="",0,IF(AND(OR('Visual SPC'!$C$4="",'Data Entry'!$C5963&gt;='Visual SPC'!$C$4),OR('Visual SPC'!$E$4="",'Data Entry'!$C5963&lt;='Visual SPC'!$E$4),OR('Visual SPC'!$G$4="",'Data Entry'!$D5963='Visual SPC'!$G$4),OR('Visual SPC'!$I$4="",'Data Entry'!$E5963='Visual SPC'!$I$4),OR('Visual SPC'!$K$4="",'Data Entry'!$F5963='Visual SPC'!$K$4)),1,0))</f>
        <v/>
      </c>
      <c r="C5963">
        <f>C5962+B5963</f>
        <v/>
      </c>
      <c r="D5963">
        <f>IF(B5963=1,INDEX('Data Entry'!$H$5:$BE$10004,5963-4,'Visual SPC'!$B$3),"")</f>
        <v/>
      </c>
      <c r="E5963">
        <f>IF(B5963=1,D5963,E5962)</f>
        <v/>
      </c>
      <c r="F5963">
        <f>IF(AND(B5963=1,C5963&gt;1,E5962&lt;&gt;""),ABS(D5963-E5962),"")</f>
        <v/>
      </c>
    </row>
    <row r="5964">
      <c r="A5964" t="n">
        <v>5964</v>
      </c>
      <c r="B5964">
        <f>IF(INDEX('Data Entry'!$H$5:$BE$10004,5964-4,'Visual SPC'!$B$3)="",0,IF(AND(OR('Visual SPC'!$C$4="",'Data Entry'!$C5964&gt;='Visual SPC'!$C$4),OR('Visual SPC'!$E$4="",'Data Entry'!$C5964&lt;='Visual SPC'!$E$4),OR('Visual SPC'!$G$4="",'Data Entry'!$D5964='Visual SPC'!$G$4),OR('Visual SPC'!$I$4="",'Data Entry'!$E5964='Visual SPC'!$I$4),OR('Visual SPC'!$K$4="",'Data Entry'!$F5964='Visual SPC'!$K$4)),1,0))</f>
        <v/>
      </c>
      <c r="C5964">
        <f>C5963+B5964</f>
        <v/>
      </c>
      <c r="D5964">
        <f>IF(B5964=1,INDEX('Data Entry'!$H$5:$BE$10004,5964-4,'Visual SPC'!$B$3),"")</f>
        <v/>
      </c>
      <c r="E5964">
        <f>IF(B5964=1,D5964,E5963)</f>
        <v/>
      </c>
      <c r="F5964">
        <f>IF(AND(B5964=1,C5964&gt;1,E5963&lt;&gt;""),ABS(D5964-E5963),"")</f>
        <v/>
      </c>
    </row>
    <row r="5965">
      <c r="A5965" t="n">
        <v>5965</v>
      </c>
      <c r="B5965">
        <f>IF(INDEX('Data Entry'!$H$5:$BE$10004,5965-4,'Visual SPC'!$B$3)="",0,IF(AND(OR('Visual SPC'!$C$4="",'Data Entry'!$C5965&gt;='Visual SPC'!$C$4),OR('Visual SPC'!$E$4="",'Data Entry'!$C5965&lt;='Visual SPC'!$E$4),OR('Visual SPC'!$G$4="",'Data Entry'!$D5965='Visual SPC'!$G$4),OR('Visual SPC'!$I$4="",'Data Entry'!$E5965='Visual SPC'!$I$4),OR('Visual SPC'!$K$4="",'Data Entry'!$F5965='Visual SPC'!$K$4)),1,0))</f>
        <v/>
      </c>
      <c r="C5965">
        <f>C5964+B5965</f>
        <v/>
      </c>
      <c r="D5965">
        <f>IF(B5965=1,INDEX('Data Entry'!$H$5:$BE$10004,5965-4,'Visual SPC'!$B$3),"")</f>
        <v/>
      </c>
      <c r="E5965">
        <f>IF(B5965=1,D5965,E5964)</f>
        <v/>
      </c>
      <c r="F5965">
        <f>IF(AND(B5965=1,C5965&gt;1,E5964&lt;&gt;""),ABS(D5965-E5964),"")</f>
        <v/>
      </c>
    </row>
    <row r="5966">
      <c r="A5966" t="n">
        <v>5966</v>
      </c>
      <c r="B5966">
        <f>IF(INDEX('Data Entry'!$H$5:$BE$10004,5966-4,'Visual SPC'!$B$3)="",0,IF(AND(OR('Visual SPC'!$C$4="",'Data Entry'!$C5966&gt;='Visual SPC'!$C$4),OR('Visual SPC'!$E$4="",'Data Entry'!$C5966&lt;='Visual SPC'!$E$4),OR('Visual SPC'!$G$4="",'Data Entry'!$D5966='Visual SPC'!$G$4),OR('Visual SPC'!$I$4="",'Data Entry'!$E5966='Visual SPC'!$I$4),OR('Visual SPC'!$K$4="",'Data Entry'!$F5966='Visual SPC'!$K$4)),1,0))</f>
        <v/>
      </c>
      <c r="C5966">
        <f>C5965+B5966</f>
        <v/>
      </c>
      <c r="D5966">
        <f>IF(B5966=1,INDEX('Data Entry'!$H$5:$BE$10004,5966-4,'Visual SPC'!$B$3),"")</f>
        <v/>
      </c>
      <c r="E5966">
        <f>IF(B5966=1,D5966,E5965)</f>
        <v/>
      </c>
      <c r="F5966">
        <f>IF(AND(B5966=1,C5966&gt;1,E5965&lt;&gt;""),ABS(D5966-E5965),"")</f>
        <v/>
      </c>
    </row>
    <row r="5967">
      <c r="A5967" t="n">
        <v>5967</v>
      </c>
      <c r="B5967">
        <f>IF(INDEX('Data Entry'!$H$5:$BE$10004,5967-4,'Visual SPC'!$B$3)="",0,IF(AND(OR('Visual SPC'!$C$4="",'Data Entry'!$C5967&gt;='Visual SPC'!$C$4),OR('Visual SPC'!$E$4="",'Data Entry'!$C5967&lt;='Visual SPC'!$E$4),OR('Visual SPC'!$G$4="",'Data Entry'!$D5967='Visual SPC'!$G$4),OR('Visual SPC'!$I$4="",'Data Entry'!$E5967='Visual SPC'!$I$4),OR('Visual SPC'!$K$4="",'Data Entry'!$F5967='Visual SPC'!$K$4)),1,0))</f>
        <v/>
      </c>
      <c r="C5967">
        <f>C5966+B5967</f>
        <v/>
      </c>
      <c r="D5967">
        <f>IF(B5967=1,INDEX('Data Entry'!$H$5:$BE$10004,5967-4,'Visual SPC'!$B$3),"")</f>
        <v/>
      </c>
      <c r="E5967">
        <f>IF(B5967=1,D5967,E5966)</f>
        <v/>
      </c>
      <c r="F5967">
        <f>IF(AND(B5967=1,C5967&gt;1,E5966&lt;&gt;""),ABS(D5967-E5966),"")</f>
        <v/>
      </c>
    </row>
    <row r="5968">
      <c r="A5968" t="n">
        <v>5968</v>
      </c>
      <c r="B5968">
        <f>IF(INDEX('Data Entry'!$H$5:$BE$10004,5968-4,'Visual SPC'!$B$3)="",0,IF(AND(OR('Visual SPC'!$C$4="",'Data Entry'!$C5968&gt;='Visual SPC'!$C$4),OR('Visual SPC'!$E$4="",'Data Entry'!$C5968&lt;='Visual SPC'!$E$4),OR('Visual SPC'!$G$4="",'Data Entry'!$D5968='Visual SPC'!$G$4),OR('Visual SPC'!$I$4="",'Data Entry'!$E5968='Visual SPC'!$I$4),OR('Visual SPC'!$K$4="",'Data Entry'!$F5968='Visual SPC'!$K$4)),1,0))</f>
        <v/>
      </c>
      <c r="C5968">
        <f>C5967+B5968</f>
        <v/>
      </c>
      <c r="D5968">
        <f>IF(B5968=1,INDEX('Data Entry'!$H$5:$BE$10004,5968-4,'Visual SPC'!$B$3),"")</f>
        <v/>
      </c>
      <c r="E5968">
        <f>IF(B5968=1,D5968,E5967)</f>
        <v/>
      </c>
      <c r="F5968">
        <f>IF(AND(B5968=1,C5968&gt;1,E5967&lt;&gt;""),ABS(D5968-E5967),"")</f>
        <v/>
      </c>
    </row>
    <row r="5969">
      <c r="A5969" t="n">
        <v>5969</v>
      </c>
      <c r="B5969">
        <f>IF(INDEX('Data Entry'!$H$5:$BE$10004,5969-4,'Visual SPC'!$B$3)="",0,IF(AND(OR('Visual SPC'!$C$4="",'Data Entry'!$C5969&gt;='Visual SPC'!$C$4),OR('Visual SPC'!$E$4="",'Data Entry'!$C5969&lt;='Visual SPC'!$E$4),OR('Visual SPC'!$G$4="",'Data Entry'!$D5969='Visual SPC'!$G$4),OR('Visual SPC'!$I$4="",'Data Entry'!$E5969='Visual SPC'!$I$4),OR('Visual SPC'!$K$4="",'Data Entry'!$F5969='Visual SPC'!$K$4)),1,0))</f>
        <v/>
      </c>
      <c r="C5969">
        <f>C5968+B5969</f>
        <v/>
      </c>
      <c r="D5969">
        <f>IF(B5969=1,INDEX('Data Entry'!$H$5:$BE$10004,5969-4,'Visual SPC'!$B$3),"")</f>
        <v/>
      </c>
      <c r="E5969">
        <f>IF(B5969=1,D5969,E5968)</f>
        <v/>
      </c>
      <c r="F5969">
        <f>IF(AND(B5969=1,C5969&gt;1,E5968&lt;&gt;""),ABS(D5969-E5968),"")</f>
        <v/>
      </c>
    </row>
    <row r="5970">
      <c r="A5970" t="n">
        <v>5970</v>
      </c>
      <c r="B5970">
        <f>IF(INDEX('Data Entry'!$H$5:$BE$10004,5970-4,'Visual SPC'!$B$3)="",0,IF(AND(OR('Visual SPC'!$C$4="",'Data Entry'!$C5970&gt;='Visual SPC'!$C$4),OR('Visual SPC'!$E$4="",'Data Entry'!$C5970&lt;='Visual SPC'!$E$4),OR('Visual SPC'!$G$4="",'Data Entry'!$D5970='Visual SPC'!$G$4),OR('Visual SPC'!$I$4="",'Data Entry'!$E5970='Visual SPC'!$I$4),OR('Visual SPC'!$K$4="",'Data Entry'!$F5970='Visual SPC'!$K$4)),1,0))</f>
        <v/>
      </c>
      <c r="C5970">
        <f>C5969+B5970</f>
        <v/>
      </c>
      <c r="D5970">
        <f>IF(B5970=1,INDEX('Data Entry'!$H$5:$BE$10004,5970-4,'Visual SPC'!$B$3),"")</f>
        <v/>
      </c>
      <c r="E5970">
        <f>IF(B5970=1,D5970,E5969)</f>
        <v/>
      </c>
      <c r="F5970">
        <f>IF(AND(B5970=1,C5970&gt;1,E5969&lt;&gt;""),ABS(D5970-E5969),"")</f>
        <v/>
      </c>
    </row>
    <row r="5971">
      <c r="A5971" t="n">
        <v>5971</v>
      </c>
      <c r="B5971">
        <f>IF(INDEX('Data Entry'!$H$5:$BE$10004,5971-4,'Visual SPC'!$B$3)="",0,IF(AND(OR('Visual SPC'!$C$4="",'Data Entry'!$C5971&gt;='Visual SPC'!$C$4),OR('Visual SPC'!$E$4="",'Data Entry'!$C5971&lt;='Visual SPC'!$E$4),OR('Visual SPC'!$G$4="",'Data Entry'!$D5971='Visual SPC'!$G$4),OR('Visual SPC'!$I$4="",'Data Entry'!$E5971='Visual SPC'!$I$4),OR('Visual SPC'!$K$4="",'Data Entry'!$F5971='Visual SPC'!$K$4)),1,0))</f>
        <v/>
      </c>
      <c r="C5971">
        <f>C5970+B5971</f>
        <v/>
      </c>
      <c r="D5971">
        <f>IF(B5971=1,INDEX('Data Entry'!$H$5:$BE$10004,5971-4,'Visual SPC'!$B$3),"")</f>
        <v/>
      </c>
      <c r="E5971">
        <f>IF(B5971=1,D5971,E5970)</f>
        <v/>
      </c>
      <c r="F5971">
        <f>IF(AND(B5971=1,C5971&gt;1,E5970&lt;&gt;""),ABS(D5971-E5970),"")</f>
        <v/>
      </c>
    </row>
    <row r="5972">
      <c r="A5972" t="n">
        <v>5972</v>
      </c>
      <c r="B5972">
        <f>IF(INDEX('Data Entry'!$H$5:$BE$10004,5972-4,'Visual SPC'!$B$3)="",0,IF(AND(OR('Visual SPC'!$C$4="",'Data Entry'!$C5972&gt;='Visual SPC'!$C$4),OR('Visual SPC'!$E$4="",'Data Entry'!$C5972&lt;='Visual SPC'!$E$4),OR('Visual SPC'!$G$4="",'Data Entry'!$D5972='Visual SPC'!$G$4),OR('Visual SPC'!$I$4="",'Data Entry'!$E5972='Visual SPC'!$I$4),OR('Visual SPC'!$K$4="",'Data Entry'!$F5972='Visual SPC'!$K$4)),1,0))</f>
        <v/>
      </c>
      <c r="C5972">
        <f>C5971+B5972</f>
        <v/>
      </c>
      <c r="D5972">
        <f>IF(B5972=1,INDEX('Data Entry'!$H$5:$BE$10004,5972-4,'Visual SPC'!$B$3),"")</f>
        <v/>
      </c>
      <c r="E5972">
        <f>IF(B5972=1,D5972,E5971)</f>
        <v/>
      </c>
      <c r="F5972">
        <f>IF(AND(B5972=1,C5972&gt;1,E5971&lt;&gt;""),ABS(D5972-E5971),"")</f>
        <v/>
      </c>
    </row>
    <row r="5973">
      <c r="A5973" t="n">
        <v>5973</v>
      </c>
      <c r="B5973">
        <f>IF(INDEX('Data Entry'!$H$5:$BE$10004,5973-4,'Visual SPC'!$B$3)="",0,IF(AND(OR('Visual SPC'!$C$4="",'Data Entry'!$C5973&gt;='Visual SPC'!$C$4),OR('Visual SPC'!$E$4="",'Data Entry'!$C5973&lt;='Visual SPC'!$E$4),OR('Visual SPC'!$G$4="",'Data Entry'!$D5973='Visual SPC'!$G$4),OR('Visual SPC'!$I$4="",'Data Entry'!$E5973='Visual SPC'!$I$4),OR('Visual SPC'!$K$4="",'Data Entry'!$F5973='Visual SPC'!$K$4)),1,0))</f>
        <v/>
      </c>
      <c r="C5973">
        <f>C5972+B5973</f>
        <v/>
      </c>
      <c r="D5973">
        <f>IF(B5973=1,INDEX('Data Entry'!$H$5:$BE$10004,5973-4,'Visual SPC'!$B$3),"")</f>
        <v/>
      </c>
      <c r="E5973">
        <f>IF(B5973=1,D5973,E5972)</f>
        <v/>
      </c>
      <c r="F5973">
        <f>IF(AND(B5973=1,C5973&gt;1,E5972&lt;&gt;""),ABS(D5973-E5972),"")</f>
        <v/>
      </c>
    </row>
    <row r="5974">
      <c r="A5974" t="n">
        <v>5974</v>
      </c>
      <c r="B5974">
        <f>IF(INDEX('Data Entry'!$H$5:$BE$10004,5974-4,'Visual SPC'!$B$3)="",0,IF(AND(OR('Visual SPC'!$C$4="",'Data Entry'!$C5974&gt;='Visual SPC'!$C$4),OR('Visual SPC'!$E$4="",'Data Entry'!$C5974&lt;='Visual SPC'!$E$4),OR('Visual SPC'!$G$4="",'Data Entry'!$D5974='Visual SPC'!$G$4),OR('Visual SPC'!$I$4="",'Data Entry'!$E5974='Visual SPC'!$I$4),OR('Visual SPC'!$K$4="",'Data Entry'!$F5974='Visual SPC'!$K$4)),1,0))</f>
        <v/>
      </c>
      <c r="C5974">
        <f>C5973+B5974</f>
        <v/>
      </c>
      <c r="D5974">
        <f>IF(B5974=1,INDEX('Data Entry'!$H$5:$BE$10004,5974-4,'Visual SPC'!$B$3),"")</f>
        <v/>
      </c>
      <c r="E5974">
        <f>IF(B5974=1,D5974,E5973)</f>
        <v/>
      </c>
      <c r="F5974">
        <f>IF(AND(B5974=1,C5974&gt;1,E5973&lt;&gt;""),ABS(D5974-E5973),"")</f>
        <v/>
      </c>
    </row>
    <row r="5975">
      <c r="A5975" t="n">
        <v>5975</v>
      </c>
      <c r="B5975">
        <f>IF(INDEX('Data Entry'!$H$5:$BE$10004,5975-4,'Visual SPC'!$B$3)="",0,IF(AND(OR('Visual SPC'!$C$4="",'Data Entry'!$C5975&gt;='Visual SPC'!$C$4),OR('Visual SPC'!$E$4="",'Data Entry'!$C5975&lt;='Visual SPC'!$E$4),OR('Visual SPC'!$G$4="",'Data Entry'!$D5975='Visual SPC'!$G$4),OR('Visual SPC'!$I$4="",'Data Entry'!$E5975='Visual SPC'!$I$4),OR('Visual SPC'!$K$4="",'Data Entry'!$F5975='Visual SPC'!$K$4)),1,0))</f>
        <v/>
      </c>
      <c r="C5975">
        <f>C5974+B5975</f>
        <v/>
      </c>
      <c r="D5975">
        <f>IF(B5975=1,INDEX('Data Entry'!$H$5:$BE$10004,5975-4,'Visual SPC'!$B$3),"")</f>
        <v/>
      </c>
      <c r="E5975">
        <f>IF(B5975=1,D5975,E5974)</f>
        <v/>
      </c>
      <c r="F5975">
        <f>IF(AND(B5975=1,C5975&gt;1,E5974&lt;&gt;""),ABS(D5975-E5974),"")</f>
        <v/>
      </c>
    </row>
    <row r="5976">
      <c r="A5976" t="n">
        <v>5976</v>
      </c>
      <c r="B5976">
        <f>IF(INDEX('Data Entry'!$H$5:$BE$10004,5976-4,'Visual SPC'!$B$3)="",0,IF(AND(OR('Visual SPC'!$C$4="",'Data Entry'!$C5976&gt;='Visual SPC'!$C$4),OR('Visual SPC'!$E$4="",'Data Entry'!$C5976&lt;='Visual SPC'!$E$4),OR('Visual SPC'!$G$4="",'Data Entry'!$D5976='Visual SPC'!$G$4),OR('Visual SPC'!$I$4="",'Data Entry'!$E5976='Visual SPC'!$I$4),OR('Visual SPC'!$K$4="",'Data Entry'!$F5976='Visual SPC'!$K$4)),1,0))</f>
        <v/>
      </c>
      <c r="C5976">
        <f>C5975+B5976</f>
        <v/>
      </c>
      <c r="D5976">
        <f>IF(B5976=1,INDEX('Data Entry'!$H$5:$BE$10004,5976-4,'Visual SPC'!$B$3),"")</f>
        <v/>
      </c>
      <c r="E5976">
        <f>IF(B5976=1,D5976,E5975)</f>
        <v/>
      </c>
      <c r="F5976">
        <f>IF(AND(B5976=1,C5976&gt;1,E5975&lt;&gt;""),ABS(D5976-E5975),"")</f>
        <v/>
      </c>
    </row>
    <row r="5977">
      <c r="A5977" t="n">
        <v>5977</v>
      </c>
      <c r="B5977">
        <f>IF(INDEX('Data Entry'!$H$5:$BE$10004,5977-4,'Visual SPC'!$B$3)="",0,IF(AND(OR('Visual SPC'!$C$4="",'Data Entry'!$C5977&gt;='Visual SPC'!$C$4),OR('Visual SPC'!$E$4="",'Data Entry'!$C5977&lt;='Visual SPC'!$E$4),OR('Visual SPC'!$G$4="",'Data Entry'!$D5977='Visual SPC'!$G$4),OR('Visual SPC'!$I$4="",'Data Entry'!$E5977='Visual SPC'!$I$4),OR('Visual SPC'!$K$4="",'Data Entry'!$F5977='Visual SPC'!$K$4)),1,0))</f>
        <v/>
      </c>
      <c r="C5977">
        <f>C5976+B5977</f>
        <v/>
      </c>
      <c r="D5977">
        <f>IF(B5977=1,INDEX('Data Entry'!$H$5:$BE$10004,5977-4,'Visual SPC'!$B$3),"")</f>
        <v/>
      </c>
      <c r="E5977">
        <f>IF(B5977=1,D5977,E5976)</f>
        <v/>
      </c>
      <c r="F5977">
        <f>IF(AND(B5977=1,C5977&gt;1,E5976&lt;&gt;""),ABS(D5977-E5976),"")</f>
        <v/>
      </c>
    </row>
    <row r="5978">
      <c r="A5978" t="n">
        <v>5978</v>
      </c>
      <c r="B5978">
        <f>IF(INDEX('Data Entry'!$H$5:$BE$10004,5978-4,'Visual SPC'!$B$3)="",0,IF(AND(OR('Visual SPC'!$C$4="",'Data Entry'!$C5978&gt;='Visual SPC'!$C$4),OR('Visual SPC'!$E$4="",'Data Entry'!$C5978&lt;='Visual SPC'!$E$4),OR('Visual SPC'!$G$4="",'Data Entry'!$D5978='Visual SPC'!$G$4),OR('Visual SPC'!$I$4="",'Data Entry'!$E5978='Visual SPC'!$I$4),OR('Visual SPC'!$K$4="",'Data Entry'!$F5978='Visual SPC'!$K$4)),1,0))</f>
        <v/>
      </c>
      <c r="C5978">
        <f>C5977+B5978</f>
        <v/>
      </c>
      <c r="D5978">
        <f>IF(B5978=1,INDEX('Data Entry'!$H$5:$BE$10004,5978-4,'Visual SPC'!$B$3),"")</f>
        <v/>
      </c>
      <c r="E5978">
        <f>IF(B5978=1,D5978,E5977)</f>
        <v/>
      </c>
      <c r="F5978">
        <f>IF(AND(B5978=1,C5978&gt;1,E5977&lt;&gt;""),ABS(D5978-E5977),"")</f>
        <v/>
      </c>
    </row>
    <row r="5979">
      <c r="A5979" t="n">
        <v>5979</v>
      </c>
      <c r="B5979">
        <f>IF(INDEX('Data Entry'!$H$5:$BE$10004,5979-4,'Visual SPC'!$B$3)="",0,IF(AND(OR('Visual SPC'!$C$4="",'Data Entry'!$C5979&gt;='Visual SPC'!$C$4),OR('Visual SPC'!$E$4="",'Data Entry'!$C5979&lt;='Visual SPC'!$E$4),OR('Visual SPC'!$G$4="",'Data Entry'!$D5979='Visual SPC'!$G$4),OR('Visual SPC'!$I$4="",'Data Entry'!$E5979='Visual SPC'!$I$4),OR('Visual SPC'!$K$4="",'Data Entry'!$F5979='Visual SPC'!$K$4)),1,0))</f>
        <v/>
      </c>
      <c r="C5979">
        <f>C5978+B5979</f>
        <v/>
      </c>
      <c r="D5979">
        <f>IF(B5979=1,INDEX('Data Entry'!$H$5:$BE$10004,5979-4,'Visual SPC'!$B$3),"")</f>
        <v/>
      </c>
      <c r="E5979">
        <f>IF(B5979=1,D5979,E5978)</f>
        <v/>
      </c>
      <c r="F5979">
        <f>IF(AND(B5979=1,C5979&gt;1,E5978&lt;&gt;""),ABS(D5979-E5978),"")</f>
        <v/>
      </c>
    </row>
    <row r="5980">
      <c r="A5980" t="n">
        <v>5980</v>
      </c>
      <c r="B5980">
        <f>IF(INDEX('Data Entry'!$H$5:$BE$10004,5980-4,'Visual SPC'!$B$3)="",0,IF(AND(OR('Visual SPC'!$C$4="",'Data Entry'!$C5980&gt;='Visual SPC'!$C$4),OR('Visual SPC'!$E$4="",'Data Entry'!$C5980&lt;='Visual SPC'!$E$4),OR('Visual SPC'!$G$4="",'Data Entry'!$D5980='Visual SPC'!$G$4),OR('Visual SPC'!$I$4="",'Data Entry'!$E5980='Visual SPC'!$I$4),OR('Visual SPC'!$K$4="",'Data Entry'!$F5980='Visual SPC'!$K$4)),1,0))</f>
        <v/>
      </c>
      <c r="C5980">
        <f>C5979+B5980</f>
        <v/>
      </c>
      <c r="D5980">
        <f>IF(B5980=1,INDEX('Data Entry'!$H$5:$BE$10004,5980-4,'Visual SPC'!$B$3),"")</f>
        <v/>
      </c>
      <c r="E5980">
        <f>IF(B5980=1,D5980,E5979)</f>
        <v/>
      </c>
      <c r="F5980">
        <f>IF(AND(B5980=1,C5980&gt;1,E5979&lt;&gt;""),ABS(D5980-E5979),"")</f>
        <v/>
      </c>
    </row>
    <row r="5981">
      <c r="A5981" t="n">
        <v>5981</v>
      </c>
      <c r="B5981">
        <f>IF(INDEX('Data Entry'!$H$5:$BE$10004,5981-4,'Visual SPC'!$B$3)="",0,IF(AND(OR('Visual SPC'!$C$4="",'Data Entry'!$C5981&gt;='Visual SPC'!$C$4),OR('Visual SPC'!$E$4="",'Data Entry'!$C5981&lt;='Visual SPC'!$E$4),OR('Visual SPC'!$G$4="",'Data Entry'!$D5981='Visual SPC'!$G$4),OR('Visual SPC'!$I$4="",'Data Entry'!$E5981='Visual SPC'!$I$4),OR('Visual SPC'!$K$4="",'Data Entry'!$F5981='Visual SPC'!$K$4)),1,0))</f>
        <v/>
      </c>
      <c r="C5981">
        <f>C5980+B5981</f>
        <v/>
      </c>
      <c r="D5981">
        <f>IF(B5981=1,INDEX('Data Entry'!$H$5:$BE$10004,5981-4,'Visual SPC'!$B$3),"")</f>
        <v/>
      </c>
      <c r="E5981">
        <f>IF(B5981=1,D5981,E5980)</f>
        <v/>
      </c>
      <c r="F5981">
        <f>IF(AND(B5981=1,C5981&gt;1,E5980&lt;&gt;""),ABS(D5981-E5980),"")</f>
        <v/>
      </c>
    </row>
    <row r="5982">
      <c r="A5982" t="n">
        <v>5982</v>
      </c>
      <c r="B5982">
        <f>IF(INDEX('Data Entry'!$H$5:$BE$10004,5982-4,'Visual SPC'!$B$3)="",0,IF(AND(OR('Visual SPC'!$C$4="",'Data Entry'!$C5982&gt;='Visual SPC'!$C$4),OR('Visual SPC'!$E$4="",'Data Entry'!$C5982&lt;='Visual SPC'!$E$4),OR('Visual SPC'!$G$4="",'Data Entry'!$D5982='Visual SPC'!$G$4),OR('Visual SPC'!$I$4="",'Data Entry'!$E5982='Visual SPC'!$I$4),OR('Visual SPC'!$K$4="",'Data Entry'!$F5982='Visual SPC'!$K$4)),1,0))</f>
        <v/>
      </c>
      <c r="C5982">
        <f>C5981+B5982</f>
        <v/>
      </c>
      <c r="D5982">
        <f>IF(B5982=1,INDEX('Data Entry'!$H$5:$BE$10004,5982-4,'Visual SPC'!$B$3),"")</f>
        <v/>
      </c>
      <c r="E5982">
        <f>IF(B5982=1,D5982,E5981)</f>
        <v/>
      </c>
      <c r="F5982">
        <f>IF(AND(B5982=1,C5982&gt;1,E5981&lt;&gt;""),ABS(D5982-E5981),"")</f>
        <v/>
      </c>
    </row>
    <row r="5983">
      <c r="A5983" t="n">
        <v>5983</v>
      </c>
      <c r="B5983">
        <f>IF(INDEX('Data Entry'!$H$5:$BE$10004,5983-4,'Visual SPC'!$B$3)="",0,IF(AND(OR('Visual SPC'!$C$4="",'Data Entry'!$C5983&gt;='Visual SPC'!$C$4),OR('Visual SPC'!$E$4="",'Data Entry'!$C5983&lt;='Visual SPC'!$E$4),OR('Visual SPC'!$G$4="",'Data Entry'!$D5983='Visual SPC'!$G$4),OR('Visual SPC'!$I$4="",'Data Entry'!$E5983='Visual SPC'!$I$4),OR('Visual SPC'!$K$4="",'Data Entry'!$F5983='Visual SPC'!$K$4)),1,0))</f>
        <v/>
      </c>
      <c r="C5983">
        <f>C5982+B5983</f>
        <v/>
      </c>
      <c r="D5983">
        <f>IF(B5983=1,INDEX('Data Entry'!$H$5:$BE$10004,5983-4,'Visual SPC'!$B$3),"")</f>
        <v/>
      </c>
      <c r="E5983">
        <f>IF(B5983=1,D5983,E5982)</f>
        <v/>
      </c>
      <c r="F5983">
        <f>IF(AND(B5983=1,C5983&gt;1,E5982&lt;&gt;""),ABS(D5983-E5982),"")</f>
        <v/>
      </c>
    </row>
    <row r="5984">
      <c r="A5984" t="n">
        <v>5984</v>
      </c>
      <c r="B5984">
        <f>IF(INDEX('Data Entry'!$H$5:$BE$10004,5984-4,'Visual SPC'!$B$3)="",0,IF(AND(OR('Visual SPC'!$C$4="",'Data Entry'!$C5984&gt;='Visual SPC'!$C$4),OR('Visual SPC'!$E$4="",'Data Entry'!$C5984&lt;='Visual SPC'!$E$4),OR('Visual SPC'!$G$4="",'Data Entry'!$D5984='Visual SPC'!$G$4),OR('Visual SPC'!$I$4="",'Data Entry'!$E5984='Visual SPC'!$I$4),OR('Visual SPC'!$K$4="",'Data Entry'!$F5984='Visual SPC'!$K$4)),1,0))</f>
        <v/>
      </c>
      <c r="C5984">
        <f>C5983+B5984</f>
        <v/>
      </c>
      <c r="D5984">
        <f>IF(B5984=1,INDEX('Data Entry'!$H$5:$BE$10004,5984-4,'Visual SPC'!$B$3),"")</f>
        <v/>
      </c>
      <c r="E5984">
        <f>IF(B5984=1,D5984,E5983)</f>
        <v/>
      </c>
      <c r="F5984">
        <f>IF(AND(B5984=1,C5984&gt;1,E5983&lt;&gt;""),ABS(D5984-E5983),"")</f>
        <v/>
      </c>
    </row>
    <row r="5985">
      <c r="A5985" t="n">
        <v>5985</v>
      </c>
      <c r="B5985">
        <f>IF(INDEX('Data Entry'!$H$5:$BE$10004,5985-4,'Visual SPC'!$B$3)="",0,IF(AND(OR('Visual SPC'!$C$4="",'Data Entry'!$C5985&gt;='Visual SPC'!$C$4),OR('Visual SPC'!$E$4="",'Data Entry'!$C5985&lt;='Visual SPC'!$E$4),OR('Visual SPC'!$G$4="",'Data Entry'!$D5985='Visual SPC'!$G$4),OR('Visual SPC'!$I$4="",'Data Entry'!$E5985='Visual SPC'!$I$4),OR('Visual SPC'!$K$4="",'Data Entry'!$F5985='Visual SPC'!$K$4)),1,0))</f>
        <v/>
      </c>
      <c r="C5985">
        <f>C5984+B5985</f>
        <v/>
      </c>
      <c r="D5985">
        <f>IF(B5985=1,INDEX('Data Entry'!$H$5:$BE$10004,5985-4,'Visual SPC'!$B$3),"")</f>
        <v/>
      </c>
      <c r="E5985">
        <f>IF(B5985=1,D5985,E5984)</f>
        <v/>
      </c>
      <c r="F5985">
        <f>IF(AND(B5985=1,C5985&gt;1,E5984&lt;&gt;""),ABS(D5985-E5984),"")</f>
        <v/>
      </c>
    </row>
    <row r="5986">
      <c r="A5986" t="n">
        <v>5986</v>
      </c>
      <c r="B5986">
        <f>IF(INDEX('Data Entry'!$H$5:$BE$10004,5986-4,'Visual SPC'!$B$3)="",0,IF(AND(OR('Visual SPC'!$C$4="",'Data Entry'!$C5986&gt;='Visual SPC'!$C$4),OR('Visual SPC'!$E$4="",'Data Entry'!$C5986&lt;='Visual SPC'!$E$4),OR('Visual SPC'!$G$4="",'Data Entry'!$D5986='Visual SPC'!$G$4),OR('Visual SPC'!$I$4="",'Data Entry'!$E5986='Visual SPC'!$I$4),OR('Visual SPC'!$K$4="",'Data Entry'!$F5986='Visual SPC'!$K$4)),1,0))</f>
        <v/>
      </c>
      <c r="C5986">
        <f>C5985+B5986</f>
        <v/>
      </c>
      <c r="D5986">
        <f>IF(B5986=1,INDEX('Data Entry'!$H$5:$BE$10004,5986-4,'Visual SPC'!$B$3),"")</f>
        <v/>
      </c>
      <c r="E5986">
        <f>IF(B5986=1,D5986,E5985)</f>
        <v/>
      </c>
      <c r="F5986">
        <f>IF(AND(B5986=1,C5986&gt;1,E5985&lt;&gt;""),ABS(D5986-E5985),"")</f>
        <v/>
      </c>
    </row>
    <row r="5987">
      <c r="A5987" t="n">
        <v>5987</v>
      </c>
      <c r="B5987">
        <f>IF(INDEX('Data Entry'!$H$5:$BE$10004,5987-4,'Visual SPC'!$B$3)="",0,IF(AND(OR('Visual SPC'!$C$4="",'Data Entry'!$C5987&gt;='Visual SPC'!$C$4),OR('Visual SPC'!$E$4="",'Data Entry'!$C5987&lt;='Visual SPC'!$E$4),OR('Visual SPC'!$G$4="",'Data Entry'!$D5987='Visual SPC'!$G$4),OR('Visual SPC'!$I$4="",'Data Entry'!$E5987='Visual SPC'!$I$4),OR('Visual SPC'!$K$4="",'Data Entry'!$F5987='Visual SPC'!$K$4)),1,0))</f>
        <v/>
      </c>
      <c r="C5987">
        <f>C5986+B5987</f>
        <v/>
      </c>
      <c r="D5987">
        <f>IF(B5987=1,INDEX('Data Entry'!$H$5:$BE$10004,5987-4,'Visual SPC'!$B$3),"")</f>
        <v/>
      </c>
      <c r="E5987">
        <f>IF(B5987=1,D5987,E5986)</f>
        <v/>
      </c>
      <c r="F5987">
        <f>IF(AND(B5987=1,C5987&gt;1,E5986&lt;&gt;""),ABS(D5987-E5986),"")</f>
        <v/>
      </c>
    </row>
    <row r="5988">
      <c r="A5988" t="n">
        <v>5988</v>
      </c>
      <c r="B5988">
        <f>IF(INDEX('Data Entry'!$H$5:$BE$10004,5988-4,'Visual SPC'!$B$3)="",0,IF(AND(OR('Visual SPC'!$C$4="",'Data Entry'!$C5988&gt;='Visual SPC'!$C$4),OR('Visual SPC'!$E$4="",'Data Entry'!$C5988&lt;='Visual SPC'!$E$4),OR('Visual SPC'!$G$4="",'Data Entry'!$D5988='Visual SPC'!$G$4),OR('Visual SPC'!$I$4="",'Data Entry'!$E5988='Visual SPC'!$I$4),OR('Visual SPC'!$K$4="",'Data Entry'!$F5988='Visual SPC'!$K$4)),1,0))</f>
        <v/>
      </c>
      <c r="C5988">
        <f>C5987+B5988</f>
        <v/>
      </c>
      <c r="D5988">
        <f>IF(B5988=1,INDEX('Data Entry'!$H$5:$BE$10004,5988-4,'Visual SPC'!$B$3),"")</f>
        <v/>
      </c>
      <c r="E5988">
        <f>IF(B5988=1,D5988,E5987)</f>
        <v/>
      </c>
      <c r="F5988">
        <f>IF(AND(B5988=1,C5988&gt;1,E5987&lt;&gt;""),ABS(D5988-E5987),"")</f>
        <v/>
      </c>
    </row>
    <row r="5989">
      <c r="A5989" t="n">
        <v>5989</v>
      </c>
      <c r="B5989">
        <f>IF(INDEX('Data Entry'!$H$5:$BE$10004,5989-4,'Visual SPC'!$B$3)="",0,IF(AND(OR('Visual SPC'!$C$4="",'Data Entry'!$C5989&gt;='Visual SPC'!$C$4),OR('Visual SPC'!$E$4="",'Data Entry'!$C5989&lt;='Visual SPC'!$E$4),OR('Visual SPC'!$G$4="",'Data Entry'!$D5989='Visual SPC'!$G$4),OR('Visual SPC'!$I$4="",'Data Entry'!$E5989='Visual SPC'!$I$4),OR('Visual SPC'!$K$4="",'Data Entry'!$F5989='Visual SPC'!$K$4)),1,0))</f>
        <v/>
      </c>
      <c r="C5989">
        <f>C5988+B5989</f>
        <v/>
      </c>
      <c r="D5989">
        <f>IF(B5989=1,INDEX('Data Entry'!$H$5:$BE$10004,5989-4,'Visual SPC'!$B$3),"")</f>
        <v/>
      </c>
      <c r="E5989">
        <f>IF(B5989=1,D5989,E5988)</f>
        <v/>
      </c>
      <c r="F5989">
        <f>IF(AND(B5989=1,C5989&gt;1,E5988&lt;&gt;""),ABS(D5989-E5988),"")</f>
        <v/>
      </c>
    </row>
    <row r="5990">
      <c r="A5990" t="n">
        <v>5990</v>
      </c>
      <c r="B5990">
        <f>IF(INDEX('Data Entry'!$H$5:$BE$10004,5990-4,'Visual SPC'!$B$3)="",0,IF(AND(OR('Visual SPC'!$C$4="",'Data Entry'!$C5990&gt;='Visual SPC'!$C$4),OR('Visual SPC'!$E$4="",'Data Entry'!$C5990&lt;='Visual SPC'!$E$4),OR('Visual SPC'!$G$4="",'Data Entry'!$D5990='Visual SPC'!$G$4),OR('Visual SPC'!$I$4="",'Data Entry'!$E5990='Visual SPC'!$I$4),OR('Visual SPC'!$K$4="",'Data Entry'!$F5990='Visual SPC'!$K$4)),1,0))</f>
        <v/>
      </c>
      <c r="C5990">
        <f>C5989+B5990</f>
        <v/>
      </c>
      <c r="D5990">
        <f>IF(B5990=1,INDEX('Data Entry'!$H$5:$BE$10004,5990-4,'Visual SPC'!$B$3),"")</f>
        <v/>
      </c>
      <c r="E5990">
        <f>IF(B5990=1,D5990,E5989)</f>
        <v/>
      </c>
      <c r="F5990">
        <f>IF(AND(B5990=1,C5990&gt;1,E5989&lt;&gt;""),ABS(D5990-E5989),"")</f>
        <v/>
      </c>
    </row>
    <row r="5991">
      <c r="A5991" t="n">
        <v>5991</v>
      </c>
      <c r="B5991">
        <f>IF(INDEX('Data Entry'!$H$5:$BE$10004,5991-4,'Visual SPC'!$B$3)="",0,IF(AND(OR('Visual SPC'!$C$4="",'Data Entry'!$C5991&gt;='Visual SPC'!$C$4),OR('Visual SPC'!$E$4="",'Data Entry'!$C5991&lt;='Visual SPC'!$E$4),OR('Visual SPC'!$G$4="",'Data Entry'!$D5991='Visual SPC'!$G$4),OR('Visual SPC'!$I$4="",'Data Entry'!$E5991='Visual SPC'!$I$4),OR('Visual SPC'!$K$4="",'Data Entry'!$F5991='Visual SPC'!$K$4)),1,0))</f>
        <v/>
      </c>
      <c r="C5991">
        <f>C5990+B5991</f>
        <v/>
      </c>
      <c r="D5991">
        <f>IF(B5991=1,INDEX('Data Entry'!$H$5:$BE$10004,5991-4,'Visual SPC'!$B$3),"")</f>
        <v/>
      </c>
      <c r="E5991">
        <f>IF(B5991=1,D5991,E5990)</f>
        <v/>
      </c>
      <c r="F5991">
        <f>IF(AND(B5991=1,C5991&gt;1,E5990&lt;&gt;""),ABS(D5991-E5990),"")</f>
        <v/>
      </c>
    </row>
    <row r="5992">
      <c r="A5992" t="n">
        <v>5992</v>
      </c>
      <c r="B5992">
        <f>IF(INDEX('Data Entry'!$H$5:$BE$10004,5992-4,'Visual SPC'!$B$3)="",0,IF(AND(OR('Visual SPC'!$C$4="",'Data Entry'!$C5992&gt;='Visual SPC'!$C$4),OR('Visual SPC'!$E$4="",'Data Entry'!$C5992&lt;='Visual SPC'!$E$4),OR('Visual SPC'!$G$4="",'Data Entry'!$D5992='Visual SPC'!$G$4),OR('Visual SPC'!$I$4="",'Data Entry'!$E5992='Visual SPC'!$I$4),OR('Visual SPC'!$K$4="",'Data Entry'!$F5992='Visual SPC'!$K$4)),1,0))</f>
        <v/>
      </c>
      <c r="C5992">
        <f>C5991+B5992</f>
        <v/>
      </c>
      <c r="D5992">
        <f>IF(B5992=1,INDEX('Data Entry'!$H$5:$BE$10004,5992-4,'Visual SPC'!$B$3),"")</f>
        <v/>
      </c>
      <c r="E5992">
        <f>IF(B5992=1,D5992,E5991)</f>
        <v/>
      </c>
      <c r="F5992">
        <f>IF(AND(B5992=1,C5992&gt;1,E5991&lt;&gt;""),ABS(D5992-E5991),"")</f>
        <v/>
      </c>
    </row>
    <row r="5993">
      <c r="A5993" t="n">
        <v>5993</v>
      </c>
      <c r="B5993">
        <f>IF(INDEX('Data Entry'!$H$5:$BE$10004,5993-4,'Visual SPC'!$B$3)="",0,IF(AND(OR('Visual SPC'!$C$4="",'Data Entry'!$C5993&gt;='Visual SPC'!$C$4),OR('Visual SPC'!$E$4="",'Data Entry'!$C5993&lt;='Visual SPC'!$E$4),OR('Visual SPC'!$G$4="",'Data Entry'!$D5993='Visual SPC'!$G$4),OR('Visual SPC'!$I$4="",'Data Entry'!$E5993='Visual SPC'!$I$4),OR('Visual SPC'!$K$4="",'Data Entry'!$F5993='Visual SPC'!$K$4)),1,0))</f>
        <v/>
      </c>
      <c r="C5993">
        <f>C5992+B5993</f>
        <v/>
      </c>
      <c r="D5993">
        <f>IF(B5993=1,INDEX('Data Entry'!$H$5:$BE$10004,5993-4,'Visual SPC'!$B$3),"")</f>
        <v/>
      </c>
      <c r="E5993">
        <f>IF(B5993=1,D5993,E5992)</f>
        <v/>
      </c>
      <c r="F5993">
        <f>IF(AND(B5993=1,C5993&gt;1,E5992&lt;&gt;""),ABS(D5993-E5992),"")</f>
        <v/>
      </c>
    </row>
    <row r="5994">
      <c r="A5994" t="n">
        <v>5994</v>
      </c>
      <c r="B5994">
        <f>IF(INDEX('Data Entry'!$H$5:$BE$10004,5994-4,'Visual SPC'!$B$3)="",0,IF(AND(OR('Visual SPC'!$C$4="",'Data Entry'!$C5994&gt;='Visual SPC'!$C$4),OR('Visual SPC'!$E$4="",'Data Entry'!$C5994&lt;='Visual SPC'!$E$4),OR('Visual SPC'!$G$4="",'Data Entry'!$D5994='Visual SPC'!$G$4),OR('Visual SPC'!$I$4="",'Data Entry'!$E5994='Visual SPC'!$I$4),OR('Visual SPC'!$K$4="",'Data Entry'!$F5994='Visual SPC'!$K$4)),1,0))</f>
        <v/>
      </c>
      <c r="C5994">
        <f>C5993+B5994</f>
        <v/>
      </c>
      <c r="D5994">
        <f>IF(B5994=1,INDEX('Data Entry'!$H$5:$BE$10004,5994-4,'Visual SPC'!$B$3),"")</f>
        <v/>
      </c>
      <c r="E5994">
        <f>IF(B5994=1,D5994,E5993)</f>
        <v/>
      </c>
      <c r="F5994">
        <f>IF(AND(B5994=1,C5994&gt;1,E5993&lt;&gt;""),ABS(D5994-E5993),"")</f>
        <v/>
      </c>
    </row>
    <row r="5995">
      <c r="A5995" t="n">
        <v>5995</v>
      </c>
      <c r="B5995">
        <f>IF(INDEX('Data Entry'!$H$5:$BE$10004,5995-4,'Visual SPC'!$B$3)="",0,IF(AND(OR('Visual SPC'!$C$4="",'Data Entry'!$C5995&gt;='Visual SPC'!$C$4),OR('Visual SPC'!$E$4="",'Data Entry'!$C5995&lt;='Visual SPC'!$E$4),OR('Visual SPC'!$G$4="",'Data Entry'!$D5995='Visual SPC'!$G$4),OR('Visual SPC'!$I$4="",'Data Entry'!$E5995='Visual SPC'!$I$4),OR('Visual SPC'!$K$4="",'Data Entry'!$F5995='Visual SPC'!$K$4)),1,0))</f>
        <v/>
      </c>
      <c r="C5995">
        <f>C5994+B5995</f>
        <v/>
      </c>
      <c r="D5995">
        <f>IF(B5995=1,INDEX('Data Entry'!$H$5:$BE$10004,5995-4,'Visual SPC'!$B$3),"")</f>
        <v/>
      </c>
      <c r="E5995">
        <f>IF(B5995=1,D5995,E5994)</f>
        <v/>
      </c>
      <c r="F5995">
        <f>IF(AND(B5995=1,C5995&gt;1,E5994&lt;&gt;""),ABS(D5995-E5994),"")</f>
        <v/>
      </c>
    </row>
    <row r="5996">
      <c r="A5996" t="n">
        <v>5996</v>
      </c>
      <c r="B5996">
        <f>IF(INDEX('Data Entry'!$H$5:$BE$10004,5996-4,'Visual SPC'!$B$3)="",0,IF(AND(OR('Visual SPC'!$C$4="",'Data Entry'!$C5996&gt;='Visual SPC'!$C$4),OR('Visual SPC'!$E$4="",'Data Entry'!$C5996&lt;='Visual SPC'!$E$4),OR('Visual SPC'!$G$4="",'Data Entry'!$D5996='Visual SPC'!$G$4),OR('Visual SPC'!$I$4="",'Data Entry'!$E5996='Visual SPC'!$I$4),OR('Visual SPC'!$K$4="",'Data Entry'!$F5996='Visual SPC'!$K$4)),1,0))</f>
        <v/>
      </c>
      <c r="C5996">
        <f>C5995+B5996</f>
        <v/>
      </c>
      <c r="D5996">
        <f>IF(B5996=1,INDEX('Data Entry'!$H$5:$BE$10004,5996-4,'Visual SPC'!$B$3),"")</f>
        <v/>
      </c>
      <c r="E5996">
        <f>IF(B5996=1,D5996,E5995)</f>
        <v/>
      </c>
      <c r="F5996">
        <f>IF(AND(B5996=1,C5996&gt;1,E5995&lt;&gt;""),ABS(D5996-E5995),"")</f>
        <v/>
      </c>
    </row>
    <row r="5997">
      <c r="A5997" t="n">
        <v>5997</v>
      </c>
      <c r="B5997">
        <f>IF(INDEX('Data Entry'!$H$5:$BE$10004,5997-4,'Visual SPC'!$B$3)="",0,IF(AND(OR('Visual SPC'!$C$4="",'Data Entry'!$C5997&gt;='Visual SPC'!$C$4),OR('Visual SPC'!$E$4="",'Data Entry'!$C5997&lt;='Visual SPC'!$E$4),OR('Visual SPC'!$G$4="",'Data Entry'!$D5997='Visual SPC'!$G$4),OR('Visual SPC'!$I$4="",'Data Entry'!$E5997='Visual SPC'!$I$4),OR('Visual SPC'!$K$4="",'Data Entry'!$F5997='Visual SPC'!$K$4)),1,0))</f>
        <v/>
      </c>
      <c r="C5997">
        <f>C5996+B5997</f>
        <v/>
      </c>
      <c r="D5997">
        <f>IF(B5997=1,INDEX('Data Entry'!$H$5:$BE$10004,5997-4,'Visual SPC'!$B$3),"")</f>
        <v/>
      </c>
      <c r="E5997">
        <f>IF(B5997=1,D5997,E5996)</f>
        <v/>
      </c>
      <c r="F5997">
        <f>IF(AND(B5997=1,C5997&gt;1,E5996&lt;&gt;""),ABS(D5997-E5996),"")</f>
        <v/>
      </c>
    </row>
    <row r="5998">
      <c r="A5998" t="n">
        <v>5998</v>
      </c>
      <c r="B5998">
        <f>IF(INDEX('Data Entry'!$H$5:$BE$10004,5998-4,'Visual SPC'!$B$3)="",0,IF(AND(OR('Visual SPC'!$C$4="",'Data Entry'!$C5998&gt;='Visual SPC'!$C$4),OR('Visual SPC'!$E$4="",'Data Entry'!$C5998&lt;='Visual SPC'!$E$4),OR('Visual SPC'!$G$4="",'Data Entry'!$D5998='Visual SPC'!$G$4),OR('Visual SPC'!$I$4="",'Data Entry'!$E5998='Visual SPC'!$I$4),OR('Visual SPC'!$K$4="",'Data Entry'!$F5998='Visual SPC'!$K$4)),1,0))</f>
        <v/>
      </c>
      <c r="C5998">
        <f>C5997+B5998</f>
        <v/>
      </c>
      <c r="D5998">
        <f>IF(B5998=1,INDEX('Data Entry'!$H$5:$BE$10004,5998-4,'Visual SPC'!$B$3),"")</f>
        <v/>
      </c>
      <c r="E5998">
        <f>IF(B5998=1,D5998,E5997)</f>
        <v/>
      </c>
      <c r="F5998">
        <f>IF(AND(B5998=1,C5998&gt;1,E5997&lt;&gt;""),ABS(D5998-E5997),"")</f>
        <v/>
      </c>
    </row>
    <row r="5999">
      <c r="A5999" t="n">
        <v>5999</v>
      </c>
      <c r="B5999">
        <f>IF(INDEX('Data Entry'!$H$5:$BE$10004,5999-4,'Visual SPC'!$B$3)="",0,IF(AND(OR('Visual SPC'!$C$4="",'Data Entry'!$C5999&gt;='Visual SPC'!$C$4),OR('Visual SPC'!$E$4="",'Data Entry'!$C5999&lt;='Visual SPC'!$E$4),OR('Visual SPC'!$G$4="",'Data Entry'!$D5999='Visual SPC'!$G$4),OR('Visual SPC'!$I$4="",'Data Entry'!$E5999='Visual SPC'!$I$4),OR('Visual SPC'!$K$4="",'Data Entry'!$F5999='Visual SPC'!$K$4)),1,0))</f>
        <v/>
      </c>
      <c r="C5999">
        <f>C5998+B5999</f>
        <v/>
      </c>
      <c r="D5999">
        <f>IF(B5999=1,INDEX('Data Entry'!$H$5:$BE$10004,5999-4,'Visual SPC'!$B$3),"")</f>
        <v/>
      </c>
      <c r="E5999">
        <f>IF(B5999=1,D5999,E5998)</f>
        <v/>
      </c>
      <c r="F5999">
        <f>IF(AND(B5999=1,C5999&gt;1,E5998&lt;&gt;""),ABS(D5999-E5998),"")</f>
        <v/>
      </c>
    </row>
    <row r="6000">
      <c r="A6000" t="n">
        <v>6000</v>
      </c>
      <c r="B6000">
        <f>IF(INDEX('Data Entry'!$H$5:$BE$10004,6000-4,'Visual SPC'!$B$3)="",0,IF(AND(OR('Visual SPC'!$C$4="",'Data Entry'!$C6000&gt;='Visual SPC'!$C$4),OR('Visual SPC'!$E$4="",'Data Entry'!$C6000&lt;='Visual SPC'!$E$4),OR('Visual SPC'!$G$4="",'Data Entry'!$D6000='Visual SPC'!$G$4),OR('Visual SPC'!$I$4="",'Data Entry'!$E6000='Visual SPC'!$I$4),OR('Visual SPC'!$K$4="",'Data Entry'!$F6000='Visual SPC'!$K$4)),1,0))</f>
        <v/>
      </c>
      <c r="C6000">
        <f>C5999+B6000</f>
        <v/>
      </c>
      <c r="D6000">
        <f>IF(B6000=1,INDEX('Data Entry'!$H$5:$BE$10004,6000-4,'Visual SPC'!$B$3),"")</f>
        <v/>
      </c>
      <c r="E6000">
        <f>IF(B6000=1,D6000,E5999)</f>
        <v/>
      </c>
      <c r="F6000">
        <f>IF(AND(B6000=1,C6000&gt;1,E5999&lt;&gt;""),ABS(D6000-E5999),"")</f>
        <v/>
      </c>
    </row>
    <row r="6001">
      <c r="A6001" t="n">
        <v>6001</v>
      </c>
      <c r="B6001">
        <f>IF(INDEX('Data Entry'!$H$5:$BE$10004,6001-4,'Visual SPC'!$B$3)="",0,IF(AND(OR('Visual SPC'!$C$4="",'Data Entry'!$C6001&gt;='Visual SPC'!$C$4),OR('Visual SPC'!$E$4="",'Data Entry'!$C6001&lt;='Visual SPC'!$E$4),OR('Visual SPC'!$G$4="",'Data Entry'!$D6001='Visual SPC'!$G$4),OR('Visual SPC'!$I$4="",'Data Entry'!$E6001='Visual SPC'!$I$4),OR('Visual SPC'!$K$4="",'Data Entry'!$F6001='Visual SPC'!$K$4)),1,0))</f>
        <v/>
      </c>
      <c r="C6001">
        <f>C6000+B6001</f>
        <v/>
      </c>
      <c r="D6001">
        <f>IF(B6001=1,INDEX('Data Entry'!$H$5:$BE$10004,6001-4,'Visual SPC'!$B$3),"")</f>
        <v/>
      </c>
      <c r="E6001">
        <f>IF(B6001=1,D6001,E6000)</f>
        <v/>
      </c>
      <c r="F6001">
        <f>IF(AND(B6001=1,C6001&gt;1,E6000&lt;&gt;""),ABS(D6001-E6000),"")</f>
        <v/>
      </c>
    </row>
    <row r="6002">
      <c r="A6002" t="n">
        <v>6002</v>
      </c>
      <c r="B6002">
        <f>IF(INDEX('Data Entry'!$H$5:$BE$10004,6002-4,'Visual SPC'!$B$3)="",0,IF(AND(OR('Visual SPC'!$C$4="",'Data Entry'!$C6002&gt;='Visual SPC'!$C$4),OR('Visual SPC'!$E$4="",'Data Entry'!$C6002&lt;='Visual SPC'!$E$4),OR('Visual SPC'!$G$4="",'Data Entry'!$D6002='Visual SPC'!$G$4),OR('Visual SPC'!$I$4="",'Data Entry'!$E6002='Visual SPC'!$I$4),OR('Visual SPC'!$K$4="",'Data Entry'!$F6002='Visual SPC'!$K$4)),1,0))</f>
        <v/>
      </c>
      <c r="C6002">
        <f>C6001+B6002</f>
        <v/>
      </c>
      <c r="D6002">
        <f>IF(B6002=1,INDEX('Data Entry'!$H$5:$BE$10004,6002-4,'Visual SPC'!$B$3),"")</f>
        <v/>
      </c>
      <c r="E6002">
        <f>IF(B6002=1,D6002,E6001)</f>
        <v/>
      </c>
      <c r="F6002">
        <f>IF(AND(B6002=1,C6002&gt;1,E6001&lt;&gt;""),ABS(D6002-E6001),"")</f>
        <v/>
      </c>
    </row>
    <row r="6003">
      <c r="A6003" t="n">
        <v>6003</v>
      </c>
      <c r="B6003">
        <f>IF(INDEX('Data Entry'!$H$5:$BE$10004,6003-4,'Visual SPC'!$B$3)="",0,IF(AND(OR('Visual SPC'!$C$4="",'Data Entry'!$C6003&gt;='Visual SPC'!$C$4),OR('Visual SPC'!$E$4="",'Data Entry'!$C6003&lt;='Visual SPC'!$E$4),OR('Visual SPC'!$G$4="",'Data Entry'!$D6003='Visual SPC'!$G$4),OR('Visual SPC'!$I$4="",'Data Entry'!$E6003='Visual SPC'!$I$4),OR('Visual SPC'!$K$4="",'Data Entry'!$F6003='Visual SPC'!$K$4)),1,0))</f>
        <v/>
      </c>
      <c r="C6003">
        <f>C6002+B6003</f>
        <v/>
      </c>
      <c r="D6003">
        <f>IF(B6003=1,INDEX('Data Entry'!$H$5:$BE$10004,6003-4,'Visual SPC'!$B$3),"")</f>
        <v/>
      </c>
      <c r="E6003">
        <f>IF(B6003=1,D6003,E6002)</f>
        <v/>
      </c>
      <c r="F6003">
        <f>IF(AND(B6003=1,C6003&gt;1,E6002&lt;&gt;""),ABS(D6003-E6002),"")</f>
        <v/>
      </c>
    </row>
    <row r="6004">
      <c r="A6004" t="n">
        <v>6004</v>
      </c>
      <c r="B6004">
        <f>IF(INDEX('Data Entry'!$H$5:$BE$10004,6004-4,'Visual SPC'!$B$3)="",0,IF(AND(OR('Visual SPC'!$C$4="",'Data Entry'!$C6004&gt;='Visual SPC'!$C$4),OR('Visual SPC'!$E$4="",'Data Entry'!$C6004&lt;='Visual SPC'!$E$4),OR('Visual SPC'!$G$4="",'Data Entry'!$D6004='Visual SPC'!$G$4),OR('Visual SPC'!$I$4="",'Data Entry'!$E6004='Visual SPC'!$I$4),OR('Visual SPC'!$K$4="",'Data Entry'!$F6004='Visual SPC'!$K$4)),1,0))</f>
        <v/>
      </c>
      <c r="C6004">
        <f>C6003+B6004</f>
        <v/>
      </c>
      <c r="D6004">
        <f>IF(B6004=1,INDEX('Data Entry'!$H$5:$BE$10004,6004-4,'Visual SPC'!$B$3),"")</f>
        <v/>
      </c>
      <c r="E6004">
        <f>IF(B6004=1,D6004,E6003)</f>
        <v/>
      </c>
      <c r="F6004">
        <f>IF(AND(B6004=1,C6004&gt;1,E6003&lt;&gt;""),ABS(D6004-E6003),"")</f>
        <v/>
      </c>
    </row>
    <row r="6005">
      <c r="A6005" t="n">
        <v>6005</v>
      </c>
      <c r="B6005">
        <f>IF(INDEX('Data Entry'!$H$5:$BE$10004,6005-4,'Visual SPC'!$B$3)="",0,IF(AND(OR('Visual SPC'!$C$4="",'Data Entry'!$C6005&gt;='Visual SPC'!$C$4),OR('Visual SPC'!$E$4="",'Data Entry'!$C6005&lt;='Visual SPC'!$E$4),OR('Visual SPC'!$G$4="",'Data Entry'!$D6005='Visual SPC'!$G$4),OR('Visual SPC'!$I$4="",'Data Entry'!$E6005='Visual SPC'!$I$4),OR('Visual SPC'!$K$4="",'Data Entry'!$F6005='Visual SPC'!$K$4)),1,0))</f>
        <v/>
      </c>
      <c r="C6005">
        <f>C6004+B6005</f>
        <v/>
      </c>
      <c r="D6005">
        <f>IF(B6005=1,INDEX('Data Entry'!$H$5:$BE$10004,6005-4,'Visual SPC'!$B$3),"")</f>
        <v/>
      </c>
      <c r="E6005">
        <f>IF(B6005=1,D6005,E6004)</f>
        <v/>
      </c>
      <c r="F6005">
        <f>IF(AND(B6005=1,C6005&gt;1,E6004&lt;&gt;""),ABS(D6005-E6004),"")</f>
        <v/>
      </c>
    </row>
    <row r="6006">
      <c r="A6006" t="n">
        <v>6006</v>
      </c>
      <c r="B6006">
        <f>IF(INDEX('Data Entry'!$H$5:$BE$10004,6006-4,'Visual SPC'!$B$3)="",0,IF(AND(OR('Visual SPC'!$C$4="",'Data Entry'!$C6006&gt;='Visual SPC'!$C$4),OR('Visual SPC'!$E$4="",'Data Entry'!$C6006&lt;='Visual SPC'!$E$4),OR('Visual SPC'!$G$4="",'Data Entry'!$D6006='Visual SPC'!$G$4),OR('Visual SPC'!$I$4="",'Data Entry'!$E6006='Visual SPC'!$I$4),OR('Visual SPC'!$K$4="",'Data Entry'!$F6006='Visual SPC'!$K$4)),1,0))</f>
        <v/>
      </c>
      <c r="C6006">
        <f>C6005+B6006</f>
        <v/>
      </c>
      <c r="D6006">
        <f>IF(B6006=1,INDEX('Data Entry'!$H$5:$BE$10004,6006-4,'Visual SPC'!$B$3),"")</f>
        <v/>
      </c>
      <c r="E6006">
        <f>IF(B6006=1,D6006,E6005)</f>
        <v/>
      </c>
      <c r="F6006">
        <f>IF(AND(B6006=1,C6006&gt;1,E6005&lt;&gt;""),ABS(D6006-E6005),"")</f>
        <v/>
      </c>
    </row>
    <row r="6007">
      <c r="A6007" t="n">
        <v>6007</v>
      </c>
      <c r="B6007">
        <f>IF(INDEX('Data Entry'!$H$5:$BE$10004,6007-4,'Visual SPC'!$B$3)="",0,IF(AND(OR('Visual SPC'!$C$4="",'Data Entry'!$C6007&gt;='Visual SPC'!$C$4),OR('Visual SPC'!$E$4="",'Data Entry'!$C6007&lt;='Visual SPC'!$E$4),OR('Visual SPC'!$G$4="",'Data Entry'!$D6007='Visual SPC'!$G$4),OR('Visual SPC'!$I$4="",'Data Entry'!$E6007='Visual SPC'!$I$4),OR('Visual SPC'!$K$4="",'Data Entry'!$F6007='Visual SPC'!$K$4)),1,0))</f>
        <v/>
      </c>
      <c r="C6007">
        <f>C6006+B6007</f>
        <v/>
      </c>
      <c r="D6007">
        <f>IF(B6007=1,INDEX('Data Entry'!$H$5:$BE$10004,6007-4,'Visual SPC'!$B$3),"")</f>
        <v/>
      </c>
      <c r="E6007">
        <f>IF(B6007=1,D6007,E6006)</f>
        <v/>
      </c>
      <c r="F6007">
        <f>IF(AND(B6007=1,C6007&gt;1,E6006&lt;&gt;""),ABS(D6007-E6006),"")</f>
        <v/>
      </c>
    </row>
    <row r="6008">
      <c r="A6008" t="n">
        <v>6008</v>
      </c>
      <c r="B6008">
        <f>IF(INDEX('Data Entry'!$H$5:$BE$10004,6008-4,'Visual SPC'!$B$3)="",0,IF(AND(OR('Visual SPC'!$C$4="",'Data Entry'!$C6008&gt;='Visual SPC'!$C$4),OR('Visual SPC'!$E$4="",'Data Entry'!$C6008&lt;='Visual SPC'!$E$4),OR('Visual SPC'!$G$4="",'Data Entry'!$D6008='Visual SPC'!$G$4),OR('Visual SPC'!$I$4="",'Data Entry'!$E6008='Visual SPC'!$I$4),OR('Visual SPC'!$K$4="",'Data Entry'!$F6008='Visual SPC'!$K$4)),1,0))</f>
        <v/>
      </c>
      <c r="C6008">
        <f>C6007+B6008</f>
        <v/>
      </c>
      <c r="D6008">
        <f>IF(B6008=1,INDEX('Data Entry'!$H$5:$BE$10004,6008-4,'Visual SPC'!$B$3),"")</f>
        <v/>
      </c>
      <c r="E6008">
        <f>IF(B6008=1,D6008,E6007)</f>
        <v/>
      </c>
      <c r="F6008">
        <f>IF(AND(B6008=1,C6008&gt;1,E6007&lt;&gt;""),ABS(D6008-E6007),"")</f>
        <v/>
      </c>
    </row>
    <row r="6009">
      <c r="A6009" t="n">
        <v>6009</v>
      </c>
      <c r="B6009">
        <f>IF(INDEX('Data Entry'!$H$5:$BE$10004,6009-4,'Visual SPC'!$B$3)="",0,IF(AND(OR('Visual SPC'!$C$4="",'Data Entry'!$C6009&gt;='Visual SPC'!$C$4),OR('Visual SPC'!$E$4="",'Data Entry'!$C6009&lt;='Visual SPC'!$E$4),OR('Visual SPC'!$G$4="",'Data Entry'!$D6009='Visual SPC'!$G$4),OR('Visual SPC'!$I$4="",'Data Entry'!$E6009='Visual SPC'!$I$4),OR('Visual SPC'!$K$4="",'Data Entry'!$F6009='Visual SPC'!$K$4)),1,0))</f>
        <v/>
      </c>
      <c r="C6009">
        <f>C6008+B6009</f>
        <v/>
      </c>
      <c r="D6009">
        <f>IF(B6009=1,INDEX('Data Entry'!$H$5:$BE$10004,6009-4,'Visual SPC'!$B$3),"")</f>
        <v/>
      </c>
      <c r="E6009">
        <f>IF(B6009=1,D6009,E6008)</f>
        <v/>
      </c>
      <c r="F6009">
        <f>IF(AND(B6009=1,C6009&gt;1,E6008&lt;&gt;""),ABS(D6009-E6008),"")</f>
        <v/>
      </c>
    </row>
    <row r="6010">
      <c r="A6010" t="n">
        <v>6010</v>
      </c>
      <c r="B6010">
        <f>IF(INDEX('Data Entry'!$H$5:$BE$10004,6010-4,'Visual SPC'!$B$3)="",0,IF(AND(OR('Visual SPC'!$C$4="",'Data Entry'!$C6010&gt;='Visual SPC'!$C$4),OR('Visual SPC'!$E$4="",'Data Entry'!$C6010&lt;='Visual SPC'!$E$4),OR('Visual SPC'!$G$4="",'Data Entry'!$D6010='Visual SPC'!$G$4),OR('Visual SPC'!$I$4="",'Data Entry'!$E6010='Visual SPC'!$I$4),OR('Visual SPC'!$K$4="",'Data Entry'!$F6010='Visual SPC'!$K$4)),1,0))</f>
        <v/>
      </c>
      <c r="C6010">
        <f>C6009+B6010</f>
        <v/>
      </c>
      <c r="D6010">
        <f>IF(B6010=1,INDEX('Data Entry'!$H$5:$BE$10004,6010-4,'Visual SPC'!$B$3),"")</f>
        <v/>
      </c>
      <c r="E6010">
        <f>IF(B6010=1,D6010,E6009)</f>
        <v/>
      </c>
      <c r="F6010">
        <f>IF(AND(B6010=1,C6010&gt;1,E6009&lt;&gt;""),ABS(D6010-E6009),"")</f>
        <v/>
      </c>
    </row>
    <row r="6011">
      <c r="A6011" t="n">
        <v>6011</v>
      </c>
      <c r="B6011">
        <f>IF(INDEX('Data Entry'!$H$5:$BE$10004,6011-4,'Visual SPC'!$B$3)="",0,IF(AND(OR('Visual SPC'!$C$4="",'Data Entry'!$C6011&gt;='Visual SPC'!$C$4),OR('Visual SPC'!$E$4="",'Data Entry'!$C6011&lt;='Visual SPC'!$E$4),OR('Visual SPC'!$G$4="",'Data Entry'!$D6011='Visual SPC'!$G$4),OR('Visual SPC'!$I$4="",'Data Entry'!$E6011='Visual SPC'!$I$4),OR('Visual SPC'!$K$4="",'Data Entry'!$F6011='Visual SPC'!$K$4)),1,0))</f>
        <v/>
      </c>
      <c r="C6011">
        <f>C6010+B6011</f>
        <v/>
      </c>
      <c r="D6011">
        <f>IF(B6011=1,INDEX('Data Entry'!$H$5:$BE$10004,6011-4,'Visual SPC'!$B$3),"")</f>
        <v/>
      </c>
      <c r="E6011">
        <f>IF(B6011=1,D6011,E6010)</f>
        <v/>
      </c>
      <c r="F6011">
        <f>IF(AND(B6011=1,C6011&gt;1,E6010&lt;&gt;""),ABS(D6011-E6010),"")</f>
        <v/>
      </c>
    </row>
    <row r="6012">
      <c r="A6012" t="n">
        <v>6012</v>
      </c>
      <c r="B6012">
        <f>IF(INDEX('Data Entry'!$H$5:$BE$10004,6012-4,'Visual SPC'!$B$3)="",0,IF(AND(OR('Visual SPC'!$C$4="",'Data Entry'!$C6012&gt;='Visual SPC'!$C$4),OR('Visual SPC'!$E$4="",'Data Entry'!$C6012&lt;='Visual SPC'!$E$4),OR('Visual SPC'!$G$4="",'Data Entry'!$D6012='Visual SPC'!$G$4),OR('Visual SPC'!$I$4="",'Data Entry'!$E6012='Visual SPC'!$I$4),OR('Visual SPC'!$K$4="",'Data Entry'!$F6012='Visual SPC'!$K$4)),1,0))</f>
        <v/>
      </c>
      <c r="C6012">
        <f>C6011+B6012</f>
        <v/>
      </c>
      <c r="D6012">
        <f>IF(B6012=1,INDEX('Data Entry'!$H$5:$BE$10004,6012-4,'Visual SPC'!$B$3),"")</f>
        <v/>
      </c>
      <c r="E6012">
        <f>IF(B6012=1,D6012,E6011)</f>
        <v/>
      </c>
      <c r="F6012">
        <f>IF(AND(B6012=1,C6012&gt;1,E6011&lt;&gt;""),ABS(D6012-E6011),"")</f>
        <v/>
      </c>
    </row>
    <row r="6013">
      <c r="A6013" t="n">
        <v>6013</v>
      </c>
      <c r="B6013">
        <f>IF(INDEX('Data Entry'!$H$5:$BE$10004,6013-4,'Visual SPC'!$B$3)="",0,IF(AND(OR('Visual SPC'!$C$4="",'Data Entry'!$C6013&gt;='Visual SPC'!$C$4),OR('Visual SPC'!$E$4="",'Data Entry'!$C6013&lt;='Visual SPC'!$E$4),OR('Visual SPC'!$G$4="",'Data Entry'!$D6013='Visual SPC'!$G$4),OR('Visual SPC'!$I$4="",'Data Entry'!$E6013='Visual SPC'!$I$4),OR('Visual SPC'!$K$4="",'Data Entry'!$F6013='Visual SPC'!$K$4)),1,0))</f>
        <v/>
      </c>
      <c r="C6013">
        <f>C6012+B6013</f>
        <v/>
      </c>
      <c r="D6013">
        <f>IF(B6013=1,INDEX('Data Entry'!$H$5:$BE$10004,6013-4,'Visual SPC'!$B$3),"")</f>
        <v/>
      </c>
      <c r="E6013">
        <f>IF(B6013=1,D6013,E6012)</f>
        <v/>
      </c>
      <c r="F6013">
        <f>IF(AND(B6013=1,C6013&gt;1,E6012&lt;&gt;""),ABS(D6013-E6012),"")</f>
        <v/>
      </c>
    </row>
    <row r="6014">
      <c r="A6014" t="n">
        <v>6014</v>
      </c>
      <c r="B6014">
        <f>IF(INDEX('Data Entry'!$H$5:$BE$10004,6014-4,'Visual SPC'!$B$3)="",0,IF(AND(OR('Visual SPC'!$C$4="",'Data Entry'!$C6014&gt;='Visual SPC'!$C$4),OR('Visual SPC'!$E$4="",'Data Entry'!$C6014&lt;='Visual SPC'!$E$4),OR('Visual SPC'!$G$4="",'Data Entry'!$D6014='Visual SPC'!$G$4),OR('Visual SPC'!$I$4="",'Data Entry'!$E6014='Visual SPC'!$I$4),OR('Visual SPC'!$K$4="",'Data Entry'!$F6014='Visual SPC'!$K$4)),1,0))</f>
        <v/>
      </c>
      <c r="C6014">
        <f>C6013+B6014</f>
        <v/>
      </c>
      <c r="D6014">
        <f>IF(B6014=1,INDEX('Data Entry'!$H$5:$BE$10004,6014-4,'Visual SPC'!$B$3),"")</f>
        <v/>
      </c>
      <c r="E6014">
        <f>IF(B6014=1,D6014,E6013)</f>
        <v/>
      </c>
      <c r="F6014">
        <f>IF(AND(B6014=1,C6014&gt;1,E6013&lt;&gt;""),ABS(D6014-E6013),"")</f>
        <v/>
      </c>
    </row>
    <row r="6015">
      <c r="A6015" t="n">
        <v>6015</v>
      </c>
      <c r="B6015">
        <f>IF(INDEX('Data Entry'!$H$5:$BE$10004,6015-4,'Visual SPC'!$B$3)="",0,IF(AND(OR('Visual SPC'!$C$4="",'Data Entry'!$C6015&gt;='Visual SPC'!$C$4),OR('Visual SPC'!$E$4="",'Data Entry'!$C6015&lt;='Visual SPC'!$E$4),OR('Visual SPC'!$G$4="",'Data Entry'!$D6015='Visual SPC'!$G$4),OR('Visual SPC'!$I$4="",'Data Entry'!$E6015='Visual SPC'!$I$4),OR('Visual SPC'!$K$4="",'Data Entry'!$F6015='Visual SPC'!$K$4)),1,0))</f>
        <v/>
      </c>
      <c r="C6015">
        <f>C6014+B6015</f>
        <v/>
      </c>
      <c r="D6015">
        <f>IF(B6015=1,INDEX('Data Entry'!$H$5:$BE$10004,6015-4,'Visual SPC'!$B$3),"")</f>
        <v/>
      </c>
      <c r="E6015">
        <f>IF(B6015=1,D6015,E6014)</f>
        <v/>
      </c>
      <c r="F6015">
        <f>IF(AND(B6015=1,C6015&gt;1,E6014&lt;&gt;""),ABS(D6015-E6014),"")</f>
        <v/>
      </c>
    </row>
    <row r="6016">
      <c r="A6016" t="n">
        <v>6016</v>
      </c>
      <c r="B6016">
        <f>IF(INDEX('Data Entry'!$H$5:$BE$10004,6016-4,'Visual SPC'!$B$3)="",0,IF(AND(OR('Visual SPC'!$C$4="",'Data Entry'!$C6016&gt;='Visual SPC'!$C$4),OR('Visual SPC'!$E$4="",'Data Entry'!$C6016&lt;='Visual SPC'!$E$4),OR('Visual SPC'!$G$4="",'Data Entry'!$D6016='Visual SPC'!$G$4),OR('Visual SPC'!$I$4="",'Data Entry'!$E6016='Visual SPC'!$I$4),OR('Visual SPC'!$K$4="",'Data Entry'!$F6016='Visual SPC'!$K$4)),1,0))</f>
        <v/>
      </c>
      <c r="C6016">
        <f>C6015+B6016</f>
        <v/>
      </c>
      <c r="D6016">
        <f>IF(B6016=1,INDEX('Data Entry'!$H$5:$BE$10004,6016-4,'Visual SPC'!$B$3),"")</f>
        <v/>
      </c>
      <c r="E6016">
        <f>IF(B6016=1,D6016,E6015)</f>
        <v/>
      </c>
      <c r="F6016">
        <f>IF(AND(B6016=1,C6016&gt;1,E6015&lt;&gt;""),ABS(D6016-E6015),"")</f>
        <v/>
      </c>
    </row>
    <row r="6017">
      <c r="A6017" t="n">
        <v>6017</v>
      </c>
      <c r="B6017">
        <f>IF(INDEX('Data Entry'!$H$5:$BE$10004,6017-4,'Visual SPC'!$B$3)="",0,IF(AND(OR('Visual SPC'!$C$4="",'Data Entry'!$C6017&gt;='Visual SPC'!$C$4),OR('Visual SPC'!$E$4="",'Data Entry'!$C6017&lt;='Visual SPC'!$E$4),OR('Visual SPC'!$G$4="",'Data Entry'!$D6017='Visual SPC'!$G$4),OR('Visual SPC'!$I$4="",'Data Entry'!$E6017='Visual SPC'!$I$4),OR('Visual SPC'!$K$4="",'Data Entry'!$F6017='Visual SPC'!$K$4)),1,0))</f>
        <v/>
      </c>
      <c r="C6017">
        <f>C6016+B6017</f>
        <v/>
      </c>
      <c r="D6017">
        <f>IF(B6017=1,INDEX('Data Entry'!$H$5:$BE$10004,6017-4,'Visual SPC'!$B$3),"")</f>
        <v/>
      </c>
      <c r="E6017">
        <f>IF(B6017=1,D6017,E6016)</f>
        <v/>
      </c>
      <c r="F6017">
        <f>IF(AND(B6017=1,C6017&gt;1,E6016&lt;&gt;""),ABS(D6017-E6016),"")</f>
        <v/>
      </c>
    </row>
    <row r="6018">
      <c r="A6018" t="n">
        <v>6018</v>
      </c>
      <c r="B6018">
        <f>IF(INDEX('Data Entry'!$H$5:$BE$10004,6018-4,'Visual SPC'!$B$3)="",0,IF(AND(OR('Visual SPC'!$C$4="",'Data Entry'!$C6018&gt;='Visual SPC'!$C$4),OR('Visual SPC'!$E$4="",'Data Entry'!$C6018&lt;='Visual SPC'!$E$4),OR('Visual SPC'!$G$4="",'Data Entry'!$D6018='Visual SPC'!$G$4),OR('Visual SPC'!$I$4="",'Data Entry'!$E6018='Visual SPC'!$I$4),OR('Visual SPC'!$K$4="",'Data Entry'!$F6018='Visual SPC'!$K$4)),1,0))</f>
        <v/>
      </c>
      <c r="C6018">
        <f>C6017+B6018</f>
        <v/>
      </c>
      <c r="D6018">
        <f>IF(B6018=1,INDEX('Data Entry'!$H$5:$BE$10004,6018-4,'Visual SPC'!$B$3),"")</f>
        <v/>
      </c>
      <c r="E6018">
        <f>IF(B6018=1,D6018,E6017)</f>
        <v/>
      </c>
      <c r="F6018">
        <f>IF(AND(B6018=1,C6018&gt;1,E6017&lt;&gt;""),ABS(D6018-E6017),"")</f>
        <v/>
      </c>
    </row>
    <row r="6019">
      <c r="A6019" t="n">
        <v>6019</v>
      </c>
      <c r="B6019">
        <f>IF(INDEX('Data Entry'!$H$5:$BE$10004,6019-4,'Visual SPC'!$B$3)="",0,IF(AND(OR('Visual SPC'!$C$4="",'Data Entry'!$C6019&gt;='Visual SPC'!$C$4),OR('Visual SPC'!$E$4="",'Data Entry'!$C6019&lt;='Visual SPC'!$E$4),OR('Visual SPC'!$G$4="",'Data Entry'!$D6019='Visual SPC'!$G$4),OR('Visual SPC'!$I$4="",'Data Entry'!$E6019='Visual SPC'!$I$4),OR('Visual SPC'!$K$4="",'Data Entry'!$F6019='Visual SPC'!$K$4)),1,0))</f>
        <v/>
      </c>
      <c r="C6019">
        <f>C6018+B6019</f>
        <v/>
      </c>
      <c r="D6019">
        <f>IF(B6019=1,INDEX('Data Entry'!$H$5:$BE$10004,6019-4,'Visual SPC'!$B$3),"")</f>
        <v/>
      </c>
      <c r="E6019">
        <f>IF(B6019=1,D6019,E6018)</f>
        <v/>
      </c>
      <c r="F6019">
        <f>IF(AND(B6019=1,C6019&gt;1,E6018&lt;&gt;""),ABS(D6019-E6018),"")</f>
        <v/>
      </c>
    </row>
    <row r="6020">
      <c r="A6020" t="n">
        <v>6020</v>
      </c>
      <c r="B6020">
        <f>IF(INDEX('Data Entry'!$H$5:$BE$10004,6020-4,'Visual SPC'!$B$3)="",0,IF(AND(OR('Visual SPC'!$C$4="",'Data Entry'!$C6020&gt;='Visual SPC'!$C$4),OR('Visual SPC'!$E$4="",'Data Entry'!$C6020&lt;='Visual SPC'!$E$4),OR('Visual SPC'!$G$4="",'Data Entry'!$D6020='Visual SPC'!$G$4),OR('Visual SPC'!$I$4="",'Data Entry'!$E6020='Visual SPC'!$I$4),OR('Visual SPC'!$K$4="",'Data Entry'!$F6020='Visual SPC'!$K$4)),1,0))</f>
        <v/>
      </c>
      <c r="C6020">
        <f>C6019+B6020</f>
        <v/>
      </c>
      <c r="D6020">
        <f>IF(B6020=1,INDEX('Data Entry'!$H$5:$BE$10004,6020-4,'Visual SPC'!$B$3),"")</f>
        <v/>
      </c>
      <c r="E6020">
        <f>IF(B6020=1,D6020,E6019)</f>
        <v/>
      </c>
      <c r="F6020">
        <f>IF(AND(B6020=1,C6020&gt;1,E6019&lt;&gt;""),ABS(D6020-E6019),"")</f>
        <v/>
      </c>
    </row>
    <row r="6021">
      <c r="A6021" t="n">
        <v>6021</v>
      </c>
      <c r="B6021">
        <f>IF(INDEX('Data Entry'!$H$5:$BE$10004,6021-4,'Visual SPC'!$B$3)="",0,IF(AND(OR('Visual SPC'!$C$4="",'Data Entry'!$C6021&gt;='Visual SPC'!$C$4),OR('Visual SPC'!$E$4="",'Data Entry'!$C6021&lt;='Visual SPC'!$E$4),OR('Visual SPC'!$G$4="",'Data Entry'!$D6021='Visual SPC'!$G$4),OR('Visual SPC'!$I$4="",'Data Entry'!$E6021='Visual SPC'!$I$4),OR('Visual SPC'!$K$4="",'Data Entry'!$F6021='Visual SPC'!$K$4)),1,0))</f>
        <v/>
      </c>
      <c r="C6021">
        <f>C6020+B6021</f>
        <v/>
      </c>
      <c r="D6021">
        <f>IF(B6021=1,INDEX('Data Entry'!$H$5:$BE$10004,6021-4,'Visual SPC'!$B$3),"")</f>
        <v/>
      </c>
      <c r="E6021">
        <f>IF(B6021=1,D6021,E6020)</f>
        <v/>
      </c>
      <c r="F6021">
        <f>IF(AND(B6021=1,C6021&gt;1,E6020&lt;&gt;""),ABS(D6021-E6020),"")</f>
        <v/>
      </c>
    </row>
    <row r="6022">
      <c r="A6022" t="n">
        <v>6022</v>
      </c>
      <c r="B6022">
        <f>IF(INDEX('Data Entry'!$H$5:$BE$10004,6022-4,'Visual SPC'!$B$3)="",0,IF(AND(OR('Visual SPC'!$C$4="",'Data Entry'!$C6022&gt;='Visual SPC'!$C$4),OR('Visual SPC'!$E$4="",'Data Entry'!$C6022&lt;='Visual SPC'!$E$4),OR('Visual SPC'!$G$4="",'Data Entry'!$D6022='Visual SPC'!$G$4),OR('Visual SPC'!$I$4="",'Data Entry'!$E6022='Visual SPC'!$I$4),OR('Visual SPC'!$K$4="",'Data Entry'!$F6022='Visual SPC'!$K$4)),1,0))</f>
        <v/>
      </c>
      <c r="C6022">
        <f>C6021+B6022</f>
        <v/>
      </c>
      <c r="D6022">
        <f>IF(B6022=1,INDEX('Data Entry'!$H$5:$BE$10004,6022-4,'Visual SPC'!$B$3),"")</f>
        <v/>
      </c>
      <c r="E6022">
        <f>IF(B6022=1,D6022,E6021)</f>
        <v/>
      </c>
      <c r="F6022">
        <f>IF(AND(B6022=1,C6022&gt;1,E6021&lt;&gt;""),ABS(D6022-E6021),"")</f>
        <v/>
      </c>
    </row>
    <row r="6023">
      <c r="A6023" t="n">
        <v>6023</v>
      </c>
      <c r="B6023">
        <f>IF(INDEX('Data Entry'!$H$5:$BE$10004,6023-4,'Visual SPC'!$B$3)="",0,IF(AND(OR('Visual SPC'!$C$4="",'Data Entry'!$C6023&gt;='Visual SPC'!$C$4),OR('Visual SPC'!$E$4="",'Data Entry'!$C6023&lt;='Visual SPC'!$E$4),OR('Visual SPC'!$G$4="",'Data Entry'!$D6023='Visual SPC'!$G$4),OR('Visual SPC'!$I$4="",'Data Entry'!$E6023='Visual SPC'!$I$4),OR('Visual SPC'!$K$4="",'Data Entry'!$F6023='Visual SPC'!$K$4)),1,0))</f>
        <v/>
      </c>
      <c r="C6023">
        <f>C6022+B6023</f>
        <v/>
      </c>
      <c r="D6023">
        <f>IF(B6023=1,INDEX('Data Entry'!$H$5:$BE$10004,6023-4,'Visual SPC'!$B$3),"")</f>
        <v/>
      </c>
      <c r="E6023">
        <f>IF(B6023=1,D6023,E6022)</f>
        <v/>
      </c>
      <c r="F6023">
        <f>IF(AND(B6023=1,C6023&gt;1,E6022&lt;&gt;""),ABS(D6023-E6022),"")</f>
        <v/>
      </c>
    </row>
    <row r="6024">
      <c r="A6024" t="n">
        <v>6024</v>
      </c>
      <c r="B6024">
        <f>IF(INDEX('Data Entry'!$H$5:$BE$10004,6024-4,'Visual SPC'!$B$3)="",0,IF(AND(OR('Visual SPC'!$C$4="",'Data Entry'!$C6024&gt;='Visual SPC'!$C$4),OR('Visual SPC'!$E$4="",'Data Entry'!$C6024&lt;='Visual SPC'!$E$4),OR('Visual SPC'!$G$4="",'Data Entry'!$D6024='Visual SPC'!$G$4),OR('Visual SPC'!$I$4="",'Data Entry'!$E6024='Visual SPC'!$I$4),OR('Visual SPC'!$K$4="",'Data Entry'!$F6024='Visual SPC'!$K$4)),1,0))</f>
        <v/>
      </c>
      <c r="C6024">
        <f>C6023+B6024</f>
        <v/>
      </c>
      <c r="D6024">
        <f>IF(B6024=1,INDEX('Data Entry'!$H$5:$BE$10004,6024-4,'Visual SPC'!$B$3),"")</f>
        <v/>
      </c>
      <c r="E6024">
        <f>IF(B6024=1,D6024,E6023)</f>
        <v/>
      </c>
      <c r="F6024">
        <f>IF(AND(B6024=1,C6024&gt;1,E6023&lt;&gt;""),ABS(D6024-E6023),"")</f>
        <v/>
      </c>
    </row>
    <row r="6025">
      <c r="A6025" t="n">
        <v>6025</v>
      </c>
      <c r="B6025">
        <f>IF(INDEX('Data Entry'!$H$5:$BE$10004,6025-4,'Visual SPC'!$B$3)="",0,IF(AND(OR('Visual SPC'!$C$4="",'Data Entry'!$C6025&gt;='Visual SPC'!$C$4),OR('Visual SPC'!$E$4="",'Data Entry'!$C6025&lt;='Visual SPC'!$E$4),OR('Visual SPC'!$G$4="",'Data Entry'!$D6025='Visual SPC'!$G$4),OR('Visual SPC'!$I$4="",'Data Entry'!$E6025='Visual SPC'!$I$4),OR('Visual SPC'!$K$4="",'Data Entry'!$F6025='Visual SPC'!$K$4)),1,0))</f>
        <v/>
      </c>
      <c r="C6025">
        <f>C6024+B6025</f>
        <v/>
      </c>
      <c r="D6025">
        <f>IF(B6025=1,INDEX('Data Entry'!$H$5:$BE$10004,6025-4,'Visual SPC'!$B$3),"")</f>
        <v/>
      </c>
      <c r="E6025">
        <f>IF(B6025=1,D6025,E6024)</f>
        <v/>
      </c>
      <c r="F6025">
        <f>IF(AND(B6025=1,C6025&gt;1,E6024&lt;&gt;""),ABS(D6025-E6024),"")</f>
        <v/>
      </c>
    </row>
    <row r="6026">
      <c r="A6026" t="n">
        <v>6026</v>
      </c>
      <c r="B6026">
        <f>IF(INDEX('Data Entry'!$H$5:$BE$10004,6026-4,'Visual SPC'!$B$3)="",0,IF(AND(OR('Visual SPC'!$C$4="",'Data Entry'!$C6026&gt;='Visual SPC'!$C$4),OR('Visual SPC'!$E$4="",'Data Entry'!$C6026&lt;='Visual SPC'!$E$4),OR('Visual SPC'!$G$4="",'Data Entry'!$D6026='Visual SPC'!$G$4),OR('Visual SPC'!$I$4="",'Data Entry'!$E6026='Visual SPC'!$I$4),OR('Visual SPC'!$K$4="",'Data Entry'!$F6026='Visual SPC'!$K$4)),1,0))</f>
        <v/>
      </c>
      <c r="C6026">
        <f>C6025+B6026</f>
        <v/>
      </c>
      <c r="D6026">
        <f>IF(B6026=1,INDEX('Data Entry'!$H$5:$BE$10004,6026-4,'Visual SPC'!$B$3),"")</f>
        <v/>
      </c>
      <c r="E6026">
        <f>IF(B6026=1,D6026,E6025)</f>
        <v/>
      </c>
      <c r="F6026">
        <f>IF(AND(B6026=1,C6026&gt;1,E6025&lt;&gt;""),ABS(D6026-E6025),"")</f>
        <v/>
      </c>
    </row>
    <row r="6027">
      <c r="A6027" t="n">
        <v>6027</v>
      </c>
      <c r="B6027">
        <f>IF(INDEX('Data Entry'!$H$5:$BE$10004,6027-4,'Visual SPC'!$B$3)="",0,IF(AND(OR('Visual SPC'!$C$4="",'Data Entry'!$C6027&gt;='Visual SPC'!$C$4),OR('Visual SPC'!$E$4="",'Data Entry'!$C6027&lt;='Visual SPC'!$E$4),OR('Visual SPC'!$G$4="",'Data Entry'!$D6027='Visual SPC'!$G$4),OR('Visual SPC'!$I$4="",'Data Entry'!$E6027='Visual SPC'!$I$4),OR('Visual SPC'!$K$4="",'Data Entry'!$F6027='Visual SPC'!$K$4)),1,0))</f>
        <v/>
      </c>
      <c r="C6027">
        <f>C6026+B6027</f>
        <v/>
      </c>
      <c r="D6027">
        <f>IF(B6027=1,INDEX('Data Entry'!$H$5:$BE$10004,6027-4,'Visual SPC'!$B$3),"")</f>
        <v/>
      </c>
      <c r="E6027">
        <f>IF(B6027=1,D6027,E6026)</f>
        <v/>
      </c>
      <c r="F6027">
        <f>IF(AND(B6027=1,C6027&gt;1,E6026&lt;&gt;""),ABS(D6027-E6026),"")</f>
        <v/>
      </c>
    </row>
    <row r="6028">
      <c r="A6028" t="n">
        <v>6028</v>
      </c>
      <c r="B6028">
        <f>IF(INDEX('Data Entry'!$H$5:$BE$10004,6028-4,'Visual SPC'!$B$3)="",0,IF(AND(OR('Visual SPC'!$C$4="",'Data Entry'!$C6028&gt;='Visual SPC'!$C$4),OR('Visual SPC'!$E$4="",'Data Entry'!$C6028&lt;='Visual SPC'!$E$4),OR('Visual SPC'!$G$4="",'Data Entry'!$D6028='Visual SPC'!$G$4),OR('Visual SPC'!$I$4="",'Data Entry'!$E6028='Visual SPC'!$I$4),OR('Visual SPC'!$K$4="",'Data Entry'!$F6028='Visual SPC'!$K$4)),1,0))</f>
        <v/>
      </c>
      <c r="C6028">
        <f>C6027+B6028</f>
        <v/>
      </c>
      <c r="D6028">
        <f>IF(B6028=1,INDEX('Data Entry'!$H$5:$BE$10004,6028-4,'Visual SPC'!$B$3),"")</f>
        <v/>
      </c>
      <c r="E6028">
        <f>IF(B6028=1,D6028,E6027)</f>
        <v/>
      </c>
      <c r="F6028">
        <f>IF(AND(B6028=1,C6028&gt;1,E6027&lt;&gt;""),ABS(D6028-E6027),"")</f>
        <v/>
      </c>
    </row>
    <row r="6029">
      <c r="A6029" t="n">
        <v>6029</v>
      </c>
      <c r="B6029">
        <f>IF(INDEX('Data Entry'!$H$5:$BE$10004,6029-4,'Visual SPC'!$B$3)="",0,IF(AND(OR('Visual SPC'!$C$4="",'Data Entry'!$C6029&gt;='Visual SPC'!$C$4),OR('Visual SPC'!$E$4="",'Data Entry'!$C6029&lt;='Visual SPC'!$E$4),OR('Visual SPC'!$G$4="",'Data Entry'!$D6029='Visual SPC'!$G$4),OR('Visual SPC'!$I$4="",'Data Entry'!$E6029='Visual SPC'!$I$4),OR('Visual SPC'!$K$4="",'Data Entry'!$F6029='Visual SPC'!$K$4)),1,0))</f>
        <v/>
      </c>
      <c r="C6029">
        <f>C6028+B6029</f>
        <v/>
      </c>
      <c r="D6029">
        <f>IF(B6029=1,INDEX('Data Entry'!$H$5:$BE$10004,6029-4,'Visual SPC'!$B$3),"")</f>
        <v/>
      </c>
      <c r="E6029">
        <f>IF(B6029=1,D6029,E6028)</f>
        <v/>
      </c>
      <c r="F6029">
        <f>IF(AND(B6029=1,C6029&gt;1,E6028&lt;&gt;""),ABS(D6029-E6028),"")</f>
        <v/>
      </c>
    </row>
    <row r="6030">
      <c r="A6030" t="n">
        <v>6030</v>
      </c>
      <c r="B6030">
        <f>IF(INDEX('Data Entry'!$H$5:$BE$10004,6030-4,'Visual SPC'!$B$3)="",0,IF(AND(OR('Visual SPC'!$C$4="",'Data Entry'!$C6030&gt;='Visual SPC'!$C$4),OR('Visual SPC'!$E$4="",'Data Entry'!$C6030&lt;='Visual SPC'!$E$4),OR('Visual SPC'!$G$4="",'Data Entry'!$D6030='Visual SPC'!$G$4),OR('Visual SPC'!$I$4="",'Data Entry'!$E6030='Visual SPC'!$I$4),OR('Visual SPC'!$K$4="",'Data Entry'!$F6030='Visual SPC'!$K$4)),1,0))</f>
        <v/>
      </c>
      <c r="C6030">
        <f>C6029+B6030</f>
        <v/>
      </c>
      <c r="D6030">
        <f>IF(B6030=1,INDEX('Data Entry'!$H$5:$BE$10004,6030-4,'Visual SPC'!$B$3),"")</f>
        <v/>
      </c>
      <c r="E6030">
        <f>IF(B6030=1,D6030,E6029)</f>
        <v/>
      </c>
      <c r="F6030">
        <f>IF(AND(B6030=1,C6030&gt;1,E6029&lt;&gt;""),ABS(D6030-E6029),"")</f>
        <v/>
      </c>
    </row>
    <row r="6031">
      <c r="A6031" t="n">
        <v>6031</v>
      </c>
      <c r="B6031">
        <f>IF(INDEX('Data Entry'!$H$5:$BE$10004,6031-4,'Visual SPC'!$B$3)="",0,IF(AND(OR('Visual SPC'!$C$4="",'Data Entry'!$C6031&gt;='Visual SPC'!$C$4),OR('Visual SPC'!$E$4="",'Data Entry'!$C6031&lt;='Visual SPC'!$E$4),OR('Visual SPC'!$G$4="",'Data Entry'!$D6031='Visual SPC'!$G$4),OR('Visual SPC'!$I$4="",'Data Entry'!$E6031='Visual SPC'!$I$4),OR('Visual SPC'!$K$4="",'Data Entry'!$F6031='Visual SPC'!$K$4)),1,0))</f>
        <v/>
      </c>
      <c r="C6031">
        <f>C6030+B6031</f>
        <v/>
      </c>
      <c r="D6031">
        <f>IF(B6031=1,INDEX('Data Entry'!$H$5:$BE$10004,6031-4,'Visual SPC'!$B$3),"")</f>
        <v/>
      </c>
      <c r="E6031">
        <f>IF(B6031=1,D6031,E6030)</f>
        <v/>
      </c>
      <c r="F6031">
        <f>IF(AND(B6031=1,C6031&gt;1,E6030&lt;&gt;""),ABS(D6031-E6030),"")</f>
        <v/>
      </c>
    </row>
    <row r="6032">
      <c r="A6032" t="n">
        <v>6032</v>
      </c>
      <c r="B6032">
        <f>IF(INDEX('Data Entry'!$H$5:$BE$10004,6032-4,'Visual SPC'!$B$3)="",0,IF(AND(OR('Visual SPC'!$C$4="",'Data Entry'!$C6032&gt;='Visual SPC'!$C$4),OR('Visual SPC'!$E$4="",'Data Entry'!$C6032&lt;='Visual SPC'!$E$4),OR('Visual SPC'!$G$4="",'Data Entry'!$D6032='Visual SPC'!$G$4),OR('Visual SPC'!$I$4="",'Data Entry'!$E6032='Visual SPC'!$I$4),OR('Visual SPC'!$K$4="",'Data Entry'!$F6032='Visual SPC'!$K$4)),1,0))</f>
        <v/>
      </c>
      <c r="C6032">
        <f>C6031+B6032</f>
        <v/>
      </c>
      <c r="D6032">
        <f>IF(B6032=1,INDEX('Data Entry'!$H$5:$BE$10004,6032-4,'Visual SPC'!$B$3),"")</f>
        <v/>
      </c>
      <c r="E6032">
        <f>IF(B6032=1,D6032,E6031)</f>
        <v/>
      </c>
      <c r="F6032">
        <f>IF(AND(B6032=1,C6032&gt;1,E6031&lt;&gt;""),ABS(D6032-E6031),"")</f>
        <v/>
      </c>
    </row>
    <row r="6033">
      <c r="A6033" t="n">
        <v>6033</v>
      </c>
      <c r="B6033">
        <f>IF(INDEX('Data Entry'!$H$5:$BE$10004,6033-4,'Visual SPC'!$B$3)="",0,IF(AND(OR('Visual SPC'!$C$4="",'Data Entry'!$C6033&gt;='Visual SPC'!$C$4),OR('Visual SPC'!$E$4="",'Data Entry'!$C6033&lt;='Visual SPC'!$E$4),OR('Visual SPC'!$G$4="",'Data Entry'!$D6033='Visual SPC'!$G$4),OR('Visual SPC'!$I$4="",'Data Entry'!$E6033='Visual SPC'!$I$4),OR('Visual SPC'!$K$4="",'Data Entry'!$F6033='Visual SPC'!$K$4)),1,0))</f>
        <v/>
      </c>
      <c r="C6033">
        <f>C6032+B6033</f>
        <v/>
      </c>
      <c r="D6033">
        <f>IF(B6033=1,INDEX('Data Entry'!$H$5:$BE$10004,6033-4,'Visual SPC'!$B$3),"")</f>
        <v/>
      </c>
      <c r="E6033">
        <f>IF(B6033=1,D6033,E6032)</f>
        <v/>
      </c>
      <c r="F6033">
        <f>IF(AND(B6033=1,C6033&gt;1,E6032&lt;&gt;""),ABS(D6033-E6032),"")</f>
        <v/>
      </c>
    </row>
    <row r="6034">
      <c r="A6034" t="n">
        <v>6034</v>
      </c>
      <c r="B6034">
        <f>IF(INDEX('Data Entry'!$H$5:$BE$10004,6034-4,'Visual SPC'!$B$3)="",0,IF(AND(OR('Visual SPC'!$C$4="",'Data Entry'!$C6034&gt;='Visual SPC'!$C$4),OR('Visual SPC'!$E$4="",'Data Entry'!$C6034&lt;='Visual SPC'!$E$4),OR('Visual SPC'!$G$4="",'Data Entry'!$D6034='Visual SPC'!$G$4),OR('Visual SPC'!$I$4="",'Data Entry'!$E6034='Visual SPC'!$I$4),OR('Visual SPC'!$K$4="",'Data Entry'!$F6034='Visual SPC'!$K$4)),1,0))</f>
        <v/>
      </c>
      <c r="C6034">
        <f>C6033+B6034</f>
        <v/>
      </c>
      <c r="D6034">
        <f>IF(B6034=1,INDEX('Data Entry'!$H$5:$BE$10004,6034-4,'Visual SPC'!$B$3),"")</f>
        <v/>
      </c>
      <c r="E6034">
        <f>IF(B6034=1,D6034,E6033)</f>
        <v/>
      </c>
      <c r="F6034">
        <f>IF(AND(B6034=1,C6034&gt;1,E6033&lt;&gt;""),ABS(D6034-E6033),"")</f>
        <v/>
      </c>
    </row>
    <row r="6035">
      <c r="A6035" t="n">
        <v>6035</v>
      </c>
      <c r="B6035">
        <f>IF(INDEX('Data Entry'!$H$5:$BE$10004,6035-4,'Visual SPC'!$B$3)="",0,IF(AND(OR('Visual SPC'!$C$4="",'Data Entry'!$C6035&gt;='Visual SPC'!$C$4),OR('Visual SPC'!$E$4="",'Data Entry'!$C6035&lt;='Visual SPC'!$E$4),OR('Visual SPC'!$G$4="",'Data Entry'!$D6035='Visual SPC'!$G$4),OR('Visual SPC'!$I$4="",'Data Entry'!$E6035='Visual SPC'!$I$4),OR('Visual SPC'!$K$4="",'Data Entry'!$F6035='Visual SPC'!$K$4)),1,0))</f>
        <v/>
      </c>
      <c r="C6035">
        <f>C6034+B6035</f>
        <v/>
      </c>
      <c r="D6035">
        <f>IF(B6035=1,INDEX('Data Entry'!$H$5:$BE$10004,6035-4,'Visual SPC'!$B$3),"")</f>
        <v/>
      </c>
      <c r="E6035">
        <f>IF(B6035=1,D6035,E6034)</f>
        <v/>
      </c>
      <c r="F6035">
        <f>IF(AND(B6035=1,C6035&gt;1,E6034&lt;&gt;""),ABS(D6035-E6034),"")</f>
        <v/>
      </c>
    </row>
    <row r="6036">
      <c r="A6036" t="n">
        <v>6036</v>
      </c>
      <c r="B6036">
        <f>IF(INDEX('Data Entry'!$H$5:$BE$10004,6036-4,'Visual SPC'!$B$3)="",0,IF(AND(OR('Visual SPC'!$C$4="",'Data Entry'!$C6036&gt;='Visual SPC'!$C$4),OR('Visual SPC'!$E$4="",'Data Entry'!$C6036&lt;='Visual SPC'!$E$4),OR('Visual SPC'!$G$4="",'Data Entry'!$D6036='Visual SPC'!$G$4),OR('Visual SPC'!$I$4="",'Data Entry'!$E6036='Visual SPC'!$I$4),OR('Visual SPC'!$K$4="",'Data Entry'!$F6036='Visual SPC'!$K$4)),1,0))</f>
        <v/>
      </c>
      <c r="C6036">
        <f>C6035+B6036</f>
        <v/>
      </c>
      <c r="D6036">
        <f>IF(B6036=1,INDEX('Data Entry'!$H$5:$BE$10004,6036-4,'Visual SPC'!$B$3),"")</f>
        <v/>
      </c>
      <c r="E6036">
        <f>IF(B6036=1,D6036,E6035)</f>
        <v/>
      </c>
      <c r="F6036">
        <f>IF(AND(B6036=1,C6036&gt;1,E6035&lt;&gt;""),ABS(D6036-E6035),"")</f>
        <v/>
      </c>
    </row>
    <row r="6037">
      <c r="A6037" t="n">
        <v>6037</v>
      </c>
      <c r="B6037">
        <f>IF(INDEX('Data Entry'!$H$5:$BE$10004,6037-4,'Visual SPC'!$B$3)="",0,IF(AND(OR('Visual SPC'!$C$4="",'Data Entry'!$C6037&gt;='Visual SPC'!$C$4),OR('Visual SPC'!$E$4="",'Data Entry'!$C6037&lt;='Visual SPC'!$E$4),OR('Visual SPC'!$G$4="",'Data Entry'!$D6037='Visual SPC'!$G$4),OR('Visual SPC'!$I$4="",'Data Entry'!$E6037='Visual SPC'!$I$4),OR('Visual SPC'!$K$4="",'Data Entry'!$F6037='Visual SPC'!$K$4)),1,0))</f>
        <v/>
      </c>
      <c r="C6037">
        <f>C6036+B6037</f>
        <v/>
      </c>
      <c r="D6037">
        <f>IF(B6037=1,INDEX('Data Entry'!$H$5:$BE$10004,6037-4,'Visual SPC'!$B$3),"")</f>
        <v/>
      </c>
      <c r="E6037">
        <f>IF(B6037=1,D6037,E6036)</f>
        <v/>
      </c>
      <c r="F6037">
        <f>IF(AND(B6037=1,C6037&gt;1,E6036&lt;&gt;""),ABS(D6037-E6036),"")</f>
        <v/>
      </c>
    </row>
    <row r="6038">
      <c r="A6038" t="n">
        <v>6038</v>
      </c>
      <c r="B6038">
        <f>IF(INDEX('Data Entry'!$H$5:$BE$10004,6038-4,'Visual SPC'!$B$3)="",0,IF(AND(OR('Visual SPC'!$C$4="",'Data Entry'!$C6038&gt;='Visual SPC'!$C$4),OR('Visual SPC'!$E$4="",'Data Entry'!$C6038&lt;='Visual SPC'!$E$4),OR('Visual SPC'!$G$4="",'Data Entry'!$D6038='Visual SPC'!$G$4),OR('Visual SPC'!$I$4="",'Data Entry'!$E6038='Visual SPC'!$I$4),OR('Visual SPC'!$K$4="",'Data Entry'!$F6038='Visual SPC'!$K$4)),1,0))</f>
        <v/>
      </c>
      <c r="C6038">
        <f>C6037+B6038</f>
        <v/>
      </c>
      <c r="D6038">
        <f>IF(B6038=1,INDEX('Data Entry'!$H$5:$BE$10004,6038-4,'Visual SPC'!$B$3),"")</f>
        <v/>
      </c>
      <c r="E6038">
        <f>IF(B6038=1,D6038,E6037)</f>
        <v/>
      </c>
      <c r="F6038">
        <f>IF(AND(B6038=1,C6038&gt;1,E6037&lt;&gt;""),ABS(D6038-E6037),"")</f>
        <v/>
      </c>
    </row>
    <row r="6039">
      <c r="A6039" t="n">
        <v>6039</v>
      </c>
      <c r="B6039">
        <f>IF(INDEX('Data Entry'!$H$5:$BE$10004,6039-4,'Visual SPC'!$B$3)="",0,IF(AND(OR('Visual SPC'!$C$4="",'Data Entry'!$C6039&gt;='Visual SPC'!$C$4),OR('Visual SPC'!$E$4="",'Data Entry'!$C6039&lt;='Visual SPC'!$E$4),OR('Visual SPC'!$G$4="",'Data Entry'!$D6039='Visual SPC'!$G$4),OR('Visual SPC'!$I$4="",'Data Entry'!$E6039='Visual SPC'!$I$4),OR('Visual SPC'!$K$4="",'Data Entry'!$F6039='Visual SPC'!$K$4)),1,0))</f>
        <v/>
      </c>
      <c r="C6039">
        <f>C6038+B6039</f>
        <v/>
      </c>
      <c r="D6039">
        <f>IF(B6039=1,INDEX('Data Entry'!$H$5:$BE$10004,6039-4,'Visual SPC'!$B$3),"")</f>
        <v/>
      </c>
      <c r="E6039">
        <f>IF(B6039=1,D6039,E6038)</f>
        <v/>
      </c>
      <c r="F6039">
        <f>IF(AND(B6039=1,C6039&gt;1,E6038&lt;&gt;""),ABS(D6039-E6038),"")</f>
        <v/>
      </c>
    </row>
    <row r="6040">
      <c r="A6040" t="n">
        <v>6040</v>
      </c>
      <c r="B6040">
        <f>IF(INDEX('Data Entry'!$H$5:$BE$10004,6040-4,'Visual SPC'!$B$3)="",0,IF(AND(OR('Visual SPC'!$C$4="",'Data Entry'!$C6040&gt;='Visual SPC'!$C$4),OR('Visual SPC'!$E$4="",'Data Entry'!$C6040&lt;='Visual SPC'!$E$4),OR('Visual SPC'!$G$4="",'Data Entry'!$D6040='Visual SPC'!$G$4),OR('Visual SPC'!$I$4="",'Data Entry'!$E6040='Visual SPC'!$I$4),OR('Visual SPC'!$K$4="",'Data Entry'!$F6040='Visual SPC'!$K$4)),1,0))</f>
        <v/>
      </c>
      <c r="C6040">
        <f>C6039+B6040</f>
        <v/>
      </c>
      <c r="D6040">
        <f>IF(B6040=1,INDEX('Data Entry'!$H$5:$BE$10004,6040-4,'Visual SPC'!$B$3),"")</f>
        <v/>
      </c>
      <c r="E6040">
        <f>IF(B6040=1,D6040,E6039)</f>
        <v/>
      </c>
      <c r="F6040">
        <f>IF(AND(B6040=1,C6040&gt;1,E6039&lt;&gt;""),ABS(D6040-E6039),"")</f>
        <v/>
      </c>
    </row>
    <row r="6041">
      <c r="A6041" t="n">
        <v>6041</v>
      </c>
      <c r="B6041">
        <f>IF(INDEX('Data Entry'!$H$5:$BE$10004,6041-4,'Visual SPC'!$B$3)="",0,IF(AND(OR('Visual SPC'!$C$4="",'Data Entry'!$C6041&gt;='Visual SPC'!$C$4),OR('Visual SPC'!$E$4="",'Data Entry'!$C6041&lt;='Visual SPC'!$E$4),OR('Visual SPC'!$G$4="",'Data Entry'!$D6041='Visual SPC'!$G$4),OR('Visual SPC'!$I$4="",'Data Entry'!$E6041='Visual SPC'!$I$4),OR('Visual SPC'!$K$4="",'Data Entry'!$F6041='Visual SPC'!$K$4)),1,0))</f>
        <v/>
      </c>
      <c r="C6041">
        <f>C6040+B6041</f>
        <v/>
      </c>
      <c r="D6041">
        <f>IF(B6041=1,INDEX('Data Entry'!$H$5:$BE$10004,6041-4,'Visual SPC'!$B$3),"")</f>
        <v/>
      </c>
      <c r="E6041">
        <f>IF(B6041=1,D6041,E6040)</f>
        <v/>
      </c>
      <c r="F6041">
        <f>IF(AND(B6041=1,C6041&gt;1,E6040&lt;&gt;""),ABS(D6041-E6040),"")</f>
        <v/>
      </c>
    </row>
    <row r="6042">
      <c r="A6042" t="n">
        <v>6042</v>
      </c>
      <c r="B6042">
        <f>IF(INDEX('Data Entry'!$H$5:$BE$10004,6042-4,'Visual SPC'!$B$3)="",0,IF(AND(OR('Visual SPC'!$C$4="",'Data Entry'!$C6042&gt;='Visual SPC'!$C$4),OR('Visual SPC'!$E$4="",'Data Entry'!$C6042&lt;='Visual SPC'!$E$4),OR('Visual SPC'!$G$4="",'Data Entry'!$D6042='Visual SPC'!$G$4),OR('Visual SPC'!$I$4="",'Data Entry'!$E6042='Visual SPC'!$I$4),OR('Visual SPC'!$K$4="",'Data Entry'!$F6042='Visual SPC'!$K$4)),1,0))</f>
        <v/>
      </c>
      <c r="C6042">
        <f>C6041+B6042</f>
        <v/>
      </c>
      <c r="D6042">
        <f>IF(B6042=1,INDEX('Data Entry'!$H$5:$BE$10004,6042-4,'Visual SPC'!$B$3),"")</f>
        <v/>
      </c>
      <c r="E6042">
        <f>IF(B6042=1,D6042,E6041)</f>
        <v/>
      </c>
      <c r="F6042">
        <f>IF(AND(B6042=1,C6042&gt;1,E6041&lt;&gt;""),ABS(D6042-E6041),"")</f>
        <v/>
      </c>
    </row>
    <row r="6043">
      <c r="A6043" t="n">
        <v>6043</v>
      </c>
      <c r="B6043">
        <f>IF(INDEX('Data Entry'!$H$5:$BE$10004,6043-4,'Visual SPC'!$B$3)="",0,IF(AND(OR('Visual SPC'!$C$4="",'Data Entry'!$C6043&gt;='Visual SPC'!$C$4),OR('Visual SPC'!$E$4="",'Data Entry'!$C6043&lt;='Visual SPC'!$E$4),OR('Visual SPC'!$G$4="",'Data Entry'!$D6043='Visual SPC'!$G$4),OR('Visual SPC'!$I$4="",'Data Entry'!$E6043='Visual SPC'!$I$4),OR('Visual SPC'!$K$4="",'Data Entry'!$F6043='Visual SPC'!$K$4)),1,0))</f>
        <v/>
      </c>
      <c r="C6043">
        <f>C6042+B6043</f>
        <v/>
      </c>
      <c r="D6043">
        <f>IF(B6043=1,INDEX('Data Entry'!$H$5:$BE$10004,6043-4,'Visual SPC'!$B$3),"")</f>
        <v/>
      </c>
      <c r="E6043">
        <f>IF(B6043=1,D6043,E6042)</f>
        <v/>
      </c>
      <c r="F6043">
        <f>IF(AND(B6043=1,C6043&gt;1,E6042&lt;&gt;""),ABS(D6043-E6042),"")</f>
        <v/>
      </c>
    </row>
    <row r="6044">
      <c r="A6044" t="n">
        <v>6044</v>
      </c>
      <c r="B6044">
        <f>IF(INDEX('Data Entry'!$H$5:$BE$10004,6044-4,'Visual SPC'!$B$3)="",0,IF(AND(OR('Visual SPC'!$C$4="",'Data Entry'!$C6044&gt;='Visual SPC'!$C$4),OR('Visual SPC'!$E$4="",'Data Entry'!$C6044&lt;='Visual SPC'!$E$4),OR('Visual SPC'!$G$4="",'Data Entry'!$D6044='Visual SPC'!$G$4),OR('Visual SPC'!$I$4="",'Data Entry'!$E6044='Visual SPC'!$I$4),OR('Visual SPC'!$K$4="",'Data Entry'!$F6044='Visual SPC'!$K$4)),1,0))</f>
        <v/>
      </c>
      <c r="C6044">
        <f>C6043+B6044</f>
        <v/>
      </c>
      <c r="D6044">
        <f>IF(B6044=1,INDEX('Data Entry'!$H$5:$BE$10004,6044-4,'Visual SPC'!$B$3),"")</f>
        <v/>
      </c>
      <c r="E6044">
        <f>IF(B6044=1,D6044,E6043)</f>
        <v/>
      </c>
      <c r="F6044">
        <f>IF(AND(B6044=1,C6044&gt;1,E6043&lt;&gt;""),ABS(D6044-E6043),"")</f>
        <v/>
      </c>
    </row>
    <row r="6045">
      <c r="A6045" t="n">
        <v>6045</v>
      </c>
      <c r="B6045">
        <f>IF(INDEX('Data Entry'!$H$5:$BE$10004,6045-4,'Visual SPC'!$B$3)="",0,IF(AND(OR('Visual SPC'!$C$4="",'Data Entry'!$C6045&gt;='Visual SPC'!$C$4),OR('Visual SPC'!$E$4="",'Data Entry'!$C6045&lt;='Visual SPC'!$E$4),OR('Visual SPC'!$G$4="",'Data Entry'!$D6045='Visual SPC'!$G$4),OR('Visual SPC'!$I$4="",'Data Entry'!$E6045='Visual SPC'!$I$4),OR('Visual SPC'!$K$4="",'Data Entry'!$F6045='Visual SPC'!$K$4)),1,0))</f>
        <v/>
      </c>
      <c r="C6045">
        <f>C6044+B6045</f>
        <v/>
      </c>
      <c r="D6045">
        <f>IF(B6045=1,INDEX('Data Entry'!$H$5:$BE$10004,6045-4,'Visual SPC'!$B$3),"")</f>
        <v/>
      </c>
      <c r="E6045">
        <f>IF(B6045=1,D6045,E6044)</f>
        <v/>
      </c>
      <c r="F6045">
        <f>IF(AND(B6045=1,C6045&gt;1,E6044&lt;&gt;""),ABS(D6045-E6044),"")</f>
        <v/>
      </c>
    </row>
    <row r="6046">
      <c r="A6046" t="n">
        <v>6046</v>
      </c>
      <c r="B6046">
        <f>IF(INDEX('Data Entry'!$H$5:$BE$10004,6046-4,'Visual SPC'!$B$3)="",0,IF(AND(OR('Visual SPC'!$C$4="",'Data Entry'!$C6046&gt;='Visual SPC'!$C$4),OR('Visual SPC'!$E$4="",'Data Entry'!$C6046&lt;='Visual SPC'!$E$4),OR('Visual SPC'!$G$4="",'Data Entry'!$D6046='Visual SPC'!$G$4),OR('Visual SPC'!$I$4="",'Data Entry'!$E6046='Visual SPC'!$I$4),OR('Visual SPC'!$K$4="",'Data Entry'!$F6046='Visual SPC'!$K$4)),1,0))</f>
        <v/>
      </c>
      <c r="C6046">
        <f>C6045+B6046</f>
        <v/>
      </c>
      <c r="D6046">
        <f>IF(B6046=1,INDEX('Data Entry'!$H$5:$BE$10004,6046-4,'Visual SPC'!$B$3),"")</f>
        <v/>
      </c>
      <c r="E6046">
        <f>IF(B6046=1,D6046,E6045)</f>
        <v/>
      </c>
      <c r="F6046">
        <f>IF(AND(B6046=1,C6046&gt;1,E6045&lt;&gt;""),ABS(D6046-E6045),"")</f>
        <v/>
      </c>
    </row>
    <row r="6047">
      <c r="A6047" t="n">
        <v>6047</v>
      </c>
      <c r="B6047">
        <f>IF(INDEX('Data Entry'!$H$5:$BE$10004,6047-4,'Visual SPC'!$B$3)="",0,IF(AND(OR('Visual SPC'!$C$4="",'Data Entry'!$C6047&gt;='Visual SPC'!$C$4),OR('Visual SPC'!$E$4="",'Data Entry'!$C6047&lt;='Visual SPC'!$E$4),OR('Visual SPC'!$G$4="",'Data Entry'!$D6047='Visual SPC'!$G$4),OR('Visual SPC'!$I$4="",'Data Entry'!$E6047='Visual SPC'!$I$4),OR('Visual SPC'!$K$4="",'Data Entry'!$F6047='Visual SPC'!$K$4)),1,0))</f>
        <v/>
      </c>
      <c r="C6047">
        <f>C6046+B6047</f>
        <v/>
      </c>
      <c r="D6047">
        <f>IF(B6047=1,INDEX('Data Entry'!$H$5:$BE$10004,6047-4,'Visual SPC'!$B$3),"")</f>
        <v/>
      </c>
      <c r="E6047">
        <f>IF(B6047=1,D6047,E6046)</f>
        <v/>
      </c>
      <c r="F6047">
        <f>IF(AND(B6047=1,C6047&gt;1,E6046&lt;&gt;""),ABS(D6047-E6046),"")</f>
        <v/>
      </c>
    </row>
    <row r="6048">
      <c r="A6048" t="n">
        <v>6048</v>
      </c>
      <c r="B6048">
        <f>IF(INDEX('Data Entry'!$H$5:$BE$10004,6048-4,'Visual SPC'!$B$3)="",0,IF(AND(OR('Visual SPC'!$C$4="",'Data Entry'!$C6048&gt;='Visual SPC'!$C$4),OR('Visual SPC'!$E$4="",'Data Entry'!$C6048&lt;='Visual SPC'!$E$4),OR('Visual SPC'!$G$4="",'Data Entry'!$D6048='Visual SPC'!$G$4),OR('Visual SPC'!$I$4="",'Data Entry'!$E6048='Visual SPC'!$I$4),OR('Visual SPC'!$K$4="",'Data Entry'!$F6048='Visual SPC'!$K$4)),1,0))</f>
        <v/>
      </c>
      <c r="C6048">
        <f>C6047+B6048</f>
        <v/>
      </c>
      <c r="D6048">
        <f>IF(B6048=1,INDEX('Data Entry'!$H$5:$BE$10004,6048-4,'Visual SPC'!$B$3),"")</f>
        <v/>
      </c>
      <c r="E6048">
        <f>IF(B6048=1,D6048,E6047)</f>
        <v/>
      </c>
      <c r="F6048">
        <f>IF(AND(B6048=1,C6048&gt;1,E6047&lt;&gt;""),ABS(D6048-E6047),"")</f>
        <v/>
      </c>
    </row>
    <row r="6049">
      <c r="A6049" t="n">
        <v>6049</v>
      </c>
      <c r="B6049">
        <f>IF(INDEX('Data Entry'!$H$5:$BE$10004,6049-4,'Visual SPC'!$B$3)="",0,IF(AND(OR('Visual SPC'!$C$4="",'Data Entry'!$C6049&gt;='Visual SPC'!$C$4),OR('Visual SPC'!$E$4="",'Data Entry'!$C6049&lt;='Visual SPC'!$E$4),OR('Visual SPC'!$G$4="",'Data Entry'!$D6049='Visual SPC'!$G$4),OR('Visual SPC'!$I$4="",'Data Entry'!$E6049='Visual SPC'!$I$4),OR('Visual SPC'!$K$4="",'Data Entry'!$F6049='Visual SPC'!$K$4)),1,0))</f>
        <v/>
      </c>
      <c r="C6049">
        <f>C6048+B6049</f>
        <v/>
      </c>
      <c r="D6049">
        <f>IF(B6049=1,INDEX('Data Entry'!$H$5:$BE$10004,6049-4,'Visual SPC'!$B$3),"")</f>
        <v/>
      </c>
      <c r="E6049">
        <f>IF(B6049=1,D6049,E6048)</f>
        <v/>
      </c>
      <c r="F6049">
        <f>IF(AND(B6049=1,C6049&gt;1,E6048&lt;&gt;""),ABS(D6049-E6048),"")</f>
        <v/>
      </c>
    </row>
    <row r="6050">
      <c r="A6050" t="n">
        <v>6050</v>
      </c>
      <c r="B6050">
        <f>IF(INDEX('Data Entry'!$H$5:$BE$10004,6050-4,'Visual SPC'!$B$3)="",0,IF(AND(OR('Visual SPC'!$C$4="",'Data Entry'!$C6050&gt;='Visual SPC'!$C$4),OR('Visual SPC'!$E$4="",'Data Entry'!$C6050&lt;='Visual SPC'!$E$4),OR('Visual SPC'!$G$4="",'Data Entry'!$D6050='Visual SPC'!$G$4),OR('Visual SPC'!$I$4="",'Data Entry'!$E6050='Visual SPC'!$I$4),OR('Visual SPC'!$K$4="",'Data Entry'!$F6050='Visual SPC'!$K$4)),1,0))</f>
        <v/>
      </c>
      <c r="C6050">
        <f>C6049+B6050</f>
        <v/>
      </c>
      <c r="D6050">
        <f>IF(B6050=1,INDEX('Data Entry'!$H$5:$BE$10004,6050-4,'Visual SPC'!$B$3),"")</f>
        <v/>
      </c>
      <c r="E6050">
        <f>IF(B6050=1,D6050,E6049)</f>
        <v/>
      </c>
      <c r="F6050">
        <f>IF(AND(B6050=1,C6050&gt;1,E6049&lt;&gt;""),ABS(D6050-E6049),"")</f>
        <v/>
      </c>
    </row>
    <row r="6051">
      <c r="A6051" t="n">
        <v>6051</v>
      </c>
      <c r="B6051">
        <f>IF(INDEX('Data Entry'!$H$5:$BE$10004,6051-4,'Visual SPC'!$B$3)="",0,IF(AND(OR('Visual SPC'!$C$4="",'Data Entry'!$C6051&gt;='Visual SPC'!$C$4),OR('Visual SPC'!$E$4="",'Data Entry'!$C6051&lt;='Visual SPC'!$E$4),OR('Visual SPC'!$G$4="",'Data Entry'!$D6051='Visual SPC'!$G$4),OR('Visual SPC'!$I$4="",'Data Entry'!$E6051='Visual SPC'!$I$4),OR('Visual SPC'!$K$4="",'Data Entry'!$F6051='Visual SPC'!$K$4)),1,0))</f>
        <v/>
      </c>
      <c r="C6051">
        <f>C6050+B6051</f>
        <v/>
      </c>
      <c r="D6051">
        <f>IF(B6051=1,INDEX('Data Entry'!$H$5:$BE$10004,6051-4,'Visual SPC'!$B$3),"")</f>
        <v/>
      </c>
      <c r="E6051">
        <f>IF(B6051=1,D6051,E6050)</f>
        <v/>
      </c>
      <c r="F6051">
        <f>IF(AND(B6051=1,C6051&gt;1,E6050&lt;&gt;""),ABS(D6051-E6050),"")</f>
        <v/>
      </c>
    </row>
    <row r="6052">
      <c r="A6052" t="n">
        <v>6052</v>
      </c>
      <c r="B6052">
        <f>IF(INDEX('Data Entry'!$H$5:$BE$10004,6052-4,'Visual SPC'!$B$3)="",0,IF(AND(OR('Visual SPC'!$C$4="",'Data Entry'!$C6052&gt;='Visual SPC'!$C$4),OR('Visual SPC'!$E$4="",'Data Entry'!$C6052&lt;='Visual SPC'!$E$4),OR('Visual SPC'!$G$4="",'Data Entry'!$D6052='Visual SPC'!$G$4),OR('Visual SPC'!$I$4="",'Data Entry'!$E6052='Visual SPC'!$I$4),OR('Visual SPC'!$K$4="",'Data Entry'!$F6052='Visual SPC'!$K$4)),1,0))</f>
        <v/>
      </c>
      <c r="C6052">
        <f>C6051+B6052</f>
        <v/>
      </c>
      <c r="D6052">
        <f>IF(B6052=1,INDEX('Data Entry'!$H$5:$BE$10004,6052-4,'Visual SPC'!$B$3),"")</f>
        <v/>
      </c>
      <c r="E6052">
        <f>IF(B6052=1,D6052,E6051)</f>
        <v/>
      </c>
      <c r="F6052">
        <f>IF(AND(B6052=1,C6052&gt;1,E6051&lt;&gt;""),ABS(D6052-E6051),"")</f>
        <v/>
      </c>
    </row>
    <row r="6053">
      <c r="A6053" t="n">
        <v>6053</v>
      </c>
      <c r="B6053">
        <f>IF(INDEX('Data Entry'!$H$5:$BE$10004,6053-4,'Visual SPC'!$B$3)="",0,IF(AND(OR('Visual SPC'!$C$4="",'Data Entry'!$C6053&gt;='Visual SPC'!$C$4),OR('Visual SPC'!$E$4="",'Data Entry'!$C6053&lt;='Visual SPC'!$E$4),OR('Visual SPC'!$G$4="",'Data Entry'!$D6053='Visual SPC'!$G$4),OR('Visual SPC'!$I$4="",'Data Entry'!$E6053='Visual SPC'!$I$4),OR('Visual SPC'!$K$4="",'Data Entry'!$F6053='Visual SPC'!$K$4)),1,0))</f>
        <v/>
      </c>
      <c r="C6053">
        <f>C6052+B6053</f>
        <v/>
      </c>
      <c r="D6053">
        <f>IF(B6053=1,INDEX('Data Entry'!$H$5:$BE$10004,6053-4,'Visual SPC'!$B$3),"")</f>
        <v/>
      </c>
      <c r="E6053">
        <f>IF(B6053=1,D6053,E6052)</f>
        <v/>
      </c>
      <c r="F6053">
        <f>IF(AND(B6053=1,C6053&gt;1,E6052&lt;&gt;""),ABS(D6053-E6052),"")</f>
        <v/>
      </c>
    </row>
    <row r="6054">
      <c r="A6054" t="n">
        <v>6054</v>
      </c>
      <c r="B6054">
        <f>IF(INDEX('Data Entry'!$H$5:$BE$10004,6054-4,'Visual SPC'!$B$3)="",0,IF(AND(OR('Visual SPC'!$C$4="",'Data Entry'!$C6054&gt;='Visual SPC'!$C$4),OR('Visual SPC'!$E$4="",'Data Entry'!$C6054&lt;='Visual SPC'!$E$4),OR('Visual SPC'!$G$4="",'Data Entry'!$D6054='Visual SPC'!$G$4),OR('Visual SPC'!$I$4="",'Data Entry'!$E6054='Visual SPC'!$I$4),OR('Visual SPC'!$K$4="",'Data Entry'!$F6054='Visual SPC'!$K$4)),1,0))</f>
        <v/>
      </c>
      <c r="C6054">
        <f>C6053+B6054</f>
        <v/>
      </c>
      <c r="D6054">
        <f>IF(B6054=1,INDEX('Data Entry'!$H$5:$BE$10004,6054-4,'Visual SPC'!$B$3),"")</f>
        <v/>
      </c>
      <c r="E6054">
        <f>IF(B6054=1,D6054,E6053)</f>
        <v/>
      </c>
      <c r="F6054">
        <f>IF(AND(B6054=1,C6054&gt;1,E6053&lt;&gt;""),ABS(D6054-E6053),"")</f>
        <v/>
      </c>
    </row>
    <row r="6055">
      <c r="A6055" t="n">
        <v>6055</v>
      </c>
      <c r="B6055">
        <f>IF(INDEX('Data Entry'!$H$5:$BE$10004,6055-4,'Visual SPC'!$B$3)="",0,IF(AND(OR('Visual SPC'!$C$4="",'Data Entry'!$C6055&gt;='Visual SPC'!$C$4),OR('Visual SPC'!$E$4="",'Data Entry'!$C6055&lt;='Visual SPC'!$E$4),OR('Visual SPC'!$G$4="",'Data Entry'!$D6055='Visual SPC'!$G$4),OR('Visual SPC'!$I$4="",'Data Entry'!$E6055='Visual SPC'!$I$4),OR('Visual SPC'!$K$4="",'Data Entry'!$F6055='Visual SPC'!$K$4)),1,0))</f>
        <v/>
      </c>
      <c r="C6055">
        <f>C6054+B6055</f>
        <v/>
      </c>
      <c r="D6055">
        <f>IF(B6055=1,INDEX('Data Entry'!$H$5:$BE$10004,6055-4,'Visual SPC'!$B$3),"")</f>
        <v/>
      </c>
      <c r="E6055">
        <f>IF(B6055=1,D6055,E6054)</f>
        <v/>
      </c>
      <c r="F6055">
        <f>IF(AND(B6055=1,C6055&gt;1,E6054&lt;&gt;""),ABS(D6055-E6054),"")</f>
        <v/>
      </c>
    </row>
    <row r="6056">
      <c r="A6056" t="n">
        <v>6056</v>
      </c>
      <c r="B6056">
        <f>IF(INDEX('Data Entry'!$H$5:$BE$10004,6056-4,'Visual SPC'!$B$3)="",0,IF(AND(OR('Visual SPC'!$C$4="",'Data Entry'!$C6056&gt;='Visual SPC'!$C$4),OR('Visual SPC'!$E$4="",'Data Entry'!$C6056&lt;='Visual SPC'!$E$4),OR('Visual SPC'!$G$4="",'Data Entry'!$D6056='Visual SPC'!$G$4),OR('Visual SPC'!$I$4="",'Data Entry'!$E6056='Visual SPC'!$I$4),OR('Visual SPC'!$K$4="",'Data Entry'!$F6056='Visual SPC'!$K$4)),1,0))</f>
        <v/>
      </c>
      <c r="C6056">
        <f>C6055+B6056</f>
        <v/>
      </c>
      <c r="D6056">
        <f>IF(B6056=1,INDEX('Data Entry'!$H$5:$BE$10004,6056-4,'Visual SPC'!$B$3),"")</f>
        <v/>
      </c>
      <c r="E6056">
        <f>IF(B6056=1,D6056,E6055)</f>
        <v/>
      </c>
      <c r="F6056">
        <f>IF(AND(B6056=1,C6056&gt;1,E6055&lt;&gt;""),ABS(D6056-E6055),"")</f>
        <v/>
      </c>
    </row>
    <row r="6057">
      <c r="A6057" t="n">
        <v>6057</v>
      </c>
      <c r="B6057">
        <f>IF(INDEX('Data Entry'!$H$5:$BE$10004,6057-4,'Visual SPC'!$B$3)="",0,IF(AND(OR('Visual SPC'!$C$4="",'Data Entry'!$C6057&gt;='Visual SPC'!$C$4),OR('Visual SPC'!$E$4="",'Data Entry'!$C6057&lt;='Visual SPC'!$E$4),OR('Visual SPC'!$G$4="",'Data Entry'!$D6057='Visual SPC'!$G$4),OR('Visual SPC'!$I$4="",'Data Entry'!$E6057='Visual SPC'!$I$4),OR('Visual SPC'!$K$4="",'Data Entry'!$F6057='Visual SPC'!$K$4)),1,0))</f>
        <v/>
      </c>
      <c r="C6057">
        <f>C6056+B6057</f>
        <v/>
      </c>
      <c r="D6057">
        <f>IF(B6057=1,INDEX('Data Entry'!$H$5:$BE$10004,6057-4,'Visual SPC'!$B$3),"")</f>
        <v/>
      </c>
      <c r="E6057">
        <f>IF(B6057=1,D6057,E6056)</f>
        <v/>
      </c>
      <c r="F6057">
        <f>IF(AND(B6057=1,C6057&gt;1,E6056&lt;&gt;""),ABS(D6057-E6056),"")</f>
        <v/>
      </c>
    </row>
    <row r="6058">
      <c r="A6058" t="n">
        <v>6058</v>
      </c>
      <c r="B6058">
        <f>IF(INDEX('Data Entry'!$H$5:$BE$10004,6058-4,'Visual SPC'!$B$3)="",0,IF(AND(OR('Visual SPC'!$C$4="",'Data Entry'!$C6058&gt;='Visual SPC'!$C$4),OR('Visual SPC'!$E$4="",'Data Entry'!$C6058&lt;='Visual SPC'!$E$4),OR('Visual SPC'!$G$4="",'Data Entry'!$D6058='Visual SPC'!$G$4),OR('Visual SPC'!$I$4="",'Data Entry'!$E6058='Visual SPC'!$I$4),OR('Visual SPC'!$K$4="",'Data Entry'!$F6058='Visual SPC'!$K$4)),1,0))</f>
        <v/>
      </c>
      <c r="C6058">
        <f>C6057+B6058</f>
        <v/>
      </c>
      <c r="D6058">
        <f>IF(B6058=1,INDEX('Data Entry'!$H$5:$BE$10004,6058-4,'Visual SPC'!$B$3),"")</f>
        <v/>
      </c>
      <c r="E6058">
        <f>IF(B6058=1,D6058,E6057)</f>
        <v/>
      </c>
      <c r="F6058">
        <f>IF(AND(B6058=1,C6058&gt;1,E6057&lt;&gt;""),ABS(D6058-E6057),"")</f>
        <v/>
      </c>
    </row>
    <row r="6059">
      <c r="A6059" t="n">
        <v>6059</v>
      </c>
      <c r="B6059">
        <f>IF(INDEX('Data Entry'!$H$5:$BE$10004,6059-4,'Visual SPC'!$B$3)="",0,IF(AND(OR('Visual SPC'!$C$4="",'Data Entry'!$C6059&gt;='Visual SPC'!$C$4),OR('Visual SPC'!$E$4="",'Data Entry'!$C6059&lt;='Visual SPC'!$E$4),OR('Visual SPC'!$G$4="",'Data Entry'!$D6059='Visual SPC'!$G$4),OR('Visual SPC'!$I$4="",'Data Entry'!$E6059='Visual SPC'!$I$4),OR('Visual SPC'!$K$4="",'Data Entry'!$F6059='Visual SPC'!$K$4)),1,0))</f>
        <v/>
      </c>
      <c r="C6059">
        <f>C6058+B6059</f>
        <v/>
      </c>
      <c r="D6059">
        <f>IF(B6059=1,INDEX('Data Entry'!$H$5:$BE$10004,6059-4,'Visual SPC'!$B$3),"")</f>
        <v/>
      </c>
      <c r="E6059">
        <f>IF(B6059=1,D6059,E6058)</f>
        <v/>
      </c>
      <c r="F6059">
        <f>IF(AND(B6059=1,C6059&gt;1,E6058&lt;&gt;""),ABS(D6059-E6058),"")</f>
        <v/>
      </c>
    </row>
    <row r="6060">
      <c r="A6060" t="n">
        <v>6060</v>
      </c>
      <c r="B6060">
        <f>IF(INDEX('Data Entry'!$H$5:$BE$10004,6060-4,'Visual SPC'!$B$3)="",0,IF(AND(OR('Visual SPC'!$C$4="",'Data Entry'!$C6060&gt;='Visual SPC'!$C$4),OR('Visual SPC'!$E$4="",'Data Entry'!$C6060&lt;='Visual SPC'!$E$4),OR('Visual SPC'!$G$4="",'Data Entry'!$D6060='Visual SPC'!$G$4),OR('Visual SPC'!$I$4="",'Data Entry'!$E6060='Visual SPC'!$I$4),OR('Visual SPC'!$K$4="",'Data Entry'!$F6060='Visual SPC'!$K$4)),1,0))</f>
        <v/>
      </c>
      <c r="C6060">
        <f>C6059+B6060</f>
        <v/>
      </c>
      <c r="D6060">
        <f>IF(B6060=1,INDEX('Data Entry'!$H$5:$BE$10004,6060-4,'Visual SPC'!$B$3),"")</f>
        <v/>
      </c>
      <c r="E6060">
        <f>IF(B6060=1,D6060,E6059)</f>
        <v/>
      </c>
      <c r="F6060">
        <f>IF(AND(B6060=1,C6060&gt;1,E6059&lt;&gt;""),ABS(D6060-E6059),"")</f>
        <v/>
      </c>
    </row>
    <row r="6061">
      <c r="A6061" t="n">
        <v>6061</v>
      </c>
      <c r="B6061">
        <f>IF(INDEX('Data Entry'!$H$5:$BE$10004,6061-4,'Visual SPC'!$B$3)="",0,IF(AND(OR('Visual SPC'!$C$4="",'Data Entry'!$C6061&gt;='Visual SPC'!$C$4),OR('Visual SPC'!$E$4="",'Data Entry'!$C6061&lt;='Visual SPC'!$E$4),OR('Visual SPC'!$G$4="",'Data Entry'!$D6061='Visual SPC'!$G$4),OR('Visual SPC'!$I$4="",'Data Entry'!$E6061='Visual SPC'!$I$4),OR('Visual SPC'!$K$4="",'Data Entry'!$F6061='Visual SPC'!$K$4)),1,0))</f>
        <v/>
      </c>
      <c r="C6061">
        <f>C6060+B6061</f>
        <v/>
      </c>
      <c r="D6061">
        <f>IF(B6061=1,INDEX('Data Entry'!$H$5:$BE$10004,6061-4,'Visual SPC'!$B$3),"")</f>
        <v/>
      </c>
      <c r="E6061">
        <f>IF(B6061=1,D6061,E6060)</f>
        <v/>
      </c>
      <c r="F6061">
        <f>IF(AND(B6061=1,C6061&gt;1,E6060&lt;&gt;""),ABS(D6061-E6060),"")</f>
        <v/>
      </c>
    </row>
    <row r="6062">
      <c r="A6062" t="n">
        <v>6062</v>
      </c>
      <c r="B6062">
        <f>IF(INDEX('Data Entry'!$H$5:$BE$10004,6062-4,'Visual SPC'!$B$3)="",0,IF(AND(OR('Visual SPC'!$C$4="",'Data Entry'!$C6062&gt;='Visual SPC'!$C$4),OR('Visual SPC'!$E$4="",'Data Entry'!$C6062&lt;='Visual SPC'!$E$4),OR('Visual SPC'!$G$4="",'Data Entry'!$D6062='Visual SPC'!$G$4),OR('Visual SPC'!$I$4="",'Data Entry'!$E6062='Visual SPC'!$I$4),OR('Visual SPC'!$K$4="",'Data Entry'!$F6062='Visual SPC'!$K$4)),1,0))</f>
        <v/>
      </c>
      <c r="C6062">
        <f>C6061+B6062</f>
        <v/>
      </c>
      <c r="D6062">
        <f>IF(B6062=1,INDEX('Data Entry'!$H$5:$BE$10004,6062-4,'Visual SPC'!$B$3),"")</f>
        <v/>
      </c>
      <c r="E6062">
        <f>IF(B6062=1,D6062,E6061)</f>
        <v/>
      </c>
      <c r="F6062">
        <f>IF(AND(B6062=1,C6062&gt;1,E6061&lt;&gt;""),ABS(D6062-E6061),"")</f>
        <v/>
      </c>
    </row>
    <row r="6063">
      <c r="A6063" t="n">
        <v>6063</v>
      </c>
      <c r="B6063">
        <f>IF(INDEX('Data Entry'!$H$5:$BE$10004,6063-4,'Visual SPC'!$B$3)="",0,IF(AND(OR('Visual SPC'!$C$4="",'Data Entry'!$C6063&gt;='Visual SPC'!$C$4),OR('Visual SPC'!$E$4="",'Data Entry'!$C6063&lt;='Visual SPC'!$E$4),OR('Visual SPC'!$G$4="",'Data Entry'!$D6063='Visual SPC'!$G$4),OR('Visual SPC'!$I$4="",'Data Entry'!$E6063='Visual SPC'!$I$4),OR('Visual SPC'!$K$4="",'Data Entry'!$F6063='Visual SPC'!$K$4)),1,0))</f>
        <v/>
      </c>
      <c r="C6063">
        <f>C6062+B6063</f>
        <v/>
      </c>
      <c r="D6063">
        <f>IF(B6063=1,INDEX('Data Entry'!$H$5:$BE$10004,6063-4,'Visual SPC'!$B$3),"")</f>
        <v/>
      </c>
      <c r="E6063">
        <f>IF(B6063=1,D6063,E6062)</f>
        <v/>
      </c>
      <c r="F6063">
        <f>IF(AND(B6063=1,C6063&gt;1,E6062&lt;&gt;""),ABS(D6063-E6062),"")</f>
        <v/>
      </c>
    </row>
    <row r="6064">
      <c r="A6064" t="n">
        <v>6064</v>
      </c>
      <c r="B6064">
        <f>IF(INDEX('Data Entry'!$H$5:$BE$10004,6064-4,'Visual SPC'!$B$3)="",0,IF(AND(OR('Visual SPC'!$C$4="",'Data Entry'!$C6064&gt;='Visual SPC'!$C$4),OR('Visual SPC'!$E$4="",'Data Entry'!$C6064&lt;='Visual SPC'!$E$4),OR('Visual SPC'!$G$4="",'Data Entry'!$D6064='Visual SPC'!$G$4),OR('Visual SPC'!$I$4="",'Data Entry'!$E6064='Visual SPC'!$I$4),OR('Visual SPC'!$K$4="",'Data Entry'!$F6064='Visual SPC'!$K$4)),1,0))</f>
        <v/>
      </c>
      <c r="C6064">
        <f>C6063+B6064</f>
        <v/>
      </c>
      <c r="D6064">
        <f>IF(B6064=1,INDEX('Data Entry'!$H$5:$BE$10004,6064-4,'Visual SPC'!$B$3),"")</f>
        <v/>
      </c>
      <c r="E6064">
        <f>IF(B6064=1,D6064,E6063)</f>
        <v/>
      </c>
      <c r="F6064">
        <f>IF(AND(B6064=1,C6064&gt;1,E6063&lt;&gt;""),ABS(D6064-E6063),"")</f>
        <v/>
      </c>
    </row>
    <row r="6065">
      <c r="A6065" t="n">
        <v>6065</v>
      </c>
      <c r="B6065">
        <f>IF(INDEX('Data Entry'!$H$5:$BE$10004,6065-4,'Visual SPC'!$B$3)="",0,IF(AND(OR('Visual SPC'!$C$4="",'Data Entry'!$C6065&gt;='Visual SPC'!$C$4),OR('Visual SPC'!$E$4="",'Data Entry'!$C6065&lt;='Visual SPC'!$E$4),OR('Visual SPC'!$G$4="",'Data Entry'!$D6065='Visual SPC'!$G$4),OR('Visual SPC'!$I$4="",'Data Entry'!$E6065='Visual SPC'!$I$4),OR('Visual SPC'!$K$4="",'Data Entry'!$F6065='Visual SPC'!$K$4)),1,0))</f>
        <v/>
      </c>
      <c r="C6065">
        <f>C6064+B6065</f>
        <v/>
      </c>
      <c r="D6065">
        <f>IF(B6065=1,INDEX('Data Entry'!$H$5:$BE$10004,6065-4,'Visual SPC'!$B$3),"")</f>
        <v/>
      </c>
      <c r="E6065">
        <f>IF(B6065=1,D6065,E6064)</f>
        <v/>
      </c>
      <c r="F6065">
        <f>IF(AND(B6065=1,C6065&gt;1,E6064&lt;&gt;""),ABS(D6065-E6064),"")</f>
        <v/>
      </c>
    </row>
    <row r="6066">
      <c r="A6066" t="n">
        <v>6066</v>
      </c>
      <c r="B6066">
        <f>IF(INDEX('Data Entry'!$H$5:$BE$10004,6066-4,'Visual SPC'!$B$3)="",0,IF(AND(OR('Visual SPC'!$C$4="",'Data Entry'!$C6066&gt;='Visual SPC'!$C$4),OR('Visual SPC'!$E$4="",'Data Entry'!$C6066&lt;='Visual SPC'!$E$4),OR('Visual SPC'!$G$4="",'Data Entry'!$D6066='Visual SPC'!$G$4),OR('Visual SPC'!$I$4="",'Data Entry'!$E6066='Visual SPC'!$I$4),OR('Visual SPC'!$K$4="",'Data Entry'!$F6066='Visual SPC'!$K$4)),1,0))</f>
        <v/>
      </c>
      <c r="C6066">
        <f>C6065+B6066</f>
        <v/>
      </c>
      <c r="D6066">
        <f>IF(B6066=1,INDEX('Data Entry'!$H$5:$BE$10004,6066-4,'Visual SPC'!$B$3),"")</f>
        <v/>
      </c>
      <c r="E6066">
        <f>IF(B6066=1,D6066,E6065)</f>
        <v/>
      </c>
      <c r="F6066">
        <f>IF(AND(B6066=1,C6066&gt;1,E6065&lt;&gt;""),ABS(D6066-E6065),"")</f>
        <v/>
      </c>
    </row>
    <row r="6067">
      <c r="A6067" t="n">
        <v>6067</v>
      </c>
      <c r="B6067">
        <f>IF(INDEX('Data Entry'!$H$5:$BE$10004,6067-4,'Visual SPC'!$B$3)="",0,IF(AND(OR('Visual SPC'!$C$4="",'Data Entry'!$C6067&gt;='Visual SPC'!$C$4),OR('Visual SPC'!$E$4="",'Data Entry'!$C6067&lt;='Visual SPC'!$E$4),OR('Visual SPC'!$G$4="",'Data Entry'!$D6067='Visual SPC'!$G$4),OR('Visual SPC'!$I$4="",'Data Entry'!$E6067='Visual SPC'!$I$4),OR('Visual SPC'!$K$4="",'Data Entry'!$F6067='Visual SPC'!$K$4)),1,0))</f>
        <v/>
      </c>
      <c r="C6067">
        <f>C6066+B6067</f>
        <v/>
      </c>
      <c r="D6067">
        <f>IF(B6067=1,INDEX('Data Entry'!$H$5:$BE$10004,6067-4,'Visual SPC'!$B$3),"")</f>
        <v/>
      </c>
      <c r="E6067">
        <f>IF(B6067=1,D6067,E6066)</f>
        <v/>
      </c>
      <c r="F6067">
        <f>IF(AND(B6067=1,C6067&gt;1,E6066&lt;&gt;""),ABS(D6067-E6066),"")</f>
        <v/>
      </c>
    </row>
    <row r="6068">
      <c r="A6068" t="n">
        <v>6068</v>
      </c>
      <c r="B6068">
        <f>IF(INDEX('Data Entry'!$H$5:$BE$10004,6068-4,'Visual SPC'!$B$3)="",0,IF(AND(OR('Visual SPC'!$C$4="",'Data Entry'!$C6068&gt;='Visual SPC'!$C$4),OR('Visual SPC'!$E$4="",'Data Entry'!$C6068&lt;='Visual SPC'!$E$4),OR('Visual SPC'!$G$4="",'Data Entry'!$D6068='Visual SPC'!$G$4),OR('Visual SPC'!$I$4="",'Data Entry'!$E6068='Visual SPC'!$I$4),OR('Visual SPC'!$K$4="",'Data Entry'!$F6068='Visual SPC'!$K$4)),1,0))</f>
        <v/>
      </c>
      <c r="C6068">
        <f>C6067+B6068</f>
        <v/>
      </c>
      <c r="D6068">
        <f>IF(B6068=1,INDEX('Data Entry'!$H$5:$BE$10004,6068-4,'Visual SPC'!$B$3),"")</f>
        <v/>
      </c>
      <c r="E6068">
        <f>IF(B6068=1,D6068,E6067)</f>
        <v/>
      </c>
      <c r="F6068">
        <f>IF(AND(B6068=1,C6068&gt;1,E6067&lt;&gt;""),ABS(D6068-E6067),"")</f>
        <v/>
      </c>
    </row>
    <row r="6069">
      <c r="A6069" t="n">
        <v>6069</v>
      </c>
      <c r="B6069">
        <f>IF(INDEX('Data Entry'!$H$5:$BE$10004,6069-4,'Visual SPC'!$B$3)="",0,IF(AND(OR('Visual SPC'!$C$4="",'Data Entry'!$C6069&gt;='Visual SPC'!$C$4),OR('Visual SPC'!$E$4="",'Data Entry'!$C6069&lt;='Visual SPC'!$E$4),OR('Visual SPC'!$G$4="",'Data Entry'!$D6069='Visual SPC'!$G$4),OR('Visual SPC'!$I$4="",'Data Entry'!$E6069='Visual SPC'!$I$4),OR('Visual SPC'!$K$4="",'Data Entry'!$F6069='Visual SPC'!$K$4)),1,0))</f>
        <v/>
      </c>
      <c r="C6069">
        <f>C6068+B6069</f>
        <v/>
      </c>
      <c r="D6069">
        <f>IF(B6069=1,INDEX('Data Entry'!$H$5:$BE$10004,6069-4,'Visual SPC'!$B$3),"")</f>
        <v/>
      </c>
      <c r="E6069">
        <f>IF(B6069=1,D6069,E6068)</f>
        <v/>
      </c>
      <c r="F6069">
        <f>IF(AND(B6069=1,C6069&gt;1,E6068&lt;&gt;""),ABS(D6069-E6068),"")</f>
        <v/>
      </c>
    </row>
    <row r="6070">
      <c r="A6070" t="n">
        <v>6070</v>
      </c>
      <c r="B6070">
        <f>IF(INDEX('Data Entry'!$H$5:$BE$10004,6070-4,'Visual SPC'!$B$3)="",0,IF(AND(OR('Visual SPC'!$C$4="",'Data Entry'!$C6070&gt;='Visual SPC'!$C$4),OR('Visual SPC'!$E$4="",'Data Entry'!$C6070&lt;='Visual SPC'!$E$4),OR('Visual SPC'!$G$4="",'Data Entry'!$D6070='Visual SPC'!$G$4),OR('Visual SPC'!$I$4="",'Data Entry'!$E6070='Visual SPC'!$I$4),OR('Visual SPC'!$K$4="",'Data Entry'!$F6070='Visual SPC'!$K$4)),1,0))</f>
        <v/>
      </c>
      <c r="C6070">
        <f>C6069+B6070</f>
        <v/>
      </c>
      <c r="D6070">
        <f>IF(B6070=1,INDEX('Data Entry'!$H$5:$BE$10004,6070-4,'Visual SPC'!$B$3),"")</f>
        <v/>
      </c>
      <c r="E6070">
        <f>IF(B6070=1,D6070,E6069)</f>
        <v/>
      </c>
      <c r="F6070">
        <f>IF(AND(B6070=1,C6070&gt;1,E6069&lt;&gt;""),ABS(D6070-E6069),"")</f>
        <v/>
      </c>
    </row>
    <row r="6071">
      <c r="A6071" t="n">
        <v>6071</v>
      </c>
      <c r="B6071">
        <f>IF(INDEX('Data Entry'!$H$5:$BE$10004,6071-4,'Visual SPC'!$B$3)="",0,IF(AND(OR('Visual SPC'!$C$4="",'Data Entry'!$C6071&gt;='Visual SPC'!$C$4),OR('Visual SPC'!$E$4="",'Data Entry'!$C6071&lt;='Visual SPC'!$E$4),OR('Visual SPC'!$G$4="",'Data Entry'!$D6071='Visual SPC'!$G$4),OR('Visual SPC'!$I$4="",'Data Entry'!$E6071='Visual SPC'!$I$4),OR('Visual SPC'!$K$4="",'Data Entry'!$F6071='Visual SPC'!$K$4)),1,0))</f>
        <v/>
      </c>
      <c r="C6071">
        <f>C6070+B6071</f>
        <v/>
      </c>
      <c r="D6071">
        <f>IF(B6071=1,INDEX('Data Entry'!$H$5:$BE$10004,6071-4,'Visual SPC'!$B$3),"")</f>
        <v/>
      </c>
      <c r="E6071">
        <f>IF(B6071=1,D6071,E6070)</f>
        <v/>
      </c>
      <c r="F6071">
        <f>IF(AND(B6071=1,C6071&gt;1,E6070&lt;&gt;""),ABS(D6071-E6070),"")</f>
        <v/>
      </c>
    </row>
    <row r="6072">
      <c r="A6072" t="n">
        <v>6072</v>
      </c>
      <c r="B6072">
        <f>IF(INDEX('Data Entry'!$H$5:$BE$10004,6072-4,'Visual SPC'!$B$3)="",0,IF(AND(OR('Visual SPC'!$C$4="",'Data Entry'!$C6072&gt;='Visual SPC'!$C$4),OR('Visual SPC'!$E$4="",'Data Entry'!$C6072&lt;='Visual SPC'!$E$4),OR('Visual SPC'!$G$4="",'Data Entry'!$D6072='Visual SPC'!$G$4),OR('Visual SPC'!$I$4="",'Data Entry'!$E6072='Visual SPC'!$I$4),OR('Visual SPC'!$K$4="",'Data Entry'!$F6072='Visual SPC'!$K$4)),1,0))</f>
        <v/>
      </c>
      <c r="C6072">
        <f>C6071+B6072</f>
        <v/>
      </c>
      <c r="D6072">
        <f>IF(B6072=1,INDEX('Data Entry'!$H$5:$BE$10004,6072-4,'Visual SPC'!$B$3),"")</f>
        <v/>
      </c>
      <c r="E6072">
        <f>IF(B6072=1,D6072,E6071)</f>
        <v/>
      </c>
      <c r="F6072">
        <f>IF(AND(B6072=1,C6072&gt;1,E6071&lt;&gt;""),ABS(D6072-E6071),"")</f>
        <v/>
      </c>
    </row>
    <row r="6073">
      <c r="A6073" t="n">
        <v>6073</v>
      </c>
      <c r="B6073">
        <f>IF(INDEX('Data Entry'!$H$5:$BE$10004,6073-4,'Visual SPC'!$B$3)="",0,IF(AND(OR('Visual SPC'!$C$4="",'Data Entry'!$C6073&gt;='Visual SPC'!$C$4),OR('Visual SPC'!$E$4="",'Data Entry'!$C6073&lt;='Visual SPC'!$E$4),OR('Visual SPC'!$G$4="",'Data Entry'!$D6073='Visual SPC'!$G$4),OR('Visual SPC'!$I$4="",'Data Entry'!$E6073='Visual SPC'!$I$4),OR('Visual SPC'!$K$4="",'Data Entry'!$F6073='Visual SPC'!$K$4)),1,0))</f>
        <v/>
      </c>
      <c r="C6073">
        <f>C6072+B6073</f>
        <v/>
      </c>
      <c r="D6073">
        <f>IF(B6073=1,INDEX('Data Entry'!$H$5:$BE$10004,6073-4,'Visual SPC'!$B$3),"")</f>
        <v/>
      </c>
      <c r="E6073">
        <f>IF(B6073=1,D6073,E6072)</f>
        <v/>
      </c>
      <c r="F6073">
        <f>IF(AND(B6073=1,C6073&gt;1,E6072&lt;&gt;""),ABS(D6073-E6072),"")</f>
        <v/>
      </c>
    </row>
    <row r="6074">
      <c r="A6074" t="n">
        <v>6074</v>
      </c>
      <c r="B6074">
        <f>IF(INDEX('Data Entry'!$H$5:$BE$10004,6074-4,'Visual SPC'!$B$3)="",0,IF(AND(OR('Visual SPC'!$C$4="",'Data Entry'!$C6074&gt;='Visual SPC'!$C$4),OR('Visual SPC'!$E$4="",'Data Entry'!$C6074&lt;='Visual SPC'!$E$4),OR('Visual SPC'!$G$4="",'Data Entry'!$D6074='Visual SPC'!$G$4),OR('Visual SPC'!$I$4="",'Data Entry'!$E6074='Visual SPC'!$I$4),OR('Visual SPC'!$K$4="",'Data Entry'!$F6074='Visual SPC'!$K$4)),1,0))</f>
        <v/>
      </c>
      <c r="C6074">
        <f>C6073+B6074</f>
        <v/>
      </c>
      <c r="D6074">
        <f>IF(B6074=1,INDEX('Data Entry'!$H$5:$BE$10004,6074-4,'Visual SPC'!$B$3),"")</f>
        <v/>
      </c>
      <c r="E6074">
        <f>IF(B6074=1,D6074,E6073)</f>
        <v/>
      </c>
      <c r="F6074">
        <f>IF(AND(B6074=1,C6074&gt;1,E6073&lt;&gt;""),ABS(D6074-E6073),"")</f>
        <v/>
      </c>
    </row>
    <row r="6075">
      <c r="A6075" t="n">
        <v>6075</v>
      </c>
      <c r="B6075">
        <f>IF(INDEX('Data Entry'!$H$5:$BE$10004,6075-4,'Visual SPC'!$B$3)="",0,IF(AND(OR('Visual SPC'!$C$4="",'Data Entry'!$C6075&gt;='Visual SPC'!$C$4),OR('Visual SPC'!$E$4="",'Data Entry'!$C6075&lt;='Visual SPC'!$E$4),OR('Visual SPC'!$G$4="",'Data Entry'!$D6075='Visual SPC'!$G$4),OR('Visual SPC'!$I$4="",'Data Entry'!$E6075='Visual SPC'!$I$4),OR('Visual SPC'!$K$4="",'Data Entry'!$F6075='Visual SPC'!$K$4)),1,0))</f>
        <v/>
      </c>
      <c r="C6075">
        <f>C6074+B6075</f>
        <v/>
      </c>
      <c r="D6075">
        <f>IF(B6075=1,INDEX('Data Entry'!$H$5:$BE$10004,6075-4,'Visual SPC'!$B$3),"")</f>
        <v/>
      </c>
      <c r="E6075">
        <f>IF(B6075=1,D6075,E6074)</f>
        <v/>
      </c>
      <c r="F6075">
        <f>IF(AND(B6075=1,C6075&gt;1,E6074&lt;&gt;""),ABS(D6075-E6074),"")</f>
        <v/>
      </c>
    </row>
    <row r="6076">
      <c r="A6076" t="n">
        <v>6076</v>
      </c>
      <c r="B6076">
        <f>IF(INDEX('Data Entry'!$H$5:$BE$10004,6076-4,'Visual SPC'!$B$3)="",0,IF(AND(OR('Visual SPC'!$C$4="",'Data Entry'!$C6076&gt;='Visual SPC'!$C$4),OR('Visual SPC'!$E$4="",'Data Entry'!$C6076&lt;='Visual SPC'!$E$4),OR('Visual SPC'!$G$4="",'Data Entry'!$D6076='Visual SPC'!$G$4),OR('Visual SPC'!$I$4="",'Data Entry'!$E6076='Visual SPC'!$I$4),OR('Visual SPC'!$K$4="",'Data Entry'!$F6076='Visual SPC'!$K$4)),1,0))</f>
        <v/>
      </c>
      <c r="C6076">
        <f>C6075+B6076</f>
        <v/>
      </c>
      <c r="D6076">
        <f>IF(B6076=1,INDEX('Data Entry'!$H$5:$BE$10004,6076-4,'Visual SPC'!$B$3),"")</f>
        <v/>
      </c>
      <c r="E6076">
        <f>IF(B6076=1,D6076,E6075)</f>
        <v/>
      </c>
      <c r="F6076">
        <f>IF(AND(B6076=1,C6076&gt;1,E6075&lt;&gt;""),ABS(D6076-E6075),"")</f>
        <v/>
      </c>
    </row>
    <row r="6077">
      <c r="A6077" t="n">
        <v>6077</v>
      </c>
      <c r="B6077">
        <f>IF(INDEX('Data Entry'!$H$5:$BE$10004,6077-4,'Visual SPC'!$B$3)="",0,IF(AND(OR('Visual SPC'!$C$4="",'Data Entry'!$C6077&gt;='Visual SPC'!$C$4),OR('Visual SPC'!$E$4="",'Data Entry'!$C6077&lt;='Visual SPC'!$E$4),OR('Visual SPC'!$G$4="",'Data Entry'!$D6077='Visual SPC'!$G$4),OR('Visual SPC'!$I$4="",'Data Entry'!$E6077='Visual SPC'!$I$4),OR('Visual SPC'!$K$4="",'Data Entry'!$F6077='Visual SPC'!$K$4)),1,0))</f>
        <v/>
      </c>
      <c r="C6077">
        <f>C6076+B6077</f>
        <v/>
      </c>
      <c r="D6077">
        <f>IF(B6077=1,INDEX('Data Entry'!$H$5:$BE$10004,6077-4,'Visual SPC'!$B$3),"")</f>
        <v/>
      </c>
      <c r="E6077">
        <f>IF(B6077=1,D6077,E6076)</f>
        <v/>
      </c>
      <c r="F6077">
        <f>IF(AND(B6077=1,C6077&gt;1,E6076&lt;&gt;""),ABS(D6077-E6076),"")</f>
        <v/>
      </c>
    </row>
    <row r="6078">
      <c r="A6078" t="n">
        <v>6078</v>
      </c>
      <c r="B6078">
        <f>IF(INDEX('Data Entry'!$H$5:$BE$10004,6078-4,'Visual SPC'!$B$3)="",0,IF(AND(OR('Visual SPC'!$C$4="",'Data Entry'!$C6078&gt;='Visual SPC'!$C$4),OR('Visual SPC'!$E$4="",'Data Entry'!$C6078&lt;='Visual SPC'!$E$4),OR('Visual SPC'!$G$4="",'Data Entry'!$D6078='Visual SPC'!$G$4),OR('Visual SPC'!$I$4="",'Data Entry'!$E6078='Visual SPC'!$I$4),OR('Visual SPC'!$K$4="",'Data Entry'!$F6078='Visual SPC'!$K$4)),1,0))</f>
        <v/>
      </c>
      <c r="C6078">
        <f>C6077+B6078</f>
        <v/>
      </c>
      <c r="D6078">
        <f>IF(B6078=1,INDEX('Data Entry'!$H$5:$BE$10004,6078-4,'Visual SPC'!$B$3),"")</f>
        <v/>
      </c>
      <c r="E6078">
        <f>IF(B6078=1,D6078,E6077)</f>
        <v/>
      </c>
      <c r="F6078">
        <f>IF(AND(B6078=1,C6078&gt;1,E6077&lt;&gt;""),ABS(D6078-E6077),"")</f>
        <v/>
      </c>
    </row>
    <row r="6079">
      <c r="A6079" t="n">
        <v>6079</v>
      </c>
      <c r="B6079">
        <f>IF(INDEX('Data Entry'!$H$5:$BE$10004,6079-4,'Visual SPC'!$B$3)="",0,IF(AND(OR('Visual SPC'!$C$4="",'Data Entry'!$C6079&gt;='Visual SPC'!$C$4),OR('Visual SPC'!$E$4="",'Data Entry'!$C6079&lt;='Visual SPC'!$E$4),OR('Visual SPC'!$G$4="",'Data Entry'!$D6079='Visual SPC'!$G$4),OR('Visual SPC'!$I$4="",'Data Entry'!$E6079='Visual SPC'!$I$4),OR('Visual SPC'!$K$4="",'Data Entry'!$F6079='Visual SPC'!$K$4)),1,0))</f>
        <v/>
      </c>
      <c r="C6079">
        <f>C6078+B6079</f>
        <v/>
      </c>
      <c r="D6079">
        <f>IF(B6079=1,INDEX('Data Entry'!$H$5:$BE$10004,6079-4,'Visual SPC'!$B$3),"")</f>
        <v/>
      </c>
      <c r="E6079">
        <f>IF(B6079=1,D6079,E6078)</f>
        <v/>
      </c>
      <c r="F6079">
        <f>IF(AND(B6079=1,C6079&gt;1,E6078&lt;&gt;""),ABS(D6079-E6078),"")</f>
        <v/>
      </c>
    </row>
    <row r="6080">
      <c r="A6080" t="n">
        <v>6080</v>
      </c>
      <c r="B6080">
        <f>IF(INDEX('Data Entry'!$H$5:$BE$10004,6080-4,'Visual SPC'!$B$3)="",0,IF(AND(OR('Visual SPC'!$C$4="",'Data Entry'!$C6080&gt;='Visual SPC'!$C$4),OR('Visual SPC'!$E$4="",'Data Entry'!$C6080&lt;='Visual SPC'!$E$4),OR('Visual SPC'!$G$4="",'Data Entry'!$D6080='Visual SPC'!$G$4),OR('Visual SPC'!$I$4="",'Data Entry'!$E6080='Visual SPC'!$I$4),OR('Visual SPC'!$K$4="",'Data Entry'!$F6080='Visual SPC'!$K$4)),1,0))</f>
        <v/>
      </c>
      <c r="C6080">
        <f>C6079+B6080</f>
        <v/>
      </c>
      <c r="D6080">
        <f>IF(B6080=1,INDEX('Data Entry'!$H$5:$BE$10004,6080-4,'Visual SPC'!$B$3),"")</f>
        <v/>
      </c>
      <c r="E6080">
        <f>IF(B6080=1,D6080,E6079)</f>
        <v/>
      </c>
      <c r="F6080">
        <f>IF(AND(B6080=1,C6080&gt;1,E6079&lt;&gt;""),ABS(D6080-E6079),"")</f>
        <v/>
      </c>
    </row>
    <row r="6081">
      <c r="A6081" t="n">
        <v>6081</v>
      </c>
      <c r="B6081">
        <f>IF(INDEX('Data Entry'!$H$5:$BE$10004,6081-4,'Visual SPC'!$B$3)="",0,IF(AND(OR('Visual SPC'!$C$4="",'Data Entry'!$C6081&gt;='Visual SPC'!$C$4),OR('Visual SPC'!$E$4="",'Data Entry'!$C6081&lt;='Visual SPC'!$E$4),OR('Visual SPC'!$G$4="",'Data Entry'!$D6081='Visual SPC'!$G$4),OR('Visual SPC'!$I$4="",'Data Entry'!$E6081='Visual SPC'!$I$4),OR('Visual SPC'!$K$4="",'Data Entry'!$F6081='Visual SPC'!$K$4)),1,0))</f>
        <v/>
      </c>
      <c r="C6081">
        <f>C6080+B6081</f>
        <v/>
      </c>
      <c r="D6081">
        <f>IF(B6081=1,INDEX('Data Entry'!$H$5:$BE$10004,6081-4,'Visual SPC'!$B$3),"")</f>
        <v/>
      </c>
      <c r="E6081">
        <f>IF(B6081=1,D6081,E6080)</f>
        <v/>
      </c>
      <c r="F6081">
        <f>IF(AND(B6081=1,C6081&gt;1,E6080&lt;&gt;""),ABS(D6081-E6080),"")</f>
        <v/>
      </c>
    </row>
    <row r="6082">
      <c r="A6082" t="n">
        <v>6082</v>
      </c>
      <c r="B6082">
        <f>IF(INDEX('Data Entry'!$H$5:$BE$10004,6082-4,'Visual SPC'!$B$3)="",0,IF(AND(OR('Visual SPC'!$C$4="",'Data Entry'!$C6082&gt;='Visual SPC'!$C$4),OR('Visual SPC'!$E$4="",'Data Entry'!$C6082&lt;='Visual SPC'!$E$4),OR('Visual SPC'!$G$4="",'Data Entry'!$D6082='Visual SPC'!$G$4),OR('Visual SPC'!$I$4="",'Data Entry'!$E6082='Visual SPC'!$I$4),OR('Visual SPC'!$K$4="",'Data Entry'!$F6082='Visual SPC'!$K$4)),1,0))</f>
        <v/>
      </c>
      <c r="C6082">
        <f>C6081+B6082</f>
        <v/>
      </c>
      <c r="D6082">
        <f>IF(B6082=1,INDEX('Data Entry'!$H$5:$BE$10004,6082-4,'Visual SPC'!$B$3),"")</f>
        <v/>
      </c>
      <c r="E6082">
        <f>IF(B6082=1,D6082,E6081)</f>
        <v/>
      </c>
      <c r="F6082">
        <f>IF(AND(B6082=1,C6082&gt;1,E6081&lt;&gt;""),ABS(D6082-E6081),"")</f>
        <v/>
      </c>
    </row>
    <row r="6083">
      <c r="A6083" t="n">
        <v>6083</v>
      </c>
      <c r="B6083">
        <f>IF(INDEX('Data Entry'!$H$5:$BE$10004,6083-4,'Visual SPC'!$B$3)="",0,IF(AND(OR('Visual SPC'!$C$4="",'Data Entry'!$C6083&gt;='Visual SPC'!$C$4),OR('Visual SPC'!$E$4="",'Data Entry'!$C6083&lt;='Visual SPC'!$E$4),OR('Visual SPC'!$G$4="",'Data Entry'!$D6083='Visual SPC'!$G$4),OR('Visual SPC'!$I$4="",'Data Entry'!$E6083='Visual SPC'!$I$4),OR('Visual SPC'!$K$4="",'Data Entry'!$F6083='Visual SPC'!$K$4)),1,0))</f>
        <v/>
      </c>
      <c r="C6083">
        <f>C6082+B6083</f>
        <v/>
      </c>
      <c r="D6083">
        <f>IF(B6083=1,INDEX('Data Entry'!$H$5:$BE$10004,6083-4,'Visual SPC'!$B$3),"")</f>
        <v/>
      </c>
      <c r="E6083">
        <f>IF(B6083=1,D6083,E6082)</f>
        <v/>
      </c>
      <c r="F6083">
        <f>IF(AND(B6083=1,C6083&gt;1,E6082&lt;&gt;""),ABS(D6083-E6082),"")</f>
        <v/>
      </c>
    </row>
    <row r="6084">
      <c r="A6084" t="n">
        <v>6084</v>
      </c>
      <c r="B6084">
        <f>IF(INDEX('Data Entry'!$H$5:$BE$10004,6084-4,'Visual SPC'!$B$3)="",0,IF(AND(OR('Visual SPC'!$C$4="",'Data Entry'!$C6084&gt;='Visual SPC'!$C$4),OR('Visual SPC'!$E$4="",'Data Entry'!$C6084&lt;='Visual SPC'!$E$4),OR('Visual SPC'!$G$4="",'Data Entry'!$D6084='Visual SPC'!$G$4),OR('Visual SPC'!$I$4="",'Data Entry'!$E6084='Visual SPC'!$I$4),OR('Visual SPC'!$K$4="",'Data Entry'!$F6084='Visual SPC'!$K$4)),1,0))</f>
        <v/>
      </c>
      <c r="C6084">
        <f>C6083+B6084</f>
        <v/>
      </c>
      <c r="D6084">
        <f>IF(B6084=1,INDEX('Data Entry'!$H$5:$BE$10004,6084-4,'Visual SPC'!$B$3),"")</f>
        <v/>
      </c>
      <c r="E6084">
        <f>IF(B6084=1,D6084,E6083)</f>
        <v/>
      </c>
      <c r="F6084">
        <f>IF(AND(B6084=1,C6084&gt;1,E6083&lt;&gt;""),ABS(D6084-E6083),"")</f>
        <v/>
      </c>
    </row>
    <row r="6085">
      <c r="A6085" t="n">
        <v>6085</v>
      </c>
      <c r="B6085">
        <f>IF(INDEX('Data Entry'!$H$5:$BE$10004,6085-4,'Visual SPC'!$B$3)="",0,IF(AND(OR('Visual SPC'!$C$4="",'Data Entry'!$C6085&gt;='Visual SPC'!$C$4),OR('Visual SPC'!$E$4="",'Data Entry'!$C6085&lt;='Visual SPC'!$E$4),OR('Visual SPC'!$G$4="",'Data Entry'!$D6085='Visual SPC'!$G$4),OR('Visual SPC'!$I$4="",'Data Entry'!$E6085='Visual SPC'!$I$4),OR('Visual SPC'!$K$4="",'Data Entry'!$F6085='Visual SPC'!$K$4)),1,0))</f>
        <v/>
      </c>
      <c r="C6085">
        <f>C6084+B6085</f>
        <v/>
      </c>
      <c r="D6085">
        <f>IF(B6085=1,INDEX('Data Entry'!$H$5:$BE$10004,6085-4,'Visual SPC'!$B$3),"")</f>
        <v/>
      </c>
      <c r="E6085">
        <f>IF(B6085=1,D6085,E6084)</f>
        <v/>
      </c>
      <c r="F6085">
        <f>IF(AND(B6085=1,C6085&gt;1,E6084&lt;&gt;""),ABS(D6085-E6084),"")</f>
        <v/>
      </c>
    </row>
    <row r="6086">
      <c r="A6086" t="n">
        <v>6086</v>
      </c>
      <c r="B6086">
        <f>IF(INDEX('Data Entry'!$H$5:$BE$10004,6086-4,'Visual SPC'!$B$3)="",0,IF(AND(OR('Visual SPC'!$C$4="",'Data Entry'!$C6086&gt;='Visual SPC'!$C$4),OR('Visual SPC'!$E$4="",'Data Entry'!$C6086&lt;='Visual SPC'!$E$4),OR('Visual SPC'!$G$4="",'Data Entry'!$D6086='Visual SPC'!$G$4),OR('Visual SPC'!$I$4="",'Data Entry'!$E6086='Visual SPC'!$I$4),OR('Visual SPC'!$K$4="",'Data Entry'!$F6086='Visual SPC'!$K$4)),1,0))</f>
        <v/>
      </c>
      <c r="C6086">
        <f>C6085+B6086</f>
        <v/>
      </c>
      <c r="D6086">
        <f>IF(B6086=1,INDEX('Data Entry'!$H$5:$BE$10004,6086-4,'Visual SPC'!$B$3),"")</f>
        <v/>
      </c>
      <c r="E6086">
        <f>IF(B6086=1,D6086,E6085)</f>
        <v/>
      </c>
      <c r="F6086">
        <f>IF(AND(B6086=1,C6086&gt;1,E6085&lt;&gt;""),ABS(D6086-E6085),"")</f>
        <v/>
      </c>
    </row>
    <row r="6087">
      <c r="A6087" t="n">
        <v>6087</v>
      </c>
      <c r="B6087">
        <f>IF(INDEX('Data Entry'!$H$5:$BE$10004,6087-4,'Visual SPC'!$B$3)="",0,IF(AND(OR('Visual SPC'!$C$4="",'Data Entry'!$C6087&gt;='Visual SPC'!$C$4),OR('Visual SPC'!$E$4="",'Data Entry'!$C6087&lt;='Visual SPC'!$E$4),OR('Visual SPC'!$G$4="",'Data Entry'!$D6087='Visual SPC'!$G$4),OR('Visual SPC'!$I$4="",'Data Entry'!$E6087='Visual SPC'!$I$4),OR('Visual SPC'!$K$4="",'Data Entry'!$F6087='Visual SPC'!$K$4)),1,0))</f>
        <v/>
      </c>
      <c r="C6087">
        <f>C6086+B6087</f>
        <v/>
      </c>
      <c r="D6087">
        <f>IF(B6087=1,INDEX('Data Entry'!$H$5:$BE$10004,6087-4,'Visual SPC'!$B$3),"")</f>
        <v/>
      </c>
      <c r="E6087">
        <f>IF(B6087=1,D6087,E6086)</f>
        <v/>
      </c>
      <c r="F6087">
        <f>IF(AND(B6087=1,C6087&gt;1,E6086&lt;&gt;""),ABS(D6087-E6086),"")</f>
        <v/>
      </c>
    </row>
    <row r="6088">
      <c r="A6088" t="n">
        <v>6088</v>
      </c>
      <c r="B6088">
        <f>IF(INDEX('Data Entry'!$H$5:$BE$10004,6088-4,'Visual SPC'!$B$3)="",0,IF(AND(OR('Visual SPC'!$C$4="",'Data Entry'!$C6088&gt;='Visual SPC'!$C$4),OR('Visual SPC'!$E$4="",'Data Entry'!$C6088&lt;='Visual SPC'!$E$4),OR('Visual SPC'!$G$4="",'Data Entry'!$D6088='Visual SPC'!$G$4),OR('Visual SPC'!$I$4="",'Data Entry'!$E6088='Visual SPC'!$I$4),OR('Visual SPC'!$K$4="",'Data Entry'!$F6088='Visual SPC'!$K$4)),1,0))</f>
        <v/>
      </c>
      <c r="C6088">
        <f>C6087+B6088</f>
        <v/>
      </c>
      <c r="D6088">
        <f>IF(B6088=1,INDEX('Data Entry'!$H$5:$BE$10004,6088-4,'Visual SPC'!$B$3),"")</f>
        <v/>
      </c>
      <c r="E6088">
        <f>IF(B6088=1,D6088,E6087)</f>
        <v/>
      </c>
      <c r="F6088">
        <f>IF(AND(B6088=1,C6088&gt;1,E6087&lt;&gt;""),ABS(D6088-E6087),"")</f>
        <v/>
      </c>
    </row>
    <row r="6089">
      <c r="A6089" t="n">
        <v>6089</v>
      </c>
      <c r="B6089">
        <f>IF(INDEX('Data Entry'!$H$5:$BE$10004,6089-4,'Visual SPC'!$B$3)="",0,IF(AND(OR('Visual SPC'!$C$4="",'Data Entry'!$C6089&gt;='Visual SPC'!$C$4),OR('Visual SPC'!$E$4="",'Data Entry'!$C6089&lt;='Visual SPC'!$E$4),OR('Visual SPC'!$G$4="",'Data Entry'!$D6089='Visual SPC'!$G$4),OR('Visual SPC'!$I$4="",'Data Entry'!$E6089='Visual SPC'!$I$4),OR('Visual SPC'!$K$4="",'Data Entry'!$F6089='Visual SPC'!$K$4)),1,0))</f>
        <v/>
      </c>
      <c r="C6089">
        <f>C6088+B6089</f>
        <v/>
      </c>
      <c r="D6089">
        <f>IF(B6089=1,INDEX('Data Entry'!$H$5:$BE$10004,6089-4,'Visual SPC'!$B$3),"")</f>
        <v/>
      </c>
      <c r="E6089">
        <f>IF(B6089=1,D6089,E6088)</f>
        <v/>
      </c>
      <c r="F6089">
        <f>IF(AND(B6089=1,C6089&gt;1,E6088&lt;&gt;""),ABS(D6089-E6088),"")</f>
        <v/>
      </c>
    </row>
    <row r="6090">
      <c r="A6090" t="n">
        <v>6090</v>
      </c>
      <c r="B6090">
        <f>IF(INDEX('Data Entry'!$H$5:$BE$10004,6090-4,'Visual SPC'!$B$3)="",0,IF(AND(OR('Visual SPC'!$C$4="",'Data Entry'!$C6090&gt;='Visual SPC'!$C$4),OR('Visual SPC'!$E$4="",'Data Entry'!$C6090&lt;='Visual SPC'!$E$4),OR('Visual SPC'!$G$4="",'Data Entry'!$D6090='Visual SPC'!$G$4),OR('Visual SPC'!$I$4="",'Data Entry'!$E6090='Visual SPC'!$I$4),OR('Visual SPC'!$K$4="",'Data Entry'!$F6090='Visual SPC'!$K$4)),1,0))</f>
        <v/>
      </c>
      <c r="C6090">
        <f>C6089+B6090</f>
        <v/>
      </c>
      <c r="D6090">
        <f>IF(B6090=1,INDEX('Data Entry'!$H$5:$BE$10004,6090-4,'Visual SPC'!$B$3),"")</f>
        <v/>
      </c>
      <c r="E6090">
        <f>IF(B6090=1,D6090,E6089)</f>
        <v/>
      </c>
      <c r="F6090">
        <f>IF(AND(B6090=1,C6090&gt;1,E6089&lt;&gt;""),ABS(D6090-E6089),"")</f>
        <v/>
      </c>
    </row>
    <row r="6091">
      <c r="A6091" t="n">
        <v>6091</v>
      </c>
      <c r="B6091">
        <f>IF(INDEX('Data Entry'!$H$5:$BE$10004,6091-4,'Visual SPC'!$B$3)="",0,IF(AND(OR('Visual SPC'!$C$4="",'Data Entry'!$C6091&gt;='Visual SPC'!$C$4),OR('Visual SPC'!$E$4="",'Data Entry'!$C6091&lt;='Visual SPC'!$E$4),OR('Visual SPC'!$G$4="",'Data Entry'!$D6091='Visual SPC'!$G$4),OR('Visual SPC'!$I$4="",'Data Entry'!$E6091='Visual SPC'!$I$4),OR('Visual SPC'!$K$4="",'Data Entry'!$F6091='Visual SPC'!$K$4)),1,0))</f>
        <v/>
      </c>
      <c r="C6091">
        <f>C6090+B6091</f>
        <v/>
      </c>
      <c r="D6091">
        <f>IF(B6091=1,INDEX('Data Entry'!$H$5:$BE$10004,6091-4,'Visual SPC'!$B$3),"")</f>
        <v/>
      </c>
      <c r="E6091">
        <f>IF(B6091=1,D6091,E6090)</f>
        <v/>
      </c>
      <c r="F6091">
        <f>IF(AND(B6091=1,C6091&gt;1,E6090&lt;&gt;""),ABS(D6091-E6090),"")</f>
        <v/>
      </c>
    </row>
    <row r="6092">
      <c r="A6092" t="n">
        <v>6092</v>
      </c>
      <c r="B6092">
        <f>IF(INDEX('Data Entry'!$H$5:$BE$10004,6092-4,'Visual SPC'!$B$3)="",0,IF(AND(OR('Visual SPC'!$C$4="",'Data Entry'!$C6092&gt;='Visual SPC'!$C$4),OR('Visual SPC'!$E$4="",'Data Entry'!$C6092&lt;='Visual SPC'!$E$4),OR('Visual SPC'!$G$4="",'Data Entry'!$D6092='Visual SPC'!$G$4),OR('Visual SPC'!$I$4="",'Data Entry'!$E6092='Visual SPC'!$I$4),OR('Visual SPC'!$K$4="",'Data Entry'!$F6092='Visual SPC'!$K$4)),1,0))</f>
        <v/>
      </c>
      <c r="C6092">
        <f>C6091+B6092</f>
        <v/>
      </c>
      <c r="D6092">
        <f>IF(B6092=1,INDEX('Data Entry'!$H$5:$BE$10004,6092-4,'Visual SPC'!$B$3),"")</f>
        <v/>
      </c>
      <c r="E6092">
        <f>IF(B6092=1,D6092,E6091)</f>
        <v/>
      </c>
      <c r="F6092">
        <f>IF(AND(B6092=1,C6092&gt;1,E6091&lt;&gt;""),ABS(D6092-E6091),"")</f>
        <v/>
      </c>
    </row>
    <row r="6093">
      <c r="A6093" t="n">
        <v>6093</v>
      </c>
      <c r="B6093">
        <f>IF(INDEX('Data Entry'!$H$5:$BE$10004,6093-4,'Visual SPC'!$B$3)="",0,IF(AND(OR('Visual SPC'!$C$4="",'Data Entry'!$C6093&gt;='Visual SPC'!$C$4),OR('Visual SPC'!$E$4="",'Data Entry'!$C6093&lt;='Visual SPC'!$E$4),OR('Visual SPC'!$G$4="",'Data Entry'!$D6093='Visual SPC'!$G$4),OR('Visual SPC'!$I$4="",'Data Entry'!$E6093='Visual SPC'!$I$4),OR('Visual SPC'!$K$4="",'Data Entry'!$F6093='Visual SPC'!$K$4)),1,0))</f>
        <v/>
      </c>
      <c r="C6093">
        <f>C6092+B6093</f>
        <v/>
      </c>
      <c r="D6093">
        <f>IF(B6093=1,INDEX('Data Entry'!$H$5:$BE$10004,6093-4,'Visual SPC'!$B$3),"")</f>
        <v/>
      </c>
      <c r="E6093">
        <f>IF(B6093=1,D6093,E6092)</f>
        <v/>
      </c>
      <c r="F6093">
        <f>IF(AND(B6093=1,C6093&gt;1,E6092&lt;&gt;""),ABS(D6093-E6092),"")</f>
        <v/>
      </c>
    </row>
    <row r="6094">
      <c r="A6094" t="n">
        <v>6094</v>
      </c>
      <c r="B6094">
        <f>IF(INDEX('Data Entry'!$H$5:$BE$10004,6094-4,'Visual SPC'!$B$3)="",0,IF(AND(OR('Visual SPC'!$C$4="",'Data Entry'!$C6094&gt;='Visual SPC'!$C$4),OR('Visual SPC'!$E$4="",'Data Entry'!$C6094&lt;='Visual SPC'!$E$4),OR('Visual SPC'!$G$4="",'Data Entry'!$D6094='Visual SPC'!$G$4),OR('Visual SPC'!$I$4="",'Data Entry'!$E6094='Visual SPC'!$I$4),OR('Visual SPC'!$K$4="",'Data Entry'!$F6094='Visual SPC'!$K$4)),1,0))</f>
        <v/>
      </c>
      <c r="C6094">
        <f>C6093+B6094</f>
        <v/>
      </c>
      <c r="D6094">
        <f>IF(B6094=1,INDEX('Data Entry'!$H$5:$BE$10004,6094-4,'Visual SPC'!$B$3),"")</f>
        <v/>
      </c>
      <c r="E6094">
        <f>IF(B6094=1,D6094,E6093)</f>
        <v/>
      </c>
      <c r="F6094">
        <f>IF(AND(B6094=1,C6094&gt;1,E6093&lt;&gt;""),ABS(D6094-E6093),"")</f>
        <v/>
      </c>
    </row>
    <row r="6095">
      <c r="A6095" t="n">
        <v>6095</v>
      </c>
      <c r="B6095">
        <f>IF(INDEX('Data Entry'!$H$5:$BE$10004,6095-4,'Visual SPC'!$B$3)="",0,IF(AND(OR('Visual SPC'!$C$4="",'Data Entry'!$C6095&gt;='Visual SPC'!$C$4),OR('Visual SPC'!$E$4="",'Data Entry'!$C6095&lt;='Visual SPC'!$E$4),OR('Visual SPC'!$G$4="",'Data Entry'!$D6095='Visual SPC'!$G$4),OR('Visual SPC'!$I$4="",'Data Entry'!$E6095='Visual SPC'!$I$4),OR('Visual SPC'!$K$4="",'Data Entry'!$F6095='Visual SPC'!$K$4)),1,0))</f>
        <v/>
      </c>
      <c r="C6095">
        <f>C6094+B6095</f>
        <v/>
      </c>
      <c r="D6095">
        <f>IF(B6095=1,INDEX('Data Entry'!$H$5:$BE$10004,6095-4,'Visual SPC'!$B$3),"")</f>
        <v/>
      </c>
      <c r="E6095">
        <f>IF(B6095=1,D6095,E6094)</f>
        <v/>
      </c>
      <c r="F6095">
        <f>IF(AND(B6095=1,C6095&gt;1,E6094&lt;&gt;""),ABS(D6095-E6094),"")</f>
        <v/>
      </c>
    </row>
    <row r="6096">
      <c r="A6096" t="n">
        <v>6096</v>
      </c>
      <c r="B6096">
        <f>IF(INDEX('Data Entry'!$H$5:$BE$10004,6096-4,'Visual SPC'!$B$3)="",0,IF(AND(OR('Visual SPC'!$C$4="",'Data Entry'!$C6096&gt;='Visual SPC'!$C$4),OR('Visual SPC'!$E$4="",'Data Entry'!$C6096&lt;='Visual SPC'!$E$4),OR('Visual SPC'!$G$4="",'Data Entry'!$D6096='Visual SPC'!$G$4),OR('Visual SPC'!$I$4="",'Data Entry'!$E6096='Visual SPC'!$I$4),OR('Visual SPC'!$K$4="",'Data Entry'!$F6096='Visual SPC'!$K$4)),1,0))</f>
        <v/>
      </c>
      <c r="C6096">
        <f>C6095+B6096</f>
        <v/>
      </c>
      <c r="D6096">
        <f>IF(B6096=1,INDEX('Data Entry'!$H$5:$BE$10004,6096-4,'Visual SPC'!$B$3),"")</f>
        <v/>
      </c>
      <c r="E6096">
        <f>IF(B6096=1,D6096,E6095)</f>
        <v/>
      </c>
      <c r="F6096">
        <f>IF(AND(B6096=1,C6096&gt;1,E6095&lt;&gt;""),ABS(D6096-E6095),"")</f>
        <v/>
      </c>
    </row>
    <row r="6097">
      <c r="A6097" t="n">
        <v>6097</v>
      </c>
      <c r="B6097">
        <f>IF(INDEX('Data Entry'!$H$5:$BE$10004,6097-4,'Visual SPC'!$B$3)="",0,IF(AND(OR('Visual SPC'!$C$4="",'Data Entry'!$C6097&gt;='Visual SPC'!$C$4),OR('Visual SPC'!$E$4="",'Data Entry'!$C6097&lt;='Visual SPC'!$E$4),OR('Visual SPC'!$G$4="",'Data Entry'!$D6097='Visual SPC'!$G$4),OR('Visual SPC'!$I$4="",'Data Entry'!$E6097='Visual SPC'!$I$4),OR('Visual SPC'!$K$4="",'Data Entry'!$F6097='Visual SPC'!$K$4)),1,0))</f>
        <v/>
      </c>
      <c r="C6097">
        <f>C6096+B6097</f>
        <v/>
      </c>
      <c r="D6097">
        <f>IF(B6097=1,INDEX('Data Entry'!$H$5:$BE$10004,6097-4,'Visual SPC'!$B$3),"")</f>
        <v/>
      </c>
      <c r="E6097">
        <f>IF(B6097=1,D6097,E6096)</f>
        <v/>
      </c>
      <c r="F6097">
        <f>IF(AND(B6097=1,C6097&gt;1,E6096&lt;&gt;""),ABS(D6097-E6096),"")</f>
        <v/>
      </c>
    </row>
    <row r="6098">
      <c r="A6098" t="n">
        <v>6098</v>
      </c>
      <c r="B6098">
        <f>IF(INDEX('Data Entry'!$H$5:$BE$10004,6098-4,'Visual SPC'!$B$3)="",0,IF(AND(OR('Visual SPC'!$C$4="",'Data Entry'!$C6098&gt;='Visual SPC'!$C$4),OR('Visual SPC'!$E$4="",'Data Entry'!$C6098&lt;='Visual SPC'!$E$4),OR('Visual SPC'!$G$4="",'Data Entry'!$D6098='Visual SPC'!$G$4),OR('Visual SPC'!$I$4="",'Data Entry'!$E6098='Visual SPC'!$I$4),OR('Visual SPC'!$K$4="",'Data Entry'!$F6098='Visual SPC'!$K$4)),1,0))</f>
        <v/>
      </c>
      <c r="C6098">
        <f>C6097+B6098</f>
        <v/>
      </c>
      <c r="D6098">
        <f>IF(B6098=1,INDEX('Data Entry'!$H$5:$BE$10004,6098-4,'Visual SPC'!$B$3),"")</f>
        <v/>
      </c>
      <c r="E6098">
        <f>IF(B6098=1,D6098,E6097)</f>
        <v/>
      </c>
      <c r="F6098">
        <f>IF(AND(B6098=1,C6098&gt;1,E6097&lt;&gt;""),ABS(D6098-E6097),"")</f>
        <v/>
      </c>
    </row>
    <row r="6099">
      <c r="A6099" t="n">
        <v>6099</v>
      </c>
      <c r="B6099">
        <f>IF(INDEX('Data Entry'!$H$5:$BE$10004,6099-4,'Visual SPC'!$B$3)="",0,IF(AND(OR('Visual SPC'!$C$4="",'Data Entry'!$C6099&gt;='Visual SPC'!$C$4),OR('Visual SPC'!$E$4="",'Data Entry'!$C6099&lt;='Visual SPC'!$E$4),OR('Visual SPC'!$G$4="",'Data Entry'!$D6099='Visual SPC'!$G$4),OR('Visual SPC'!$I$4="",'Data Entry'!$E6099='Visual SPC'!$I$4),OR('Visual SPC'!$K$4="",'Data Entry'!$F6099='Visual SPC'!$K$4)),1,0))</f>
        <v/>
      </c>
      <c r="C6099">
        <f>C6098+B6099</f>
        <v/>
      </c>
      <c r="D6099">
        <f>IF(B6099=1,INDEX('Data Entry'!$H$5:$BE$10004,6099-4,'Visual SPC'!$B$3),"")</f>
        <v/>
      </c>
      <c r="E6099">
        <f>IF(B6099=1,D6099,E6098)</f>
        <v/>
      </c>
      <c r="F6099">
        <f>IF(AND(B6099=1,C6099&gt;1,E6098&lt;&gt;""),ABS(D6099-E6098),"")</f>
        <v/>
      </c>
    </row>
    <row r="6100">
      <c r="A6100" t="n">
        <v>6100</v>
      </c>
      <c r="B6100">
        <f>IF(INDEX('Data Entry'!$H$5:$BE$10004,6100-4,'Visual SPC'!$B$3)="",0,IF(AND(OR('Visual SPC'!$C$4="",'Data Entry'!$C6100&gt;='Visual SPC'!$C$4),OR('Visual SPC'!$E$4="",'Data Entry'!$C6100&lt;='Visual SPC'!$E$4),OR('Visual SPC'!$G$4="",'Data Entry'!$D6100='Visual SPC'!$G$4),OR('Visual SPC'!$I$4="",'Data Entry'!$E6100='Visual SPC'!$I$4),OR('Visual SPC'!$K$4="",'Data Entry'!$F6100='Visual SPC'!$K$4)),1,0))</f>
        <v/>
      </c>
      <c r="C6100">
        <f>C6099+B6100</f>
        <v/>
      </c>
      <c r="D6100">
        <f>IF(B6100=1,INDEX('Data Entry'!$H$5:$BE$10004,6100-4,'Visual SPC'!$B$3),"")</f>
        <v/>
      </c>
      <c r="E6100">
        <f>IF(B6100=1,D6100,E6099)</f>
        <v/>
      </c>
      <c r="F6100">
        <f>IF(AND(B6100=1,C6100&gt;1,E6099&lt;&gt;""),ABS(D6100-E6099),"")</f>
        <v/>
      </c>
    </row>
    <row r="6101">
      <c r="A6101" t="n">
        <v>6101</v>
      </c>
      <c r="B6101">
        <f>IF(INDEX('Data Entry'!$H$5:$BE$10004,6101-4,'Visual SPC'!$B$3)="",0,IF(AND(OR('Visual SPC'!$C$4="",'Data Entry'!$C6101&gt;='Visual SPC'!$C$4),OR('Visual SPC'!$E$4="",'Data Entry'!$C6101&lt;='Visual SPC'!$E$4),OR('Visual SPC'!$G$4="",'Data Entry'!$D6101='Visual SPC'!$G$4),OR('Visual SPC'!$I$4="",'Data Entry'!$E6101='Visual SPC'!$I$4),OR('Visual SPC'!$K$4="",'Data Entry'!$F6101='Visual SPC'!$K$4)),1,0))</f>
        <v/>
      </c>
      <c r="C6101">
        <f>C6100+B6101</f>
        <v/>
      </c>
      <c r="D6101">
        <f>IF(B6101=1,INDEX('Data Entry'!$H$5:$BE$10004,6101-4,'Visual SPC'!$B$3),"")</f>
        <v/>
      </c>
      <c r="E6101">
        <f>IF(B6101=1,D6101,E6100)</f>
        <v/>
      </c>
      <c r="F6101">
        <f>IF(AND(B6101=1,C6101&gt;1,E6100&lt;&gt;""),ABS(D6101-E6100),"")</f>
        <v/>
      </c>
    </row>
    <row r="6102">
      <c r="A6102" t="n">
        <v>6102</v>
      </c>
      <c r="B6102">
        <f>IF(INDEX('Data Entry'!$H$5:$BE$10004,6102-4,'Visual SPC'!$B$3)="",0,IF(AND(OR('Visual SPC'!$C$4="",'Data Entry'!$C6102&gt;='Visual SPC'!$C$4),OR('Visual SPC'!$E$4="",'Data Entry'!$C6102&lt;='Visual SPC'!$E$4),OR('Visual SPC'!$G$4="",'Data Entry'!$D6102='Visual SPC'!$G$4),OR('Visual SPC'!$I$4="",'Data Entry'!$E6102='Visual SPC'!$I$4),OR('Visual SPC'!$K$4="",'Data Entry'!$F6102='Visual SPC'!$K$4)),1,0))</f>
        <v/>
      </c>
      <c r="C6102">
        <f>C6101+B6102</f>
        <v/>
      </c>
      <c r="D6102">
        <f>IF(B6102=1,INDEX('Data Entry'!$H$5:$BE$10004,6102-4,'Visual SPC'!$B$3),"")</f>
        <v/>
      </c>
      <c r="E6102">
        <f>IF(B6102=1,D6102,E6101)</f>
        <v/>
      </c>
      <c r="F6102">
        <f>IF(AND(B6102=1,C6102&gt;1,E6101&lt;&gt;""),ABS(D6102-E6101),"")</f>
        <v/>
      </c>
    </row>
    <row r="6103">
      <c r="A6103" t="n">
        <v>6103</v>
      </c>
      <c r="B6103">
        <f>IF(INDEX('Data Entry'!$H$5:$BE$10004,6103-4,'Visual SPC'!$B$3)="",0,IF(AND(OR('Visual SPC'!$C$4="",'Data Entry'!$C6103&gt;='Visual SPC'!$C$4),OR('Visual SPC'!$E$4="",'Data Entry'!$C6103&lt;='Visual SPC'!$E$4),OR('Visual SPC'!$G$4="",'Data Entry'!$D6103='Visual SPC'!$G$4),OR('Visual SPC'!$I$4="",'Data Entry'!$E6103='Visual SPC'!$I$4),OR('Visual SPC'!$K$4="",'Data Entry'!$F6103='Visual SPC'!$K$4)),1,0))</f>
        <v/>
      </c>
      <c r="C6103">
        <f>C6102+B6103</f>
        <v/>
      </c>
      <c r="D6103">
        <f>IF(B6103=1,INDEX('Data Entry'!$H$5:$BE$10004,6103-4,'Visual SPC'!$B$3),"")</f>
        <v/>
      </c>
      <c r="E6103">
        <f>IF(B6103=1,D6103,E6102)</f>
        <v/>
      </c>
      <c r="F6103">
        <f>IF(AND(B6103=1,C6103&gt;1,E6102&lt;&gt;""),ABS(D6103-E6102),"")</f>
        <v/>
      </c>
    </row>
    <row r="6104">
      <c r="A6104" t="n">
        <v>6104</v>
      </c>
      <c r="B6104">
        <f>IF(INDEX('Data Entry'!$H$5:$BE$10004,6104-4,'Visual SPC'!$B$3)="",0,IF(AND(OR('Visual SPC'!$C$4="",'Data Entry'!$C6104&gt;='Visual SPC'!$C$4),OR('Visual SPC'!$E$4="",'Data Entry'!$C6104&lt;='Visual SPC'!$E$4),OR('Visual SPC'!$G$4="",'Data Entry'!$D6104='Visual SPC'!$G$4),OR('Visual SPC'!$I$4="",'Data Entry'!$E6104='Visual SPC'!$I$4),OR('Visual SPC'!$K$4="",'Data Entry'!$F6104='Visual SPC'!$K$4)),1,0))</f>
        <v/>
      </c>
      <c r="C6104">
        <f>C6103+B6104</f>
        <v/>
      </c>
      <c r="D6104">
        <f>IF(B6104=1,INDEX('Data Entry'!$H$5:$BE$10004,6104-4,'Visual SPC'!$B$3),"")</f>
        <v/>
      </c>
      <c r="E6104">
        <f>IF(B6104=1,D6104,E6103)</f>
        <v/>
      </c>
      <c r="F6104">
        <f>IF(AND(B6104=1,C6104&gt;1,E6103&lt;&gt;""),ABS(D6104-E6103),"")</f>
        <v/>
      </c>
    </row>
    <row r="6105">
      <c r="A6105" t="n">
        <v>6105</v>
      </c>
      <c r="B6105">
        <f>IF(INDEX('Data Entry'!$H$5:$BE$10004,6105-4,'Visual SPC'!$B$3)="",0,IF(AND(OR('Visual SPC'!$C$4="",'Data Entry'!$C6105&gt;='Visual SPC'!$C$4),OR('Visual SPC'!$E$4="",'Data Entry'!$C6105&lt;='Visual SPC'!$E$4),OR('Visual SPC'!$G$4="",'Data Entry'!$D6105='Visual SPC'!$G$4),OR('Visual SPC'!$I$4="",'Data Entry'!$E6105='Visual SPC'!$I$4),OR('Visual SPC'!$K$4="",'Data Entry'!$F6105='Visual SPC'!$K$4)),1,0))</f>
        <v/>
      </c>
      <c r="C6105">
        <f>C6104+B6105</f>
        <v/>
      </c>
      <c r="D6105">
        <f>IF(B6105=1,INDEX('Data Entry'!$H$5:$BE$10004,6105-4,'Visual SPC'!$B$3),"")</f>
        <v/>
      </c>
      <c r="E6105">
        <f>IF(B6105=1,D6105,E6104)</f>
        <v/>
      </c>
      <c r="F6105">
        <f>IF(AND(B6105=1,C6105&gt;1,E6104&lt;&gt;""),ABS(D6105-E6104),"")</f>
        <v/>
      </c>
    </row>
    <row r="6106">
      <c r="A6106" t="n">
        <v>6106</v>
      </c>
      <c r="B6106">
        <f>IF(INDEX('Data Entry'!$H$5:$BE$10004,6106-4,'Visual SPC'!$B$3)="",0,IF(AND(OR('Visual SPC'!$C$4="",'Data Entry'!$C6106&gt;='Visual SPC'!$C$4),OR('Visual SPC'!$E$4="",'Data Entry'!$C6106&lt;='Visual SPC'!$E$4),OR('Visual SPC'!$G$4="",'Data Entry'!$D6106='Visual SPC'!$G$4),OR('Visual SPC'!$I$4="",'Data Entry'!$E6106='Visual SPC'!$I$4),OR('Visual SPC'!$K$4="",'Data Entry'!$F6106='Visual SPC'!$K$4)),1,0))</f>
        <v/>
      </c>
      <c r="C6106">
        <f>C6105+B6106</f>
        <v/>
      </c>
      <c r="D6106">
        <f>IF(B6106=1,INDEX('Data Entry'!$H$5:$BE$10004,6106-4,'Visual SPC'!$B$3),"")</f>
        <v/>
      </c>
      <c r="E6106">
        <f>IF(B6106=1,D6106,E6105)</f>
        <v/>
      </c>
      <c r="F6106">
        <f>IF(AND(B6106=1,C6106&gt;1,E6105&lt;&gt;""),ABS(D6106-E6105),"")</f>
        <v/>
      </c>
    </row>
    <row r="6107">
      <c r="A6107" t="n">
        <v>6107</v>
      </c>
      <c r="B6107">
        <f>IF(INDEX('Data Entry'!$H$5:$BE$10004,6107-4,'Visual SPC'!$B$3)="",0,IF(AND(OR('Visual SPC'!$C$4="",'Data Entry'!$C6107&gt;='Visual SPC'!$C$4),OR('Visual SPC'!$E$4="",'Data Entry'!$C6107&lt;='Visual SPC'!$E$4),OR('Visual SPC'!$G$4="",'Data Entry'!$D6107='Visual SPC'!$G$4),OR('Visual SPC'!$I$4="",'Data Entry'!$E6107='Visual SPC'!$I$4),OR('Visual SPC'!$K$4="",'Data Entry'!$F6107='Visual SPC'!$K$4)),1,0))</f>
        <v/>
      </c>
      <c r="C6107">
        <f>C6106+B6107</f>
        <v/>
      </c>
      <c r="D6107">
        <f>IF(B6107=1,INDEX('Data Entry'!$H$5:$BE$10004,6107-4,'Visual SPC'!$B$3),"")</f>
        <v/>
      </c>
      <c r="E6107">
        <f>IF(B6107=1,D6107,E6106)</f>
        <v/>
      </c>
      <c r="F6107">
        <f>IF(AND(B6107=1,C6107&gt;1,E6106&lt;&gt;""),ABS(D6107-E6106),"")</f>
        <v/>
      </c>
    </row>
    <row r="6108">
      <c r="A6108" t="n">
        <v>6108</v>
      </c>
      <c r="B6108">
        <f>IF(INDEX('Data Entry'!$H$5:$BE$10004,6108-4,'Visual SPC'!$B$3)="",0,IF(AND(OR('Visual SPC'!$C$4="",'Data Entry'!$C6108&gt;='Visual SPC'!$C$4),OR('Visual SPC'!$E$4="",'Data Entry'!$C6108&lt;='Visual SPC'!$E$4),OR('Visual SPC'!$G$4="",'Data Entry'!$D6108='Visual SPC'!$G$4),OR('Visual SPC'!$I$4="",'Data Entry'!$E6108='Visual SPC'!$I$4),OR('Visual SPC'!$K$4="",'Data Entry'!$F6108='Visual SPC'!$K$4)),1,0))</f>
        <v/>
      </c>
      <c r="C6108">
        <f>C6107+B6108</f>
        <v/>
      </c>
      <c r="D6108">
        <f>IF(B6108=1,INDEX('Data Entry'!$H$5:$BE$10004,6108-4,'Visual SPC'!$B$3),"")</f>
        <v/>
      </c>
      <c r="E6108">
        <f>IF(B6108=1,D6108,E6107)</f>
        <v/>
      </c>
      <c r="F6108">
        <f>IF(AND(B6108=1,C6108&gt;1,E6107&lt;&gt;""),ABS(D6108-E6107),"")</f>
        <v/>
      </c>
    </row>
    <row r="6109">
      <c r="A6109" t="n">
        <v>6109</v>
      </c>
      <c r="B6109">
        <f>IF(INDEX('Data Entry'!$H$5:$BE$10004,6109-4,'Visual SPC'!$B$3)="",0,IF(AND(OR('Visual SPC'!$C$4="",'Data Entry'!$C6109&gt;='Visual SPC'!$C$4),OR('Visual SPC'!$E$4="",'Data Entry'!$C6109&lt;='Visual SPC'!$E$4),OR('Visual SPC'!$G$4="",'Data Entry'!$D6109='Visual SPC'!$G$4),OR('Visual SPC'!$I$4="",'Data Entry'!$E6109='Visual SPC'!$I$4),OR('Visual SPC'!$K$4="",'Data Entry'!$F6109='Visual SPC'!$K$4)),1,0))</f>
        <v/>
      </c>
      <c r="C6109">
        <f>C6108+B6109</f>
        <v/>
      </c>
      <c r="D6109">
        <f>IF(B6109=1,INDEX('Data Entry'!$H$5:$BE$10004,6109-4,'Visual SPC'!$B$3),"")</f>
        <v/>
      </c>
      <c r="E6109">
        <f>IF(B6109=1,D6109,E6108)</f>
        <v/>
      </c>
      <c r="F6109">
        <f>IF(AND(B6109=1,C6109&gt;1,E6108&lt;&gt;""),ABS(D6109-E6108),"")</f>
        <v/>
      </c>
    </row>
    <row r="6110">
      <c r="A6110" t="n">
        <v>6110</v>
      </c>
      <c r="B6110">
        <f>IF(INDEX('Data Entry'!$H$5:$BE$10004,6110-4,'Visual SPC'!$B$3)="",0,IF(AND(OR('Visual SPC'!$C$4="",'Data Entry'!$C6110&gt;='Visual SPC'!$C$4),OR('Visual SPC'!$E$4="",'Data Entry'!$C6110&lt;='Visual SPC'!$E$4),OR('Visual SPC'!$G$4="",'Data Entry'!$D6110='Visual SPC'!$G$4),OR('Visual SPC'!$I$4="",'Data Entry'!$E6110='Visual SPC'!$I$4),OR('Visual SPC'!$K$4="",'Data Entry'!$F6110='Visual SPC'!$K$4)),1,0))</f>
        <v/>
      </c>
      <c r="C6110">
        <f>C6109+B6110</f>
        <v/>
      </c>
      <c r="D6110">
        <f>IF(B6110=1,INDEX('Data Entry'!$H$5:$BE$10004,6110-4,'Visual SPC'!$B$3),"")</f>
        <v/>
      </c>
      <c r="E6110">
        <f>IF(B6110=1,D6110,E6109)</f>
        <v/>
      </c>
      <c r="F6110">
        <f>IF(AND(B6110=1,C6110&gt;1,E6109&lt;&gt;""),ABS(D6110-E6109),"")</f>
        <v/>
      </c>
    </row>
    <row r="6111">
      <c r="A6111" t="n">
        <v>6111</v>
      </c>
      <c r="B6111">
        <f>IF(INDEX('Data Entry'!$H$5:$BE$10004,6111-4,'Visual SPC'!$B$3)="",0,IF(AND(OR('Visual SPC'!$C$4="",'Data Entry'!$C6111&gt;='Visual SPC'!$C$4),OR('Visual SPC'!$E$4="",'Data Entry'!$C6111&lt;='Visual SPC'!$E$4),OR('Visual SPC'!$G$4="",'Data Entry'!$D6111='Visual SPC'!$G$4),OR('Visual SPC'!$I$4="",'Data Entry'!$E6111='Visual SPC'!$I$4),OR('Visual SPC'!$K$4="",'Data Entry'!$F6111='Visual SPC'!$K$4)),1,0))</f>
        <v/>
      </c>
      <c r="C6111">
        <f>C6110+B6111</f>
        <v/>
      </c>
      <c r="D6111">
        <f>IF(B6111=1,INDEX('Data Entry'!$H$5:$BE$10004,6111-4,'Visual SPC'!$B$3),"")</f>
        <v/>
      </c>
      <c r="E6111">
        <f>IF(B6111=1,D6111,E6110)</f>
        <v/>
      </c>
      <c r="F6111">
        <f>IF(AND(B6111=1,C6111&gt;1,E6110&lt;&gt;""),ABS(D6111-E6110),"")</f>
        <v/>
      </c>
    </row>
    <row r="6112">
      <c r="A6112" t="n">
        <v>6112</v>
      </c>
      <c r="B6112">
        <f>IF(INDEX('Data Entry'!$H$5:$BE$10004,6112-4,'Visual SPC'!$B$3)="",0,IF(AND(OR('Visual SPC'!$C$4="",'Data Entry'!$C6112&gt;='Visual SPC'!$C$4),OR('Visual SPC'!$E$4="",'Data Entry'!$C6112&lt;='Visual SPC'!$E$4),OR('Visual SPC'!$G$4="",'Data Entry'!$D6112='Visual SPC'!$G$4),OR('Visual SPC'!$I$4="",'Data Entry'!$E6112='Visual SPC'!$I$4),OR('Visual SPC'!$K$4="",'Data Entry'!$F6112='Visual SPC'!$K$4)),1,0))</f>
        <v/>
      </c>
      <c r="C6112">
        <f>C6111+B6112</f>
        <v/>
      </c>
      <c r="D6112">
        <f>IF(B6112=1,INDEX('Data Entry'!$H$5:$BE$10004,6112-4,'Visual SPC'!$B$3),"")</f>
        <v/>
      </c>
      <c r="E6112">
        <f>IF(B6112=1,D6112,E6111)</f>
        <v/>
      </c>
      <c r="F6112">
        <f>IF(AND(B6112=1,C6112&gt;1,E6111&lt;&gt;""),ABS(D6112-E6111),"")</f>
        <v/>
      </c>
    </row>
    <row r="6113">
      <c r="A6113" t="n">
        <v>6113</v>
      </c>
      <c r="B6113">
        <f>IF(INDEX('Data Entry'!$H$5:$BE$10004,6113-4,'Visual SPC'!$B$3)="",0,IF(AND(OR('Visual SPC'!$C$4="",'Data Entry'!$C6113&gt;='Visual SPC'!$C$4),OR('Visual SPC'!$E$4="",'Data Entry'!$C6113&lt;='Visual SPC'!$E$4),OR('Visual SPC'!$G$4="",'Data Entry'!$D6113='Visual SPC'!$G$4),OR('Visual SPC'!$I$4="",'Data Entry'!$E6113='Visual SPC'!$I$4),OR('Visual SPC'!$K$4="",'Data Entry'!$F6113='Visual SPC'!$K$4)),1,0))</f>
        <v/>
      </c>
      <c r="C6113">
        <f>C6112+B6113</f>
        <v/>
      </c>
      <c r="D6113">
        <f>IF(B6113=1,INDEX('Data Entry'!$H$5:$BE$10004,6113-4,'Visual SPC'!$B$3),"")</f>
        <v/>
      </c>
      <c r="E6113">
        <f>IF(B6113=1,D6113,E6112)</f>
        <v/>
      </c>
      <c r="F6113">
        <f>IF(AND(B6113=1,C6113&gt;1,E6112&lt;&gt;""),ABS(D6113-E6112),"")</f>
        <v/>
      </c>
    </row>
    <row r="6114">
      <c r="A6114" t="n">
        <v>6114</v>
      </c>
      <c r="B6114">
        <f>IF(INDEX('Data Entry'!$H$5:$BE$10004,6114-4,'Visual SPC'!$B$3)="",0,IF(AND(OR('Visual SPC'!$C$4="",'Data Entry'!$C6114&gt;='Visual SPC'!$C$4),OR('Visual SPC'!$E$4="",'Data Entry'!$C6114&lt;='Visual SPC'!$E$4),OR('Visual SPC'!$G$4="",'Data Entry'!$D6114='Visual SPC'!$G$4),OR('Visual SPC'!$I$4="",'Data Entry'!$E6114='Visual SPC'!$I$4),OR('Visual SPC'!$K$4="",'Data Entry'!$F6114='Visual SPC'!$K$4)),1,0))</f>
        <v/>
      </c>
      <c r="C6114">
        <f>C6113+B6114</f>
        <v/>
      </c>
      <c r="D6114">
        <f>IF(B6114=1,INDEX('Data Entry'!$H$5:$BE$10004,6114-4,'Visual SPC'!$B$3),"")</f>
        <v/>
      </c>
      <c r="E6114">
        <f>IF(B6114=1,D6114,E6113)</f>
        <v/>
      </c>
      <c r="F6114">
        <f>IF(AND(B6114=1,C6114&gt;1,E6113&lt;&gt;""),ABS(D6114-E6113),"")</f>
        <v/>
      </c>
    </row>
    <row r="6115">
      <c r="A6115" t="n">
        <v>6115</v>
      </c>
      <c r="B6115">
        <f>IF(INDEX('Data Entry'!$H$5:$BE$10004,6115-4,'Visual SPC'!$B$3)="",0,IF(AND(OR('Visual SPC'!$C$4="",'Data Entry'!$C6115&gt;='Visual SPC'!$C$4),OR('Visual SPC'!$E$4="",'Data Entry'!$C6115&lt;='Visual SPC'!$E$4),OR('Visual SPC'!$G$4="",'Data Entry'!$D6115='Visual SPC'!$G$4),OR('Visual SPC'!$I$4="",'Data Entry'!$E6115='Visual SPC'!$I$4),OR('Visual SPC'!$K$4="",'Data Entry'!$F6115='Visual SPC'!$K$4)),1,0))</f>
        <v/>
      </c>
      <c r="C6115">
        <f>C6114+B6115</f>
        <v/>
      </c>
      <c r="D6115">
        <f>IF(B6115=1,INDEX('Data Entry'!$H$5:$BE$10004,6115-4,'Visual SPC'!$B$3),"")</f>
        <v/>
      </c>
      <c r="E6115">
        <f>IF(B6115=1,D6115,E6114)</f>
        <v/>
      </c>
      <c r="F6115">
        <f>IF(AND(B6115=1,C6115&gt;1,E6114&lt;&gt;""),ABS(D6115-E6114),"")</f>
        <v/>
      </c>
    </row>
    <row r="6116">
      <c r="A6116" t="n">
        <v>6116</v>
      </c>
      <c r="B6116">
        <f>IF(INDEX('Data Entry'!$H$5:$BE$10004,6116-4,'Visual SPC'!$B$3)="",0,IF(AND(OR('Visual SPC'!$C$4="",'Data Entry'!$C6116&gt;='Visual SPC'!$C$4),OR('Visual SPC'!$E$4="",'Data Entry'!$C6116&lt;='Visual SPC'!$E$4),OR('Visual SPC'!$G$4="",'Data Entry'!$D6116='Visual SPC'!$G$4),OR('Visual SPC'!$I$4="",'Data Entry'!$E6116='Visual SPC'!$I$4),OR('Visual SPC'!$K$4="",'Data Entry'!$F6116='Visual SPC'!$K$4)),1,0))</f>
        <v/>
      </c>
      <c r="C6116">
        <f>C6115+B6116</f>
        <v/>
      </c>
      <c r="D6116">
        <f>IF(B6116=1,INDEX('Data Entry'!$H$5:$BE$10004,6116-4,'Visual SPC'!$B$3),"")</f>
        <v/>
      </c>
      <c r="E6116">
        <f>IF(B6116=1,D6116,E6115)</f>
        <v/>
      </c>
      <c r="F6116">
        <f>IF(AND(B6116=1,C6116&gt;1,E6115&lt;&gt;""),ABS(D6116-E6115),"")</f>
        <v/>
      </c>
    </row>
    <row r="6117">
      <c r="A6117" t="n">
        <v>6117</v>
      </c>
      <c r="B6117">
        <f>IF(INDEX('Data Entry'!$H$5:$BE$10004,6117-4,'Visual SPC'!$B$3)="",0,IF(AND(OR('Visual SPC'!$C$4="",'Data Entry'!$C6117&gt;='Visual SPC'!$C$4),OR('Visual SPC'!$E$4="",'Data Entry'!$C6117&lt;='Visual SPC'!$E$4),OR('Visual SPC'!$G$4="",'Data Entry'!$D6117='Visual SPC'!$G$4),OR('Visual SPC'!$I$4="",'Data Entry'!$E6117='Visual SPC'!$I$4),OR('Visual SPC'!$K$4="",'Data Entry'!$F6117='Visual SPC'!$K$4)),1,0))</f>
        <v/>
      </c>
      <c r="C6117">
        <f>C6116+B6117</f>
        <v/>
      </c>
      <c r="D6117">
        <f>IF(B6117=1,INDEX('Data Entry'!$H$5:$BE$10004,6117-4,'Visual SPC'!$B$3),"")</f>
        <v/>
      </c>
      <c r="E6117">
        <f>IF(B6117=1,D6117,E6116)</f>
        <v/>
      </c>
      <c r="F6117">
        <f>IF(AND(B6117=1,C6117&gt;1,E6116&lt;&gt;""),ABS(D6117-E6116),"")</f>
        <v/>
      </c>
    </row>
    <row r="6118">
      <c r="A6118" t="n">
        <v>6118</v>
      </c>
      <c r="B6118">
        <f>IF(INDEX('Data Entry'!$H$5:$BE$10004,6118-4,'Visual SPC'!$B$3)="",0,IF(AND(OR('Visual SPC'!$C$4="",'Data Entry'!$C6118&gt;='Visual SPC'!$C$4),OR('Visual SPC'!$E$4="",'Data Entry'!$C6118&lt;='Visual SPC'!$E$4),OR('Visual SPC'!$G$4="",'Data Entry'!$D6118='Visual SPC'!$G$4),OR('Visual SPC'!$I$4="",'Data Entry'!$E6118='Visual SPC'!$I$4),OR('Visual SPC'!$K$4="",'Data Entry'!$F6118='Visual SPC'!$K$4)),1,0))</f>
        <v/>
      </c>
      <c r="C6118">
        <f>C6117+B6118</f>
        <v/>
      </c>
      <c r="D6118">
        <f>IF(B6118=1,INDEX('Data Entry'!$H$5:$BE$10004,6118-4,'Visual SPC'!$B$3),"")</f>
        <v/>
      </c>
      <c r="E6118">
        <f>IF(B6118=1,D6118,E6117)</f>
        <v/>
      </c>
      <c r="F6118">
        <f>IF(AND(B6118=1,C6118&gt;1,E6117&lt;&gt;""),ABS(D6118-E6117),"")</f>
        <v/>
      </c>
    </row>
    <row r="6119">
      <c r="A6119" t="n">
        <v>6119</v>
      </c>
      <c r="B6119">
        <f>IF(INDEX('Data Entry'!$H$5:$BE$10004,6119-4,'Visual SPC'!$B$3)="",0,IF(AND(OR('Visual SPC'!$C$4="",'Data Entry'!$C6119&gt;='Visual SPC'!$C$4),OR('Visual SPC'!$E$4="",'Data Entry'!$C6119&lt;='Visual SPC'!$E$4),OR('Visual SPC'!$G$4="",'Data Entry'!$D6119='Visual SPC'!$G$4),OR('Visual SPC'!$I$4="",'Data Entry'!$E6119='Visual SPC'!$I$4),OR('Visual SPC'!$K$4="",'Data Entry'!$F6119='Visual SPC'!$K$4)),1,0))</f>
        <v/>
      </c>
      <c r="C6119">
        <f>C6118+B6119</f>
        <v/>
      </c>
      <c r="D6119">
        <f>IF(B6119=1,INDEX('Data Entry'!$H$5:$BE$10004,6119-4,'Visual SPC'!$B$3),"")</f>
        <v/>
      </c>
      <c r="E6119">
        <f>IF(B6119=1,D6119,E6118)</f>
        <v/>
      </c>
      <c r="F6119">
        <f>IF(AND(B6119=1,C6119&gt;1,E6118&lt;&gt;""),ABS(D6119-E6118),"")</f>
        <v/>
      </c>
    </row>
    <row r="6120">
      <c r="A6120" t="n">
        <v>6120</v>
      </c>
      <c r="B6120">
        <f>IF(INDEX('Data Entry'!$H$5:$BE$10004,6120-4,'Visual SPC'!$B$3)="",0,IF(AND(OR('Visual SPC'!$C$4="",'Data Entry'!$C6120&gt;='Visual SPC'!$C$4),OR('Visual SPC'!$E$4="",'Data Entry'!$C6120&lt;='Visual SPC'!$E$4),OR('Visual SPC'!$G$4="",'Data Entry'!$D6120='Visual SPC'!$G$4),OR('Visual SPC'!$I$4="",'Data Entry'!$E6120='Visual SPC'!$I$4),OR('Visual SPC'!$K$4="",'Data Entry'!$F6120='Visual SPC'!$K$4)),1,0))</f>
        <v/>
      </c>
      <c r="C6120">
        <f>C6119+B6120</f>
        <v/>
      </c>
      <c r="D6120">
        <f>IF(B6120=1,INDEX('Data Entry'!$H$5:$BE$10004,6120-4,'Visual SPC'!$B$3),"")</f>
        <v/>
      </c>
      <c r="E6120">
        <f>IF(B6120=1,D6120,E6119)</f>
        <v/>
      </c>
      <c r="F6120">
        <f>IF(AND(B6120=1,C6120&gt;1,E6119&lt;&gt;""),ABS(D6120-E6119),"")</f>
        <v/>
      </c>
    </row>
    <row r="6121">
      <c r="A6121" t="n">
        <v>6121</v>
      </c>
      <c r="B6121">
        <f>IF(INDEX('Data Entry'!$H$5:$BE$10004,6121-4,'Visual SPC'!$B$3)="",0,IF(AND(OR('Visual SPC'!$C$4="",'Data Entry'!$C6121&gt;='Visual SPC'!$C$4),OR('Visual SPC'!$E$4="",'Data Entry'!$C6121&lt;='Visual SPC'!$E$4),OR('Visual SPC'!$G$4="",'Data Entry'!$D6121='Visual SPC'!$G$4),OR('Visual SPC'!$I$4="",'Data Entry'!$E6121='Visual SPC'!$I$4),OR('Visual SPC'!$K$4="",'Data Entry'!$F6121='Visual SPC'!$K$4)),1,0))</f>
        <v/>
      </c>
      <c r="C6121">
        <f>C6120+B6121</f>
        <v/>
      </c>
      <c r="D6121">
        <f>IF(B6121=1,INDEX('Data Entry'!$H$5:$BE$10004,6121-4,'Visual SPC'!$B$3),"")</f>
        <v/>
      </c>
      <c r="E6121">
        <f>IF(B6121=1,D6121,E6120)</f>
        <v/>
      </c>
      <c r="F6121">
        <f>IF(AND(B6121=1,C6121&gt;1,E6120&lt;&gt;""),ABS(D6121-E6120),"")</f>
        <v/>
      </c>
    </row>
    <row r="6122">
      <c r="A6122" t="n">
        <v>6122</v>
      </c>
      <c r="B6122">
        <f>IF(INDEX('Data Entry'!$H$5:$BE$10004,6122-4,'Visual SPC'!$B$3)="",0,IF(AND(OR('Visual SPC'!$C$4="",'Data Entry'!$C6122&gt;='Visual SPC'!$C$4),OR('Visual SPC'!$E$4="",'Data Entry'!$C6122&lt;='Visual SPC'!$E$4),OR('Visual SPC'!$G$4="",'Data Entry'!$D6122='Visual SPC'!$G$4),OR('Visual SPC'!$I$4="",'Data Entry'!$E6122='Visual SPC'!$I$4),OR('Visual SPC'!$K$4="",'Data Entry'!$F6122='Visual SPC'!$K$4)),1,0))</f>
        <v/>
      </c>
      <c r="C6122">
        <f>C6121+B6122</f>
        <v/>
      </c>
      <c r="D6122">
        <f>IF(B6122=1,INDEX('Data Entry'!$H$5:$BE$10004,6122-4,'Visual SPC'!$B$3),"")</f>
        <v/>
      </c>
      <c r="E6122">
        <f>IF(B6122=1,D6122,E6121)</f>
        <v/>
      </c>
      <c r="F6122">
        <f>IF(AND(B6122=1,C6122&gt;1,E6121&lt;&gt;""),ABS(D6122-E6121),"")</f>
        <v/>
      </c>
    </row>
    <row r="6123">
      <c r="A6123" t="n">
        <v>6123</v>
      </c>
      <c r="B6123">
        <f>IF(INDEX('Data Entry'!$H$5:$BE$10004,6123-4,'Visual SPC'!$B$3)="",0,IF(AND(OR('Visual SPC'!$C$4="",'Data Entry'!$C6123&gt;='Visual SPC'!$C$4),OR('Visual SPC'!$E$4="",'Data Entry'!$C6123&lt;='Visual SPC'!$E$4),OR('Visual SPC'!$G$4="",'Data Entry'!$D6123='Visual SPC'!$G$4),OR('Visual SPC'!$I$4="",'Data Entry'!$E6123='Visual SPC'!$I$4),OR('Visual SPC'!$K$4="",'Data Entry'!$F6123='Visual SPC'!$K$4)),1,0))</f>
        <v/>
      </c>
      <c r="C6123">
        <f>C6122+B6123</f>
        <v/>
      </c>
      <c r="D6123">
        <f>IF(B6123=1,INDEX('Data Entry'!$H$5:$BE$10004,6123-4,'Visual SPC'!$B$3),"")</f>
        <v/>
      </c>
      <c r="E6123">
        <f>IF(B6123=1,D6123,E6122)</f>
        <v/>
      </c>
      <c r="F6123">
        <f>IF(AND(B6123=1,C6123&gt;1,E6122&lt;&gt;""),ABS(D6123-E6122),"")</f>
        <v/>
      </c>
    </row>
    <row r="6124">
      <c r="A6124" t="n">
        <v>6124</v>
      </c>
      <c r="B6124">
        <f>IF(INDEX('Data Entry'!$H$5:$BE$10004,6124-4,'Visual SPC'!$B$3)="",0,IF(AND(OR('Visual SPC'!$C$4="",'Data Entry'!$C6124&gt;='Visual SPC'!$C$4),OR('Visual SPC'!$E$4="",'Data Entry'!$C6124&lt;='Visual SPC'!$E$4),OR('Visual SPC'!$G$4="",'Data Entry'!$D6124='Visual SPC'!$G$4),OR('Visual SPC'!$I$4="",'Data Entry'!$E6124='Visual SPC'!$I$4),OR('Visual SPC'!$K$4="",'Data Entry'!$F6124='Visual SPC'!$K$4)),1,0))</f>
        <v/>
      </c>
      <c r="C6124">
        <f>C6123+B6124</f>
        <v/>
      </c>
      <c r="D6124">
        <f>IF(B6124=1,INDEX('Data Entry'!$H$5:$BE$10004,6124-4,'Visual SPC'!$B$3),"")</f>
        <v/>
      </c>
      <c r="E6124">
        <f>IF(B6124=1,D6124,E6123)</f>
        <v/>
      </c>
      <c r="F6124">
        <f>IF(AND(B6124=1,C6124&gt;1,E6123&lt;&gt;""),ABS(D6124-E6123),"")</f>
        <v/>
      </c>
    </row>
    <row r="6125">
      <c r="A6125" t="n">
        <v>6125</v>
      </c>
      <c r="B6125">
        <f>IF(INDEX('Data Entry'!$H$5:$BE$10004,6125-4,'Visual SPC'!$B$3)="",0,IF(AND(OR('Visual SPC'!$C$4="",'Data Entry'!$C6125&gt;='Visual SPC'!$C$4),OR('Visual SPC'!$E$4="",'Data Entry'!$C6125&lt;='Visual SPC'!$E$4),OR('Visual SPC'!$G$4="",'Data Entry'!$D6125='Visual SPC'!$G$4),OR('Visual SPC'!$I$4="",'Data Entry'!$E6125='Visual SPC'!$I$4),OR('Visual SPC'!$K$4="",'Data Entry'!$F6125='Visual SPC'!$K$4)),1,0))</f>
        <v/>
      </c>
      <c r="C6125">
        <f>C6124+B6125</f>
        <v/>
      </c>
      <c r="D6125">
        <f>IF(B6125=1,INDEX('Data Entry'!$H$5:$BE$10004,6125-4,'Visual SPC'!$B$3),"")</f>
        <v/>
      </c>
      <c r="E6125">
        <f>IF(B6125=1,D6125,E6124)</f>
        <v/>
      </c>
      <c r="F6125">
        <f>IF(AND(B6125=1,C6125&gt;1,E6124&lt;&gt;""),ABS(D6125-E6124),"")</f>
        <v/>
      </c>
    </row>
    <row r="6126">
      <c r="A6126" t="n">
        <v>6126</v>
      </c>
      <c r="B6126">
        <f>IF(INDEX('Data Entry'!$H$5:$BE$10004,6126-4,'Visual SPC'!$B$3)="",0,IF(AND(OR('Visual SPC'!$C$4="",'Data Entry'!$C6126&gt;='Visual SPC'!$C$4),OR('Visual SPC'!$E$4="",'Data Entry'!$C6126&lt;='Visual SPC'!$E$4),OR('Visual SPC'!$G$4="",'Data Entry'!$D6126='Visual SPC'!$G$4),OR('Visual SPC'!$I$4="",'Data Entry'!$E6126='Visual SPC'!$I$4),OR('Visual SPC'!$K$4="",'Data Entry'!$F6126='Visual SPC'!$K$4)),1,0))</f>
        <v/>
      </c>
      <c r="C6126">
        <f>C6125+B6126</f>
        <v/>
      </c>
      <c r="D6126">
        <f>IF(B6126=1,INDEX('Data Entry'!$H$5:$BE$10004,6126-4,'Visual SPC'!$B$3),"")</f>
        <v/>
      </c>
      <c r="E6126">
        <f>IF(B6126=1,D6126,E6125)</f>
        <v/>
      </c>
      <c r="F6126">
        <f>IF(AND(B6126=1,C6126&gt;1,E6125&lt;&gt;""),ABS(D6126-E6125),"")</f>
        <v/>
      </c>
    </row>
    <row r="6127">
      <c r="A6127" t="n">
        <v>6127</v>
      </c>
      <c r="B6127">
        <f>IF(INDEX('Data Entry'!$H$5:$BE$10004,6127-4,'Visual SPC'!$B$3)="",0,IF(AND(OR('Visual SPC'!$C$4="",'Data Entry'!$C6127&gt;='Visual SPC'!$C$4),OR('Visual SPC'!$E$4="",'Data Entry'!$C6127&lt;='Visual SPC'!$E$4),OR('Visual SPC'!$G$4="",'Data Entry'!$D6127='Visual SPC'!$G$4),OR('Visual SPC'!$I$4="",'Data Entry'!$E6127='Visual SPC'!$I$4),OR('Visual SPC'!$K$4="",'Data Entry'!$F6127='Visual SPC'!$K$4)),1,0))</f>
        <v/>
      </c>
      <c r="C6127">
        <f>C6126+B6127</f>
        <v/>
      </c>
      <c r="D6127">
        <f>IF(B6127=1,INDEX('Data Entry'!$H$5:$BE$10004,6127-4,'Visual SPC'!$B$3),"")</f>
        <v/>
      </c>
      <c r="E6127">
        <f>IF(B6127=1,D6127,E6126)</f>
        <v/>
      </c>
      <c r="F6127">
        <f>IF(AND(B6127=1,C6127&gt;1,E6126&lt;&gt;""),ABS(D6127-E6126),"")</f>
        <v/>
      </c>
    </row>
    <row r="6128">
      <c r="A6128" t="n">
        <v>6128</v>
      </c>
      <c r="B6128">
        <f>IF(INDEX('Data Entry'!$H$5:$BE$10004,6128-4,'Visual SPC'!$B$3)="",0,IF(AND(OR('Visual SPC'!$C$4="",'Data Entry'!$C6128&gt;='Visual SPC'!$C$4),OR('Visual SPC'!$E$4="",'Data Entry'!$C6128&lt;='Visual SPC'!$E$4),OR('Visual SPC'!$G$4="",'Data Entry'!$D6128='Visual SPC'!$G$4),OR('Visual SPC'!$I$4="",'Data Entry'!$E6128='Visual SPC'!$I$4),OR('Visual SPC'!$K$4="",'Data Entry'!$F6128='Visual SPC'!$K$4)),1,0))</f>
        <v/>
      </c>
      <c r="C6128">
        <f>C6127+B6128</f>
        <v/>
      </c>
      <c r="D6128">
        <f>IF(B6128=1,INDEX('Data Entry'!$H$5:$BE$10004,6128-4,'Visual SPC'!$B$3),"")</f>
        <v/>
      </c>
      <c r="E6128">
        <f>IF(B6128=1,D6128,E6127)</f>
        <v/>
      </c>
      <c r="F6128">
        <f>IF(AND(B6128=1,C6128&gt;1,E6127&lt;&gt;""),ABS(D6128-E6127),"")</f>
        <v/>
      </c>
    </row>
    <row r="6129">
      <c r="A6129" t="n">
        <v>6129</v>
      </c>
      <c r="B6129">
        <f>IF(INDEX('Data Entry'!$H$5:$BE$10004,6129-4,'Visual SPC'!$B$3)="",0,IF(AND(OR('Visual SPC'!$C$4="",'Data Entry'!$C6129&gt;='Visual SPC'!$C$4),OR('Visual SPC'!$E$4="",'Data Entry'!$C6129&lt;='Visual SPC'!$E$4),OR('Visual SPC'!$G$4="",'Data Entry'!$D6129='Visual SPC'!$G$4),OR('Visual SPC'!$I$4="",'Data Entry'!$E6129='Visual SPC'!$I$4),OR('Visual SPC'!$K$4="",'Data Entry'!$F6129='Visual SPC'!$K$4)),1,0))</f>
        <v/>
      </c>
      <c r="C6129">
        <f>C6128+B6129</f>
        <v/>
      </c>
      <c r="D6129">
        <f>IF(B6129=1,INDEX('Data Entry'!$H$5:$BE$10004,6129-4,'Visual SPC'!$B$3),"")</f>
        <v/>
      </c>
      <c r="E6129">
        <f>IF(B6129=1,D6129,E6128)</f>
        <v/>
      </c>
      <c r="F6129">
        <f>IF(AND(B6129=1,C6129&gt;1,E6128&lt;&gt;""),ABS(D6129-E6128),"")</f>
        <v/>
      </c>
    </row>
    <row r="6130">
      <c r="A6130" t="n">
        <v>6130</v>
      </c>
      <c r="B6130">
        <f>IF(INDEX('Data Entry'!$H$5:$BE$10004,6130-4,'Visual SPC'!$B$3)="",0,IF(AND(OR('Visual SPC'!$C$4="",'Data Entry'!$C6130&gt;='Visual SPC'!$C$4),OR('Visual SPC'!$E$4="",'Data Entry'!$C6130&lt;='Visual SPC'!$E$4),OR('Visual SPC'!$G$4="",'Data Entry'!$D6130='Visual SPC'!$G$4),OR('Visual SPC'!$I$4="",'Data Entry'!$E6130='Visual SPC'!$I$4),OR('Visual SPC'!$K$4="",'Data Entry'!$F6130='Visual SPC'!$K$4)),1,0))</f>
        <v/>
      </c>
      <c r="C6130">
        <f>C6129+B6130</f>
        <v/>
      </c>
      <c r="D6130">
        <f>IF(B6130=1,INDEX('Data Entry'!$H$5:$BE$10004,6130-4,'Visual SPC'!$B$3),"")</f>
        <v/>
      </c>
      <c r="E6130">
        <f>IF(B6130=1,D6130,E6129)</f>
        <v/>
      </c>
      <c r="F6130">
        <f>IF(AND(B6130=1,C6130&gt;1,E6129&lt;&gt;""),ABS(D6130-E6129),"")</f>
        <v/>
      </c>
    </row>
    <row r="6131">
      <c r="A6131" t="n">
        <v>6131</v>
      </c>
      <c r="B6131">
        <f>IF(INDEX('Data Entry'!$H$5:$BE$10004,6131-4,'Visual SPC'!$B$3)="",0,IF(AND(OR('Visual SPC'!$C$4="",'Data Entry'!$C6131&gt;='Visual SPC'!$C$4),OR('Visual SPC'!$E$4="",'Data Entry'!$C6131&lt;='Visual SPC'!$E$4),OR('Visual SPC'!$G$4="",'Data Entry'!$D6131='Visual SPC'!$G$4),OR('Visual SPC'!$I$4="",'Data Entry'!$E6131='Visual SPC'!$I$4),OR('Visual SPC'!$K$4="",'Data Entry'!$F6131='Visual SPC'!$K$4)),1,0))</f>
        <v/>
      </c>
      <c r="C6131">
        <f>C6130+B6131</f>
        <v/>
      </c>
      <c r="D6131">
        <f>IF(B6131=1,INDEX('Data Entry'!$H$5:$BE$10004,6131-4,'Visual SPC'!$B$3),"")</f>
        <v/>
      </c>
      <c r="E6131">
        <f>IF(B6131=1,D6131,E6130)</f>
        <v/>
      </c>
      <c r="F6131">
        <f>IF(AND(B6131=1,C6131&gt;1,E6130&lt;&gt;""),ABS(D6131-E6130),"")</f>
        <v/>
      </c>
    </row>
    <row r="6132">
      <c r="A6132" t="n">
        <v>6132</v>
      </c>
      <c r="B6132">
        <f>IF(INDEX('Data Entry'!$H$5:$BE$10004,6132-4,'Visual SPC'!$B$3)="",0,IF(AND(OR('Visual SPC'!$C$4="",'Data Entry'!$C6132&gt;='Visual SPC'!$C$4),OR('Visual SPC'!$E$4="",'Data Entry'!$C6132&lt;='Visual SPC'!$E$4),OR('Visual SPC'!$G$4="",'Data Entry'!$D6132='Visual SPC'!$G$4),OR('Visual SPC'!$I$4="",'Data Entry'!$E6132='Visual SPC'!$I$4),OR('Visual SPC'!$K$4="",'Data Entry'!$F6132='Visual SPC'!$K$4)),1,0))</f>
        <v/>
      </c>
      <c r="C6132">
        <f>C6131+B6132</f>
        <v/>
      </c>
      <c r="D6132">
        <f>IF(B6132=1,INDEX('Data Entry'!$H$5:$BE$10004,6132-4,'Visual SPC'!$B$3),"")</f>
        <v/>
      </c>
      <c r="E6132">
        <f>IF(B6132=1,D6132,E6131)</f>
        <v/>
      </c>
      <c r="F6132">
        <f>IF(AND(B6132=1,C6132&gt;1,E6131&lt;&gt;""),ABS(D6132-E6131),"")</f>
        <v/>
      </c>
    </row>
    <row r="6133">
      <c r="A6133" t="n">
        <v>6133</v>
      </c>
      <c r="B6133">
        <f>IF(INDEX('Data Entry'!$H$5:$BE$10004,6133-4,'Visual SPC'!$B$3)="",0,IF(AND(OR('Visual SPC'!$C$4="",'Data Entry'!$C6133&gt;='Visual SPC'!$C$4),OR('Visual SPC'!$E$4="",'Data Entry'!$C6133&lt;='Visual SPC'!$E$4),OR('Visual SPC'!$G$4="",'Data Entry'!$D6133='Visual SPC'!$G$4),OR('Visual SPC'!$I$4="",'Data Entry'!$E6133='Visual SPC'!$I$4),OR('Visual SPC'!$K$4="",'Data Entry'!$F6133='Visual SPC'!$K$4)),1,0))</f>
        <v/>
      </c>
      <c r="C6133">
        <f>C6132+B6133</f>
        <v/>
      </c>
      <c r="D6133">
        <f>IF(B6133=1,INDEX('Data Entry'!$H$5:$BE$10004,6133-4,'Visual SPC'!$B$3),"")</f>
        <v/>
      </c>
      <c r="E6133">
        <f>IF(B6133=1,D6133,E6132)</f>
        <v/>
      </c>
      <c r="F6133">
        <f>IF(AND(B6133=1,C6133&gt;1,E6132&lt;&gt;""),ABS(D6133-E6132),"")</f>
        <v/>
      </c>
    </row>
    <row r="6134">
      <c r="A6134" t="n">
        <v>6134</v>
      </c>
      <c r="B6134">
        <f>IF(INDEX('Data Entry'!$H$5:$BE$10004,6134-4,'Visual SPC'!$B$3)="",0,IF(AND(OR('Visual SPC'!$C$4="",'Data Entry'!$C6134&gt;='Visual SPC'!$C$4),OR('Visual SPC'!$E$4="",'Data Entry'!$C6134&lt;='Visual SPC'!$E$4),OR('Visual SPC'!$G$4="",'Data Entry'!$D6134='Visual SPC'!$G$4),OR('Visual SPC'!$I$4="",'Data Entry'!$E6134='Visual SPC'!$I$4),OR('Visual SPC'!$K$4="",'Data Entry'!$F6134='Visual SPC'!$K$4)),1,0))</f>
        <v/>
      </c>
      <c r="C6134">
        <f>C6133+B6134</f>
        <v/>
      </c>
      <c r="D6134">
        <f>IF(B6134=1,INDEX('Data Entry'!$H$5:$BE$10004,6134-4,'Visual SPC'!$B$3),"")</f>
        <v/>
      </c>
      <c r="E6134">
        <f>IF(B6134=1,D6134,E6133)</f>
        <v/>
      </c>
      <c r="F6134">
        <f>IF(AND(B6134=1,C6134&gt;1,E6133&lt;&gt;""),ABS(D6134-E6133),"")</f>
        <v/>
      </c>
    </row>
    <row r="6135">
      <c r="A6135" t="n">
        <v>6135</v>
      </c>
      <c r="B6135">
        <f>IF(INDEX('Data Entry'!$H$5:$BE$10004,6135-4,'Visual SPC'!$B$3)="",0,IF(AND(OR('Visual SPC'!$C$4="",'Data Entry'!$C6135&gt;='Visual SPC'!$C$4),OR('Visual SPC'!$E$4="",'Data Entry'!$C6135&lt;='Visual SPC'!$E$4),OR('Visual SPC'!$G$4="",'Data Entry'!$D6135='Visual SPC'!$G$4),OR('Visual SPC'!$I$4="",'Data Entry'!$E6135='Visual SPC'!$I$4),OR('Visual SPC'!$K$4="",'Data Entry'!$F6135='Visual SPC'!$K$4)),1,0))</f>
        <v/>
      </c>
      <c r="C6135">
        <f>C6134+B6135</f>
        <v/>
      </c>
      <c r="D6135">
        <f>IF(B6135=1,INDEX('Data Entry'!$H$5:$BE$10004,6135-4,'Visual SPC'!$B$3),"")</f>
        <v/>
      </c>
      <c r="E6135">
        <f>IF(B6135=1,D6135,E6134)</f>
        <v/>
      </c>
      <c r="F6135">
        <f>IF(AND(B6135=1,C6135&gt;1,E6134&lt;&gt;""),ABS(D6135-E6134),"")</f>
        <v/>
      </c>
    </row>
    <row r="6136">
      <c r="A6136" t="n">
        <v>6136</v>
      </c>
      <c r="B6136">
        <f>IF(INDEX('Data Entry'!$H$5:$BE$10004,6136-4,'Visual SPC'!$B$3)="",0,IF(AND(OR('Visual SPC'!$C$4="",'Data Entry'!$C6136&gt;='Visual SPC'!$C$4),OR('Visual SPC'!$E$4="",'Data Entry'!$C6136&lt;='Visual SPC'!$E$4),OR('Visual SPC'!$G$4="",'Data Entry'!$D6136='Visual SPC'!$G$4),OR('Visual SPC'!$I$4="",'Data Entry'!$E6136='Visual SPC'!$I$4),OR('Visual SPC'!$K$4="",'Data Entry'!$F6136='Visual SPC'!$K$4)),1,0))</f>
        <v/>
      </c>
      <c r="C6136">
        <f>C6135+B6136</f>
        <v/>
      </c>
      <c r="D6136">
        <f>IF(B6136=1,INDEX('Data Entry'!$H$5:$BE$10004,6136-4,'Visual SPC'!$B$3),"")</f>
        <v/>
      </c>
      <c r="E6136">
        <f>IF(B6136=1,D6136,E6135)</f>
        <v/>
      </c>
      <c r="F6136">
        <f>IF(AND(B6136=1,C6136&gt;1,E6135&lt;&gt;""),ABS(D6136-E6135),"")</f>
        <v/>
      </c>
    </row>
    <row r="6137">
      <c r="A6137" t="n">
        <v>6137</v>
      </c>
      <c r="B6137">
        <f>IF(INDEX('Data Entry'!$H$5:$BE$10004,6137-4,'Visual SPC'!$B$3)="",0,IF(AND(OR('Visual SPC'!$C$4="",'Data Entry'!$C6137&gt;='Visual SPC'!$C$4),OR('Visual SPC'!$E$4="",'Data Entry'!$C6137&lt;='Visual SPC'!$E$4),OR('Visual SPC'!$G$4="",'Data Entry'!$D6137='Visual SPC'!$G$4),OR('Visual SPC'!$I$4="",'Data Entry'!$E6137='Visual SPC'!$I$4),OR('Visual SPC'!$K$4="",'Data Entry'!$F6137='Visual SPC'!$K$4)),1,0))</f>
        <v/>
      </c>
      <c r="C6137">
        <f>C6136+B6137</f>
        <v/>
      </c>
      <c r="D6137">
        <f>IF(B6137=1,INDEX('Data Entry'!$H$5:$BE$10004,6137-4,'Visual SPC'!$B$3),"")</f>
        <v/>
      </c>
      <c r="E6137">
        <f>IF(B6137=1,D6137,E6136)</f>
        <v/>
      </c>
      <c r="F6137">
        <f>IF(AND(B6137=1,C6137&gt;1,E6136&lt;&gt;""),ABS(D6137-E6136),"")</f>
        <v/>
      </c>
    </row>
    <row r="6138">
      <c r="A6138" t="n">
        <v>6138</v>
      </c>
      <c r="B6138">
        <f>IF(INDEX('Data Entry'!$H$5:$BE$10004,6138-4,'Visual SPC'!$B$3)="",0,IF(AND(OR('Visual SPC'!$C$4="",'Data Entry'!$C6138&gt;='Visual SPC'!$C$4),OR('Visual SPC'!$E$4="",'Data Entry'!$C6138&lt;='Visual SPC'!$E$4),OR('Visual SPC'!$G$4="",'Data Entry'!$D6138='Visual SPC'!$G$4),OR('Visual SPC'!$I$4="",'Data Entry'!$E6138='Visual SPC'!$I$4),OR('Visual SPC'!$K$4="",'Data Entry'!$F6138='Visual SPC'!$K$4)),1,0))</f>
        <v/>
      </c>
      <c r="C6138">
        <f>C6137+B6138</f>
        <v/>
      </c>
      <c r="D6138">
        <f>IF(B6138=1,INDEX('Data Entry'!$H$5:$BE$10004,6138-4,'Visual SPC'!$B$3),"")</f>
        <v/>
      </c>
      <c r="E6138">
        <f>IF(B6138=1,D6138,E6137)</f>
        <v/>
      </c>
      <c r="F6138">
        <f>IF(AND(B6138=1,C6138&gt;1,E6137&lt;&gt;""),ABS(D6138-E6137),"")</f>
        <v/>
      </c>
    </row>
    <row r="6139">
      <c r="A6139" t="n">
        <v>6139</v>
      </c>
      <c r="B6139">
        <f>IF(INDEX('Data Entry'!$H$5:$BE$10004,6139-4,'Visual SPC'!$B$3)="",0,IF(AND(OR('Visual SPC'!$C$4="",'Data Entry'!$C6139&gt;='Visual SPC'!$C$4),OR('Visual SPC'!$E$4="",'Data Entry'!$C6139&lt;='Visual SPC'!$E$4),OR('Visual SPC'!$G$4="",'Data Entry'!$D6139='Visual SPC'!$G$4),OR('Visual SPC'!$I$4="",'Data Entry'!$E6139='Visual SPC'!$I$4),OR('Visual SPC'!$K$4="",'Data Entry'!$F6139='Visual SPC'!$K$4)),1,0))</f>
        <v/>
      </c>
      <c r="C6139">
        <f>C6138+B6139</f>
        <v/>
      </c>
      <c r="D6139">
        <f>IF(B6139=1,INDEX('Data Entry'!$H$5:$BE$10004,6139-4,'Visual SPC'!$B$3),"")</f>
        <v/>
      </c>
      <c r="E6139">
        <f>IF(B6139=1,D6139,E6138)</f>
        <v/>
      </c>
      <c r="F6139">
        <f>IF(AND(B6139=1,C6139&gt;1,E6138&lt;&gt;""),ABS(D6139-E6138),"")</f>
        <v/>
      </c>
    </row>
    <row r="6140">
      <c r="A6140" t="n">
        <v>6140</v>
      </c>
      <c r="B6140">
        <f>IF(INDEX('Data Entry'!$H$5:$BE$10004,6140-4,'Visual SPC'!$B$3)="",0,IF(AND(OR('Visual SPC'!$C$4="",'Data Entry'!$C6140&gt;='Visual SPC'!$C$4),OR('Visual SPC'!$E$4="",'Data Entry'!$C6140&lt;='Visual SPC'!$E$4),OR('Visual SPC'!$G$4="",'Data Entry'!$D6140='Visual SPC'!$G$4),OR('Visual SPC'!$I$4="",'Data Entry'!$E6140='Visual SPC'!$I$4),OR('Visual SPC'!$K$4="",'Data Entry'!$F6140='Visual SPC'!$K$4)),1,0))</f>
        <v/>
      </c>
      <c r="C6140">
        <f>C6139+B6140</f>
        <v/>
      </c>
      <c r="D6140">
        <f>IF(B6140=1,INDEX('Data Entry'!$H$5:$BE$10004,6140-4,'Visual SPC'!$B$3),"")</f>
        <v/>
      </c>
      <c r="E6140">
        <f>IF(B6140=1,D6140,E6139)</f>
        <v/>
      </c>
      <c r="F6140">
        <f>IF(AND(B6140=1,C6140&gt;1,E6139&lt;&gt;""),ABS(D6140-E6139),"")</f>
        <v/>
      </c>
    </row>
    <row r="6141">
      <c r="A6141" t="n">
        <v>6141</v>
      </c>
      <c r="B6141">
        <f>IF(INDEX('Data Entry'!$H$5:$BE$10004,6141-4,'Visual SPC'!$B$3)="",0,IF(AND(OR('Visual SPC'!$C$4="",'Data Entry'!$C6141&gt;='Visual SPC'!$C$4),OR('Visual SPC'!$E$4="",'Data Entry'!$C6141&lt;='Visual SPC'!$E$4),OR('Visual SPC'!$G$4="",'Data Entry'!$D6141='Visual SPC'!$G$4),OR('Visual SPC'!$I$4="",'Data Entry'!$E6141='Visual SPC'!$I$4),OR('Visual SPC'!$K$4="",'Data Entry'!$F6141='Visual SPC'!$K$4)),1,0))</f>
        <v/>
      </c>
      <c r="C6141">
        <f>C6140+B6141</f>
        <v/>
      </c>
      <c r="D6141">
        <f>IF(B6141=1,INDEX('Data Entry'!$H$5:$BE$10004,6141-4,'Visual SPC'!$B$3),"")</f>
        <v/>
      </c>
      <c r="E6141">
        <f>IF(B6141=1,D6141,E6140)</f>
        <v/>
      </c>
      <c r="F6141">
        <f>IF(AND(B6141=1,C6141&gt;1,E6140&lt;&gt;""),ABS(D6141-E6140),"")</f>
        <v/>
      </c>
    </row>
    <row r="6142">
      <c r="A6142" t="n">
        <v>6142</v>
      </c>
      <c r="B6142">
        <f>IF(INDEX('Data Entry'!$H$5:$BE$10004,6142-4,'Visual SPC'!$B$3)="",0,IF(AND(OR('Visual SPC'!$C$4="",'Data Entry'!$C6142&gt;='Visual SPC'!$C$4),OR('Visual SPC'!$E$4="",'Data Entry'!$C6142&lt;='Visual SPC'!$E$4),OR('Visual SPC'!$G$4="",'Data Entry'!$D6142='Visual SPC'!$G$4),OR('Visual SPC'!$I$4="",'Data Entry'!$E6142='Visual SPC'!$I$4),OR('Visual SPC'!$K$4="",'Data Entry'!$F6142='Visual SPC'!$K$4)),1,0))</f>
        <v/>
      </c>
      <c r="C6142">
        <f>C6141+B6142</f>
        <v/>
      </c>
      <c r="D6142">
        <f>IF(B6142=1,INDEX('Data Entry'!$H$5:$BE$10004,6142-4,'Visual SPC'!$B$3),"")</f>
        <v/>
      </c>
      <c r="E6142">
        <f>IF(B6142=1,D6142,E6141)</f>
        <v/>
      </c>
      <c r="F6142">
        <f>IF(AND(B6142=1,C6142&gt;1,E6141&lt;&gt;""),ABS(D6142-E6141),"")</f>
        <v/>
      </c>
    </row>
    <row r="6143">
      <c r="A6143" t="n">
        <v>6143</v>
      </c>
      <c r="B6143">
        <f>IF(INDEX('Data Entry'!$H$5:$BE$10004,6143-4,'Visual SPC'!$B$3)="",0,IF(AND(OR('Visual SPC'!$C$4="",'Data Entry'!$C6143&gt;='Visual SPC'!$C$4),OR('Visual SPC'!$E$4="",'Data Entry'!$C6143&lt;='Visual SPC'!$E$4),OR('Visual SPC'!$G$4="",'Data Entry'!$D6143='Visual SPC'!$G$4),OR('Visual SPC'!$I$4="",'Data Entry'!$E6143='Visual SPC'!$I$4),OR('Visual SPC'!$K$4="",'Data Entry'!$F6143='Visual SPC'!$K$4)),1,0))</f>
        <v/>
      </c>
      <c r="C6143">
        <f>C6142+B6143</f>
        <v/>
      </c>
      <c r="D6143">
        <f>IF(B6143=1,INDEX('Data Entry'!$H$5:$BE$10004,6143-4,'Visual SPC'!$B$3),"")</f>
        <v/>
      </c>
      <c r="E6143">
        <f>IF(B6143=1,D6143,E6142)</f>
        <v/>
      </c>
      <c r="F6143">
        <f>IF(AND(B6143=1,C6143&gt;1,E6142&lt;&gt;""),ABS(D6143-E6142),"")</f>
        <v/>
      </c>
    </row>
    <row r="6144">
      <c r="A6144" t="n">
        <v>6144</v>
      </c>
      <c r="B6144">
        <f>IF(INDEX('Data Entry'!$H$5:$BE$10004,6144-4,'Visual SPC'!$B$3)="",0,IF(AND(OR('Visual SPC'!$C$4="",'Data Entry'!$C6144&gt;='Visual SPC'!$C$4),OR('Visual SPC'!$E$4="",'Data Entry'!$C6144&lt;='Visual SPC'!$E$4),OR('Visual SPC'!$G$4="",'Data Entry'!$D6144='Visual SPC'!$G$4),OR('Visual SPC'!$I$4="",'Data Entry'!$E6144='Visual SPC'!$I$4),OR('Visual SPC'!$K$4="",'Data Entry'!$F6144='Visual SPC'!$K$4)),1,0))</f>
        <v/>
      </c>
      <c r="C6144">
        <f>C6143+B6144</f>
        <v/>
      </c>
      <c r="D6144">
        <f>IF(B6144=1,INDEX('Data Entry'!$H$5:$BE$10004,6144-4,'Visual SPC'!$B$3),"")</f>
        <v/>
      </c>
      <c r="E6144">
        <f>IF(B6144=1,D6144,E6143)</f>
        <v/>
      </c>
      <c r="F6144">
        <f>IF(AND(B6144=1,C6144&gt;1,E6143&lt;&gt;""),ABS(D6144-E6143),"")</f>
        <v/>
      </c>
    </row>
    <row r="6145">
      <c r="A6145" t="n">
        <v>6145</v>
      </c>
      <c r="B6145">
        <f>IF(INDEX('Data Entry'!$H$5:$BE$10004,6145-4,'Visual SPC'!$B$3)="",0,IF(AND(OR('Visual SPC'!$C$4="",'Data Entry'!$C6145&gt;='Visual SPC'!$C$4),OR('Visual SPC'!$E$4="",'Data Entry'!$C6145&lt;='Visual SPC'!$E$4),OR('Visual SPC'!$G$4="",'Data Entry'!$D6145='Visual SPC'!$G$4),OR('Visual SPC'!$I$4="",'Data Entry'!$E6145='Visual SPC'!$I$4),OR('Visual SPC'!$K$4="",'Data Entry'!$F6145='Visual SPC'!$K$4)),1,0))</f>
        <v/>
      </c>
      <c r="C6145">
        <f>C6144+B6145</f>
        <v/>
      </c>
      <c r="D6145">
        <f>IF(B6145=1,INDEX('Data Entry'!$H$5:$BE$10004,6145-4,'Visual SPC'!$B$3),"")</f>
        <v/>
      </c>
      <c r="E6145">
        <f>IF(B6145=1,D6145,E6144)</f>
        <v/>
      </c>
      <c r="F6145">
        <f>IF(AND(B6145=1,C6145&gt;1,E6144&lt;&gt;""),ABS(D6145-E6144),"")</f>
        <v/>
      </c>
    </row>
    <row r="6146">
      <c r="A6146" t="n">
        <v>6146</v>
      </c>
      <c r="B6146">
        <f>IF(INDEX('Data Entry'!$H$5:$BE$10004,6146-4,'Visual SPC'!$B$3)="",0,IF(AND(OR('Visual SPC'!$C$4="",'Data Entry'!$C6146&gt;='Visual SPC'!$C$4),OR('Visual SPC'!$E$4="",'Data Entry'!$C6146&lt;='Visual SPC'!$E$4),OR('Visual SPC'!$G$4="",'Data Entry'!$D6146='Visual SPC'!$G$4),OR('Visual SPC'!$I$4="",'Data Entry'!$E6146='Visual SPC'!$I$4),OR('Visual SPC'!$K$4="",'Data Entry'!$F6146='Visual SPC'!$K$4)),1,0))</f>
        <v/>
      </c>
      <c r="C6146">
        <f>C6145+B6146</f>
        <v/>
      </c>
      <c r="D6146">
        <f>IF(B6146=1,INDEX('Data Entry'!$H$5:$BE$10004,6146-4,'Visual SPC'!$B$3),"")</f>
        <v/>
      </c>
      <c r="E6146">
        <f>IF(B6146=1,D6146,E6145)</f>
        <v/>
      </c>
      <c r="F6146">
        <f>IF(AND(B6146=1,C6146&gt;1,E6145&lt;&gt;""),ABS(D6146-E6145),"")</f>
        <v/>
      </c>
    </row>
    <row r="6147">
      <c r="A6147" t="n">
        <v>6147</v>
      </c>
      <c r="B6147">
        <f>IF(INDEX('Data Entry'!$H$5:$BE$10004,6147-4,'Visual SPC'!$B$3)="",0,IF(AND(OR('Visual SPC'!$C$4="",'Data Entry'!$C6147&gt;='Visual SPC'!$C$4),OR('Visual SPC'!$E$4="",'Data Entry'!$C6147&lt;='Visual SPC'!$E$4),OR('Visual SPC'!$G$4="",'Data Entry'!$D6147='Visual SPC'!$G$4),OR('Visual SPC'!$I$4="",'Data Entry'!$E6147='Visual SPC'!$I$4),OR('Visual SPC'!$K$4="",'Data Entry'!$F6147='Visual SPC'!$K$4)),1,0))</f>
        <v/>
      </c>
      <c r="C6147">
        <f>C6146+B6147</f>
        <v/>
      </c>
      <c r="D6147">
        <f>IF(B6147=1,INDEX('Data Entry'!$H$5:$BE$10004,6147-4,'Visual SPC'!$B$3),"")</f>
        <v/>
      </c>
      <c r="E6147">
        <f>IF(B6147=1,D6147,E6146)</f>
        <v/>
      </c>
      <c r="F6147">
        <f>IF(AND(B6147=1,C6147&gt;1,E6146&lt;&gt;""),ABS(D6147-E6146),"")</f>
        <v/>
      </c>
    </row>
    <row r="6148">
      <c r="A6148" t="n">
        <v>6148</v>
      </c>
      <c r="B6148">
        <f>IF(INDEX('Data Entry'!$H$5:$BE$10004,6148-4,'Visual SPC'!$B$3)="",0,IF(AND(OR('Visual SPC'!$C$4="",'Data Entry'!$C6148&gt;='Visual SPC'!$C$4),OR('Visual SPC'!$E$4="",'Data Entry'!$C6148&lt;='Visual SPC'!$E$4),OR('Visual SPC'!$G$4="",'Data Entry'!$D6148='Visual SPC'!$G$4),OR('Visual SPC'!$I$4="",'Data Entry'!$E6148='Visual SPC'!$I$4),OR('Visual SPC'!$K$4="",'Data Entry'!$F6148='Visual SPC'!$K$4)),1,0))</f>
        <v/>
      </c>
      <c r="C6148">
        <f>C6147+B6148</f>
        <v/>
      </c>
      <c r="D6148">
        <f>IF(B6148=1,INDEX('Data Entry'!$H$5:$BE$10004,6148-4,'Visual SPC'!$B$3),"")</f>
        <v/>
      </c>
      <c r="E6148">
        <f>IF(B6148=1,D6148,E6147)</f>
        <v/>
      </c>
      <c r="F6148">
        <f>IF(AND(B6148=1,C6148&gt;1,E6147&lt;&gt;""),ABS(D6148-E6147),"")</f>
        <v/>
      </c>
    </row>
    <row r="6149">
      <c r="A6149" t="n">
        <v>6149</v>
      </c>
      <c r="B6149">
        <f>IF(INDEX('Data Entry'!$H$5:$BE$10004,6149-4,'Visual SPC'!$B$3)="",0,IF(AND(OR('Visual SPC'!$C$4="",'Data Entry'!$C6149&gt;='Visual SPC'!$C$4),OR('Visual SPC'!$E$4="",'Data Entry'!$C6149&lt;='Visual SPC'!$E$4),OR('Visual SPC'!$G$4="",'Data Entry'!$D6149='Visual SPC'!$G$4),OR('Visual SPC'!$I$4="",'Data Entry'!$E6149='Visual SPC'!$I$4),OR('Visual SPC'!$K$4="",'Data Entry'!$F6149='Visual SPC'!$K$4)),1,0))</f>
        <v/>
      </c>
      <c r="C6149">
        <f>C6148+B6149</f>
        <v/>
      </c>
      <c r="D6149">
        <f>IF(B6149=1,INDEX('Data Entry'!$H$5:$BE$10004,6149-4,'Visual SPC'!$B$3),"")</f>
        <v/>
      </c>
      <c r="E6149">
        <f>IF(B6149=1,D6149,E6148)</f>
        <v/>
      </c>
      <c r="F6149">
        <f>IF(AND(B6149=1,C6149&gt;1,E6148&lt;&gt;""),ABS(D6149-E6148),"")</f>
        <v/>
      </c>
    </row>
    <row r="6150">
      <c r="A6150" t="n">
        <v>6150</v>
      </c>
      <c r="B6150">
        <f>IF(INDEX('Data Entry'!$H$5:$BE$10004,6150-4,'Visual SPC'!$B$3)="",0,IF(AND(OR('Visual SPC'!$C$4="",'Data Entry'!$C6150&gt;='Visual SPC'!$C$4),OR('Visual SPC'!$E$4="",'Data Entry'!$C6150&lt;='Visual SPC'!$E$4),OR('Visual SPC'!$G$4="",'Data Entry'!$D6150='Visual SPC'!$G$4),OR('Visual SPC'!$I$4="",'Data Entry'!$E6150='Visual SPC'!$I$4),OR('Visual SPC'!$K$4="",'Data Entry'!$F6150='Visual SPC'!$K$4)),1,0))</f>
        <v/>
      </c>
      <c r="C6150">
        <f>C6149+B6150</f>
        <v/>
      </c>
      <c r="D6150">
        <f>IF(B6150=1,INDEX('Data Entry'!$H$5:$BE$10004,6150-4,'Visual SPC'!$B$3),"")</f>
        <v/>
      </c>
      <c r="E6150">
        <f>IF(B6150=1,D6150,E6149)</f>
        <v/>
      </c>
      <c r="F6150">
        <f>IF(AND(B6150=1,C6150&gt;1,E6149&lt;&gt;""),ABS(D6150-E6149),"")</f>
        <v/>
      </c>
    </row>
    <row r="6151">
      <c r="A6151" t="n">
        <v>6151</v>
      </c>
      <c r="B6151">
        <f>IF(INDEX('Data Entry'!$H$5:$BE$10004,6151-4,'Visual SPC'!$B$3)="",0,IF(AND(OR('Visual SPC'!$C$4="",'Data Entry'!$C6151&gt;='Visual SPC'!$C$4),OR('Visual SPC'!$E$4="",'Data Entry'!$C6151&lt;='Visual SPC'!$E$4),OR('Visual SPC'!$G$4="",'Data Entry'!$D6151='Visual SPC'!$G$4),OR('Visual SPC'!$I$4="",'Data Entry'!$E6151='Visual SPC'!$I$4),OR('Visual SPC'!$K$4="",'Data Entry'!$F6151='Visual SPC'!$K$4)),1,0))</f>
        <v/>
      </c>
      <c r="C6151">
        <f>C6150+B6151</f>
        <v/>
      </c>
      <c r="D6151">
        <f>IF(B6151=1,INDEX('Data Entry'!$H$5:$BE$10004,6151-4,'Visual SPC'!$B$3),"")</f>
        <v/>
      </c>
      <c r="E6151">
        <f>IF(B6151=1,D6151,E6150)</f>
        <v/>
      </c>
      <c r="F6151">
        <f>IF(AND(B6151=1,C6151&gt;1,E6150&lt;&gt;""),ABS(D6151-E6150),"")</f>
        <v/>
      </c>
    </row>
    <row r="6152">
      <c r="A6152" t="n">
        <v>6152</v>
      </c>
      <c r="B6152">
        <f>IF(INDEX('Data Entry'!$H$5:$BE$10004,6152-4,'Visual SPC'!$B$3)="",0,IF(AND(OR('Visual SPC'!$C$4="",'Data Entry'!$C6152&gt;='Visual SPC'!$C$4),OR('Visual SPC'!$E$4="",'Data Entry'!$C6152&lt;='Visual SPC'!$E$4),OR('Visual SPC'!$G$4="",'Data Entry'!$D6152='Visual SPC'!$G$4),OR('Visual SPC'!$I$4="",'Data Entry'!$E6152='Visual SPC'!$I$4),OR('Visual SPC'!$K$4="",'Data Entry'!$F6152='Visual SPC'!$K$4)),1,0))</f>
        <v/>
      </c>
      <c r="C6152">
        <f>C6151+B6152</f>
        <v/>
      </c>
      <c r="D6152">
        <f>IF(B6152=1,INDEX('Data Entry'!$H$5:$BE$10004,6152-4,'Visual SPC'!$B$3),"")</f>
        <v/>
      </c>
      <c r="E6152">
        <f>IF(B6152=1,D6152,E6151)</f>
        <v/>
      </c>
      <c r="F6152">
        <f>IF(AND(B6152=1,C6152&gt;1,E6151&lt;&gt;""),ABS(D6152-E6151),"")</f>
        <v/>
      </c>
    </row>
    <row r="6153">
      <c r="A6153" t="n">
        <v>6153</v>
      </c>
      <c r="B6153">
        <f>IF(INDEX('Data Entry'!$H$5:$BE$10004,6153-4,'Visual SPC'!$B$3)="",0,IF(AND(OR('Visual SPC'!$C$4="",'Data Entry'!$C6153&gt;='Visual SPC'!$C$4),OR('Visual SPC'!$E$4="",'Data Entry'!$C6153&lt;='Visual SPC'!$E$4),OR('Visual SPC'!$G$4="",'Data Entry'!$D6153='Visual SPC'!$G$4),OR('Visual SPC'!$I$4="",'Data Entry'!$E6153='Visual SPC'!$I$4),OR('Visual SPC'!$K$4="",'Data Entry'!$F6153='Visual SPC'!$K$4)),1,0))</f>
        <v/>
      </c>
      <c r="C6153">
        <f>C6152+B6153</f>
        <v/>
      </c>
      <c r="D6153">
        <f>IF(B6153=1,INDEX('Data Entry'!$H$5:$BE$10004,6153-4,'Visual SPC'!$B$3),"")</f>
        <v/>
      </c>
      <c r="E6153">
        <f>IF(B6153=1,D6153,E6152)</f>
        <v/>
      </c>
      <c r="F6153">
        <f>IF(AND(B6153=1,C6153&gt;1,E6152&lt;&gt;""),ABS(D6153-E6152),"")</f>
        <v/>
      </c>
    </row>
    <row r="6154">
      <c r="A6154" t="n">
        <v>6154</v>
      </c>
      <c r="B6154">
        <f>IF(INDEX('Data Entry'!$H$5:$BE$10004,6154-4,'Visual SPC'!$B$3)="",0,IF(AND(OR('Visual SPC'!$C$4="",'Data Entry'!$C6154&gt;='Visual SPC'!$C$4),OR('Visual SPC'!$E$4="",'Data Entry'!$C6154&lt;='Visual SPC'!$E$4),OR('Visual SPC'!$G$4="",'Data Entry'!$D6154='Visual SPC'!$G$4),OR('Visual SPC'!$I$4="",'Data Entry'!$E6154='Visual SPC'!$I$4),OR('Visual SPC'!$K$4="",'Data Entry'!$F6154='Visual SPC'!$K$4)),1,0))</f>
        <v/>
      </c>
      <c r="C6154">
        <f>C6153+B6154</f>
        <v/>
      </c>
      <c r="D6154">
        <f>IF(B6154=1,INDEX('Data Entry'!$H$5:$BE$10004,6154-4,'Visual SPC'!$B$3),"")</f>
        <v/>
      </c>
      <c r="E6154">
        <f>IF(B6154=1,D6154,E6153)</f>
        <v/>
      </c>
      <c r="F6154">
        <f>IF(AND(B6154=1,C6154&gt;1,E6153&lt;&gt;""),ABS(D6154-E6153),"")</f>
        <v/>
      </c>
    </row>
    <row r="6155">
      <c r="A6155" t="n">
        <v>6155</v>
      </c>
      <c r="B6155">
        <f>IF(INDEX('Data Entry'!$H$5:$BE$10004,6155-4,'Visual SPC'!$B$3)="",0,IF(AND(OR('Visual SPC'!$C$4="",'Data Entry'!$C6155&gt;='Visual SPC'!$C$4),OR('Visual SPC'!$E$4="",'Data Entry'!$C6155&lt;='Visual SPC'!$E$4),OR('Visual SPC'!$G$4="",'Data Entry'!$D6155='Visual SPC'!$G$4),OR('Visual SPC'!$I$4="",'Data Entry'!$E6155='Visual SPC'!$I$4),OR('Visual SPC'!$K$4="",'Data Entry'!$F6155='Visual SPC'!$K$4)),1,0))</f>
        <v/>
      </c>
      <c r="C6155">
        <f>C6154+B6155</f>
        <v/>
      </c>
      <c r="D6155">
        <f>IF(B6155=1,INDEX('Data Entry'!$H$5:$BE$10004,6155-4,'Visual SPC'!$B$3),"")</f>
        <v/>
      </c>
      <c r="E6155">
        <f>IF(B6155=1,D6155,E6154)</f>
        <v/>
      </c>
      <c r="F6155">
        <f>IF(AND(B6155=1,C6155&gt;1,E6154&lt;&gt;""),ABS(D6155-E6154),"")</f>
        <v/>
      </c>
    </row>
    <row r="6156">
      <c r="A6156" t="n">
        <v>6156</v>
      </c>
      <c r="B6156">
        <f>IF(INDEX('Data Entry'!$H$5:$BE$10004,6156-4,'Visual SPC'!$B$3)="",0,IF(AND(OR('Visual SPC'!$C$4="",'Data Entry'!$C6156&gt;='Visual SPC'!$C$4),OR('Visual SPC'!$E$4="",'Data Entry'!$C6156&lt;='Visual SPC'!$E$4),OR('Visual SPC'!$G$4="",'Data Entry'!$D6156='Visual SPC'!$G$4),OR('Visual SPC'!$I$4="",'Data Entry'!$E6156='Visual SPC'!$I$4),OR('Visual SPC'!$K$4="",'Data Entry'!$F6156='Visual SPC'!$K$4)),1,0))</f>
        <v/>
      </c>
      <c r="C6156">
        <f>C6155+B6156</f>
        <v/>
      </c>
      <c r="D6156">
        <f>IF(B6156=1,INDEX('Data Entry'!$H$5:$BE$10004,6156-4,'Visual SPC'!$B$3),"")</f>
        <v/>
      </c>
      <c r="E6156">
        <f>IF(B6156=1,D6156,E6155)</f>
        <v/>
      </c>
      <c r="F6156">
        <f>IF(AND(B6156=1,C6156&gt;1,E6155&lt;&gt;""),ABS(D6156-E6155),"")</f>
        <v/>
      </c>
    </row>
    <row r="6157">
      <c r="A6157" t="n">
        <v>6157</v>
      </c>
      <c r="B6157">
        <f>IF(INDEX('Data Entry'!$H$5:$BE$10004,6157-4,'Visual SPC'!$B$3)="",0,IF(AND(OR('Visual SPC'!$C$4="",'Data Entry'!$C6157&gt;='Visual SPC'!$C$4),OR('Visual SPC'!$E$4="",'Data Entry'!$C6157&lt;='Visual SPC'!$E$4),OR('Visual SPC'!$G$4="",'Data Entry'!$D6157='Visual SPC'!$G$4),OR('Visual SPC'!$I$4="",'Data Entry'!$E6157='Visual SPC'!$I$4),OR('Visual SPC'!$K$4="",'Data Entry'!$F6157='Visual SPC'!$K$4)),1,0))</f>
        <v/>
      </c>
      <c r="C6157">
        <f>C6156+B6157</f>
        <v/>
      </c>
      <c r="D6157">
        <f>IF(B6157=1,INDEX('Data Entry'!$H$5:$BE$10004,6157-4,'Visual SPC'!$B$3),"")</f>
        <v/>
      </c>
      <c r="E6157">
        <f>IF(B6157=1,D6157,E6156)</f>
        <v/>
      </c>
      <c r="F6157">
        <f>IF(AND(B6157=1,C6157&gt;1,E6156&lt;&gt;""),ABS(D6157-E6156),"")</f>
        <v/>
      </c>
    </row>
    <row r="6158">
      <c r="A6158" t="n">
        <v>6158</v>
      </c>
      <c r="B6158">
        <f>IF(INDEX('Data Entry'!$H$5:$BE$10004,6158-4,'Visual SPC'!$B$3)="",0,IF(AND(OR('Visual SPC'!$C$4="",'Data Entry'!$C6158&gt;='Visual SPC'!$C$4),OR('Visual SPC'!$E$4="",'Data Entry'!$C6158&lt;='Visual SPC'!$E$4),OR('Visual SPC'!$G$4="",'Data Entry'!$D6158='Visual SPC'!$G$4),OR('Visual SPC'!$I$4="",'Data Entry'!$E6158='Visual SPC'!$I$4),OR('Visual SPC'!$K$4="",'Data Entry'!$F6158='Visual SPC'!$K$4)),1,0))</f>
        <v/>
      </c>
      <c r="C6158">
        <f>C6157+B6158</f>
        <v/>
      </c>
      <c r="D6158">
        <f>IF(B6158=1,INDEX('Data Entry'!$H$5:$BE$10004,6158-4,'Visual SPC'!$B$3),"")</f>
        <v/>
      </c>
      <c r="E6158">
        <f>IF(B6158=1,D6158,E6157)</f>
        <v/>
      </c>
      <c r="F6158">
        <f>IF(AND(B6158=1,C6158&gt;1,E6157&lt;&gt;""),ABS(D6158-E6157),"")</f>
        <v/>
      </c>
    </row>
    <row r="6159">
      <c r="A6159" t="n">
        <v>6159</v>
      </c>
      <c r="B6159">
        <f>IF(INDEX('Data Entry'!$H$5:$BE$10004,6159-4,'Visual SPC'!$B$3)="",0,IF(AND(OR('Visual SPC'!$C$4="",'Data Entry'!$C6159&gt;='Visual SPC'!$C$4),OR('Visual SPC'!$E$4="",'Data Entry'!$C6159&lt;='Visual SPC'!$E$4),OR('Visual SPC'!$G$4="",'Data Entry'!$D6159='Visual SPC'!$G$4),OR('Visual SPC'!$I$4="",'Data Entry'!$E6159='Visual SPC'!$I$4),OR('Visual SPC'!$K$4="",'Data Entry'!$F6159='Visual SPC'!$K$4)),1,0))</f>
        <v/>
      </c>
      <c r="C6159">
        <f>C6158+B6159</f>
        <v/>
      </c>
      <c r="D6159">
        <f>IF(B6159=1,INDEX('Data Entry'!$H$5:$BE$10004,6159-4,'Visual SPC'!$B$3),"")</f>
        <v/>
      </c>
      <c r="E6159">
        <f>IF(B6159=1,D6159,E6158)</f>
        <v/>
      </c>
      <c r="F6159">
        <f>IF(AND(B6159=1,C6159&gt;1,E6158&lt;&gt;""),ABS(D6159-E6158),"")</f>
        <v/>
      </c>
    </row>
    <row r="6160">
      <c r="A6160" t="n">
        <v>6160</v>
      </c>
      <c r="B6160">
        <f>IF(INDEX('Data Entry'!$H$5:$BE$10004,6160-4,'Visual SPC'!$B$3)="",0,IF(AND(OR('Visual SPC'!$C$4="",'Data Entry'!$C6160&gt;='Visual SPC'!$C$4),OR('Visual SPC'!$E$4="",'Data Entry'!$C6160&lt;='Visual SPC'!$E$4),OR('Visual SPC'!$G$4="",'Data Entry'!$D6160='Visual SPC'!$G$4),OR('Visual SPC'!$I$4="",'Data Entry'!$E6160='Visual SPC'!$I$4),OR('Visual SPC'!$K$4="",'Data Entry'!$F6160='Visual SPC'!$K$4)),1,0))</f>
        <v/>
      </c>
      <c r="C6160">
        <f>C6159+B6160</f>
        <v/>
      </c>
      <c r="D6160">
        <f>IF(B6160=1,INDEX('Data Entry'!$H$5:$BE$10004,6160-4,'Visual SPC'!$B$3),"")</f>
        <v/>
      </c>
      <c r="E6160">
        <f>IF(B6160=1,D6160,E6159)</f>
        <v/>
      </c>
      <c r="F6160">
        <f>IF(AND(B6160=1,C6160&gt;1,E6159&lt;&gt;""),ABS(D6160-E6159),"")</f>
        <v/>
      </c>
    </row>
    <row r="6161">
      <c r="A6161" t="n">
        <v>6161</v>
      </c>
      <c r="B6161">
        <f>IF(INDEX('Data Entry'!$H$5:$BE$10004,6161-4,'Visual SPC'!$B$3)="",0,IF(AND(OR('Visual SPC'!$C$4="",'Data Entry'!$C6161&gt;='Visual SPC'!$C$4),OR('Visual SPC'!$E$4="",'Data Entry'!$C6161&lt;='Visual SPC'!$E$4),OR('Visual SPC'!$G$4="",'Data Entry'!$D6161='Visual SPC'!$G$4),OR('Visual SPC'!$I$4="",'Data Entry'!$E6161='Visual SPC'!$I$4),OR('Visual SPC'!$K$4="",'Data Entry'!$F6161='Visual SPC'!$K$4)),1,0))</f>
        <v/>
      </c>
      <c r="C6161">
        <f>C6160+B6161</f>
        <v/>
      </c>
      <c r="D6161">
        <f>IF(B6161=1,INDEX('Data Entry'!$H$5:$BE$10004,6161-4,'Visual SPC'!$B$3),"")</f>
        <v/>
      </c>
      <c r="E6161">
        <f>IF(B6161=1,D6161,E6160)</f>
        <v/>
      </c>
      <c r="F6161">
        <f>IF(AND(B6161=1,C6161&gt;1,E6160&lt;&gt;""),ABS(D6161-E6160),"")</f>
        <v/>
      </c>
    </row>
    <row r="6162">
      <c r="A6162" t="n">
        <v>6162</v>
      </c>
      <c r="B6162">
        <f>IF(INDEX('Data Entry'!$H$5:$BE$10004,6162-4,'Visual SPC'!$B$3)="",0,IF(AND(OR('Visual SPC'!$C$4="",'Data Entry'!$C6162&gt;='Visual SPC'!$C$4),OR('Visual SPC'!$E$4="",'Data Entry'!$C6162&lt;='Visual SPC'!$E$4),OR('Visual SPC'!$G$4="",'Data Entry'!$D6162='Visual SPC'!$G$4),OR('Visual SPC'!$I$4="",'Data Entry'!$E6162='Visual SPC'!$I$4),OR('Visual SPC'!$K$4="",'Data Entry'!$F6162='Visual SPC'!$K$4)),1,0))</f>
        <v/>
      </c>
      <c r="C6162">
        <f>C6161+B6162</f>
        <v/>
      </c>
      <c r="D6162">
        <f>IF(B6162=1,INDEX('Data Entry'!$H$5:$BE$10004,6162-4,'Visual SPC'!$B$3),"")</f>
        <v/>
      </c>
      <c r="E6162">
        <f>IF(B6162=1,D6162,E6161)</f>
        <v/>
      </c>
      <c r="F6162">
        <f>IF(AND(B6162=1,C6162&gt;1,E6161&lt;&gt;""),ABS(D6162-E6161),"")</f>
        <v/>
      </c>
    </row>
    <row r="6163">
      <c r="A6163" t="n">
        <v>6163</v>
      </c>
      <c r="B6163">
        <f>IF(INDEX('Data Entry'!$H$5:$BE$10004,6163-4,'Visual SPC'!$B$3)="",0,IF(AND(OR('Visual SPC'!$C$4="",'Data Entry'!$C6163&gt;='Visual SPC'!$C$4),OR('Visual SPC'!$E$4="",'Data Entry'!$C6163&lt;='Visual SPC'!$E$4),OR('Visual SPC'!$G$4="",'Data Entry'!$D6163='Visual SPC'!$G$4),OR('Visual SPC'!$I$4="",'Data Entry'!$E6163='Visual SPC'!$I$4),OR('Visual SPC'!$K$4="",'Data Entry'!$F6163='Visual SPC'!$K$4)),1,0))</f>
        <v/>
      </c>
      <c r="C6163">
        <f>C6162+B6163</f>
        <v/>
      </c>
      <c r="D6163">
        <f>IF(B6163=1,INDEX('Data Entry'!$H$5:$BE$10004,6163-4,'Visual SPC'!$B$3),"")</f>
        <v/>
      </c>
      <c r="E6163">
        <f>IF(B6163=1,D6163,E6162)</f>
        <v/>
      </c>
      <c r="F6163">
        <f>IF(AND(B6163=1,C6163&gt;1,E6162&lt;&gt;""),ABS(D6163-E6162),"")</f>
        <v/>
      </c>
    </row>
    <row r="6164">
      <c r="A6164" t="n">
        <v>6164</v>
      </c>
      <c r="B6164">
        <f>IF(INDEX('Data Entry'!$H$5:$BE$10004,6164-4,'Visual SPC'!$B$3)="",0,IF(AND(OR('Visual SPC'!$C$4="",'Data Entry'!$C6164&gt;='Visual SPC'!$C$4),OR('Visual SPC'!$E$4="",'Data Entry'!$C6164&lt;='Visual SPC'!$E$4),OR('Visual SPC'!$G$4="",'Data Entry'!$D6164='Visual SPC'!$G$4),OR('Visual SPC'!$I$4="",'Data Entry'!$E6164='Visual SPC'!$I$4),OR('Visual SPC'!$K$4="",'Data Entry'!$F6164='Visual SPC'!$K$4)),1,0))</f>
        <v/>
      </c>
      <c r="C6164">
        <f>C6163+B6164</f>
        <v/>
      </c>
      <c r="D6164">
        <f>IF(B6164=1,INDEX('Data Entry'!$H$5:$BE$10004,6164-4,'Visual SPC'!$B$3),"")</f>
        <v/>
      </c>
      <c r="E6164">
        <f>IF(B6164=1,D6164,E6163)</f>
        <v/>
      </c>
      <c r="F6164">
        <f>IF(AND(B6164=1,C6164&gt;1,E6163&lt;&gt;""),ABS(D6164-E6163),"")</f>
        <v/>
      </c>
    </row>
    <row r="6165">
      <c r="A6165" t="n">
        <v>6165</v>
      </c>
      <c r="B6165">
        <f>IF(INDEX('Data Entry'!$H$5:$BE$10004,6165-4,'Visual SPC'!$B$3)="",0,IF(AND(OR('Visual SPC'!$C$4="",'Data Entry'!$C6165&gt;='Visual SPC'!$C$4),OR('Visual SPC'!$E$4="",'Data Entry'!$C6165&lt;='Visual SPC'!$E$4),OR('Visual SPC'!$G$4="",'Data Entry'!$D6165='Visual SPC'!$G$4),OR('Visual SPC'!$I$4="",'Data Entry'!$E6165='Visual SPC'!$I$4),OR('Visual SPC'!$K$4="",'Data Entry'!$F6165='Visual SPC'!$K$4)),1,0))</f>
        <v/>
      </c>
      <c r="C6165">
        <f>C6164+B6165</f>
        <v/>
      </c>
      <c r="D6165">
        <f>IF(B6165=1,INDEX('Data Entry'!$H$5:$BE$10004,6165-4,'Visual SPC'!$B$3),"")</f>
        <v/>
      </c>
      <c r="E6165">
        <f>IF(B6165=1,D6165,E6164)</f>
        <v/>
      </c>
      <c r="F6165">
        <f>IF(AND(B6165=1,C6165&gt;1,E6164&lt;&gt;""),ABS(D6165-E6164),"")</f>
        <v/>
      </c>
    </row>
    <row r="6166">
      <c r="A6166" t="n">
        <v>6166</v>
      </c>
      <c r="B6166">
        <f>IF(INDEX('Data Entry'!$H$5:$BE$10004,6166-4,'Visual SPC'!$B$3)="",0,IF(AND(OR('Visual SPC'!$C$4="",'Data Entry'!$C6166&gt;='Visual SPC'!$C$4),OR('Visual SPC'!$E$4="",'Data Entry'!$C6166&lt;='Visual SPC'!$E$4),OR('Visual SPC'!$G$4="",'Data Entry'!$D6166='Visual SPC'!$G$4),OR('Visual SPC'!$I$4="",'Data Entry'!$E6166='Visual SPC'!$I$4),OR('Visual SPC'!$K$4="",'Data Entry'!$F6166='Visual SPC'!$K$4)),1,0))</f>
        <v/>
      </c>
      <c r="C6166">
        <f>C6165+B6166</f>
        <v/>
      </c>
      <c r="D6166">
        <f>IF(B6166=1,INDEX('Data Entry'!$H$5:$BE$10004,6166-4,'Visual SPC'!$B$3),"")</f>
        <v/>
      </c>
      <c r="E6166">
        <f>IF(B6166=1,D6166,E6165)</f>
        <v/>
      </c>
      <c r="F6166">
        <f>IF(AND(B6166=1,C6166&gt;1,E6165&lt;&gt;""),ABS(D6166-E6165),"")</f>
        <v/>
      </c>
    </row>
    <row r="6167">
      <c r="A6167" t="n">
        <v>6167</v>
      </c>
      <c r="B6167">
        <f>IF(INDEX('Data Entry'!$H$5:$BE$10004,6167-4,'Visual SPC'!$B$3)="",0,IF(AND(OR('Visual SPC'!$C$4="",'Data Entry'!$C6167&gt;='Visual SPC'!$C$4),OR('Visual SPC'!$E$4="",'Data Entry'!$C6167&lt;='Visual SPC'!$E$4),OR('Visual SPC'!$G$4="",'Data Entry'!$D6167='Visual SPC'!$G$4),OR('Visual SPC'!$I$4="",'Data Entry'!$E6167='Visual SPC'!$I$4),OR('Visual SPC'!$K$4="",'Data Entry'!$F6167='Visual SPC'!$K$4)),1,0))</f>
        <v/>
      </c>
      <c r="C6167">
        <f>C6166+B6167</f>
        <v/>
      </c>
      <c r="D6167">
        <f>IF(B6167=1,INDEX('Data Entry'!$H$5:$BE$10004,6167-4,'Visual SPC'!$B$3),"")</f>
        <v/>
      </c>
      <c r="E6167">
        <f>IF(B6167=1,D6167,E6166)</f>
        <v/>
      </c>
      <c r="F6167">
        <f>IF(AND(B6167=1,C6167&gt;1,E6166&lt;&gt;""),ABS(D6167-E6166),"")</f>
        <v/>
      </c>
    </row>
    <row r="6168">
      <c r="A6168" t="n">
        <v>6168</v>
      </c>
      <c r="B6168">
        <f>IF(INDEX('Data Entry'!$H$5:$BE$10004,6168-4,'Visual SPC'!$B$3)="",0,IF(AND(OR('Visual SPC'!$C$4="",'Data Entry'!$C6168&gt;='Visual SPC'!$C$4),OR('Visual SPC'!$E$4="",'Data Entry'!$C6168&lt;='Visual SPC'!$E$4),OR('Visual SPC'!$G$4="",'Data Entry'!$D6168='Visual SPC'!$G$4),OR('Visual SPC'!$I$4="",'Data Entry'!$E6168='Visual SPC'!$I$4),OR('Visual SPC'!$K$4="",'Data Entry'!$F6168='Visual SPC'!$K$4)),1,0))</f>
        <v/>
      </c>
      <c r="C6168">
        <f>C6167+B6168</f>
        <v/>
      </c>
      <c r="D6168">
        <f>IF(B6168=1,INDEX('Data Entry'!$H$5:$BE$10004,6168-4,'Visual SPC'!$B$3),"")</f>
        <v/>
      </c>
      <c r="E6168">
        <f>IF(B6168=1,D6168,E6167)</f>
        <v/>
      </c>
      <c r="F6168">
        <f>IF(AND(B6168=1,C6168&gt;1,E6167&lt;&gt;""),ABS(D6168-E6167),"")</f>
        <v/>
      </c>
    </row>
    <row r="6169">
      <c r="A6169" t="n">
        <v>6169</v>
      </c>
      <c r="B6169">
        <f>IF(INDEX('Data Entry'!$H$5:$BE$10004,6169-4,'Visual SPC'!$B$3)="",0,IF(AND(OR('Visual SPC'!$C$4="",'Data Entry'!$C6169&gt;='Visual SPC'!$C$4),OR('Visual SPC'!$E$4="",'Data Entry'!$C6169&lt;='Visual SPC'!$E$4),OR('Visual SPC'!$G$4="",'Data Entry'!$D6169='Visual SPC'!$G$4),OR('Visual SPC'!$I$4="",'Data Entry'!$E6169='Visual SPC'!$I$4),OR('Visual SPC'!$K$4="",'Data Entry'!$F6169='Visual SPC'!$K$4)),1,0))</f>
        <v/>
      </c>
      <c r="C6169">
        <f>C6168+B6169</f>
        <v/>
      </c>
      <c r="D6169">
        <f>IF(B6169=1,INDEX('Data Entry'!$H$5:$BE$10004,6169-4,'Visual SPC'!$B$3),"")</f>
        <v/>
      </c>
      <c r="E6169">
        <f>IF(B6169=1,D6169,E6168)</f>
        <v/>
      </c>
      <c r="F6169">
        <f>IF(AND(B6169=1,C6169&gt;1,E6168&lt;&gt;""),ABS(D6169-E6168),"")</f>
        <v/>
      </c>
    </row>
    <row r="6170">
      <c r="A6170" t="n">
        <v>6170</v>
      </c>
      <c r="B6170">
        <f>IF(INDEX('Data Entry'!$H$5:$BE$10004,6170-4,'Visual SPC'!$B$3)="",0,IF(AND(OR('Visual SPC'!$C$4="",'Data Entry'!$C6170&gt;='Visual SPC'!$C$4),OR('Visual SPC'!$E$4="",'Data Entry'!$C6170&lt;='Visual SPC'!$E$4),OR('Visual SPC'!$G$4="",'Data Entry'!$D6170='Visual SPC'!$G$4),OR('Visual SPC'!$I$4="",'Data Entry'!$E6170='Visual SPC'!$I$4),OR('Visual SPC'!$K$4="",'Data Entry'!$F6170='Visual SPC'!$K$4)),1,0))</f>
        <v/>
      </c>
      <c r="C6170">
        <f>C6169+B6170</f>
        <v/>
      </c>
      <c r="D6170">
        <f>IF(B6170=1,INDEX('Data Entry'!$H$5:$BE$10004,6170-4,'Visual SPC'!$B$3),"")</f>
        <v/>
      </c>
      <c r="E6170">
        <f>IF(B6170=1,D6170,E6169)</f>
        <v/>
      </c>
      <c r="F6170">
        <f>IF(AND(B6170=1,C6170&gt;1,E6169&lt;&gt;""),ABS(D6170-E6169),"")</f>
        <v/>
      </c>
    </row>
    <row r="6171">
      <c r="A6171" t="n">
        <v>6171</v>
      </c>
      <c r="B6171">
        <f>IF(INDEX('Data Entry'!$H$5:$BE$10004,6171-4,'Visual SPC'!$B$3)="",0,IF(AND(OR('Visual SPC'!$C$4="",'Data Entry'!$C6171&gt;='Visual SPC'!$C$4),OR('Visual SPC'!$E$4="",'Data Entry'!$C6171&lt;='Visual SPC'!$E$4),OR('Visual SPC'!$G$4="",'Data Entry'!$D6171='Visual SPC'!$G$4),OR('Visual SPC'!$I$4="",'Data Entry'!$E6171='Visual SPC'!$I$4),OR('Visual SPC'!$K$4="",'Data Entry'!$F6171='Visual SPC'!$K$4)),1,0))</f>
        <v/>
      </c>
      <c r="C6171">
        <f>C6170+B6171</f>
        <v/>
      </c>
      <c r="D6171">
        <f>IF(B6171=1,INDEX('Data Entry'!$H$5:$BE$10004,6171-4,'Visual SPC'!$B$3),"")</f>
        <v/>
      </c>
      <c r="E6171">
        <f>IF(B6171=1,D6171,E6170)</f>
        <v/>
      </c>
      <c r="F6171">
        <f>IF(AND(B6171=1,C6171&gt;1,E6170&lt;&gt;""),ABS(D6171-E6170),"")</f>
        <v/>
      </c>
    </row>
    <row r="6172">
      <c r="A6172" t="n">
        <v>6172</v>
      </c>
      <c r="B6172">
        <f>IF(INDEX('Data Entry'!$H$5:$BE$10004,6172-4,'Visual SPC'!$B$3)="",0,IF(AND(OR('Visual SPC'!$C$4="",'Data Entry'!$C6172&gt;='Visual SPC'!$C$4),OR('Visual SPC'!$E$4="",'Data Entry'!$C6172&lt;='Visual SPC'!$E$4),OR('Visual SPC'!$G$4="",'Data Entry'!$D6172='Visual SPC'!$G$4),OR('Visual SPC'!$I$4="",'Data Entry'!$E6172='Visual SPC'!$I$4),OR('Visual SPC'!$K$4="",'Data Entry'!$F6172='Visual SPC'!$K$4)),1,0))</f>
        <v/>
      </c>
      <c r="C6172">
        <f>C6171+B6172</f>
        <v/>
      </c>
      <c r="D6172">
        <f>IF(B6172=1,INDEX('Data Entry'!$H$5:$BE$10004,6172-4,'Visual SPC'!$B$3),"")</f>
        <v/>
      </c>
      <c r="E6172">
        <f>IF(B6172=1,D6172,E6171)</f>
        <v/>
      </c>
      <c r="F6172">
        <f>IF(AND(B6172=1,C6172&gt;1,E6171&lt;&gt;""),ABS(D6172-E6171),"")</f>
        <v/>
      </c>
    </row>
    <row r="6173">
      <c r="A6173" t="n">
        <v>6173</v>
      </c>
      <c r="B6173">
        <f>IF(INDEX('Data Entry'!$H$5:$BE$10004,6173-4,'Visual SPC'!$B$3)="",0,IF(AND(OR('Visual SPC'!$C$4="",'Data Entry'!$C6173&gt;='Visual SPC'!$C$4),OR('Visual SPC'!$E$4="",'Data Entry'!$C6173&lt;='Visual SPC'!$E$4),OR('Visual SPC'!$G$4="",'Data Entry'!$D6173='Visual SPC'!$G$4),OR('Visual SPC'!$I$4="",'Data Entry'!$E6173='Visual SPC'!$I$4),OR('Visual SPC'!$K$4="",'Data Entry'!$F6173='Visual SPC'!$K$4)),1,0))</f>
        <v/>
      </c>
      <c r="C6173">
        <f>C6172+B6173</f>
        <v/>
      </c>
      <c r="D6173">
        <f>IF(B6173=1,INDEX('Data Entry'!$H$5:$BE$10004,6173-4,'Visual SPC'!$B$3),"")</f>
        <v/>
      </c>
      <c r="E6173">
        <f>IF(B6173=1,D6173,E6172)</f>
        <v/>
      </c>
      <c r="F6173">
        <f>IF(AND(B6173=1,C6173&gt;1,E6172&lt;&gt;""),ABS(D6173-E6172),"")</f>
        <v/>
      </c>
    </row>
    <row r="6174">
      <c r="A6174" t="n">
        <v>6174</v>
      </c>
      <c r="B6174">
        <f>IF(INDEX('Data Entry'!$H$5:$BE$10004,6174-4,'Visual SPC'!$B$3)="",0,IF(AND(OR('Visual SPC'!$C$4="",'Data Entry'!$C6174&gt;='Visual SPC'!$C$4),OR('Visual SPC'!$E$4="",'Data Entry'!$C6174&lt;='Visual SPC'!$E$4),OR('Visual SPC'!$G$4="",'Data Entry'!$D6174='Visual SPC'!$G$4),OR('Visual SPC'!$I$4="",'Data Entry'!$E6174='Visual SPC'!$I$4),OR('Visual SPC'!$K$4="",'Data Entry'!$F6174='Visual SPC'!$K$4)),1,0))</f>
        <v/>
      </c>
      <c r="C6174">
        <f>C6173+B6174</f>
        <v/>
      </c>
      <c r="D6174">
        <f>IF(B6174=1,INDEX('Data Entry'!$H$5:$BE$10004,6174-4,'Visual SPC'!$B$3),"")</f>
        <v/>
      </c>
      <c r="E6174">
        <f>IF(B6174=1,D6174,E6173)</f>
        <v/>
      </c>
      <c r="F6174">
        <f>IF(AND(B6174=1,C6174&gt;1,E6173&lt;&gt;""),ABS(D6174-E6173),"")</f>
        <v/>
      </c>
    </row>
    <row r="6175">
      <c r="A6175" t="n">
        <v>6175</v>
      </c>
      <c r="B6175">
        <f>IF(INDEX('Data Entry'!$H$5:$BE$10004,6175-4,'Visual SPC'!$B$3)="",0,IF(AND(OR('Visual SPC'!$C$4="",'Data Entry'!$C6175&gt;='Visual SPC'!$C$4),OR('Visual SPC'!$E$4="",'Data Entry'!$C6175&lt;='Visual SPC'!$E$4),OR('Visual SPC'!$G$4="",'Data Entry'!$D6175='Visual SPC'!$G$4),OR('Visual SPC'!$I$4="",'Data Entry'!$E6175='Visual SPC'!$I$4),OR('Visual SPC'!$K$4="",'Data Entry'!$F6175='Visual SPC'!$K$4)),1,0))</f>
        <v/>
      </c>
      <c r="C6175">
        <f>C6174+B6175</f>
        <v/>
      </c>
      <c r="D6175">
        <f>IF(B6175=1,INDEX('Data Entry'!$H$5:$BE$10004,6175-4,'Visual SPC'!$B$3),"")</f>
        <v/>
      </c>
      <c r="E6175">
        <f>IF(B6175=1,D6175,E6174)</f>
        <v/>
      </c>
      <c r="F6175">
        <f>IF(AND(B6175=1,C6175&gt;1,E6174&lt;&gt;""),ABS(D6175-E6174),"")</f>
        <v/>
      </c>
    </row>
    <row r="6176">
      <c r="A6176" t="n">
        <v>6176</v>
      </c>
      <c r="B6176">
        <f>IF(INDEX('Data Entry'!$H$5:$BE$10004,6176-4,'Visual SPC'!$B$3)="",0,IF(AND(OR('Visual SPC'!$C$4="",'Data Entry'!$C6176&gt;='Visual SPC'!$C$4),OR('Visual SPC'!$E$4="",'Data Entry'!$C6176&lt;='Visual SPC'!$E$4),OR('Visual SPC'!$G$4="",'Data Entry'!$D6176='Visual SPC'!$G$4),OR('Visual SPC'!$I$4="",'Data Entry'!$E6176='Visual SPC'!$I$4),OR('Visual SPC'!$K$4="",'Data Entry'!$F6176='Visual SPC'!$K$4)),1,0))</f>
        <v/>
      </c>
      <c r="C6176">
        <f>C6175+B6176</f>
        <v/>
      </c>
      <c r="D6176">
        <f>IF(B6176=1,INDEX('Data Entry'!$H$5:$BE$10004,6176-4,'Visual SPC'!$B$3),"")</f>
        <v/>
      </c>
      <c r="E6176">
        <f>IF(B6176=1,D6176,E6175)</f>
        <v/>
      </c>
      <c r="F6176">
        <f>IF(AND(B6176=1,C6176&gt;1,E6175&lt;&gt;""),ABS(D6176-E6175),"")</f>
        <v/>
      </c>
    </row>
    <row r="6177">
      <c r="A6177" t="n">
        <v>6177</v>
      </c>
      <c r="B6177">
        <f>IF(INDEX('Data Entry'!$H$5:$BE$10004,6177-4,'Visual SPC'!$B$3)="",0,IF(AND(OR('Visual SPC'!$C$4="",'Data Entry'!$C6177&gt;='Visual SPC'!$C$4),OR('Visual SPC'!$E$4="",'Data Entry'!$C6177&lt;='Visual SPC'!$E$4),OR('Visual SPC'!$G$4="",'Data Entry'!$D6177='Visual SPC'!$G$4),OR('Visual SPC'!$I$4="",'Data Entry'!$E6177='Visual SPC'!$I$4),OR('Visual SPC'!$K$4="",'Data Entry'!$F6177='Visual SPC'!$K$4)),1,0))</f>
        <v/>
      </c>
      <c r="C6177">
        <f>C6176+B6177</f>
        <v/>
      </c>
      <c r="D6177">
        <f>IF(B6177=1,INDEX('Data Entry'!$H$5:$BE$10004,6177-4,'Visual SPC'!$B$3),"")</f>
        <v/>
      </c>
      <c r="E6177">
        <f>IF(B6177=1,D6177,E6176)</f>
        <v/>
      </c>
      <c r="F6177">
        <f>IF(AND(B6177=1,C6177&gt;1,E6176&lt;&gt;""),ABS(D6177-E6176),"")</f>
        <v/>
      </c>
    </row>
    <row r="6178">
      <c r="A6178" t="n">
        <v>6178</v>
      </c>
      <c r="B6178">
        <f>IF(INDEX('Data Entry'!$H$5:$BE$10004,6178-4,'Visual SPC'!$B$3)="",0,IF(AND(OR('Visual SPC'!$C$4="",'Data Entry'!$C6178&gt;='Visual SPC'!$C$4),OR('Visual SPC'!$E$4="",'Data Entry'!$C6178&lt;='Visual SPC'!$E$4),OR('Visual SPC'!$G$4="",'Data Entry'!$D6178='Visual SPC'!$G$4),OR('Visual SPC'!$I$4="",'Data Entry'!$E6178='Visual SPC'!$I$4),OR('Visual SPC'!$K$4="",'Data Entry'!$F6178='Visual SPC'!$K$4)),1,0))</f>
        <v/>
      </c>
      <c r="C6178">
        <f>C6177+B6178</f>
        <v/>
      </c>
      <c r="D6178">
        <f>IF(B6178=1,INDEX('Data Entry'!$H$5:$BE$10004,6178-4,'Visual SPC'!$B$3),"")</f>
        <v/>
      </c>
      <c r="E6178">
        <f>IF(B6178=1,D6178,E6177)</f>
        <v/>
      </c>
      <c r="F6178">
        <f>IF(AND(B6178=1,C6178&gt;1,E6177&lt;&gt;""),ABS(D6178-E6177),"")</f>
        <v/>
      </c>
    </row>
    <row r="6179">
      <c r="A6179" t="n">
        <v>6179</v>
      </c>
      <c r="B6179">
        <f>IF(INDEX('Data Entry'!$H$5:$BE$10004,6179-4,'Visual SPC'!$B$3)="",0,IF(AND(OR('Visual SPC'!$C$4="",'Data Entry'!$C6179&gt;='Visual SPC'!$C$4),OR('Visual SPC'!$E$4="",'Data Entry'!$C6179&lt;='Visual SPC'!$E$4),OR('Visual SPC'!$G$4="",'Data Entry'!$D6179='Visual SPC'!$G$4),OR('Visual SPC'!$I$4="",'Data Entry'!$E6179='Visual SPC'!$I$4),OR('Visual SPC'!$K$4="",'Data Entry'!$F6179='Visual SPC'!$K$4)),1,0))</f>
        <v/>
      </c>
      <c r="C6179">
        <f>C6178+B6179</f>
        <v/>
      </c>
      <c r="D6179">
        <f>IF(B6179=1,INDEX('Data Entry'!$H$5:$BE$10004,6179-4,'Visual SPC'!$B$3),"")</f>
        <v/>
      </c>
      <c r="E6179">
        <f>IF(B6179=1,D6179,E6178)</f>
        <v/>
      </c>
      <c r="F6179">
        <f>IF(AND(B6179=1,C6179&gt;1,E6178&lt;&gt;""),ABS(D6179-E6178),"")</f>
        <v/>
      </c>
    </row>
    <row r="6180">
      <c r="A6180" t="n">
        <v>6180</v>
      </c>
      <c r="B6180">
        <f>IF(INDEX('Data Entry'!$H$5:$BE$10004,6180-4,'Visual SPC'!$B$3)="",0,IF(AND(OR('Visual SPC'!$C$4="",'Data Entry'!$C6180&gt;='Visual SPC'!$C$4),OR('Visual SPC'!$E$4="",'Data Entry'!$C6180&lt;='Visual SPC'!$E$4),OR('Visual SPC'!$G$4="",'Data Entry'!$D6180='Visual SPC'!$G$4),OR('Visual SPC'!$I$4="",'Data Entry'!$E6180='Visual SPC'!$I$4),OR('Visual SPC'!$K$4="",'Data Entry'!$F6180='Visual SPC'!$K$4)),1,0))</f>
        <v/>
      </c>
      <c r="C6180">
        <f>C6179+B6180</f>
        <v/>
      </c>
      <c r="D6180">
        <f>IF(B6180=1,INDEX('Data Entry'!$H$5:$BE$10004,6180-4,'Visual SPC'!$B$3),"")</f>
        <v/>
      </c>
      <c r="E6180">
        <f>IF(B6180=1,D6180,E6179)</f>
        <v/>
      </c>
      <c r="F6180">
        <f>IF(AND(B6180=1,C6180&gt;1,E6179&lt;&gt;""),ABS(D6180-E6179),"")</f>
        <v/>
      </c>
    </row>
    <row r="6181">
      <c r="A6181" t="n">
        <v>6181</v>
      </c>
      <c r="B6181">
        <f>IF(INDEX('Data Entry'!$H$5:$BE$10004,6181-4,'Visual SPC'!$B$3)="",0,IF(AND(OR('Visual SPC'!$C$4="",'Data Entry'!$C6181&gt;='Visual SPC'!$C$4),OR('Visual SPC'!$E$4="",'Data Entry'!$C6181&lt;='Visual SPC'!$E$4),OR('Visual SPC'!$G$4="",'Data Entry'!$D6181='Visual SPC'!$G$4),OR('Visual SPC'!$I$4="",'Data Entry'!$E6181='Visual SPC'!$I$4),OR('Visual SPC'!$K$4="",'Data Entry'!$F6181='Visual SPC'!$K$4)),1,0))</f>
        <v/>
      </c>
      <c r="C6181">
        <f>C6180+B6181</f>
        <v/>
      </c>
      <c r="D6181">
        <f>IF(B6181=1,INDEX('Data Entry'!$H$5:$BE$10004,6181-4,'Visual SPC'!$B$3),"")</f>
        <v/>
      </c>
      <c r="E6181">
        <f>IF(B6181=1,D6181,E6180)</f>
        <v/>
      </c>
      <c r="F6181">
        <f>IF(AND(B6181=1,C6181&gt;1,E6180&lt;&gt;""),ABS(D6181-E6180),"")</f>
        <v/>
      </c>
    </row>
    <row r="6182">
      <c r="A6182" t="n">
        <v>6182</v>
      </c>
      <c r="B6182">
        <f>IF(INDEX('Data Entry'!$H$5:$BE$10004,6182-4,'Visual SPC'!$B$3)="",0,IF(AND(OR('Visual SPC'!$C$4="",'Data Entry'!$C6182&gt;='Visual SPC'!$C$4),OR('Visual SPC'!$E$4="",'Data Entry'!$C6182&lt;='Visual SPC'!$E$4),OR('Visual SPC'!$G$4="",'Data Entry'!$D6182='Visual SPC'!$G$4),OR('Visual SPC'!$I$4="",'Data Entry'!$E6182='Visual SPC'!$I$4),OR('Visual SPC'!$K$4="",'Data Entry'!$F6182='Visual SPC'!$K$4)),1,0))</f>
        <v/>
      </c>
      <c r="C6182">
        <f>C6181+B6182</f>
        <v/>
      </c>
      <c r="D6182">
        <f>IF(B6182=1,INDEX('Data Entry'!$H$5:$BE$10004,6182-4,'Visual SPC'!$B$3),"")</f>
        <v/>
      </c>
      <c r="E6182">
        <f>IF(B6182=1,D6182,E6181)</f>
        <v/>
      </c>
      <c r="F6182">
        <f>IF(AND(B6182=1,C6182&gt;1,E6181&lt;&gt;""),ABS(D6182-E6181),"")</f>
        <v/>
      </c>
    </row>
    <row r="6183">
      <c r="A6183" t="n">
        <v>6183</v>
      </c>
      <c r="B6183">
        <f>IF(INDEX('Data Entry'!$H$5:$BE$10004,6183-4,'Visual SPC'!$B$3)="",0,IF(AND(OR('Visual SPC'!$C$4="",'Data Entry'!$C6183&gt;='Visual SPC'!$C$4),OR('Visual SPC'!$E$4="",'Data Entry'!$C6183&lt;='Visual SPC'!$E$4),OR('Visual SPC'!$G$4="",'Data Entry'!$D6183='Visual SPC'!$G$4),OR('Visual SPC'!$I$4="",'Data Entry'!$E6183='Visual SPC'!$I$4),OR('Visual SPC'!$K$4="",'Data Entry'!$F6183='Visual SPC'!$K$4)),1,0))</f>
        <v/>
      </c>
      <c r="C6183">
        <f>C6182+B6183</f>
        <v/>
      </c>
      <c r="D6183">
        <f>IF(B6183=1,INDEX('Data Entry'!$H$5:$BE$10004,6183-4,'Visual SPC'!$B$3),"")</f>
        <v/>
      </c>
      <c r="E6183">
        <f>IF(B6183=1,D6183,E6182)</f>
        <v/>
      </c>
      <c r="F6183">
        <f>IF(AND(B6183=1,C6183&gt;1,E6182&lt;&gt;""),ABS(D6183-E6182),"")</f>
        <v/>
      </c>
    </row>
    <row r="6184">
      <c r="A6184" t="n">
        <v>6184</v>
      </c>
      <c r="B6184">
        <f>IF(INDEX('Data Entry'!$H$5:$BE$10004,6184-4,'Visual SPC'!$B$3)="",0,IF(AND(OR('Visual SPC'!$C$4="",'Data Entry'!$C6184&gt;='Visual SPC'!$C$4),OR('Visual SPC'!$E$4="",'Data Entry'!$C6184&lt;='Visual SPC'!$E$4),OR('Visual SPC'!$G$4="",'Data Entry'!$D6184='Visual SPC'!$G$4),OR('Visual SPC'!$I$4="",'Data Entry'!$E6184='Visual SPC'!$I$4),OR('Visual SPC'!$K$4="",'Data Entry'!$F6184='Visual SPC'!$K$4)),1,0))</f>
        <v/>
      </c>
      <c r="C6184">
        <f>C6183+B6184</f>
        <v/>
      </c>
      <c r="D6184">
        <f>IF(B6184=1,INDEX('Data Entry'!$H$5:$BE$10004,6184-4,'Visual SPC'!$B$3),"")</f>
        <v/>
      </c>
      <c r="E6184">
        <f>IF(B6184=1,D6184,E6183)</f>
        <v/>
      </c>
      <c r="F6184">
        <f>IF(AND(B6184=1,C6184&gt;1,E6183&lt;&gt;""),ABS(D6184-E6183),"")</f>
        <v/>
      </c>
    </row>
    <row r="6185">
      <c r="A6185" t="n">
        <v>6185</v>
      </c>
      <c r="B6185">
        <f>IF(INDEX('Data Entry'!$H$5:$BE$10004,6185-4,'Visual SPC'!$B$3)="",0,IF(AND(OR('Visual SPC'!$C$4="",'Data Entry'!$C6185&gt;='Visual SPC'!$C$4),OR('Visual SPC'!$E$4="",'Data Entry'!$C6185&lt;='Visual SPC'!$E$4),OR('Visual SPC'!$G$4="",'Data Entry'!$D6185='Visual SPC'!$G$4),OR('Visual SPC'!$I$4="",'Data Entry'!$E6185='Visual SPC'!$I$4),OR('Visual SPC'!$K$4="",'Data Entry'!$F6185='Visual SPC'!$K$4)),1,0))</f>
        <v/>
      </c>
      <c r="C6185">
        <f>C6184+B6185</f>
        <v/>
      </c>
      <c r="D6185">
        <f>IF(B6185=1,INDEX('Data Entry'!$H$5:$BE$10004,6185-4,'Visual SPC'!$B$3),"")</f>
        <v/>
      </c>
      <c r="E6185">
        <f>IF(B6185=1,D6185,E6184)</f>
        <v/>
      </c>
      <c r="F6185">
        <f>IF(AND(B6185=1,C6185&gt;1,E6184&lt;&gt;""),ABS(D6185-E6184),"")</f>
        <v/>
      </c>
    </row>
    <row r="6186">
      <c r="A6186" t="n">
        <v>6186</v>
      </c>
      <c r="B6186">
        <f>IF(INDEX('Data Entry'!$H$5:$BE$10004,6186-4,'Visual SPC'!$B$3)="",0,IF(AND(OR('Visual SPC'!$C$4="",'Data Entry'!$C6186&gt;='Visual SPC'!$C$4),OR('Visual SPC'!$E$4="",'Data Entry'!$C6186&lt;='Visual SPC'!$E$4),OR('Visual SPC'!$G$4="",'Data Entry'!$D6186='Visual SPC'!$G$4),OR('Visual SPC'!$I$4="",'Data Entry'!$E6186='Visual SPC'!$I$4),OR('Visual SPC'!$K$4="",'Data Entry'!$F6186='Visual SPC'!$K$4)),1,0))</f>
        <v/>
      </c>
      <c r="C6186">
        <f>C6185+B6186</f>
        <v/>
      </c>
      <c r="D6186">
        <f>IF(B6186=1,INDEX('Data Entry'!$H$5:$BE$10004,6186-4,'Visual SPC'!$B$3),"")</f>
        <v/>
      </c>
      <c r="E6186">
        <f>IF(B6186=1,D6186,E6185)</f>
        <v/>
      </c>
      <c r="F6186">
        <f>IF(AND(B6186=1,C6186&gt;1,E6185&lt;&gt;""),ABS(D6186-E6185),"")</f>
        <v/>
      </c>
    </row>
    <row r="6187">
      <c r="A6187" t="n">
        <v>6187</v>
      </c>
      <c r="B6187">
        <f>IF(INDEX('Data Entry'!$H$5:$BE$10004,6187-4,'Visual SPC'!$B$3)="",0,IF(AND(OR('Visual SPC'!$C$4="",'Data Entry'!$C6187&gt;='Visual SPC'!$C$4),OR('Visual SPC'!$E$4="",'Data Entry'!$C6187&lt;='Visual SPC'!$E$4),OR('Visual SPC'!$G$4="",'Data Entry'!$D6187='Visual SPC'!$G$4),OR('Visual SPC'!$I$4="",'Data Entry'!$E6187='Visual SPC'!$I$4),OR('Visual SPC'!$K$4="",'Data Entry'!$F6187='Visual SPC'!$K$4)),1,0))</f>
        <v/>
      </c>
      <c r="C6187">
        <f>C6186+B6187</f>
        <v/>
      </c>
      <c r="D6187">
        <f>IF(B6187=1,INDEX('Data Entry'!$H$5:$BE$10004,6187-4,'Visual SPC'!$B$3),"")</f>
        <v/>
      </c>
      <c r="E6187">
        <f>IF(B6187=1,D6187,E6186)</f>
        <v/>
      </c>
      <c r="F6187">
        <f>IF(AND(B6187=1,C6187&gt;1,E6186&lt;&gt;""),ABS(D6187-E6186),"")</f>
        <v/>
      </c>
    </row>
    <row r="6188">
      <c r="A6188" t="n">
        <v>6188</v>
      </c>
      <c r="B6188">
        <f>IF(INDEX('Data Entry'!$H$5:$BE$10004,6188-4,'Visual SPC'!$B$3)="",0,IF(AND(OR('Visual SPC'!$C$4="",'Data Entry'!$C6188&gt;='Visual SPC'!$C$4),OR('Visual SPC'!$E$4="",'Data Entry'!$C6188&lt;='Visual SPC'!$E$4),OR('Visual SPC'!$G$4="",'Data Entry'!$D6188='Visual SPC'!$G$4),OR('Visual SPC'!$I$4="",'Data Entry'!$E6188='Visual SPC'!$I$4),OR('Visual SPC'!$K$4="",'Data Entry'!$F6188='Visual SPC'!$K$4)),1,0))</f>
        <v/>
      </c>
      <c r="C6188">
        <f>C6187+B6188</f>
        <v/>
      </c>
      <c r="D6188">
        <f>IF(B6188=1,INDEX('Data Entry'!$H$5:$BE$10004,6188-4,'Visual SPC'!$B$3),"")</f>
        <v/>
      </c>
      <c r="E6188">
        <f>IF(B6188=1,D6188,E6187)</f>
        <v/>
      </c>
      <c r="F6188">
        <f>IF(AND(B6188=1,C6188&gt;1,E6187&lt;&gt;""),ABS(D6188-E6187),"")</f>
        <v/>
      </c>
    </row>
    <row r="6189">
      <c r="A6189" t="n">
        <v>6189</v>
      </c>
      <c r="B6189">
        <f>IF(INDEX('Data Entry'!$H$5:$BE$10004,6189-4,'Visual SPC'!$B$3)="",0,IF(AND(OR('Visual SPC'!$C$4="",'Data Entry'!$C6189&gt;='Visual SPC'!$C$4),OR('Visual SPC'!$E$4="",'Data Entry'!$C6189&lt;='Visual SPC'!$E$4),OR('Visual SPC'!$G$4="",'Data Entry'!$D6189='Visual SPC'!$G$4),OR('Visual SPC'!$I$4="",'Data Entry'!$E6189='Visual SPC'!$I$4),OR('Visual SPC'!$K$4="",'Data Entry'!$F6189='Visual SPC'!$K$4)),1,0))</f>
        <v/>
      </c>
      <c r="C6189">
        <f>C6188+B6189</f>
        <v/>
      </c>
      <c r="D6189">
        <f>IF(B6189=1,INDEX('Data Entry'!$H$5:$BE$10004,6189-4,'Visual SPC'!$B$3),"")</f>
        <v/>
      </c>
      <c r="E6189">
        <f>IF(B6189=1,D6189,E6188)</f>
        <v/>
      </c>
      <c r="F6189">
        <f>IF(AND(B6189=1,C6189&gt;1,E6188&lt;&gt;""),ABS(D6189-E6188),"")</f>
        <v/>
      </c>
    </row>
    <row r="6190">
      <c r="A6190" t="n">
        <v>6190</v>
      </c>
      <c r="B6190">
        <f>IF(INDEX('Data Entry'!$H$5:$BE$10004,6190-4,'Visual SPC'!$B$3)="",0,IF(AND(OR('Visual SPC'!$C$4="",'Data Entry'!$C6190&gt;='Visual SPC'!$C$4),OR('Visual SPC'!$E$4="",'Data Entry'!$C6190&lt;='Visual SPC'!$E$4),OR('Visual SPC'!$G$4="",'Data Entry'!$D6190='Visual SPC'!$G$4),OR('Visual SPC'!$I$4="",'Data Entry'!$E6190='Visual SPC'!$I$4),OR('Visual SPC'!$K$4="",'Data Entry'!$F6190='Visual SPC'!$K$4)),1,0))</f>
        <v/>
      </c>
      <c r="C6190">
        <f>C6189+B6190</f>
        <v/>
      </c>
      <c r="D6190">
        <f>IF(B6190=1,INDEX('Data Entry'!$H$5:$BE$10004,6190-4,'Visual SPC'!$B$3),"")</f>
        <v/>
      </c>
      <c r="E6190">
        <f>IF(B6190=1,D6190,E6189)</f>
        <v/>
      </c>
      <c r="F6190">
        <f>IF(AND(B6190=1,C6190&gt;1,E6189&lt;&gt;""),ABS(D6190-E6189),"")</f>
        <v/>
      </c>
    </row>
    <row r="6191">
      <c r="A6191" t="n">
        <v>6191</v>
      </c>
      <c r="B6191">
        <f>IF(INDEX('Data Entry'!$H$5:$BE$10004,6191-4,'Visual SPC'!$B$3)="",0,IF(AND(OR('Visual SPC'!$C$4="",'Data Entry'!$C6191&gt;='Visual SPC'!$C$4),OR('Visual SPC'!$E$4="",'Data Entry'!$C6191&lt;='Visual SPC'!$E$4),OR('Visual SPC'!$G$4="",'Data Entry'!$D6191='Visual SPC'!$G$4),OR('Visual SPC'!$I$4="",'Data Entry'!$E6191='Visual SPC'!$I$4),OR('Visual SPC'!$K$4="",'Data Entry'!$F6191='Visual SPC'!$K$4)),1,0))</f>
        <v/>
      </c>
      <c r="C6191">
        <f>C6190+B6191</f>
        <v/>
      </c>
      <c r="D6191">
        <f>IF(B6191=1,INDEX('Data Entry'!$H$5:$BE$10004,6191-4,'Visual SPC'!$B$3),"")</f>
        <v/>
      </c>
      <c r="E6191">
        <f>IF(B6191=1,D6191,E6190)</f>
        <v/>
      </c>
      <c r="F6191">
        <f>IF(AND(B6191=1,C6191&gt;1,E6190&lt;&gt;""),ABS(D6191-E6190),"")</f>
        <v/>
      </c>
    </row>
    <row r="6192">
      <c r="A6192" t="n">
        <v>6192</v>
      </c>
      <c r="B6192">
        <f>IF(INDEX('Data Entry'!$H$5:$BE$10004,6192-4,'Visual SPC'!$B$3)="",0,IF(AND(OR('Visual SPC'!$C$4="",'Data Entry'!$C6192&gt;='Visual SPC'!$C$4),OR('Visual SPC'!$E$4="",'Data Entry'!$C6192&lt;='Visual SPC'!$E$4),OR('Visual SPC'!$G$4="",'Data Entry'!$D6192='Visual SPC'!$G$4),OR('Visual SPC'!$I$4="",'Data Entry'!$E6192='Visual SPC'!$I$4),OR('Visual SPC'!$K$4="",'Data Entry'!$F6192='Visual SPC'!$K$4)),1,0))</f>
        <v/>
      </c>
      <c r="C6192">
        <f>C6191+B6192</f>
        <v/>
      </c>
      <c r="D6192">
        <f>IF(B6192=1,INDEX('Data Entry'!$H$5:$BE$10004,6192-4,'Visual SPC'!$B$3),"")</f>
        <v/>
      </c>
      <c r="E6192">
        <f>IF(B6192=1,D6192,E6191)</f>
        <v/>
      </c>
      <c r="F6192">
        <f>IF(AND(B6192=1,C6192&gt;1,E6191&lt;&gt;""),ABS(D6192-E6191),"")</f>
        <v/>
      </c>
    </row>
    <row r="6193">
      <c r="A6193" t="n">
        <v>6193</v>
      </c>
      <c r="B6193">
        <f>IF(INDEX('Data Entry'!$H$5:$BE$10004,6193-4,'Visual SPC'!$B$3)="",0,IF(AND(OR('Visual SPC'!$C$4="",'Data Entry'!$C6193&gt;='Visual SPC'!$C$4),OR('Visual SPC'!$E$4="",'Data Entry'!$C6193&lt;='Visual SPC'!$E$4),OR('Visual SPC'!$G$4="",'Data Entry'!$D6193='Visual SPC'!$G$4),OR('Visual SPC'!$I$4="",'Data Entry'!$E6193='Visual SPC'!$I$4),OR('Visual SPC'!$K$4="",'Data Entry'!$F6193='Visual SPC'!$K$4)),1,0))</f>
        <v/>
      </c>
      <c r="C6193">
        <f>C6192+B6193</f>
        <v/>
      </c>
      <c r="D6193">
        <f>IF(B6193=1,INDEX('Data Entry'!$H$5:$BE$10004,6193-4,'Visual SPC'!$B$3),"")</f>
        <v/>
      </c>
      <c r="E6193">
        <f>IF(B6193=1,D6193,E6192)</f>
        <v/>
      </c>
      <c r="F6193">
        <f>IF(AND(B6193=1,C6193&gt;1,E6192&lt;&gt;""),ABS(D6193-E6192),"")</f>
        <v/>
      </c>
    </row>
    <row r="6194">
      <c r="A6194" t="n">
        <v>6194</v>
      </c>
      <c r="B6194">
        <f>IF(INDEX('Data Entry'!$H$5:$BE$10004,6194-4,'Visual SPC'!$B$3)="",0,IF(AND(OR('Visual SPC'!$C$4="",'Data Entry'!$C6194&gt;='Visual SPC'!$C$4),OR('Visual SPC'!$E$4="",'Data Entry'!$C6194&lt;='Visual SPC'!$E$4),OR('Visual SPC'!$G$4="",'Data Entry'!$D6194='Visual SPC'!$G$4),OR('Visual SPC'!$I$4="",'Data Entry'!$E6194='Visual SPC'!$I$4),OR('Visual SPC'!$K$4="",'Data Entry'!$F6194='Visual SPC'!$K$4)),1,0))</f>
        <v/>
      </c>
      <c r="C6194">
        <f>C6193+B6194</f>
        <v/>
      </c>
      <c r="D6194">
        <f>IF(B6194=1,INDEX('Data Entry'!$H$5:$BE$10004,6194-4,'Visual SPC'!$B$3),"")</f>
        <v/>
      </c>
      <c r="E6194">
        <f>IF(B6194=1,D6194,E6193)</f>
        <v/>
      </c>
      <c r="F6194">
        <f>IF(AND(B6194=1,C6194&gt;1,E6193&lt;&gt;""),ABS(D6194-E6193),"")</f>
        <v/>
      </c>
    </row>
    <row r="6195">
      <c r="A6195" t="n">
        <v>6195</v>
      </c>
      <c r="B6195">
        <f>IF(INDEX('Data Entry'!$H$5:$BE$10004,6195-4,'Visual SPC'!$B$3)="",0,IF(AND(OR('Visual SPC'!$C$4="",'Data Entry'!$C6195&gt;='Visual SPC'!$C$4),OR('Visual SPC'!$E$4="",'Data Entry'!$C6195&lt;='Visual SPC'!$E$4),OR('Visual SPC'!$G$4="",'Data Entry'!$D6195='Visual SPC'!$G$4),OR('Visual SPC'!$I$4="",'Data Entry'!$E6195='Visual SPC'!$I$4),OR('Visual SPC'!$K$4="",'Data Entry'!$F6195='Visual SPC'!$K$4)),1,0))</f>
        <v/>
      </c>
      <c r="C6195">
        <f>C6194+B6195</f>
        <v/>
      </c>
      <c r="D6195">
        <f>IF(B6195=1,INDEX('Data Entry'!$H$5:$BE$10004,6195-4,'Visual SPC'!$B$3),"")</f>
        <v/>
      </c>
      <c r="E6195">
        <f>IF(B6195=1,D6195,E6194)</f>
        <v/>
      </c>
      <c r="F6195">
        <f>IF(AND(B6195=1,C6195&gt;1,E6194&lt;&gt;""),ABS(D6195-E6194),"")</f>
        <v/>
      </c>
    </row>
    <row r="6196">
      <c r="A6196" t="n">
        <v>6196</v>
      </c>
      <c r="B6196">
        <f>IF(INDEX('Data Entry'!$H$5:$BE$10004,6196-4,'Visual SPC'!$B$3)="",0,IF(AND(OR('Visual SPC'!$C$4="",'Data Entry'!$C6196&gt;='Visual SPC'!$C$4),OR('Visual SPC'!$E$4="",'Data Entry'!$C6196&lt;='Visual SPC'!$E$4),OR('Visual SPC'!$G$4="",'Data Entry'!$D6196='Visual SPC'!$G$4),OR('Visual SPC'!$I$4="",'Data Entry'!$E6196='Visual SPC'!$I$4),OR('Visual SPC'!$K$4="",'Data Entry'!$F6196='Visual SPC'!$K$4)),1,0))</f>
        <v/>
      </c>
      <c r="C6196">
        <f>C6195+B6196</f>
        <v/>
      </c>
      <c r="D6196">
        <f>IF(B6196=1,INDEX('Data Entry'!$H$5:$BE$10004,6196-4,'Visual SPC'!$B$3),"")</f>
        <v/>
      </c>
      <c r="E6196">
        <f>IF(B6196=1,D6196,E6195)</f>
        <v/>
      </c>
      <c r="F6196">
        <f>IF(AND(B6196=1,C6196&gt;1,E6195&lt;&gt;""),ABS(D6196-E6195),"")</f>
        <v/>
      </c>
    </row>
    <row r="6197">
      <c r="A6197" t="n">
        <v>6197</v>
      </c>
      <c r="B6197">
        <f>IF(INDEX('Data Entry'!$H$5:$BE$10004,6197-4,'Visual SPC'!$B$3)="",0,IF(AND(OR('Visual SPC'!$C$4="",'Data Entry'!$C6197&gt;='Visual SPC'!$C$4),OR('Visual SPC'!$E$4="",'Data Entry'!$C6197&lt;='Visual SPC'!$E$4),OR('Visual SPC'!$G$4="",'Data Entry'!$D6197='Visual SPC'!$G$4),OR('Visual SPC'!$I$4="",'Data Entry'!$E6197='Visual SPC'!$I$4),OR('Visual SPC'!$K$4="",'Data Entry'!$F6197='Visual SPC'!$K$4)),1,0))</f>
        <v/>
      </c>
      <c r="C6197">
        <f>C6196+B6197</f>
        <v/>
      </c>
      <c r="D6197">
        <f>IF(B6197=1,INDEX('Data Entry'!$H$5:$BE$10004,6197-4,'Visual SPC'!$B$3),"")</f>
        <v/>
      </c>
      <c r="E6197">
        <f>IF(B6197=1,D6197,E6196)</f>
        <v/>
      </c>
      <c r="F6197">
        <f>IF(AND(B6197=1,C6197&gt;1,E6196&lt;&gt;""),ABS(D6197-E6196),"")</f>
        <v/>
      </c>
    </row>
    <row r="6198">
      <c r="A6198" t="n">
        <v>6198</v>
      </c>
      <c r="B6198">
        <f>IF(INDEX('Data Entry'!$H$5:$BE$10004,6198-4,'Visual SPC'!$B$3)="",0,IF(AND(OR('Visual SPC'!$C$4="",'Data Entry'!$C6198&gt;='Visual SPC'!$C$4),OR('Visual SPC'!$E$4="",'Data Entry'!$C6198&lt;='Visual SPC'!$E$4),OR('Visual SPC'!$G$4="",'Data Entry'!$D6198='Visual SPC'!$G$4),OR('Visual SPC'!$I$4="",'Data Entry'!$E6198='Visual SPC'!$I$4),OR('Visual SPC'!$K$4="",'Data Entry'!$F6198='Visual SPC'!$K$4)),1,0))</f>
        <v/>
      </c>
      <c r="C6198">
        <f>C6197+B6198</f>
        <v/>
      </c>
      <c r="D6198">
        <f>IF(B6198=1,INDEX('Data Entry'!$H$5:$BE$10004,6198-4,'Visual SPC'!$B$3),"")</f>
        <v/>
      </c>
      <c r="E6198">
        <f>IF(B6198=1,D6198,E6197)</f>
        <v/>
      </c>
      <c r="F6198">
        <f>IF(AND(B6198=1,C6198&gt;1,E6197&lt;&gt;""),ABS(D6198-E6197),"")</f>
        <v/>
      </c>
    </row>
    <row r="6199">
      <c r="A6199" t="n">
        <v>6199</v>
      </c>
      <c r="B6199">
        <f>IF(INDEX('Data Entry'!$H$5:$BE$10004,6199-4,'Visual SPC'!$B$3)="",0,IF(AND(OR('Visual SPC'!$C$4="",'Data Entry'!$C6199&gt;='Visual SPC'!$C$4),OR('Visual SPC'!$E$4="",'Data Entry'!$C6199&lt;='Visual SPC'!$E$4),OR('Visual SPC'!$G$4="",'Data Entry'!$D6199='Visual SPC'!$G$4),OR('Visual SPC'!$I$4="",'Data Entry'!$E6199='Visual SPC'!$I$4),OR('Visual SPC'!$K$4="",'Data Entry'!$F6199='Visual SPC'!$K$4)),1,0))</f>
        <v/>
      </c>
      <c r="C6199">
        <f>C6198+B6199</f>
        <v/>
      </c>
      <c r="D6199">
        <f>IF(B6199=1,INDEX('Data Entry'!$H$5:$BE$10004,6199-4,'Visual SPC'!$B$3),"")</f>
        <v/>
      </c>
      <c r="E6199">
        <f>IF(B6199=1,D6199,E6198)</f>
        <v/>
      </c>
      <c r="F6199">
        <f>IF(AND(B6199=1,C6199&gt;1,E6198&lt;&gt;""),ABS(D6199-E6198),"")</f>
        <v/>
      </c>
    </row>
    <row r="6200">
      <c r="A6200" t="n">
        <v>6200</v>
      </c>
      <c r="B6200">
        <f>IF(INDEX('Data Entry'!$H$5:$BE$10004,6200-4,'Visual SPC'!$B$3)="",0,IF(AND(OR('Visual SPC'!$C$4="",'Data Entry'!$C6200&gt;='Visual SPC'!$C$4),OR('Visual SPC'!$E$4="",'Data Entry'!$C6200&lt;='Visual SPC'!$E$4),OR('Visual SPC'!$G$4="",'Data Entry'!$D6200='Visual SPC'!$G$4),OR('Visual SPC'!$I$4="",'Data Entry'!$E6200='Visual SPC'!$I$4),OR('Visual SPC'!$K$4="",'Data Entry'!$F6200='Visual SPC'!$K$4)),1,0))</f>
        <v/>
      </c>
      <c r="C6200">
        <f>C6199+B6200</f>
        <v/>
      </c>
      <c r="D6200">
        <f>IF(B6200=1,INDEX('Data Entry'!$H$5:$BE$10004,6200-4,'Visual SPC'!$B$3),"")</f>
        <v/>
      </c>
      <c r="E6200">
        <f>IF(B6200=1,D6200,E6199)</f>
        <v/>
      </c>
      <c r="F6200">
        <f>IF(AND(B6200=1,C6200&gt;1,E6199&lt;&gt;""),ABS(D6200-E6199),"")</f>
        <v/>
      </c>
    </row>
    <row r="6201">
      <c r="A6201" t="n">
        <v>6201</v>
      </c>
      <c r="B6201">
        <f>IF(INDEX('Data Entry'!$H$5:$BE$10004,6201-4,'Visual SPC'!$B$3)="",0,IF(AND(OR('Visual SPC'!$C$4="",'Data Entry'!$C6201&gt;='Visual SPC'!$C$4),OR('Visual SPC'!$E$4="",'Data Entry'!$C6201&lt;='Visual SPC'!$E$4),OR('Visual SPC'!$G$4="",'Data Entry'!$D6201='Visual SPC'!$G$4),OR('Visual SPC'!$I$4="",'Data Entry'!$E6201='Visual SPC'!$I$4),OR('Visual SPC'!$K$4="",'Data Entry'!$F6201='Visual SPC'!$K$4)),1,0))</f>
        <v/>
      </c>
      <c r="C6201">
        <f>C6200+B6201</f>
        <v/>
      </c>
      <c r="D6201">
        <f>IF(B6201=1,INDEX('Data Entry'!$H$5:$BE$10004,6201-4,'Visual SPC'!$B$3),"")</f>
        <v/>
      </c>
      <c r="E6201">
        <f>IF(B6201=1,D6201,E6200)</f>
        <v/>
      </c>
      <c r="F6201">
        <f>IF(AND(B6201=1,C6201&gt;1,E6200&lt;&gt;""),ABS(D6201-E6200),"")</f>
        <v/>
      </c>
    </row>
    <row r="6202">
      <c r="A6202" t="n">
        <v>6202</v>
      </c>
      <c r="B6202">
        <f>IF(INDEX('Data Entry'!$H$5:$BE$10004,6202-4,'Visual SPC'!$B$3)="",0,IF(AND(OR('Visual SPC'!$C$4="",'Data Entry'!$C6202&gt;='Visual SPC'!$C$4),OR('Visual SPC'!$E$4="",'Data Entry'!$C6202&lt;='Visual SPC'!$E$4),OR('Visual SPC'!$G$4="",'Data Entry'!$D6202='Visual SPC'!$G$4),OR('Visual SPC'!$I$4="",'Data Entry'!$E6202='Visual SPC'!$I$4),OR('Visual SPC'!$K$4="",'Data Entry'!$F6202='Visual SPC'!$K$4)),1,0))</f>
        <v/>
      </c>
      <c r="C6202">
        <f>C6201+B6202</f>
        <v/>
      </c>
      <c r="D6202">
        <f>IF(B6202=1,INDEX('Data Entry'!$H$5:$BE$10004,6202-4,'Visual SPC'!$B$3),"")</f>
        <v/>
      </c>
      <c r="E6202">
        <f>IF(B6202=1,D6202,E6201)</f>
        <v/>
      </c>
      <c r="F6202">
        <f>IF(AND(B6202=1,C6202&gt;1,E6201&lt;&gt;""),ABS(D6202-E6201),"")</f>
        <v/>
      </c>
    </row>
    <row r="6203">
      <c r="A6203" t="n">
        <v>6203</v>
      </c>
      <c r="B6203">
        <f>IF(INDEX('Data Entry'!$H$5:$BE$10004,6203-4,'Visual SPC'!$B$3)="",0,IF(AND(OR('Visual SPC'!$C$4="",'Data Entry'!$C6203&gt;='Visual SPC'!$C$4),OR('Visual SPC'!$E$4="",'Data Entry'!$C6203&lt;='Visual SPC'!$E$4),OR('Visual SPC'!$G$4="",'Data Entry'!$D6203='Visual SPC'!$G$4),OR('Visual SPC'!$I$4="",'Data Entry'!$E6203='Visual SPC'!$I$4),OR('Visual SPC'!$K$4="",'Data Entry'!$F6203='Visual SPC'!$K$4)),1,0))</f>
        <v/>
      </c>
      <c r="C6203">
        <f>C6202+B6203</f>
        <v/>
      </c>
      <c r="D6203">
        <f>IF(B6203=1,INDEX('Data Entry'!$H$5:$BE$10004,6203-4,'Visual SPC'!$B$3),"")</f>
        <v/>
      </c>
      <c r="E6203">
        <f>IF(B6203=1,D6203,E6202)</f>
        <v/>
      </c>
      <c r="F6203">
        <f>IF(AND(B6203=1,C6203&gt;1,E6202&lt;&gt;""),ABS(D6203-E6202),"")</f>
        <v/>
      </c>
    </row>
    <row r="6204">
      <c r="A6204" t="n">
        <v>6204</v>
      </c>
      <c r="B6204">
        <f>IF(INDEX('Data Entry'!$H$5:$BE$10004,6204-4,'Visual SPC'!$B$3)="",0,IF(AND(OR('Visual SPC'!$C$4="",'Data Entry'!$C6204&gt;='Visual SPC'!$C$4),OR('Visual SPC'!$E$4="",'Data Entry'!$C6204&lt;='Visual SPC'!$E$4),OR('Visual SPC'!$G$4="",'Data Entry'!$D6204='Visual SPC'!$G$4),OR('Visual SPC'!$I$4="",'Data Entry'!$E6204='Visual SPC'!$I$4),OR('Visual SPC'!$K$4="",'Data Entry'!$F6204='Visual SPC'!$K$4)),1,0))</f>
        <v/>
      </c>
      <c r="C6204">
        <f>C6203+B6204</f>
        <v/>
      </c>
      <c r="D6204">
        <f>IF(B6204=1,INDEX('Data Entry'!$H$5:$BE$10004,6204-4,'Visual SPC'!$B$3),"")</f>
        <v/>
      </c>
      <c r="E6204">
        <f>IF(B6204=1,D6204,E6203)</f>
        <v/>
      </c>
      <c r="F6204">
        <f>IF(AND(B6204=1,C6204&gt;1,E6203&lt;&gt;""),ABS(D6204-E6203),"")</f>
        <v/>
      </c>
    </row>
    <row r="6205">
      <c r="A6205" t="n">
        <v>6205</v>
      </c>
      <c r="B6205">
        <f>IF(INDEX('Data Entry'!$H$5:$BE$10004,6205-4,'Visual SPC'!$B$3)="",0,IF(AND(OR('Visual SPC'!$C$4="",'Data Entry'!$C6205&gt;='Visual SPC'!$C$4),OR('Visual SPC'!$E$4="",'Data Entry'!$C6205&lt;='Visual SPC'!$E$4),OR('Visual SPC'!$G$4="",'Data Entry'!$D6205='Visual SPC'!$G$4),OR('Visual SPC'!$I$4="",'Data Entry'!$E6205='Visual SPC'!$I$4),OR('Visual SPC'!$K$4="",'Data Entry'!$F6205='Visual SPC'!$K$4)),1,0))</f>
        <v/>
      </c>
      <c r="C6205">
        <f>C6204+B6205</f>
        <v/>
      </c>
      <c r="D6205">
        <f>IF(B6205=1,INDEX('Data Entry'!$H$5:$BE$10004,6205-4,'Visual SPC'!$B$3),"")</f>
        <v/>
      </c>
      <c r="E6205">
        <f>IF(B6205=1,D6205,E6204)</f>
        <v/>
      </c>
      <c r="F6205">
        <f>IF(AND(B6205=1,C6205&gt;1,E6204&lt;&gt;""),ABS(D6205-E6204),"")</f>
        <v/>
      </c>
    </row>
    <row r="6206">
      <c r="A6206" t="n">
        <v>6206</v>
      </c>
      <c r="B6206">
        <f>IF(INDEX('Data Entry'!$H$5:$BE$10004,6206-4,'Visual SPC'!$B$3)="",0,IF(AND(OR('Visual SPC'!$C$4="",'Data Entry'!$C6206&gt;='Visual SPC'!$C$4),OR('Visual SPC'!$E$4="",'Data Entry'!$C6206&lt;='Visual SPC'!$E$4),OR('Visual SPC'!$G$4="",'Data Entry'!$D6206='Visual SPC'!$G$4),OR('Visual SPC'!$I$4="",'Data Entry'!$E6206='Visual SPC'!$I$4),OR('Visual SPC'!$K$4="",'Data Entry'!$F6206='Visual SPC'!$K$4)),1,0))</f>
        <v/>
      </c>
      <c r="C6206">
        <f>C6205+B6206</f>
        <v/>
      </c>
      <c r="D6206">
        <f>IF(B6206=1,INDEX('Data Entry'!$H$5:$BE$10004,6206-4,'Visual SPC'!$B$3),"")</f>
        <v/>
      </c>
      <c r="E6206">
        <f>IF(B6206=1,D6206,E6205)</f>
        <v/>
      </c>
      <c r="F6206">
        <f>IF(AND(B6206=1,C6206&gt;1,E6205&lt;&gt;""),ABS(D6206-E6205),"")</f>
        <v/>
      </c>
    </row>
    <row r="6207">
      <c r="A6207" t="n">
        <v>6207</v>
      </c>
      <c r="B6207">
        <f>IF(INDEX('Data Entry'!$H$5:$BE$10004,6207-4,'Visual SPC'!$B$3)="",0,IF(AND(OR('Visual SPC'!$C$4="",'Data Entry'!$C6207&gt;='Visual SPC'!$C$4),OR('Visual SPC'!$E$4="",'Data Entry'!$C6207&lt;='Visual SPC'!$E$4),OR('Visual SPC'!$G$4="",'Data Entry'!$D6207='Visual SPC'!$G$4),OR('Visual SPC'!$I$4="",'Data Entry'!$E6207='Visual SPC'!$I$4),OR('Visual SPC'!$K$4="",'Data Entry'!$F6207='Visual SPC'!$K$4)),1,0))</f>
        <v/>
      </c>
      <c r="C6207">
        <f>C6206+B6207</f>
        <v/>
      </c>
      <c r="D6207">
        <f>IF(B6207=1,INDEX('Data Entry'!$H$5:$BE$10004,6207-4,'Visual SPC'!$B$3),"")</f>
        <v/>
      </c>
      <c r="E6207">
        <f>IF(B6207=1,D6207,E6206)</f>
        <v/>
      </c>
      <c r="F6207">
        <f>IF(AND(B6207=1,C6207&gt;1,E6206&lt;&gt;""),ABS(D6207-E6206),"")</f>
        <v/>
      </c>
    </row>
    <row r="6208">
      <c r="A6208" t="n">
        <v>6208</v>
      </c>
      <c r="B6208">
        <f>IF(INDEX('Data Entry'!$H$5:$BE$10004,6208-4,'Visual SPC'!$B$3)="",0,IF(AND(OR('Visual SPC'!$C$4="",'Data Entry'!$C6208&gt;='Visual SPC'!$C$4),OR('Visual SPC'!$E$4="",'Data Entry'!$C6208&lt;='Visual SPC'!$E$4),OR('Visual SPC'!$G$4="",'Data Entry'!$D6208='Visual SPC'!$G$4),OR('Visual SPC'!$I$4="",'Data Entry'!$E6208='Visual SPC'!$I$4),OR('Visual SPC'!$K$4="",'Data Entry'!$F6208='Visual SPC'!$K$4)),1,0))</f>
        <v/>
      </c>
      <c r="C6208">
        <f>C6207+B6208</f>
        <v/>
      </c>
      <c r="D6208">
        <f>IF(B6208=1,INDEX('Data Entry'!$H$5:$BE$10004,6208-4,'Visual SPC'!$B$3),"")</f>
        <v/>
      </c>
      <c r="E6208">
        <f>IF(B6208=1,D6208,E6207)</f>
        <v/>
      </c>
      <c r="F6208">
        <f>IF(AND(B6208=1,C6208&gt;1,E6207&lt;&gt;""),ABS(D6208-E6207),"")</f>
        <v/>
      </c>
    </row>
    <row r="6209">
      <c r="A6209" t="n">
        <v>6209</v>
      </c>
      <c r="B6209">
        <f>IF(INDEX('Data Entry'!$H$5:$BE$10004,6209-4,'Visual SPC'!$B$3)="",0,IF(AND(OR('Visual SPC'!$C$4="",'Data Entry'!$C6209&gt;='Visual SPC'!$C$4),OR('Visual SPC'!$E$4="",'Data Entry'!$C6209&lt;='Visual SPC'!$E$4),OR('Visual SPC'!$G$4="",'Data Entry'!$D6209='Visual SPC'!$G$4),OR('Visual SPC'!$I$4="",'Data Entry'!$E6209='Visual SPC'!$I$4),OR('Visual SPC'!$K$4="",'Data Entry'!$F6209='Visual SPC'!$K$4)),1,0))</f>
        <v/>
      </c>
      <c r="C6209">
        <f>C6208+B6209</f>
        <v/>
      </c>
      <c r="D6209">
        <f>IF(B6209=1,INDEX('Data Entry'!$H$5:$BE$10004,6209-4,'Visual SPC'!$B$3),"")</f>
        <v/>
      </c>
      <c r="E6209">
        <f>IF(B6209=1,D6209,E6208)</f>
        <v/>
      </c>
      <c r="F6209">
        <f>IF(AND(B6209=1,C6209&gt;1,E6208&lt;&gt;""),ABS(D6209-E6208),"")</f>
        <v/>
      </c>
    </row>
    <row r="6210">
      <c r="A6210" t="n">
        <v>6210</v>
      </c>
      <c r="B6210">
        <f>IF(INDEX('Data Entry'!$H$5:$BE$10004,6210-4,'Visual SPC'!$B$3)="",0,IF(AND(OR('Visual SPC'!$C$4="",'Data Entry'!$C6210&gt;='Visual SPC'!$C$4),OR('Visual SPC'!$E$4="",'Data Entry'!$C6210&lt;='Visual SPC'!$E$4),OR('Visual SPC'!$G$4="",'Data Entry'!$D6210='Visual SPC'!$G$4),OR('Visual SPC'!$I$4="",'Data Entry'!$E6210='Visual SPC'!$I$4),OR('Visual SPC'!$K$4="",'Data Entry'!$F6210='Visual SPC'!$K$4)),1,0))</f>
        <v/>
      </c>
      <c r="C6210">
        <f>C6209+B6210</f>
        <v/>
      </c>
      <c r="D6210">
        <f>IF(B6210=1,INDEX('Data Entry'!$H$5:$BE$10004,6210-4,'Visual SPC'!$B$3),"")</f>
        <v/>
      </c>
      <c r="E6210">
        <f>IF(B6210=1,D6210,E6209)</f>
        <v/>
      </c>
      <c r="F6210">
        <f>IF(AND(B6210=1,C6210&gt;1,E6209&lt;&gt;""),ABS(D6210-E6209),"")</f>
        <v/>
      </c>
    </row>
    <row r="6211">
      <c r="A6211" t="n">
        <v>6211</v>
      </c>
      <c r="B6211">
        <f>IF(INDEX('Data Entry'!$H$5:$BE$10004,6211-4,'Visual SPC'!$B$3)="",0,IF(AND(OR('Visual SPC'!$C$4="",'Data Entry'!$C6211&gt;='Visual SPC'!$C$4),OR('Visual SPC'!$E$4="",'Data Entry'!$C6211&lt;='Visual SPC'!$E$4),OR('Visual SPC'!$G$4="",'Data Entry'!$D6211='Visual SPC'!$G$4),OR('Visual SPC'!$I$4="",'Data Entry'!$E6211='Visual SPC'!$I$4),OR('Visual SPC'!$K$4="",'Data Entry'!$F6211='Visual SPC'!$K$4)),1,0))</f>
        <v/>
      </c>
      <c r="C6211">
        <f>C6210+B6211</f>
        <v/>
      </c>
      <c r="D6211">
        <f>IF(B6211=1,INDEX('Data Entry'!$H$5:$BE$10004,6211-4,'Visual SPC'!$B$3),"")</f>
        <v/>
      </c>
      <c r="E6211">
        <f>IF(B6211=1,D6211,E6210)</f>
        <v/>
      </c>
      <c r="F6211">
        <f>IF(AND(B6211=1,C6211&gt;1,E6210&lt;&gt;""),ABS(D6211-E6210),"")</f>
        <v/>
      </c>
    </row>
    <row r="6212">
      <c r="A6212" t="n">
        <v>6212</v>
      </c>
      <c r="B6212">
        <f>IF(INDEX('Data Entry'!$H$5:$BE$10004,6212-4,'Visual SPC'!$B$3)="",0,IF(AND(OR('Visual SPC'!$C$4="",'Data Entry'!$C6212&gt;='Visual SPC'!$C$4),OR('Visual SPC'!$E$4="",'Data Entry'!$C6212&lt;='Visual SPC'!$E$4),OR('Visual SPC'!$G$4="",'Data Entry'!$D6212='Visual SPC'!$G$4),OR('Visual SPC'!$I$4="",'Data Entry'!$E6212='Visual SPC'!$I$4),OR('Visual SPC'!$K$4="",'Data Entry'!$F6212='Visual SPC'!$K$4)),1,0))</f>
        <v/>
      </c>
      <c r="C6212">
        <f>C6211+B6212</f>
        <v/>
      </c>
      <c r="D6212">
        <f>IF(B6212=1,INDEX('Data Entry'!$H$5:$BE$10004,6212-4,'Visual SPC'!$B$3),"")</f>
        <v/>
      </c>
      <c r="E6212">
        <f>IF(B6212=1,D6212,E6211)</f>
        <v/>
      </c>
      <c r="F6212">
        <f>IF(AND(B6212=1,C6212&gt;1,E6211&lt;&gt;""),ABS(D6212-E6211),"")</f>
        <v/>
      </c>
    </row>
    <row r="6213">
      <c r="A6213" t="n">
        <v>6213</v>
      </c>
      <c r="B6213">
        <f>IF(INDEX('Data Entry'!$H$5:$BE$10004,6213-4,'Visual SPC'!$B$3)="",0,IF(AND(OR('Visual SPC'!$C$4="",'Data Entry'!$C6213&gt;='Visual SPC'!$C$4),OR('Visual SPC'!$E$4="",'Data Entry'!$C6213&lt;='Visual SPC'!$E$4),OR('Visual SPC'!$G$4="",'Data Entry'!$D6213='Visual SPC'!$G$4),OR('Visual SPC'!$I$4="",'Data Entry'!$E6213='Visual SPC'!$I$4),OR('Visual SPC'!$K$4="",'Data Entry'!$F6213='Visual SPC'!$K$4)),1,0))</f>
        <v/>
      </c>
      <c r="C6213">
        <f>C6212+B6213</f>
        <v/>
      </c>
      <c r="D6213">
        <f>IF(B6213=1,INDEX('Data Entry'!$H$5:$BE$10004,6213-4,'Visual SPC'!$B$3),"")</f>
        <v/>
      </c>
      <c r="E6213">
        <f>IF(B6213=1,D6213,E6212)</f>
        <v/>
      </c>
      <c r="F6213">
        <f>IF(AND(B6213=1,C6213&gt;1,E6212&lt;&gt;""),ABS(D6213-E6212),"")</f>
        <v/>
      </c>
    </row>
    <row r="6214">
      <c r="A6214" t="n">
        <v>6214</v>
      </c>
      <c r="B6214">
        <f>IF(INDEX('Data Entry'!$H$5:$BE$10004,6214-4,'Visual SPC'!$B$3)="",0,IF(AND(OR('Visual SPC'!$C$4="",'Data Entry'!$C6214&gt;='Visual SPC'!$C$4),OR('Visual SPC'!$E$4="",'Data Entry'!$C6214&lt;='Visual SPC'!$E$4),OR('Visual SPC'!$G$4="",'Data Entry'!$D6214='Visual SPC'!$G$4),OR('Visual SPC'!$I$4="",'Data Entry'!$E6214='Visual SPC'!$I$4),OR('Visual SPC'!$K$4="",'Data Entry'!$F6214='Visual SPC'!$K$4)),1,0))</f>
        <v/>
      </c>
      <c r="C6214">
        <f>C6213+B6214</f>
        <v/>
      </c>
      <c r="D6214">
        <f>IF(B6214=1,INDEX('Data Entry'!$H$5:$BE$10004,6214-4,'Visual SPC'!$B$3),"")</f>
        <v/>
      </c>
      <c r="E6214">
        <f>IF(B6214=1,D6214,E6213)</f>
        <v/>
      </c>
      <c r="F6214">
        <f>IF(AND(B6214=1,C6214&gt;1,E6213&lt;&gt;""),ABS(D6214-E6213),"")</f>
        <v/>
      </c>
    </row>
    <row r="6215">
      <c r="A6215" t="n">
        <v>6215</v>
      </c>
      <c r="B6215">
        <f>IF(INDEX('Data Entry'!$H$5:$BE$10004,6215-4,'Visual SPC'!$B$3)="",0,IF(AND(OR('Visual SPC'!$C$4="",'Data Entry'!$C6215&gt;='Visual SPC'!$C$4),OR('Visual SPC'!$E$4="",'Data Entry'!$C6215&lt;='Visual SPC'!$E$4),OR('Visual SPC'!$G$4="",'Data Entry'!$D6215='Visual SPC'!$G$4),OR('Visual SPC'!$I$4="",'Data Entry'!$E6215='Visual SPC'!$I$4),OR('Visual SPC'!$K$4="",'Data Entry'!$F6215='Visual SPC'!$K$4)),1,0))</f>
        <v/>
      </c>
      <c r="C6215">
        <f>C6214+B6215</f>
        <v/>
      </c>
      <c r="D6215">
        <f>IF(B6215=1,INDEX('Data Entry'!$H$5:$BE$10004,6215-4,'Visual SPC'!$B$3),"")</f>
        <v/>
      </c>
      <c r="E6215">
        <f>IF(B6215=1,D6215,E6214)</f>
        <v/>
      </c>
      <c r="F6215">
        <f>IF(AND(B6215=1,C6215&gt;1,E6214&lt;&gt;""),ABS(D6215-E6214),"")</f>
        <v/>
      </c>
    </row>
    <row r="6216">
      <c r="A6216" t="n">
        <v>6216</v>
      </c>
      <c r="B6216">
        <f>IF(INDEX('Data Entry'!$H$5:$BE$10004,6216-4,'Visual SPC'!$B$3)="",0,IF(AND(OR('Visual SPC'!$C$4="",'Data Entry'!$C6216&gt;='Visual SPC'!$C$4),OR('Visual SPC'!$E$4="",'Data Entry'!$C6216&lt;='Visual SPC'!$E$4),OR('Visual SPC'!$G$4="",'Data Entry'!$D6216='Visual SPC'!$G$4),OR('Visual SPC'!$I$4="",'Data Entry'!$E6216='Visual SPC'!$I$4),OR('Visual SPC'!$K$4="",'Data Entry'!$F6216='Visual SPC'!$K$4)),1,0))</f>
        <v/>
      </c>
      <c r="C6216">
        <f>C6215+B6216</f>
        <v/>
      </c>
      <c r="D6216">
        <f>IF(B6216=1,INDEX('Data Entry'!$H$5:$BE$10004,6216-4,'Visual SPC'!$B$3),"")</f>
        <v/>
      </c>
      <c r="E6216">
        <f>IF(B6216=1,D6216,E6215)</f>
        <v/>
      </c>
      <c r="F6216">
        <f>IF(AND(B6216=1,C6216&gt;1,E6215&lt;&gt;""),ABS(D6216-E6215),"")</f>
        <v/>
      </c>
    </row>
    <row r="6217">
      <c r="A6217" t="n">
        <v>6217</v>
      </c>
      <c r="B6217">
        <f>IF(INDEX('Data Entry'!$H$5:$BE$10004,6217-4,'Visual SPC'!$B$3)="",0,IF(AND(OR('Visual SPC'!$C$4="",'Data Entry'!$C6217&gt;='Visual SPC'!$C$4),OR('Visual SPC'!$E$4="",'Data Entry'!$C6217&lt;='Visual SPC'!$E$4),OR('Visual SPC'!$G$4="",'Data Entry'!$D6217='Visual SPC'!$G$4),OR('Visual SPC'!$I$4="",'Data Entry'!$E6217='Visual SPC'!$I$4),OR('Visual SPC'!$K$4="",'Data Entry'!$F6217='Visual SPC'!$K$4)),1,0))</f>
        <v/>
      </c>
      <c r="C6217">
        <f>C6216+B6217</f>
        <v/>
      </c>
      <c r="D6217">
        <f>IF(B6217=1,INDEX('Data Entry'!$H$5:$BE$10004,6217-4,'Visual SPC'!$B$3),"")</f>
        <v/>
      </c>
      <c r="E6217">
        <f>IF(B6217=1,D6217,E6216)</f>
        <v/>
      </c>
      <c r="F6217">
        <f>IF(AND(B6217=1,C6217&gt;1,E6216&lt;&gt;""),ABS(D6217-E6216),"")</f>
        <v/>
      </c>
    </row>
    <row r="6218">
      <c r="A6218" t="n">
        <v>6218</v>
      </c>
      <c r="B6218">
        <f>IF(INDEX('Data Entry'!$H$5:$BE$10004,6218-4,'Visual SPC'!$B$3)="",0,IF(AND(OR('Visual SPC'!$C$4="",'Data Entry'!$C6218&gt;='Visual SPC'!$C$4),OR('Visual SPC'!$E$4="",'Data Entry'!$C6218&lt;='Visual SPC'!$E$4),OR('Visual SPC'!$G$4="",'Data Entry'!$D6218='Visual SPC'!$G$4),OR('Visual SPC'!$I$4="",'Data Entry'!$E6218='Visual SPC'!$I$4),OR('Visual SPC'!$K$4="",'Data Entry'!$F6218='Visual SPC'!$K$4)),1,0))</f>
        <v/>
      </c>
      <c r="C6218">
        <f>C6217+B6218</f>
        <v/>
      </c>
      <c r="D6218">
        <f>IF(B6218=1,INDEX('Data Entry'!$H$5:$BE$10004,6218-4,'Visual SPC'!$B$3),"")</f>
        <v/>
      </c>
      <c r="E6218">
        <f>IF(B6218=1,D6218,E6217)</f>
        <v/>
      </c>
      <c r="F6218">
        <f>IF(AND(B6218=1,C6218&gt;1,E6217&lt;&gt;""),ABS(D6218-E6217),"")</f>
        <v/>
      </c>
    </row>
    <row r="6219">
      <c r="A6219" t="n">
        <v>6219</v>
      </c>
      <c r="B6219">
        <f>IF(INDEX('Data Entry'!$H$5:$BE$10004,6219-4,'Visual SPC'!$B$3)="",0,IF(AND(OR('Visual SPC'!$C$4="",'Data Entry'!$C6219&gt;='Visual SPC'!$C$4),OR('Visual SPC'!$E$4="",'Data Entry'!$C6219&lt;='Visual SPC'!$E$4),OR('Visual SPC'!$G$4="",'Data Entry'!$D6219='Visual SPC'!$G$4),OR('Visual SPC'!$I$4="",'Data Entry'!$E6219='Visual SPC'!$I$4),OR('Visual SPC'!$K$4="",'Data Entry'!$F6219='Visual SPC'!$K$4)),1,0))</f>
        <v/>
      </c>
      <c r="C6219">
        <f>C6218+B6219</f>
        <v/>
      </c>
      <c r="D6219">
        <f>IF(B6219=1,INDEX('Data Entry'!$H$5:$BE$10004,6219-4,'Visual SPC'!$B$3),"")</f>
        <v/>
      </c>
      <c r="E6219">
        <f>IF(B6219=1,D6219,E6218)</f>
        <v/>
      </c>
      <c r="F6219">
        <f>IF(AND(B6219=1,C6219&gt;1,E6218&lt;&gt;""),ABS(D6219-E6218),"")</f>
        <v/>
      </c>
    </row>
    <row r="6220">
      <c r="A6220" t="n">
        <v>6220</v>
      </c>
      <c r="B6220">
        <f>IF(INDEX('Data Entry'!$H$5:$BE$10004,6220-4,'Visual SPC'!$B$3)="",0,IF(AND(OR('Visual SPC'!$C$4="",'Data Entry'!$C6220&gt;='Visual SPC'!$C$4),OR('Visual SPC'!$E$4="",'Data Entry'!$C6220&lt;='Visual SPC'!$E$4),OR('Visual SPC'!$G$4="",'Data Entry'!$D6220='Visual SPC'!$G$4),OR('Visual SPC'!$I$4="",'Data Entry'!$E6220='Visual SPC'!$I$4),OR('Visual SPC'!$K$4="",'Data Entry'!$F6220='Visual SPC'!$K$4)),1,0))</f>
        <v/>
      </c>
      <c r="C6220">
        <f>C6219+B6220</f>
        <v/>
      </c>
      <c r="D6220">
        <f>IF(B6220=1,INDEX('Data Entry'!$H$5:$BE$10004,6220-4,'Visual SPC'!$B$3),"")</f>
        <v/>
      </c>
      <c r="E6220">
        <f>IF(B6220=1,D6220,E6219)</f>
        <v/>
      </c>
      <c r="F6220">
        <f>IF(AND(B6220=1,C6220&gt;1,E6219&lt;&gt;""),ABS(D6220-E6219),"")</f>
        <v/>
      </c>
    </row>
    <row r="6221">
      <c r="A6221" t="n">
        <v>6221</v>
      </c>
      <c r="B6221">
        <f>IF(INDEX('Data Entry'!$H$5:$BE$10004,6221-4,'Visual SPC'!$B$3)="",0,IF(AND(OR('Visual SPC'!$C$4="",'Data Entry'!$C6221&gt;='Visual SPC'!$C$4),OR('Visual SPC'!$E$4="",'Data Entry'!$C6221&lt;='Visual SPC'!$E$4),OR('Visual SPC'!$G$4="",'Data Entry'!$D6221='Visual SPC'!$G$4),OR('Visual SPC'!$I$4="",'Data Entry'!$E6221='Visual SPC'!$I$4),OR('Visual SPC'!$K$4="",'Data Entry'!$F6221='Visual SPC'!$K$4)),1,0))</f>
        <v/>
      </c>
      <c r="C6221">
        <f>C6220+B6221</f>
        <v/>
      </c>
      <c r="D6221">
        <f>IF(B6221=1,INDEX('Data Entry'!$H$5:$BE$10004,6221-4,'Visual SPC'!$B$3),"")</f>
        <v/>
      </c>
      <c r="E6221">
        <f>IF(B6221=1,D6221,E6220)</f>
        <v/>
      </c>
      <c r="F6221">
        <f>IF(AND(B6221=1,C6221&gt;1,E6220&lt;&gt;""),ABS(D6221-E6220),"")</f>
        <v/>
      </c>
    </row>
    <row r="6222">
      <c r="A6222" t="n">
        <v>6222</v>
      </c>
      <c r="B6222">
        <f>IF(INDEX('Data Entry'!$H$5:$BE$10004,6222-4,'Visual SPC'!$B$3)="",0,IF(AND(OR('Visual SPC'!$C$4="",'Data Entry'!$C6222&gt;='Visual SPC'!$C$4),OR('Visual SPC'!$E$4="",'Data Entry'!$C6222&lt;='Visual SPC'!$E$4),OR('Visual SPC'!$G$4="",'Data Entry'!$D6222='Visual SPC'!$G$4),OR('Visual SPC'!$I$4="",'Data Entry'!$E6222='Visual SPC'!$I$4),OR('Visual SPC'!$K$4="",'Data Entry'!$F6222='Visual SPC'!$K$4)),1,0))</f>
        <v/>
      </c>
      <c r="C6222">
        <f>C6221+B6222</f>
        <v/>
      </c>
      <c r="D6222">
        <f>IF(B6222=1,INDEX('Data Entry'!$H$5:$BE$10004,6222-4,'Visual SPC'!$B$3),"")</f>
        <v/>
      </c>
      <c r="E6222">
        <f>IF(B6222=1,D6222,E6221)</f>
        <v/>
      </c>
      <c r="F6222">
        <f>IF(AND(B6222=1,C6222&gt;1,E6221&lt;&gt;""),ABS(D6222-E6221),"")</f>
        <v/>
      </c>
    </row>
    <row r="6223">
      <c r="A6223" t="n">
        <v>6223</v>
      </c>
      <c r="B6223">
        <f>IF(INDEX('Data Entry'!$H$5:$BE$10004,6223-4,'Visual SPC'!$B$3)="",0,IF(AND(OR('Visual SPC'!$C$4="",'Data Entry'!$C6223&gt;='Visual SPC'!$C$4),OR('Visual SPC'!$E$4="",'Data Entry'!$C6223&lt;='Visual SPC'!$E$4),OR('Visual SPC'!$G$4="",'Data Entry'!$D6223='Visual SPC'!$G$4),OR('Visual SPC'!$I$4="",'Data Entry'!$E6223='Visual SPC'!$I$4),OR('Visual SPC'!$K$4="",'Data Entry'!$F6223='Visual SPC'!$K$4)),1,0))</f>
        <v/>
      </c>
      <c r="C6223">
        <f>C6222+B6223</f>
        <v/>
      </c>
      <c r="D6223">
        <f>IF(B6223=1,INDEX('Data Entry'!$H$5:$BE$10004,6223-4,'Visual SPC'!$B$3),"")</f>
        <v/>
      </c>
      <c r="E6223">
        <f>IF(B6223=1,D6223,E6222)</f>
        <v/>
      </c>
      <c r="F6223">
        <f>IF(AND(B6223=1,C6223&gt;1,E6222&lt;&gt;""),ABS(D6223-E6222),"")</f>
        <v/>
      </c>
    </row>
    <row r="6224">
      <c r="A6224" t="n">
        <v>6224</v>
      </c>
      <c r="B6224">
        <f>IF(INDEX('Data Entry'!$H$5:$BE$10004,6224-4,'Visual SPC'!$B$3)="",0,IF(AND(OR('Visual SPC'!$C$4="",'Data Entry'!$C6224&gt;='Visual SPC'!$C$4),OR('Visual SPC'!$E$4="",'Data Entry'!$C6224&lt;='Visual SPC'!$E$4),OR('Visual SPC'!$G$4="",'Data Entry'!$D6224='Visual SPC'!$G$4),OR('Visual SPC'!$I$4="",'Data Entry'!$E6224='Visual SPC'!$I$4),OR('Visual SPC'!$K$4="",'Data Entry'!$F6224='Visual SPC'!$K$4)),1,0))</f>
        <v/>
      </c>
      <c r="C6224">
        <f>C6223+B6224</f>
        <v/>
      </c>
      <c r="D6224">
        <f>IF(B6224=1,INDEX('Data Entry'!$H$5:$BE$10004,6224-4,'Visual SPC'!$B$3),"")</f>
        <v/>
      </c>
      <c r="E6224">
        <f>IF(B6224=1,D6224,E6223)</f>
        <v/>
      </c>
      <c r="F6224">
        <f>IF(AND(B6224=1,C6224&gt;1,E6223&lt;&gt;""),ABS(D6224-E6223),"")</f>
        <v/>
      </c>
    </row>
    <row r="6225">
      <c r="A6225" t="n">
        <v>6225</v>
      </c>
      <c r="B6225">
        <f>IF(INDEX('Data Entry'!$H$5:$BE$10004,6225-4,'Visual SPC'!$B$3)="",0,IF(AND(OR('Visual SPC'!$C$4="",'Data Entry'!$C6225&gt;='Visual SPC'!$C$4),OR('Visual SPC'!$E$4="",'Data Entry'!$C6225&lt;='Visual SPC'!$E$4),OR('Visual SPC'!$G$4="",'Data Entry'!$D6225='Visual SPC'!$G$4),OR('Visual SPC'!$I$4="",'Data Entry'!$E6225='Visual SPC'!$I$4),OR('Visual SPC'!$K$4="",'Data Entry'!$F6225='Visual SPC'!$K$4)),1,0))</f>
        <v/>
      </c>
      <c r="C6225">
        <f>C6224+B6225</f>
        <v/>
      </c>
      <c r="D6225">
        <f>IF(B6225=1,INDEX('Data Entry'!$H$5:$BE$10004,6225-4,'Visual SPC'!$B$3),"")</f>
        <v/>
      </c>
      <c r="E6225">
        <f>IF(B6225=1,D6225,E6224)</f>
        <v/>
      </c>
      <c r="F6225">
        <f>IF(AND(B6225=1,C6225&gt;1,E6224&lt;&gt;""),ABS(D6225-E6224),"")</f>
        <v/>
      </c>
    </row>
    <row r="6226">
      <c r="A6226" t="n">
        <v>6226</v>
      </c>
      <c r="B6226">
        <f>IF(INDEX('Data Entry'!$H$5:$BE$10004,6226-4,'Visual SPC'!$B$3)="",0,IF(AND(OR('Visual SPC'!$C$4="",'Data Entry'!$C6226&gt;='Visual SPC'!$C$4),OR('Visual SPC'!$E$4="",'Data Entry'!$C6226&lt;='Visual SPC'!$E$4),OR('Visual SPC'!$G$4="",'Data Entry'!$D6226='Visual SPC'!$G$4),OR('Visual SPC'!$I$4="",'Data Entry'!$E6226='Visual SPC'!$I$4),OR('Visual SPC'!$K$4="",'Data Entry'!$F6226='Visual SPC'!$K$4)),1,0))</f>
        <v/>
      </c>
      <c r="C6226">
        <f>C6225+B6226</f>
        <v/>
      </c>
      <c r="D6226">
        <f>IF(B6226=1,INDEX('Data Entry'!$H$5:$BE$10004,6226-4,'Visual SPC'!$B$3),"")</f>
        <v/>
      </c>
      <c r="E6226">
        <f>IF(B6226=1,D6226,E6225)</f>
        <v/>
      </c>
      <c r="F6226">
        <f>IF(AND(B6226=1,C6226&gt;1,E6225&lt;&gt;""),ABS(D6226-E6225),"")</f>
        <v/>
      </c>
    </row>
    <row r="6227">
      <c r="A6227" t="n">
        <v>6227</v>
      </c>
      <c r="B6227">
        <f>IF(INDEX('Data Entry'!$H$5:$BE$10004,6227-4,'Visual SPC'!$B$3)="",0,IF(AND(OR('Visual SPC'!$C$4="",'Data Entry'!$C6227&gt;='Visual SPC'!$C$4),OR('Visual SPC'!$E$4="",'Data Entry'!$C6227&lt;='Visual SPC'!$E$4),OR('Visual SPC'!$G$4="",'Data Entry'!$D6227='Visual SPC'!$G$4),OR('Visual SPC'!$I$4="",'Data Entry'!$E6227='Visual SPC'!$I$4),OR('Visual SPC'!$K$4="",'Data Entry'!$F6227='Visual SPC'!$K$4)),1,0))</f>
        <v/>
      </c>
      <c r="C6227">
        <f>C6226+B6227</f>
        <v/>
      </c>
      <c r="D6227">
        <f>IF(B6227=1,INDEX('Data Entry'!$H$5:$BE$10004,6227-4,'Visual SPC'!$B$3),"")</f>
        <v/>
      </c>
      <c r="E6227">
        <f>IF(B6227=1,D6227,E6226)</f>
        <v/>
      </c>
      <c r="F6227">
        <f>IF(AND(B6227=1,C6227&gt;1,E6226&lt;&gt;""),ABS(D6227-E6226),"")</f>
        <v/>
      </c>
    </row>
    <row r="6228">
      <c r="A6228" t="n">
        <v>6228</v>
      </c>
      <c r="B6228">
        <f>IF(INDEX('Data Entry'!$H$5:$BE$10004,6228-4,'Visual SPC'!$B$3)="",0,IF(AND(OR('Visual SPC'!$C$4="",'Data Entry'!$C6228&gt;='Visual SPC'!$C$4),OR('Visual SPC'!$E$4="",'Data Entry'!$C6228&lt;='Visual SPC'!$E$4),OR('Visual SPC'!$G$4="",'Data Entry'!$D6228='Visual SPC'!$G$4),OR('Visual SPC'!$I$4="",'Data Entry'!$E6228='Visual SPC'!$I$4),OR('Visual SPC'!$K$4="",'Data Entry'!$F6228='Visual SPC'!$K$4)),1,0))</f>
        <v/>
      </c>
      <c r="C6228">
        <f>C6227+B6228</f>
        <v/>
      </c>
      <c r="D6228">
        <f>IF(B6228=1,INDEX('Data Entry'!$H$5:$BE$10004,6228-4,'Visual SPC'!$B$3),"")</f>
        <v/>
      </c>
      <c r="E6228">
        <f>IF(B6228=1,D6228,E6227)</f>
        <v/>
      </c>
      <c r="F6228">
        <f>IF(AND(B6228=1,C6228&gt;1,E6227&lt;&gt;""),ABS(D6228-E6227),"")</f>
        <v/>
      </c>
    </row>
    <row r="6229">
      <c r="A6229" t="n">
        <v>6229</v>
      </c>
      <c r="B6229">
        <f>IF(INDEX('Data Entry'!$H$5:$BE$10004,6229-4,'Visual SPC'!$B$3)="",0,IF(AND(OR('Visual SPC'!$C$4="",'Data Entry'!$C6229&gt;='Visual SPC'!$C$4),OR('Visual SPC'!$E$4="",'Data Entry'!$C6229&lt;='Visual SPC'!$E$4),OR('Visual SPC'!$G$4="",'Data Entry'!$D6229='Visual SPC'!$G$4),OR('Visual SPC'!$I$4="",'Data Entry'!$E6229='Visual SPC'!$I$4),OR('Visual SPC'!$K$4="",'Data Entry'!$F6229='Visual SPC'!$K$4)),1,0))</f>
        <v/>
      </c>
      <c r="C6229">
        <f>C6228+B6229</f>
        <v/>
      </c>
      <c r="D6229">
        <f>IF(B6229=1,INDEX('Data Entry'!$H$5:$BE$10004,6229-4,'Visual SPC'!$B$3),"")</f>
        <v/>
      </c>
      <c r="E6229">
        <f>IF(B6229=1,D6229,E6228)</f>
        <v/>
      </c>
      <c r="F6229">
        <f>IF(AND(B6229=1,C6229&gt;1,E6228&lt;&gt;""),ABS(D6229-E6228),"")</f>
        <v/>
      </c>
    </row>
    <row r="6230">
      <c r="A6230" t="n">
        <v>6230</v>
      </c>
      <c r="B6230">
        <f>IF(INDEX('Data Entry'!$H$5:$BE$10004,6230-4,'Visual SPC'!$B$3)="",0,IF(AND(OR('Visual SPC'!$C$4="",'Data Entry'!$C6230&gt;='Visual SPC'!$C$4),OR('Visual SPC'!$E$4="",'Data Entry'!$C6230&lt;='Visual SPC'!$E$4),OR('Visual SPC'!$G$4="",'Data Entry'!$D6230='Visual SPC'!$G$4),OR('Visual SPC'!$I$4="",'Data Entry'!$E6230='Visual SPC'!$I$4),OR('Visual SPC'!$K$4="",'Data Entry'!$F6230='Visual SPC'!$K$4)),1,0))</f>
        <v/>
      </c>
      <c r="C6230">
        <f>C6229+B6230</f>
        <v/>
      </c>
      <c r="D6230">
        <f>IF(B6230=1,INDEX('Data Entry'!$H$5:$BE$10004,6230-4,'Visual SPC'!$B$3),"")</f>
        <v/>
      </c>
      <c r="E6230">
        <f>IF(B6230=1,D6230,E6229)</f>
        <v/>
      </c>
      <c r="F6230">
        <f>IF(AND(B6230=1,C6230&gt;1,E6229&lt;&gt;""),ABS(D6230-E6229),"")</f>
        <v/>
      </c>
    </row>
    <row r="6231">
      <c r="A6231" t="n">
        <v>6231</v>
      </c>
      <c r="B6231">
        <f>IF(INDEX('Data Entry'!$H$5:$BE$10004,6231-4,'Visual SPC'!$B$3)="",0,IF(AND(OR('Visual SPC'!$C$4="",'Data Entry'!$C6231&gt;='Visual SPC'!$C$4),OR('Visual SPC'!$E$4="",'Data Entry'!$C6231&lt;='Visual SPC'!$E$4),OR('Visual SPC'!$G$4="",'Data Entry'!$D6231='Visual SPC'!$G$4),OR('Visual SPC'!$I$4="",'Data Entry'!$E6231='Visual SPC'!$I$4),OR('Visual SPC'!$K$4="",'Data Entry'!$F6231='Visual SPC'!$K$4)),1,0))</f>
        <v/>
      </c>
      <c r="C6231">
        <f>C6230+B6231</f>
        <v/>
      </c>
      <c r="D6231">
        <f>IF(B6231=1,INDEX('Data Entry'!$H$5:$BE$10004,6231-4,'Visual SPC'!$B$3),"")</f>
        <v/>
      </c>
      <c r="E6231">
        <f>IF(B6231=1,D6231,E6230)</f>
        <v/>
      </c>
      <c r="F6231">
        <f>IF(AND(B6231=1,C6231&gt;1,E6230&lt;&gt;""),ABS(D6231-E6230),"")</f>
        <v/>
      </c>
    </row>
    <row r="6232">
      <c r="A6232" t="n">
        <v>6232</v>
      </c>
      <c r="B6232">
        <f>IF(INDEX('Data Entry'!$H$5:$BE$10004,6232-4,'Visual SPC'!$B$3)="",0,IF(AND(OR('Visual SPC'!$C$4="",'Data Entry'!$C6232&gt;='Visual SPC'!$C$4),OR('Visual SPC'!$E$4="",'Data Entry'!$C6232&lt;='Visual SPC'!$E$4),OR('Visual SPC'!$G$4="",'Data Entry'!$D6232='Visual SPC'!$G$4),OR('Visual SPC'!$I$4="",'Data Entry'!$E6232='Visual SPC'!$I$4),OR('Visual SPC'!$K$4="",'Data Entry'!$F6232='Visual SPC'!$K$4)),1,0))</f>
        <v/>
      </c>
      <c r="C6232">
        <f>C6231+B6232</f>
        <v/>
      </c>
      <c r="D6232">
        <f>IF(B6232=1,INDEX('Data Entry'!$H$5:$BE$10004,6232-4,'Visual SPC'!$B$3),"")</f>
        <v/>
      </c>
      <c r="E6232">
        <f>IF(B6232=1,D6232,E6231)</f>
        <v/>
      </c>
      <c r="F6232">
        <f>IF(AND(B6232=1,C6232&gt;1,E6231&lt;&gt;""),ABS(D6232-E6231),"")</f>
        <v/>
      </c>
    </row>
    <row r="6233">
      <c r="A6233" t="n">
        <v>6233</v>
      </c>
      <c r="B6233">
        <f>IF(INDEX('Data Entry'!$H$5:$BE$10004,6233-4,'Visual SPC'!$B$3)="",0,IF(AND(OR('Visual SPC'!$C$4="",'Data Entry'!$C6233&gt;='Visual SPC'!$C$4),OR('Visual SPC'!$E$4="",'Data Entry'!$C6233&lt;='Visual SPC'!$E$4),OR('Visual SPC'!$G$4="",'Data Entry'!$D6233='Visual SPC'!$G$4),OR('Visual SPC'!$I$4="",'Data Entry'!$E6233='Visual SPC'!$I$4),OR('Visual SPC'!$K$4="",'Data Entry'!$F6233='Visual SPC'!$K$4)),1,0))</f>
        <v/>
      </c>
      <c r="C6233">
        <f>C6232+B6233</f>
        <v/>
      </c>
      <c r="D6233">
        <f>IF(B6233=1,INDEX('Data Entry'!$H$5:$BE$10004,6233-4,'Visual SPC'!$B$3),"")</f>
        <v/>
      </c>
      <c r="E6233">
        <f>IF(B6233=1,D6233,E6232)</f>
        <v/>
      </c>
      <c r="F6233">
        <f>IF(AND(B6233=1,C6233&gt;1,E6232&lt;&gt;""),ABS(D6233-E6232),"")</f>
        <v/>
      </c>
    </row>
    <row r="6234">
      <c r="A6234" t="n">
        <v>6234</v>
      </c>
      <c r="B6234">
        <f>IF(INDEX('Data Entry'!$H$5:$BE$10004,6234-4,'Visual SPC'!$B$3)="",0,IF(AND(OR('Visual SPC'!$C$4="",'Data Entry'!$C6234&gt;='Visual SPC'!$C$4),OR('Visual SPC'!$E$4="",'Data Entry'!$C6234&lt;='Visual SPC'!$E$4),OR('Visual SPC'!$G$4="",'Data Entry'!$D6234='Visual SPC'!$G$4),OR('Visual SPC'!$I$4="",'Data Entry'!$E6234='Visual SPC'!$I$4),OR('Visual SPC'!$K$4="",'Data Entry'!$F6234='Visual SPC'!$K$4)),1,0))</f>
        <v/>
      </c>
      <c r="C6234">
        <f>C6233+B6234</f>
        <v/>
      </c>
      <c r="D6234">
        <f>IF(B6234=1,INDEX('Data Entry'!$H$5:$BE$10004,6234-4,'Visual SPC'!$B$3),"")</f>
        <v/>
      </c>
      <c r="E6234">
        <f>IF(B6234=1,D6234,E6233)</f>
        <v/>
      </c>
      <c r="F6234">
        <f>IF(AND(B6234=1,C6234&gt;1,E6233&lt;&gt;""),ABS(D6234-E6233),"")</f>
        <v/>
      </c>
    </row>
    <row r="6235">
      <c r="A6235" t="n">
        <v>6235</v>
      </c>
      <c r="B6235">
        <f>IF(INDEX('Data Entry'!$H$5:$BE$10004,6235-4,'Visual SPC'!$B$3)="",0,IF(AND(OR('Visual SPC'!$C$4="",'Data Entry'!$C6235&gt;='Visual SPC'!$C$4),OR('Visual SPC'!$E$4="",'Data Entry'!$C6235&lt;='Visual SPC'!$E$4),OR('Visual SPC'!$G$4="",'Data Entry'!$D6235='Visual SPC'!$G$4),OR('Visual SPC'!$I$4="",'Data Entry'!$E6235='Visual SPC'!$I$4),OR('Visual SPC'!$K$4="",'Data Entry'!$F6235='Visual SPC'!$K$4)),1,0))</f>
        <v/>
      </c>
      <c r="C6235">
        <f>C6234+B6235</f>
        <v/>
      </c>
      <c r="D6235">
        <f>IF(B6235=1,INDEX('Data Entry'!$H$5:$BE$10004,6235-4,'Visual SPC'!$B$3),"")</f>
        <v/>
      </c>
      <c r="E6235">
        <f>IF(B6235=1,D6235,E6234)</f>
        <v/>
      </c>
      <c r="F6235">
        <f>IF(AND(B6235=1,C6235&gt;1,E6234&lt;&gt;""),ABS(D6235-E6234),"")</f>
        <v/>
      </c>
    </row>
    <row r="6236">
      <c r="A6236" t="n">
        <v>6236</v>
      </c>
      <c r="B6236">
        <f>IF(INDEX('Data Entry'!$H$5:$BE$10004,6236-4,'Visual SPC'!$B$3)="",0,IF(AND(OR('Visual SPC'!$C$4="",'Data Entry'!$C6236&gt;='Visual SPC'!$C$4),OR('Visual SPC'!$E$4="",'Data Entry'!$C6236&lt;='Visual SPC'!$E$4),OR('Visual SPC'!$G$4="",'Data Entry'!$D6236='Visual SPC'!$G$4),OR('Visual SPC'!$I$4="",'Data Entry'!$E6236='Visual SPC'!$I$4),OR('Visual SPC'!$K$4="",'Data Entry'!$F6236='Visual SPC'!$K$4)),1,0))</f>
        <v/>
      </c>
      <c r="C6236">
        <f>C6235+B6236</f>
        <v/>
      </c>
      <c r="D6236">
        <f>IF(B6236=1,INDEX('Data Entry'!$H$5:$BE$10004,6236-4,'Visual SPC'!$B$3),"")</f>
        <v/>
      </c>
      <c r="E6236">
        <f>IF(B6236=1,D6236,E6235)</f>
        <v/>
      </c>
      <c r="F6236">
        <f>IF(AND(B6236=1,C6236&gt;1,E6235&lt;&gt;""),ABS(D6236-E6235),"")</f>
        <v/>
      </c>
    </row>
    <row r="6237">
      <c r="A6237" t="n">
        <v>6237</v>
      </c>
      <c r="B6237">
        <f>IF(INDEX('Data Entry'!$H$5:$BE$10004,6237-4,'Visual SPC'!$B$3)="",0,IF(AND(OR('Visual SPC'!$C$4="",'Data Entry'!$C6237&gt;='Visual SPC'!$C$4),OR('Visual SPC'!$E$4="",'Data Entry'!$C6237&lt;='Visual SPC'!$E$4),OR('Visual SPC'!$G$4="",'Data Entry'!$D6237='Visual SPC'!$G$4),OR('Visual SPC'!$I$4="",'Data Entry'!$E6237='Visual SPC'!$I$4),OR('Visual SPC'!$K$4="",'Data Entry'!$F6237='Visual SPC'!$K$4)),1,0))</f>
        <v/>
      </c>
      <c r="C6237">
        <f>C6236+B6237</f>
        <v/>
      </c>
      <c r="D6237">
        <f>IF(B6237=1,INDEX('Data Entry'!$H$5:$BE$10004,6237-4,'Visual SPC'!$B$3),"")</f>
        <v/>
      </c>
      <c r="E6237">
        <f>IF(B6237=1,D6237,E6236)</f>
        <v/>
      </c>
      <c r="F6237">
        <f>IF(AND(B6237=1,C6237&gt;1,E6236&lt;&gt;""),ABS(D6237-E6236),"")</f>
        <v/>
      </c>
    </row>
    <row r="6238">
      <c r="A6238" t="n">
        <v>6238</v>
      </c>
      <c r="B6238">
        <f>IF(INDEX('Data Entry'!$H$5:$BE$10004,6238-4,'Visual SPC'!$B$3)="",0,IF(AND(OR('Visual SPC'!$C$4="",'Data Entry'!$C6238&gt;='Visual SPC'!$C$4),OR('Visual SPC'!$E$4="",'Data Entry'!$C6238&lt;='Visual SPC'!$E$4),OR('Visual SPC'!$G$4="",'Data Entry'!$D6238='Visual SPC'!$G$4),OR('Visual SPC'!$I$4="",'Data Entry'!$E6238='Visual SPC'!$I$4),OR('Visual SPC'!$K$4="",'Data Entry'!$F6238='Visual SPC'!$K$4)),1,0))</f>
        <v/>
      </c>
      <c r="C6238">
        <f>C6237+B6238</f>
        <v/>
      </c>
      <c r="D6238">
        <f>IF(B6238=1,INDEX('Data Entry'!$H$5:$BE$10004,6238-4,'Visual SPC'!$B$3),"")</f>
        <v/>
      </c>
      <c r="E6238">
        <f>IF(B6238=1,D6238,E6237)</f>
        <v/>
      </c>
      <c r="F6238">
        <f>IF(AND(B6238=1,C6238&gt;1,E6237&lt;&gt;""),ABS(D6238-E6237),"")</f>
        <v/>
      </c>
    </row>
    <row r="6239">
      <c r="A6239" t="n">
        <v>6239</v>
      </c>
      <c r="B6239">
        <f>IF(INDEX('Data Entry'!$H$5:$BE$10004,6239-4,'Visual SPC'!$B$3)="",0,IF(AND(OR('Visual SPC'!$C$4="",'Data Entry'!$C6239&gt;='Visual SPC'!$C$4),OR('Visual SPC'!$E$4="",'Data Entry'!$C6239&lt;='Visual SPC'!$E$4),OR('Visual SPC'!$G$4="",'Data Entry'!$D6239='Visual SPC'!$G$4),OR('Visual SPC'!$I$4="",'Data Entry'!$E6239='Visual SPC'!$I$4),OR('Visual SPC'!$K$4="",'Data Entry'!$F6239='Visual SPC'!$K$4)),1,0))</f>
        <v/>
      </c>
      <c r="C6239">
        <f>C6238+B6239</f>
        <v/>
      </c>
      <c r="D6239">
        <f>IF(B6239=1,INDEX('Data Entry'!$H$5:$BE$10004,6239-4,'Visual SPC'!$B$3),"")</f>
        <v/>
      </c>
      <c r="E6239">
        <f>IF(B6239=1,D6239,E6238)</f>
        <v/>
      </c>
      <c r="F6239">
        <f>IF(AND(B6239=1,C6239&gt;1,E6238&lt;&gt;""),ABS(D6239-E6238),"")</f>
        <v/>
      </c>
    </row>
    <row r="6240">
      <c r="A6240" t="n">
        <v>6240</v>
      </c>
      <c r="B6240">
        <f>IF(INDEX('Data Entry'!$H$5:$BE$10004,6240-4,'Visual SPC'!$B$3)="",0,IF(AND(OR('Visual SPC'!$C$4="",'Data Entry'!$C6240&gt;='Visual SPC'!$C$4),OR('Visual SPC'!$E$4="",'Data Entry'!$C6240&lt;='Visual SPC'!$E$4),OR('Visual SPC'!$G$4="",'Data Entry'!$D6240='Visual SPC'!$G$4),OR('Visual SPC'!$I$4="",'Data Entry'!$E6240='Visual SPC'!$I$4),OR('Visual SPC'!$K$4="",'Data Entry'!$F6240='Visual SPC'!$K$4)),1,0))</f>
        <v/>
      </c>
      <c r="C6240">
        <f>C6239+B6240</f>
        <v/>
      </c>
      <c r="D6240">
        <f>IF(B6240=1,INDEX('Data Entry'!$H$5:$BE$10004,6240-4,'Visual SPC'!$B$3),"")</f>
        <v/>
      </c>
      <c r="E6240">
        <f>IF(B6240=1,D6240,E6239)</f>
        <v/>
      </c>
      <c r="F6240">
        <f>IF(AND(B6240=1,C6240&gt;1,E6239&lt;&gt;""),ABS(D6240-E6239),"")</f>
        <v/>
      </c>
    </row>
    <row r="6241">
      <c r="A6241" t="n">
        <v>6241</v>
      </c>
      <c r="B6241">
        <f>IF(INDEX('Data Entry'!$H$5:$BE$10004,6241-4,'Visual SPC'!$B$3)="",0,IF(AND(OR('Visual SPC'!$C$4="",'Data Entry'!$C6241&gt;='Visual SPC'!$C$4),OR('Visual SPC'!$E$4="",'Data Entry'!$C6241&lt;='Visual SPC'!$E$4),OR('Visual SPC'!$G$4="",'Data Entry'!$D6241='Visual SPC'!$G$4),OR('Visual SPC'!$I$4="",'Data Entry'!$E6241='Visual SPC'!$I$4),OR('Visual SPC'!$K$4="",'Data Entry'!$F6241='Visual SPC'!$K$4)),1,0))</f>
        <v/>
      </c>
      <c r="C6241">
        <f>C6240+B6241</f>
        <v/>
      </c>
      <c r="D6241">
        <f>IF(B6241=1,INDEX('Data Entry'!$H$5:$BE$10004,6241-4,'Visual SPC'!$B$3),"")</f>
        <v/>
      </c>
      <c r="E6241">
        <f>IF(B6241=1,D6241,E6240)</f>
        <v/>
      </c>
      <c r="F6241">
        <f>IF(AND(B6241=1,C6241&gt;1,E6240&lt;&gt;""),ABS(D6241-E6240),"")</f>
        <v/>
      </c>
    </row>
    <row r="6242">
      <c r="A6242" t="n">
        <v>6242</v>
      </c>
      <c r="B6242">
        <f>IF(INDEX('Data Entry'!$H$5:$BE$10004,6242-4,'Visual SPC'!$B$3)="",0,IF(AND(OR('Visual SPC'!$C$4="",'Data Entry'!$C6242&gt;='Visual SPC'!$C$4),OR('Visual SPC'!$E$4="",'Data Entry'!$C6242&lt;='Visual SPC'!$E$4),OR('Visual SPC'!$G$4="",'Data Entry'!$D6242='Visual SPC'!$G$4),OR('Visual SPC'!$I$4="",'Data Entry'!$E6242='Visual SPC'!$I$4),OR('Visual SPC'!$K$4="",'Data Entry'!$F6242='Visual SPC'!$K$4)),1,0))</f>
        <v/>
      </c>
      <c r="C6242">
        <f>C6241+B6242</f>
        <v/>
      </c>
      <c r="D6242">
        <f>IF(B6242=1,INDEX('Data Entry'!$H$5:$BE$10004,6242-4,'Visual SPC'!$B$3),"")</f>
        <v/>
      </c>
      <c r="E6242">
        <f>IF(B6242=1,D6242,E6241)</f>
        <v/>
      </c>
      <c r="F6242">
        <f>IF(AND(B6242=1,C6242&gt;1,E6241&lt;&gt;""),ABS(D6242-E6241),"")</f>
        <v/>
      </c>
    </row>
    <row r="6243">
      <c r="A6243" t="n">
        <v>6243</v>
      </c>
      <c r="B6243">
        <f>IF(INDEX('Data Entry'!$H$5:$BE$10004,6243-4,'Visual SPC'!$B$3)="",0,IF(AND(OR('Visual SPC'!$C$4="",'Data Entry'!$C6243&gt;='Visual SPC'!$C$4),OR('Visual SPC'!$E$4="",'Data Entry'!$C6243&lt;='Visual SPC'!$E$4),OR('Visual SPC'!$G$4="",'Data Entry'!$D6243='Visual SPC'!$G$4),OR('Visual SPC'!$I$4="",'Data Entry'!$E6243='Visual SPC'!$I$4),OR('Visual SPC'!$K$4="",'Data Entry'!$F6243='Visual SPC'!$K$4)),1,0))</f>
        <v/>
      </c>
      <c r="C6243">
        <f>C6242+B6243</f>
        <v/>
      </c>
      <c r="D6243">
        <f>IF(B6243=1,INDEX('Data Entry'!$H$5:$BE$10004,6243-4,'Visual SPC'!$B$3),"")</f>
        <v/>
      </c>
      <c r="E6243">
        <f>IF(B6243=1,D6243,E6242)</f>
        <v/>
      </c>
      <c r="F6243">
        <f>IF(AND(B6243=1,C6243&gt;1,E6242&lt;&gt;""),ABS(D6243-E6242),"")</f>
        <v/>
      </c>
    </row>
    <row r="6244">
      <c r="A6244" t="n">
        <v>6244</v>
      </c>
      <c r="B6244">
        <f>IF(INDEX('Data Entry'!$H$5:$BE$10004,6244-4,'Visual SPC'!$B$3)="",0,IF(AND(OR('Visual SPC'!$C$4="",'Data Entry'!$C6244&gt;='Visual SPC'!$C$4),OR('Visual SPC'!$E$4="",'Data Entry'!$C6244&lt;='Visual SPC'!$E$4),OR('Visual SPC'!$G$4="",'Data Entry'!$D6244='Visual SPC'!$G$4),OR('Visual SPC'!$I$4="",'Data Entry'!$E6244='Visual SPC'!$I$4),OR('Visual SPC'!$K$4="",'Data Entry'!$F6244='Visual SPC'!$K$4)),1,0))</f>
        <v/>
      </c>
      <c r="C6244">
        <f>C6243+B6244</f>
        <v/>
      </c>
      <c r="D6244">
        <f>IF(B6244=1,INDEX('Data Entry'!$H$5:$BE$10004,6244-4,'Visual SPC'!$B$3),"")</f>
        <v/>
      </c>
      <c r="E6244">
        <f>IF(B6244=1,D6244,E6243)</f>
        <v/>
      </c>
      <c r="F6244">
        <f>IF(AND(B6244=1,C6244&gt;1,E6243&lt;&gt;""),ABS(D6244-E6243),"")</f>
        <v/>
      </c>
    </row>
    <row r="6245">
      <c r="A6245" t="n">
        <v>6245</v>
      </c>
      <c r="B6245">
        <f>IF(INDEX('Data Entry'!$H$5:$BE$10004,6245-4,'Visual SPC'!$B$3)="",0,IF(AND(OR('Visual SPC'!$C$4="",'Data Entry'!$C6245&gt;='Visual SPC'!$C$4),OR('Visual SPC'!$E$4="",'Data Entry'!$C6245&lt;='Visual SPC'!$E$4),OR('Visual SPC'!$G$4="",'Data Entry'!$D6245='Visual SPC'!$G$4),OR('Visual SPC'!$I$4="",'Data Entry'!$E6245='Visual SPC'!$I$4),OR('Visual SPC'!$K$4="",'Data Entry'!$F6245='Visual SPC'!$K$4)),1,0))</f>
        <v/>
      </c>
      <c r="C6245">
        <f>C6244+B6245</f>
        <v/>
      </c>
      <c r="D6245">
        <f>IF(B6245=1,INDEX('Data Entry'!$H$5:$BE$10004,6245-4,'Visual SPC'!$B$3),"")</f>
        <v/>
      </c>
      <c r="E6245">
        <f>IF(B6245=1,D6245,E6244)</f>
        <v/>
      </c>
      <c r="F6245">
        <f>IF(AND(B6245=1,C6245&gt;1,E6244&lt;&gt;""),ABS(D6245-E6244),"")</f>
        <v/>
      </c>
    </row>
    <row r="6246">
      <c r="A6246" t="n">
        <v>6246</v>
      </c>
      <c r="B6246">
        <f>IF(INDEX('Data Entry'!$H$5:$BE$10004,6246-4,'Visual SPC'!$B$3)="",0,IF(AND(OR('Visual SPC'!$C$4="",'Data Entry'!$C6246&gt;='Visual SPC'!$C$4),OR('Visual SPC'!$E$4="",'Data Entry'!$C6246&lt;='Visual SPC'!$E$4),OR('Visual SPC'!$G$4="",'Data Entry'!$D6246='Visual SPC'!$G$4),OR('Visual SPC'!$I$4="",'Data Entry'!$E6246='Visual SPC'!$I$4),OR('Visual SPC'!$K$4="",'Data Entry'!$F6246='Visual SPC'!$K$4)),1,0))</f>
        <v/>
      </c>
      <c r="C6246">
        <f>C6245+B6246</f>
        <v/>
      </c>
      <c r="D6246">
        <f>IF(B6246=1,INDEX('Data Entry'!$H$5:$BE$10004,6246-4,'Visual SPC'!$B$3),"")</f>
        <v/>
      </c>
      <c r="E6246">
        <f>IF(B6246=1,D6246,E6245)</f>
        <v/>
      </c>
      <c r="F6246">
        <f>IF(AND(B6246=1,C6246&gt;1,E6245&lt;&gt;""),ABS(D6246-E6245),"")</f>
        <v/>
      </c>
    </row>
    <row r="6247">
      <c r="A6247" t="n">
        <v>6247</v>
      </c>
      <c r="B6247">
        <f>IF(INDEX('Data Entry'!$H$5:$BE$10004,6247-4,'Visual SPC'!$B$3)="",0,IF(AND(OR('Visual SPC'!$C$4="",'Data Entry'!$C6247&gt;='Visual SPC'!$C$4),OR('Visual SPC'!$E$4="",'Data Entry'!$C6247&lt;='Visual SPC'!$E$4),OR('Visual SPC'!$G$4="",'Data Entry'!$D6247='Visual SPC'!$G$4),OR('Visual SPC'!$I$4="",'Data Entry'!$E6247='Visual SPC'!$I$4),OR('Visual SPC'!$K$4="",'Data Entry'!$F6247='Visual SPC'!$K$4)),1,0))</f>
        <v/>
      </c>
      <c r="C6247">
        <f>C6246+B6247</f>
        <v/>
      </c>
      <c r="D6247">
        <f>IF(B6247=1,INDEX('Data Entry'!$H$5:$BE$10004,6247-4,'Visual SPC'!$B$3),"")</f>
        <v/>
      </c>
      <c r="E6247">
        <f>IF(B6247=1,D6247,E6246)</f>
        <v/>
      </c>
      <c r="F6247">
        <f>IF(AND(B6247=1,C6247&gt;1,E6246&lt;&gt;""),ABS(D6247-E6246),"")</f>
        <v/>
      </c>
    </row>
    <row r="6248">
      <c r="A6248" t="n">
        <v>6248</v>
      </c>
      <c r="B6248">
        <f>IF(INDEX('Data Entry'!$H$5:$BE$10004,6248-4,'Visual SPC'!$B$3)="",0,IF(AND(OR('Visual SPC'!$C$4="",'Data Entry'!$C6248&gt;='Visual SPC'!$C$4),OR('Visual SPC'!$E$4="",'Data Entry'!$C6248&lt;='Visual SPC'!$E$4),OR('Visual SPC'!$G$4="",'Data Entry'!$D6248='Visual SPC'!$G$4),OR('Visual SPC'!$I$4="",'Data Entry'!$E6248='Visual SPC'!$I$4),OR('Visual SPC'!$K$4="",'Data Entry'!$F6248='Visual SPC'!$K$4)),1,0))</f>
        <v/>
      </c>
      <c r="C6248">
        <f>C6247+B6248</f>
        <v/>
      </c>
      <c r="D6248">
        <f>IF(B6248=1,INDEX('Data Entry'!$H$5:$BE$10004,6248-4,'Visual SPC'!$B$3),"")</f>
        <v/>
      </c>
      <c r="E6248">
        <f>IF(B6248=1,D6248,E6247)</f>
        <v/>
      </c>
      <c r="F6248">
        <f>IF(AND(B6248=1,C6248&gt;1,E6247&lt;&gt;""),ABS(D6248-E6247),"")</f>
        <v/>
      </c>
    </row>
    <row r="6249">
      <c r="A6249" t="n">
        <v>6249</v>
      </c>
      <c r="B6249">
        <f>IF(INDEX('Data Entry'!$H$5:$BE$10004,6249-4,'Visual SPC'!$B$3)="",0,IF(AND(OR('Visual SPC'!$C$4="",'Data Entry'!$C6249&gt;='Visual SPC'!$C$4),OR('Visual SPC'!$E$4="",'Data Entry'!$C6249&lt;='Visual SPC'!$E$4),OR('Visual SPC'!$G$4="",'Data Entry'!$D6249='Visual SPC'!$G$4),OR('Visual SPC'!$I$4="",'Data Entry'!$E6249='Visual SPC'!$I$4),OR('Visual SPC'!$K$4="",'Data Entry'!$F6249='Visual SPC'!$K$4)),1,0))</f>
        <v/>
      </c>
      <c r="C6249">
        <f>C6248+B6249</f>
        <v/>
      </c>
      <c r="D6249">
        <f>IF(B6249=1,INDEX('Data Entry'!$H$5:$BE$10004,6249-4,'Visual SPC'!$B$3),"")</f>
        <v/>
      </c>
      <c r="E6249">
        <f>IF(B6249=1,D6249,E6248)</f>
        <v/>
      </c>
      <c r="F6249">
        <f>IF(AND(B6249=1,C6249&gt;1,E6248&lt;&gt;""),ABS(D6249-E6248),"")</f>
        <v/>
      </c>
    </row>
    <row r="6250">
      <c r="A6250" t="n">
        <v>6250</v>
      </c>
      <c r="B6250">
        <f>IF(INDEX('Data Entry'!$H$5:$BE$10004,6250-4,'Visual SPC'!$B$3)="",0,IF(AND(OR('Visual SPC'!$C$4="",'Data Entry'!$C6250&gt;='Visual SPC'!$C$4),OR('Visual SPC'!$E$4="",'Data Entry'!$C6250&lt;='Visual SPC'!$E$4),OR('Visual SPC'!$G$4="",'Data Entry'!$D6250='Visual SPC'!$G$4),OR('Visual SPC'!$I$4="",'Data Entry'!$E6250='Visual SPC'!$I$4),OR('Visual SPC'!$K$4="",'Data Entry'!$F6250='Visual SPC'!$K$4)),1,0))</f>
        <v/>
      </c>
      <c r="C6250">
        <f>C6249+B6250</f>
        <v/>
      </c>
      <c r="D6250">
        <f>IF(B6250=1,INDEX('Data Entry'!$H$5:$BE$10004,6250-4,'Visual SPC'!$B$3),"")</f>
        <v/>
      </c>
      <c r="E6250">
        <f>IF(B6250=1,D6250,E6249)</f>
        <v/>
      </c>
      <c r="F6250">
        <f>IF(AND(B6250=1,C6250&gt;1,E6249&lt;&gt;""),ABS(D6250-E6249),"")</f>
        <v/>
      </c>
    </row>
    <row r="6251">
      <c r="A6251" t="n">
        <v>6251</v>
      </c>
      <c r="B6251">
        <f>IF(INDEX('Data Entry'!$H$5:$BE$10004,6251-4,'Visual SPC'!$B$3)="",0,IF(AND(OR('Visual SPC'!$C$4="",'Data Entry'!$C6251&gt;='Visual SPC'!$C$4),OR('Visual SPC'!$E$4="",'Data Entry'!$C6251&lt;='Visual SPC'!$E$4),OR('Visual SPC'!$G$4="",'Data Entry'!$D6251='Visual SPC'!$G$4),OR('Visual SPC'!$I$4="",'Data Entry'!$E6251='Visual SPC'!$I$4),OR('Visual SPC'!$K$4="",'Data Entry'!$F6251='Visual SPC'!$K$4)),1,0))</f>
        <v/>
      </c>
      <c r="C6251">
        <f>C6250+B6251</f>
        <v/>
      </c>
      <c r="D6251">
        <f>IF(B6251=1,INDEX('Data Entry'!$H$5:$BE$10004,6251-4,'Visual SPC'!$B$3),"")</f>
        <v/>
      </c>
      <c r="E6251">
        <f>IF(B6251=1,D6251,E6250)</f>
        <v/>
      </c>
      <c r="F6251">
        <f>IF(AND(B6251=1,C6251&gt;1,E6250&lt;&gt;""),ABS(D6251-E6250),"")</f>
        <v/>
      </c>
    </row>
    <row r="6252">
      <c r="A6252" t="n">
        <v>6252</v>
      </c>
      <c r="B6252">
        <f>IF(INDEX('Data Entry'!$H$5:$BE$10004,6252-4,'Visual SPC'!$B$3)="",0,IF(AND(OR('Visual SPC'!$C$4="",'Data Entry'!$C6252&gt;='Visual SPC'!$C$4),OR('Visual SPC'!$E$4="",'Data Entry'!$C6252&lt;='Visual SPC'!$E$4),OR('Visual SPC'!$G$4="",'Data Entry'!$D6252='Visual SPC'!$G$4),OR('Visual SPC'!$I$4="",'Data Entry'!$E6252='Visual SPC'!$I$4),OR('Visual SPC'!$K$4="",'Data Entry'!$F6252='Visual SPC'!$K$4)),1,0))</f>
        <v/>
      </c>
      <c r="C6252">
        <f>C6251+B6252</f>
        <v/>
      </c>
      <c r="D6252">
        <f>IF(B6252=1,INDEX('Data Entry'!$H$5:$BE$10004,6252-4,'Visual SPC'!$B$3),"")</f>
        <v/>
      </c>
      <c r="E6252">
        <f>IF(B6252=1,D6252,E6251)</f>
        <v/>
      </c>
      <c r="F6252">
        <f>IF(AND(B6252=1,C6252&gt;1,E6251&lt;&gt;""),ABS(D6252-E6251),"")</f>
        <v/>
      </c>
    </row>
    <row r="6253">
      <c r="A6253" t="n">
        <v>6253</v>
      </c>
      <c r="B6253">
        <f>IF(INDEX('Data Entry'!$H$5:$BE$10004,6253-4,'Visual SPC'!$B$3)="",0,IF(AND(OR('Visual SPC'!$C$4="",'Data Entry'!$C6253&gt;='Visual SPC'!$C$4),OR('Visual SPC'!$E$4="",'Data Entry'!$C6253&lt;='Visual SPC'!$E$4),OR('Visual SPC'!$G$4="",'Data Entry'!$D6253='Visual SPC'!$G$4),OR('Visual SPC'!$I$4="",'Data Entry'!$E6253='Visual SPC'!$I$4),OR('Visual SPC'!$K$4="",'Data Entry'!$F6253='Visual SPC'!$K$4)),1,0))</f>
        <v/>
      </c>
      <c r="C6253">
        <f>C6252+B6253</f>
        <v/>
      </c>
      <c r="D6253">
        <f>IF(B6253=1,INDEX('Data Entry'!$H$5:$BE$10004,6253-4,'Visual SPC'!$B$3),"")</f>
        <v/>
      </c>
      <c r="E6253">
        <f>IF(B6253=1,D6253,E6252)</f>
        <v/>
      </c>
      <c r="F6253">
        <f>IF(AND(B6253=1,C6253&gt;1,E6252&lt;&gt;""),ABS(D6253-E6252),"")</f>
        <v/>
      </c>
    </row>
    <row r="6254">
      <c r="A6254" t="n">
        <v>6254</v>
      </c>
      <c r="B6254">
        <f>IF(INDEX('Data Entry'!$H$5:$BE$10004,6254-4,'Visual SPC'!$B$3)="",0,IF(AND(OR('Visual SPC'!$C$4="",'Data Entry'!$C6254&gt;='Visual SPC'!$C$4),OR('Visual SPC'!$E$4="",'Data Entry'!$C6254&lt;='Visual SPC'!$E$4),OR('Visual SPC'!$G$4="",'Data Entry'!$D6254='Visual SPC'!$G$4),OR('Visual SPC'!$I$4="",'Data Entry'!$E6254='Visual SPC'!$I$4),OR('Visual SPC'!$K$4="",'Data Entry'!$F6254='Visual SPC'!$K$4)),1,0))</f>
        <v/>
      </c>
      <c r="C6254">
        <f>C6253+B6254</f>
        <v/>
      </c>
      <c r="D6254">
        <f>IF(B6254=1,INDEX('Data Entry'!$H$5:$BE$10004,6254-4,'Visual SPC'!$B$3),"")</f>
        <v/>
      </c>
      <c r="E6254">
        <f>IF(B6254=1,D6254,E6253)</f>
        <v/>
      </c>
      <c r="F6254">
        <f>IF(AND(B6254=1,C6254&gt;1,E6253&lt;&gt;""),ABS(D6254-E6253),"")</f>
        <v/>
      </c>
    </row>
    <row r="6255">
      <c r="A6255" t="n">
        <v>6255</v>
      </c>
      <c r="B6255">
        <f>IF(INDEX('Data Entry'!$H$5:$BE$10004,6255-4,'Visual SPC'!$B$3)="",0,IF(AND(OR('Visual SPC'!$C$4="",'Data Entry'!$C6255&gt;='Visual SPC'!$C$4),OR('Visual SPC'!$E$4="",'Data Entry'!$C6255&lt;='Visual SPC'!$E$4),OR('Visual SPC'!$G$4="",'Data Entry'!$D6255='Visual SPC'!$G$4),OR('Visual SPC'!$I$4="",'Data Entry'!$E6255='Visual SPC'!$I$4),OR('Visual SPC'!$K$4="",'Data Entry'!$F6255='Visual SPC'!$K$4)),1,0))</f>
        <v/>
      </c>
      <c r="C6255">
        <f>C6254+B6255</f>
        <v/>
      </c>
      <c r="D6255">
        <f>IF(B6255=1,INDEX('Data Entry'!$H$5:$BE$10004,6255-4,'Visual SPC'!$B$3),"")</f>
        <v/>
      </c>
      <c r="E6255">
        <f>IF(B6255=1,D6255,E6254)</f>
        <v/>
      </c>
      <c r="F6255">
        <f>IF(AND(B6255=1,C6255&gt;1,E6254&lt;&gt;""),ABS(D6255-E6254),"")</f>
        <v/>
      </c>
    </row>
    <row r="6256">
      <c r="A6256" t="n">
        <v>6256</v>
      </c>
      <c r="B6256">
        <f>IF(INDEX('Data Entry'!$H$5:$BE$10004,6256-4,'Visual SPC'!$B$3)="",0,IF(AND(OR('Visual SPC'!$C$4="",'Data Entry'!$C6256&gt;='Visual SPC'!$C$4),OR('Visual SPC'!$E$4="",'Data Entry'!$C6256&lt;='Visual SPC'!$E$4),OR('Visual SPC'!$G$4="",'Data Entry'!$D6256='Visual SPC'!$G$4),OR('Visual SPC'!$I$4="",'Data Entry'!$E6256='Visual SPC'!$I$4),OR('Visual SPC'!$K$4="",'Data Entry'!$F6256='Visual SPC'!$K$4)),1,0))</f>
        <v/>
      </c>
      <c r="C6256">
        <f>C6255+B6256</f>
        <v/>
      </c>
      <c r="D6256">
        <f>IF(B6256=1,INDEX('Data Entry'!$H$5:$BE$10004,6256-4,'Visual SPC'!$B$3),"")</f>
        <v/>
      </c>
      <c r="E6256">
        <f>IF(B6256=1,D6256,E6255)</f>
        <v/>
      </c>
      <c r="F6256">
        <f>IF(AND(B6256=1,C6256&gt;1,E6255&lt;&gt;""),ABS(D6256-E6255),"")</f>
        <v/>
      </c>
    </row>
    <row r="6257">
      <c r="A6257" t="n">
        <v>6257</v>
      </c>
      <c r="B6257">
        <f>IF(INDEX('Data Entry'!$H$5:$BE$10004,6257-4,'Visual SPC'!$B$3)="",0,IF(AND(OR('Visual SPC'!$C$4="",'Data Entry'!$C6257&gt;='Visual SPC'!$C$4),OR('Visual SPC'!$E$4="",'Data Entry'!$C6257&lt;='Visual SPC'!$E$4),OR('Visual SPC'!$G$4="",'Data Entry'!$D6257='Visual SPC'!$G$4),OR('Visual SPC'!$I$4="",'Data Entry'!$E6257='Visual SPC'!$I$4),OR('Visual SPC'!$K$4="",'Data Entry'!$F6257='Visual SPC'!$K$4)),1,0))</f>
        <v/>
      </c>
      <c r="C6257">
        <f>C6256+B6257</f>
        <v/>
      </c>
      <c r="D6257">
        <f>IF(B6257=1,INDEX('Data Entry'!$H$5:$BE$10004,6257-4,'Visual SPC'!$B$3),"")</f>
        <v/>
      </c>
      <c r="E6257">
        <f>IF(B6257=1,D6257,E6256)</f>
        <v/>
      </c>
      <c r="F6257">
        <f>IF(AND(B6257=1,C6257&gt;1,E6256&lt;&gt;""),ABS(D6257-E6256),"")</f>
        <v/>
      </c>
    </row>
    <row r="6258">
      <c r="A6258" t="n">
        <v>6258</v>
      </c>
      <c r="B6258">
        <f>IF(INDEX('Data Entry'!$H$5:$BE$10004,6258-4,'Visual SPC'!$B$3)="",0,IF(AND(OR('Visual SPC'!$C$4="",'Data Entry'!$C6258&gt;='Visual SPC'!$C$4),OR('Visual SPC'!$E$4="",'Data Entry'!$C6258&lt;='Visual SPC'!$E$4),OR('Visual SPC'!$G$4="",'Data Entry'!$D6258='Visual SPC'!$G$4),OR('Visual SPC'!$I$4="",'Data Entry'!$E6258='Visual SPC'!$I$4),OR('Visual SPC'!$K$4="",'Data Entry'!$F6258='Visual SPC'!$K$4)),1,0))</f>
        <v/>
      </c>
      <c r="C6258">
        <f>C6257+B6258</f>
        <v/>
      </c>
      <c r="D6258">
        <f>IF(B6258=1,INDEX('Data Entry'!$H$5:$BE$10004,6258-4,'Visual SPC'!$B$3),"")</f>
        <v/>
      </c>
      <c r="E6258">
        <f>IF(B6258=1,D6258,E6257)</f>
        <v/>
      </c>
      <c r="F6258">
        <f>IF(AND(B6258=1,C6258&gt;1,E6257&lt;&gt;""),ABS(D6258-E6257),"")</f>
        <v/>
      </c>
    </row>
    <row r="6259">
      <c r="A6259" t="n">
        <v>6259</v>
      </c>
      <c r="B6259">
        <f>IF(INDEX('Data Entry'!$H$5:$BE$10004,6259-4,'Visual SPC'!$B$3)="",0,IF(AND(OR('Visual SPC'!$C$4="",'Data Entry'!$C6259&gt;='Visual SPC'!$C$4),OR('Visual SPC'!$E$4="",'Data Entry'!$C6259&lt;='Visual SPC'!$E$4),OR('Visual SPC'!$G$4="",'Data Entry'!$D6259='Visual SPC'!$G$4),OR('Visual SPC'!$I$4="",'Data Entry'!$E6259='Visual SPC'!$I$4),OR('Visual SPC'!$K$4="",'Data Entry'!$F6259='Visual SPC'!$K$4)),1,0))</f>
        <v/>
      </c>
      <c r="C6259">
        <f>C6258+B6259</f>
        <v/>
      </c>
      <c r="D6259">
        <f>IF(B6259=1,INDEX('Data Entry'!$H$5:$BE$10004,6259-4,'Visual SPC'!$B$3),"")</f>
        <v/>
      </c>
      <c r="E6259">
        <f>IF(B6259=1,D6259,E6258)</f>
        <v/>
      </c>
      <c r="F6259">
        <f>IF(AND(B6259=1,C6259&gt;1,E6258&lt;&gt;""),ABS(D6259-E6258),"")</f>
        <v/>
      </c>
    </row>
    <row r="6260">
      <c r="A6260" t="n">
        <v>6260</v>
      </c>
      <c r="B6260">
        <f>IF(INDEX('Data Entry'!$H$5:$BE$10004,6260-4,'Visual SPC'!$B$3)="",0,IF(AND(OR('Visual SPC'!$C$4="",'Data Entry'!$C6260&gt;='Visual SPC'!$C$4),OR('Visual SPC'!$E$4="",'Data Entry'!$C6260&lt;='Visual SPC'!$E$4),OR('Visual SPC'!$G$4="",'Data Entry'!$D6260='Visual SPC'!$G$4),OR('Visual SPC'!$I$4="",'Data Entry'!$E6260='Visual SPC'!$I$4),OR('Visual SPC'!$K$4="",'Data Entry'!$F6260='Visual SPC'!$K$4)),1,0))</f>
        <v/>
      </c>
      <c r="C6260">
        <f>C6259+B6260</f>
        <v/>
      </c>
      <c r="D6260">
        <f>IF(B6260=1,INDEX('Data Entry'!$H$5:$BE$10004,6260-4,'Visual SPC'!$B$3),"")</f>
        <v/>
      </c>
      <c r="E6260">
        <f>IF(B6260=1,D6260,E6259)</f>
        <v/>
      </c>
      <c r="F6260">
        <f>IF(AND(B6260=1,C6260&gt;1,E6259&lt;&gt;""),ABS(D6260-E6259),"")</f>
        <v/>
      </c>
    </row>
    <row r="6261">
      <c r="A6261" t="n">
        <v>6261</v>
      </c>
      <c r="B6261">
        <f>IF(INDEX('Data Entry'!$H$5:$BE$10004,6261-4,'Visual SPC'!$B$3)="",0,IF(AND(OR('Visual SPC'!$C$4="",'Data Entry'!$C6261&gt;='Visual SPC'!$C$4),OR('Visual SPC'!$E$4="",'Data Entry'!$C6261&lt;='Visual SPC'!$E$4),OR('Visual SPC'!$G$4="",'Data Entry'!$D6261='Visual SPC'!$G$4),OR('Visual SPC'!$I$4="",'Data Entry'!$E6261='Visual SPC'!$I$4),OR('Visual SPC'!$K$4="",'Data Entry'!$F6261='Visual SPC'!$K$4)),1,0))</f>
        <v/>
      </c>
      <c r="C6261">
        <f>C6260+B6261</f>
        <v/>
      </c>
      <c r="D6261">
        <f>IF(B6261=1,INDEX('Data Entry'!$H$5:$BE$10004,6261-4,'Visual SPC'!$B$3),"")</f>
        <v/>
      </c>
      <c r="E6261">
        <f>IF(B6261=1,D6261,E6260)</f>
        <v/>
      </c>
      <c r="F6261">
        <f>IF(AND(B6261=1,C6261&gt;1,E6260&lt;&gt;""),ABS(D6261-E6260),"")</f>
        <v/>
      </c>
    </row>
    <row r="6262">
      <c r="A6262" t="n">
        <v>6262</v>
      </c>
      <c r="B6262">
        <f>IF(INDEX('Data Entry'!$H$5:$BE$10004,6262-4,'Visual SPC'!$B$3)="",0,IF(AND(OR('Visual SPC'!$C$4="",'Data Entry'!$C6262&gt;='Visual SPC'!$C$4),OR('Visual SPC'!$E$4="",'Data Entry'!$C6262&lt;='Visual SPC'!$E$4),OR('Visual SPC'!$G$4="",'Data Entry'!$D6262='Visual SPC'!$G$4),OR('Visual SPC'!$I$4="",'Data Entry'!$E6262='Visual SPC'!$I$4),OR('Visual SPC'!$K$4="",'Data Entry'!$F6262='Visual SPC'!$K$4)),1,0))</f>
        <v/>
      </c>
      <c r="C6262">
        <f>C6261+B6262</f>
        <v/>
      </c>
      <c r="D6262">
        <f>IF(B6262=1,INDEX('Data Entry'!$H$5:$BE$10004,6262-4,'Visual SPC'!$B$3),"")</f>
        <v/>
      </c>
      <c r="E6262">
        <f>IF(B6262=1,D6262,E6261)</f>
        <v/>
      </c>
      <c r="F6262">
        <f>IF(AND(B6262=1,C6262&gt;1,E6261&lt;&gt;""),ABS(D6262-E6261),"")</f>
        <v/>
      </c>
    </row>
    <row r="6263">
      <c r="A6263" t="n">
        <v>6263</v>
      </c>
      <c r="B6263">
        <f>IF(INDEX('Data Entry'!$H$5:$BE$10004,6263-4,'Visual SPC'!$B$3)="",0,IF(AND(OR('Visual SPC'!$C$4="",'Data Entry'!$C6263&gt;='Visual SPC'!$C$4),OR('Visual SPC'!$E$4="",'Data Entry'!$C6263&lt;='Visual SPC'!$E$4),OR('Visual SPC'!$G$4="",'Data Entry'!$D6263='Visual SPC'!$G$4),OR('Visual SPC'!$I$4="",'Data Entry'!$E6263='Visual SPC'!$I$4),OR('Visual SPC'!$K$4="",'Data Entry'!$F6263='Visual SPC'!$K$4)),1,0))</f>
        <v/>
      </c>
      <c r="C6263">
        <f>C6262+B6263</f>
        <v/>
      </c>
      <c r="D6263">
        <f>IF(B6263=1,INDEX('Data Entry'!$H$5:$BE$10004,6263-4,'Visual SPC'!$B$3),"")</f>
        <v/>
      </c>
      <c r="E6263">
        <f>IF(B6263=1,D6263,E6262)</f>
        <v/>
      </c>
      <c r="F6263">
        <f>IF(AND(B6263=1,C6263&gt;1,E6262&lt;&gt;""),ABS(D6263-E6262),"")</f>
        <v/>
      </c>
    </row>
    <row r="6264">
      <c r="A6264" t="n">
        <v>6264</v>
      </c>
      <c r="B6264">
        <f>IF(INDEX('Data Entry'!$H$5:$BE$10004,6264-4,'Visual SPC'!$B$3)="",0,IF(AND(OR('Visual SPC'!$C$4="",'Data Entry'!$C6264&gt;='Visual SPC'!$C$4),OR('Visual SPC'!$E$4="",'Data Entry'!$C6264&lt;='Visual SPC'!$E$4),OR('Visual SPC'!$G$4="",'Data Entry'!$D6264='Visual SPC'!$G$4),OR('Visual SPC'!$I$4="",'Data Entry'!$E6264='Visual SPC'!$I$4),OR('Visual SPC'!$K$4="",'Data Entry'!$F6264='Visual SPC'!$K$4)),1,0))</f>
        <v/>
      </c>
      <c r="C6264">
        <f>C6263+B6264</f>
        <v/>
      </c>
      <c r="D6264">
        <f>IF(B6264=1,INDEX('Data Entry'!$H$5:$BE$10004,6264-4,'Visual SPC'!$B$3),"")</f>
        <v/>
      </c>
      <c r="E6264">
        <f>IF(B6264=1,D6264,E6263)</f>
        <v/>
      </c>
      <c r="F6264">
        <f>IF(AND(B6264=1,C6264&gt;1,E6263&lt;&gt;""),ABS(D6264-E6263),"")</f>
        <v/>
      </c>
    </row>
    <row r="6265">
      <c r="A6265" t="n">
        <v>6265</v>
      </c>
      <c r="B6265">
        <f>IF(INDEX('Data Entry'!$H$5:$BE$10004,6265-4,'Visual SPC'!$B$3)="",0,IF(AND(OR('Visual SPC'!$C$4="",'Data Entry'!$C6265&gt;='Visual SPC'!$C$4),OR('Visual SPC'!$E$4="",'Data Entry'!$C6265&lt;='Visual SPC'!$E$4),OR('Visual SPC'!$G$4="",'Data Entry'!$D6265='Visual SPC'!$G$4),OR('Visual SPC'!$I$4="",'Data Entry'!$E6265='Visual SPC'!$I$4),OR('Visual SPC'!$K$4="",'Data Entry'!$F6265='Visual SPC'!$K$4)),1,0))</f>
        <v/>
      </c>
      <c r="C6265">
        <f>C6264+B6265</f>
        <v/>
      </c>
      <c r="D6265">
        <f>IF(B6265=1,INDEX('Data Entry'!$H$5:$BE$10004,6265-4,'Visual SPC'!$B$3),"")</f>
        <v/>
      </c>
      <c r="E6265">
        <f>IF(B6265=1,D6265,E6264)</f>
        <v/>
      </c>
      <c r="F6265">
        <f>IF(AND(B6265=1,C6265&gt;1,E6264&lt;&gt;""),ABS(D6265-E6264),"")</f>
        <v/>
      </c>
    </row>
    <row r="6266">
      <c r="A6266" t="n">
        <v>6266</v>
      </c>
      <c r="B6266">
        <f>IF(INDEX('Data Entry'!$H$5:$BE$10004,6266-4,'Visual SPC'!$B$3)="",0,IF(AND(OR('Visual SPC'!$C$4="",'Data Entry'!$C6266&gt;='Visual SPC'!$C$4),OR('Visual SPC'!$E$4="",'Data Entry'!$C6266&lt;='Visual SPC'!$E$4),OR('Visual SPC'!$G$4="",'Data Entry'!$D6266='Visual SPC'!$G$4),OR('Visual SPC'!$I$4="",'Data Entry'!$E6266='Visual SPC'!$I$4),OR('Visual SPC'!$K$4="",'Data Entry'!$F6266='Visual SPC'!$K$4)),1,0))</f>
        <v/>
      </c>
      <c r="C6266">
        <f>C6265+B6266</f>
        <v/>
      </c>
      <c r="D6266">
        <f>IF(B6266=1,INDEX('Data Entry'!$H$5:$BE$10004,6266-4,'Visual SPC'!$B$3),"")</f>
        <v/>
      </c>
      <c r="E6266">
        <f>IF(B6266=1,D6266,E6265)</f>
        <v/>
      </c>
      <c r="F6266">
        <f>IF(AND(B6266=1,C6266&gt;1,E6265&lt;&gt;""),ABS(D6266-E6265),"")</f>
        <v/>
      </c>
    </row>
    <row r="6267">
      <c r="A6267" t="n">
        <v>6267</v>
      </c>
      <c r="B6267">
        <f>IF(INDEX('Data Entry'!$H$5:$BE$10004,6267-4,'Visual SPC'!$B$3)="",0,IF(AND(OR('Visual SPC'!$C$4="",'Data Entry'!$C6267&gt;='Visual SPC'!$C$4),OR('Visual SPC'!$E$4="",'Data Entry'!$C6267&lt;='Visual SPC'!$E$4),OR('Visual SPC'!$G$4="",'Data Entry'!$D6267='Visual SPC'!$G$4),OR('Visual SPC'!$I$4="",'Data Entry'!$E6267='Visual SPC'!$I$4),OR('Visual SPC'!$K$4="",'Data Entry'!$F6267='Visual SPC'!$K$4)),1,0))</f>
        <v/>
      </c>
      <c r="C6267">
        <f>C6266+B6267</f>
        <v/>
      </c>
      <c r="D6267">
        <f>IF(B6267=1,INDEX('Data Entry'!$H$5:$BE$10004,6267-4,'Visual SPC'!$B$3),"")</f>
        <v/>
      </c>
      <c r="E6267">
        <f>IF(B6267=1,D6267,E6266)</f>
        <v/>
      </c>
      <c r="F6267">
        <f>IF(AND(B6267=1,C6267&gt;1,E6266&lt;&gt;""),ABS(D6267-E6266),"")</f>
        <v/>
      </c>
    </row>
    <row r="6268">
      <c r="A6268" t="n">
        <v>6268</v>
      </c>
      <c r="B6268">
        <f>IF(INDEX('Data Entry'!$H$5:$BE$10004,6268-4,'Visual SPC'!$B$3)="",0,IF(AND(OR('Visual SPC'!$C$4="",'Data Entry'!$C6268&gt;='Visual SPC'!$C$4),OR('Visual SPC'!$E$4="",'Data Entry'!$C6268&lt;='Visual SPC'!$E$4),OR('Visual SPC'!$G$4="",'Data Entry'!$D6268='Visual SPC'!$G$4),OR('Visual SPC'!$I$4="",'Data Entry'!$E6268='Visual SPC'!$I$4),OR('Visual SPC'!$K$4="",'Data Entry'!$F6268='Visual SPC'!$K$4)),1,0))</f>
        <v/>
      </c>
      <c r="C6268">
        <f>C6267+B6268</f>
        <v/>
      </c>
      <c r="D6268">
        <f>IF(B6268=1,INDEX('Data Entry'!$H$5:$BE$10004,6268-4,'Visual SPC'!$B$3),"")</f>
        <v/>
      </c>
      <c r="E6268">
        <f>IF(B6268=1,D6268,E6267)</f>
        <v/>
      </c>
      <c r="F6268">
        <f>IF(AND(B6268=1,C6268&gt;1,E6267&lt;&gt;""),ABS(D6268-E6267),"")</f>
        <v/>
      </c>
    </row>
    <row r="6269">
      <c r="A6269" t="n">
        <v>6269</v>
      </c>
      <c r="B6269">
        <f>IF(INDEX('Data Entry'!$H$5:$BE$10004,6269-4,'Visual SPC'!$B$3)="",0,IF(AND(OR('Visual SPC'!$C$4="",'Data Entry'!$C6269&gt;='Visual SPC'!$C$4),OR('Visual SPC'!$E$4="",'Data Entry'!$C6269&lt;='Visual SPC'!$E$4),OR('Visual SPC'!$G$4="",'Data Entry'!$D6269='Visual SPC'!$G$4),OR('Visual SPC'!$I$4="",'Data Entry'!$E6269='Visual SPC'!$I$4),OR('Visual SPC'!$K$4="",'Data Entry'!$F6269='Visual SPC'!$K$4)),1,0))</f>
        <v/>
      </c>
      <c r="C6269">
        <f>C6268+B6269</f>
        <v/>
      </c>
      <c r="D6269">
        <f>IF(B6269=1,INDEX('Data Entry'!$H$5:$BE$10004,6269-4,'Visual SPC'!$B$3),"")</f>
        <v/>
      </c>
      <c r="E6269">
        <f>IF(B6269=1,D6269,E6268)</f>
        <v/>
      </c>
      <c r="F6269">
        <f>IF(AND(B6269=1,C6269&gt;1,E6268&lt;&gt;""),ABS(D6269-E6268),"")</f>
        <v/>
      </c>
    </row>
    <row r="6270">
      <c r="A6270" t="n">
        <v>6270</v>
      </c>
      <c r="B6270">
        <f>IF(INDEX('Data Entry'!$H$5:$BE$10004,6270-4,'Visual SPC'!$B$3)="",0,IF(AND(OR('Visual SPC'!$C$4="",'Data Entry'!$C6270&gt;='Visual SPC'!$C$4),OR('Visual SPC'!$E$4="",'Data Entry'!$C6270&lt;='Visual SPC'!$E$4),OR('Visual SPC'!$G$4="",'Data Entry'!$D6270='Visual SPC'!$G$4),OR('Visual SPC'!$I$4="",'Data Entry'!$E6270='Visual SPC'!$I$4),OR('Visual SPC'!$K$4="",'Data Entry'!$F6270='Visual SPC'!$K$4)),1,0))</f>
        <v/>
      </c>
      <c r="C6270">
        <f>C6269+B6270</f>
        <v/>
      </c>
      <c r="D6270">
        <f>IF(B6270=1,INDEX('Data Entry'!$H$5:$BE$10004,6270-4,'Visual SPC'!$B$3),"")</f>
        <v/>
      </c>
      <c r="E6270">
        <f>IF(B6270=1,D6270,E6269)</f>
        <v/>
      </c>
      <c r="F6270">
        <f>IF(AND(B6270=1,C6270&gt;1,E6269&lt;&gt;""),ABS(D6270-E6269),"")</f>
        <v/>
      </c>
    </row>
    <row r="6271">
      <c r="A6271" t="n">
        <v>6271</v>
      </c>
      <c r="B6271">
        <f>IF(INDEX('Data Entry'!$H$5:$BE$10004,6271-4,'Visual SPC'!$B$3)="",0,IF(AND(OR('Visual SPC'!$C$4="",'Data Entry'!$C6271&gt;='Visual SPC'!$C$4),OR('Visual SPC'!$E$4="",'Data Entry'!$C6271&lt;='Visual SPC'!$E$4),OR('Visual SPC'!$G$4="",'Data Entry'!$D6271='Visual SPC'!$G$4),OR('Visual SPC'!$I$4="",'Data Entry'!$E6271='Visual SPC'!$I$4),OR('Visual SPC'!$K$4="",'Data Entry'!$F6271='Visual SPC'!$K$4)),1,0))</f>
        <v/>
      </c>
      <c r="C6271">
        <f>C6270+B6271</f>
        <v/>
      </c>
      <c r="D6271">
        <f>IF(B6271=1,INDEX('Data Entry'!$H$5:$BE$10004,6271-4,'Visual SPC'!$B$3),"")</f>
        <v/>
      </c>
      <c r="E6271">
        <f>IF(B6271=1,D6271,E6270)</f>
        <v/>
      </c>
      <c r="F6271">
        <f>IF(AND(B6271=1,C6271&gt;1,E6270&lt;&gt;""),ABS(D6271-E6270),"")</f>
        <v/>
      </c>
    </row>
    <row r="6272">
      <c r="A6272" t="n">
        <v>6272</v>
      </c>
      <c r="B6272">
        <f>IF(INDEX('Data Entry'!$H$5:$BE$10004,6272-4,'Visual SPC'!$B$3)="",0,IF(AND(OR('Visual SPC'!$C$4="",'Data Entry'!$C6272&gt;='Visual SPC'!$C$4),OR('Visual SPC'!$E$4="",'Data Entry'!$C6272&lt;='Visual SPC'!$E$4),OR('Visual SPC'!$G$4="",'Data Entry'!$D6272='Visual SPC'!$G$4),OR('Visual SPC'!$I$4="",'Data Entry'!$E6272='Visual SPC'!$I$4),OR('Visual SPC'!$K$4="",'Data Entry'!$F6272='Visual SPC'!$K$4)),1,0))</f>
        <v/>
      </c>
      <c r="C6272">
        <f>C6271+B6272</f>
        <v/>
      </c>
      <c r="D6272">
        <f>IF(B6272=1,INDEX('Data Entry'!$H$5:$BE$10004,6272-4,'Visual SPC'!$B$3),"")</f>
        <v/>
      </c>
      <c r="E6272">
        <f>IF(B6272=1,D6272,E6271)</f>
        <v/>
      </c>
      <c r="F6272">
        <f>IF(AND(B6272=1,C6272&gt;1,E6271&lt;&gt;""),ABS(D6272-E6271),"")</f>
        <v/>
      </c>
    </row>
    <row r="6273">
      <c r="A6273" t="n">
        <v>6273</v>
      </c>
      <c r="B6273">
        <f>IF(INDEX('Data Entry'!$H$5:$BE$10004,6273-4,'Visual SPC'!$B$3)="",0,IF(AND(OR('Visual SPC'!$C$4="",'Data Entry'!$C6273&gt;='Visual SPC'!$C$4),OR('Visual SPC'!$E$4="",'Data Entry'!$C6273&lt;='Visual SPC'!$E$4),OR('Visual SPC'!$G$4="",'Data Entry'!$D6273='Visual SPC'!$G$4),OR('Visual SPC'!$I$4="",'Data Entry'!$E6273='Visual SPC'!$I$4),OR('Visual SPC'!$K$4="",'Data Entry'!$F6273='Visual SPC'!$K$4)),1,0))</f>
        <v/>
      </c>
      <c r="C6273">
        <f>C6272+B6273</f>
        <v/>
      </c>
      <c r="D6273">
        <f>IF(B6273=1,INDEX('Data Entry'!$H$5:$BE$10004,6273-4,'Visual SPC'!$B$3),"")</f>
        <v/>
      </c>
      <c r="E6273">
        <f>IF(B6273=1,D6273,E6272)</f>
        <v/>
      </c>
      <c r="F6273">
        <f>IF(AND(B6273=1,C6273&gt;1,E6272&lt;&gt;""),ABS(D6273-E6272),"")</f>
        <v/>
      </c>
    </row>
    <row r="6274">
      <c r="A6274" t="n">
        <v>6274</v>
      </c>
      <c r="B6274">
        <f>IF(INDEX('Data Entry'!$H$5:$BE$10004,6274-4,'Visual SPC'!$B$3)="",0,IF(AND(OR('Visual SPC'!$C$4="",'Data Entry'!$C6274&gt;='Visual SPC'!$C$4),OR('Visual SPC'!$E$4="",'Data Entry'!$C6274&lt;='Visual SPC'!$E$4),OR('Visual SPC'!$G$4="",'Data Entry'!$D6274='Visual SPC'!$G$4),OR('Visual SPC'!$I$4="",'Data Entry'!$E6274='Visual SPC'!$I$4),OR('Visual SPC'!$K$4="",'Data Entry'!$F6274='Visual SPC'!$K$4)),1,0))</f>
        <v/>
      </c>
      <c r="C6274">
        <f>C6273+B6274</f>
        <v/>
      </c>
      <c r="D6274">
        <f>IF(B6274=1,INDEX('Data Entry'!$H$5:$BE$10004,6274-4,'Visual SPC'!$B$3),"")</f>
        <v/>
      </c>
      <c r="E6274">
        <f>IF(B6274=1,D6274,E6273)</f>
        <v/>
      </c>
      <c r="F6274">
        <f>IF(AND(B6274=1,C6274&gt;1,E6273&lt;&gt;""),ABS(D6274-E6273),"")</f>
        <v/>
      </c>
    </row>
    <row r="6275">
      <c r="A6275" t="n">
        <v>6275</v>
      </c>
      <c r="B6275">
        <f>IF(INDEX('Data Entry'!$H$5:$BE$10004,6275-4,'Visual SPC'!$B$3)="",0,IF(AND(OR('Visual SPC'!$C$4="",'Data Entry'!$C6275&gt;='Visual SPC'!$C$4),OR('Visual SPC'!$E$4="",'Data Entry'!$C6275&lt;='Visual SPC'!$E$4),OR('Visual SPC'!$G$4="",'Data Entry'!$D6275='Visual SPC'!$G$4),OR('Visual SPC'!$I$4="",'Data Entry'!$E6275='Visual SPC'!$I$4),OR('Visual SPC'!$K$4="",'Data Entry'!$F6275='Visual SPC'!$K$4)),1,0))</f>
        <v/>
      </c>
      <c r="C6275">
        <f>C6274+B6275</f>
        <v/>
      </c>
      <c r="D6275">
        <f>IF(B6275=1,INDEX('Data Entry'!$H$5:$BE$10004,6275-4,'Visual SPC'!$B$3),"")</f>
        <v/>
      </c>
      <c r="E6275">
        <f>IF(B6275=1,D6275,E6274)</f>
        <v/>
      </c>
      <c r="F6275">
        <f>IF(AND(B6275=1,C6275&gt;1,E6274&lt;&gt;""),ABS(D6275-E6274),"")</f>
        <v/>
      </c>
    </row>
    <row r="6276">
      <c r="A6276" t="n">
        <v>6276</v>
      </c>
      <c r="B6276">
        <f>IF(INDEX('Data Entry'!$H$5:$BE$10004,6276-4,'Visual SPC'!$B$3)="",0,IF(AND(OR('Visual SPC'!$C$4="",'Data Entry'!$C6276&gt;='Visual SPC'!$C$4),OR('Visual SPC'!$E$4="",'Data Entry'!$C6276&lt;='Visual SPC'!$E$4),OR('Visual SPC'!$G$4="",'Data Entry'!$D6276='Visual SPC'!$G$4),OR('Visual SPC'!$I$4="",'Data Entry'!$E6276='Visual SPC'!$I$4),OR('Visual SPC'!$K$4="",'Data Entry'!$F6276='Visual SPC'!$K$4)),1,0))</f>
        <v/>
      </c>
      <c r="C6276">
        <f>C6275+B6276</f>
        <v/>
      </c>
      <c r="D6276">
        <f>IF(B6276=1,INDEX('Data Entry'!$H$5:$BE$10004,6276-4,'Visual SPC'!$B$3),"")</f>
        <v/>
      </c>
      <c r="E6276">
        <f>IF(B6276=1,D6276,E6275)</f>
        <v/>
      </c>
      <c r="F6276">
        <f>IF(AND(B6276=1,C6276&gt;1,E6275&lt;&gt;""),ABS(D6276-E6275),"")</f>
        <v/>
      </c>
    </row>
    <row r="6277">
      <c r="A6277" t="n">
        <v>6277</v>
      </c>
      <c r="B6277">
        <f>IF(INDEX('Data Entry'!$H$5:$BE$10004,6277-4,'Visual SPC'!$B$3)="",0,IF(AND(OR('Visual SPC'!$C$4="",'Data Entry'!$C6277&gt;='Visual SPC'!$C$4),OR('Visual SPC'!$E$4="",'Data Entry'!$C6277&lt;='Visual SPC'!$E$4),OR('Visual SPC'!$G$4="",'Data Entry'!$D6277='Visual SPC'!$G$4),OR('Visual SPC'!$I$4="",'Data Entry'!$E6277='Visual SPC'!$I$4),OR('Visual SPC'!$K$4="",'Data Entry'!$F6277='Visual SPC'!$K$4)),1,0))</f>
        <v/>
      </c>
      <c r="C6277">
        <f>C6276+B6277</f>
        <v/>
      </c>
      <c r="D6277">
        <f>IF(B6277=1,INDEX('Data Entry'!$H$5:$BE$10004,6277-4,'Visual SPC'!$B$3),"")</f>
        <v/>
      </c>
      <c r="E6277">
        <f>IF(B6277=1,D6277,E6276)</f>
        <v/>
      </c>
      <c r="F6277">
        <f>IF(AND(B6277=1,C6277&gt;1,E6276&lt;&gt;""),ABS(D6277-E6276),"")</f>
        <v/>
      </c>
    </row>
    <row r="6278">
      <c r="A6278" t="n">
        <v>6278</v>
      </c>
      <c r="B6278">
        <f>IF(INDEX('Data Entry'!$H$5:$BE$10004,6278-4,'Visual SPC'!$B$3)="",0,IF(AND(OR('Visual SPC'!$C$4="",'Data Entry'!$C6278&gt;='Visual SPC'!$C$4),OR('Visual SPC'!$E$4="",'Data Entry'!$C6278&lt;='Visual SPC'!$E$4),OR('Visual SPC'!$G$4="",'Data Entry'!$D6278='Visual SPC'!$G$4),OR('Visual SPC'!$I$4="",'Data Entry'!$E6278='Visual SPC'!$I$4),OR('Visual SPC'!$K$4="",'Data Entry'!$F6278='Visual SPC'!$K$4)),1,0))</f>
        <v/>
      </c>
      <c r="C6278">
        <f>C6277+B6278</f>
        <v/>
      </c>
      <c r="D6278">
        <f>IF(B6278=1,INDEX('Data Entry'!$H$5:$BE$10004,6278-4,'Visual SPC'!$B$3),"")</f>
        <v/>
      </c>
      <c r="E6278">
        <f>IF(B6278=1,D6278,E6277)</f>
        <v/>
      </c>
      <c r="F6278">
        <f>IF(AND(B6278=1,C6278&gt;1,E6277&lt;&gt;""),ABS(D6278-E6277),"")</f>
        <v/>
      </c>
    </row>
    <row r="6279">
      <c r="A6279" t="n">
        <v>6279</v>
      </c>
      <c r="B6279">
        <f>IF(INDEX('Data Entry'!$H$5:$BE$10004,6279-4,'Visual SPC'!$B$3)="",0,IF(AND(OR('Visual SPC'!$C$4="",'Data Entry'!$C6279&gt;='Visual SPC'!$C$4),OR('Visual SPC'!$E$4="",'Data Entry'!$C6279&lt;='Visual SPC'!$E$4),OR('Visual SPC'!$G$4="",'Data Entry'!$D6279='Visual SPC'!$G$4),OR('Visual SPC'!$I$4="",'Data Entry'!$E6279='Visual SPC'!$I$4),OR('Visual SPC'!$K$4="",'Data Entry'!$F6279='Visual SPC'!$K$4)),1,0))</f>
        <v/>
      </c>
      <c r="C6279">
        <f>C6278+B6279</f>
        <v/>
      </c>
      <c r="D6279">
        <f>IF(B6279=1,INDEX('Data Entry'!$H$5:$BE$10004,6279-4,'Visual SPC'!$B$3),"")</f>
        <v/>
      </c>
      <c r="E6279">
        <f>IF(B6279=1,D6279,E6278)</f>
        <v/>
      </c>
      <c r="F6279">
        <f>IF(AND(B6279=1,C6279&gt;1,E6278&lt;&gt;""),ABS(D6279-E6278),"")</f>
        <v/>
      </c>
    </row>
    <row r="6280">
      <c r="A6280" t="n">
        <v>6280</v>
      </c>
      <c r="B6280">
        <f>IF(INDEX('Data Entry'!$H$5:$BE$10004,6280-4,'Visual SPC'!$B$3)="",0,IF(AND(OR('Visual SPC'!$C$4="",'Data Entry'!$C6280&gt;='Visual SPC'!$C$4),OR('Visual SPC'!$E$4="",'Data Entry'!$C6280&lt;='Visual SPC'!$E$4),OR('Visual SPC'!$G$4="",'Data Entry'!$D6280='Visual SPC'!$G$4),OR('Visual SPC'!$I$4="",'Data Entry'!$E6280='Visual SPC'!$I$4),OR('Visual SPC'!$K$4="",'Data Entry'!$F6280='Visual SPC'!$K$4)),1,0))</f>
        <v/>
      </c>
      <c r="C6280">
        <f>C6279+B6280</f>
        <v/>
      </c>
      <c r="D6280">
        <f>IF(B6280=1,INDEX('Data Entry'!$H$5:$BE$10004,6280-4,'Visual SPC'!$B$3),"")</f>
        <v/>
      </c>
      <c r="E6280">
        <f>IF(B6280=1,D6280,E6279)</f>
        <v/>
      </c>
      <c r="F6280">
        <f>IF(AND(B6280=1,C6280&gt;1,E6279&lt;&gt;""),ABS(D6280-E6279),"")</f>
        <v/>
      </c>
    </row>
    <row r="6281">
      <c r="A6281" t="n">
        <v>6281</v>
      </c>
      <c r="B6281">
        <f>IF(INDEX('Data Entry'!$H$5:$BE$10004,6281-4,'Visual SPC'!$B$3)="",0,IF(AND(OR('Visual SPC'!$C$4="",'Data Entry'!$C6281&gt;='Visual SPC'!$C$4),OR('Visual SPC'!$E$4="",'Data Entry'!$C6281&lt;='Visual SPC'!$E$4),OR('Visual SPC'!$G$4="",'Data Entry'!$D6281='Visual SPC'!$G$4),OR('Visual SPC'!$I$4="",'Data Entry'!$E6281='Visual SPC'!$I$4),OR('Visual SPC'!$K$4="",'Data Entry'!$F6281='Visual SPC'!$K$4)),1,0))</f>
        <v/>
      </c>
      <c r="C6281">
        <f>C6280+B6281</f>
        <v/>
      </c>
      <c r="D6281">
        <f>IF(B6281=1,INDEX('Data Entry'!$H$5:$BE$10004,6281-4,'Visual SPC'!$B$3),"")</f>
        <v/>
      </c>
      <c r="E6281">
        <f>IF(B6281=1,D6281,E6280)</f>
        <v/>
      </c>
      <c r="F6281">
        <f>IF(AND(B6281=1,C6281&gt;1,E6280&lt;&gt;""),ABS(D6281-E6280),"")</f>
        <v/>
      </c>
    </row>
    <row r="6282">
      <c r="A6282" t="n">
        <v>6282</v>
      </c>
      <c r="B6282">
        <f>IF(INDEX('Data Entry'!$H$5:$BE$10004,6282-4,'Visual SPC'!$B$3)="",0,IF(AND(OR('Visual SPC'!$C$4="",'Data Entry'!$C6282&gt;='Visual SPC'!$C$4),OR('Visual SPC'!$E$4="",'Data Entry'!$C6282&lt;='Visual SPC'!$E$4),OR('Visual SPC'!$G$4="",'Data Entry'!$D6282='Visual SPC'!$G$4),OR('Visual SPC'!$I$4="",'Data Entry'!$E6282='Visual SPC'!$I$4),OR('Visual SPC'!$K$4="",'Data Entry'!$F6282='Visual SPC'!$K$4)),1,0))</f>
        <v/>
      </c>
      <c r="C6282">
        <f>C6281+B6282</f>
        <v/>
      </c>
      <c r="D6282">
        <f>IF(B6282=1,INDEX('Data Entry'!$H$5:$BE$10004,6282-4,'Visual SPC'!$B$3),"")</f>
        <v/>
      </c>
      <c r="E6282">
        <f>IF(B6282=1,D6282,E6281)</f>
        <v/>
      </c>
      <c r="F6282">
        <f>IF(AND(B6282=1,C6282&gt;1,E6281&lt;&gt;""),ABS(D6282-E6281),"")</f>
        <v/>
      </c>
    </row>
    <row r="6283">
      <c r="A6283" t="n">
        <v>6283</v>
      </c>
      <c r="B6283">
        <f>IF(INDEX('Data Entry'!$H$5:$BE$10004,6283-4,'Visual SPC'!$B$3)="",0,IF(AND(OR('Visual SPC'!$C$4="",'Data Entry'!$C6283&gt;='Visual SPC'!$C$4),OR('Visual SPC'!$E$4="",'Data Entry'!$C6283&lt;='Visual SPC'!$E$4),OR('Visual SPC'!$G$4="",'Data Entry'!$D6283='Visual SPC'!$G$4),OR('Visual SPC'!$I$4="",'Data Entry'!$E6283='Visual SPC'!$I$4),OR('Visual SPC'!$K$4="",'Data Entry'!$F6283='Visual SPC'!$K$4)),1,0))</f>
        <v/>
      </c>
      <c r="C6283">
        <f>C6282+B6283</f>
        <v/>
      </c>
      <c r="D6283">
        <f>IF(B6283=1,INDEX('Data Entry'!$H$5:$BE$10004,6283-4,'Visual SPC'!$B$3),"")</f>
        <v/>
      </c>
      <c r="E6283">
        <f>IF(B6283=1,D6283,E6282)</f>
        <v/>
      </c>
      <c r="F6283">
        <f>IF(AND(B6283=1,C6283&gt;1,E6282&lt;&gt;""),ABS(D6283-E6282),"")</f>
        <v/>
      </c>
    </row>
    <row r="6284">
      <c r="A6284" t="n">
        <v>6284</v>
      </c>
      <c r="B6284">
        <f>IF(INDEX('Data Entry'!$H$5:$BE$10004,6284-4,'Visual SPC'!$B$3)="",0,IF(AND(OR('Visual SPC'!$C$4="",'Data Entry'!$C6284&gt;='Visual SPC'!$C$4),OR('Visual SPC'!$E$4="",'Data Entry'!$C6284&lt;='Visual SPC'!$E$4),OR('Visual SPC'!$G$4="",'Data Entry'!$D6284='Visual SPC'!$G$4),OR('Visual SPC'!$I$4="",'Data Entry'!$E6284='Visual SPC'!$I$4),OR('Visual SPC'!$K$4="",'Data Entry'!$F6284='Visual SPC'!$K$4)),1,0))</f>
        <v/>
      </c>
      <c r="C6284">
        <f>C6283+B6284</f>
        <v/>
      </c>
      <c r="D6284">
        <f>IF(B6284=1,INDEX('Data Entry'!$H$5:$BE$10004,6284-4,'Visual SPC'!$B$3),"")</f>
        <v/>
      </c>
      <c r="E6284">
        <f>IF(B6284=1,D6284,E6283)</f>
        <v/>
      </c>
      <c r="F6284">
        <f>IF(AND(B6284=1,C6284&gt;1,E6283&lt;&gt;""),ABS(D6284-E6283),"")</f>
        <v/>
      </c>
    </row>
    <row r="6285">
      <c r="A6285" t="n">
        <v>6285</v>
      </c>
      <c r="B6285">
        <f>IF(INDEX('Data Entry'!$H$5:$BE$10004,6285-4,'Visual SPC'!$B$3)="",0,IF(AND(OR('Visual SPC'!$C$4="",'Data Entry'!$C6285&gt;='Visual SPC'!$C$4),OR('Visual SPC'!$E$4="",'Data Entry'!$C6285&lt;='Visual SPC'!$E$4),OR('Visual SPC'!$G$4="",'Data Entry'!$D6285='Visual SPC'!$G$4),OR('Visual SPC'!$I$4="",'Data Entry'!$E6285='Visual SPC'!$I$4),OR('Visual SPC'!$K$4="",'Data Entry'!$F6285='Visual SPC'!$K$4)),1,0))</f>
        <v/>
      </c>
      <c r="C6285">
        <f>C6284+B6285</f>
        <v/>
      </c>
      <c r="D6285">
        <f>IF(B6285=1,INDEX('Data Entry'!$H$5:$BE$10004,6285-4,'Visual SPC'!$B$3),"")</f>
        <v/>
      </c>
      <c r="E6285">
        <f>IF(B6285=1,D6285,E6284)</f>
        <v/>
      </c>
      <c r="F6285">
        <f>IF(AND(B6285=1,C6285&gt;1,E6284&lt;&gt;""),ABS(D6285-E6284),"")</f>
        <v/>
      </c>
    </row>
    <row r="6286">
      <c r="A6286" t="n">
        <v>6286</v>
      </c>
      <c r="B6286">
        <f>IF(INDEX('Data Entry'!$H$5:$BE$10004,6286-4,'Visual SPC'!$B$3)="",0,IF(AND(OR('Visual SPC'!$C$4="",'Data Entry'!$C6286&gt;='Visual SPC'!$C$4),OR('Visual SPC'!$E$4="",'Data Entry'!$C6286&lt;='Visual SPC'!$E$4),OR('Visual SPC'!$G$4="",'Data Entry'!$D6286='Visual SPC'!$G$4),OR('Visual SPC'!$I$4="",'Data Entry'!$E6286='Visual SPC'!$I$4),OR('Visual SPC'!$K$4="",'Data Entry'!$F6286='Visual SPC'!$K$4)),1,0))</f>
        <v/>
      </c>
      <c r="C6286">
        <f>C6285+B6286</f>
        <v/>
      </c>
      <c r="D6286">
        <f>IF(B6286=1,INDEX('Data Entry'!$H$5:$BE$10004,6286-4,'Visual SPC'!$B$3),"")</f>
        <v/>
      </c>
      <c r="E6286">
        <f>IF(B6286=1,D6286,E6285)</f>
        <v/>
      </c>
      <c r="F6286">
        <f>IF(AND(B6286=1,C6286&gt;1,E6285&lt;&gt;""),ABS(D6286-E6285),"")</f>
        <v/>
      </c>
    </row>
    <row r="6287">
      <c r="A6287" t="n">
        <v>6287</v>
      </c>
      <c r="B6287">
        <f>IF(INDEX('Data Entry'!$H$5:$BE$10004,6287-4,'Visual SPC'!$B$3)="",0,IF(AND(OR('Visual SPC'!$C$4="",'Data Entry'!$C6287&gt;='Visual SPC'!$C$4),OR('Visual SPC'!$E$4="",'Data Entry'!$C6287&lt;='Visual SPC'!$E$4),OR('Visual SPC'!$G$4="",'Data Entry'!$D6287='Visual SPC'!$G$4),OR('Visual SPC'!$I$4="",'Data Entry'!$E6287='Visual SPC'!$I$4),OR('Visual SPC'!$K$4="",'Data Entry'!$F6287='Visual SPC'!$K$4)),1,0))</f>
        <v/>
      </c>
      <c r="C6287">
        <f>C6286+B6287</f>
        <v/>
      </c>
      <c r="D6287">
        <f>IF(B6287=1,INDEX('Data Entry'!$H$5:$BE$10004,6287-4,'Visual SPC'!$B$3),"")</f>
        <v/>
      </c>
      <c r="E6287">
        <f>IF(B6287=1,D6287,E6286)</f>
        <v/>
      </c>
      <c r="F6287">
        <f>IF(AND(B6287=1,C6287&gt;1,E6286&lt;&gt;""),ABS(D6287-E6286),"")</f>
        <v/>
      </c>
    </row>
    <row r="6288">
      <c r="A6288" t="n">
        <v>6288</v>
      </c>
      <c r="B6288">
        <f>IF(INDEX('Data Entry'!$H$5:$BE$10004,6288-4,'Visual SPC'!$B$3)="",0,IF(AND(OR('Visual SPC'!$C$4="",'Data Entry'!$C6288&gt;='Visual SPC'!$C$4),OR('Visual SPC'!$E$4="",'Data Entry'!$C6288&lt;='Visual SPC'!$E$4),OR('Visual SPC'!$G$4="",'Data Entry'!$D6288='Visual SPC'!$G$4),OR('Visual SPC'!$I$4="",'Data Entry'!$E6288='Visual SPC'!$I$4),OR('Visual SPC'!$K$4="",'Data Entry'!$F6288='Visual SPC'!$K$4)),1,0))</f>
        <v/>
      </c>
      <c r="C6288">
        <f>C6287+B6288</f>
        <v/>
      </c>
      <c r="D6288">
        <f>IF(B6288=1,INDEX('Data Entry'!$H$5:$BE$10004,6288-4,'Visual SPC'!$B$3),"")</f>
        <v/>
      </c>
      <c r="E6288">
        <f>IF(B6288=1,D6288,E6287)</f>
        <v/>
      </c>
      <c r="F6288">
        <f>IF(AND(B6288=1,C6288&gt;1,E6287&lt;&gt;""),ABS(D6288-E6287),"")</f>
        <v/>
      </c>
    </row>
    <row r="6289">
      <c r="A6289" t="n">
        <v>6289</v>
      </c>
      <c r="B6289">
        <f>IF(INDEX('Data Entry'!$H$5:$BE$10004,6289-4,'Visual SPC'!$B$3)="",0,IF(AND(OR('Visual SPC'!$C$4="",'Data Entry'!$C6289&gt;='Visual SPC'!$C$4),OR('Visual SPC'!$E$4="",'Data Entry'!$C6289&lt;='Visual SPC'!$E$4),OR('Visual SPC'!$G$4="",'Data Entry'!$D6289='Visual SPC'!$G$4),OR('Visual SPC'!$I$4="",'Data Entry'!$E6289='Visual SPC'!$I$4),OR('Visual SPC'!$K$4="",'Data Entry'!$F6289='Visual SPC'!$K$4)),1,0))</f>
        <v/>
      </c>
      <c r="C6289">
        <f>C6288+B6289</f>
        <v/>
      </c>
      <c r="D6289">
        <f>IF(B6289=1,INDEX('Data Entry'!$H$5:$BE$10004,6289-4,'Visual SPC'!$B$3),"")</f>
        <v/>
      </c>
      <c r="E6289">
        <f>IF(B6289=1,D6289,E6288)</f>
        <v/>
      </c>
      <c r="F6289">
        <f>IF(AND(B6289=1,C6289&gt;1,E6288&lt;&gt;""),ABS(D6289-E6288),"")</f>
        <v/>
      </c>
    </row>
    <row r="6290">
      <c r="A6290" t="n">
        <v>6290</v>
      </c>
      <c r="B6290">
        <f>IF(INDEX('Data Entry'!$H$5:$BE$10004,6290-4,'Visual SPC'!$B$3)="",0,IF(AND(OR('Visual SPC'!$C$4="",'Data Entry'!$C6290&gt;='Visual SPC'!$C$4),OR('Visual SPC'!$E$4="",'Data Entry'!$C6290&lt;='Visual SPC'!$E$4),OR('Visual SPC'!$G$4="",'Data Entry'!$D6290='Visual SPC'!$G$4),OR('Visual SPC'!$I$4="",'Data Entry'!$E6290='Visual SPC'!$I$4),OR('Visual SPC'!$K$4="",'Data Entry'!$F6290='Visual SPC'!$K$4)),1,0))</f>
        <v/>
      </c>
      <c r="C6290">
        <f>C6289+B6290</f>
        <v/>
      </c>
      <c r="D6290">
        <f>IF(B6290=1,INDEX('Data Entry'!$H$5:$BE$10004,6290-4,'Visual SPC'!$B$3),"")</f>
        <v/>
      </c>
      <c r="E6290">
        <f>IF(B6290=1,D6290,E6289)</f>
        <v/>
      </c>
      <c r="F6290">
        <f>IF(AND(B6290=1,C6290&gt;1,E6289&lt;&gt;""),ABS(D6290-E6289),"")</f>
        <v/>
      </c>
    </row>
    <row r="6291">
      <c r="A6291" t="n">
        <v>6291</v>
      </c>
      <c r="B6291">
        <f>IF(INDEX('Data Entry'!$H$5:$BE$10004,6291-4,'Visual SPC'!$B$3)="",0,IF(AND(OR('Visual SPC'!$C$4="",'Data Entry'!$C6291&gt;='Visual SPC'!$C$4),OR('Visual SPC'!$E$4="",'Data Entry'!$C6291&lt;='Visual SPC'!$E$4),OR('Visual SPC'!$G$4="",'Data Entry'!$D6291='Visual SPC'!$G$4),OR('Visual SPC'!$I$4="",'Data Entry'!$E6291='Visual SPC'!$I$4),OR('Visual SPC'!$K$4="",'Data Entry'!$F6291='Visual SPC'!$K$4)),1,0))</f>
        <v/>
      </c>
      <c r="C6291">
        <f>C6290+B6291</f>
        <v/>
      </c>
      <c r="D6291">
        <f>IF(B6291=1,INDEX('Data Entry'!$H$5:$BE$10004,6291-4,'Visual SPC'!$B$3),"")</f>
        <v/>
      </c>
      <c r="E6291">
        <f>IF(B6291=1,D6291,E6290)</f>
        <v/>
      </c>
      <c r="F6291">
        <f>IF(AND(B6291=1,C6291&gt;1,E6290&lt;&gt;""),ABS(D6291-E6290),"")</f>
        <v/>
      </c>
    </row>
    <row r="6292">
      <c r="A6292" t="n">
        <v>6292</v>
      </c>
      <c r="B6292">
        <f>IF(INDEX('Data Entry'!$H$5:$BE$10004,6292-4,'Visual SPC'!$B$3)="",0,IF(AND(OR('Visual SPC'!$C$4="",'Data Entry'!$C6292&gt;='Visual SPC'!$C$4),OR('Visual SPC'!$E$4="",'Data Entry'!$C6292&lt;='Visual SPC'!$E$4),OR('Visual SPC'!$G$4="",'Data Entry'!$D6292='Visual SPC'!$G$4),OR('Visual SPC'!$I$4="",'Data Entry'!$E6292='Visual SPC'!$I$4),OR('Visual SPC'!$K$4="",'Data Entry'!$F6292='Visual SPC'!$K$4)),1,0))</f>
        <v/>
      </c>
      <c r="C6292">
        <f>C6291+B6292</f>
        <v/>
      </c>
      <c r="D6292">
        <f>IF(B6292=1,INDEX('Data Entry'!$H$5:$BE$10004,6292-4,'Visual SPC'!$B$3),"")</f>
        <v/>
      </c>
      <c r="E6292">
        <f>IF(B6292=1,D6292,E6291)</f>
        <v/>
      </c>
      <c r="F6292">
        <f>IF(AND(B6292=1,C6292&gt;1,E6291&lt;&gt;""),ABS(D6292-E6291),"")</f>
        <v/>
      </c>
    </row>
    <row r="6293">
      <c r="A6293" t="n">
        <v>6293</v>
      </c>
      <c r="B6293">
        <f>IF(INDEX('Data Entry'!$H$5:$BE$10004,6293-4,'Visual SPC'!$B$3)="",0,IF(AND(OR('Visual SPC'!$C$4="",'Data Entry'!$C6293&gt;='Visual SPC'!$C$4),OR('Visual SPC'!$E$4="",'Data Entry'!$C6293&lt;='Visual SPC'!$E$4),OR('Visual SPC'!$G$4="",'Data Entry'!$D6293='Visual SPC'!$G$4),OR('Visual SPC'!$I$4="",'Data Entry'!$E6293='Visual SPC'!$I$4),OR('Visual SPC'!$K$4="",'Data Entry'!$F6293='Visual SPC'!$K$4)),1,0))</f>
        <v/>
      </c>
      <c r="C6293">
        <f>C6292+B6293</f>
        <v/>
      </c>
      <c r="D6293">
        <f>IF(B6293=1,INDEX('Data Entry'!$H$5:$BE$10004,6293-4,'Visual SPC'!$B$3),"")</f>
        <v/>
      </c>
      <c r="E6293">
        <f>IF(B6293=1,D6293,E6292)</f>
        <v/>
      </c>
      <c r="F6293">
        <f>IF(AND(B6293=1,C6293&gt;1,E6292&lt;&gt;""),ABS(D6293-E6292),"")</f>
        <v/>
      </c>
    </row>
    <row r="6294">
      <c r="A6294" t="n">
        <v>6294</v>
      </c>
      <c r="B6294">
        <f>IF(INDEX('Data Entry'!$H$5:$BE$10004,6294-4,'Visual SPC'!$B$3)="",0,IF(AND(OR('Visual SPC'!$C$4="",'Data Entry'!$C6294&gt;='Visual SPC'!$C$4),OR('Visual SPC'!$E$4="",'Data Entry'!$C6294&lt;='Visual SPC'!$E$4),OR('Visual SPC'!$G$4="",'Data Entry'!$D6294='Visual SPC'!$G$4),OR('Visual SPC'!$I$4="",'Data Entry'!$E6294='Visual SPC'!$I$4),OR('Visual SPC'!$K$4="",'Data Entry'!$F6294='Visual SPC'!$K$4)),1,0))</f>
        <v/>
      </c>
      <c r="C6294">
        <f>C6293+B6294</f>
        <v/>
      </c>
      <c r="D6294">
        <f>IF(B6294=1,INDEX('Data Entry'!$H$5:$BE$10004,6294-4,'Visual SPC'!$B$3),"")</f>
        <v/>
      </c>
      <c r="E6294">
        <f>IF(B6294=1,D6294,E6293)</f>
        <v/>
      </c>
      <c r="F6294">
        <f>IF(AND(B6294=1,C6294&gt;1,E6293&lt;&gt;""),ABS(D6294-E6293),"")</f>
        <v/>
      </c>
    </row>
    <row r="6295">
      <c r="A6295" t="n">
        <v>6295</v>
      </c>
      <c r="B6295">
        <f>IF(INDEX('Data Entry'!$H$5:$BE$10004,6295-4,'Visual SPC'!$B$3)="",0,IF(AND(OR('Visual SPC'!$C$4="",'Data Entry'!$C6295&gt;='Visual SPC'!$C$4),OR('Visual SPC'!$E$4="",'Data Entry'!$C6295&lt;='Visual SPC'!$E$4),OR('Visual SPC'!$G$4="",'Data Entry'!$D6295='Visual SPC'!$G$4),OR('Visual SPC'!$I$4="",'Data Entry'!$E6295='Visual SPC'!$I$4),OR('Visual SPC'!$K$4="",'Data Entry'!$F6295='Visual SPC'!$K$4)),1,0))</f>
        <v/>
      </c>
      <c r="C6295">
        <f>C6294+B6295</f>
        <v/>
      </c>
      <c r="D6295">
        <f>IF(B6295=1,INDEX('Data Entry'!$H$5:$BE$10004,6295-4,'Visual SPC'!$B$3),"")</f>
        <v/>
      </c>
      <c r="E6295">
        <f>IF(B6295=1,D6295,E6294)</f>
        <v/>
      </c>
      <c r="F6295">
        <f>IF(AND(B6295=1,C6295&gt;1,E6294&lt;&gt;""),ABS(D6295-E6294),"")</f>
        <v/>
      </c>
    </row>
    <row r="6296">
      <c r="A6296" t="n">
        <v>6296</v>
      </c>
      <c r="B6296">
        <f>IF(INDEX('Data Entry'!$H$5:$BE$10004,6296-4,'Visual SPC'!$B$3)="",0,IF(AND(OR('Visual SPC'!$C$4="",'Data Entry'!$C6296&gt;='Visual SPC'!$C$4),OR('Visual SPC'!$E$4="",'Data Entry'!$C6296&lt;='Visual SPC'!$E$4),OR('Visual SPC'!$G$4="",'Data Entry'!$D6296='Visual SPC'!$G$4),OR('Visual SPC'!$I$4="",'Data Entry'!$E6296='Visual SPC'!$I$4),OR('Visual SPC'!$K$4="",'Data Entry'!$F6296='Visual SPC'!$K$4)),1,0))</f>
        <v/>
      </c>
      <c r="C6296">
        <f>C6295+B6296</f>
        <v/>
      </c>
      <c r="D6296">
        <f>IF(B6296=1,INDEX('Data Entry'!$H$5:$BE$10004,6296-4,'Visual SPC'!$B$3),"")</f>
        <v/>
      </c>
      <c r="E6296">
        <f>IF(B6296=1,D6296,E6295)</f>
        <v/>
      </c>
      <c r="F6296">
        <f>IF(AND(B6296=1,C6296&gt;1,E6295&lt;&gt;""),ABS(D6296-E6295),"")</f>
        <v/>
      </c>
    </row>
    <row r="6297">
      <c r="A6297" t="n">
        <v>6297</v>
      </c>
      <c r="B6297">
        <f>IF(INDEX('Data Entry'!$H$5:$BE$10004,6297-4,'Visual SPC'!$B$3)="",0,IF(AND(OR('Visual SPC'!$C$4="",'Data Entry'!$C6297&gt;='Visual SPC'!$C$4),OR('Visual SPC'!$E$4="",'Data Entry'!$C6297&lt;='Visual SPC'!$E$4),OR('Visual SPC'!$G$4="",'Data Entry'!$D6297='Visual SPC'!$G$4),OR('Visual SPC'!$I$4="",'Data Entry'!$E6297='Visual SPC'!$I$4),OR('Visual SPC'!$K$4="",'Data Entry'!$F6297='Visual SPC'!$K$4)),1,0))</f>
        <v/>
      </c>
      <c r="C6297">
        <f>C6296+B6297</f>
        <v/>
      </c>
      <c r="D6297">
        <f>IF(B6297=1,INDEX('Data Entry'!$H$5:$BE$10004,6297-4,'Visual SPC'!$B$3),"")</f>
        <v/>
      </c>
      <c r="E6297">
        <f>IF(B6297=1,D6297,E6296)</f>
        <v/>
      </c>
      <c r="F6297">
        <f>IF(AND(B6297=1,C6297&gt;1,E6296&lt;&gt;""),ABS(D6297-E6296),"")</f>
        <v/>
      </c>
    </row>
    <row r="6298">
      <c r="A6298" t="n">
        <v>6298</v>
      </c>
      <c r="B6298">
        <f>IF(INDEX('Data Entry'!$H$5:$BE$10004,6298-4,'Visual SPC'!$B$3)="",0,IF(AND(OR('Visual SPC'!$C$4="",'Data Entry'!$C6298&gt;='Visual SPC'!$C$4),OR('Visual SPC'!$E$4="",'Data Entry'!$C6298&lt;='Visual SPC'!$E$4),OR('Visual SPC'!$G$4="",'Data Entry'!$D6298='Visual SPC'!$G$4),OR('Visual SPC'!$I$4="",'Data Entry'!$E6298='Visual SPC'!$I$4),OR('Visual SPC'!$K$4="",'Data Entry'!$F6298='Visual SPC'!$K$4)),1,0))</f>
        <v/>
      </c>
      <c r="C6298">
        <f>C6297+B6298</f>
        <v/>
      </c>
      <c r="D6298">
        <f>IF(B6298=1,INDEX('Data Entry'!$H$5:$BE$10004,6298-4,'Visual SPC'!$B$3),"")</f>
        <v/>
      </c>
      <c r="E6298">
        <f>IF(B6298=1,D6298,E6297)</f>
        <v/>
      </c>
      <c r="F6298">
        <f>IF(AND(B6298=1,C6298&gt;1,E6297&lt;&gt;""),ABS(D6298-E6297),"")</f>
        <v/>
      </c>
    </row>
    <row r="6299">
      <c r="A6299" t="n">
        <v>6299</v>
      </c>
      <c r="B6299">
        <f>IF(INDEX('Data Entry'!$H$5:$BE$10004,6299-4,'Visual SPC'!$B$3)="",0,IF(AND(OR('Visual SPC'!$C$4="",'Data Entry'!$C6299&gt;='Visual SPC'!$C$4),OR('Visual SPC'!$E$4="",'Data Entry'!$C6299&lt;='Visual SPC'!$E$4),OR('Visual SPC'!$G$4="",'Data Entry'!$D6299='Visual SPC'!$G$4),OR('Visual SPC'!$I$4="",'Data Entry'!$E6299='Visual SPC'!$I$4),OR('Visual SPC'!$K$4="",'Data Entry'!$F6299='Visual SPC'!$K$4)),1,0))</f>
        <v/>
      </c>
      <c r="C6299">
        <f>C6298+B6299</f>
        <v/>
      </c>
      <c r="D6299">
        <f>IF(B6299=1,INDEX('Data Entry'!$H$5:$BE$10004,6299-4,'Visual SPC'!$B$3),"")</f>
        <v/>
      </c>
      <c r="E6299">
        <f>IF(B6299=1,D6299,E6298)</f>
        <v/>
      </c>
      <c r="F6299">
        <f>IF(AND(B6299=1,C6299&gt;1,E6298&lt;&gt;""),ABS(D6299-E6298),"")</f>
        <v/>
      </c>
    </row>
    <row r="6300">
      <c r="A6300" t="n">
        <v>6300</v>
      </c>
      <c r="B6300">
        <f>IF(INDEX('Data Entry'!$H$5:$BE$10004,6300-4,'Visual SPC'!$B$3)="",0,IF(AND(OR('Visual SPC'!$C$4="",'Data Entry'!$C6300&gt;='Visual SPC'!$C$4),OR('Visual SPC'!$E$4="",'Data Entry'!$C6300&lt;='Visual SPC'!$E$4),OR('Visual SPC'!$G$4="",'Data Entry'!$D6300='Visual SPC'!$G$4),OR('Visual SPC'!$I$4="",'Data Entry'!$E6300='Visual SPC'!$I$4),OR('Visual SPC'!$K$4="",'Data Entry'!$F6300='Visual SPC'!$K$4)),1,0))</f>
        <v/>
      </c>
      <c r="C6300">
        <f>C6299+B6300</f>
        <v/>
      </c>
      <c r="D6300">
        <f>IF(B6300=1,INDEX('Data Entry'!$H$5:$BE$10004,6300-4,'Visual SPC'!$B$3),"")</f>
        <v/>
      </c>
      <c r="E6300">
        <f>IF(B6300=1,D6300,E6299)</f>
        <v/>
      </c>
      <c r="F6300">
        <f>IF(AND(B6300=1,C6300&gt;1,E6299&lt;&gt;""),ABS(D6300-E6299),"")</f>
        <v/>
      </c>
    </row>
    <row r="6301">
      <c r="A6301" t="n">
        <v>6301</v>
      </c>
      <c r="B6301">
        <f>IF(INDEX('Data Entry'!$H$5:$BE$10004,6301-4,'Visual SPC'!$B$3)="",0,IF(AND(OR('Visual SPC'!$C$4="",'Data Entry'!$C6301&gt;='Visual SPC'!$C$4),OR('Visual SPC'!$E$4="",'Data Entry'!$C6301&lt;='Visual SPC'!$E$4),OR('Visual SPC'!$G$4="",'Data Entry'!$D6301='Visual SPC'!$G$4),OR('Visual SPC'!$I$4="",'Data Entry'!$E6301='Visual SPC'!$I$4),OR('Visual SPC'!$K$4="",'Data Entry'!$F6301='Visual SPC'!$K$4)),1,0))</f>
        <v/>
      </c>
      <c r="C6301">
        <f>C6300+B6301</f>
        <v/>
      </c>
      <c r="D6301">
        <f>IF(B6301=1,INDEX('Data Entry'!$H$5:$BE$10004,6301-4,'Visual SPC'!$B$3),"")</f>
        <v/>
      </c>
      <c r="E6301">
        <f>IF(B6301=1,D6301,E6300)</f>
        <v/>
      </c>
      <c r="F6301">
        <f>IF(AND(B6301=1,C6301&gt;1,E6300&lt;&gt;""),ABS(D6301-E6300),"")</f>
        <v/>
      </c>
    </row>
    <row r="6302">
      <c r="A6302" t="n">
        <v>6302</v>
      </c>
      <c r="B6302">
        <f>IF(INDEX('Data Entry'!$H$5:$BE$10004,6302-4,'Visual SPC'!$B$3)="",0,IF(AND(OR('Visual SPC'!$C$4="",'Data Entry'!$C6302&gt;='Visual SPC'!$C$4),OR('Visual SPC'!$E$4="",'Data Entry'!$C6302&lt;='Visual SPC'!$E$4),OR('Visual SPC'!$G$4="",'Data Entry'!$D6302='Visual SPC'!$G$4),OR('Visual SPC'!$I$4="",'Data Entry'!$E6302='Visual SPC'!$I$4),OR('Visual SPC'!$K$4="",'Data Entry'!$F6302='Visual SPC'!$K$4)),1,0))</f>
        <v/>
      </c>
      <c r="C6302">
        <f>C6301+B6302</f>
        <v/>
      </c>
      <c r="D6302">
        <f>IF(B6302=1,INDEX('Data Entry'!$H$5:$BE$10004,6302-4,'Visual SPC'!$B$3),"")</f>
        <v/>
      </c>
      <c r="E6302">
        <f>IF(B6302=1,D6302,E6301)</f>
        <v/>
      </c>
      <c r="F6302">
        <f>IF(AND(B6302=1,C6302&gt;1,E6301&lt;&gt;""),ABS(D6302-E6301),"")</f>
        <v/>
      </c>
    </row>
    <row r="6303">
      <c r="A6303" t="n">
        <v>6303</v>
      </c>
      <c r="B6303">
        <f>IF(INDEX('Data Entry'!$H$5:$BE$10004,6303-4,'Visual SPC'!$B$3)="",0,IF(AND(OR('Visual SPC'!$C$4="",'Data Entry'!$C6303&gt;='Visual SPC'!$C$4),OR('Visual SPC'!$E$4="",'Data Entry'!$C6303&lt;='Visual SPC'!$E$4),OR('Visual SPC'!$G$4="",'Data Entry'!$D6303='Visual SPC'!$G$4),OR('Visual SPC'!$I$4="",'Data Entry'!$E6303='Visual SPC'!$I$4),OR('Visual SPC'!$K$4="",'Data Entry'!$F6303='Visual SPC'!$K$4)),1,0))</f>
        <v/>
      </c>
      <c r="C6303">
        <f>C6302+B6303</f>
        <v/>
      </c>
      <c r="D6303">
        <f>IF(B6303=1,INDEX('Data Entry'!$H$5:$BE$10004,6303-4,'Visual SPC'!$B$3),"")</f>
        <v/>
      </c>
      <c r="E6303">
        <f>IF(B6303=1,D6303,E6302)</f>
        <v/>
      </c>
      <c r="F6303">
        <f>IF(AND(B6303=1,C6303&gt;1,E6302&lt;&gt;""),ABS(D6303-E6302),"")</f>
        <v/>
      </c>
    </row>
    <row r="6304">
      <c r="A6304" t="n">
        <v>6304</v>
      </c>
      <c r="B6304">
        <f>IF(INDEX('Data Entry'!$H$5:$BE$10004,6304-4,'Visual SPC'!$B$3)="",0,IF(AND(OR('Visual SPC'!$C$4="",'Data Entry'!$C6304&gt;='Visual SPC'!$C$4),OR('Visual SPC'!$E$4="",'Data Entry'!$C6304&lt;='Visual SPC'!$E$4),OR('Visual SPC'!$G$4="",'Data Entry'!$D6304='Visual SPC'!$G$4),OR('Visual SPC'!$I$4="",'Data Entry'!$E6304='Visual SPC'!$I$4),OR('Visual SPC'!$K$4="",'Data Entry'!$F6304='Visual SPC'!$K$4)),1,0))</f>
        <v/>
      </c>
      <c r="C6304">
        <f>C6303+B6304</f>
        <v/>
      </c>
      <c r="D6304">
        <f>IF(B6304=1,INDEX('Data Entry'!$H$5:$BE$10004,6304-4,'Visual SPC'!$B$3),"")</f>
        <v/>
      </c>
      <c r="E6304">
        <f>IF(B6304=1,D6304,E6303)</f>
        <v/>
      </c>
      <c r="F6304">
        <f>IF(AND(B6304=1,C6304&gt;1,E6303&lt;&gt;""),ABS(D6304-E6303),"")</f>
        <v/>
      </c>
    </row>
    <row r="6305">
      <c r="A6305" t="n">
        <v>6305</v>
      </c>
      <c r="B6305">
        <f>IF(INDEX('Data Entry'!$H$5:$BE$10004,6305-4,'Visual SPC'!$B$3)="",0,IF(AND(OR('Visual SPC'!$C$4="",'Data Entry'!$C6305&gt;='Visual SPC'!$C$4),OR('Visual SPC'!$E$4="",'Data Entry'!$C6305&lt;='Visual SPC'!$E$4),OR('Visual SPC'!$G$4="",'Data Entry'!$D6305='Visual SPC'!$G$4),OR('Visual SPC'!$I$4="",'Data Entry'!$E6305='Visual SPC'!$I$4),OR('Visual SPC'!$K$4="",'Data Entry'!$F6305='Visual SPC'!$K$4)),1,0))</f>
        <v/>
      </c>
      <c r="C6305">
        <f>C6304+B6305</f>
        <v/>
      </c>
      <c r="D6305">
        <f>IF(B6305=1,INDEX('Data Entry'!$H$5:$BE$10004,6305-4,'Visual SPC'!$B$3),"")</f>
        <v/>
      </c>
      <c r="E6305">
        <f>IF(B6305=1,D6305,E6304)</f>
        <v/>
      </c>
      <c r="F6305">
        <f>IF(AND(B6305=1,C6305&gt;1,E6304&lt;&gt;""),ABS(D6305-E6304),"")</f>
        <v/>
      </c>
    </row>
    <row r="6306">
      <c r="A6306" t="n">
        <v>6306</v>
      </c>
      <c r="B6306">
        <f>IF(INDEX('Data Entry'!$H$5:$BE$10004,6306-4,'Visual SPC'!$B$3)="",0,IF(AND(OR('Visual SPC'!$C$4="",'Data Entry'!$C6306&gt;='Visual SPC'!$C$4),OR('Visual SPC'!$E$4="",'Data Entry'!$C6306&lt;='Visual SPC'!$E$4),OR('Visual SPC'!$G$4="",'Data Entry'!$D6306='Visual SPC'!$G$4),OR('Visual SPC'!$I$4="",'Data Entry'!$E6306='Visual SPC'!$I$4),OR('Visual SPC'!$K$4="",'Data Entry'!$F6306='Visual SPC'!$K$4)),1,0))</f>
        <v/>
      </c>
      <c r="C6306">
        <f>C6305+B6306</f>
        <v/>
      </c>
      <c r="D6306">
        <f>IF(B6306=1,INDEX('Data Entry'!$H$5:$BE$10004,6306-4,'Visual SPC'!$B$3),"")</f>
        <v/>
      </c>
      <c r="E6306">
        <f>IF(B6306=1,D6306,E6305)</f>
        <v/>
      </c>
      <c r="F6306">
        <f>IF(AND(B6306=1,C6306&gt;1,E6305&lt;&gt;""),ABS(D6306-E6305),"")</f>
        <v/>
      </c>
    </row>
    <row r="6307">
      <c r="A6307" t="n">
        <v>6307</v>
      </c>
      <c r="B6307">
        <f>IF(INDEX('Data Entry'!$H$5:$BE$10004,6307-4,'Visual SPC'!$B$3)="",0,IF(AND(OR('Visual SPC'!$C$4="",'Data Entry'!$C6307&gt;='Visual SPC'!$C$4),OR('Visual SPC'!$E$4="",'Data Entry'!$C6307&lt;='Visual SPC'!$E$4),OR('Visual SPC'!$G$4="",'Data Entry'!$D6307='Visual SPC'!$G$4),OR('Visual SPC'!$I$4="",'Data Entry'!$E6307='Visual SPC'!$I$4),OR('Visual SPC'!$K$4="",'Data Entry'!$F6307='Visual SPC'!$K$4)),1,0))</f>
        <v/>
      </c>
      <c r="C6307">
        <f>C6306+B6307</f>
        <v/>
      </c>
      <c r="D6307">
        <f>IF(B6307=1,INDEX('Data Entry'!$H$5:$BE$10004,6307-4,'Visual SPC'!$B$3),"")</f>
        <v/>
      </c>
      <c r="E6307">
        <f>IF(B6307=1,D6307,E6306)</f>
        <v/>
      </c>
      <c r="F6307">
        <f>IF(AND(B6307=1,C6307&gt;1,E6306&lt;&gt;""),ABS(D6307-E6306),"")</f>
        <v/>
      </c>
    </row>
    <row r="6308">
      <c r="A6308" t="n">
        <v>6308</v>
      </c>
      <c r="B6308">
        <f>IF(INDEX('Data Entry'!$H$5:$BE$10004,6308-4,'Visual SPC'!$B$3)="",0,IF(AND(OR('Visual SPC'!$C$4="",'Data Entry'!$C6308&gt;='Visual SPC'!$C$4),OR('Visual SPC'!$E$4="",'Data Entry'!$C6308&lt;='Visual SPC'!$E$4),OR('Visual SPC'!$G$4="",'Data Entry'!$D6308='Visual SPC'!$G$4),OR('Visual SPC'!$I$4="",'Data Entry'!$E6308='Visual SPC'!$I$4),OR('Visual SPC'!$K$4="",'Data Entry'!$F6308='Visual SPC'!$K$4)),1,0))</f>
        <v/>
      </c>
      <c r="C6308">
        <f>C6307+B6308</f>
        <v/>
      </c>
      <c r="D6308">
        <f>IF(B6308=1,INDEX('Data Entry'!$H$5:$BE$10004,6308-4,'Visual SPC'!$B$3),"")</f>
        <v/>
      </c>
      <c r="E6308">
        <f>IF(B6308=1,D6308,E6307)</f>
        <v/>
      </c>
      <c r="F6308">
        <f>IF(AND(B6308=1,C6308&gt;1,E6307&lt;&gt;""),ABS(D6308-E6307),"")</f>
        <v/>
      </c>
    </row>
    <row r="6309">
      <c r="A6309" t="n">
        <v>6309</v>
      </c>
      <c r="B6309">
        <f>IF(INDEX('Data Entry'!$H$5:$BE$10004,6309-4,'Visual SPC'!$B$3)="",0,IF(AND(OR('Visual SPC'!$C$4="",'Data Entry'!$C6309&gt;='Visual SPC'!$C$4),OR('Visual SPC'!$E$4="",'Data Entry'!$C6309&lt;='Visual SPC'!$E$4),OR('Visual SPC'!$G$4="",'Data Entry'!$D6309='Visual SPC'!$G$4),OR('Visual SPC'!$I$4="",'Data Entry'!$E6309='Visual SPC'!$I$4),OR('Visual SPC'!$K$4="",'Data Entry'!$F6309='Visual SPC'!$K$4)),1,0))</f>
        <v/>
      </c>
      <c r="C6309">
        <f>C6308+B6309</f>
        <v/>
      </c>
      <c r="D6309">
        <f>IF(B6309=1,INDEX('Data Entry'!$H$5:$BE$10004,6309-4,'Visual SPC'!$B$3),"")</f>
        <v/>
      </c>
      <c r="E6309">
        <f>IF(B6309=1,D6309,E6308)</f>
        <v/>
      </c>
      <c r="F6309">
        <f>IF(AND(B6309=1,C6309&gt;1,E6308&lt;&gt;""),ABS(D6309-E6308),"")</f>
        <v/>
      </c>
    </row>
    <row r="6310">
      <c r="A6310" t="n">
        <v>6310</v>
      </c>
      <c r="B6310">
        <f>IF(INDEX('Data Entry'!$H$5:$BE$10004,6310-4,'Visual SPC'!$B$3)="",0,IF(AND(OR('Visual SPC'!$C$4="",'Data Entry'!$C6310&gt;='Visual SPC'!$C$4),OR('Visual SPC'!$E$4="",'Data Entry'!$C6310&lt;='Visual SPC'!$E$4),OR('Visual SPC'!$G$4="",'Data Entry'!$D6310='Visual SPC'!$G$4),OR('Visual SPC'!$I$4="",'Data Entry'!$E6310='Visual SPC'!$I$4),OR('Visual SPC'!$K$4="",'Data Entry'!$F6310='Visual SPC'!$K$4)),1,0))</f>
        <v/>
      </c>
      <c r="C6310">
        <f>C6309+B6310</f>
        <v/>
      </c>
      <c r="D6310">
        <f>IF(B6310=1,INDEX('Data Entry'!$H$5:$BE$10004,6310-4,'Visual SPC'!$B$3),"")</f>
        <v/>
      </c>
      <c r="E6310">
        <f>IF(B6310=1,D6310,E6309)</f>
        <v/>
      </c>
      <c r="F6310">
        <f>IF(AND(B6310=1,C6310&gt;1,E6309&lt;&gt;""),ABS(D6310-E6309),"")</f>
        <v/>
      </c>
    </row>
    <row r="6311">
      <c r="A6311" t="n">
        <v>6311</v>
      </c>
      <c r="B6311">
        <f>IF(INDEX('Data Entry'!$H$5:$BE$10004,6311-4,'Visual SPC'!$B$3)="",0,IF(AND(OR('Visual SPC'!$C$4="",'Data Entry'!$C6311&gt;='Visual SPC'!$C$4),OR('Visual SPC'!$E$4="",'Data Entry'!$C6311&lt;='Visual SPC'!$E$4),OR('Visual SPC'!$G$4="",'Data Entry'!$D6311='Visual SPC'!$G$4),OR('Visual SPC'!$I$4="",'Data Entry'!$E6311='Visual SPC'!$I$4),OR('Visual SPC'!$K$4="",'Data Entry'!$F6311='Visual SPC'!$K$4)),1,0))</f>
        <v/>
      </c>
      <c r="C6311">
        <f>C6310+B6311</f>
        <v/>
      </c>
      <c r="D6311">
        <f>IF(B6311=1,INDEX('Data Entry'!$H$5:$BE$10004,6311-4,'Visual SPC'!$B$3),"")</f>
        <v/>
      </c>
      <c r="E6311">
        <f>IF(B6311=1,D6311,E6310)</f>
        <v/>
      </c>
      <c r="F6311">
        <f>IF(AND(B6311=1,C6311&gt;1,E6310&lt;&gt;""),ABS(D6311-E6310),"")</f>
        <v/>
      </c>
    </row>
    <row r="6312">
      <c r="A6312" t="n">
        <v>6312</v>
      </c>
      <c r="B6312">
        <f>IF(INDEX('Data Entry'!$H$5:$BE$10004,6312-4,'Visual SPC'!$B$3)="",0,IF(AND(OR('Visual SPC'!$C$4="",'Data Entry'!$C6312&gt;='Visual SPC'!$C$4),OR('Visual SPC'!$E$4="",'Data Entry'!$C6312&lt;='Visual SPC'!$E$4),OR('Visual SPC'!$G$4="",'Data Entry'!$D6312='Visual SPC'!$G$4),OR('Visual SPC'!$I$4="",'Data Entry'!$E6312='Visual SPC'!$I$4),OR('Visual SPC'!$K$4="",'Data Entry'!$F6312='Visual SPC'!$K$4)),1,0))</f>
        <v/>
      </c>
      <c r="C6312">
        <f>C6311+B6312</f>
        <v/>
      </c>
      <c r="D6312">
        <f>IF(B6312=1,INDEX('Data Entry'!$H$5:$BE$10004,6312-4,'Visual SPC'!$B$3),"")</f>
        <v/>
      </c>
      <c r="E6312">
        <f>IF(B6312=1,D6312,E6311)</f>
        <v/>
      </c>
      <c r="F6312">
        <f>IF(AND(B6312=1,C6312&gt;1,E6311&lt;&gt;""),ABS(D6312-E6311),"")</f>
        <v/>
      </c>
    </row>
    <row r="6313">
      <c r="A6313" t="n">
        <v>6313</v>
      </c>
      <c r="B6313">
        <f>IF(INDEX('Data Entry'!$H$5:$BE$10004,6313-4,'Visual SPC'!$B$3)="",0,IF(AND(OR('Visual SPC'!$C$4="",'Data Entry'!$C6313&gt;='Visual SPC'!$C$4),OR('Visual SPC'!$E$4="",'Data Entry'!$C6313&lt;='Visual SPC'!$E$4),OR('Visual SPC'!$G$4="",'Data Entry'!$D6313='Visual SPC'!$G$4),OR('Visual SPC'!$I$4="",'Data Entry'!$E6313='Visual SPC'!$I$4),OR('Visual SPC'!$K$4="",'Data Entry'!$F6313='Visual SPC'!$K$4)),1,0))</f>
        <v/>
      </c>
      <c r="C6313">
        <f>C6312+B6313</f>
        <v/>
      </c>
      <c r="D6313">
        <f>IF(B6313=1,INDEX('Data Entry'!$H$5:$BE$10004,6313-4,'Visual SPC'!$B$3),"")</f>
        <v/>
      </c>
      <c r="E6313">
        <f>IF(B6313=1,D6313,E6312)</f>
        <v/>
      </c>
      <c r="F6313">
        <f>IF(AND(B6313=1,C6313&gt;1,E6312&lt;&gt;""),ABS(D6313-E6312),"")</f>
        <v/>
      </c>
    </row>
    <row r="6314">
      <c r="A6314" t="n">
        <v>6314</v>
      </c>
      <c r="B6314">
        <f>IF(INDEX('Data Entry'!$H$5:$BE$10004,6314-4,'Visual SPC'!$B$3)="",0,IF(AND(OR('Visual SPC'!$C$4="",'Data Entry'!$C6314&gt;='Visual SPC'!$C$4),OR('Visual SPC'!$E$4="",'Data Entry'!$C6314&lt;='Visual SPC'!$E$4),OR('Visual SPC'!$G$4="",'Data Entry'!$D6314='Visual SPC'!$G$4),OR('Visual SPC'!$I$4="",'Data Entry'!$E6314='Visual SPC'!$I$4),OR('Visual SPC'!$K$4="",'Data Entry'!$F6314='Visual SPC'!$K$4)),1,0))</f>
        <v/>
      </c>
      <c r="C6314">
        <f>C6313+B6314</f>
        <v/>
      </c>
      <c r="D6314">
        <f>IF(B6314=1,INDEX('Data Entry'!$H$5:$BE$10004,6314-4,'Visual SPC'!$B$3),"")</f>
        <v/>
      </c>
      <c r="E6314">
        <f>IF(B6314=1,D6314,E6313)</f>
        <v/>
      </c>
      <c r="F6314">
        <f>IF(AND(B6314=1,C6314&gt;1,E6313&lt;&gt;""),ABS(D6314-E6313),"")</f>
        <v/>
      </c>
    </row>
    <row r="6315">
      <c r="A6315" t="n">
        <v>6315</v>
      </c>
      <c r="B6315">
        <f>IF(INDEX('Data Entry'!$H$5:$BE$10004,6315-4,'Visual SPC'!$B$3)="",0,IF(AND(OR('Visual SPC'!$C$4="",'Data Entry'!$C6315&gt;='Visual SPC'!$C$4),OR('Visual SPC'!$E$4="",'Data Entry'!$C6315&lt;='Visual SPC'!$E$4),OR('Visual SPC'!$G$4="",'Data Entry'!$D6315='Visual SPC'!$G$4),OR('Visual SPC'!$I$4="",'Data Entry'!$E6315='Visual SPC'!$I$4),OR('Visual SPC'!$K$4="",'Data Entry'!$F6315='Visual SPC'!$K$4)),1,0))</f>
        <v/>
      </c>
      <c r="C6315">
        <f>C6314+B6315</f>
        <v/>
      </c>
      <c r="D6315">
        <f>IF(B6315=1,INDEX('Data Entry'!$H$5:$BE$10004,6315-4,'Visual SPC'!$B$3),"")</f>
        <v/>
      </c>
      <c r="E6315">
        <f>IF(B6315=1,D6315,E6314)</f>
        <v/>
      </c>
      <c r="F6315">
        <f>IF(AND(B6315=1,C6315&gt;1,E6314&lt;&gt;""),ABS(D6315-E6314),"")</f>
        <v/>
      </c>
    </row>
    <row r="6316">
      <c r="A6316" t="n">
        <v>6316</v>
      </c>
      <c r="B6316">
        <f>IF(INDEX('Data Entry'!$H$5:$BE$10004,6316-4,'Visual SPC'!$B$3)="",0,IF(AND(OR('Visual SPC'!$C$4="",'Data Entry'!$C6316&gt;='Visual SPC'!$C$4),OR('Visual SPC'!$E$4="",'Data Entry'!$C6316&lt;='Visual SPC'!$E$4),OR('Visual SPC'!$G$4="",'Data Entry'!$D6316='Visual SPC'!$G$4),OR('Visual SPC'!$I$4="",'Data Entry'!$E6316='Visual SPC'!$I$4),OR('Visual SPC'!$K$4="",'Data Entry'!$F6316='Visual SPC'!$K$4)),1,0))</f>
        <v/>
      </c>
      <c r="C6316">
        <f>C6315+B6316</f>
        <v/>
      </c>
      <c r="D6316">
        <f>IF(B6316=1,INDEX('Data Entry'!$H$5:$BE$10004,6316-4,'Visual SPC'!$B$3),"")</f>
        <v/>
      </c>
      <c r="E6316">
        <f>IF(B6316=1,D6316,E6315)</f>
        <v/>
      </c>
      <c r="F6316">
        <f>IF(AND(B6316=1,C6316&gt;1,E6315&lt;&gt;""),ABS(D6316-E6315),"")</f>
        <v/>
      </c>
    </row>
    <row r="6317">
      <c r="A6317" t="n">
        <v>6317</v>
      </c>
      <c r="B6317">
        <f>IF(INDEX('Data Entry'!$H$5:$BE$10004,6317-4,'Visual SPC'!$B$3)="",0,IF(AND(OR('Visual SPC'!$C$4="",'Data Entry'!$C6317&gt;='Visual SPC'!$C$4),OR('Visual SPC'!$E$4="",'Data Entry'!$C6317&lt;='Visual SPC'!$E$4),OR('Visual SPC'!$G$4="",'Data Entry'!$D6317='Visual SPC'!$G$4),OR('Visual SPC'!$I$4="",'Data Entry'!$E6317='Visual SPC'!$I$4),OR('Visual SPC'!$K$4="",'Data Entry'!$F6317='Visual SPC'!$K$4)),1,0))</f>
        <v/>
      </c>
      <c r="C6317">
        <f>C6316+B6317</f>
        <v/>
      </c>
      <c r="D6317">
        <f>IF(B6317=1,INDEX('Data Entry'!$H$5:$BE$10004,6317-4,'Visual SPC'!$B$3),"")</f>
        <v/>
      </c>
      <c r="E6317">
        <f>IF(B6317=1,D6317,E6316)</f>
        <v/>
      </c>
      <c r="F6317">
        <f>IF(AND(B6317=1,C6317&gt;1,E6316&lt;&gt;""),ABS(D6317-E6316),"")</f>
        <v/>
      </c>
    </row>
    <row r="6318">
      <c r="A6318" t="n">
        <v>6318</v>
      </c>
      <c r="B6318">
        <f>IF(INDEX('Data Entry'!$H$5:$BE$10004,6318-4,'Visual SPC'!$B$3)="",0,IF(AND(OR('Visual SPC'!$C$4="",'Data Entry'!$C6318&gt;='Visual SPC'!$C$4),OR('Visual SPC'!$E$4="",'Data Entry'!$C6318&lt;='Visual SPC'!$E$4),OR('Visual SPC'!$G$4="",'Data Entry'!$D6318='Visual SPC'!$G$4),OR('Visual SPC'!$I$4="",'Data Entry'!$E6318='Visual SPC'!$I$4),OR('Visual SPC'!$K$4="",'Data Entry'!$F6318='Visual SPC'!$K$4)),1,0))</f>
        <v/>
      </c>
      <c r="C6318">
        <f>C6317+B6318</f>
        <v/>
      </c>
      <c r="D6318">
        <f>IF(B6318=1,INDEX('Data Entry'!$H$5:$BE$10004,6318-4,'Visual SPC'!$B$3),"")</f>
        <v/>
      </c>
      <c r="E6318">
        <f>IF(B6318=1,D6318,E6317)</f>
        <v/>
      </c>
      <c r="F6318">
        <f>IF(AND(B6318=1,C6318&gt;1,E6317&lt;&gt;""),ABS(D6318-E6317),"")</f>
        <v/>
      </c>
    </row>
    <row r="6319">
      <c r="A6319" t="n">
        <v>6319</v>
      </c>
      <c r="B6319">
        <f>IF(INDEX('Data Entry'!$H$5:$BE$10004,6319-4,'Visual SPC'!$B$3)="",0,IF(AND(OR('Visual SPC'!$C$4="",'Data Entry'!$C6319&gt;='Visual SPC'!$C$4),OR('Visual SPC'!$E$4="",'Data Entry'!$C6319&lt;='Visual SPC'!$E$4),OR('Visual SPC'!$G$4="",'Data Entry'!$D6319='Visual SPC'!$G$4),OR('Visual SPC'!$I$4="",'Data Entry'!$E6319='Visual SPC'!$I$4),OR('Visual SPC'!$K$4="",'Data Entry'!$F6319='Visual SPC'!$K$4)),1,0))</f>
        <v/>
      </c>
      <c r="C6319">
        <f>C6318+B6319</f>
        <v/>
      </c>
      <c r="D6319">
        <f>IF(B6319=1,INDEX('Data Entry'!$H$5:$BE$10004,6319-4,'Visual SPC'!$B$3),"")</f>
        <v/>
      </c>
      <c r="E6319">
        <f>IF(B6319=1,D6319,E6318)</f>
        <v/>
      </c>
      <c r="F6319">
        <f>IF(AND(B6319=1,C6319&gt;1,E6318&lt;&gt;""),ABS(D6319-E6318),"")</f>
        <v/>
      </c>
    </row>
    <row r="6320">
      <c r="A6320" t="n">
        <v>6320</v>
      </c>
      <c r="B6320">
        <f>IF(INDEX('Data Entry'!$H$5:$BE$10004,6320-4,'Visual SPC'!$B$3)="",0,IF(AND(OR('Visual SPC'!$C$4="",'Data Entry'!$C6320&gt;='Visual SPC'!$C$4),OR('Visual SPC'!$E$4="",'Data Entry'!$C6320&lt;='Visual SPC'!$E$4),OR('Visual SPC'!$G$4="",'Data Entry'!$D6320='Visual SPC'!$G$4),OR('Visual SPC'!$I$4="",'Data Entry'!$E6320='Visual SPC'!$I$4),OR('Visual SPC'!$K$4="",'Data Entry'!$F6320='Visual SPC'!$K$4)),1,0))</f>
        <v/>
      </c>
      <c r="C6320">
        <f>C6319+B6320</f>
        <v/>
      </c>
      <c r="D6320">
        <f>IF(B6320=1,INDEX('Data Entry'!$H$5:$BE$10004,6320-4,'Visual SPC'!$B$3),"")</f>
        <v/>
      </c>
      <c r="E6320">
        <f>IF(B6320=1,D6320,E6319)</f>
        <v/>
      </c>
      <c r="F6320">
        <f>IF(AND(B6320=1,C6320&gt;1,E6319&lt;&gt;""),ABS(D6320-E6319),"")</f>
        <v/>
      </c>
    </row>
    <row r="6321">
      <c r="A6321" t="n">
        <v>6321</v>
      </c>
      <c r="B6321">
        <f>IF(INDEX('Data Entry'!$H$5:$BE$10004,6321-4,'Visual SPC'!$B$3)="",0,IF(AND(OR('Visual SPC'!$C$4="",'Data Entry'!$C6321&gt;='Visual SPC'!$C$4),OR('Visual SPC'!$E$4="",'Data Entry'!$C6321&lt;='Visual SPC'!$E$4),OR('Visual SPC'!$G$4="",'Data Entry'!$D6321='Visual SPC'!$G$4),OR('Visual SPC'!$I$4="",'Data Entry'!$E6321='Visual SPC'!$I$4),OR('Visual SPC'!$K$4="",'Data Entry'!$F6321='Visual SPC'!$K$4)),1,0))</f>
        <v/>
      </c>
      <c r="C6321">
        <f>C6320+B6321</f>
        <v/>
      </c>
      <c r="D6321">
        <f>IF(B6321=1,INDEX('Data Entry'!$H$5:$BE$10004,6321-4,'Visual SPC'!$B$3),"")</f>
        <v/>
      </c>
      <c r="E6321">
        <f>IF(B6321=1,D6321,E6320)</f>
        <v/>
      </c>
      <c r="F6321">
        <f>IF(AND(B6321=1,C6321&gt;1,E6320&lt;&gt;""),ABS(D6321-E6320),"")</f>
        <v/>
      </c>
    </row>
    <row r="6322">
      <c r="A6322" t="n">
        <v>6322</v>
      </c>
      <c r="B6322">
        <f>IF(INDEX('Data Entry'!$H$5:$BE$10004,6322-4,'Visual SPC'!$B$3)="",0,IF(AND(OR('Visual SPC'!$C$4="",'Data Entry'!$C6322&gt;='Visual SPC'!$C$4),OR('Visual SPC'!$E$4="",'Data Entry'!$C6322&lt;='Visual SPC'!$E$4),OR('Visual SPC'!$G$4="",'Data Entry'!$D6322='Visual SPC'!$G$4),OR('Visual SPC'!$I$4="",'Data Entry'!$E6322='Visual SPC'!$I$4),OR('Visual SPC'!$K$4="",'Data Entry'!$F6322='Visual SPC'!$K$4)),1,0))</f>
        <v/>
      </c>
      <c r="C6322">
        <f>C6321+B6322</f>
        <v/>
      </c>
      <c r="D6322">
        <f>IF(B6322=1,INDEX('Data Entry'!$H$5:$BE$10004,6322-4,'Visual SPC'!$B$3),"")</f>
        <v/>
      </c>
      <c r="E6322">
        <f>IF(B6322=1,D6322,E6321)</f>
        <v/>
      </c>
      <c r="F6322">
        <f>IF(AND(B6322=1,C6322&gt;1,E6321&lt;&gt;""),ABS(D6322-E6321),"")</f>
        <v/>
      </c>
    </row>
    <row r="6323">
      <c r="A6323" t="n">
        <v>6323</v>
      </c>
      <c r="B6323">
        <f>IF(INDEX('Data Entry'!$H$5:$BE$10004,6323-4,'Visual SPC'!$B$3)="",0,IF(AND(OR('Visual SPC'!$C$4="",'Data Entry'!$C6323&gt;='Visual SPC'!$C$4),OR('Visual SPC'!$E$4="",'Data Entry'!$C6323&lt;='Visual SPC'!$E$4),OR('Visual SPC'!$G$4="",'Data Entry'!$D6323='Visual SPC'!$G$4),OR('Visual SPC'!$I$4="",'Data Entry'!$E6323='Visual SPC'!$I$4),OR('Visual SPC'!$K$4="",'Data Entry'!$F6323='Visual SPC'!$K$4)),1,0))</f>
        <v/>
      </c>
      <c r="C6323">
        <f>C6322+B6323</f>
        <v/>
      </c>
      <c r="D6323">
        <f>IF(B6323=1,INDEX('Data Entry'!$H$5:$BE$10004,6323-4,'Visual SPC'!$B$3),"")</f>
        <v/>
      </c>
      <c r="E6323">
        <f>IF(B6323=1,D6323,E6322)</f>
        <v/>
      </c>
      <c r="F6323">
        <f>IF(AND(B6323=1,C6323&gt;1,E6322&lt;&gt;""),ABS(D6323-E6322),"")</f>
        <v/>
      </c>
    </row>
    <row r="6324">
      <c r="A6324" t="n">
        <v>6324</v>
      </c>
      <c r="B6324">
        <f>IF(INDEX('Data Entry'!$H$5:$BE$10004,6324-4,'Visual SPC'!$B$3)="",0,IF(AND(OR('Visual SPC'!$C$4="",'Data Entry'!$C6324&gt;='Visual SPC'!$C$4),OR('Visual SPC'!$E$4="",'Data Entry'!$C6324&lt;='Visual SPC'!$E$4),OR('Visual SPC'!$G$4="",'Data Entry'!$D6324='Visual SPC'!$G$4),OR('Visual SPC'!$I$4="",'Data Entry'!$E6324='Visual SPC'!$I$4),OR('Visual SPC'!$K$4="",'Data Entry'!$F6324='Visual SPC'!$K$4)),1,0))</f>
        <v/>
      </c>
      <c r="C6324">
        <f>C6323+B6324</f>
        <v/>
      </c>
      <c r="D6324">
        <f>IF(B6324=1,INDEX('Data Entry'!$H$5:$BE$10004,6324-4,'Visual SPC'!$B$3),"")</f>
        <v/>
      </c>
      <c r="E6324">
        <f>IF(B6324=1,D6324,E6323)</f>
        <v/>
      </c>
      <c r="F6324">
        <f>IF(AND(B6324=1,C6324&gt;1,E6323&lt;&gt;""),ABS(D6324-E6323),"")</f>
        <v/>
      </c>
    </row>
    <row r="6325">
      <c r="A6325" t="n">
        <v>6325</v>
      </c>
      <c r="B6325">
        <f>IF(INDEX('Data Entry'!$H$5:$BE$10004,6325-4,'Visual SPC'!$B$3)="",0,IF(AND(OR('Visual SPC'!$C$4="",'Data Entry'!$C6325&gt;='Visual SPC'!$C$4),OR('Visual SPC'!$E$4="",'Data Entry'!$C6325&lt;='Visual SPC'!$E$4),OR('Visual SPC'!$G$4="",'Data Entry'!$D6325='Visual SPC'!$G$4),OR('Visual SPC'!$I$4="",'Data Entry'!$E6325='Visual SPC'!$I$4),OR('Visual SPC'!$K$4="",'Data Entry'!$F6325='Visual SPC'!$K$4)),1,0))</f>
        <v/>
      </c>
      <c r="C6325">
        <f>C6324+B6325</f>
        <v/>
      </c>
      <c r="D6325">
        <f>IF(B6325=1,INDEX('Data Entry'!$H$5:$BE$10004,6325-4,'Visual SPC'!$B$3),"")</f>
        <v/>
      </c>
      <c r="E6325">
        <f>IF(B6325=1,D6325,E6324)</f>
        <v/>
      </c>
      <c r="F6325">
        <f>IF(AND(B6325=1,C6325&gt;1,E6324&lt;&gt;""),ABS(D6325-E6324),"")</f>
        <v/>
      </c>
    </row>
    <row r="6326">
      <c r="A6326" t="n">
        <v>6326</v>
      </c>
      <c r="B6326">
        <f>IF(INDEX('Data Entry'!$H$5:$BE$10004,6326-4,'Visual SPC'!$B$3)="",0,IF(AND(OR('Visual SPC'!$C$4="",'Data Entry'!$C6326&gt;='Visual SPC'!$C$4),OR('Visual SPC'!$E$4="",'Data Entry'!$C6326&lt;='Visual SPC'!$E$4),OR('Visual SPC'!$G$4="",'Data Entry'!$D6326='Visual SPC'!$G$4),OR('Visual SPC'!$I$4="",'Data Entry'!$E6326='Visual SPC'!$I$4),OR('Visual SPC'!$K$4="",'Data Entry'!$F6326='Visual SPC'!$K$4)),1,0))</f>
        <v/>
      </c>
      <c r="C6326">
        <f>C6325+B6326</f>
        <v/>
      </c>
      <c r="D6326">
        <f>IF(B6326=1,INDEX('Data Entry'!$H$5:$BE$10004,6326-4,'Visual SPC'!$B$3),"")</f>
        <v/>
      </c>
      <c r="E6326">
        <f>IF(B6326=1,D6326,E6325)</f>
        <v/>
      </c>
      <c r="F6326">
        <f>IF(AND(B6326=1,C6326&gt;1,E6325&lt;&gt;""),ABS(D6326-E6325),"")</f>
        <v/>
      </c>
    </row>
    <row r="6327">
      <c r="A6327" t="n">
        <v>6327</v>
      </c>
      <c r="B6327">
        <f>IF(INDEX('Data Entry'!$H$5:$BE$10004,6327-4,'Visual SPC'!$B$3)="",0,IF(AND(OR('Visual SPC'!$C$4="",'Data Entry'!$C6327&gt;='Visual SPC'!$C$4),OR('Visual SPC'!$E$4="",'Data Entry'!$C6327&lt;='Visual SPC'!$E$4),OR('Visual SPC'!$G$4="",'Data Entry'!$D6327='Visual SPC'!$G$4),OR('Visual SPC'!$I$4="",'Data Entry'!$E6327='Visual SPC'!$I$4),OR('Visual SPC'!$K$4="",'Data Entry'!$F6327='Visual SPC'!$K$4)),1,0))</f>
        <v/>
      </c>
      <c r="C6327">
        <f>C6326+B6327</f>
        <v/>
      </c>
      <c r="D6327">
        <f>IF(B6327=1,INDEX('Data Entry'!$H$5:$BE$10004,6327-4,'Visual SPC'!$B$3),"")</f>
        <v/>
      </c>
      <c r="E6327">
        <f>IF(B6327=1,D6327,E6326)</f>
        <v/>
      </c>
      <c r="F6327">
        <f>IF(AND(B6327=1,C6327&gt;1,E6326&lt;&gt;""),ABS(D6327-E6326),"")</f>
        <v/>
      </c>
    </row>
    <row r="6328">
      <c r="A6328" t="n">
        <v>6328</v>
      </c>
      <c r="B6328">
        <f>IF(INDEX('Data Entry'!$H$5:$BE$10004,6328-4,'Visual SPC'!$B$3)="",0,IF(AND(OR('Visual SPC'!$C$4="",'Data Entry'!$C6328&gt;='Visual SPC'!$C$4),OR('Visual SPC'!$E$4="",'Data Entry'!$C6328&lt;='Visual SPC'!$E$4),OR('Visual SPC'!$G$4="",'Data Entry'!$D6328='Visual SPC'!$G$4),OR('Visual SPC'!$I$4="",'Data Entry'!$E6328='Visual SPC'!$I$4),OR('Visual SPC'!$K$4="",'Data Entry'!$F6328='Visual SPC'!$K$4)),1,0))</f>
        <v/>
      </c>
      <c r="C6328">
        <f>C6327+B6328</f>
        <v/>
      </c>
      <c r="D6328">
        <f>IF(B6328=1,INDEX('Data Entry'!$H$5:$BE$10004,6328-4,'Visual SPC'!$B$3),"")</f>
        <v/>
      </c>
      <c r="E6328">
        <f>IF(B6328=1,D6328,E6327)</f>
        <v/>
      </c>
      <c r="F6328">
        <f>IF(AND(B6328=1,C6328&gt;1,E6327&lt;&gt;""),ABS(D6328-E6327),"")</f>
        <v/>
      </c>
    </row>
    <row r="6329">
      <c r="A6329" t="n">
        <v>6329</v>
      </c>
      <c r="B6329">
        <f>IF(INDEX('Data Entry'!$H$5:$BE$10004,6329-4,'Visual SPC'!$B$3)="",0,IF(AND(OR('Visual SPC'!$C$4="",'Data Entry'!$C6329&gt;='Visual SPC'!$C$4),OR('Visual SPC'!$E$4="",'Data Entry'!$C6329&lt;='Visual SPC'!$E$4),OR('Visual SPC'!$G$4="",'Data Entry'!$D6329='Visual SPC'!$G$4),OR('Visual SPC'!$I$4="",'Data Entry'!$E6329='Visual SPC'!$I$4),OR('Visual SPC'!$K$4="",'Data Entry'!$F6329='Visual SPC'!$K$4)),1,0))</f>
        <v/>
      </c>
      <c r="C6329">
        <f>C6328+B6329</f>
        <v/>
      </c>
      <c r="D6329">
        <f>IF(B6329=1,INDEX('Data Entry'!$H$5:$BE$10004,6329-4,'Visual SPC'!$B$3),"")</f>
        <v/>
      </c>
      <c r="E6329">
        <f>IF(B6329=1,D6329,E6328)</f>
        <v/>
      </c>
      <c r="F6329">
        <f>IF(AND(B6329=1,C6329&gt;1,E6328&lt;&gt;""),ABS(D6329-E6328),"")</f>
        <v/>
      </c>
    </row>
    <row r="6330">
      <c r="A6330" t="n">
        <v>6330</v>
      </c>
      <c r="B6330">
        <f>IF(INDEX('Data Entry'!$H$5:$BE$10004,6330-4,'Visual SPC'!$B$3)="",0,IF(AND(OR('Visual SPC'!$C$4="",'Data Entry'!$C6330&gt;='Visual SPC'!$C$4),OR('Visual SPC'!$E$4="",'Data Entry'!$C6330&lt;='Visual SPC'!$E$4),OR('Visual SPC'!$G$4="",'Data Entry'!$D6330='Visual SPC'!$G$4),OR('Visual SPC'!$I$4="",'Data Entry'!$E6330='Visual SPC'!$I$4),OR('Visual SPC'!$K$4="",'Data Entry'!$F6330='Visual SPC'!$K$4)),1,0))</f>
        <v/>
      </c>
      <c r="C6330">
        <f>C6329+B6330</f>
        <v/>
      </c>
      <c r="D6330">
        <f>IF(B6330=1,INDEX('Data Entry'!$H$5:$BE$10004,6330-4,'Visual SPC'!$B$3),"")</f>
        <v/>
      </c>
      <c r="E6330">
        <f>IF(B6330=1,D6330,E6329)</f>
        <v/>
      </c>
      <c r="F6330">
        <f>IF(AND(B6330=1,C6330&gt;1,E6329&lt;&gt;""),ABS(D6330-E6329),"")</f>
        <v/>
      </c>
    </row>
    <row r="6331">
      <c r="A6331" t="n">
        <v>6331</v>
      </c>
      <c r="B6331">
        <f>IF(INDEX('Data Entry'!$H$5:$BE$10004,6331-4,'Visual SPC'!$B$3)="",0,IF(AND(OR('Visual SPC'!$C$4="",'Data Entry'!$C6331&gt;='Visual SPC'!$C$4),OR('Visual SPC'!$E$4="",'Data Entry'!$C6331&lt;='Visual SPC'!$E$4),OR('Visual SPC'!$G$4="",'Data Entry'!$D6331='Visual SPC'!$G$4),OR('Visual SPC'!$I$4="",'Data Entry'!$E6331='Visual SPC'!$I$4),OR('Visual SPC'!$K$4="",'Data Entry'!$F6331='Visual SPC'!$K$4)),1,0))</f>
        <v/>
      </c>
      <c r="C6331">
        <f>C6330+B6331</f>
        <v/>
      </c>
      <c r="D6331">
        <f>IF(B6331=1,INDEX('Data Entry'!$H$5:$BE$10004,6331-4,'Visual SPC'!$B$3),"")</f>
        <v/>
      </c>
      <c r="E6331">
        <f>IF(B6331=1,D6331,E6330)</f>
        <v/>
      </c>
      <c r="F6331">
        <f>IF(AND(B6331=1,C6331&gt;1,E6330&lt;&gt;""),ABS(D6331-E6330),"")</f>
        <v/>
      </c>
    </row>
    <row r="6332">
      <c r="A6332" t="n">
        <v>6332</v>
      </c>
      <c r="B6332">
        <f>IF(INDEX('Data Entry'!$H$5:$BE$10004,6332-4,'Visual SPC'!$B$3)="",0,IF(AND(OR('Visual SPC'!$C$4="",'Data Entry'!$C6332&gt;='Visual SPC'!$C$4),OR('Visual SPC'!$E$4="",'Data Entry'!$C6332&lt;='Visual SPC'!$E$4),OR('Visual SPC'!$G$4="",'Data Entry'!$D6332='Visual SPC'!$G$4),OR('Visual SPC'!$I$4="",'Data Entry'!$E6332='Visual SPC'!$I$4),OR('Visual SPC'!$K$4="",'Data Entry'!$F6332='Visual SPC'!$K$4)),1,0))</f>
        <v/>
      </c>
      <c r="C6332">
        <f>C6331+B6332</f>
        <v/>
      </c>
      <c r="D6332">
        <f>IF(B6332=1,INDEX('Data Entry'!$H$5:$BE$10004,6332-4,'Visual SPC'!$B$3),"")</f>
        <v/>
      </c>
      <c r="E6332">
        <f>IF(B6332=1,D6332,E6331)</f>
        <v/>
      </c>
      <c r="F6332">
        <f>IF(AND(B6332=1,C6332&gt;1,E6331&lt;&gt;""),ABS(D6332-E6331),"")</f>
        <v/>
      </c>
    </row>
    <row r="6333">
      <c r="A6333" t="n">
        <v>6333</v>
      </c>
      <c r="B6333">
        <f>IF(INDEX('Data Entry'!$H$5:$BE$10004,6333-4,'Visual SPC'!$B$3)="",0,IF(AND(OR('Visual SPC'!$C$4="",'Data Entry'!$C6333&gt;='Visual SPC'!$C$4),OR('Visual SPC'!$E$4="",'Data Entry'!$C6333&lt;='Visual SPC'!$E$4),OR('Visual SPC'!$G$4="",'Data Entry'!$D6333='Visual SPC'!$G$4),OR('Visual SPC'!$I$4="",'Data Entry'!$E6333='Visual SPC'!$I$4),OR('Visual SPC'!$K$4="",'Data Entry'!$F6333='Visual SPC'!$K$4)),1,0))</f>
        <v/>
      </c>
      <c r="C6333">
        <f>C6332+B6333</f>
        <v/>
      </c>
      <c r="D6333">
        <f>IF(B6333=1,INDEX('Data Entry'!$H$5:$BE$10004,6333-4,'Visual SPC'!$B$3),"")</f>
        <v/>
      </c>
      <c r="E6333">
        <f>IF(B6333=1,D6333,E6332)</f>
        <v/>
      </c>
      <c r="F6333">
        <f>IF(AND(B6333=1,C6333&gt;1,E6332&lt;&gt;""),ABS(D6333-E6332),"")</f>
        <v/>
      </c>
    </row>
    <row r="6334">
      <c r="A6334" t="n">
        <v>6334</v>
      </c>
      <c r="B6334">
        <f>IF(INDEX('Data Entry'!$H$5:$BE$10004,6334-4,'Visual SPC'!$B$3)="",0,IF(AND(OR('Visual SPC'!$C$4="",'Data Entry'!$C6334&gt;='Visual SPC'!$C$4),OR('Visual SPC'!$E$4="",'Data Entry'!$C6334&lt;='Visual SPC'!$E$4),OR('Visual SPC'!$G$4="",'Data Entry'!$D6334='Visual SPC'!$G$4),OR('Visual SPC'!$I$4="",'Data Entry'!$E6334='Visual SPC'!$I$4),OR('Visual SPC'!$K$4="",'Data Entry'!$F6334='Visual SPC'!$K$4)),1,0))</f>
        <v/>
      </c>
      <c r="C6334">
        <f>C6333+B6334</f>
        <v/>
      </c>
      <c r="D6334">
        <f>IF(B6334=1,INDEX('Data Entry'!$H$5:$BE$10004,6334-4,'Visual SPC'!$B$3),"")</f>
        <v/>
      </c>
      <c r="E6334">
        <f>IF(B6334=1,D6334,E6333)</f>
        <v/>
      </c>
      <c r="F6334">
        <f>IF(AND(B6334=1,C6334&gt;1,E6333&lt;&gt;""),ABS(D6334-E6333),"")</f>
        <v/>
      </c>
    </row>
    <row r="6335">
      <c r="A6335" t="n">
        <v>6335</v>
      </c>
      <c r="B6335">
        <f>IF(INDEX('Data Entry'!$H$5:$BE$10004,6335-4,'Visual SPC'!$B$3)="",0,IF(AND(OR('Visual SPC'!$C$4="",'Data Entry'!$C6335&gt;='Visual SPC'!$C$4),OR('Visual SPC'!$E$4="",'Data Entry'!$C6335&lt;='Visual SPC'!$E$4),OR('Visual SPC'!$G$4="",'Data Entry'!$D6335='Visual SPC'!$G$4),OR('Visual SPC'!$I$4="",'Data Entry'!$E6335='Visual SPC'!$I$4),OR('Visual SPC'!$K$4="",'Data Entry'!$F6335='Visual SPC'!$K$4)),1,0))</f>
        <v/>
      </c>
      <c r="C6335">
        <f>C6334+B6335</f>
        <v/>
      </c>
      <c r="D6335">
        <f>IF(B6335=1,INDEX('Data Entry'!$H$5:$BE$10004,6335-4,'Visual SPC'!$B$3),"")</f>
        <v/>
      </c>
      <c r="E6335">
        <f>IF(B6335=1,D6335,E6334)</f>
        <v/>
      </c>
      <c r="F6335">
        <f>IF(AND(B6335=1,C6335&gt;1,E6334&lt;&gt;""),ABS(D6335-E6334),"")</f>
        <v/>
      </c>
    </row>
    <row r="6336">
      <c r="A6336" t="n">
        <v>6336</v>
      </c>
      <c r="B6336">
        <f>IF(INDEX('Data Entry'!$H$5:$BE$10004,6336-4,'Visual SPC'!$B$3)="",0,IF(AND(OR('Visual SPC'!$C$4="",'Data Entry'!$C6336&gt;='Visual SPC'!$C$4),OR('Visual SPC'!$E$4="",'Data Entry'!$C6336&lt;='Visual SPC'!$E$4),OR('Visual SPC'!$G$4="",'Data Entry'!$D6336='Visual SPC'!$G$4),OR('Visual SPC'!$I$4="",'Data Entry'!$E6336='Visual SPC'!$I$4),OR('Visual SPC'!$K$4="",'Data Entry'!$F6336='Visual SPC'!$K$4)),1,0))</f>
        <v/>
      </c>
      <c r="C6336">
        <f>C6335+B6336</f>
        <v/>
      </c>
      <c r="D6336">
        <f>IF(B6336=1,INDEX('Data Entry'!$H$5:$BE$10004,6336-4,'Visual SPC'!$B$3),"")</f>
        <v/>
      </c>
      <c r="E6336">
        <f>IF(B6336=1,D6336,E6335)</f>
        <v/>
      </c>
      <c r="F6336">
        <f>IF(AND(B6336=1,C6336&gt;1,E6335&lt;&gt;""),ABS(D6336-E6335),"")</f>
        <v/>
      </c>
    </row>
    <row r="6337">
      <c r="A6337" t="n">
        <v>6337</v>
      </c>
      <c r="B6337">
        <f>IF(INDEX('Data Entry'!$H$5:$BE$10004,6337-4,'Visual SPC'!$B$3)="",0,IF(AND(OR('Visual SPC'!$C$4="",'Data Entry'!$C6337&gt;='Visual SPC'!$C$4),OR('Visual SPC'!$E$4="",'Data Entry'!$C6337&lt;='Visual SPC'!$E$4),OR('Visual SPC'!$G$4="",'Data Entry'!$D6337='Visual SPC'!$G$4),OR('Visual SPC'!$I$4="",'Data Entry'!$E6337='Visual SPC'!$I$4),OR('Visual SPC'!$K$4="",'Data Entry'!$F6337='Visual SPC'!$K$4)),1,0))</f>
        <v/>
      </c>
      <c r="C6337">
        <f>C6336+B6337</f>
        <v/>
      </c>
      <c r="D6337">
        <f>IF(B6337=1,INDEX('Data Entry'!$H$5:$BE$10004,6337-4,'Visual SPC'!$B$3),"")</f>
        <v/>
      </c>
      <c r="E6337">
        <f>IF(B6337=1,D6337,E6336)</f>
        <v/>
      </c>
      <c r="F6337">
        <f>IF(AND(B6337=1,C6337&gt;1,E6336&lt;&gt;""),ABS(D6337-E6336),"")</f>
        <v/>
      </c>
    </row>
    <row r="6338">
      <c r="A6338" t="n">
        <v>6338</v>
      </c>
      <c r="B6338">
        <f>IF(INDEX('Data Entry'!$H$5:$BE$10004,6338-4,'Visual SPC'!$B$3)="",0,IF(AND(OR('Visual SPC'!$C$4="",'Data Entry'!$C6338&gt;='Visual SPC'!$C$4),OR('Visual SPC'!$E$4="",'Data Entry'!$C6338&lt;='Visual SPC'!$E$4),OR('Visual SPC'!$G$4="",'Data Entry'!$D6338='Visual SPC'!$G$4),OR('Visual SPC'!$I$4="",'Data Entry'!$E6338='Visual SPC'!$I$4),OR('Visual SPC'!$K$4="",'Data Entry'!$F6338='Visual SPC'!$K$4)),1,0))</f>
        <v/>
      </c>
      <c r="C6338">
        <f>C6337+B6338</f>
        <v/>
      </c>
      <c r="D6338">
        <f>IF(B6338=1,INDEX('Data Entry'!$H$5:$BE$10004,6338-4,'Visual SPC'!$B$3),"")</f>
        <v/>
      </c>
      <c r="E6338">
        <f>IF(B6338=1,D6338,E6337)</f>
        <v/>
      </c>
      <c r="F6338">
        <f>IF(AND(B6338=1,C6338&gt;1,E6337&lt;&gt;""),ABS(D6338-E6337),"")</f>
        <v/>
      </c>
    </row>
    <row r="6339">
      <c r="A6339" t="n">
        <v>6339</v>
      </c>
      <c r="B6339">
        <f>IF(INDEX('Data Entry'!$H$5:$BE$10004,6339-4,'Visual SPC'!$B$3)="",0,IF(AND(OR('Visual SPC'!$C$4="",'Data Entry'!$C6339&gt;='Visual SPC'!$C$4),OR('Visual SPC'!$E$4="",'Data Entry'!$C6339&lt;='Visual SPC'!$E$4),OR('Visual SPC'!$G$4="",'Data Entry'!$D6339='Visual SPC'!$G$4),OR('Visual SPC'!$I$4="",'Data Entry'!$E6339='Visual SPC'!$I$4),OR('Visual SPC'!$K$4="",'Data Entry'!$F6339='Visual SPC'!$K$4)),1,0))</f>
        <v/>
      </c>
      <c r="C6339">
        <f>C6338+B6339</f>
        <v/>
      </c>
      <c r="D6339">
        <f>IF(B6339=1,INDEX('Data Entry'!$H$5:$BE$10004,6339-4,'Visual SPC'!$B$3),"")</f>
        <v/>
      </c>
      <c r="E6339">
        <f>IF(B6339=1,D6339,E6338)</f>
        <v/>
      </c>
      <c r="F6339">
        <f>IF(AND(B6339=1,C6339&gt;1,E6338&lt;&gt;""),ABS(D6339-E6338),"")</f>
        <v/>
      </c>
    </row>
    <row r="6340">
      <c r="A6340" t="n">
        <v>6340</v>
      </c>
      <c r="B6340">
        <f>IF(INDEX('Data Entry'!$H$5:$BE$10004,6340-4,'Visual SPC'!$B$3)="",0,IF(AND(OR('Visual SPC'!$C$4="",'Data Entry'!$C6340&gt;='Visual SPC'!$C$4),OR('Visual SPC'!$E$4="",'Data Entry'!$C6340&lt;='Visual SPC'!$E$4),OR('Visual SPC'!$G$4="",'Data Entry'!$D6340='Visual SPC'!$G$4),OR('Visual SPC'!$I$4="",'Data Entry'!$E6340='Visual SPC'!$I$4),OR('Visual SPC'!$K$4="",'Data Entry'!$F6340='Visual SPC'!$K$4)),1,0))</f>
        <v/>
      </c>
      <c r="C6340">
        <f>C6339+B6340</f>
        <v/>
      </c>
      <c r="D6340">
        <f>IF(B6340=1,INDEX('Data Entry'!$H$5:$BE$10004,6340-4,'Visual SPC'!$B$3),"")</f>
        <v/>
      </c>
      <c r="E6340">
        <f>IF(B6340=1,D6340,E6339)</f>
        <v/>
      </c>
      <c r="F6340">
        <f>IF(AND(B6340=1,C6340&gt;1,E6339&lt;&gt;""),ABS(D6340-E6339),"")</f>
        <v/>
      </c>
    </row>
    <row r="6341">
      <c r="A6341" t="n">
        <v>6341</v>
      </c>
      <c r="B6341">
        <f>IF(INDEX('Data Entry'!$H$5:$BE$10004,6341-4,'Visual SPC'!$B$3)="",0,IF(AND(OR('Visual SPC'!$C$4="",'Data Entry'!$C6341&gt;='Visual SPC'!$C$4),OR('Visual SPC'!$E$4="",'Data Entry'!$C6341&lt;='Visual SPC'!$E$4),OR('Visual SPC'!$G$4="",'Data Entry'!$D6341='Visual SPC'!$G$4),OR('Visual SPC'!$I$4="",'Data Entry'!$E6341='Visual SPC'!$I$4),OR('Visual SPC'!$K$4="",'Data Entry'!$F6341='Visual SPC'!$K$4)),1,0))</f>
        <v/>
      </c>
      <c r="C6341">
        <f>C6340+B6341</f>
        <v/>
      </c>
      <c r="D6341">
        <f>IF(B6341=1,INDEX('Data Entry'!$H$5:$BE$10004,6341-4,'Visual SPC'!$B$3),"")</f>
        <v/>
      </c>
      <c r="E6341">
        <f>IF(B6341=1,D6341,E6340)</f>
        <v/>
      </c>
      <c r="F6341">
        <f>IF(AND(B6341=1,C6341&gt;1,E6340&lt;&gt;""),ABS(D6341-E6340),"")</f>
        <v/>
      </c>
    </row>
    <row r="6342">
      <c r="A6342" t="n">
        <v>6342</v>
      </c>
      <c r="B6342">
        <f>IF(INDEX('Data Entry'!$H$5:$BE$10004,6342-4,'Visual SPC'!$B$3)="",0,IF(AND(OR('Visual SPC'!$C$4="",'Data Entry'!$C6342&gt;='Visual SPC'!$C$4),OR('Visual SPC'!$E$4="",'Data Entry'!$C6342&lt;='Visual SPC'!$E$4),OR('Visual SPC'!$G$4="",'Data Entry'!$D6342='Visual SPC'!$G$4),OR('Visual SPC'!$I$4="",'Data Entry'!$E6342='Visual SPC'!$I$4),OR('Visual SPC'!$K$4="",'Data Entry'!$F6342='Visual SPC'!$K$4)),1,0))</f>
        <v/>
      </c>
      <c r="C6342">
        <f>C6341+B6342</f>
        <v/>
      </c>
      <c r="D6342">
        <f>IF(B6342=1,INDEX('Data Entry'!$H$5:$BE$10004,6342-4,'Visual SPC'!$B$3),"")</f>
        <v/>
      </c>
      <c r="E6342">
        <f>IF(B6342=1,D6342,E6341)</f>
        <v/>
      </c>
      <c r="F6342">
        <f>IF(AND(B6342=1,C6342&gt;1,E6341&lt;&gt;""),ABS(D6342-E6341),"")</f>
        <v/>
      </c>
    </row>
    <row r="6343">
      <c r="A6343" t="n">
        <v>6343</v>
      </c>
      <c r="B6343">
        <f>IF(INDEX('Data Entry'!$H$5:$BE$10004,6343-4,'Visual SPC'!$B$3)="",0,IF(AND(OR('Visual SPC'!$C$4="",'Data Entry'!$C6343&gt;='Visual SPC'!$C$4),OR('Visual SPC'!$E$4="",'Data Entry'!$C6343&lt;='Visual SPC'!$E$4),OR('Visual SPC'!$G$4="",'Data Entry'!$D6343='Visual SPC'!$G$4),OR('Visual SPC'!$I$4="",'Data Entry'!$E6343='Visual SPC'!$I$4),OR('Visual SPC'!$K$4="",'Data Entry'!$F6343='Visual SPC'!$K$4)),1,0))</f>
        <v/>
      </c>
      <c r="C6343">
        <f>C6342+B6343</f>
        <v/>
      </c>
      <c r="D6343">
        <f>IF(B6343=1,INDEX('Data Entry'!$H$5:$BE$10004,6343-4,'Visual SPC'!$B$3),"")</f>
        <v/>
      </c>
      <c r="E6343">
        <f>IF(B6343=1,D6343,E6342)</f>
        <v/>
      </c>
      <c r="F6343">
        <f>IF(AND(B6343=1,C6343&gt;1,E6342&lt;&gt;""),ABS(D6343-E6342),"")</f>
        <v/>
      </c>
    </row>
    <row r="6344">
      <c r="A6344" t="n">
        <v>6344</v>
      </c>
      <c r="B6344">
        <f>IF(INDEX('Data Entry'!$H$5:$BE$10004,6344-4,'Visual SPC'!$B$3)="",0,IF(AND(OR('Visual SPC'!$C$4="",'Data Entry'!$C6344&gt;='Visual SPC'!$C$4),OR('Visual SPC'!$E$4="",'Data Entry'!$C6344&lt;='Visual SPC'!$E$4),OR('Visual SPC'!$G$4="",'Data Entry'!$D6344='Visual SPC'!$G$4),OR('Visual SPC'!$I$4="",'Data Entry'!$E6344='Visual SPC'!$I$4),OR('Visual SPC'!$K$4="",'Data Entry'!$F6344='Visual SPC'!$K$4)),1,0))</f>
        <v/>
      </c>
      <c r="C6344">
        <f>C6343+B6344</f>
        <v/>
      </c>
      <c r="D6344">
        <f>IF(B6344=1,INDEX('Data Entry'!$H$5:$BE$10004,6344-4,'Visual SPC'!$B$3),"")</f>
        <v/>
      </c>
      <c r="E6344">
        <f>IF(B6344=1,D6344,E6343)</f>
        <v/>
      </c>
      <c r="F6344">
        <f>IF(AND(B6344=1,C6344&gt;1,E6343&lt;&gt;""),ABS(D6344-E6343),"")</f>
        <v/>
      </c>
    </row>
    <row r="6345">
      <c r="A6345" t="n">
        <v>6345</v>
      </c>
      <c r="B6345">
        <f>IF(INDEX('Data Entry'!$H$5:$BE$10004,6345-4,'Visual SPC'!$B$3)="",0,IF(AND(OR('Visual SPC'!$C$4="",'Data Entry'!$C6345&gt;='Visual SPC'!$C$4),OR('Visual SPC'!$E$4="",'Data Entry'!$C6345&lt;='Visual SPC'!$E$4),OR('Visual SPC'!$G$4="",'Data Entry'!$D6345='Visual SPC'!$G$4),OR('Visual SPC'!$I$4="",'Data Entry'!$E6345='Visual SPC'!$I$4),OR('Visual SPC'!$K$4="",'Data Entry'!$F6345='Visual SPC'!$K$4)),1,0))</f>
        <v/>
      </c>
      <c r="C6345">
        <f>C6344+B6345</f>
        <v/>
      </c>
      <c r="D6345">
        <f>IF(B6345=1,INDEX('Data Entry'!$H$5:$BE$10004,6345-4,'Visual SPC'!$B$3),"")</f>
        <v/>
      </c>
      <c r="E6345">
        <f>IF(B6345=1,D6345,E6344)</f>
        <v/>
      </c>
      <c r="F6345">
        <f>IF(AND(B6345=1,C6345&gt;1,E6344&lt;&gt;""),ABS(D6345-E6344),"")</f>
        <v/>
      </c>
    </row>
    <row r="6346">
      <c r="A6346" t="n">
        <v>6346</v>
      </c>
      <c r="B6346">
        <f>IF(INDEX('Data Entry'!$H$5:$BE$10004,6346-4,'Visual SPC'!$B$3)="",0,IF(AND(OR('Visual SPC'!$C$4="",'Data Entry'!$C6346&gt;='Visual SPC'!$C$4),OR('Visual SPC'!$E$4="",'Data Entry'!$C6346&lt;='Visual SPC'!$E$4),OR('Visual SPC'!$G$4="",'Data Entry'!$D6346='Visual SPC'!$G$4),OR('Visual SPC'!$I$4="",'Data Entry'!$E6346='Visual SPC'!$I$4),OR('Visual SPC'!$K$4="",'Data Entry'!$F6346='Visual SPC'!$K$4)),1,0))</f>
        <v/>
      </c>
      <c r="C6346">
        <f>C6345+B6346</f>
        <v/>
      </c>
      <c r="D6346">
        <f>IF(B6346=1,INDEX('Data Entry'!$H$5:$BE$10004,6346-4,'Visual SPC'!$B$3),"")</f>
        <v/>
      </c>
      <c r="E6346">
        <f>IF(B6346=1,D6346,E6345)</f>
        <v/>
      </c>
      <c r="F6346">
        <f>IF(AND(B6346=1,C6346&gt;1,E6345&lt;&gt;""),ABS(D6346-E6345),"")</f>
        <v/>
      </c>
    </row>
    <row r="6347">
      <c r="A6347" t="n">
        <v>6347</v>
      </c>
      <c r="B6347">
        <f>IF(INDEX('Data Entry'!$H$5:$BE$10004,6347-4,'Visual SPC'!$B$3)="",0,IF(AND(OR('Visual SPC'!$C$4="",'Data Entry'!$C6347&gt;='Visual SPC'!$C$4),OR('Visual SPC'!$E$4="",'Data Entry'!$C6347&lt;='Visual SPC'!$E$4),OR('Visual SPC'!$G$4="",'Data Entry'!$D6347='Visual SPC'!$G$4),OR('Visual SPC'!$I$4="",'Data Entry'!$E6347='Visual SPC'!$I$4),OR('Visual SPC'!$K$4="",'Data Entry'!$F6347='Visual SPC'!$K$4)),1,0))</f>
        <v/>
      </c>
      <c r="C6347">
        <f>C6346+B6347</f>
        <v/>
      </c>
      <c r="D6347">
        <f>IF(B6347=1,INDEX('Data Entry'!$H$5:$BE$10004,6347-4,'Visual SPC'!$B$3),"")</f>
        <v/>
      </c>
      <c r="E6347">
        <f>IF(B6347=1,D6347,E6346)</f>
        <v/>
      </c>
      <c r="F6347">
        <f>IF(AND(B6347=1,C6347&gt;1,E6346&lt;&gt;""),ABS(D6347-E6346),"")</f>
        <v/>
      </c>
    </row>
    <row r="6348">
      <c r="A6348" t="n">
        <v>6348</v>
      </c>
      <c r="B6348">
        <f>IF(INDEX('Data Entry'!$H$5:$BE$10004,6348-4,'Visual SPC'!$B$3)="",0,IF(AND(OR('Visual SPC'!$C$4="",'Data Entry'!$C6348&gt;='Visual SPC'!$C$4),OR('Visual SPC'!$E$4="",'Data Entry'!$C6348&lt;='Visual SPC'!$E$4),OR('Visual SPC'!$G$4="",'Data Entry'!$D6348='Visual SPC'!$G$4),OR('Visual SPC'!$I$4="",'Data Entry'!$E6348='Visual SPC'!$I$4),OR('Visual SPC'!$K$4="",'Data Entry'!$F6348='Visual SPC'!$K$4)),1,0))</f>
        <v/>
      </c>
      <c r="C6348">
        <f>C6347+B6348</f>
        <v/>
      </c>
      <c r="D6348">
        <f>IF(B6348=1,INDEX('Data Entry'!$H$5:$BE$10004,6348-4,'Visual SPC'!$B$3),"")</f>
        <v/>
      </c>
      <c r="E6348">
        <f>IF(B6348=1,D6348,E6347)</f>
        <v/>
      </c>
      <c r="F6348">
        <f>IF(AND(B6348=1,C6348&gt;1,E6347&lt;&gt;""),ABS(D6348-E6347),"")</f>
        <v/>
      </c>
    </row>
    <row r="6349">
      <c r="A6349" t="n">
        <v>6349</v>
      </c>
      <c r="B6349">
        <f>IF(INDEX('Data Entry'!$H$5:$BE$10004,6349-4,'Visual SPC'!$B$3)="",0,IF(AND(OR('Visual SPC'!$C$4="",'Data Entry'!$C6349&gt;='Visual SPC'!$C$4),OR('Visual SPC'!$E$4="",'Data Entry'!$C6349&lt;='Visual SPC'!$E$4),OR('Visual SPC'!$G$4="",'Data Entry'!$D6349='Visual SPC'!$G$4),OR('Visual SPC'!$I$4="",'Data Entry'!$E6349='Visual SPC'!$I$4),OR('Visual SPC'!$K$4="",'Data Entry'!$F6349='Visual SPC'!$K$4)),1,0))</f>
        <v/>
      </c>
      <c r="C6349">
        <f>C6348+B6349</f>
        <v/>
      </c>
      <c r="D6349">
        <f>IF(B6349=1,INDEX('Data Entry'!$H$5:$BE$10004,6349-4,'Visual SPC'!$B$3),"")</f>
        <v/>
      </c>
      <c r="E6349">
        <f>IF(B6349=1,D6349,E6348)</f>
        <v/>
      </c>
      <c r="F6349">
        <f>IF(AND(B6349=1,C6349&gt;1,E6348&lt;&gt;""),ABS(D6349-E6348),"")</f>
        <v/>
      </c>
    </row>
    <row r="6350">
      <c r="A6350" t="n">
        <v>6350</v>
      </c>
      <c r="B6350">
        <f>IF(INDEX('Data Entry'!$H$5:$BE$10004,6350-4,'Visual SPC'!$B$3)="",0,IF(AND(OR('Visual SPC'!$C$4="",'Data Entry'!$C6350&gt;='Visual SPC'!$C$4),OR('Visual SPC'!$E$4="",'Data Entry'!$C6350&lt;='Visual SPC'!$E$4),OR('Visual SPC'!$G$4="",'Data Entry'!$D6350='Visual SPC'!$G$4),OR('Visual SPC'!$I$4="",'Data Entry'!$E6350='Visual SPC'!$I$4),OR('Visual SPC'!$K$4="",'Data Entry'!$F6350='Visual SPC'!$K$4)),1,0))</f>
        <v/>
      </c>
      <c r="C6350">
        <f>C6349+B6350</f>
        <v/>
      </c>
      <c r="D6350">
        <f>IF(B6350=1,INDEX('Data Entry'!$H$5:$BE$10004,6350-4,'Visual SPC'!$B$3),"")</f>
        <v/>
      </c>
      <c r="E6350">
        <f>IF(B6350=1,D6350,E6349)</f>
        <v/>
      </c>
      <c r="F6350">
        <f>IF(AND(B6350=1,C6350&gt;1,E6349&lt;&gt;""),ABS(D6350-E6349),"")</f>
        <v/>
      </c>
    </row>
    <row r="6351">
      <c r="A6351" t="n">
        <v>6351</v>
      </c>
      <c r="B6351">
        <f>IF(INDEX('Data Entry'!$H$5:$BE$10004,6351-4,'Visual SPC'!$B$3)="",0,IF(AND(OR('Visual SPC'!$C$4="",'Data Entry'!$C6351&gt;='Visual SPC'!$C$4),OR('Visual SPC'!$E$4="",'Data Entry'!$C6351&lt;='Visual SPC'!$E$4),OR('Visual SPC'!$G$4="",'Data Entry'!$D6351='Visual SPC'!$G$4),OR('Visual SPC'!$I$4="",'Data Entry'!$E6351='Visual SPC'!$I$4),OR('Visual SPC'!$K$4="",'Data Entry'!$F6351='Visual SPC'!$K$4)),1,0))</f>
        <v/>
      </c>
      <c r="C6351">
        <f>C6350+B6351</f>
        <v/>
      </c>
      <c r="D6351">
        <f>IF(B6351=1,INDEX('Data Entry'!$H$5:$BE$10004,6351-4,'Visual SPC'!$B$3),"")</f>
        <v/>
      </c>
      <c r="E6351">
        <f>IF(B6351=1,D6351,E6350)</f>
        <v/>
      </c>
      <c r="F6351">
        <f>IF(AND(B6351=1,C6351&gt;1,E6350&lt;&gt;""),ABS(D6351-E6350),"")</f>
        <v/>
      </c>
    </row>
    <row r="6352">
      <c r="A6352" t="n">
        <v>6352</v>
      </c>
      <c r="B6352">
        <f>IF(INDEX('Data Entry'!$H$5:$BE$10004,6352-4,'Visual SPC'!$B$3)="",0,IF(AND(OR('Visual SPC'!$C$4="",'Data Entry'!$C6352&gt;='Visual SPC'!$C$4),OR('Visual SPC'!$E$4="",'Data Entry'!$C6352&lt;='Visual SPC'!$E$4),OR('Visual SPC'!$G$4="",'Data Entry'!$D6352='Visual SPC'!$G$4),OR('Visual SPC'!$I$4="",'Data Entry'!$E6352='Visual SPC'!$I$4),OR('Visual SPC'!$K$4="",'Data Entry'!$F6352='Visual SPC'!$K$4)),1,0))</f>
        <v/>
      </c>
      <c r="C6352">
        <f>C6351+B6352</f>
        <v/>
      </c>
      <c r="D6352">
        <f>IF(B6352=1,INDEX('Data Entry'!$H$5:$BE$10004,6352-4,'Visual SPC'!$B$3),"")</f>
        <v/>
      </c>
      <c r="E6352">
        <f>IF(B6352=1,D6352,E6351)</f>
        <v/>
      </c>
      <c r="F6352">
        <f>IF(AND(B6352=1,C6352&gt;1,E6351&lt;&gt;""),ABS(D6352-E6351),"")</f>
        <v/>
      </c>
    </row>
    <row r="6353">
      <c r="A6353" t="n">
        <v>6353</v>
      </c>
      <c r="B6353">
        <f>IF(INDEX('Data Entry'!$H$5:$BE$10004,6353-4,'Visual SPC'!$B$3)="",0,IF(AND(OR('Visual SPC'!$C$4="",'Data Entry'!$C6353&gt;='Visual SPC'!$C$4),OR('Visual SPC'!$E$4="",'Data Entry'!$C6353&lt;='Visual SPC'!$E$4),OR('Visual SPC'!$G$4="",'Data Entry'!$D6353='Visual SPC'!$G$4),OR('Visual SPC'!$I$4="",'Data Entry'!$E6353='Visual SPC'!$I$4),OR('Visual SPC'!$K$4="",'Data Entry'!$F6353='Visual SPC'!$K$4)),1,0))</f>
        <v/>
      </c>
      <c r="C6353">
        <f>C6352+B6353</f>
        <v/>
      </c>
      <c r="D6353">
        <f>IF(B6353=1,INDEX('Data Entry'!$H$5:$BE$10004,6353-4,'Visual SPC'!$B$3),"")</f>
        <v/>
      </c>
      <c r="E6353">
        <f>IF(B6353=1,D6353,E6352)</f>
        <v/>
      </c>
      <c r="F6353">
        <f>IF(AND(B6353=1,C6353&gt;1,E6352&lt;&gt;""),ABS(D6353-E6352),"")</f>
        <v/>
      </c>
    </row>
    <row r="6354">
      <c r="A6354" t="n">
        <v>6354</v>
      </c>
      <c r="B6354">
        <f>IF(INDEX('Data Entry'!$H$5:$BE$10004,6354-4,'Visual SPC'!$B$3)="",0,IF(AND(OR('Visual SPC'!$C$4="",'Data Entry'!$C6354&gt;='Visual SPC'!$C$4),OR('Visual SPC'!$E$4="",'Data Entry'!$C6354&lt;='Visual SPC'!$E$4),OR('Visual SPC'!$G$4="",'Data Entry'!$D6354='Visual SPC'!$G$4),OR('Visual SPC'!$I$4="",'Data Entry'!$E6354='Visual SPC'!$I$4),OR('Visual SPC'!$K$4="",'Data Entry'!$F6354='Visual SPC'!$K$4)),1,0))</f>
        <v/>
      </c>
      <c r="C6354">
        <f>C6353+B6354</f>
        <v/>
      </c>
      <c r="D6354">
        <f>IF(B6354=1,INDEX('Data Entry'!$H$5:$BE$10004,6354-4,'Visual SPC'!$B$3),"")</f>
        <v/>
      </c>
      <c r="E6354">
        <f>IF(B6354=1,D6354,E6353)</f>
        <v/>
      </c>
      <c r="F6354">
        <f>IF(AND(B6354=1,C6354&gt;1,E6353&lt;&gt;""),ABS(D6354-E6353),"")</f>
        <v/>
      </c>
    </row>
    <row r="6355">
      <c r="A6355" t="n">
        <v>6355</v>
      </c>
      <c r="B6355">
        <f>IF(INDEX('Data Entry'!$H$5:$BE$10004,6355-4,'Visual SPC'!$B$3)="",0,IF(AND(OR('Visual SPC'!$C$4="",'Data Entry'!$C6355&gt;='Visual SPC'!$C$4),OR('Visual SPC'!$E$4="",'Data Entry'!$C6355&lt;='Visual SPC'!$E$4),OR('Visual SPC'!$G$4="",'Data Entry'!$D6355='Visual SPC'!$G$4),OR('Visual SPC'!$I$4="",'Data Entry'!$E6355='Visual SPC'!$I$4),OR('Visual SPC'!$K$4="",'Data Entry'!$F6355='Visual SPC'!$K$4)),1,0))</f>
        <v/>
      </c>
      <c r="C6355">
        <f>C6354+B6355</f>
        <v/>
      </c>
      <c r="D6355">
        <f>IF(B6355=1,INDEX('Data Entry'!$H$5:$BE$10004,6355-4,'Visual SPC'!$B$3),"")</f>
        <v/>
      </c>
      <c r="E6355">
        <f>IF(B6355=1,D6355,E6354)</f>
        <v/>
      </c>
      <c r="F6355">
        <f>IF(AND(B6355=1,C6355&gt;1,E6354&lt;&gt;""),ABS(D6355-E6354),"")</f>
        <v/>
      </c>
    </row>
    <row r="6356">
      <c r="A6356" t="n">
        <v>6356</v>
      </c>
      <c r="B6356">
        <f>IF(INDEX('Data Entry'!$H$5:$BE$10004,6356-4,'Visual SPC'!$B$3)="",0,IF(AND(OR('Visual SPC'!$C$4="",'Data Entry'!$C6356&gt;='Visual SPC'!$C$4),OR('Visual SPC'!$E$4="",'Data Entry'!$C6356&lt;='Visual SPC'!$E$4),OR('Visual SPC'!$G$4="",'Data Entry'!$D6356='Visual SPC'!$G$4),OR('Visual SPC'!$I$4="",'Data Entry'!$E6356='Visual SPC'!$I$4),OR('Visual SPC'!$K$4="",'Data Entry'!$F6356='Visual SPC'!$K$4)),1,0))</f>
        <v/>
      </c>
      <c r="C6356">
        <f>C6355+B6356</f>
        <v/>
      </c>
      <c r="D6356">
        <f>IF(B6356=1,INDEX('Data Entry'!$H$5:$BE$10004,6356-4,'Visual SPC'!$B$3),"")</f>
        <v/>
      </c>
      <c r="E6356">
        <f>IF(B6356=1,D6356,E6355)</f>
        <v/>
      </c>
      <c r="F6356">
        <f>IF(AND(B6356=1,C6356&gt;1,E6355&lt;&gt;""),ABS(D6356-E6355),"")</f>
        <v/>
      </c>
    </row>
    <row r="6357">
      <c r="A6357" t="n">
        <v>6357</v>
      </c>
      <c r="B6357">
        <f>IF(INDEX('Data Entry'!$H$5:$BE$10004,6357-4,'Visual SPC'!$B$3)="",0,IF(AND(OR('Visual SPC'!$C$4="",'Data Entry'!$C6357&gt;='Visual SPC'!$C$4),OR('Visual SPC'!$E$4="",'Data Entry'!$C6357&lt;='Visual SPC'!$E$4),OR('Visual SPC'!$G$4="",'Data Entry'!$D6357='Visual SPC'!$G$4),OR('Visual SPC'!$I$4="",'Data Entry'!$E6357='Visual SPC'!$I$4),OR('Visual SPC'!$K$4="",'Data Entry'!$F6357='Visual SPC'!$K$4)),1,0))</f>
        <v/>
      </c>
      <c r="C6357">
        <f>C6356+B6357</f>
        <v/>
      </c>
      <c r="D6357">
        <f>IF(B6357=1,INDEX('Data Entry'!$H$5:$BE$10004,6357-4,'Visual SPC'!$B$3),"")</f>
        <v/>
      </c>
      <c r="E6357">
        <f>IF(B6357=1,D6357,E6356)</f>
        <v/>
      </c>
      <c r="F6357">
        <f>IF(AND(B6357=1,C6357&gt;1,E6356&lt;&gt;""),ABS(D6357-E6356),"")</f>
        <v/>
      </c>
    </row>
    <row r="6358">
      <c r="A6358" t="n">
        <v>6358</v>
      </c>
      <c r="B6358">
        <f>IF(INDEX('Data Entry'!$H$5:$BE$10004,6358-4,'Visual SPC'!$B$3)="",0,IF(AND(OR('Visual SPC'!$C$4="",'Data Entry'!$C6358&gt;='Visual SPC'!$C$4),OR('Visual SPC'!$E$4="",'Data Entry'!$C6358&lt;='Visual SPC'!$E$4),OR('Visual SPC'!$G$4="",'Data Entry'!$D6358='Visual SPC'!$G$4),OR('Visual SPC'!$I$4="",'Data Entry'!$E6358='Visual SPC'!$I$4),OR('Visual SPC'!$K$4="",'Data Entry'!$F6358='Visual SPC'!$K$4)),1,0))</f>
        <v/>
      </c>
      <c r="C6358">
        <f>C6357+B6358</f>
        <v/>
      </c>
      <c r="D6358">
        <f>IF(B6358=1,INDEX('Data Entry'!$H$5:$BE$10004,6358-4,'Visual SPC'!$B$3),"")</f>
        <v/>
      </c>
      <c r="E6358">
        <f>IF(B6358=1,D6358,E6357)</f>
        <v/>
      </c>
      <c r="F6358">
        <f>IF(AND(B6358=1,C6358&gt;1,E6357&lt;&gt;""),ABS(D6358-E6357),"")</f>
        <v/>
      </c>
    </row>
    <row r="6359">
      <c r="A6359" t="n">
        <v>6359</v>
      </c>
      <c r="B6359">
        <f>IF(INDEX('Data Entry'!$H$5:$BE$10004,6359-4,'Visual SPC'!$B$3)="",0,IF(AND(OR('Visual SPC'!$C$4="",'Data Entry'!$C6359&gt;='Visual SPC'!$C$4),OR('Visual SPC'!$E$4="",'Data Entry'!$C6359&lt;='Visual SPC'!$E$4),OR('Visual SPC'!$G$4="",'Data Entry'!$D6359='Visual SPC'!$G$4),OR('Visual SPC'!$I$4="",'Data Entry'!$E6359='Visual SPC'!$I$4),OR('Visual SPC'!$K$4="",'Data Entry'!$F6359='Visual SPC'!$K$4)),1,0))</f>
        <v/>
      </c>
      <c r="C6359">
        <f>C6358+B6359</f>
        <v/>
      </c>
      <c r="D6359">
        <f>IF(B6359=1,INDEX('Data Entry'!$H$5:$BE$10004,6359-4,'Visual SPC'!$B$3),"")</f>
        <v/>
      </c>
      <c r="E6359">
        <f>IF(B6359=1,D6359,E6358)</f>
        <v/>
      </c>
      <c r="F6359">
        <f>IF(AND(B6359=1,C6359&gt;1,E6358&lt;&gt;""),ABS(D6359-E6358),"")</f>
        <v/>
      </c>
    </row>
    <row r="6360">
      <c r="A6360" t="n">
        <v>6360</v>
      </c>
      <c r="B6360">
        <f>IF(INDEX('Data Entry'!$H$5:$BE$10004,6360-4,'Visual SPC'!$B$3)="",0,IF(AND(OR('Visual SPC'!$C$4="",'Data Entry'!$C6360&gt;='Visual SPC'!$C$4),OR('Visual SPC'!$E$4="",'Data Entry'!$C6360&lt;='Visual SPC'!$E$4),OR('Visual SPC'!$G$4="",'Data Entry'!$D6360='Visual SPC'!$G$4),OR('Visual SPC'!$I$4="",'Data Entry'!$E6360='Visual SPC'!$I$4),OR('Visual SPC'!$K$4="",'Data Entry'!$F6360='Visual SPC'!$K$4)),1,0))</f>
        <v/>
      </c>
      <c r="C6360">
        <f>C6359+B6360</f>
        <v/>
      </c>
      <c r="D6360">
        <f>IF(B6360=1,INDEX('Data Entry'!$H$5:$BE$10004,6360-4,'Visual SPC'!$B$3),"")</f>
        <v/>
      </c>
      <c r="E6360">
        <f>IF(B6360=1,D6360,E6359)</f>
        <v/>
      </c>
      <c r="F6360">
        <f>IF(AND(B6360=1,C6360&gt;1,E6359&lt;&gt;""),ABS(D6360-E6359),"")</f>
        <v/>
      </c>
    </row>
    <row r="6361">
      <c r="A6361" t="n">
        <v>6361</v>
      </c>
      <c r="B6361">
        <f>IF(INDEX('Data Entry'!$H$5:$BE$10004,6361-4,'Visual SPC'!$B$3)="",0,IF(AND(OR('Visual SPC'!$C$4="",'Data Entry'!$C6361&gt;='Visual SPC'!$C$4),OR('Visual SPC'!$E$4="",'Data Entry'!$C6361&lt;='Visual SPC'!$E$4),OR('Visual SPC'!$G$4="",'Data Entry'!$D6361='Visual SPC'!$G$4),OR('Visual SPC'!$I$4="",'Data Entry'!$E6361='Visual SPC'!$I$4),OR('Visual SPC'!$K$4="",'Data Entry'!$F6361='Visual SPC'!$K$4)),1,0))</f>
        <v/>
      </c>
      <c r="C6361">
        <f>C6360+B6361</f>
        <v/>
      </c>
      <c r="D6361">
        <f>IF(B6361=1,INDEX('Data Entry'!$H$5:$BE$10004,6361-4,'Visual SPC'!$B$3),"")</f>
        <v/>
      </c>
      <c r="E6361">
        <f>IF(B6361=1,D6361,E6360)</f>
        <v/>
      </c>
      <c r="F6361">
        <f>IF(AND(B6361=1,C6361&gt;1,E6360&lt;&gt;""),ABS(D6361-E6360),"")</f>
        <v/>
      </c>
    </row>
    <row r="6362">
      <c r="A6362" t="n">
        <v>6362</v>
      </c>
      <c r="B6362">
        <f>IF(INDEX('Data Entry'!$H$5:$BE$10004,6362-4,'Visual SPC'!$B$3)="",0,IF(AND(OR('Visual SPC'!$C$4="",'Data Entry'!$C6362&gt;='Visual SPC'!$C$4),OR('Visual SPC'!$E$4="",'Data Entry'!$C6362&lt;='Visual SPC'!$E$4),OR('Visual SPC'!$G$4="",'Data Entry'!$D6362='Visual SPC'!$G$4),OR('Visual SPC'!$I$4="",'Data Entry'!$E6362='Visual SPC'!$I$4),OR('Visual SPC'!$K$4="",'Data Entry'!$F6362='Visual SPC'!$K$4)),1,0))</f>
        <v/>
      </c>
      <c r="C6362">
        <f>C6361+B6362</f>
        <v/>
      </c>
      <c r="D6362">
        <f>IF(B6362=1,INDEX('Data Entry'!$H$5:$BE$10004,6362-4,'Visual SPC'!$B$3),"")</f>
        <v/>
      </c>
      <c r="E6362">
        <f>IF(B6362=1,D6362,E6361)</f>
        <v/>
      </c>
      <c r="F6362">
        <f>IF(AND(B6362=1,C6362&gt;1,E6361&lt;&gt;""),ABS(D6362-E6361),"")</f>
        <v/>
      </c>
    </row>
    <row r="6363">
      <c r="A6363" t="n">
        <v>6363</v>
      </c>
      <c r="B6363">
        <f>IF(INDEX('Data Entry'!$H$5:$BE$10004,6363-4,'Visual SPC'!$B$3)="",0,IF(AND(OR('Visual SPC'!$C$4="",'Data Entry'!$C6363&gt;='Visual SPC'!$C$4),OR('Visual SPC'!$E$4="",'Data Entry'!$C6363&lt;='Visual SPC'!$E$4),OR('Visual SPC'!$G$4="",'Data Entry'!$D6363='Visual SPC'!$G$4),OR('Visual SPC'!$I$4="",'Data Entry'!$E6363='Visual SPC'!$I$4),OR('Visual SPC'!$K$4="",'Data Entry'!$F6363='Visual SPC'!$K$4)),1,0))</f>
        <v/>
      </c>
      <c r="C6363">
        <f>C6362+B6363</f>
        <v/>
      </c>
      <c r="D6363">
        <f>IF(B6363=1,INDEX('Data Entry'!$H$5:$BE$10004,6363-4,'Visual SPC'!$B$3),"")</f>
        <v/>
      </c>
      <c r="E6363">
        <f>IF(B6363=1,D6363,E6362)</f>
        <v/>
      </c>
      <c r="F6363">
        <f>IF(AND(B6363=1,C6363&gt;1,E6362&lt;&gt;""),ABS(D6363-E6362),"")</f>
        <v/>
      </c>
    </row>
    <row r="6364">
      <c r="A6364" t="n">
        <v>6364</v>
      </c>
      <c r="B6364">
        <f>IF(INDEX('Data Entry'!$H$5:$BE$10004,6364-4,'Visual SPC'!$B$3)="",0,IF(AND(OR('Visual SPC'!$C$4="",'Data Entry'!$C6364&gt;='Visual SPC'!$C$4),OR('Visual SPC'!$E$4="",'Data Entry'!$C6364&lt;='Visual SPC'!$E$4),OR('Visual SPC'!$G$4="",'Data Entry'!$D6364='Visual SPC'!$G$4),OR('Visual SPC'!$I$4="",'Data Entry'!$E6364='Visual SPC'!$I$4),OR('Visual SPC'!$K$4="",'Data Entry'!$F6364='Visual SPC'!$K$4)),1,0))</f>
        <v/>
      </c>
      <c r="C6364">
        <f>C6363+B6364</f>
        <v/>
      </c>
      <c r="D6364">
        <f>IF(B6364=1,INDEX('Data Entry'!$H$5:$BE$10004,6364-4,'Visual SPC'!$B$3),"")</f>
        <v/>
      </c>
      <c r="E6364">
        <f>IF(B6364=1,D6364,E6363)</f>
        <v/>
      </c>
      <c r="F6364">
        <f>IF(AND(B6364=1,C6364&gt;1,E6363&lt;&gt;""),ABS(D6364-E6363),"")</f>
        <v/>
      </c>
    </row>
    <row r="6365">
      <c r="A6365" t="n">
        <v>6365</v>
      </c>
      <c r="B6365">
        <f>IF(INDEX('Data Entry'!$H$5:$BE$10004,6365-4,'Visual SPC'!$B$3)="",0,IF(AND(OR('Visual SPC'!$C$4="",'Data Entry'!$C6365&gt;='Visual SPC'!$C$4),OR('Visual SPC'!$E$4="",'Data Entry'!$C6365&lt;='Visual SPC'!$E$4),OR('Visual SPC'!$G$4="",'Data Entry'!$D6365='Visual SPC'!$G$4),OR('Visual SPC'!$I$4="",'Data Entry'!$E6365='Visual SPC'!$I$4),OR('Visual SPC'!$K$4="",'Data Entry'!$F6365='Visual SPC'!$K$4)),1,0))</f>
        <v/>
      </c>
      <c r="C6365">
        <f>C6364+B6365</f>
        <v/>
      </c>
      <c r="D6365">
        <f>IF(B6365=1,INDEX('Data Entry'!$H$5:$BE$10004,6365-4,'Visual SPC'!$B$3),"")</f>
        <v/>
      </c>
      <c r="E6365">
        <f>IF(B6365=1,D6365,E6364)</f>
        <v/>
      </c>
      <c r="F6365">
        <f>IF(AND(B6365=1,C6365&gt;1,E6364&lt;&gt;""),ABS(D6365-E6364),"")</f>
        <v/>
      </c>
    </row>
    <row r="6366">
      <c r="A6366" t="n">
        <v>6366</v>
      </c>
      <c r="B6366">
        <f>IF(INDEX('Data Entry'!$H$5:$BE$10004,6366-4,'Visual SPC'!$B$3)="",0,IF(AND(OR('Visual SPC'!$C$4="",'Data Entry'!$C6366&gt;='Visual SPC'!$C$4),OR('Visual SPC'!$E$4="",'Data Entry'!$C6366&lt;='Visual SPC'!$E$4),OR('Visual SPC'!$G$4="",'Data Entry'!$D6366='Visual SPC'!$G$4),OR('Visual SPC'!$I$4="",'Data Entry'!$E6366='Visual SPC'!$I$4),OR('Visual SPC'!$K$4="",'Data Entry'!$F6366='Visual SPC'!$K$4)),1,0))</f>
        <v/>
      </c>
      <c r="C6366">
        <f>C6365+B6366</f>
        <v/>
      </c>
      <c r="D6366">
        <f>IF(B6366=1,INDEX('Data Entry'!$H$5:$BE$10004,6366-4,'Visual SPC'!$B$3),"")</f>
        <v/>
      </c>
      <c r="E6366">
        <f>IF(B6366=1,D6366,E6365)</f>
        <v/>
      </c>
      <c r="F6366">
        <f>IF(AND(B6366=1,C6366&gt;1,E6365&lt;&gt;""),ABS(D6366-E6365),"")</f>
        <v/>
      </c>
    </row>
    <row r="6367">
      <c r="A6367" t="n">
        <v>6367</v>
      </c>
      <c r="B6367">
        <f>IF(INDEX('Data Entry'!$H$5:$BE$10004,6367-4,'Visual SPC'!$B$3)="",0,IF(AND(OR('Visual SPC'!$C$4="",'Data Entry'!$C6367&gt;='Visual SPC'!$C$4),OR('Visual SPC'!$E$4="",'Data Entry'!$C6367&lt;='Visual SPC'!$E$4),OR('Visual SPC'!$G$4="",'Data Entry'!$D6367='Visual SPC'!$G$4),OR('Visual SPC'!$I$4="",'Data Entry'!$E6367='Visual SPC'!$I$4),OR('Visual SPC'!$K$4="",'Data Entry'!$F6367='Visual SPC'!$K$4)),1,0))</f>
        <v/>
      </c>
      <c r="C6367">
        <f>C6366+B6367</f>
        <v/>
      </c>
      <c r="D6367">
        <f>IF(B6367=1,INDEX('Data Entry'!$H$5:$BE$10004,6367-4,'Visual SPC'!$B$3),"")</f>
        <v/>
      </c>
      <c r="E6367">
        <f>IF(B6367=1,D6367,E6366)</f>
        <v/>
      </c>
      <c r="F6367">
        <f>IF(AND(B6367=1,C6367&gt;1,E6366&lt;&gt;""),ABS(D6367-E6366),"")</f>
        <v/>
      </c>
    </row>
    <row r="6368">
      <c r="A6368" t="n">
        <v>6368</v>
      </c>
      <c r="B6368">
        <f>IF(INDEX('Data Entry'!$H$5:$BE$10004,6368-4,'Visual SPC'!$B$3)="",0,IF(AND(OR('Visual SPC'!$C$4="",'Data Entry'!$C6368&gt;='Visual SPC'!$C$4),OR('Visual SPC'!$E$4="",'Data Entry'!$C6368&lt;='Visual SPC'!$E$4),OR('Visual SPC'!$G$4="",'Data Entry'!$D6368='Visual SPC'!$G$4),OR('Visual SPC'!$I$4="",'Data Entry'!$E6368='Visual SPC'!$I$4),OR('Visual SPC'!$K$4="",'Data Entry'!$F6368='Visual SPC'!$K$4)),1,0))</f>
        <v/>
      </c>
      <c r="C6368">
        <f>C6367+B6368</f>
        <v/>
      </c>
      <c r="D6368">
        <f>IF(B6368=1,INDEX('Data Entry'!$H$5:$BE$10004,6368-4,'Visual SPC'!$B$3),"")</f>
        <v/>
      </c>
      <c r="E6368">
        <f>IF(B6368=1,D6368,E6367)</f>
        <v/>
      </c>
      <c r="F6368">
        <f>IF(AND(B6368=1,C6368&gt;1,E6367&lt;&gt;""),ABS(D6368-E6367),"")</f>
        <v/>
      </c>
    </row>
    <row r="6369">
      <c r="A6369" t="n">
        <v>6369</v>
      </c>
      <c r="B6369">
        <f>IF(INDEX('Data Entry'!$H$5:$BE$10004,6369-4,'Visual SPC'!$B$3)="",0,IF(AND(OR('Visual SPC'!$C$4="",'Data Entry'!$C6369&gt;='Visual SPC'!$C$4),OR('Visual SPC'!$E$4="",'Data Entry'!$C6369&lt;='Visual SPC'!$E$4),OR('Visual SPC'!$G$4="",'Data Entry'!$D6369='Visual SPC'!$G$4),OR('Visual SPC'!$I$4="",'Data Entry'!$E6369='Visual SPC'!$I$4),OR('Visual SPC'!$K$4="",'Data Entry'!$F6369='Visual SPC'!$K$4)),1,0))</f>
        <v/>
      </c>
      <c r="C6369">
        <f>C6368+B6369</f>
        <v/>
      </c>
      <c r="D6369">
        <f>IF(B6369=1,INDEX('Data Entry'!$H$5:$BE$10004,6369-4,'Visual SPC'!$B$3),"")</f>
        <v/>
      </c>
      <c r="E6369">
        <f>IF(B6369=1,D6369,E6368)</f>
        <v/>
      </c>
      <c r="F6369">
        <f>IF(AND(B6369=1,C6369&gt;1,E6368&lt;&gt;""),ABS(D6369-E6368),"")</f>
        <v/>
      </c>
    </row>
    <row r="6370">
      <c r="A6370" t="n">
        <v>6370</v>
      </c>
      <c r="B6370">
        <f>IF(INDEX('Data Entry'!$H$5:$BE$10004,6370-4,'Visual SPC'!$B$3)="",0,IF(AND(OR('Visual SPC'!$C$4="",'Data Entry'!$C6370&gt;='Visual SPC'!$C$4),OR('Visual SPC'!$E$4="",'Data Entry'!$C6370&lt;='Visual SPC'!$E$4),OR('Visual SPC'!$G$4="",'Data Entry'!$D6370='Visual SPC'!$G$4),OR('Visual SPC'!$I$4="",'Data Entry'!$E6370='Visual SPC'!$I$4),OR('Visual SPC'!$K$4="",'Data Entry'!$F6370='Visual SPC'!$K$4)),1,0))</f>
        <v/>
      </c>
      <c r="C6370">
        <f>C6369+B6370</f>
        <v/>
      </c>
      <c r="D6370">
        <f>IF(B6370=1,INDEX('Data Entry'!$H$5:$BE$10004,6370-4,'Visual SPC'!$B$3),"")</f>
        <v/>
      </c>
      <c r="E6370">
        <f>IF(B6370=1,D6370,E6369)</f>
        <v/>
      </c>
      <c r="F6370">
        <f>IF(AND(B6370=1,C6370&gt;1,E6369&lt;&gt;""),ABS(D6370-E6369),"")</f>
        <v/>
      </c>
    </row>
    <row r="6371">
      <c r="A6371" t="n">
        <v>6371</v>
      </c>
      <c r="B6371">
        <f>IF(INDEX('Data Entry'!$H$5:$BE$10004,6371-4,'Visual SPC'!$B$3)="",0,IF(AND(OR('Visual SPC'!$C$4="",'Data Entry'!$C6371&gt;='Visual SPC'!$C$4),OR('Visual SPC'!$E$4="",'Data Entry'!$C6371&lt;='Visual SPC'!$E$4),OR('Visual SPC'!$G$4="",'Data Entry'!$D6371='Visual SPC'!$G$4),OR('Visual SPC'!$I$4="",'Data Entry'!$E6371='Visual SPC'!$I$4),OR('Visual SPC'!$K$4="",'Data Entry'!$F6371='Visual SPC'!$K$4)),1,0))</f>
        <v/>
      </c>
      <c r="C6371">
        <f>C6370+B6371</f>
        <v/>
      </c>
      <c r="D6371">
        <f>IF(B6371=1,INDEX('Data Entry'!$H$5:$BE$10004,6371-4,'Visual SPC'!$B$3),"")</f>
        <v/>
      </c>
      <c r="E6371">
        <f>IF(B6371=1,D6371,E6370)</f>
        <v/>
      </c>
      <c r="F6371">
        <f>IF(AND(B6371=1,C6371&gt;1,E6370&lt;&gt;""),ABS(D6371-E6370),"")</f>
        <v/>
      </c>
    </row>
    <row r="6372">
      <c r="A6372" t="n">
        <v>6372</v>
      </c>
      <c r="B6372">
        <f>IF(INDEX('Data Entry'!$H$5:$BE$10004,6372-4,'Visual SPC'!$B$3)="",0,IF(AND(OR('Visual SPC'!$C$4="",'Data Entry'!$C6372&gt;='Visual SPC'!$C$4),OR('Visual SPC'!$E$4="",'Data Entry'!$C6372&lt;='Visual SPC'!$E$4),OR('Visual SPC'!$G$4="",'Data Entry'!$D6372='Visual SPC'!$G$4),OR('Visual SPC'!$I$4="",'Data Entry'!$E6372='Visual SPC'!$I$4),OR('Visual SPC'!$K$4="",'Data Entry'!$F6372='Visual SPC'!$K$4)),1,0))</f>
        <v/>
      </c>
      <c r="C6372">
        <f>C6371+B6372</f>
        <v/>
      </c>
      <c r="D6372">
        <f>IF(B6372=1,INDEX('Data Entry'!$H$5:$BE$10004,6372-4,'Visual SPC'!$B$3),"")</f>
        <v/>
      </c>
      <c r="E6372">
        <f>IF(B6372=1,D6372,E6371)</f>
        <v/>
      </c>
      <c r="F6372">
        <f>IF(AND(B6372=1,C6372&gt;1,E6371&lt;&gt;""),ABS(D6372-E6371),"")</f>
        <v/>
      </c>
    </row>
    <row r="6373">
      <c r="A6373" t="n">
        <v>6373</v>
      </c>
      <c r="B6373">
        <f>IF(INDEX('Data Entry'!$H$5:$BE$10004,6373-4,'Visual SPC'!$B$3)="",0,IF(AND(OR('Visual SPC'!$C$4="",'Data Entry'!$C6373&gt;='Visual SPC'!$C$4),OR('Visual SPC'!$E$4="",'Data Entry'!$C6373&lt;='Visual SPC'!$E$4),OR('Visual SPC'!$G$4="",'Data Entry'!$D6373='Visual SPC'!$G$4),OR('Visual SPC'!$I$4="",'Data Entry'!$E6373='Visual SPC'!$I$4),OR('Visual SPC'!$K$4="",'Data Entry'!$F6373='Visual SPC'!$K$4)),1,0))</f>
        <v/>
      </c>
      <c r="C6373">
        <f>C6372+B6373</f>
        <v/>
      </c>
      <c r="D6373">
        <f>IF(B6373=1,INDEX('Data Entry'!$H$5:$BE$10004,6373-4,'Visual SPC'!$B$3),"")</f>
        <v/>
      </c>
      <c r="E6373">
        <f>IF(B6373=1,D6373,E6372)</f>
        <v/>
      </c>
      <c r="F6373">
        <f>IF(AND(B6373=1,C6373&gt;1,E6372&lt;&gt;""),ABS(D6373-E6372),"")</f>
        <v/>
      </c>
    </row>
    <row r="6374">
      <c r="A6374" t="n">
        <v>6374</v>
      </c>
      <c r="B6374">
        <f>IF(INDEX('Data Entry'!$H$5:$BE$10004,6374-4,'Visual SPC'!$B$3)="",0,IF(AND(OR('Visual SPC'!$C$4="",'Data Entry'!$C6374&gt;='Visual SPC'!$C$4),OR('Visual SPC'!$E$4="",'Data Entry'!$C6374&lt;='Visual SPC'!$E$4),OR('Visual SPC'!$G$4="",'Data Entry'!$D6374='Visual SPC'!$G$4),OR('Visual SPC'!$I$4="",'Data Entry'!$E6374='Visual SPC'!$I$4),OR('Visual SPC'!$K$4="",'Data Entry'!$F6374='Visual SPC'!$K$4)),1,0))</f>
        <v/>
      </c>
      <c r="C6374">
        <f>C6373+B6374</f>
        <v/>
      </c>
      <c r="D6374">
        <f>IF(B6374=1,INDEX('Data Entry'!$H$5:$BE$10004,6374-4,'Visual SPC'!$B$3),"")</f>
        <v/>
      </c>
      <c r="E6374">
        <f>IF(B6374=1,D6374,E6373)</f>
        <v/>
      </c>
      <c r="F6374">
        <f>IF(AND(B6374=1,C6374&gt;1,E6373&lt;&gt;""),ABS(D6374-E6373),"")</f>
        <v/>
      </c>
    </row>
    <row r="6375">
      <c r="A6375" t="n">
        <v>6375</v>
      </c>
      <c r="B6375">
        <f>IF(INDEX('Data Entry'!$H$5:$BE$10004,6375-4,'Visual SPC'!$B$3)="",0,IF(AND(OR('Visual SPC'!$C$4="",'Data Entry'!$C6375&gt;='Visual SPC'!$C$4),OR('Visual SPC'!$E$4="",'Data Entry'!$C6375&lt;='Visual SPC'!$E$4),OR('Visual SPC'!$G$4="",'Data Entry'!$D6375='Visual SPC'!$G$4),OR('Visual SPC'!$I$4="",'Data Entry'!$E6375='Visual SPC'!$I$4),OR('Visual SPC'!$K$4="",'Data Entry'!$F6375='Visual SPC'!$K$4)),1,0))</f>
        <v/>
      </c>
      <c r="C6375">
        <f>C6374+B6375</f>
        <v/>
      </c>
      <c r="D6375">
        <f>IF(B6375=1,INDEX('Data Entry'!$H$5:$BE$10004,6375-4,'Visual SPC'!$B$3),"")</f>
        <v/>
      </c>
      <c r="E6375">
        <f>IF(B6375=1,D6375,E6374)</f>
        <v/>
      </c>
      <c r="F6375">
        <f>IF(AND(B6375=1,C6375&gt;1,E6374&lt;&gt;""),ABS(D6375-E6374),"")</f>
        <v/>
      </c>
    </row>
    <row r="6376">
      <c r="A6376" t="n">
        <v>6376</v>
      </c>
      <c r="B6376">
        <f>IF(INDEX('Data Entry'!$H$5:$BE$10004,6376-4,'Visual SPC'!$B$3)="",0,IF(AND(OR('Visual SPC'!$C$4="",'Data Entry'!$C6376&gt;='Visual SPC'!$C$4),OR('Visual SPC'!$E$4="",'Data Entry'!$C6376&lt;='Visual SPC'!$E$4),OR('Visual SPC'!$G$4="",'Data Entry'!$D6376='Visual SPC'!$G$4),OR('Visual SPC'!$I$4="",'Data Entry'!$E6376='Visual SPC'!$I$4),OR('Visual SPC'!$K$4="",'Data Entry'!$F6376='Visual SPC'!$K$4)),1,0))</f>
        <v/>
      </c>
      <c r="C6376">
        <f>C6375+B6376</f>
        <v/>
      </c>
      <c r="D6376">
        <f>IF(B6376=1,INDEX('Data Entry'!$H$5:$BE$10004,6376-4,'Visual SPC'!$B$3),"")</f>
        <v/>
      </c>
      <c r="E6376">
        <f>IF(B6376=1,D6376,E6375)</f>
        <v/>
      </c>
      <c r="F6376">
        <f>IF(AND(B6376=1,C6376&gt;1,E6375&lt;&gt;""),ABS(D6376-E6375),"")</f>
        <v/>
      </c>
    </row>
    <row r="6377">
      <c r="A6377" t="n">
        <v>6377</v>
      </c>
      <c r="B6377">
        <f>IF(INDEX('Data Entry'!$H$5:$BE$10004,6377-4,'Visual SPC'!$B$3)="",0,IF(AND(OR('Visual SPC'!$C$4="",'Data Entry'!$C6377&gt;='Visual SPC'!$C$4),OR('Visual SPC'!$E$4="",'Data Entry'!$C6377&lt;='Visual SPC'!$E$4),OR('Visual SPC'!$G$4="",'Data Entry'!$D6377='Visual SPC'!$G$4),OR('Visual SPC'!$I$4="",'Data Entry'!$E6377='Visual SPC'!$I$4),OR('Visual SPC'!$K$4="",'Data Entry'!$F6377='Visual SPC'!$K$4)),1,0))</f>
        <v/>
      </c>
      <c r="C6377">
        <f>C6376+B6377</f>
        <v/>
      </c>
      <c r="D6377">
        <f>IF(B6377=1,INDEX('Data Entry'!$H$5:$BE$10004,6377-4,'Visual SPC'!$B$3),"")</f>
        <v/>
      </c>
      <c r="E6377">
        <f>IF(B6377=1,D6377,E6376)</f>
        <v/>
      </c>
      <c r="F6377">
        <f>IF(AND(B6377=1,C6377&gt;1,E6376&lt;&gt;""),ABS(D6377-E6376),"")</f>
        <v/>
      </c>
    </row>
    <row r="6378">
      <c r="A6378" t="n">
        <v>6378</v>
      </c>
      <c r="B6378">
        <f>IF(INDEX('Data Entry'!$H$5:$BE$10004,6378-4,'Visual SPC'!$B$3)="",0,IF(AND(OR('Visual SPC'!$C$4="",'Data Entry'!$C6378&gt;='Visual SPC'!$C$4),OR('Visual SPC'!$E$4="",'Data Entry'!$C6378&lt;='Visual SPC'!$E$4),OR('Visual SPC'!$G$4="",'Data Entry'!$D6378='Visual SPC'!$G$4),OR('Visual SPC'!$I$4="",'Data Entry'!$E6378='Visual SPC'!$I$4),OR('Visual SPC'!$K$4="",'Data Entry'!$F6378='Visual SPC'!$K$4)),1,0))</f>
        <v/>
      </c>
      <c r="C6378">
        <f>C6377+B6378</f>
        <v/>
      </c>
      <c r="D6378">
        <f>IF(B6378=1,INDEX('Data Entry'!$H$5:$BE$10004,6378-4,'Visual SPC'!$B$3),"")</f>
        <v/>
      </c>
      <c r="E6378">
        <f>IF(B6378=1,D6378,E6377)</f>
        <v/>
      </c>
      <c r="F6378">
        <f>IF(AND(B6378=1,C6378&gt;1,E6377&lt;&gt;""),ABS(D6378-E6377),"")</f>
        <v/>
      </c>
    </row>
    <row r="6379">
      <c r="A6379" t="n">
        <v>6379</v>
      </c>
      <c r="B6379">
        <f>IF(INDEX('Data Entry'!$H$5:$BE$10004,6379-4,'Visual SPC'!$B$3)="",0,IF(AND(OR('Visual SPC'!$C$4="",'Data Entry'!$C6379&gt;='Visual SPC'!$C$4),OR('Visual SPC'!$E$4="",'Data Entry'!$C6379&lt;='Visual SPC'!$E$4),OR('Visual SPC'!$G$4="",'Data Entry'!$D6379='Visual SPC'!$G$4),OR('Visual SPC'!$I$4="",'Data Entry'!$E6379='Visual SPC'!$I$4),OR('Visual SPC'!$K$4="",'Data Entry'!$F6379='Visual SPC'!$K$4)),1,0))</f>
        <v/>
      </c>
      <c r="C6379">
        <f>C6378+B6379</f>
        <v/>
      </c>
      <c r="D6379">
        <f>IF(B6379=1,INDEX('Data Entry'!$H$5:$BE$10004,6379-4,'Visual SPC'!$B$3),"")</f>
        <v/>
      </c>
      <c r="E6379">
        <f>IF(B6379=1,D6379,E6378)</f>
        <v/>
      </c>
      <c r="F6379">
        <f>IF(AND(B6379=1,C6379&gt;1,E6378&lt;&gt;""),ABS(D6379-E6378),"")</f>
        <v/>
      </c>
    </row>
    <row r="6380">
      <c r="A6380" t="n">
        <v>6380</v>
      </c>
      <c r="B6380">
        <f>IF(INDEX('Data Entry'!$H$5:$BE$10004,6380-4,'Visual SPC'!$B$3)="",0,IF(AND(OR('Visual SPC'!$C$4="",'Data Entry'!$C6380&gt;='Visual SPC'!$C$4),OR('Visual SPC'!$E$4="",'Data Entry'!$C6380&lt;='Visual SPC'!$E$4),OR('Visual SPC'!$G$4="",'Data Entry'!$D6380='Visual SPC'!$G$4),OR('Visual SPC'!$I$4="",'Data Entry'!$E6380='Visual SPC'!$I$4),OR('Visual SPC'!$K$4="",'Data Entry'!$F6380='Visual SPC'!$K$4)),1,0))</f>
        <v/>
      </c>
      <c r="C6380">
        <f>C6379+B6380</f>
        <v/>
      </c>
      <c r="D6380">
        <f>IF(B6380=1,INDEX('Data Entry'!$H$5:$BE$10004,6380-4,'Visual SPC'!$B$3),"")</f>
        <v/>
      </c>
      <c r="E6380">
        <f>IF(B6380=1,D6380,E6379)</f>
        <v/>
      </c>
      <c r="F6380">
        <f>IF(AND(B6380=1,C6380&gt;1,E6379&lt;&gt;""),ABS(D6380-E6379),"")</f>
        <v/>
      </c>
    </row>
    <row r="6381">
      <c r="A6381" t="n">
        <v>6381</v>
      </c>
      <c r="B6381">
        <f>IF(INDEX('Data Entry'!$H$5:$BE$10004,6381-4,'Visual SPC'!$B$3)="",0,IF(AND(OR('Visual SPC'!$C$4="",'Data Entry'!$C6381&gt;='Visual SPC'!$C$4),OR('Visual SPC'!$E$4="",'Data Entry'!$C6381&lt;='Visual SPC'!$E$4),OR('Visual SPC'!$G$4="",'Data Entry'!$D6381='Visual SPC'!$G$4),OR('Visual SPC'!$I$4="",'Data Entry'!$E6381='Visual SPC'!$I$4),OR('Visual SPC'!$K$4="",'Data Entry'!$F6381='Visual SPC'!$K$4)),1,0))</f>
        <v/>
      </c>
      <c r="C6381">
        <f>C6380+B6381</f>
        <v/>
      </c>
      <c r="D6381">
        <f>IF(B6381=1,INDEX('Data Entry'!$H$5:$BE$10004,6381-4,'Visual SPC'!$B$3),"")</f>
        <v/>
      </c>
      <c r="E6381">
        <f>IF(B6381=1,D6381,E6380)</f>
        <v/>
      </c>
      <c r="F6381">
        <f>IF(AND(B6381=1,C6381&gt;1,E6380&lt;&gt;""),ABS(D6381-E6380),"")</f>
        <v/>
      </c>
    </row>
    <row r="6382">
      <c r="A6382" t="n">
        <v>6382</v>
      </c>
      <c r="B6382">
        <f>IF(INDEX('Data Entry'!$H$5:$BE$10004,6382-4,'Visual SPC'!$B$3)="",0,IF(AND(OR('Visual SPC'!$C$4="",'Data Entry'!$C6382&gt;='Visual SPC'!$C$4),OR('Visual SPC'!$E$4="",'Data Entry'!$C6382&lt;='Visual SPC'!$E$4),OR('Visual SPC'!$G$4="",'Data Entry'!$D6382='Visual SPC'!$G$4),OR('Visual SPC'!$I$4="",'Data Entry'!$E6382='Visual SPC'!$I$4),OR('Visual SPC'!$K$4="",'Data Entry'!$F6382='Visual SPC'!$K$4)),1,0))</f>
        <v/>
      </c>
      <c r="C6382">
        <f>C6381+B6382</f>
        <v/>
      </c>
      <c r="D6382">
        <f>IF(B6382=1,INDEX('Data Entry'!$H$5:$BE$10004,6382-4,'Visual SPC'!$B$3),"")</f>
        <v/>
      </c>
      <c r="E6382">
        <f>IF(B6382=1,D6382,E6381)</f>
        <v/>
      </c>
      <c r="F6382">
        <f>IF(AND(B6382=1,C6382&gt;1,E6381&lt;&gt;""),ABS(D6382-E6381),"")</f>
        <v/>
      </c>
    </row>
    <row r="6383">
      <c r="A6383" t="n">
        <v>6383</v>
      </c>
      <c r="B6383">
        <f>IF(INDEX('Data Entry'!$H$5:$BE$10004,6383-4,'Visual SPC'!$B$3)="",0,IF(AND(OR('Visual SPC'!$C$4="",'Data Entry'!$C6383&gt;='Visual SPC'!$C$4),OR('Visual SPC'!$E$4="",'Data Entry'!$C6383&lt;='Visual SPC'!$E$4),OR('Visual SPC'!$G$4="",'Data Entry'!$D6383='Visual SPC'!$G$4),OR('Visual SPC'!$I$4="",'Data Entry'!$E6383='Visual SPC'!$I$4),OR('Visual SPC'!$K$4="",'Data Entry'!$F6383='Visual SPC'!$K$4)),1,0))</f>
        <v/>
      </c>
      <c r="C6383">
        <f>C6382+B6383</f>
        <v/>
      </c>
      <c r="D6383">
        <f>IF(B6383=1,INDEX('Data Entry'!$H$5:$BE$10004,6383-4,'Visual SPC'!$B$3),"")</f>
        <v/>
      </c>
      <c r="E6383">
        <f>IF(B6383=1,D6383,E6382)</f>
        <v/>
      </c>
      <c r="F6383">
        <f>IF(AND(B6383=1,C6383&gt;1,E6382&lt;&gt;""),ABS(D6383-E6382),"")</f>
        <v/>
      </c>
    </row>
    <row r="6384">
      <c r="A6384" t="n">
        <v>6384</v>
      </c>
      <c r="B6384">
        <f>IF(INDEX('Data Entry'!$H$5:$BE$10004,6384-4,'Visual SPC'!$B$3)="",0,IF(AND(OR('Visual SPC'!$C$4="",'Data Entry'!$C6384&gt;='Visual SPC'!$C$4),OR('Visual SPC'!$E$4="",'Data Entry'!$C6384&lt;='Visual SPC'!$E$4),OR('Visual SPC'!$G$4="",'Data Entry'!$D6384='Visual SPC'!$G$4),OR('Visual SPC'!$I$4="",'Data Entry'!$E6384='Visual SPC'!$I$4),OR('Visual SPC'!$K$4="",'Data Entry'!$F6384='Visual SPC'!$K$4)),1,0))</f>
        <v/>
      </c>
      <c r="C6384">
        <f>C6383+B6384</f>
        <v/>
      </c>
      <c r="D6384">
        <f>IF(B6384=1,INDEX('Data Entry'!$H$5:$BE$10004,6384-4,'Visual SPC'!$B$3),"")</f>
        <v/>
      </c>
      <c r="E6384">
        <f>IF(B6384=1,D6384,E6383)</f>
        <v/>
      </c>
      <c r="F6384">
        <f>IF(AND(B6384=1,C6384&gt;1,E6383&lt;&gt;""),ABS(D6384-E6383),"")</f>
        <v/>
      </c>
    </row>
    <row r="6385">
      <c r="A6385" t="n">
        <v>6385</v>
      </c>
      <c r="B6385">
        <f>IF(INDEX('Data Entry'!$H$5:$BE$10004,6385-4,'Visual SPC'!$B$3)="",0,IF(AND(OR('Visual SPC'!$C$4="",'Data Entry'!$C6385&gt;='Visual SPC'!$C$4),OR('Visual SPC'!$E$4="",'Data Entry'!$C6385&lt;='Visual SPC'!$E$4),OR('Visual SPC'!$G$4="",'Data Entry'!$D6385='Visual SPC'!$G$4),OR('Visual SPC'!$I$4="",'Data Entry'!$E6385='Visual SPC'!$I$4),OR('Visual SPC'!$K$4="",'Data Entry'!$F6385='Visual SPC'!$K$4)),1,0))</f>
        <v/>
      </c>
      <c r="C6385">
        <f>C6384+B6385</f>
        <v/>
      </c>
      <c r="D6385">
        <f>IF(B6385=1,INDEX('Data Entry'!$H$5:$BE$10004,6385-4,'Visual SPC'!$B$3),"")</f>
        <v/>
      </c>
      <c r="E6385">
        <f>IF(B6385=1,D6385,E6384)</f>
        <v/>
      </c>
      <c r="F6385">
        <f>IF(AND(B6385=1,C6385&gt;1,E6384&lt;&gt;""),ABS(D6385-E6384),"")</f>
        <v/>
      </c>
    </row>
    <row r="6386">
      <c r="A6386" t="n">
        <v>6386</v>
      </c>
      <c r="B6386">
        <f>IF(INDEX('Data Entry'!$H$5:$BE$10004,6386-4,'Visual SPC'!$B$3)="",0,IF(AND(OR('Visual SPC'!$C$4="",'Data Entry'!$C6386&gt;='Visual SPC'!$C$4),OR('Visual SPC'!$E$4="",'Data Entry'!$C6386&lt;='Visual SPC'!$E$4),OR('Visual SPC'!$G$4="",'Data Entry'!$D6386='Visual SPC'!$G$4),OR('Visual SPC'!$I$4="",'Data Entry'!$E6386='Visual SPC'!$I$4),OR('Visual SPC'!$K$4="",'Data Entry'!$F6386='Visual SPC'!$K$4)),1,0))</f>
        <v/>
      </c>
      <c r="C6386">
        <f>C6385+B6386</f>
        <v/>
      </c>
      <c r="D6386">
        <f>IF(B6386=1,INDEX('Data Entry'!$H$5:$BE$10004,6386-4,'Visual SPC'!$B$3),"")</f>
        <v/>
      </c>
      <c r="E6386">
        <f>IF(B6386=1,D6386,E6385)</f>
        <v/>
      </c>
      <c r="F6386">
        <f>IF(AND(B6386=1,C6386&gt;1,E6385&lt;&gt;""),ABS(D6386-E6385),"")</f>
        <v/>
      </c>
    </row>
    <row r="6387">
      <c r="A6387" t="n">
        <v>6387</v>
      </c>
      <c r="B6387">
        <f>IF(INDEX('Data Entry'!$H$5:$BE$10004,6387-4,'Visual SPC'!$B$3)="",0,IF(AND(OR('Visual SPC'!$C$4="",'Data Entry'!$C6387&gt;='Visual SPC'!$C$4),OR('Visual SPC'!$E$4="",'Data Entry'!$C6387&lt;='Visual SPC'!$E$4),OR('Visual SPC'!$G$4="",'Data Entry'!$D6387='Visual SPC'!$G$4),OR('Visual SPC'!$I$4="",'Data Entry'!$E6387='Visual SPC'!$I$4),OR('Visual SPC'!$K$4="",'Data Entry'!$F6387='Visual SPC'!$K$4)),1,0))</f>
        <v/>
      </c>
      <c r="C6387">
        <f>C6386+B6387</f>
        <v/>
      </c>
      <c r="D6387">
        <f>IF(B6387=1,INDEX('Data Entry'!$H$5:$BE$10004,6387-4,'Visual SPC'!$B$3),"")</f>
        <v/>
      </c>
      <c r="E6387">
        <f>IF(B6387=1,D6387,E6386)</f>
        <v/>
      </c>
      <c r="F6387">
        <f>IF(AND(B6387=1,C6387&gt;1,E6386&lt;&gt;""),ABS(D6387-E6386),"")</f>
        <v/>
      </c>
    </row>
    <row r="6388">
      <c r="A6388" t="n">
        <v>6388</v>
      </c>
      <c r="B6388">
        <f>IF(INDEX('Data Entry'!$H$5:$BE$10004,6388-4,'Visual SPC'!$B$3)="",0,IF(AND(OR('Visual SPC'!$C$4="",'Data Entry'!$C6388&gt;='Visual SPC'!$C$4),OR('Visual SPC'!$E$4="",'Data Entry'!$C6388&lt;='Visual SPC'!$E$4),OR('Visual SPC'!$G$4="",'Data Entry'!$D6388='Visual SPC'!$G$4),OR('Visual SPC'!$I$4="",'Data Entry'!$E6388='Visual SPC'!$I$4),OR('Visual SPC'!$K$4="",'Data Entry'!$F6388='Visual SPC'!$K$4)),1,0))</f>
        <v/>
      </c>
      <c r="C6388">
        <f>C6387+B6388</f>
        <v/>
      </c>
      <c r="D6388">
        <f>IF(B6388=1,INDEX('Data Entry'!$H$5:$BE$10004,6388-4,'Visual SPC'!$B$3),"")</f>
        <v/>
      </c>
      <c r="E6388">
        <f>IF(B6388=1,D6388,E6387)</f>
        <v/>
      </c>
      <c r="F6388">
        <f>IF(AND(B6388=1,C6388&gt;1,E6387&lt;&gt;""),ABS(D6388-E6387),"")</f>
        <v/>
      </c>
    </row>
    <row r="6389">
      <c r="A6389" t="n">
        <v>6389</v>
      </c>
      <c r="B6389">
        <f>IF(INDEX('Data Entry'!$H$5:$BE$10004,6389-4,'Visual SPC'!$B$3)="",0,IF(AND(OR('Visual SPC'!$C$4="",'Data Entry'!$C6389&gt;='Visual SPC'!$C$4),OR('Visual SPC'!$E$4="",'Data Entry'!$C6389&lt;='Visual SPC'!$E$4),OR('Visual SPC'!$G$4="",'Data Entry'!$D6389='Visual SPC'!$G$4),OR('Visual SPC'!$I$4="",'Data Entry'!$E6389='Visual SPC'!$I$4),OR('Visual SPC'!$K$4="",'Data Entry'!$F6389='Visual SPC'!$K$4)),1,0))</f>
        <v/>
      </c>
      <c r="C6389">
        <f>C6388+B6389</f>
        <v/>
      </c>
      <c r="D6389">
        <f>IF(B6389=1,INDEX('Data Entry'!$H$5:$BE$10004,6389-4,'Visual SPC'!$B$3),"")</f>
        <v/>
      </c>
      <c r="E6389">
        <f>IF(B6389=1,D6389,E6388)</f>
        <v/>
      </c>
      <c r="F6389">
        <f>IF(AND(B6389=1,C6389&gt;1,E6388&lt;&gt;""),ABS(D6389-E6388),"")</f>
        <v/>
      </c>
    </row>
    <row r="6390">
      <c r="A6390" t="n">
        <v>6390</v>
      </c>
      <c r="B6390">
        <f>IF(INDEX('Data Entry'!$H$5:$BE$10004,6390-4,'Visual SPC'!$B$3)="",0,IF(AND(OR('Visual SPC'!$C$4="",'Data Entry'!$C6390&gt;='Visual SPC'!$C$4),OR('Visual SPC'!$E$4="",'Data Entry'!$C6390&lt;='Visual SPC'!$E$4),OR('Visual SPC'!$G$4="",'Data Entry'!$D6390='Visual SPC'!$G$4),OR('Visual SPC'!$I$4="",'Data Entry'!$E6390='Visual SPC'!$I$4),OR('Visual SPC'!$K$4="",'Data Entry'!$F6390='Visual SPC'!$K$4)),1,0))</f>
        <v/>
      </c>
      <c r="C6390">
        <f>C6389+B6390</f>
        <v/>
      </c>
      <c r="D6390">
        <f>IF(B6390=1,INDEX('Data Entry'!$H$5:$BE$10004,6390-4,'Visual SPC'!$B$3),"")</f>
        <v/>
      </c>
      <c r="E6390">
        <f>IF(B6390=1,D6390,E6389)</f>
        <v/>
      </c>
      <c r="F6390">
        <f>IF(AND(B6390=1,C6390&gt;1,E6389&lt;&gt;""),ABS(D6390-E6389),"")</f>
        <v/>
      </c>
    </row>
    <row r="6391">
      <c r="A6391" t="n">
        <v>6391</v>
      </c>
      <c r="B6391">
        <f>IF(INDEX('Data Entry'!$H$5:$BE$10004,6391-4,'Visual SPC'!$B$3)="",0,IF(AND(OR('Visual SPC'!$C$4="",'Data Entry'!$C6391&gt;='Visual SPC'!$C$4),OR('Visual SPC'!$E$4="",'Data Entry'!$C6391&lt;='Visual SPC'!$E$4),OR('Visual SPC'!$G$4="",'Data Entry'!$D6391='Visual SPC'!$G$4),OR('Visual SPC'!$I$4="",'Data Entry'!$E6391='Visual SPC'!$I$4),OR('Visual SPC'!$K$4="",'Data Entry'!$F6391='Visual SPC'!$K$4)),1,0))</f>
        <v/>
      </c>
      <c r="C6391">
        <f>C6390+B6391</f>
        <v/>
      </c>
      <c r="D6391">
        <f>IF(B6391=1,INDEX('Data Entry'!$H$5:$BE$10004,6391-4,'Visual SPC'!$B$3),"")</f>
        <v/>
      </c>
      <c r="E6391">
        <f>IF(B6391=1,D6391,E6390)</f>
        <v/>
      </c>
      <c r="F6391">
        <f>IF(AND(B6391=1,C6391&gt;1,E6390&lt;&gt;""),ABS(D6391-E6390),"")</f>
        <v/>
      </c>
    </row>
    <row r="6392">
      <c r="A6392" t="n">
        <v>6392</v>
      </c>
      <c r="B6392">
        <f>IF(INDEX('Data Entry'!$H$5:$BE$10004,6392-4,'Visual SPC'!$B$3)="",0,IF(AND(OR('Visual SPC'!$C$4="",'Data Entry'!$C6392&gt;='Visual SPC'!$C$4),OR('Visual SPC'!$E$4="",'Data Entry'!$C6392&lt;='Visual SPC'!$E$4),OR('Visual SPC'!$G$4="",'Data Entry'!$D6392='Visual SPC'!$G$4),OR('Visual SPC'!$I$4="",'Data Entry'!$E6392='Visual SPC'!$I$4),OR('Visual SPC'!$K$4="",'Data Entry'!$F6392='Visual SPC'!$K$4)),1,0))</f>
        <v/>
      </c>
      <c r="C6392">
        <f>C6391+B6392</f>
        <v/>
      </c>
      <c r="D6392">
        <f>IF(B6392=1,INDEX('Data Entry'!$H$5:$BE$10004,6392-4,'Visual SPC'!$B$3),"")</f>
        <v/>
      </c>
      <c r="E6392">
        <f>IF(B6392=1,D6392,E6391)</f>
        <v/>
      </c>
      <c r="F6392">
        <f>IF(AND(B6392=1,C6392&gt;1,E6391&lt;&gt;""),ABS(D6392-E6391),"")</f>
        <v/>
      </c>
    </row>
    <row r="6393">
      <c r="A6393" t="n">
        <v>6393</v>
      </c>
      <c r="B6393">
        <f>IF(INDEX('Data Entry'!$H$5:$BE$10004,6393-4,'Visual SPC'!$B$3)="",0,IF(AND(OR('Visual SPC'!$C$4="",'Data Entry'!$C6393&gt;='Visual SPC'!$C$4),OR('Visual SPC'!$E$4="",'Data Entry'!$C6393&lt;='Visual SPC'!$E$4),OR('Visual SPC'!$G$4="",'Data Entry'!$D6393='Visual SPC'!$G$4),OR('Visual SPC'!$I$4="",'Data Entry'!$E6393='Visual SPC'!$I$4),OR('Visual SPC'!$K$4="",'Data Entry'!$F6393='Visual SPC'!$K$4)),1,0))</f>
        <v/>
      </c>
      <c r="C6393">
        <f>C6392+B6393</f>
        <v/>
      </c>
      <c r="D6393">
        <f>IF(B6393=1,INDEX('Data Entry'!$H$5:$BE$10004,6393-4,'Visual SPC'!$B$3),"")</f>
        <v/>
      </c>
      <c r="E6393">
        <f>IF(B6393=1,D6393,E6392)</f>
        <v/>
      </c>
      <c r="F6393">
        <f>IF(AND(B6393=1,C6393&gt;1,E6392&lt;&gt;""),ABS(D6393-E6392),"")</f>
        <v/>
      </c>
    </row>
    <row r="6394">
      <c r="A6394" t="n">
        <v>6394</v>
      </c>
      <c r="B6394">
        <f>IF(INDEX('Data Entry'!$H$5:$BE$10004,6394-4,'Visual SPC'!$B$3)="",0,IF(AND(OR('Visual SPC'!$C$4="",'Data Entry'!$C6394&gt;='Visual SPC'!$C$4),OR('Visual SPC'!$E$4="",'Data Entry'!$C6394&lt;='Visual SPC'!$E$4),OR('Visual SPC'!$G$4="",'Data Entry'!$D6394='Visual SPC'!$G$4),OR('Visual SPC'!$I$4="",'Data Entry'!$E6394='Visual SPC'!$I$4),OR('Visual SPC'!$K$4="",'Data Entry'!$F6394='Visual SPC'!$K$4)),1,0))</f>
        <v/>
      </c>
      <c r="C6394">
        <f>C6393+B6394</f>
        <v/>
      </c>
      <c r="D6394">
        <f>IF(B6394=1,INDEX('Data Entry'!$H$5:$BE$10004,6394-4,'Visual SPC'!$B$3),"")</f>
        <v/>
      </c>
      <c r="E6394">
        <f>IF(B6394=1,D6394,E6393)</f>
        <v/>
      </c>
      <c r="F6394">
        <f>IF(AND(B6394=1,C6394&gt;1,E6393&lt;&gt;""),ABS(D6394-E6393),"")</f>
        <v/>
      </c>
    </row>
    <row r="6395">
      <c r="A6395" t="n">
        <v>6395</v>
      </c>
      <c r="B6395">
        <f>IF(INDEX('Data Entry'!$H$5:$BE$10004,6395-4,'Visual SPC'!$B$3)="",0,IF(AND(OR('Visual SPC'!$C$4="",'Data Entry'!$C6395&gt;='Visual SPC'!$C$4),OR('Visual SPC'!$E$4="",'Data Entry'!$C6395&lt;='Visual SPC'!$E$4),OR('Visual SPC'!$G$4="",'Data Entry'!$D6395='Visual SPC'!$G$4),OR('Visual SPC'!$I$4="",'Data Entry'!$E6395='Visual SPC'!$I$4),OR('Visual SPC'!$K$4="",'Data Entry'!$F6395='Visual SPC'!$K$4)),1,0))</f>
        <v/>
      </c>
      <c r="C6395">
        <f>C6394+B6395</f>
        <v/>
      </c>
      <c r="D6395">
        <f>IF(B6395=1,INDEX('Data Entry'!$H$5:$BE$10004,6395-4,'Visual SPC'!$B$3),"")</f>
        <v/>
      </c>
      <c r="E6395">
        <f>IF(B6395=1,D6395,E6394)</f>
        <v/>
      </c>
      <c r="F6395">
        <f>IF(AND(B6395=1,C6395&gt;1,E6394&lt;&gt;""),ABS(D6395-E6394),"")</f>
        <v/>
      </c>
    </row>
    <row r="6396">
      <c r="A6396" t="n">
        <v>6396</v>
      </c>
      <c r="B6396">
        <f>IF(INDEX('Data Entry'!$H$5:$BE$10004,6396-4,'Visual SPC'!$B$3)="",0,IF(AND(OR('Visual SPC'!$C$4="",'Data Entry'!$C6396&gt;='Visual SPC'!$C$4),OR('Visual SPC'!$E$4="",'Data Entry'!$C6396&lt;='Visual SPC'!$E$4),OR('Visual SPC'!$G$4="",'Data Entry'!$D6396='Visual SPC'!$G$4),OR('Visual SPC'!$I$4="",'Data Entry'!$E6396='Visual SPC'!$I$4),OR('Visual SPC'!$K$4="",'Data Entry'!$F6396='Visual SPC'!$K$4)),1,0))</f>
        <v/>
      </c>
      <c r="C6396">
        <f>C6395+B6396</f>
        <v/>
      </c>
      <c r="D6396">
        <f>IF(B6396=1,INDEX('Data Entry'!$H$5:$BE$10004,6396-4,'Visual SPC'!$B$3),"")</f>
        <v/>
      </c>
      <c r="E6396">
        <f>IF(B6396=1,D6396,E6395)</f>
        <v/>
      </c>
      <c r="F6396">
        <f>IF(AND(B6396=1,C6396&gt;1,E6395&lt;&gt;""),ABS(D6396-E6395),"")</f>
        <v/>
      </c>
    </row>
    <row r="6397">
      <c r="A6397" t="n">
        <v>6397</v>
      </c>
      <c r="B6397">
        <f>IF(INDEX('Data Entry'!$H$5:$BE$10004,6397-4,'Visual SPC'!$B$3)="",0,IF(AND(OR('Visual SPC'!$C$4="",'Data Entry'!$C6397&gt;='Visual SPC'!$C$4),OR('Visual SPC'!$E$4="",'Data Entry'!$C6397&lt;='Visual SPC'!$E$4),OR('Visual SPC'!$G$4="",'Data Entry'!$D6397='Visual SPC'!$G$4),OR('Visual SPC'!$I$4="",'Data Entry'!$E6397='Visual SPC'!$I$4),OR('Visual SPC'!$K$4="",'Data Entry'!$F6397='Visual SPC'!$K$4)),1,0))</f>
        <v/>
      </c>
      <c r="C6397">
        <f>C6396+B6397</f>
        <v/>
      </c>
      <c r="D6397">
        <f>IF(B6397=1,INDEX('Data Entry'!$H$5:$BE$10004,6397-4,'Visual SPC'!$B$3),"")</f>
        <v/>
      </c>
      <c r="E6397">
        <f>IF(B6397=1,D6397,E6396)</f>
        <v/>
      </c>
      <c r="F6397">
        <f>IF(AND(B6397=1,C6397&gt;1,E6396&lt;&gt;""),ABS(D6397-E6396),"")</f>
        <v/>
      </c>
    </row>
    <row r="6398">
      <c r="A6398" t="n">
        <v>6398</v>
      </c>
      <c r="B6398">
        <f>IF(INDEX('Data Entry'!$H$5:$BE$10004,6398-4,'Visual SPC'!$B$3)="",0,IF(AND(OR('Visual SPC'!$C$4="",'Data Entry'!$C6398&gt;='Visual SPC'!$C$4),OR('Visual SPC'!$E$4="",'Data Entry'!$C6398&lt;='Visual SPC'!$E$4),OR('Visual SPC'!$G$4="",'Data Entry'!$D6398='Visual SPC'!$G$4),OR('Visual SPC'!$I$4="",'Data Entry'!$E6398='Visual SPC'!$I$4),OR('Visual SPC'!$K$4="",'Data Entry'!$F6398='Visual SPC'!$K$4)),1,0))</f>
        <v/>
      </c>
      <c r="C6398">
        <f>C6397+B6398</f>
        <v/>
      </c>
      <c r="D6398">
        <f>IF(B6398=1,INDEX('Data Entry'!$H$5:$BE$10004,6398-4,'Visual SPC'!$B$3),"")</f>
        <v/>
      </c>
      <c r="E6398">
        <f>IF(B6398=1,D6398,E6397)</f>
        <v/>
      </c>
      <c r="F6398">
        <f>IF(AND(B6398=1,C6398&gt;1,E6397&lt;&gt;""),ABS(D6398-E6397),"")</f>
        <v/>
      </c>
    </row>
    <row r="6399">
      <c r="A6399" t="n">
        <v>6399</v>
      </c>
      <c r="B6399">
        <f>IF(INDEX('Data Entry'!$H$5:$BE$10004,6399-4,'Visual SPC'!$B$3)="",0,IF(AND(OR('Visual SPC'!$C$4="",'Data Entry'!$C6399&gt;='Visual SPC'!$C$4),OR('Visual SPC'!$E$4="",'Data Entry'!$C6399&lt;='Visual SPC'!$E$4),OR('Visual SPC'!$G$4="",'Data Entry'!$D6399='Visual SPC'!$G$4),OR('Visual SPC'!$I$4="",'Data Entry'!$E6399='Visual SPC'!$I$4),OR('Visual SPC'!$K$4="",'Data Entry'!$F6399='Visual SPC'!$K$4)),1,0))</f>
        <v/>
      </c>
      <c r="C6399">
        <f>C6398+B6399</f>
        <v/>
      </c>
      <c r="D6399">
        <f>IF(B6399=1,INDEX('Data Entry'!$H$5:$BE$10004,6399-4,'Visual SPC'!$B$3),"")</f>
        <v/>
      </c>
      <c r="E6399">
        <f>IF(B6399=1,D6399,E6398)</f>
        <v/>
      </c>
      <c r="F6399">
        <f>IF(AND(B6399=1,C6399&gt;1,E6398&lt;&gt;""),ABS(D6399-E6398),"")</f>
        <v/>
      </c>
    </row>
    <row r="6400">
      <c r="A6400" t="n">
        <v>6400</v>
      </c>
      <c r="B6400">
        <f>IF(INDEX('Data Entry'!$H$5:$BE$10004,6400-4,'Visual SPC'!$B$3)="",0,IF(AND(OR('Visual SPC'!$C$4="",'Data Entry'!$C6400&gt;='Visual SPC'!$C$4),OR('Visual SPC'!$E$4="",'Data Entry'!$C6400&lt;='Visual SPC'!$E$4),OR('Visual SPC'!$G$4="",'Data Entry'!$D6400='Visual SPC'!$G$4),OR('Visual SPC'!$I$4="",'Data Entry'!$E6400='Visual SPC'!$I$4),OR('Visual SPC'!$K$4="",'Data Entry'!$F6400='Visual SPC'!$K$4)),1,0))</f>
        <v/>
      </c>
      <c r="C6400">
        <f>C6399+B6400</f>
        <v/>
      </c>
      <c r="D6400">
        <f>IF(B6400=1,INDEX('Data Entry'!$H$5:$BE$10004,6400-4,'Visual SPC'!$B$3),"")</f>
        <v/>
      </c>
      <c r="E6400">
        <f>IF(B6400=1,D6400,E6399)</f>
        <v/>
      </c>
      <c r="F6400">
        <f>IF(AND(B6400=1,C6400&gt;1,E6399&lt;&gt;""),ABS(D6400-E6399),"")</f>
        <v/>
      </c>
    </row>
    <row r="6401">
      <c r="A6401" t="n">
        <v>6401</v>
      </c>
      <c r="B6401">
        <f>IF(INDEX('Data Entry'!$H$5:$BE$10004,6401-4,'Visual SPC'!$B$3)="",0,IF(AND(OR('Visual SPC'!$C$4="",'Data Entry'!$C6401&gt;='Visual SPC'!$C$4),OR('Visual SPC'!$E$4="",'Data Entry'!$C6401&lt;='Visual SPC'!$E$4),OR('Visual SPC'!$G$4="",'Data Entry'!$D6401='Visual SPC'!$G$4),OR('Visual SPC'!$I$4="",'Data Entry'!$E6401='Visual SPC'!$I$4),OR('Visual SPC'!$K$4="",'Data Entry'!$F6401='Visual SPC'!$K$4)),1,0))</f>
        <v/>
      </c>
      <c r="C6401">
        <f>C6400+B6401</f>
        <v/>
      </c>
      <c r="D6401">
        <f>IF(B6401=1,INDEX('Data Entry'!$H$5:$BE$10004,6401-4,'Visual SPC'!$B$3),"")</f>
        <v/>
      </c>
      <c r="E6401">
        <f>IF(B6401=1,D6401,E6400)</f>
        <v/>
      </c>
      <c r="F6401">
        <f>IF(AND(B6401=1,C6401&gt;1,E6400&lt;&gt;""),ABS(D6401-E6400),"")</f>
        <v/>
      </c>
    </row>
    <row r="6402">
      <c r="A6402" t="n">
        <v>6402</v>
      </c>
      <c r="B6402">
        <f>IF(INDEX('Data Entry'!$H$5:$BE$10004,6402-4,'Visual SPC'!$B$3)="",0,IF(AND(OR('Visual SPC'!$C$4="",'Data Entry'!$C6402&gt;='Visual SPC'!$C$4),OR('Visual SPC'!$E$4="",'Data Entry'!$C6402&lt;='Visual SPC'!$E$4),OR('Visual SPC'!$G$4="",'Data Entry'!$D6402='Visual SPC'!$G$4),OR('Visual SPC'!$I$4="",'Data Entry'!$E6402='Visual SPC'!$I$4),OR('Visual SPC'!$K$4="",'Data Entry'!$F6402='Visual SPC'!$K$4)),1,0))</f>
        <v/>
      </c>
      <c r="C6402">
        <f>C6401+B6402</f>
        <v/>
      </c>
      <c r="D6402">
        <f>IF(B6402=1,INDEX('Data Entry'!$H$5:$BE$10004,6402-4,'Visual SPC'!$B$3),"")</f>
        <v/>
      </c>
      <c r="E6402">
        <f>IF(B6402=1,D6402,E6401)</f>
        <v/>
      </c>
      <c r="F6402">
        <f>IF(AND(B6402=1,C6402&gt;1,E6401&lt;&gt;""),ABS(D6402-E6401),"")</f>
        <v/>
      </c>
    </row>
    <row r="6403">
      <c r="A6403" t="n">
        <v>6403</v>
      </c>
      <c r="B6403">
        <f>IF(INDEX('Data Entry'!$H$5:$BE$10004,6403-4,'Visual SPC'!$B$3)="",0,IF(AND(OR('Visual SPC'!$C$4="",'Data Entry'!$C6403&gt;='Visual SPC'!$C$4),OR('Visual SPC'!$E$4="",'Data Entry'!$C6403&lt;='Visual SPC'!$E$4),OR('Visual SPC'!$G$4="",'Data Entry'!$D6403='Visual SPC'!$G$4),OR('Visual SPC'!$I$4="",'Data Entry'!$E6403='Visual SPC'!$I$4),OR('Visual SPC'!$K$4="",'Data Entry'!$F6403='Visual SPC'!$K$4)),1,0))</f>
        <v/>
      </c>
      <c r="C6403">
        <f>C6402+B6403</f>
        <v/>
      </c>
      <c r="D6403">
        <f>IF(B6403=1,INDEX('Data Entry'!$H$5:$BE$10004,6403-4,'Visual SPC'!$B$3),"")</f>
        <v/>
      </c>
      <c r="E6403">
        <f>IF(B6403=1,D6403,E6402)</f>
        <v/>
      </c>
      <c r="F6403">
        <f>IF(AND(B6403=1,C6403&gt;1,E6402&lt;&gt;""),ABS(D6403-E6402),"")</f>
        <v/>
      </c>
    </row>
    <row r="6404">
      <c r="A6404" t="n">
        <v>6404</v>
      </c>
      <c r="B6404">
        <f>IF(INDEX('Data Entry'!$H$5:$BE$10004,6404-4,'Visual SPC'!$B$3)="",0,IF(AND(OR('Visual SPC'!$C$4="",'Data Entry'!$C6404&gt;='Visual SPC'!$C$4),OR('Visual SPC'!$E$4="",'Data Entry'!$C6404&lt;='Visual SPC'!$E$4),OR('Visual SPC'!$G$4="",'Data Entry'!$D6404='Visual SPC'!$G$4),OR('Visual SPC'!$I$4="",'Data Entry'!$E6404='Visual SPC'!$I$4),OR('Visual SPC'!$K$4="",'Data Entry'!$F6404='Visual SPC'!$K$4)),1,0))</f>
        <v/>
      </c>
      <c r="C6404">
        <f>C6403+B6404</f>
        <v/>
      </c>
      <c r="D6404">
        <f>IF(B6404=1,INDEX('Data Entry'!$H$5:$BE$10004,6404-4,'Visual SPC'!$B$3),"")</f>
        <v/>
      </c>
      <c r="E6404">
        <f>IF(B6404=1,D6404,E6403)</f>
        <v/>
      </c>
      <c r="F6404">
        <f>IF(AND(B6404=1,C6404&gt;1,E6403&lt;&gt;""),ABS(D6404-E6403),"")</f>
        <v/>
      </c>
    </row>
    <row r="6405">
      <c r="A6405" t="n">
        <v>6405</v>
      </c>
      <c r="B6405">
        <f>IF(INDEX('Data Entry'!$H$5:$BE$10004,6405-4,'Visual SPC'!$B$3)="",0,IF(AND(OR('Visual SPC'!$C$4="",'Data Entry'!$C6405&gt;='Visual SPC'!$C$4),OR('Visual SPC'!$E$4="",'Data Entry'!$C6405&lt;='Visual SPC'!$E$4),OR('Visual SPC'!$G$4="",'Data Entry'!$D6405='Visual SPC'!$G$4),OR('Visual SPC'!$I$4="",'Data Entry'!$E6405='Visual SPC'!$I$4),OR('Visual SPC'!$K$4="",'Data Entry'!$F6405='Visual SPC'!$K$4)),1,0))</f>
        <v/>
      </c>
      <c r="C6405">
        <f>C6404+B6405</f>
        <v/>
      </c>
      <c r="D6405">
        <f>IF(B6405=1,INDEX('Data Entry'!$H$5:$BE$10004,6405-4,'Visual SPC'!$B$3),"")</f>
        <v/>
      </c>
      <c r="E6405">
        <f>IF(B6405=1,D6405,E6404)</f>
        <v/>
      </c>
      <c r="F6405">
        <f>IF(AND(B6405=1,C6405&gt;1,E6404&lt;&gt;""),ABS(D6405-E6404),"")</f>
        <v/>
      </c>
    </row>
    <row r="6406">
      <c r="A6406" t="n">
        <v>6406</v>
      </c>
      <c r="B6406">
        <f>IF(INDEX('Data Entry'!$H$5:$BE$10004,6406-4,'Visual SPC'!$B$3)="",0,IF(AND(OR('Visual SPC'!$C$4="",'Data Entry'!$C6406&gt;='Visual SPC'!$C$4),OR('Visual SPC'!$E$4="",'Data Entry'!$C6406&lt;='Visual SPC'!$E$4),OR('Visual SPC'!$G$4="",'Data Entry'!$D6406='Visual SPC'!$G$4),OR('Visual SPC'!$I$4="",'Data Entry'!$E6406='Visual SPC'!$I$4),OR('Visual SPC'!$K$4="",'Data Entry'!$F6406='Visual SPC'!$K$4)),1,0))</f>
        <v/>
      </c>
      <c r="C6406">
        <f>C6405+B6406</f>
        <v/>
      </c>
      <c r="D6406">
        <f>IF(B6406=1,INDEX('Data Entry'!$H$5:$BE$10004,6406-4,'Visual SPC'!$B$3),"")</f>
        <v/>
      </c>
      <c r="E6406">
        <f>IF(B6406=1,D6406,E6405)</f>
        <v/>
      </c>
      <c r="F6406">
        <f>IF(AND(B6406=1,C6406&gt;1,E6405&lt;&gt;""),ABS(D6406-E6405),"")</f>
        <v/>
      </c>
    </row>
    <row r="6407">
      <c r="A6407" t="n">
        <v>6407</v>
      </c>
      <c r="B6407">
        <f>IF(INDEX('Data Entry'!$H$5:$BE$10004,6407-4,'Visual SPC'!$B$3)="",0,IF(AND(OR('Visual SPC'!$C$4="",'Data Entry'!$C6407&gt;='Visual SPC'!$C$4),OR('Visual SPC'!$E$4="",'Data Entry'!$C6407&lt;='Visual SPC'!$E$4),OR('Visual SPC'!$G$4="",'Data Entry'!$D6407='Visual SPC'!$G$4),OR('Visual SPC'!$I$4="",'Data Entry'!$E6407='Visual SPC'!$I$4),OR('Visual SPC'!$K$4="",'Data Entry'!$F6407='Visual SPC'!$K$4)),1,0))</f>
        <v/>
      </c>
      <c r="C6407">
        <f>C6406+B6407</f>
        <v/>
      </c>
      <c r="D6407">
        <f>IF(B6407=1,INDEX('Data Entry'!$H$5:$BE$10004,6407-4,'Visual SPC'!$B$3),"")</f>
        <v/>
      </c>
      <c r="E6407">
        <f>IF(B6407=1,D6407,E6406)</f>
        <v/>
      </c>
      <c r="F6407">
        <f>IF(AND(B6407=1,C6407&gt;1,E6406&lt;&gt;""),ABS(D6407-E6406),"")</f>
        <v/>
      </c>
    </row>
    <row r="6408">
      <c r="A6408" t="n">
        <v>6408</v>
      </c>
      <c r="B6408">
        <f>IF(INDEX('Data Entry'!$H$5:$BE$10004,6408-4,'Visual SPC'!$B$3)="",0,IF(AND(OR('Visual SPC'!$C$4="",'Data Entry'!$C6408&gt;='Visual SPC'!$C$4),OR('Visual SPC'!$E$4="",'Data Entry'!$C6408&lt;='Visual SPC'!$E$4),OR('Visual SPC'!$G$4="",'Data Entry'!$D6408='Visual SPC'!$G$4),OR('Visual SPC'!$I$4="",'Data Entry'!$E6408='Visual SPC'!$I$4),OR('Visual SPC'!$K$4="",'Data Entry'!$F6408='Visual SPC'!$K$4)),1,0))</f>
        <v/>
      </c>
      <c r="C6408">
        <f>C6407+B6408</f>
        <v/>
      </c>
      <c r="D6408">
        <f>IF(B6408=1,INDEX('Data Entry'!$H$5:$BE$10004,6408-4,'Visual SPC'!$B$3),"")</f>
        <v/>
      </c>
      <c r="E6408">
        <f>IF(B6408=1,D6408,E6407)</f>
        <v/>
      </c>
      <c r="F6408">
        <f>IF(AND(B6408=1,C6408&gt;1,E6407&lt;&gt;""),ABS(D6408-E6407),"")</f>
        <v/>
      </c>
    </row>
    <row r="6409">
      <c r="A6409" t="n">
        <v>6409</v>
      </c>
      <c r="B6409">
        <f>IF(INDEX('Data Entry'!$H$5:$BE$10004,6409-4,'Visual SPC'!$B$3)="",0,IF(AND(OR('Visual SPC'!$C$4="",'Data Entry'!$C6409&gt;='Visual SPC'!$C$4),OR('Visual SPC'!$E$4="",'Data Entry'!$C6409&lt;='Visual SPC'!$E$4),OR('Visual SPC'!$G$4="",'Data Entry'!$D6409='Visual SPC'!$G$4),OR('Visual SPC'!$I$4="",'Data Entry'!$E6409='Visual SPC'!$I$4),OR('Visual SPC'!$K$4="",'Data Entry'!$F6409='Visual SPC'!$K$4)),1,0))</f>
        <v/>
      </c>
      <c r="C6409">
        <f>C6408+B6409</f>
        <v/>
      </c>
      <c r="D6409">
        <f>IF(B6409=1,INDEX('Data Entry'!$H$5:$BE$10004,6409-4,'Visual SPC'!$B$3),"")</f>
        <v/>
      </c>
      <c r="E6409">
        <f>IF(B6409=1,D6409,E6408)</f>
        <v/>
      </c>
      <c r="F6409">
        <f>IF(AND(B6409=1,C6409&gt;1,E6408&lt;&gt;""),ABS(D6409-E6408),"")</f>
        <v/>
      </c>
    </row>
    <row r="6410">
      <c r="A6410" t="n">
        <v>6410</v>
      </c>
      <c r="B6410">
        <f>IF(INDEX('Data Entry'!$H$5:$BE$10004,6410-4,'Visual SPC'!$B$3)="",0,IF(AND(OR('Visual SPC'!$C$4="",'Data Entry'!$C6410&gt;='Visual SPC'!$C$4),OR('Visual SPC'!$E$4="",'Data Entry'!$C6410&lt;='Visual SPC'!$E$4),OR('Visual SPC'!$G$4="",'Data Entry'!$D6410='Visual SPC'!$G$4),OR('Visual SPC'!$I$4="",'Data Entry'!$E6410='Visual SPC'!$I$4),OR('Visual SPC'!$K$4="",'Data Entry'!$F6410='Visual SPC'!$K$4)),1,0))</f>
        <v/>
      </c>
      <c r="C6410">
        <f>C6409+B6410</f>
        <v/>
      </c>
      <c r="D6410">
        <f>IF(B6410=1,INDEX('Data Entry'!$H$5:$BE$10004,6410-4,'Visual SPC'!$B$3),"")</f>
        <v/>
      </c>
      <c r="E6410">
        <f>IF(B6410=1,D6410,E6409)</f>
        <v/>
      </c>
      <c r="F6410">
        <f>IF(AND(B6410=1,C6410&gt;1,E6409&lt;&gt;""),ABS(D6410-E6409),"")</f>
        <v/>
      </c>
    </row>
    <row r="6411">
      <c r="A6411" t="n">
        <v>6411</v>
      </c>
      <c r="B6411">
        <f>IF(INDEX('Data Entry'!$H$5:$BE$10004,6411-4,'Visual SPC'!$B$3)="",0,IF(AND(OR('Visual SPC'!$C$4="",'Data Entry'!$C6411&gt;='Visual SPC'!$C$4),OR('Visual SPC'!$E$4="",'Data Entry'!$C6411&lt;='Visual SPC'!$E$4),OR('Visual SPC'!$G$4="",'Data Entry'!$D6411='Visual SPC'!$G$4),OR('Visual SPC'!$I$4="",'Data Entry'!$E6411='Visual SPC'!$I$4),OR('Visual SPC'!$K$4="",'Data Entry'!$F6411='Visual SPC'!$K$4)),1,0))</f>
        <v/>
      </c>
      <c r="C6411">
        <f>C6410+B6411</f>
        <v/>
      </c>
      <c r="D6411">
        <f>IF(B6411=1,INDEX('Data Entry'!$H$5:$BE$10004,6411-4,'Visual SPC'!$B$3),"")</f>
        <v/>
      </c>
      <c r="E6411">
        <f>IF(B6411=1,D6411,E6410)</f>
        <v/>
      </c>
      <c r="F6411">
        <f>IF(AND(B6411=1,C6411&gt;1,E6410&lt;&gt;""),ABS(D6411-E6410),"")</f>
        <v/>
      </c>
    </row>
    <row r="6412">
      <c r="A6412" t="n">
        <v>6412</v>
      </c>
      <c r="B6412">
        <f>IF(INDEX('Data Entry'!$H$5:$BE$10004,6412-4,'Visual SPC'!$B$3)="",0,IF(AND(OR('Visual SPC'!$C$4="",'Data Entry'!$C6412&gt;='Visual SPC'!$C$4),OR('Visual SPC'!$E$4="",'Data Entry'!$C6412&lt;='Visual SPC'!$E$4),OR('Visual SPC'!$G$4="",'Data Entry'!$D6412='Visual SPC'!$G$4),OR('Visual SPC'!$I$4="",'Data Entry'!$E6412='Visual SPC'!$I$4),OR('Visual SPC'!$K$4="",'Data Entry'!$F6412='Visual SPC'!$K$4)),1,0))</f>
        <v/>
      </c>
      <c r="C6412">
        <f>C6411+B6412</f>
        <v/>
      </c>
      <c r="D6412">
        <f>IF(B6412=1,INDEX('Data Entry'!$H$5:$BE$10004,6412-4,'Visual SPC'!$B$3),"")</f>
        <v/>
      </c>
      <c r="E6412">
        <f>IF(B6412=1,D6412,E6411)</f>
        <v/>
      </c>
      <c r="F6412">
        <f>IF(AND(B6412=1,C6412&gt;1,E6411&lt;&gt;""),ABS(D6412-E6411),"")</f>
        <v/>
      </c>
    </row>
    <row r="6413">
      <c r="A6413" t="n">
        <v>6413</v>
      </c>
      <c r="B6413">
        <f>IF(INDEX('Data Entry'!$H$5:$BE$10004,6413-4,'Visual SPC'!$B$3)="",0,IF(AND(OR('Visual SPC'!$C$4="",'Data Entry'!$C6413&gt;='Visual SPC'!$C$4),OR('Visual SPC'!$E$4="",'Data Entry'!$C6413&lt;='Visual SPC'!$E$4),OR('Visual SPC'!$G$4="",'Data Entry'!$D6413='Visual SPC'!$G$4),OR('Visual SPC'!$I$4="",'Data Entry'!$E6413='Visual SPC'!$I$4),OR('Visual SPC'!$K$4="",'Data Entry'!$F6413='Visual SPC'!$K$4)),1,0))</f>
        <v/>
      </c>
      <c r="C6413">
        <f>C6412+B6413</f>
        <v/>
      </c>
      <c r="D6413">
        <f>IF(B6413=1,INDEX('Data Entry'!$H$5:$BE$10004,6413-4,'Visual SPC'!$B$3),"")</f>
        <v/>
      </c>
      <c r="E6413">
        <f>IF(B6413=1,D6413,E6412)</f>
        <v/>
      </c>
      <c r="F6413">
        <f>IF(AND(B6413=1,C6413&gt;1,E6412&lt;&gt;""),ABS(D6413-E6412),"")</f>
        <v/>
      </c>
    </row>
    <row r="6414">
      <c r="A6414" t="n">
        <v>6414</v>
      </c>
      <c r="B6414">
        <f>IF(INDEX('Data Entry'!$H$5:$BE$10004,6414-4,'Visual SPC'!$B$3)="",0,IF(AND(OR('Visual SPC'!$C$4="",'Data Entry'!$C6414&gt;='Visual SPC'!$C$4),OR('Visual SPC'!$E$4="",'Data Entry'!$C6414&lt;='Visual SPC'!$E$4),OR('Visual SPC'!$G$4="",'Data Entry'!$D6414='Visual SPC'!$G$4),OR('Visual SPC'!$I$4="",'Data Entry'!$E6414='Visual SPC'!$I$4),OR('Visual SPC'!$K$4="",'Data Entry'!$F6414='Visual SPC'!$K$4)),1,0))</f>
        <v/>
      </c>
      <c r="C6414">
        <f>C6413+B6414</f>
        <v/>
      </c>
      <c r="D6414">
        <f>IF(B6414=1,INDEX('Data Entry'!$H$5:$BE$10004,6414-4,'Visual SPC'!$B$3),"")</f>
        <v/>
      </c>
      <c r="E6414">
        <f>IF(B6414=1,D6414,E6413)</f>
        <v/>
      </c>
      <c r="F6414">
        <f>IF(AND(B6414=1,C6414&gt;1,E6413&lt;&gt;""),ABS(D6414-E6413),"")</f>
        <v/>
      </c>
    </row>
    <row r="6415">
      <c r="A6415" t="n">
        <v>6415</v>
      </c>
      <c r="B6415">
        <f>IF(INDEX('Data Entry'!$H$5:$BE$10004,6415-4,'Visual SPC'!$B$3)="",0,IF(AND(OR('Visual SPC'!$C$4="",'Data Entry'!$C6415&gt;='Visual SPC'!$C$4),OR('Visual SPC'!$E$4="",'Data Entry'!$C6415&lt;='Visual SPC'!$E$4),OR('Visual SPC'!$G$4="",'Data Entry'!$D6415='Visual SPC'!$G$4),OR('Visual SPC'!$I$4="",'Data Entry'!$E6415='Visual SPC'!$I$4),OR('Visual SPC'!$K$4="",'Data Entry'!$F6415='Visual SPC'!$K$4)),1,0))</f>
        <v/>
      </c>
      <c r="C6415">
        <f>C6414+B6415</f>
        <v/>
      </c>
      <c r="D6415">
        <f>IF(B6415=1,INDEX('Data Entry'!$H$5:$BE$10004,6415-4,'Visual SPC'!$B$3),"")</f>
        <v/>
      </c>
      <c r="E6415">
        <f>IF(B6415=1,D6415,E6414)</f>
        <v/>
      </c>
      <c r="F6415">
        <f>IF(AND(B6415=1,C6415&gt;1,E6414&lt;&gt;""),ABS(D6415-E6414),"")</f>
        <v/>
      </c>
    </row>
    <row r="6416">
      <c r="A6416" t="n">
        <v>6416</v>
      </c>
      <c r="B6416">
        <f>IF(INDEX('Data Entry'!$H$5:$BE$10004,6416-4,'Visual SPC'!$B$3)="",0,IF(AND(OR('Visual SPC'!$C$4="",'Data Entry'!$C6416&gt;='Visual SPC'!$C$4),OR('Visual SPC'!$E$4="",'Data Entry'!$C6416&lt;='Visual SPC'!$E$4),OR('Visual SPC'!$G$4="",'Data Entry'!$D6416='Visual SPC'!$G$4),OR('Visual SPC'!$I$4="",'Data Entry'!$E6416='Visual SPC'!$I$4),OR('Visual SPC'!$K$4="",'Data Entry'!$F6416='Visual SPC'!$K$4)),1,0))</f>
        <v/>
      </c>
      <c r="C6416">
        <f>C6415+B6416</f>
        <v/>
      </c>
      <c r="D6416">
        <f>IF(B6416=1,INDEX('Data Entry'!$H$5:$BE$10004,6416-4,'Visual SPC'!$B$3),"")</f>
        <v/>
      </c>
      <c r="E6416">
        <f>IF(B6416=1,D6416,E6415)</f>
        <v/>
      </c>
      <c r="F6416">
        <f>IF(AND(B6416=1,C6416&gt;1,E6415&lt;&gt;""),ABS(D6416-E6415),"")</f>
        <v/>
      </c>
    </row>
    <row r="6417">
      <c r="A6417" t="n">
        <v>6417</v>
      </c>
      <c r="B6417">
        <f>IF(INDEX('Data Entry'!$H$5:$BE$10004,6417-4,'Visual SPC'!$B$3)="",0,IF(AND(OR('Visual SPC'!$C$4="",'Data Entry'!$C6417&gt;='Visual SPC'!$C$4),OR('Visual SPC'!$E$4="",'Data Entry'!$C6417&lt;='Visual SPC'!$E$4),OR('Visual SPC'!$G$4="",'Data Entry'!$D6417='Visual SPC'!$G$4),OR('Visual SPC'!$I$4="",'Data Entry'!$E6417='Visual SPC'!$I$4),OR('Visual SPC'!$K$4="",'Data Entry'!$F6417='Visual SPC'!$K$4)),1,0))</f>
        <v/>
      </c>
      <c r="C6417">
        <f>C6416+B6417</f>
        <v/>
      </c>
      <c r="D6417">
        <f>IF(B6417=1,INDEX('Data Entry'!$H$5:$BE$10004,6417-4,'Visual SPC'!$B$3),"")</f>
        <v/>
      </c>
      <c r="E6417">
        <f>IF(B6417=1,D6417,E6416)</f>
        <v/>
      </c>
      <c r="F6417">
        <f>IF(AND(B6417=1,C6417&gt;1,E6416&lt;&gt;""),ABS(D6417-E6416),"")</f>
        <v/>
      </c>
    </row>
    <row r="6418">
      <c r="A6418" t="n">
        <v>6418</v>
      </c>
      <c r="B6418">
        <f>IF(INDEX('Data Entry'!$H$5:$BE$10004,6418-4,'Visual SPC'!$B$3)="",0,IF(AND(OR('Visual SPC'!$C$4="",'Data Entry'!$C6418&gt;='Visual SPC'!$C$4),OR('Visual SPC'!$E$4="",'Data Entry'!$C6418&lt;='Visual SPC'!$E$4),OR('Visual SPC'!$G$4="",'Data Entry'!$D6418='Visual SPC'!$G$4),OR('Visual SPC'!$I$4="",'Data Entry'!$E6418='Visual SPC'!$I$4),OR('Visual SPC'!$K$4="",'Data Entry'!$F6418='Visual SPC'!$K$4)),1,0))</f>
        <v/>
      </c>
      <c r="C6418">
        <f>C6417+B6418</f>
        <v/>
      </c>
      <c r="D6418">
        <f>IF(B6418=1,INDEX('Data Entry'!$H$5:$BE$10004,6418-4,'Visual SPC'!$B$3),"")</f>
        <v/>
      </c>
      <c r="E6418">
        <f>IF(B6418=1,D6418,E6417)</f>
        <v/>
      </c>
      <c r="F6418">
        <f>IF(AND(B6418=1,C6418&gt;1,E6417&lt;&gt;""),ABS(D6418-E6417),"")</f>
        <v/>
      </c>
    </row>
    <row r="6419">
      <c r="A6419" t="n">
        <v>6419</v>
      </c>
      <c r="B6419">
        <f>IF(INDEX('Data Entry'!$H$5:$BE$10004,6419-4,'Visual SPC'!$B$3)="",0,IF(AND(OR('Visual SPC'!$C$4="",'Data Entry'!$C6419&gt;='Visual SPC'!$C$4),OR('Visual SPC'!$E$4="",'Data Entry'!$C6419&lt;='Visual SPC'!$E$4),OR('Visual SPC'!$G$4="",'Data Entry'!$D6419='Visual SPC'!$G$4),OR('Visual SPC'!$I$4="",'Data Entry'!$E6419='Visual SPC'!$I$4),OR('Visual SPC'!$K$4="",'Data Entry'!$F6419='Visual SPC'!$K$4)),1,0))</f>
        <v/>
      </c>
      <c r="C6419">
        <f>C6418+B6419</f>
        <v/>
      </c>
      <c r="D6419">
        <f>IF(B6419=1,INDEX('Data Entry'!$H$5:$BE$10004,6419-4,'Visual SPC'!$B$3),"")</f>
        <v/>
      </c>
      <c r="E6419">
        <f>IF(B6419=1,D6419,E6418)</f>
        <v/>
      </c>
      <c r="F6419">
        <f>IF(AND(B6419=1,C6419&gt;1,E6418&lt;&gt;""),ABS(D6419-E6418),"")</f>
        <v/>
      </c>
    </row>
    <row r="6420">
      <c r="A6420" t="n">
        <v>6420</v>
      </c>
      <c r="B6420">
        <f>IF(INDEX('Data Entry'!$H$5:$BE$10004,6420-4,'Visual SPC'!$B$3)="",0,IF(AND(OR('Visual SPC'!$C$4="",'Data Entry'!$C6420&gt;='Visual SPC'!$C$4),OR('Visual SPC'!$E$4="",'Data Entry'!$C6420&lt;='Visual SPC'!$E$4),OR('Visual SPC'!$G$4="",'Data Entry'!$D6420='Visual SPC'!$G$4),OR('Visual SPC'!$I$4="",'Data Entry'!$E6420='Visual SPC'!$I$4),OR('Visual SPC'!$K$4="",'Data Entry'!$F6420='Visual SPC'!$K$4)),1,0))</f>
        <v/>
      </c>
      <c r="C6420">
        <f>C6419+B6420</f>
        <v/>
      </c>
      <c r="D6420">
        <f>IF(B6420=1,INDEX('Data Entry'!$H$5:$BE$10004,6420-4,'Visual SPC'!$B$3),"")</f>
        <v/>
      </c>
      <c r="E6420">
        <f>IF(B6420=1,D6420,E6419)</f>
        <v/>
      </c>
      <c r="F6420">
        <f>IF(AND(B6420=1,C6420&gt;1,E6419&lt;&gt;""),ABS(D6420-E6419),"")</f>
        <v/>
      </c>
    </row>
    <row r="6421">
      <c r="A6421" t="n">
        <v>6421</v>
      </c>
      <c r="B6421">
        <f>IF(INDEX('Data Entry'!$H$5:$BE$10004,6421-4,'Visual SPC'!$B$3)="",0,IF(AND(OR('Visual SPC'!$C$4="",'Data Entry'!$C6421&gt;='Visual SPC'!$C$4),OR('Visual SPC'!$E$4="",'Data Entry'!$C6421&lt;='Visual SPC'!$E$4),OR('Visual SPC'!$G$4="",'Data Entry'!$D6421='Visual SPC'!$G$4),OR('Visual SPC'!$I$4="",'Data Entry'!$E6421='Visual SPC'!$I$4),OR('Visual SPC'!$K$4="",'Data Entry'!$F6421='Visual SPC'!$K$4)),1,0))</f>
        <v/>
      </c>
      <c r="C6421">
        <f>C6420+B6421</f>
        <v/>
      </c>
      <c r="D6421">
        <f>IF(B6421=1,INDEX('Data Entry'!$H$5:$BE$10004,6421-4,'Visual SPC'!$B$3),"")</f>
        <v/>
      </c>
      <c r="E6421">
        <f>IF(B6421=1,D6421,E6420)</f>
        <v/>
      </c>
      <c r="F6421">
        <f>IF(AND(B6421=1,C6421&gt;1,E6420&lt;&gt;""),ABS(D6421-E6420),"")</f>
        <v/>
      </c>
    </row>
    <row r="6422">
      <c r="A6422" t="n">
        <v>6422</v>
      </c>
      <c r="B6422">
        <f>IF(INDEX('Data Entry'!$H$5:$BE$10004,6422-4,'Visual SPC'!$B$3)="",0,IF(AND(OR('Visual SPC'!$C$4="",'Data Entry'!$C6422&gt;='Visual SPC'!$C$4),OR('Visual SPC'!$E$4="",'Data Entry'!$C6422&lt;='Visual SPC'!$E$4),OR('Visual SPC'!$G$4="",'Data Entry'!$D6422='Visual SPC'!$G$4),OR('Visual SPC'!$I$4="",'Data Entry'!$E6422='Visual SPC'!$I$4),OR('Visual SPC'!$K$4="",'Data Entry'!$F6422='Visual SPC'!$K$4)),1,0))</f>
        <v/>
      </c>
      <c r="C6422">
        <f>C6421+B6422</f>
        <v/>
      </c>
      <c r="D6422">
        <f>IF(B6422=1,INDEX('Data Entry'!$H$5:$BE$10004,6422-4,'Visual SPC'!$B$3),"")</f>
        <v/>
      </c>
      <c r="E6422">
        <f>IF(B6422=1,D6422,E6421)</f>
        <v/>
      </c>
      <c r="F6422">
        <f>IF(AND(B6422=1,C6422&gt;1,E6421&lt;&gt;""),ABS(D6422-E6421),"")</f>
        <v/>
      </c>
    </row>
    <row r="6423">
      <c r="A6423" t="n">
        <v>6423</v>
      </c>
      <c r="B6423">
        <f>IF(INDEX('Data Entry'!$H$5:$BE$10004,6423-4,'Visual SPC'!$B$3)="",0,IF(AND(OR('Visual SPC'!$C$4="",'Data Entry'!$C6423&gt;='Visual SPC'!$C$4),OR('Visual SPC'!$E$4="",'Data Entry'!$C6423&lt;='Visual SPC'!$E$4),OR('Visual SPC'!$G$4="",'Data Entry'!$D6423='Visual SPC'!$G$4),OR('Visual SPC'!$I$4="",'Data Entry'!$E6423='Visual SPC'!$I$4),OR('Visual SPC'!$K$4="",'Data Entry'!$F6423='Visual SPC'!$K$4)),1,0))</f>
        <v/>
      </c>
      <c r="C6423">
        <f>C6422+B6423</f>
        <v/>
      </c>
      <c r="D6423">
        <f>IF(B6423=1,INDEX('Data Entry'!$H$5:$BE$10004,6423-4,'Visual SPC'!$B$3),"")</f>
        <v/>
      </c>
      <c r="E6423">
        <f>IF(B6423=1,D6423,E6422)</f>
        <v/>
      </c>
      <c r="F6423">
        <f>IF(AND(B6423=1,C6423&gt;1,E6422&lt;&gt;""),ABS(D6423-E6422),"")</f>
        <v/>
      </c>
    </row>
    <row r="6424">
      <c r="A6424" t="n">
        <v>6424</v>
      </c>
      <c r="B6424">
        <f>IF(INDEX('Data Entry'!$H$5:$BE$10004,6424-4,'Visual SPC'!$B$3)="",0,IF(AND(OR('Visual SPC'!$C$4="",'Data Entry'!$C6424&gt;='Visual SPC'!$C$4),OR('Visual SPC'!$E$4="",'Data Entry'!$C6424&lt;='Visual SPC'!$E$4),OR('Visual SPC'!$G$4="",'Data Entry'!$D6424='Visual SPC'!$G$4),OR('Visual SPC'!$I$4="",'Data Entry'!$E6424='Visual SPC'!$I$4),OR('Visual SPC'!$K$4="",'Data Entry'!$F6424='Visual SPC'!$K$4)),1,0))</f>
        <v/>
      </c>
      <c r="C6424">
        <f>C6423+B6424</f>
        <v/>
      </c>
      <c r="D6424">
        <f>IF(B6424=1,INDEX('Data Entry'!$H$5:$BE$10004,6424-4,'Visual SPC'!$B$3),"")</f>
        <v/>
      </c>
      <c r="E6424">
        <f>IF(B6424=1,D6424,E6423)</f>
        <v/>
      </c>
      <c r="F6424">
        <f>IF(AND(B6424=1,C6424&gt;1,E6423&lt;&gt;""),ABS(D6424-E6423),"")</f>
        <v/>
      </c>
    </row>
    <row r="6425">
      <c r="A6425" t="n">
        <v>6425</v>
      </c>
      <c r="B6425">
        <f>IF(INDEX('Data Entry'!$H$5:$BE$10004,6425-4,'Visual SPC'!$B$3)="",0,IF(AND(OR('Visual SPC'!$C$4="",'Data Entry'!$C6425&gt;='Visual SPC'!$C$4),OR('Visual SPC'!$E$4="",'Data Entry'!$C6425&lt;='Visual SPC'!$E$4),OR('Visual SPC'!$G$4="",'Data Entry'!$D6425='Visual SPC'!$G$4),OR('Visual SPC'!$I$4="",'Data Entry'!$E6425='Visual SPC'!$I$4),OR('Visual SPC'!$K$4="",'Data Entry'!$F6425='Visual SPC'!$K$4)),1,0))</f>
        <v/>
      </c>
      <c r="C6425">
        <f>C6424+B6425</f>
        <v/>
      </c>
      <c r="D6425">
        <f>IF(B6425=1,INDEX('Data Entry'!$H$5:$BE$10004,6425-4,'Visual SPC'!$B$3),"")</f>
        <v/>
      </c>
      <c r="E6425">
        <f>IF(B6425=1,D6425,E6424)</f>
        <v/>
      </c>
      <c r="F6425">
        <f>IF(AND(B6425=1,C6425&gt;1,E6424&lt;&gt;""),ABS(D6425-E6424),"")</f>
        <v/>
      </c>
    </row>
    <row r="6426">
      <c r="A6426" t="n">
        <v>6426</v>
      </c>
      <c r="B6426">
        <f>IF(INDEX('Data Entry'!$H$5:$BE$10004,6426-4,'Visual SPC'!$B$3)="",0,IF(AND(OR('Visual SPC'!$C$4="",'Data Entry'!$C6426&gt;='Visual SPC'!$C$4),OR('Visual SPC'!$E$4="",'Data Entry'!$C6426&lt;='Visual SPC'!$E$4),OR('Visual SPC'!$G$4="",'Data Entry'!$D6426='Visual SPC'!$G$4),OR('Visual SPC'!$I$4="",'Data Entry'!$E6426='Visual SPC'!$I$4),OR('Visual SPC'!$K$4="",'Data Entry'!$F6426='Visual SPC'!$K$4)),1,0))</f>
        <v/>
      </c>
      <c r="C6426">
        <f>C6425+B6426</f>
        <v/>
      </c>
      <c r="D6426">
        <f>IF(B6426=1,INDEX('Data Entry'!$H$5:$BE$10004,6426-4,'Visual SPC'!$B$3),"")</f>
        <v/>
      </c>
      <c r="E6426">
        <f>IF(B6426=1,D6426,E6425)</f>
        <v/>
      </c>
      <c r="F6426">
        <f>IF(AND(B6426=1,C6426&gt;1,E6425&lt;&gt;""),ABS(D6426-E6425),"")</f>
        <v/>
      </c>
    </row>
    <row r="6427">
      <c r="A6427" t="n">
        <v>6427</v>
      </c>
      <c r="B6427">
        <f>IF(INDEX('Data Entry'!$H$5:$BE$10004,6427-4,'Visual SPC'!$B$3)="",0,IF(AND(OR('Visual SPC'!$C$4="",'Data Entry'!$C6427&gt;='Visual SPC'!$C$4),OR('Visual SPC'!$E$4="",'Data Entry'!$C6427&lt;='Visual SPC'!$E$4),OR('Visual SPC'!$G$4="",'Data Entry'!$D6427='Visual SPC'!$G$4),OR('Visual SPC'!$I$4="",'Data Entry'!$E6427='Visual SPC'!$I$4),OR('Visual SPC'!$K$4="",'Data Entry'!$F6427='Visual SPC'!$K$4)),1,0))</f>
        <v/>
      </c>
      <c r="C6427">
        <f>C6426+B6427</f>
        <v/>
      </c>
      <c r="D6427">
        <f>IF(B6427=1,INDEX('Data Entry'!$H$5:$BE$10004,6427-4,'Visual SPC'!$B$3),"")</f>
        <v/>
      </c>
      <c r="E6427">
        <f>IF(B6427=1,D6427,E6426)</f>
        <v/>
      </c>
      <c r="F6427">
        <f>IF(AND(B6427=1,C6427&gt;1,E6426&lt;&gt;""),ABS(D6427-E6426),"")</f>
        <v/>
      </c>
    </row>
    <row r="6428">
      <c r="A6428" t="n">
        <v>6428</v>
      </c>
      <c r="B6428">
        <f>IF(INDEX('Data Entry'!$H$5:$BE$10004,6428-4,'Visual SPC'!$B$3)="",0,IF(AND(OR('Visual SPC'!$C$4="",'Data Entry'!$C6428&gt;='Visual SPC'!$C$4),OR('Visual SPC'!$E$4="",'Data Entry'!$C6428&lt;='Visual SPC'!$E$4),OR('Visual SPC'!$G$4="",'Data Entry'!$D6428='Visual SPC'!$G$4),OR('Visual SPC'!$I$4="",'Data Entry'!$E6428='Visual SPC'!$I$4),OR('Visual SPC'!$K$4="",'Data Entry'!$F6428='Visual SPC'!$K$4)),1,0))</f>
        <v/>
      </c>
      <c r="C6428">
        <f>C6427+B6428</f>
        <v/>
      </c>
      <c r="D6428">
        <f>IF(B6428=1,INDEX('Data Entry'!$H$5:$BE$10004,6428-4,'Visual SPC'!$B$3),"")</f>
        <v/>
      </c>
      <c r="E6428">
        <f>IF(B6428=1,D6428,E6427)</f>
        <v/>
      </c>
      <c r="F6428">
        <f>IF(AND(B6428=1,C6428&gt;1,E6427&lt;&gt;""),ABS(D6428-E6427),"")</f>
        <v/>
      </c>
    </row>
    <row r="6429">
      <c r="A6429" t="n">
        <v>6429</v>
      </c>
      <c r="B6429">
        <f>IF(INDEX('Data Entry'!$H$5:$BE$10004,6429-4,'Visual SPC'!$B$3)="",0,IF(AND(OR('Visual SPC'!$C$4="",'Data Entry'!$C6429&gt;='Visual SPC'!$C$4),OR('Visual SPC'!$E$4="",'Data Entry'!$C6429&lt;='Visual SPC'!$E$4),OR('Visual SPC'!$G$4="",'Data Entry'!$D6429='Visual SPC'!$G$4),OR('Visual SPC'!$I$4="",'Data Entry'!$E6429='Visual SPC'!$I$4),OR('Visual SPC'!$K$4="",'Data Entry'!$F6429='Visual SPC'!$K$4)),1,0))</f>
        <v/>
      </c>
      <c r="C6429">
        <f>C6428+B6429</f>
        <v/>
      </c>
      <c r="D6429">
        <f>IF(B6429=1,INDEX('Data Entry'!$H$5:$BE$10004,6429-4,'Visual SPC'!$B$3),"")</f>
        <v/>
      </c>
      <c r="E6429">
        <f>IF(B6429=1,D6429,E6428)</f>
        <v/>
      </c>
      <c r="F6429">
        <f>IF(AND(B6429=1,C6429&gt;1,E6428&lt;&gt;""),ABS(D6429-E6428),"")</f>
        <v/>
      </c>
    </row>
    <row r="6430">
      <c r="A6430" t="n">
        <v>6430</v>
      </c>
      <c r="B6430">
        <f>IF(INDEX('Data Entry'!$H$5:$BE$10004,6430-4,'Visual SPC'!$B$3)="",0,IF(AND(OR('Visual SPC'!$C$4="",'Data Entry'!$C6430&gt;='Visual SPC'!$C$4),OR('Visual SPC'!$E$4="",'Data Entry'!$C6430&lt;='Visual SPC'!$E$4),OR('Visual SPC'!$G$4="",'Data Entry'!$D6430='Visual SPC'!$G$4),OR('Visual SPC'!$I$4="",'Data Entry'!$E6430='Visual SPC'!$I$4),OR('Visual SPC'!$K$4="",'Data Entry'!$F6430='Visual SPC'!$K$4)),1,0))</f>
        <v/>
      </c>
      <c r="C6430">
        <f>C6429+B6430</f>
        <v/>
      </c>
      <c r="D6430">
        <f>IF(B6430=1,INDEX('Data Entry'!$H$5:$BE$10004,6430-4,'Visual SPC'!$B$3),"")</f>
        <v/>
      </c>
      <c r="E6430">
        <f>IF(B6430=1,D6430,E6429)</f>
        <v/>
      </c>
      <c r="F6430">
        <f>IF(AND(B6430=1,C6430&gt;1,E6429&lt;&gt;""),ABS(D6430-E6429),"")</f>
        <v/>
      </c>
    </row>
    <row r="6431">
      <c r="A6431" t="n">
        <v>6431</v>
      </c>
      <c r="B6431">
        <f>IF(INDEX('Data Entry'!$H$5:$BE$10004,6431-4,'Visual SPC'!$B$3)="",0,IF(AND(OR('Visual SPC'!$C$4="",'Data Entry'!$C6431&gt;='Visual SPC'!$C$4),OR('Visual SPC'!$E$4="",'Data Entry'!$C6431&lt;='Visual SPC'!$E$4),OR('Visual SPC'!$G$4="",'Data Entry'!$D6431='Visual SPC'!$G$4),OR('Visual SPC'!$I$4="",'Data Entry'!$E6431='Visual SPC'!$I$4),OR('Visual SPC'!$K$4="",'Data Entry'!$F6431='Visual SPC'!$K$4)),1,0))</f>
        <v/>
      </c>
      <c r="C6431">
        <f>C6430+B6431</f>
        <v/>
      </c>
      <c r="D6431">
        <f>IF(B6431=1,INDEX('Data Entry'!$H$5:$BE$10004,6431-4,'Visual SPC'!$B$3),"")</f>
        <v/>
      </c>
      <c r="E6431">
        <f>IF(B6431=1,D6431,E6430)</f>
        <v/>
      </c>
      <c r="F6431">
        <f>IF(AND(B6431=1,C6431&gt;1,E6430&lt;&gt;""),ABS(D6431-E6430),"")</f>
        <v/>
      </c>
    </row>
    <row r="6432">
      <c r="A6432" t="n">
        <v>6432</v>
      </c>
      <c r="B6432">
        <f>IF(INDEX('Data Entry'!$H$5:$BE$10004,6432-4,'Visual SPC'!$B$3)="",0,IF(AND(OR('Visual SPC'!$C$4="",'Data Entry'!$C6432&gt;='Visual SPC'!$C$4),OR('Visual SPC'!$E$4="",'Data Entry'!$C6432&lt;='Visual SPC'!$E$4),OR('Visual SPC'!$G$4="",'Data Entry'!$D6432='Visual SPC'!$G$4),OR('Visual SPC'!$I$4="",'Data Entry'!$E6432='Visual SPC'!$I$4),OR('Visual SPC'!$K$4="",'Data Entry'!$F6432='Visual SPC'!$K$4)),1,0))</f>
        <v/>
      </c>
      <c r="C6432">
        <f>C6431+B6432</f>
        <v/>
      </c>
      <c r="D6432">
        <f>IF(B6432=1,INDEX('Data Entry'!$H$5:$BE$10004,6432-4,'Visual SPC'!$B$3),"")</f>
        <v/>
      </c>
      <c r="E6432">
        <f>IF(B6432=1,D6432,E6431)</f>
        <v/>
      </c>
      <c r="F6432">
        <f>IF(AND(B6432=1,C6432&gt;1,E6431&lt;&gt;""),ABS(D6432-E6431),"")</f>
        <v/>
      </c>
    </row>
    <row r="6433">
      <c r="A6433" t="n">
        <v>6433</v>
      </c>
      <c r="B6433">
        <f>IF(INDEX('Data Entry'!$H$5:$BE$10004,6433-4,'Visual SPC'!$B$3)="",0,IF(AND(OR('Visual SPC'!$C$4="",'Data Entry'!$C6433&gt;='Visual SPC'!$C$4),OR('Visual SPC'!$E$4="",'Data Entry'!$C6433&lt;='Visual SPC'!$E$4),OR('Visual SPC'!$G$4="",'Data Entry'!$D6433='Visual SPC'!$G$4),OR('Visual SPC'!$I$4="",'Data Entry'!$E6433='Visual SPC'!$I$4),OR('Visual SPC'!$K$4="",'Data Entry'!$F6433='Visual SPC'!$K$4)),1,0))</f>
        <v/>
      </c>
      <c r="C6433">
        <f>C6432+B6433</f>
        <v/>
      </c>
      <c r="D6433">
        <f>IF(B6433=1,INDEX('Data Entry'!$H$5:$BE$10004,6433-4,'Visual SPC'!$B$3),"")</f>
        <v/>
      </c>
      <c r="E6433">
        <f>IF(B6433=1,D6433,E6432)</f>
        <v/>
      </c>
      <c r="F6433">
        <f>IF(AND(B6433=1,C6433&gt;1,E6432&lt;&gt;""),ABS(D6433-E6432),"")</f>
        <v/>
      </c>
    </row>
    <row r="6434">
      <c r="A6434" t="n">
        <v>6434</v>
      </c>
      <c r="B6434">
        <f>IF(INDEX('Data Entry'!$H$5:$BE$10004,6434-4,'Visual SPC'!$B$3)="",0,IF(AND(OR('Visual SPC'!$C$4="",'Data Entry'!$C6434&gt;='Visual SPC'!$C$4),OR('Visual SPC'!$E$4="",'Data Entry'!$C6434&lt;='Visual SPC'!$E$4),OR('Visual SPC'!$G$4="",'Data Entry'!$D6434='Visual SPC'!$G$4),OR('Visual SPC'!$I$4="",'Data Entry'!$E6434='Visual SPC'!$I$4),OR('Visual SPC'!$K$4="",'Data Entry'!$F6434='Visual SPC'!$K$4)),1,0))</f>
        <v/>
      </c>
      <c r="C6434">
        <f>C6433+B6434</f>
        <v/>
      </c>
      <c r="D6434">
        <f>IF(B6434=1,INDEX('Data Entry'!$H$5:$BE$10004,6434-4,'Visual SPC'!$B$3),"")</f>
        <v/>
      </c>
      <c r="E6434">
        <f>IF(B6434=1,D6434,E6433)</f>
        <v/>
      </c>
      <c r="F6434">
        <f>IF(AND(B6434=1,C6434&gt;1,E6433&lt;&gt;""),ABS(D6434-E6433),"")</f>
        <v/>
      </c>
    </row>
    <row r="6435">
      <c r="A6435" t="n">
        <v>6435</v>
      </c>
      <c r="B6435">
        <f>IF(INDEX('Data Entry'!$H$5:$BE$10004,6435-4,'Visual SPC'!$B$3)="",0,IF(AND(OR('Visual SPC'!$C$4="",'Data Entry'!$C6435&gt;='Visual SPC'!$C$4),OR('Visual SPC'!$E$4="",'Data Entry'!$C6435&lt;='Visual SPC'!$E$4),OR('Visual SPC'!$G$4="",'Data Entry'!$D6435='Visual SPC'!$G$4),OR('Visual SPC'!$I$4="",'Data Entry'!$E6435='Visual SPC'!$I$4),OR('Visual SPC'!$K$4="",'Data Entry'!$F6435='Visual SPC'!$K$4)),1,0))</f>
        <v/>
      </c>
      <c r="C6435">
        <f>C6434+B6435</f>
        <v/>
      </c>
      <c r="D6435">
        <f>IF(B6435=1,INDEX('Data Entry'!$H$5:$BE$10004,6435-4,'Visual SPC'!$B$3),"")</f>
        <v/>
      </c>
      <c r="E6435">
        <f>IF(B6435=1,D6435,E6434)</f>
        <v/>
      </c>
      <c r="F6435">
        <f>IF(AND(B6435=1,C6435&gt;1,E6434&lt;&gt;""),ABS(D6435-E6434),"")</f>
        <v/>
      </c>
    </row>
    <row r="6436">
      <c r="A6436" t="n">
        <v>6436</v>
      </c>
      <c r="B6436">
        <f>IF(INDEX('Data Entry'!$H$5:$BE$10004,6436-4,'Visual SPC'!$B$3)="",0,IF(AND(OR('Visual SPC'!$C$4="",'Data Entry'!$C6436&gt;='Visual SPC'!$C$4),OR('Visual SPC'!$E$4="",'Data Entry'!$C6436&lt;='Visual SPC'!$E$4),OR('Visual SPC'!$G$4="",'Data Entry'!$D6436='Visual SPC'!$G$4),OR('Visual SPC'!$I$4="",'Data Entry'!$E6436='Visual SPC'!$I$4),OR('Visual SPC'!$K$4="",'Data Entry'!$F6436='Visual SPC'!$K$4)),1,0))</f>
        <v/>
      </c>
      <c r="C6436">
        <f>C6435+B6436</f>
        <v/>
      </c>
      <c r="D6436">
        <f>IF(B6436=1,INDEX('Data Entry'!$H$5:$BE$10004,6436-4,'Visual SPC'!$B$3),"")</f>
        <v/>
      </c>
      <c r="E6436">
        <f>IF(B6436=1,D6436,E6435)</f>
        <v/>
      </c>
      <c r="F6436">
        <f>IF(AND(B6436=1,C6436&gt;1,E6435&lt;&gt;""),ABS(D6436-E6435),"")</f>
        <v/>
      </c>
    </row>
    <row r="6437">
      <c r="A6437" t="n">
        <v>6437</v>
      </c>
      <c r="B6437">
        <f>IF(INDEX('Data Entry'!$H$5:$BE$10004,6437-4,'Visual SPC'!$B$3)="",0,IF(AND(OR('Visual SPC'!$C$4="",'Data Entry'!$C6437&gt;='Visual SPC'!$C$4),OR('Visual SPC'!$E$4="",'Data Entry'!$C6437&lt;='Visual SPC'!$E$4),OR('Visual SPC'!$G$4="",'Data Entry'!$D6437='Visual SPC'!$G$4),OR('Visual SPC'!$I$4="",'Data Entry'!$E6437='Visual SPC'!$I$4),OR('Visual SPC'!$K$4="",'Data Entry'!$F6437='Visual SPC'!$K$4)),1,0))</f>
        <v/>
      </c>
      <c r="C6437">
        <f>C6436+B6437</f>
        <v/>
      </c>
      <c r="D6437">
        <f>IF(B6437=1,INDEX('Data Entry'!$H$5:$BE$10004,6437-4,'Visual SPC'!$B$3),"")</f>
        <v/>
      </c>
      <c r="E6437">
        <f>IF(B6437=1,D6437,E6436)</f>
        <v/>
      </c>
      <c r="F6437">
        <f>IF(AND(B6437=1,C6437&gt;1,E6436&lt;&gt;""),ABS(D6437-E6436),"")</f>
        <v/>
      </c>
    </row>
    <row r="6438">
      <c r="A6438" t="n">
        <v>6438</v>
      </c>
      <c r="B6438">
        <f>IF(INDEX('Data Entry'!$H$5:$BE$10004,6438-4,'Visual SPC'!$B$3)="",0,IF(AND(OR('Visual SPC'!$C$4="",'Data Entry'!$C6438&gt;='Visual SPC'!$C$4),OR('Visual SPC'!$E$4="",'Data Entry'!$C6438&lt;='Visual SPC'!$E$4),OR('Visual SPC'!$G$4="",'Data Entry'!$D6438='Visual SPC'!$G$4),OR('Visual SPC'!$I$4="",'Data Entry'!$E6438='Visual SPC'!$I$4),OR('Visual SPC'!$K$4="",'Data Entry'!$F6438='Visual SPC'!$K$4)),1,0))</f>
        <v/>
      </c>
      <c r="C6438">
        <f>C6437+B6438</f>
        <v/>
      </c>
      <c r="D6438">
        <f>IF(B6438=1,INDEX('Data Entry'!$H$5:$BE$10004,6438-4,'Visual SPC'!$B$3),"")</f>
        <v/>
      </c>
      <c r="E6438">
        <f>IF(B6438=1,D6438,E6437)</f>
        <v/>
      </c>
      <c r="F6438">
        <f>IF(AND(B6438=1,C6438&gt;1,E6437&lt;&gt;""),ABS(D6438-E6437),"")</f>
        <v/>
      </c>
    </row>
    <row r="6439">
      <c r="A6439" t="n">
        <v>6439</v>
      </c>
      <c r="B6439">
        <f>IF(INDEX('Data Entry'!$H$5:$BE$10004,6439-4,'Visual SPC'!$B$3)="",0,IF(AND(OR('Visual SPC'!$C$4="",'Data Entry'!$C6439&gt;='Visual SPC'!$C$4),OR('Visual SPC'!$E$4="",'Data Entry'!$C6439&lt;='Visual SPC'!$E$4),OR('Visual SPC'!$G$4="",'Data Entry'!$D6439='Visual SPC'!$G$4),OR('Visual SPC'!$I$4="",'Data Entry'!$E6439='Visual SPC'!$I$4),OR('Visual SPC'!$K$4="",'Data Entry'!$F6439='Visual SPC'!$K$4)),1,0))</f>
        <v/>
      </c>
      <c r="C6439">
        <f>C6438+B6439</f>
        <v/>
      </c>
      <c r="D6439">
        <f>IF(B6439=1,INDEX('Data Entry'!$H$5:$BE$10004,6439-4,'Visual SPC'!$B$3),"")</f>
        <v/>
      </c>
      <c r="E6439">
        <f>IF(B6439=1,D6439,E6438)</f>
        <v/>
      </c>
      <c r="F6439">
        <f>IF(AND(B6439=1,C6439&gt;1,E6438&lt;&gt;""),ABS(D6439-E6438),"")</f>
        <v/>
      </c>
    </row>
    <row r="6440">
      <c r="A6440" t="n">
        <v>6440</v>
      </c>
      <c r="B6440">
        <f>IF(INDEX('Data Entry'!$H$5:$BE$10004,6440-4,'Visual SPC'!$B$3)="",0,IF(AND(OR('Visual SPC'!$C$4="",'Data Entry'!$C6440&gt;='Visual SPC'!$C$4),OR('Visual SPC'!$E$4="",'Data Entry'!$C6440&lt;='Visual SPC'!$E$4),OR('Visual SPC'!$G$4="",'Data Entry'!$D6440='Visual SPC'!$G$4),OR('Visual SPC'!$I$4="",'Data Entry'!$E6440='Visual SPC'!$I$4),OR('Visual SPC'!$K$4="",'Data Entry'!$F6440='Visual SPC'!$K$4)),1,0))</f>
        <v/>
      </c>
      <c r="C6440">
        <f>C6439+B6440</f>
        <v/>
      </c>
      <c r="D6440">
        <f>IF(B6440=1,INDEX('Data Entry'!$H$5:$BE$10004,6440-4,'Visual SPC'!$B$3),"")</f>
        <v/>
      </c>
      <c r="E6440">
        <f>IF(B6440=1,D6440,E6439)</f>
        <v/>
      </c>
      <c r="F6440">
        <f>IF(AND(B6440=1,C6440&gt;1,E6439&lt;&gt;""),ABS(D6440-E6439),"")</f>
        <v/>
      </c>
    </row>
    <row r="6441">
      <c r="A6441" t="n">
        <v>6441</v>
      </c>
      <c r="B6441">
        <f>IF(INDEX('Data Entry'!$H$5:$BE$10004,6441-4,'Visual SPC'!$B$3)="",0,IF(AND(OR('Visual SPC'!$C$4="",'Data Entry'!$C6441&gt;='Visual SPC'!$C$4),OR('Visual SPC'!$E$4="",'Data Entry'!$C6441&lt;='Visual SPC'!$E$4),OR('Visual SPC'!$G$4="",'Data Entry'!$D6441='Visual SPC'!$G$4),OR('Visual SPC'!$I$4="",'Data Entry'!$E6441='Visual SPC'!$I$4),OR('Visual SPC'!$K$4="",'Data Entry'!$F6441='Visual SPC'!$K$4)),1,0))</f>
        <v/>
      </c>
      <c r="C6441">
        <f>C6440+B6441</f>
        <v/>
      </c>
      <c r="D6441">
        <f>IF(B6441=1,INDEX('Data Entry'!$H$5:$BE$10004,6441-4,'Visual SPC'!$B$3),"")</f>
        <v/>
      </c>
      <c r="E6441">
        <f>IF(B6441=1,D6441,E6440)</f>
        <v/>
      </c>
      <c r="F6441">
        <f>IF(AND(B6441=1,C6441&gt;1,E6440&lt;&gt;""),ABS(D6441-E6440),"")</f>
        <v/>
      </c>
    </row>
    <row r="6442">
      <c r="A6442" t="n">
        <v>6442</v>
      </c>
      <c r="B6442">
        <f>IF(INDEX('Data Entry'!$H$5:$BE$10004,6442-4,'Visual SPC'!$B$3)="",0,IF(AND(OR('Visual SPC'!$C$4="",'Data Entry'!$C6442&gt;='Visual SPC'!$C$4),OR('Visual SPC'!$E$4="",'Data Entry'!$C6442&lt;='Visual SPC'!$E$4),OR('Visual SPC'!$G$4="",'Data Entry'!$D6442='Visual SPC'!$G$4),OR('Visual SPC'!$I$4="",'Data Entry'!$E6442='Visual SPC'!$I$4),OR('Visual SPC'!$K$4="",'Data Entry'!$F6442='Visual SPC'!$K$4)),1,0))</f>
        <v/>
      </c>
      <c r="C6442">
        <f>C6441+B6442</f>
        <v/>
      </c>
      <c r="D6442">
        <f>IF(B6442=1,INDEX('Data Entry'!$H$5:$BE$10004,6442-4,'Visual SPC'!$B$3),"")</f>
        <v/>
      </c>
      <c r="E6442">
        <f>IF(B6442=1,D6442,E6441)</f>
        <v/>
      </c>
      <c r="F6442">
        <f>IF(AND(B6442=1,C6442&gt;1,E6441&lt;&gt;""),ABS(D6442-E6441),"")</f>
        <v/>
      </c>
    </row>
    <row r="6443">
      <c r="A6443" t="n">
        <v>6443</v>
      </c>
      <c r="B6443">
        <f>IF(INDEX('Data Entry'!$H$5:$BE$10004,6443-4,'Visual SPC'!$B$3)="",0,IF(AND(OR('Visual SPC'!$C$4="",'Data Entry'!$C6443&gt;='Visual SPC'!$C$4),OR('Visual SPC'!$E$4="",'Data Entry'!$C6443&lt;='Visual SPC'!$E$4),OR('Visual SPC'!$G$4="",'Data Entry'!$D6443='Visual SPC'!$G$4),OR('Visual SPC'!$I$4="",'Data Entry'!$E6443='Visual SPC'!$I$4),OR('Visual SPC'!$K$4="",'Data Entry'!$F6443='Visual SPC'!$K$4)),1,0))</f>
        <v/>
      </c>
      <c r="C6443">
        <f>C6442+B6443</f>
        <v/>
      </c>
      <c r="D6443">
        <f>IF(B6443=1,INDEX('Data Entry'!$H$5:$BE$10004,6443-4,'Visual SPC'!$B$3),"")</f>
        <v/>
      </c>
      <c r="E6443">
        <f>IF(B6443=1,D6443,E6442)</f>
        <v/>
      </c>
      <c r="F6443">
        <f>IF(AND(B6443=1,C6443&gt;1,E6442&lt;&gt;""),ABS(D6443-E6442),"")</f>
        <v/>
      </c>
    </row>
    <row r="6444">
      <c r="A6444" t="n">
        <v>6444</v>
      </c>
      <c r="B6444">
        <f>IF(INDEX('Data Entry'!$H$5:$BE$10004,6444-4,'Visual SPC'!$B$3)="",0,IF(AND(OR('Visual SPC'!$C$4="",'Data Entry'!$C6444&gt;='Visual SPC'!$C$4),OR('Visual SPC'!$E$4="",'Data Entry'!$C6444&lt;='Visual SPC'!$E$4),OR('Visual SPC'!$G$4="",'Data Entry'!$D6444='Visual SPC'!$G$4),OR('Visual SPC'!$I$4="",'Data Entry'!$E6444='Visual SPC'!$I$4),OR('Visual SPC'!$K$4="",'Data Entry'!$F6444='Visual SPC'!$K$4)),1,0))</f>
        <v/>
      </c>
      <c r="C6444">
        <f>C6443+B6444</f>
        <v/>
      </c>
      <c r="D6444">
        <f>IF(B6444=1,INDEX('Data Entry'!$H$5:$BE$10004,6444-4,'Visual SPC'!$B$3),"")</f>
        <v/>
      </c>
      <c r="E6444">
        <f>IF(B6444=1,D6444,E6443)</f>
        <v/>
      </c>
      <c r="F6444">
        <f>IF(AND(B6444=1,C6444&gt;1,E6443&lt;&gt;""),ABS(D6444-E6443),"")</f>
        <v/>
      </c>
    </row>
    <row r="6445">
      <c r="A6445" t="n">
        <v>6445</v>
      </c>
      <c r="B6445">
        <f>IF(INDEX('Data Entry'!$H$5:$BE$10004,6445-4,'Visual SPC'!$B$3)="",0,IF(AND(OR('Visual SPC'!$C$4="",'Data Entry'!$C6445&gt;='Visual SPC'!$C$4),OR('Visual SPC'!$E$4="",'Data Entry'!$C6445&lt;='Visual SPC'!$E$4),OR('Visual SPC'!$G$4="",'Data Entry'!$D6445='Visual SPC'!$G$4),OR('Visual SPC'!$I$4="",'Data Entry'!$E6445='Visual SPC'!$I$4),OR('Visual SPC'!$K$4="",'Data Entry'!$F6445='Visual SPC'!$K$4)),1,0))</f>
        <v/>
      </c>
      <c r="C6445">
        <f>C6444+B6445</f>
        <v/>
      </c>
      <c r="D6445">
        <f>IF(B6445=1,INDEX('Data Entry'!$H$5:$BE$10004,6445-4,'Visual SPC'!$B$3),"")</f>
        <v/>
      </c>
      <c r="E6445">
        <f>IF(B6445=1,D6445,E6444)</f>
        <v/>
      </c>
      <c r="F6445">
        <f>IF(AND(B6445=1,C6445&gt;1,E6444&lt;&gt;""),ABS(D6445-E6444),"")</f>
        <v/>
      </c>
    </row>
    <row r="6446">
      <c r="A6446" t="n">
        <v>6446</v>
      </c>
      <c r="B6446">
        <f>IF(INDEX('Data Entry'!$H$5:$BE$10004,6446-4,'Visual SPC'!$B$3)="",0,IF(AND(OR('Visual SPC'!$C$4="",'Data Entry'!$C6446&gt;='Visual SPC'!$C$4),OR('Visual SPC'!$E$4="",'Data Entry'!$C6446&lt;='Visual SPC'!$E$4),OR('Visual SPC'!$G$4="",'Data Entry'!$D6446='Visual SPC'!$G$4),OR('Visual SPC'!$I$4="",'Data Entry'!$E6446='Visual SPC'!$I$4),OR('Visual SPC'!$K$4="",'Data Entry'!$F6446='Visual SPC'!$K$4)),1,0))</f>
        <v/>
      </c>
      <c r="C6446">
        <f>C6445+B6446</f>
        <v/>
      </c>
      <c r="D6446">
        <f>IF(B6446=1,INDEX('Data Entry'!$H$5:$BE$10004,6446-4,'Visual SPC'!$B$3),"")</f>
        <v/>
      </c>
      <c r="E6446">
        <f>IF(B6446=1,D6446,E6445)</f>
        <v/>
      </c>
      <c r="F6446">
        <f>IF(AND(B6446=1,C6446&gt;1,E6445&lt;&gt;""),ABS(D6446-E6445),"")</f>
        <v/>
      </c>
    </row>
    <row r="6447">
      <c r="A6447" t="n">
        <v>6447</v>
      </c>
      <c r="B6447">
        <f>IF(INDEX('Data Entry'!$H$5:$BE$10004,6447-4,'Visual SPC'!$B$3)="",0,IF(AND(OR('Visual SPC'!$C$4="",'Data Entry'!$C6447&gt;='Visual SPC'!$C$4),OR('Visual SPC'!$E$4="",'Data Entry'!$C6447&lt;='Visual SPC'!$E$4),OR('Visual SPC'!$G$4="",'Data Entry'!$D6447='Visual SPC'!$G$4),OR('Visual SPC'!$I$4="",'Data Entry'!$E6447='Visual SPC'!$I$4),OR('Visual SPC'!$K$4="",'Data Entry'!$F6447='Visual SPC'!$K$4)),1,0))</f>
        <v/>
      </c>
      <c r="C6447">
        <f>C6446+B6447</f>
        <v/>
      </c>
      <c r="D6447">
        <f>IF(B6447=1,INDEX('Data Entry'!$H$5:$BE$10004,6447-4,'Visual SPC'!$B$3),"")</f>
        <v/>
      </c>
      <c r="E6447">
        <f>IF(B6447=1,D6447,E6446)</f>
        <v/>
      </c>
      <c r="F6447">
        <f>IF(AND(B6447=1,C6447&gt;1,E6446&lt;&gt;""),ABS(D6447-E6446),"")</f>
        <v/>
      </c>
    </row>
    <row r="6448">
      <c r="A6448" t="n">
        <v>6448</v>
      </c>
      <c r="B6448">
        <f>IF(INDEX('Data Entry'!$H$5:$BE$10004,6448-4,'Visual SPC'!$B$3)="",0,IF(AND(OR('Visual SPC'!$C$4="",'Data Entry'!$C6448&gt;='Visual SPC'!$C$4),OR('Visual SPC'!$E$4="",'Data Entry'!$C6448&lt;='Visual SPC'!$E$4),OR('Visual SPC'!$G$4="",'Data Entry'!$D6448='Visual SPC'!$G$4),OR('Visual SPC'!$I$4="",'Data Entry'!$E6448='Visual SPC'!$I$4),OR('Visual SPC'!$K$4="",'Data Entry'!$F6448='Visual SPC'!$K$4)),1,0))</f>
        <v/>
      </c>
      <c r="C6448">
        <f>C6447+B6448</f>
        <v/>
      </c>
      <c r="D6448">
        <f>IF(B6448=1,INDEX('Data Entry'!$H$5:$BE$10004,6448-4,'Visual SPC'!$B$3),"")</f>
        <v/>
      </c>
      <c r="E6448">
        <f>IF(B6448=1,D6448,E6447)</f>
        <v/>
      </c>
      <c r="F6448">
        <f>IF(AND(B6448=1,C6448&gt;1,E6447&lt;&gt;""),ABS(D6448-E6447),"")</f>
        <v/>
      </c>
    </row>
    <row r="6449">
      <c r="A6449" t="n">
        <v>6449</v>
      </c>
      <c r="B6449">
        <f>IF(INDEX('Data Entry'!$H$5:$BE$10004,6449-4,'Visual SPC'!$B$3)="",0,IF(AND(OR('Visual SPC'!$C$4="",'Data Entry'!$C6449&gt;='Visual SPC'!$C$4),OR('Visual SPC'!$E$4="",'Data Entry'!$C6449&lt;='Visual SPC'!$E$4),OR('Visual SPC'!$G$4="",'Data Entry'!$D6449='Visual SPC'!$G$4),OR('Visual SPC'!$I$4="",'Data Entry'!$E6449='Visual SPC'!$I$4),OR('Visual SPC'!$K$4="",'Data Entry'!$F6449='Visual SPC'!$K$4)),1,0))</f>
        <v/>
      </c>
      <c r="C6449">
        <f>C6448+B6449</f>
        <v/>
      </c>
      <c r="D6449">
        <f>IF(B6449=1,INDEX('Data Entry'!$H$5:$BE$10004,6449-4,'Visual SPC'!$B$3),"")</f>
        <v/>
      </c>
      <c r="E6449">
        <f>IF(B6449=1,D6449,E6448)</f>
        <v/>
      </c>
      <c r="F6449">
        <f>IF(AND(B6449=1,C6449&gt;1,E6448&lt;&gt;""),ABS(D6449-E6448),"")</f>
        <v/>
      </c>
    </row>
    <row r="6450">
      <c r="A6450" t="n">
        <v>6450</v>
      </c>
      <c r="B6450">
        <f>IF(INDEX('Data Entry'!$H$5:$BE$10004,6450-4,'Visual SPC'!$B$3)="",0,IF(AND(OR('Visual SPC'!$C$4="",'Data Entry'!$C6450&gt;='Visual SPC'!$C$4),OR('Visual SPC'!$E$4="",'Data Entry'!$C6450&lt;='Visual SPC'!$E$4),OR('Visual SPC'!$G$4="",'Data Entry'!$D6450='Visual SPC'!$G$4),OR('Visual SPC'!$I$4="",'Data Entry'!$E6450='Visual SPC'!$I$4),OR('Visual SPC'!$K$4="",'Data Entry'!$F6450='Visual SPC'!$K$4)),1,0))</f>
        <v/>
      </c>
      <c r="C6450">
        <f>C6449+B6450</f>
        <v/>
      </c>
      <c r="D6450">
        <f>IF(B6450=1,INDEX('Data Entry'!$H$5:$BE$10004,6450-4,'Visual SPC'!$B$3),"")</f>
        <v/>
      </c>
      <c r="E6450">
        <f>IF(B6450=1,D6450,E6449)</f>
        <v/>
      </c>
      <c r="F6450">
        <f>IF(AND(B6450=1,C6450&gt;1,E6449&lt;&gt;""),ABS(D6450-E6449),"")</f>
        <v/>
      </c>
    </row>
    <row r="6451">
      <c r="A6451" t="n">
        <v>6451</v>
      </c>
      <c r="B6451">
        <f>IF(INDEX('Data Entry'!$H$5:$BE$10004,6451-4,'Visual SPC'!$B$3)="",0,IF(AND(OR('Visual SPC'!$C$4="",'Data Entry'!$C6451&gt;='Visual SPC'!$C$4),OR('Visual SPC'!$E$4="",'Data Entry'!$C6451&lt;='Visual SPC'!$E$4),OR('Visual SPC'!$G$4="",'Data Entry'!$D6451='Visual SPC'!$G$4),OR('Visual SPC'!$I$4="",'Data Entry'!$E6451='Visual SPC'!$I$4),OR('Visual SPC'!$K$4="",'Data Entry'!$F6451='Visual SPC'!$K$4)),1,0))</f>
        <v/>
      </c>
      <c r="C6451">
        <f>C6450+B6451</f>
        <v/>
      </c>
      <c r="D6451">
        <f>IF(B6451=1,INDEX('Data Entry'!$H$5:$BE$10004,6451-4,'Visual SPC'!$B$3),"")</f>
        <v/>
      </c>
      <c r="E6451">
        <f>IF(B6451=1,D6451,E6450)</f>
        <v/>
      </c>
      <c r="F6451">
        <f>IF(AND(B6451=1,C6451&gt;1,E6450&lt;&gt;""),ABS(D6451-E6450),"")</f>
        <v/>
      </c>
    </row>
    <row r="6452">
      <c r="A6452" t="n">
        <v>6452</v>
      </c>
      <c r="B6452">
        <f>IF(INDEX('Data Entry'!$H$5:$BE$10004,6452-4,'Visual SPC'!$B$3)="",0,IF(AND(OR('Visual SPC'!$C$4="",'Data Entry'!$C6452&gt;='Visual SPC'!$C$4),OR('Visual SPC'!$E$4="",'Data Entry'!$C6452&lt;='Visual SPC'!$E$4),OR('Visual SPC'!$G$4="",'Data Entry'!$D6452='Visual SPC'!$G$4),OR('Visual SPC'!$I$4="",'Data Entry'!$E6452='Visual SPC'!$I$4),OR('Visual SPC'!$K$4="",'Data Entry'!$F6452='Visual SPC'!$K$4)),1,0))</f>
        <v/>
      </c>
      <c r="C6452">
        <f>C6451+B6452</f>
        <v/>
      </c>
      <c r="D6452">
        <f>IF(B6452=1,INDEX('Data Entry'!$H$5:$BE$10004,6452-4,'Visual SPC'!$B$3),"")</f>
        <v/>
      </c>
      <c r="E6452">
        <f>IF(B6452=1,D6452,E6451)</f>
        <v/>
      </c>
      <c r="F6452">
        <f>IF(AND(B6452=1,C6452&gt;1,E6451&lt;&gt;""),ABS(D6452-E6451),"")</f>
        <v/>
      </c>
    </row>
    <row r="6453">
      <c r="A6453" t="n">
        <v>6453</v>
      </c>
      <c r="B6453">
        <f>IF(INDEX('Data Entry'!$H$5:$BE$10004,6453-4,'Visual SPC'!$B$3)="",0,IF(AND(OR('Visual SPC'!$C$4="",'Data Entry'!$C6453&gt;='Visual SPC'!$C$4),OR('Visual SPC'!$E$4="",'Data Entry'!$C6453&lt;='Visual SPC'!$E$4),OR('Visual SPC'!$G$4="",'Data Entry'!$D6453='Visual SPC'!$G$4),OR('Visual SPC'!$I$4="",'Data Entry'!$E6453='Visual SPC'!$I$4),OR('Visual SPC'!$K$4="",'Data Entry'!$F6453='Visual SPC'!$K$4)),1,0))</f>
        <v/>
      </c>
      <c r="C6453">
        <f>C6452+B6453</f>
        <v/>
      </c>
      <c r="D6453">
        <f>IF(B6453=1,INDEX('Data Entry'!$H$5:$BE$10004,6453-4,'Visual SPC'!$B$3),"")</f>
        <v/>
      </c>
      <c r="E6453">
        <f>IF(B6453=1,D6453,E6452)</f>
        <v/>
      </c>
      <c r="F6453">
        <f>IF(AND(B6453=1,C6453&gt;1,E6452&lt;&gt;""),ABS(D6453-E6452),"")</f>
        <v/>
      </c>
    </row>
    <row r="6454">
      <c r="A6454" t="n">
        <v>6454</v>
      </c>
      <c r="B6454">
        <f>IF(INDEX('Data Entry'!$H$5:$BE$10004,6454-4,'Visual SPC'!$B$3)="",0,IF(AND(OR('Visual SPC'!$C$4="",'Data Entry'!$C6454&gt;='Visual SPC'!$C$4),OR('Visual SPC'!$E$4="",'Data Entry'!$C6454&lt;='Visual SPC'!$E$4),OR('Visual SPC'!$G$4="",'Data Entry'!$D6454='Visual SPC'!$G$4),OR('Visual SPC'!$I$4="",'Data Entry'!$E6454='Visual SPC'!$I$4),OR('Visual SPC'!$K$4="",'Data Entry'!$F6454='Visual SPC'!$K$4)),1,0))</f>
        <v/>
      </c>
      <c r="C6454">
        <f>C6453+B6454</f>
        <v/>
      </c>
      <c r="D6454">
        <f>IF(B6454=1,INDEX('Data Entry'!$H$5:$BE$10004,6454-4,'Visual SPC'!$B$3),"")</f>
        <v/>
      </c>
      <c r="E6454">
        <f>IF(B6454=1,D6454,E6453)</f>
        <v/>
      </c>
      <c r="F6454">
        <f>IF(AND(B6454=1,C6454&gt;1,E6453&lt;&gt;""),ABS(D6454-E6453),"")</f>
        <v/>
      </c>
    </row>
    <row r="6455">
      <c r="A6455" t="n">
        <v>6455</v>
      </c>
      <c r="B6455">
        <f>IF(INDEX('Data Entry'!$H$5:$BE$10004,6455-4,'Visual SPC'!$B$3)="",0,IF(AND(OR('Visual SPC'!$C$4="",'Data Entry'!$C6455&gt;='Visual SPC'!$C$4),OR('Visual SPC'!$E$4="",'Data Entry'!$C6455&lt;='Visual SPC'!$E$4),OR('Visual SPC'!$G$4="",'Data Entry'!$D6455='Visual SPC'!$G$4),OR('Visual SPC'!$I$4="",'Data Entry'!$E6455='Visual SPC'!$I$4),OR('Visual SPC'!$K$4="",'Data Entry'!$F6455='Visual SPC'!$K$4)),1,0))</f>
        <v/>
      </c>
      <c r="C6455">
        <f>C6454+B6455</f>
        <v/>
      </c>
      <c r="D6455">
        <f>IF(B6455=1,INDEX('Data Entry'!$H$5:$BE$10004,6455-4,'Visual SPC'!$B$3),"")</f>
        <v/>
      </c>
      <c r="E6455">
        <f>IF(B6455=1,D6455,E6454)</f>
        <v/>
      </c>
      <c r="F6455">
        <f>IF(AND(B6455=1,C6455&gt;1,E6454&lt;&gt;""),ABS(D6455-E6454),"")</f>
        <v/>
      </c>
    </row>
    <row r="6456">
      <c r="A6456" t="n">
        <v>6456</v>
      </c>
      <c r="B6456">
        <f>IF(INDEX('Data Entry'!$H$5:$BE$10004,6456-4,'Visual SPC'!$B$3)="",0,IF(AND(OR('Visual SPC'!$C$4="",'Data Entry'!$C6456&gt;='Visual SPC'!$C$4),OR('Visual SPC'!$E$4="",'Data Entry'!$C6456&lt;='Visual SPC'!$E$4),OR('Visual SPC'!$G$4="",'Data Entry'!$D6456='Visual SPC'!$G$4),OR('Visual SPC'!$I$4="",'Data Entry'!$E6456='Visual SPC'!$I$4),OR('Visual SPC'!$K$4="",'Data Entry'!$F6456='Visual SPC'!$K$4)),1,0))</f>
        <v/>
      </c>
      <c r="C6456">
        <f>C6455+B6456</f>
        <v/>
      </c>
      <c r="D6456">
        <f>IF(B6456=1,INDEX('Data Entry'!$H$5:$BE$10004,6456-4,'Visual SPC'!$B$3),"")</f>
        <v/>
      </c>
      <c r="E6456">
        <f>IF(B6456=1,D6456,E6455)</f>
        <v/>
      </c>
      <c r="F6456">
        <f>IF(AND(B6456=1,C6456&gt;1,E6455&lt;&gt;""),ABS(D6456-E6455),"")</f>
        <v/>
      </c>
    </row>
    <row r="6457">
      <c r="A6457" t="n">
        <v>6457</v>
      </c>
      <c r="B6457">
        <f>IF(INDEX('Data Entry'!$H$5:$BE$10004,6457-4,'Visual SPC'!$B$3)="",0,IF(AND(OR('Visual SPC'!$C$4="",'Data Entry'!$C6457&gt;='Visual SPC'!$C$4),OR('Visual SPC'!$E$4="",'Data Entry'!$C6457&lt;='Visual SPC'!$E$4),OR('Visual SPC'!$G$4="",'Data Entry'!$D6457='Visual SPC'!$G$4),OR('Visual SPC'!$I$4="",'Data Entry'!$E6457='Visual SPC'!$I$4),OR('Visual SPC'!$K$4="",'Data Entry'!$F6457='Visual SPC'!$K$4)),1,0))</f>
        <v/>
      </c>
      <c r="C6457">
        <f>C6456+B6457</f>
        <v/>
      </c>
      <c r="D6457">
        <f>IF(B6457=1,INDEX('Data Entry'!$H$5:$BE$10004,6457-4,'Visual SPC'!$B$3),"")</f>
        <v/>
      </c>
      <c r="E6457">
        <f>IF(B6457=1,D6457,E6456)</f>
        <v/>
      </c>
      <c r="F6457">
        <f>IF(AND(B6457=1,C6457&gt;1,E6456&lt;&gt;""),ABS(D6457-E6456),"")</f>
        <v/>
      </c>
    </row>
    <row r="6458">
      <c r="A6458" t="n">
        <v>6458</v>
      </c>
      <c r="B6458">
        <f>IF(INDEX('Data Entry'!$H$5:$BE$10004,6458-4,'Visual SPC'!$B$3)="",0,IF(AND(OR('Visual SPC'!$C$4="",'Data Entry'!$C6458&gt;='Visual SPC'!$C$4),OR('Visual SPC'!$E$4="",'Data Entry'!$C6458&lt;='Visual SPC'!$E$4),OR('Visual SPC'!$G$4="",'Data Entry'!$D6458='Visual SPC'!$G$4),OR('Visual SPC'!$I$4="",'Data Entry'!$E6458='Visual SPC'!$I$4),OR('Visual SPC'!$K$4="",'Data Entry'!$F6458='Visual SPC'!$K$4)),1,0))</f>
        <v/>
      </c>
      <c r="C6458">
        <f>C6457+B6458</f>
        <v/>
      </c>
      <c r="D6458">
        <f>IF(B6458=1,INDEX('Data Entry'!$H$5:$BE$10004,6458-4,'Visual SPC'!$B$3),"")</f>
        <v/>
      </c>
      <c r="E6458">
        <f>IF(B6458=1,D6458,E6457)</f>
        <v/>
      </c>
      <c r="F6458">
        <f>IF(AND(B6458=1,C6458&gt;1,E6457&lt;&gt;""),ABS(D6458-E6457),"")</f>
        <v/>
      </c>
    </row>
    <row r="6459">
      <c r="A6459" t="n">
        <v>6459</v>
      </c>
      <c r="B6459">
        <f>IF(INDEX('Data Entry'!$H$5:$BE$10004,6459-4,'Visual SPC'!$B$3)="",0,IF(AND(OR('Visual SPC'!$C$4="",'Data Entry'!$C6459&gt;='Visual SPC'!$C$4),OR('Visual SPC'!$E$4="",'Data Entry'!$C6459&lt;='Visual SPC'!$E$4),OR('Visual SPC'!$G$4="",'Data Entry'!$D6459='Visual SPC'!$G$4),OR('Visual SPC'!$I$4="",'Data Entry'!$E6459='Visual SPC'!$I$4),OR('Visual SPC'!$K$4="",'Data Entry'!$F6459='Visual SPC'!$K$4)),1,0))</f>
        <v/>
      </c>
      <c r="C6459">
        <f>C6458+B6459</f>
        <v/>
      </c>
      <c r="D6459">
        <f>IF(B6459=1,INDEX('Data Entry'!$H$5:$BE$10004,6459-4,'Visual SPC'!$B$3),"")</f>
        <v/>
      </c>
      <c r="E6459">
        <f>IF(B6459=1,D6459,E6458)</f>
        <v/>
      </c>
      <c r="F6459">
        <f>IF(AND(B6459=1,C6459&gt;1,E6458&lt;&gt;""),ABS(D6459-E6458),"")</f>
        <v/>
      </c>
    </row>
    <row r="6460">
      <c r="A6460" t="n">
        <v>6460</v>
      </c>
      <c r="B6460">
        <f>IF(INDEX('Data Entry'!$H$5:$BE$10004,6460-4,'Visual SPC'!$B$3)="",0,IF(AND(OR('Visual SPC'!$C$4="",'Data Entry'!$C6460&gt;='Visual SPC'!$C$4),OR('Visual SPC'!$E$4="",'Data Entry'!$C6460&lt;='Visual SPC'!$E$4),OR('Visual SPC'!$G$4="",'Data Entry'!$D6460='Visual SPC'!$G$4),OR('Visual SPC'!$I$4="",'Data Entry'!$E6460='Visual SPC'!$I$4),OR('Visual SPC'!$K$4="",'Data Entry'!$F6460='Visual SPC'!$K$4)),1,0))</f>
        <v/>
      </c>
      <c r="C6460">
        <f>C6459+B6460</f>
        <v/>
      </c>
      <c r="D6460">
        <f>IF(B6460=1,INDEX('Data Entry'!$H$5:$BE$10004,6460-4,'Visual SPC'!$B$3),"")</f>
        <v/>
      </c>
      <c r="E6460">
        <f>IF(B6460=1,D6460,E6459)</f>
        <v/>
      </c>
      <c r="F6460">
        <f>IF(AND(B6460=1,C6460&gt;1,E6459&lt;&gt;""),ABS(D6460-E6459),"")</f>
        <v/>
      </c>
    </row>
    <row r="6461">
      <c r="A6461" t="n">
        <v>6461</v>
      </c>
      <c r="B6461">
        <f>IF(INDEX('Data Entry'!$H$5:$BE$10004,6461-4,'Visual SPC'!$B$3)="",0,IF(AND(OR('Visual SPC'!$C$4="",'Data Entry'!$C6461&gt;='Visual SPC'!$C$4),OR('Visual SPC'!$E$4="",'Data Entry'!$C6461&lt;='Visual SPC'!$E$4),OR('Visual SPC'!$G$4="",'Data Entry'!$D6461='Visual SPC'!$G$4),OR('Visual SPC'!$I$4="",'Data Entry'!$E6461='Visual SPC'!$I$4),OR('Visual SPC'!$K$4="",'Data Entry'!$F6461='Visual SPC'!$K$4)),1,0))</f>
        <v/>
      </c>
      <c r="C6461">
        <f>C6460+B6461</f>
        <v/>
      </c>
      <c r="D6461">
        <f>IF(B6461=1,INDEX('Data Entry'!$H$5:$BE$10004,6461-4,'Visual SPC'!$B$3),"")</f>
        <v/>
      </c>
      <c r="E6461">
        <f>IF(B6461=1,D6461,E6460)</f>
        <v/>
      </c>
      <c r="F6461">
        <f>IF(AND(B6461=1,C6461&gt;1,E6460&lt;&gt;""),ABS(D6461-E6460),"")</f>
        <v/>
      </c>
    </row>
    <row r="6462">
      <c r="A6462" t="n">
        <v>6462</v>
      </c>
      <c r="B6462">
        <f>IF(INDEX('Data Entry'!$H$5:$BE$10004,6462-4,'Visual SPC'!$B$3)="",0,IF(AND(OR('Visual SPC'!$C$4="",'Data Entry'!$C6462&gt;='Visual SPC'!$C$4),OR('Visual SPC'!$E$4="",'Data Entry'!$C6462&lt;='Visual SPC'!$E$4),OR('Visual SPC'!$G$4="",'Data Entry'!$D6462='Visual SPC'!$G$4),OR('Visual SPC'!$I$4="",'Data Entry'!$E6462='Visual SPC'!$I$4),OR('Visual SPC'!$K$4="",'Data Entry'!$F6462='Visual SPC'!$K$4)),1,0))</f>
        <v/>
      </c>
      <c r="C6462">
        <f>C6461+B6462</f>
        <v/>
      </c>
      <c r="D6462">
        <f>IF(B6462=1,INDEX('Data Entry'!$H$5:$BE$10004,6462-4,'Visual SPC'!$B$3),"")</f>
        <v/>
      </c>
      <c r="E6462">
        <f>IF(B6462=1,D6462,E6461)</f>
        <v/>
      </c>
      <c r="F6462">
        <f>IF(AND(B6462=1,C6462&gt;1,E6461&lt;&gt;""),ABS(D6462-E6461),"")</f>
        <v/>
      </c>
    </row>
    <row r="6463">
      <c r="A6463" t="n">
        <v>6463</v>
      </c>
      <c r="B6463">
        <f>IF(INDEX('Data Entry'!$H$5:$BE$10004,6463-4,'Visual SPC'!$B$3)="",0,IF(AND(OR('Visual SPC'!$C$4="",'Data Entry'!$C6463&gt;='Visual SPC'!$C$4),OR('Visual SPC'!$E$4="",'Data Entry'!$C6463&lt;='Visual SPC'!$E$4),OR('Visual SPC'!$G$4="",'Data Entry'!$D6463='Visual SPC'!$G$4),OR('Visual SPC'!$I$4="",'Data Entry'!$E6463='Visual SPC'!$I$4),OR('Visual SPC'!$K$4="",'Data Entry'!$F6463='Visual SPC'!$K$4)),1,0))</f>
        <v/>
      </c>
      <c r="C6463">
        <f>C6462+B6463</f>
        <v/>
      </c>
      <c r="D6463">
        <f>IF(B6463=1,INDEX('Data Entry'!$H$5:$BE$10004,6463-4,'Visual SPC'!$B$3),"")</f>
        <v/>
      </c>
      <c r="E6463">
        <f>IF(B6463=1,D6463,E6462)</f>
        <v/>
      </c>
      <c r="F6463">
        <f>IF(AND(B6463=1,C6463&gt;1,E6462&lt;&gt;""),ABS(D6463-E6462),"")</f>
        <v/>
      </c>
    </row>
    <row r="6464">
      <c r="A6464" t="n">
        <v>6464</v>
      </c>
      <c r="B6464">
        <f>IF(INDEX('Data Entry'!$H$5:$BE$10004,6464-4,'Visual SPC'!$B$3)="",0,IF(AND(OR('Visual SPC'!$C$4="",'Data Entry'!$C6464&gt;='Visual SPC'!$C$4),OR('Visual SPC'!$E$4="",'Data Entry'!$C6464&lt;='Visual SPC'!$E$4),OR('Visual SPC'!$G$4="",'Data Entry'!$D6464='Visual SPC'!$G$4),OR('Visual SPC'!$I$4="",'Data Entry'!$E6464='Visual SPC'!$I$4),OR('Visual SPC'!$K$4="",'Data Entry'!$F6464='Visual SPC'!$K$4)),1,0))</f>
        <v/>
      </c>
      <c r="C6464">
        <f>C6463+B6464</f>
        <v/>
      </c>
      <c r="D6464">
        <f>IF(B6464=1,INDEX('Data Entry'!$H$5:$BE$10004,6464-4,'Visual SPC'!$B$3),"")</f>
        <v/>
      </c>
      <c r="E6464">
        <f>IF(B6464=1,D6464,E6463)</f>
        <v/>
      </c>
      <c r="F6464">
        <f>IF(AND(B6464=1,C6464&gt;1,E6463&lt;&gt;""),ABS(D6464-E6463),"")</f>
        <v/>
      </c>
    </row>
    <row r="6465">
      <c r="A6465" t="n">
        <v>6465</v>
      </c>
      <c r="B6465">
        <f>IF(INDEX('Data Entry'!$H$5:$BE$10004,6465-4,'Visual SPC'!$B$3)="",0,IF(AND(OR('Visual SPC'!$C$4="",'Data Entry'!$C6465&gt;='Visual SPC'!$C$4),OR('Visual SPC'!$E$4="",'Data Entry'!$C6465&lt;='Visual SPC'!$E$4),OR('Visual SPC'!$G$4="",'Data Entry'!$D6465='Visual SPC'!$G$4),OR('Visual SPC'!$I$4="",'Data Entry'!$E6465='Visual SPC'!$I$4),OR('Visual SPC'!$K$4="",'Data Entry'!$F6465='Visual SPC'!$K$4)),1,0))</f>
        <v/>
      </c>
      <c r="C6465">
        <f>C6464+B6465</f>
        <v/>
      </c>
      <c r="D6465">
        <f>IF(B6465=1,INDEX('Data Entry'!$H$5:$BE$10004,6465-4,'Visual SPC'!$B$3),"")</f>
        <v/>
      </c>
      <c r="E6465">
        <f>IF(B6465=1,D6465,E6464)</f>
        <v/>
      </c>
      <c r="F6465">
        <f>IF(AND(B6465=1,C6465&gt;1,E6464&lt;&gt;""),ABS(D6465-E6464),"")</f>
        <v/>
      </c>
    </row>
    <row r="6466">
      <c r="A6466" t="n">
        <v>6466</v>
      </c>
      <c r="B6466">
        <f>IF(INDEX('Data Entry'!$H$5:$BE$10004,6466-4,'Visual SPC'!$B$3)="",0,IF(AND(OR('Visual SPC'!$C$4="",'Data Entry'!$C6466&gt;='Visual SPC'!$C$4),OR('Visual SPC'!$E$4="",'Data Entry'!$C6466&lt;='Visual SPC'!$E$4),OR('Visual SPC'!$G$4="",'Data Entry'!$D6466='Visual SPC'!$G$4),OR('Visual SPC'!$I$4="",'Data Entry'!$E6466='Visual SPC'!$I$4),OR('Visual SPC'!$K$4="",'Data Entry'!$F6466='Visual SPC'!$K$4)),1,0))</f>
        <v/>
      </c>
      <c r="C6466">
        <f>C6465+B6466</f>
        <v/>
      </c>
      <c r="D6466">
        <f>IF(B6466=1,INDEX('Data Entry'!$H$5:$BE$10004,6466-4,'Visual SPC'!$B$3),"")</f>
        <v/>
      </c>
      <c r="E6466">
        <f>IF(B6466=1,D6466,E6465)</f>
        <v/>
      </c>
      <c r="F6466">
        <f>IF(AND(B6466=1,C6466&gt;1,E6465&lt;&gt;""),ABS(D6466-E6465),"")</f>
        <v/>
      </c>
    </row>
    <row r="6467">
      <c r="A6467" t="n">
        <v>6467</v>
      </c>
      <c r="B6467">
        <f>IF(INDEX('Data Entry'!$H$5:$BE$10004,6467-4,'Visual SPC'!$B$3)="",0,IF(AND(OR('Visual SPC'!$C$4="",'Data Entry'!$C6467&gt;='Visual SPC'!$C$4),OR('Visual SPC'!$E$4="",'Data Entry'!$C6467&lt;='Visual SPC'!$E$4),OR('Visual SPC'!$G$4="",'Data Entry'!$D6467='Visual SPC'!$G$4),OR('Visual SPC'!$I$4="",'Data Entry'!$E6467='Visual SPC'!$I$4),OR('Visual SPC'!$K$4="",'Data Entry'!$F6467='Visual SPC'!$K$4)),1,0))</f>
        <v/>
      </c>
      <c r="C6467">
        <f>C6466+B6467</f>
        <v/>
      </c>
      <c r="D6467">
        <f>IF(B6467=1,INDEX('Data Entry'!$H$5:$BE$10004,6467-4,'Visual SPC'!$B$3),"")</f>
        <v/>
      </c>
      <c r="E6467">
        <f>IF(B6467=1,D6467,E6466)</f>
        <v/>
      </c>
      <c r="F6467">
        <f>IF(AND(B6467=1,C6467&gt;1,E6466&lt;&gt;""),ABS(D6467-E6466),"")</f>
        <v/>
      </c>
    </row>
    <row r="6468">
      <c r="A6468" t="n">
        <v>6468</v>
      </c>
      <c r="B6468">
        <f>IF(INDEX('Data Entry'!$H$5:$BE$10004,6468-4,'Visual SPC'!$B$3)="",0,IF(AND(OR('Visual SPC'!$C$4="",'Data Entry'!$C6468&gt;='Visual SPC'!$C$4),OR('Visual SPC'!$E$4="",'Data Entry'!$C6468&lt;='Visual SPC'!$E$4),OR('Visual SPC'!$G$4="",'Data Entry'!$D6468='Visual SPC'!$G$4),OR('Visual SPC'!$I$4="",'Data Entry'!$E6468='Visual SPC'!$I$4),OR('Visual SPC'!$K$4="",'Data Entry'!$F6468='Visual SPC'!$K$4)),1,0))</f>
        <v/>
      </c>
      <c r="C6468">
        <f>C6467+B6468</f>
        <v/>
      </c>
      <c r="D6468">
        <f>IF(B6468=1,INDEX('Data Entry'!$H$5:$BE$10004,6468-4,'Visual SPC'!$B$3),"")</f>
        <v/>
      </c>
      <c r="E6468">
        <f>IF(B6468=1,D6468,E6467)</f>
        <v/>
      </c>
      <c r="F6468">
        <f>IF(AND(B6468=1,C6468&gt;1,E6467&lt;&gt;""),ABS(D6468-E6467),"")</f>
        <v/>
      </c>
    </row>
    <row r="6469">
      <c r="A6469" t="n">
        <v>6469</v>
      </c>
      <c r="B6469">
        <f>IF(INDEX('Data Entry'!$H$5:$BE$10004,6469-4,'Visual SPC'!$B$3)="",0,IF(AND(OR('Visual SPC'!$C$4="",'Data Entry'!$C6469&gt;='Visual SPC'!$C$4),OR('Visual SPC'!$E$4="",'Data Entry'!$C6469&lt;='Visual SPC'!$E$4),OR('Visual SPC'!$G$4="",'Data Entry'!$D6469='Visual SPC'!$G$4),OR('Visual SPC'!$I$4="",'Data Entry'!$E6469='Visual SPC'!$I$4),OR('Visual SPC'!$K$4="",'Data Entry'!$F6469='Visual SPC'!$K$4)),1,0))</f>
        <v/>
      </c>
      <c r="C6469">
        <f>C6468+B6469</f>
        <v/>
      </c>
      <c r="D6469">
        <f>IF(B6469=1,INDEX('Data Entry'!$H$5:$BE$10004,6469-4,'Visual SPC'!$B$3),"")</f>
        <v/>
      </c>
      <c r="E6469">
        <f>IF(B6469=1,D6469,E6468)</f>
        <v/>
      </c>
      <c r="F6469">
        <f>IF(AND(B6469=1,C6469&gt;1,E6468&lt;&gt;""),ABS(D6469-E6468),"")</f>
        <v/>
      </c>
    </row>
    <row r="6470">
      <c r="A6470" t="n">
        <v>6470</v>
      </c>
      <c r="B6470">
        <f>IF(INDEX('Data Entry'!$H$5:$BE$10004,6470-4,'Visual SPC'!$B$3)="",0,IF(AND(OR('Visual SPC'!$C$4="",'Data Entry'!$C6470&gt;='Visual SPC'!$C$4),OR('Visual SPC'!$E$4="",'Data Entry'!$C6470&lt;='Visual SPC'!$E$4),OR('Visual SPC'!$G$4="",'Data Entry'!$D6470='Visual SPC'!$G$4),OR('Visual SPC'!$I$4="",'Data Entry'!$E6470='Visual SPC'!$I$4),OR('Visual SPC'!$K$4="",'Data Entry'!$F6470='Visual SPC'!$K$4)),1,0))</f>
        <v/>
      </c>
      <c r="C6470">
        <f>C6469+B6470</f>
        <v/>
      </c>
      <c r="D6470">
        <f>IF(B6470=1,INDEX('Data Entry'!$H$5:$BE$10004,6470-4,'Visual SPC'!$B$3),"")</f>
        <v/>
      </c>
      <c r="E6470">
        <f>IF(B6470=1,D6470,E6469)</f>
        <v/>
      </c>
      <c r="F6470">
        <f>IF(AND(B6470=1,C6470&gt;1,E6469&lt;&gt;""),ABS(D6470-E6469),"")</f>
        <v/>
      </c>
    </row>
    <row r="6471">
      <c r="A6471" t="n">
        <v>6471</v>
      </c>
      <c r="B6471">
        <f>IF(INDEX('Data Entry'!$H$5:$BE$10004,6471-4,'Visual SPC'!$B$3)="",0,IF(AND(OR('Visual SPC'!$C$4="",'Data Entry'!$C6471&gt;='Visual SPC'!$C$4),OR('Visual SPC'!$E$4="",'Data Entry'!$C6471&lt;='Visual SPC'!$E$4),OR('Visual SPC'!$G$4="",'Data Entry'!$D6471='Visual SPC'!$G$4),OR('Visual SPC'!$I$4="",'Data Entry'!$E6471='Visual SPC'!$I$4),OR('Visual SPC'!$K$4="",'Data Entry'!$F6471='Visual SPC'!$K$4)),1,0))</f>
        <v/>
      </c>
      <c r="C6471">
        <f>C6470+B6471</f>
        <v/>
      </c>
      <c r="D6471">
        <f>IF(B6471=1,INDEX('Data Entry'!$H$5:$BE$10004,6471-4,'Visual SPC'!$B$3),"")</f>
        <v/>
      </c>
      <c r="E6471">
        <f>IF(B6471=1,D6471,E6470)</f>
        <v/>
      </c>
      <c r="F6471">
        <f>IF(AND(B6471=1,C6471&gt;1,E6470&lt;&gt;""),ABS(D6471-E6470),"")</f>
        <v/>
      </c>
    </row>
    <row r="6472">
      <c r="A6472" t="n">
        <v>6472</v>
      </c>
      <c r="B6472">
        <f>IF(INDEX('Data Entry'!$H$5:$BE$10004,6472-4,'Visual SPC'!$B$3)="",0,IF(AND(OR('Visual SPC'!$C$4="",'Data Entry'!$C6472&gt;='Visual SPC'!$C$4),OR('Visual SPC'!$E$4="",'Data Entry'!$C6472&lt;='Visual SPC'!$E$4),OR('Visual SPC'!$G$4="",'Data Entry'!$D6472='Visual SPC'!$G$4),OR('Visual SPC'!$I$4="",'Data Entry'!$E6472='Visual SPC'!$I$4),OR('Visual SPC'!$K$4="",'Data Entry'!$F6472='Visual SPC'!$K$4)),1,0))</f>
        <v/>
      </c>
      <c r="C6472">
        <f>C6471+B6472</f>
        <v/>
      </c>
      <c r="D6472">
        <f>IF(B6472=1,INDEX('Data Entry'!$H$5:$BE$10004,6472-4,'Visual SPC'!$B$3),"")</f>
        <v/>
      </c>
      <c r="E6472">
        <f>IF(B6472=1,D6472,E6471)</f>
        <v/>
      </c>
      <c r="F6472">
        <f>IF(AND(B6472=1,C6472&gt;1,E6471&lt;&gt;""),ABS(D6472-E6471),"")</f>
        <v/>
      </c>
    </row>
    <row r="6473">
      <c r="A6473" t="n">
        <v>6473</v>
      </c>
      <c r="B6473">
        <f>IF(INDEX('Data Entry'!$H$5:$BE$10004,6473-4,'Visual SPC'!$B$3)="",0,IF(AND(OR('Visual SPC'!$C$4="",'Data Entry'!$C6473&gt;='Visual SPC'!$C$4),OR('Visual SPC'!$E$4="",'Data Entry'!$C6473&lt;='Visual SPC'!$E$4),OR('Visual SPC'!$G$4="",'Data Entry'!$D6473='Visual SPC'!$G$4),OR('Visual SPC'!$I$4="",'Data Entry'!$E6473='Visual SPC'!$I$4),OR('Visual SPC'!$K$4="",'Data Entry'!$F6473='Visual SPC'!$K$4)),1,0))</f>
        <v/>
      </c>
      <c r="C6473">
        <f>C6472+B6473</f>
        <v/>
      </c>
      <c r="D6473">
        <f>IF(B6473=1,INDEX('Data Entry'!$H$5:$BE$10004,6473-4,'Visual SPC'!$B$3),"")</f>
        <v/>
      </c>
      <c r="E6473">
        <f>IF(B6473=1,D6473,E6472)</f>
        <v/>
      </c>
      <c r="F6473">
        <f>IF(AND(B6473=1,C6473&gt;1,E6472&lt;&gt;""),ABS(D6473-E6472),"")</f>
        <v/>
      </c>
    </row>
    <row r="6474">
      <c r="A6474" t="n">
        <v>6474</v>
      </c>
      <c r="B6474">
        <f>IF(INDEX('Data Entry'!$H$5:$BE$10004,6474-4,'Visual SPC'!$B$3)="",0,IF(AND(OR('Visual SPC'!$C$4="",'Data Entry'!$C6474&gt;='Visual SPC'!$C$4),OR('Visual SPC'!$E$4="",'Data Entry'!$C6474&lt;='Visual SPC'!$E$4),OR('Visual SPC'!$G$4="",'Data Entry'!$D6474='Visual SPC'!$G$4),OR('Visual SPC'!$I$4="",'Data Entry'!$E6474='Visual SPC'!$I$4),OR('Visual SPC'!$K$4="",'Data Entry'!$F6474='Visual SPC'!$K$4)),1,0))</f>
        <v/>
      </c>
      <c r="C6474">
        <f>C6473+B6474</f>
        <v/>
      </c>
      <c r="D6474">
        <f>IF(B6474=1,INDEX('Data Entry'!$H$5:$BE$10004,6474-4,'Visual SPC'!$B$3),"")</f>
        <v/>
      </c>
      <c r="E6474">
        <f>IF(B6474=1,D6474,E6473)</f>
        <v/>
      </c>
      <c r="F6474">
        <f>IF(AND(B6474=1,C6474&gt;1,E6473&lt;&gt;""),ABS(D6474-E6473),"")</f>
        <v/>
      </c>
    </row>
    <row r="6475">
      <c r="A6475" t="n">
        <v>6475</v>
      </c>
      <c r="B6475">
        <f>IF(INDEX('Data Entry'!$H$5:$BE$10004,6475-4,'Visual SPC'!$B$3)="",0,IF(AND(OR('Visual SPC'!$C$4="",'Data Entry'!$C6475&gt;='Visual SPC'!$C$4),OR('Visual SPC'!$E$4="",'Data Entry'!$C6475&lt;='Visual SPC'!$E$4),OR('Visual SPC'!$G$4="",'Data Entry'!$D6475='Visual SPC'!$G$4),OR('Visual SPC'!$I$4="",'Data Entry'!$E6475='Visual SPC'!$I$4),OR('Visual SPC'!$K$4="",'Data Entry'!$F6475='Visual SPC'!$K$4)),1,0))</f>
        <v/>
      </c>
      <c r="C6475">
        <f>C6474+B6475</f>
        <v/>
      </c>
      <c r="D6475">
        <f>IF(B6475=1,INDEX('Data Entry'!$H$5:$BE$10004,6475-4,'Visual SPC'!$B$3),"")</f>
        <v/>
      </c>
      <c r="E6475">
        <f>IF(B6475=1,D6475,E6474)</f>
        <v/>
      </c>
      <c r="F6475">
        <f>IF(AND(B6475=1,C6475&gt;1,E6474&lt;&gt;""),ABS(D6475-E6474),"")</f>
        <v/>
      </c>
    </row>
    <row r="6476">
      <c r="A6476" t="n">
        <v>6476</v>
      </c>
      <c r="B6476">
        <f>IF(INDEX('Data Entry'!$H$5:$BE$10004,6476-4,'Visual SPC'!$B$3)="",0,IF(AND(OR('Visual SPC'!$C$4="",'Data Entry'!$C6476&gt;='Visual SPC'!$C$4),OR('Visual SPC'!$E$4="",'Data Entry'!$C6476&lt;='Visual SPC'!$E$4),OR('Visual SPC'!$G$4="",'Data Entry'!$D6476='Visual SPC'!$G$4),OR('Visual SPC'!$I$4="",'Data Entry'!$E6476='Visual SPC'!$I$4),OR('Visual SPC'!$K$4="",'Data Entry'!$F6476='Visual SPC'!$K$4)),1,0))</f>
        <v/>
      </c>
      <c r="C6476">
        <f>C6475+B6476</f>
        <v/>
      </c>
      <c r="D6476">
        <f>IF(B6476=1,INDEX('Data Entry'!$H$5:$BE$10004,6476-4,'Visual SPC'!$B$3),"")</f>
        <v/>
      </c>
      <c r="E6476">
        <f>IF(B6476=1,D6476,E6475)</f>
        <v/>
      </c>
      <c r="F6476">
        <f>IF(AND(B6476=1,C6476&gt;1,E6475&lt;&gt;""),ABS(D6476-E6475),"")</f>
        <v/>
      </c>
    </row>
    <row r="6477">
      <c r="A6477" t="n">
        <v>6477</v>
      </c>
      <c r="B6477">
        <f>IF(INDEX('Data Entry'!$H$5:$BE$10004,6477-4,'Visual SPC'!$B$3)="",0,IF(AND(OR('Visual SPC'!$C$4="",'Data Entry'!$C6477&gt;='Visual SPC'!$C$4),OR('Visual SPC'!$E$4="",'Data Entry'!$C6477&lt;='Visual SPC'!$E$4),OR('Visual SPC'!$G$4="",'Data Entry'!$D6477='Visual SPC'!$G$4),OR('Visual SPC'!$I$4="",'Data Entry'!$E6477='Visual SPC'!$I$4),OR('Visual SPC'!$K$4="",'Data Entry'!$F6477='Visual SPC'!$K$4)),1,0))</f>
        <v/>
      </c>
      <c r="C6477">
        <f>C6476+B6477</f>
        <v/>
      </c>
      <c r="D6477">
        <f>IF(B6477=1,INDEX('Data Entry'!$H$5:$BE$10004,6477-4,'Visual SPC'!$B$3),"")</f>
        <v/>
      </c>
      <c r="E6477">
        <f>IF(B6477=1,D6477,E6476)</f>
        <v/>
      </c>
      <c r="F6477">
        <f>IF(AND(B6477=1,C6477&gt;1,E6476&lt;&gt;""),ABS(D6477-E6476),"")</f>
        <v/>
      </c>
    </row>
    <row r="6478">
      <c r="A6478" t="n">
        <v>6478</v>
      </c>
      <c r="B6478">
        <f>IF(INDEX('Data Entry'!$H$5:$BE$10004,6478-4,'Visual SPC'!$B$3)="",0,IF(AND(OR('Visual SPC'!$C$4="",'Data Entry'!$C6478&gt;='Visual SPC'!$C$4),OR('Visual SPC'!$E$4="",'Data Entry'!$C6478&lt;='Visual SPC'!$E$4),OR('Visual SPC'!$G$4="",'Data Entry'!$D6478='Visual SPC'!$G$4),OR('Visual SPC'!$I$4="",'Data Entry'!$E6478='Visual SPC'!$I$4),OR('Visual SPC'!$K$4="",'Data Entry'!$F6478='Visual SPC'!$K$4)),1,0))</f>
        <v/>
      </c>
      <c r="C6478">
        <f>C6477+B6478</f>
        <v/>
      </c>
      <c r="D6478">
        <f>IF(B6478=1,INDEX('Data Entry'!$H$5:$BE$10004,6478-4,'Visual SPC'!$B$3),"")</f>
        <v/>
      </c>
      <c r="E6478">
        <f>IF(B6478=1,D6478,E6477)</f>
        <v/>
      </c>
      <c r="F6478">
        <f>IF(AND(B6478=1,C6478&gt;1,E6477&lt;&gt;""),ABS(D6478-E6477),"")</f>
        <v/>
      </c>
    </row>
    <row r="6479">
      <c r="A6479" t="n">
        <v>6479</v>
      </c>
      <c r="B6479">
        <f>IF(INDEX('Data Entry'!$H$5:$BE$10004,6479-4,'Visual SPC'!$B$3)="",0,IF(AND(OR('Visual SPC'!$C$4="",'Data Entry'!$C6479&gt;='Visual SPC'!$C$4),OR('Visual SPC'!$E$4="",'Data Entry'!$C6479&lt;='Visual SPC'!$E$4),OR('Visual SPC'!$G$4="",'Data Entry'!$D6479='Visual SPC'!$G$4),OR('Visual SPC'!$I$4="",'Data Entry'!$E6479='Visual SPC'!$I$4),OR('Visual SPC'!$K$4="",'Data Entry'!$F6479='Visual SPC'!$K$4)),1,0))</f>
        <v/>
      </c>
      <c r="C6479">
        <f>C6478+B6479</f>
        <v/>
      </c>
      <c r="D6479">
        <f>IF(B6479=1,INDEX('Data Entry'!$H$5:$BE$10004,6479-4,'Visual SPC'!$B$3),"")</f>
        <v/>
      </c>
      <c r="E6479">
        <f>IF(B6479=1,D6479,E6478)</f>
        <v/>
      </c>
      <c r="F6479">
        <f>IF(AND(B6479=1,C6479&gt;1,E6478&lt;&gt;""),ABS(D6479-E6478),"")</f>
        <v/>
      </c>
    </row>
    <row r="6480">
      <c r="A6480" t="n">
        <v>6480</v>
      </c>
      <c r="B6480">
        <f>IF(INDEX('Data Entry'!$H$5:$BE$10004,6480-4,'Visual SPC'!$B$3)="",0,IF(AND(OR('Visual SPC'!$C$4="",'Data Entry'!$C6480&gt;='Visual SPC'!$C$4),OR('Visual SPC'!$E$4="",'Data Entry'!$C6480&lt;='Visual SPC'!$E$4),OR('Visual SPC'!$G$4="",'Data Entry'!$D6480='Visual SPC'!$G$4),OR('Visual SPC'!$I$4="",'Data Entry'!$E6480='Visual SPC'!$I$4),OR('Visual SPC'!$K$4="",'Data Entry'!$F6480='Visual SPC'!$K$4)),1,0))</f>
        <v/>
      </c>
      <c r="C6480">
        <f>C6479+B6480</f>
        <v/>
      </c>
      <c r="D6480">
        <f>IF(B6480=1,INDEX('Data Entry'!$H$5:$BE$10004,6480-4,'Visual SPC'!$B$3),"")</f>
        <v/>
      </c>
      <c r="E6480">
        <f>IF(B6480=1,D6480,E6479)</f>
        <v/>
      </c>
      <c r="F6480">
        <f>IF(AND(B6480=1,C6480&gt;1,E6479&lt;&gt;""),ABS(D6480-E6479),"")</f>
        <v/>
      </c>
    </row>
    <row r="6481">
      <c r="A6481" t="n">
        <v>6481</v>
      </c>
      <c r="B6481">
        <f>IF(INDEX('Data Entry'!$H$5:$BE$10004,6481-4,'Visual SPC'!$B$3)="",0,IF(AND(OR('Visual SPC'!$C$4="",'Data Entry'!$C6481&gt;='Visual SPC'!$C$4),OR('Visual SPC'!$E$4="",'Data Entry'!$C6481&lt;='Visual SPC'!$E$4),OR('Visual SPC'!$G$4="",'Data Entry'!$D6481='Visual SPC'!$G$4),OR('Visual SPC'!$I$4="",'Data Entry'!$E6481='Visual SPC'!$I$4),OR('Visual SPC'!$K$4="",'Data Entry'!$F6481='Visual SPC'!$K$4)),1,0))</f>
        <v/>
      </c>
      <c r="C6481">
        <f>C6480+B6481</f>
        <v/>
      </c>
      <c r="D6481">
        <f>IF(B6481=1,INDEX('Data Entry'!$H$5:$BE$10004,6481-4,'Visual SPC'!$B$3),"")</f>
        <v/>
      </c>
      <c r="E6481">
        <f>IF(B6481=1,D6481,E6480)</f>
        <v/>
      </c>
      <c r="F6481">
        <f>IF(AND(B6481=1,C6481&gt;1,E6480&lt;&gt;""),ABS(D6481-E6480),"")</f>
        <v/>
      </c>
    </row>
    <row r="6482">
      <c r="A6482" t="n">
        <v>6482</v>
      </c>
      <c r="B6482">
        <f>IF(INDEX('Data Entry'!$H$5:$BE$10004,6482-4,'Visual SPC'!$B$3)="",0,IF(AND(OR('Visual SPC'!$C$4="",'Data Entry'!$C6482&gt;='Visual SPC'!$C$4),OR('Visual SPC'!$E$4="",'Data Entry'!$C6482&lt;='Visual SPC'!$E$4),OR('Visual SPC'!$G$4="",'Data Entry'!$D6482='Visual SPC'!$G$4),OR('Visual SPC'!$I$4="",'Data Entry'!$E6482='Visual SPC'!$I$4),OR('Visual SPC'!$K$4="",'Data Entry'!$F6482='Visual SPC'!$K$4)),1,0))</f>
        <v/>
      </c>
      <c r="C6482">
        <f>C6481+B6482</f>
        <v/>
      </c>
      <c r="D6482">
        <f>IF(B6482=1,INDEX('Data Entry'!$H$5:$BE$10004,6482-4,'Visual SPC'!$B$3),"")</f>
        <v/>
      </c>
      <c r="E6482">
        <f>IF(B6482=1,D6482,E6481)</f>
        <v/>
      </c>
      <c r="F6482">
        <f>IF(AND(B6482=1,C6482&gt;1,E6481&lt;&gt;""),ABS(D6482-E6481),"")</f>
        <v/>
      </c>
    </row>
    <row r="6483">
      <c r="A6483" t="n">
        <v>6483</v>
      </c>
      <c r="B6483">
        <f>IF(INDEX('Data Entry'!$H$5:$BE$10004,6483-4,'Visual SPC'!$B$3)="",0,IF(AND(OR('Visual SPC'!$C$4="",'Data Entry'!$C6483&gt;='Visual SPC'!$C$4),OR('Visual SPC'!$E$4="",'Data Entry'!$C6483&lt;='Visual SPC'!$E$4),OR('Visual SPC'!$G$4="",'Data Entry'!$D6483='Visual SPC'!$G$4),OR('Visual SPC'!$I$4="",'Data Entry'!$E6483='Visual SPC'!$I$4),OR('Visual SPC'!$K$4="",'Data Entry'!$F6483='Visual SPC'!$K$4)),1,0))</f>
        <v/>
      </c>
      <c r="C6483">
        <f>C6482+B6483</f>
        <v/>
      </c>
      <c r="D6483">
        <f>IF(B6483=1,INDEX('Data Entry'!$H$5:$BE$10004,6483-4,'Visual SPC'!$B$3),"")</f>
        <v/>
      </c>
      <c r="E6483">
        <f>IF(B6483=1,D6483,E6482)</f>
        <v/>
      </c>
      <c r="F6483">
        <f>IF(AND(B6483=1,C6483&gt;1,E6482&lt;&gt;""),ABS(D6483-E6482),"")</f>
        <v/>
      </c>
    </row>
    <row r="6484">
      <c r="A6484" t="n">
        <v>6484</v>
      </c>
      <c r="B6484">
        <f>IF(INDEX('Data Entry'!$H$5:$BE$10004,6484-4,'Visual SPC'!$B$3)="",0,IF(AND(OR('Visual SPC'!$C$4="",'Data Entry'!$C6484&gt;='Visual SPC'!$C$4),OR('Visual SPC'!$E$4="",'Data Entry'!$C6484&lt;='Visual SPC'!$E$4),OR('Visual SPC'!$G$4="",'Data Entry'!$D6484='Visual SPC'!$G$4),OR('Visual SPC'!$I$4="",'Data Entry'!$E6484='Visual SPC'!$I$4),OR('Visual SPC'!$K$4="",'Data Entry'!$F6484='Visual SPC'!$K$4)),1,0))</f>
        <v/>
      </c>
      <c r="C6484">
        <f>C6483+B6484</f>
        <v/>
      </c>
      <c r="D6484">
        <f>IF(B6484=1,INDEX('Data Entry'!$H$5:$BE$10004,6484-4,'Visual SPC'!$B$3),"")</f>
        <v/>
      </c>
      <c r="E6484">
        <f>IF(B6484=1,D6484,E6483)</f>
        <v/>
      </c>
      <c r="F6484">
        <f>IF(AND(B6484=1,C6484&gt;1,E6483&lt;&gt;""),ABS(D6484-E6483),"")</f>
        <v/>
      </c>
    </row>
    <row r="6485">
      <c r="A6485" t="n">
        <v>6485</v>
      </c>
      <c r="B6485">
        <f>IF(INDEX('Data Entry'!$H$5:$BE$10004,6485-4,'Visual SPC'!$B$3)="",0,IF(AND(OR('Visual SPC'!$C$4="",'Data Entry'!$C6485&gt;='Visual SPC'!$C$4),OR('Visual SPC'!$E$4="",'Data Entry'!$C6485&lt;='Visual SPC'!$E$4),OR('Visual SPC'!$G$4="",'Data Entry'!$D6485='Visual SPC'!$G$4),OR('Visual SPC'!$I$4="",'Data Entry'!$E6485='Visual SPC'!$I$4),OR('Visual SPC'!$K$4="",'Data Entry'!$F6485='Visual SPC'!$K$4)),1,0))</f>
        <v/>
      </c>
      <c r="C6485">
        <f>C6484+B6485</f>
        <v/>
      </c>
      <c r="D6485">
        <f>IF(B6485=1,INDEX('Data Entry'!$H$5:$BE$10004,6485-4,'Visual SPC'!$B$3),"")</f>
        <v/>
      </c>
      <c r="E6485">
        <f>IF(B6485=1,D6485,E6484)</f>
        <v/>
      </c>
      <c r="F6485">
        <f>IF(AND(B6485=1,C6485&gt;1,E6484&lt;&gt;""),ABS(D6485-E6484),"")</f>
        <v/>
      </c>
    </row>
    <row r="6486">
      <c r="A6486" t="n">
        <v>6486</v>
      </c>
      <c r="B6486">
        <f>IF(INDEX('Data Entry'!$H$5:$BE$10004,6486-4,'Visual SPC'!$B$3)="",0,IF(AND(OR('Visual SPC'!$C$4="",'Data Entry'!$C6486&gt;='Visual SPC'!$C$4),OR('Visual SPC'!$E$4="",'Data Entry'!$C6486&lt;='Visual SPC'!$E$4),OR('Visual SPC'!$G$4="",'Data Entry'!$D6486='Visual SPC'!$G$4),OR('Visual SPC'!$I$4="",'Data Entry'!$E6486='Visual SPC'!$I$4),OR('Visual SPC'!$K$4="",'Data Entry'!$F6486='Visual SPC'!$K$4)),1,0))</f>
        <v/>
      </c>
      <c r="C6486">
        <f>C6485+B6486</f>
        <v/>
      </c>
      <c r="D6486">
        <f>IF(B6486=1,INDEX('Data Entry'!$H$5:$BE$10004,6486-4,'Visual SPC'!$B$3),"")</f>
        <v/>
      </c>
      <c r="E6486">
        <f>IF(B6486=1,D6486,E6485)</f>
        <v/>
      </c>
      <c r="F6486">
        <f>IF(AND(B6486=1,C6486&gt;1,E6485&lt;&gt;""),ABS(D6486-E6485),"")</f>
        <v/>
      </c>
    </row>
    <row r="6487">
      <c r="A6487" t="n">
        <v>6487</v>
      </c>
      <c r="B6487">
        <f>IF(INDEX('Data Entry'!$H$5:$BE$10004,6487-4,'Visual SPC'!$B$3)="",0,IF(AND(OR('Visual SPC'!$C$4="",'Data Entry'!$C6487&gt;='Visual SPC'!$C$4),OR('Visual SPC'!$E$4="",'Data Entry'!$C6487&lt;='Visual SPC'!$E$4),OR('Visual SPC'!$G$4="",'Data Entry'!$D6487='Visual SPC'!$G$4),OR('Visual SPC'!$I$4="",'Data Entry'!$E6487='Visual SPC'!$I$4),OR('Visual SPC'!$K$4="",'Data Entry'!$F6487='Visual SPC'!$K$4)),1,0))</f>
        <v/>
      </c>
      <c r="C6487">
        <f>C6486+B6487</f>
        <v/>
      </c>
      <c r="D6487">
        <f>IF(B6487=1,INDEX('Data Entry'!$H$5:$BE$10004,6487-4,'Visual SPC'!$B$3),"")</f>
        <v/>
      </c>
      <c r="E6487">
        <f>IF(B6487=1,D6487,E6486)</f>
        <v/>
      </c>
      <c r="F6487">
        <f>IF(AND(B6487=1,C6487&gt;1,E6486&lt;&gt;""),ABS(D6487-E6486),"")</f>
        <v/>
      </c>
    </row>
    <row r="6488">
      <c r="A6488" t="n">
        <v>6488</v>
      </c>
      <c r="B6488">
        <f>IF(INDEX('Data Entry'!$H$5:$BE$10004,6488-4,'Visual SPC'!$B$3)="",0,IF(AND(OR('Visual SPC'!$C$4="",'Data Entry'!$C6488&gt;='Visual SPC'!$C$4),OR('Visual SPC'!$E$4="",'Data Entry'!$C6488&lt;='Visual SPC'!$E$4),OR('Visual SPC'!$G$4="",'Data Entry'!$D6488='Visual SPC'!$G$4),OR('Visual SPC'!$I$4="",'Data Entry'!$E6488='Visual SPC'!$I$4),OR('Visual SPC'!$K$4="",'Data Entry'!$F6488='Visual SPC'!$K$4)),1,0))</f>
        <v/>
      </c>
      <c r="C6488">
        <f>C6487+B6488</f>
        <v/>
      </c>
      <c r="D6488">
        <f>IF(B6488=1,INDEX('Data Entry'!$H$5:$BE$10004,6488-4,'Visual SPC'!$B$3),"")</f>
        <v/>
      </c>
      <c r="E6488">
        <f>IF(B6488=1,D6488,E6487)</f>
        <v/>
      </c>
      <c r="F6488">
        <f>IF(AND(B6488=1,C6488&gt;1,E6487&lt;&gt;""),ABS(D6488-E6487),"")</f>
        <v/>
      </c>
    </row>
    <row r="6489">
      <c r="A6489" t="n">
        <v>6489</v>
      </c>
      <c r="B6489">
        <f>IF(INDEX('Data Entry'!$H$5:$BE$10004,6489-4,'Visual SPC'!$B$3)="",0,IF(AND(OR('Visual SPC'!$C$4="",'Data Entry'!$C6489&gt;='Visual SPC'!$C$4),OR('Visual SPC'!$E$4="",'Data Entry'!$C6489&lt;='Visual SPC'!$E$4),OR('Visual SPC'!$G$4="",'Data Entry'!$D6489='Visual SPC'!$G$4),OR('Visual SPC'!$I$4="",'Data Entry'!$E6489='Visual SPC'!$I$4),OR('Visual SPC'!$K$4="",'Data Entry'!$F6489='Visual SPC'!$K$4)),1,0))</f>
        <v/>
      </c>
      <c r="C6489">
        <f>C6488+B6489</f>
        <v/>
      </c>
      <c r="D6489">
        <f>IF(B6489=1,INDEX('Data Entry'!$H$5:$BE$10004,6489-4,'Visual SPC'!$B$3),"")</f>
        <v/>
      </c>
      <c r="E6489">
        <f>IF(B6489=1,D6489,E6488)</f>
        <v/>
      </c>
      <c r="F6489">
        <f>IF(AND(B6489=1,C6489&gt;1,E6488&lt;&gt;""),ABS(D6489-E6488),"")</f>
        <v/>
      </c>
    </row>
    <row r="6490">
      <c r="A6490" t="n">
        <v>6490</v>
      </c>
      <c r="B6490">
        <f>IF(INDEX('Data Entry'!$H$5:$BE$10004,6490-4,'Visual SPC'!$B$3)="",0,IF(AND(OR('Visual SPC'!$C$4="",'Data Entry'!$C6490&gt;='Visual SPC'!$C$4),OR('Visual SPC'!$E$4="",'Data Entry'!$C6490&lt;='Visual SPC'!$E$4),OR('Visual SPC'!$G$4="",'Data Entry'!$D6490='Visual SPC'!$G$4),OR('Visual SPC'!$I$4="",'Data Entry'!$E6490='Visual SPC'!$I$4),OR('Visual SPC'!$K$4="",'Data Entry'!$F6490='Visual SPC'!$K$4)),1,0))</f>
        <v/>
      </c>
      <c r="C6490">
        <f>C6489+B6490</f>
        <v/>
      </c>
      <c r="D6490">
        <f>IF(B6490=1,INDEX('Data Entry'!$H$5:$BE$10004,6490-4,'Visual SPC'!$B$3),"")</f>
        <v/>
      </c>
      <c r="E6490">
        <f>IF(B6490=1,D6490,E6489)</f>
        <v/>
      </c>
      <c r="F6490">
        <f>IF(AND(B6490=1,C6490&gt;1,E6489&lt;&gt;""),ABS(D6490-E6489),"")</f>
        <v/>
      </c>
    </row>
    <row r="6491">
      <c r="A6491" t="n">
        <v>6491</v>
      </c>
      <c r="B6491">
        <f>IF(INDEX('Data Entry'!$H$5:$BE$10004,6491-4,'Visual SPC'!$B$3)="",0,IF(AND(OR('Visual SPC'!$C$4="",'Data Entry'!$C6491&gt;='Visual SPC'!$C$4),OR('Visual SPC'!$E$4="",'Data Entry'!$C6491&lt;='Visual SPC'!$E$4),OR('Visual SPC'!$G$4="",'Data Entry'!$D6491='Visual SPC'!$G$4),OR('Visual SPC'!$I$4="",'Data Entry'!$E6491='Visual SPC'!$I$4),OR('Visual SPC'!$K$4="",'Data Entry'!$F6491='Visual SPC'!$K$4)),1,0))</f>
        <v/>
      </c>
      <c r="C6491">
        <f>C6490+B6491</f>
        <v/>
      </c>
      <c r="D6491">
        <f>IF(B6491=1,INDEX('Data Entry'!$H$5:$BE$10004,6491-4,'Visual SPC'!$B$3),"")</f>
        <v/>
      </c>
      <c r="E6491">
        <f>IF(B6491=1,D6491,E6490)</f>
        <v/>
      </c>
      <c r="F6491">
        <f>IF(AND(B6491=1,C6491&gt;1,E6490&lt;&gt;""),ABS(D6491-E6490),"")</f>
        <v/>
      </c>
    </row>
    <row r="6492">
      <c r="A6492" t="n">
        <v>6492</v>
      </c>
      <c r="B6492">
        <f>IF(INDEX('Data Entry'!$H$5:$BE$10004,6492-4,'Visual SPC'!$B$3)="",0,IF(AND(OR('Visual SPC'!$C$4="",'Data Entry'!$C6492&gt;='Visual SPC'!$C$4),OR('Visual SPC'!$E$4="",'Data Entry'!$C6492&lt;='Visual SPC'!$E$4),OR('Visual SPC'!$G$4="",'Data Entry'!$D6492='Visual SPC'!$G$4),OR('Visual SPC'!$I$4="",'Data Entry'!$E6492='Visual SPC'!$I$4),OR('Visual SPC'!$K$4="",'Data Entry'!$F6492='Visual SPC'!$K$4)),1,0))</f>
        <v/>
      </c>
      <c r="C6492">
        <f>C6491+B6492</f>
        <v/>
      </c>
      <c r="D6492">
        <f>IF(B6492=1,INDEX('Data Entry'!$H$5:$BE$10004,6492-4,'Visual SPC'!$B$3),"")</f>
        <v/>
      </c>
      <c r="E6492">
        <f>IF(B6492=1,D6492,E6491)</f>
        <v/>
      </c>
      <c r="F6492">
        <f>IF(AND(B6492=1,C6492&gt;1,E6491&lt;&gt;""),ABS(D6492-E6491),"")</f>
        <v/>
      </c>
    </row>
    <row r="6493">
      <c r="A6493" t="n">
        <v>6493</v>
      </c>
      <c r="B6493">
        <f>IF(INDEX('Data Entry'!$H$5:$BE$10004,6493-4,'Visual SPC'!$B$3)="",0,IF(AND(OR('Visual SPC'!$C$4="",'Data Entry'!$C6493&gt;='Visual SPC'!$C$4),OR('Visual SPC'!$E$4="",'Data Entry'!$C6493&lt;='Visual SPC'!$E$4),OR('Visual SPC'!$G$4="",'Data Entry'!$D6493='Visual SPC'!$G$4),OR('Visual SPC'!$I$4="",'Data Entry'!$E6493='Visual SPC'!$I$4),OR('Visual SPC'!$K$4="",'Data Entry'!$F6493='Visual SPC'!$K$4)),1,0))</f>
        <v/>
      </c>
      <c r="C6493">
        <f>C6492+B6493</f>
        <v/>
      </c>
      <c r="D6493">
        <f>IF(B6493=1,INDEX('Data Entry'!$H$5:$BE$10004,6493-4,'Visual SPC'!$B$3),"")</f>
        <v/>
      </c>
      <c r="E6493">
        <f>IF(B6493=1,D6493,E6492)</f>
        <v/>
      </c>
      <c r="F6493">
        <f>IF(AND(B6493=1,C6493&gt;1,E6492&lt;&gt;""),ABS(D6493-E6492),"")</f>
        <v/>
      </c>
    </row>
    <row r="6494">
      <c r="A6494" t="n">
        <v>6494</v>
      </c>
      <c r="B6494">
        <f>IF(INDEX('Data Entry'!$H$5:$BE$10004,6494-4,'Visual SPC'!$B$3)="",0,IF(AND(OR('Visual SPC'!$C$4="",'Data Entry'!$C6494&gt;='Visual SPC'!$C$4),OR('Visual SPC'!$E$4="",'Data Entry'!$C6494&lt;='Visual SPC'!$E$4),OR('Visual SPC'!$G$4="",'Data Entry'!$D6494='Visual SPC'!$G$4),OR('Visual SPC'!$I$4="",'Data Entry'!$E6494='Visual SPC'!$I$4),OR('Visual SPC'!$K$4="",'Data Entry'!$F6494='Visual SPC'!$K$4)),1,0))</f>
        <v/>
      </c>
      <c r="C6494">
        <f>C6493+B6494</f>
        <v/>
      </c>
      <c r="D6494">
        <f>IF(B6494=1,INDEX('Data Entry'!$H$5:$BE$10004,6494-4,'Visual SPC'!$B$3),"")</f>
        <v/>
      </c>
      <c r="E6494">
        <f>IF(B6494=1,D6494,E6493)</f>
        <v/>
      </c>
      <c r="F6494">
        <f>IF(AND(B6494=1,C6494&gt;1,E6493&lt;&gt;""),ABS(D6494-E6493),"")</f>
        <v/>
      </c>
    </row>
    <row r="6495">
      <c r="A6495" t="n">
        <v>6495</v>
      </c>
      <c r="B6495">
        <f>IF(INDEX('Data Entry'!$H$5:$BE$10004,6495-4,'Visual SPC'!$B$3)="",0,IF(AND(OR('Visual SPC'!$C$4="",'Data Entry'!$C6495&gt;='Visual SPC'!$C$4),OR('Visual SPC'!$E$4="",'Data Entry'!$C6495&lt;='Visual SPC'!$E$4),OR('Visual SPC'!$G$4="",'Data Entry'!$D6495='Visual SPC'!$G$4),OR('Visual SPC'!$I$4="",'Data Entry'!$E6495='Visual SPC'!$I$4),OR('Visual SPC'!$K$4="",'Data Entry'!$F6495='Visual SPC'!$K$4)),1,0))</f>
        <v/>
      </c>
      <c r="C6495">
        <f>C6494+B6495</f>
        <v/>
      </c>
      <c r="D6495">
        <f>IF(B6495=1,INDEX('Data Entry'!$H$5:$BE$10004,6495-4,'Visual SPC'!$B$3),"")</f>
        <v/>
      </c>
      <c r="E6495">
        <f>IF(B6495=1,D6495,E6494)</f>
        <v/>
      </c>
      <c r="F6495">
        <f>IF(AND(B6495=1,C6495&gt;1,E6494&lt;&gt;""),ABS(D6495-E6494),"")</f>
        <v/>
      </c>
    </row>
    <row r="6496">
      <c r="A6496" t="n">
        <v>6496</v>
      </c>
      <c r="B6496">
        <f>IF(INDEX('Data Entry'!$H$5:$BE$10004,6496-4,'Visual SPC'!$B$3)="",0,IF(AND(OR('Visual SPC'!$C$4="",'Data Entry'!$C6496&gt;='Visual SPC'!$C$4),OR('Visual SPC'!$E$4="",'Data Entry'!$C6496&lt;='Visual SPC'!$E$4),OR('Visual SPC'!$G$4="",'Data Entry'!$D6496='Visual SPC'!$G$4),OR('Visual SPC'!$I$4="",'Data Entry'!$E6496='Visual SPC'!$I$4),OR('Visual SPC'!$K$4="",'Data Entry'!$F6496='Visual SPC'!$K$4)),1,0))</f>
        <v/>
      </c>
      <c r="C6496">
        <f>C6495+B6496</f>
        <v/>
      </c>
      <c r="D6496">
        <f>IF(B6496=1,INDEX('Data Entry'!$H$5:$BE$10004,6496-4,'Visual SPC'!$B$3),"")</f>
        <v/>
      </c>
      <c r="E6496">
        <f>IF(B6496=1,D6496,E6495)</f>
        <v/>
      </c>
      <c r="F6496">
        <f>IF(AND(B6496=1,C6496&gt;1,E6495&lt;&gt;""),ABS(D6496-E6495),"")</f>
        <v/>
      </c>
    </row>
    <row r="6497">
      <c r="A6497" t="n">
        <v>6497</v>
      </c>
      <c r="B6497">
        <f>IF(INDEX('Data Entry'!$H$5:$BE$10004,6497-4,'Visual SPC'!$B$3)="",0,IF(AND(OR('Visual SPC'!$C$4="",'Data Entry'!$C6497&gt;='Visual SPC'!$C$4),OR('Visual SPC'!$E$4="",'Data Entry'!$C6497&lt;='Visual SPC'!$E$4),OR('Visual SPC'!$G$4="",'Data Entry'!$D6497='Visual SPC'!$G$4),OR('Visual SPC'!$I$4="",'Data Entry'!$E6497='Visual SPC'!$I$4),OR('Visual SPC'!$K$4="",'Data Entry'!$F6497='Visual SPC'!$K$4)),1,0))</f>
        <v/>
      </c>
      <c r="C6497">
        <f>C6496+B6497</f>
        <v/>
      </c>
      <c r="D6497">
        <f>IF(B6497=1,INDEX('Data Entry'!$H$5:$BE$10004,6497-4,'Visual SPC'!$B$3),"")</f>
        <v/>
      </c>
      <c r="E6497">
        <f>IF(B6497=1,D6497,E6496)</f>
        <v/>
      </c>
      <c r="F6497">
        <f>IF(AND(B6497=1,C6497&gt;1,E6496&lt;&gt;""),ABS(D6497-E6496),"")</f>
        <v/>
      </c>
    </row>
    <row r="6498">
      <c r="A6498" t="n">
        <v>6498</v>
      </c>
      <c r="B6498">
        <f>IF(INDEX('Data Entry'!$H$5:$BE$10004,6498-4,'Visual SPC'!$B$3)="",0,IF(AND(OR('Visual SPC'!$C$4="",'Data Entry'!$C6498&gt;='Visual SPC'!$C$4),OR('Visual SPC'!$E$4="",'Data Entry'!$C6498&lt;='Visual SPC'!$E$4),OR('Visual SPC'!$G$4="",'Data Entry'!$D6498='Visual SPC'!$G$4),OR('Visual SPC'!$I$4="",'Data Entry'!$E6498='Visual SPC'!$I$4),OR('Visual SPC'!$K$4="",'Data Entry'!$F6498='Visual SPC'!$K$4)),1,0))</f>
        <v/>
      </c>
      <c r="C6498">
        <f>C6497+B6498</f>
        <v/>
      </c>
      <c r="D6498">
        <f>IF(B6498=1,INDEX('Data Entry'!$H$5:$BE$10004,6498-4,'Visual SPC'!$B$3),"")</f>
        <v/>
      </c>
      <c r="E6498">
        <f>IF(B6498=1,D6498,E6497)</f>
        <v/>
      </c>
      <c r="F6498">
        <f>IF(AND(B6498=1,C6498&gt;1,E6497&lt;&gt;""),ABS(D6498-E6497),"")</f>
        <v/>
      </c>
    </row>
    <row r="6499">
      <c r="A6499" t="n">
        <v>6499</v>
      </c>
      <c r="B6499">
        <f>IF(INDEX('Data Entry'!$H$5:$BE$10004,6499-4,'Visual SPC'!$B$3)="",0,IF(AND(OR('Visual SPC'!$C$4="",'Data Entry'!$C6499&gt;='Visual SPC'!$C$4),OR('Visual SPC'!$E$4="",'Data Entry'!$C6499&lt;='Visual SPC'!$E$4),OR('Visual SPC'!$G$4="",'Data Entry'!$D6499='Visual SPC'!$G$4),OR('Visual SPC'!$I$4="",'Data Entry'!$E6499='Visual SPC'!$I$4),OR('Visual SPC'!$K$4="",'Data Entry'!$F6499='Visual SPC'!$K$4)),1,0))</f>
        <v/>
      </c>
      <c r="C6499">
        <f>C6498+B6499</f>
        <v/>
      </c>
      <c r="D6499">
        <f>IF(B6499=1,INDEX('Data Entry'!$H$5:$BE$10004,6499-4,'Visual SPC'!$B$3),"")</f>
        <v/>
      </c>
      <c r="E6499">
        <f>IF(B6499=1,D6499,E6498)</f>
        <v/>
      </c>
      <c r="F6499">
        <f>IF(AND(B6499=1,C6499&gt;1,E6498&lt;&gt;""),ABS(D6499-E6498),"")</f>
        <v/>
      </c>
    </row>
    <row r="6500">
      <c r="A6500" t="n">
        <v>6500</v>
      </c>
      <c r="B6500">
        <f>IF(INDEX('Data Entry'!$H$5:$BE$10004,6500-4,'Visual SPC'!$B$3)="",0,IF(AND(OR('Visual SPC'!$C$4="",'Data Entry'!$C6500&gt;='Visual SPC'!$C$4),OR('Visual SPC'!$E$4="",'Data Entry'!$C6500&lt;='Visual SPC'!$E$4),OR('Visual SPC'!$G$4="",'Data Entry'!$D6500='Visual SPC'!$G$4),OR('Visual SPC'!$I$4="",'Data Entry'!$E6500='Visual SPC'!$I$4),OR('Visual SPC'!$K$4="",'Data Entry'!$F6500='Visual SPC'!$K$4)),1,0))</f>
        <v/>
      </c>
      <c r="C6500">
        <f>C6499+B6500</f>
        <v/>
      </c>
      <c r="D6500">
        <f>IF(B6500=1,INDEX('Data Entry'!$H$5:$BE$10004,6500-4,'Visual SPC'!$B$3),"")</f>
        <v/>
      </c>
      <c r="E6500">
        <f>IF(B6500=1,D6500,E6499)</f>
        <v/>
      </c>
      <c r="F6500">
        <f>IF(AND(B6500=1,C6500&gt;1,E6499&lt;&gt;""),ABS(D6500-E6499),"")</f>
        <v/>
      </c>
    </row>
    <row r="6501">
      <c r="A6501" t="n">
        <v>6501</v>
      </c>
      <c r="B6501">
        <f>IF(INDEX('Data Entry'!$H$5:$BE$10004,6501-4,'Visual SPC'!$B$3)="",0,IF(AND(OR('Visual SPC'!$C$4="",'Data Entry'!$C6501&gt;='Visual SPC'!$C$4),OR('Visual SPC'!$E$4="",'Data Entry'!$C6501&lt;='Visual SPC'!$E$4),OR('Visual SPC'!$G$4="",'Data Entry'!$D6501='Visual SPC'!$G$4),OR('Visual SPC'!$I$4="",'Data Entry'!$E6501='Visual SPC'!$I$4),OR('Visual SPC'!$K$4="",'Data Entry'!$F6501='Visual SPC'!$K$4)),1,0))</f>
        <v/>
      </c>
      <c r="C6501">
        <f>C6500+B6501</f>
        <v/>
      </c>
      <c r="D6501">
        <f>IF(B6501=1,INDEX('Data Entry'!$H$5:$BE$10004,6501-4,'Visual SPC'!$B$3),"")</f>
        <v/>
      </c>
      <c r="E6501">
        <f>IF(B6501=1,D6501,E6500)</f>
        <v/>
      </c>
      <c r="F6501">
        <f>IF(AND(B6501=1,C6501&gt;1,E6500&lt;&gt;""),ABS(D6501-E6500),"")</f>
        <v/>
      </c>
    </row>
    <row r="6502">
      <c r="A6502" t="n">
        <v>6502</v>
      </c>
      <c r="B6502">
        <f>IF(INDEX('Data Entry'!$H$5:$BE$10004,6502-4,'Visual SPC'!$B$3)="",0,IF(AND(OR('Visual SPC'!$C$4="",'Data Entry'!$C6502&gt;='Visual SPC'!$C$4),OR('Visual SPC'!$E$4="",'Data Entry'!$C6502&lt;='Visual SPC'!$E$4),OR('Visual SPC'!$G$4="",'Data Entry'!$D6502='Visual SPC'!$G$4),OR('Visual SPC'!$I$4="",'Data Entry'!$E6502='Visual SPC'!$I$4),OR('Visual SPC'!$K$4="",'Data Entry'!$F6502='Visual SPC'!$K$4)),1,0))</f>
        <v/>
      </c>
      <c r="C6502">
        <f>C6501+B6502</f>
        <v/>
      </c>
      <c r="D6502">
        <f>IF(B6502=1,INDEX('Data Entry'!$H$5:$BE$10004,6502-4,'Visual SPC'!$B$3),"")</f>
        <v/>
      </c>
      <c r="E6502">
        <f>IF(B6502=1,D6502,E6501)</f>
        <v/>
      </c>
      <c r="F6502">
        <f>IF(AND(B6502=1,C6502&gt;1,E6501&lt;&gt;""),ABS(D6502-E6501),"")</f>
        <v/>
      </c>
    </row>
    <row r="6503">
      <c r="A6503" t="n">
        <v>6503</v>
      </c>
      <c r="B6503">
        <f>IF(INDEX('Data Entry'!$H$5:$BE$10004,6503-4,'Visual SPC'!$B$3)="",0,IF(AND(OR('Visual SPC'!$C$4="",'Data Entry'!$C6503&gt;='Visual SPC'!$C$4),OR('Visual SPC'!$E$4="",'Data Entry'!$C6503&lt;='Visual SPC'!$E$4),OR('Visual SPC'!$G$4="",'Data Entry'!$D6503='Visual SPC'!$G$4),OR('Visual SPC'!$I$4="",'Data Entry'!$E6503='Visual SPC'!$I$4),OR('Visual SPC'!$K$4="",'Data Entry'!$F6503='Visual SPC'!$K$4)),1,0))</f>
        <v/>
      </c>
      <c r="C6503">
        <f>C6502+B6503</f>
        <v/>
      </c>
      <c r="D6503">
        <f>IF(B6503=1,INDEX('Data Entry'!$H$5:$BE$10004,6503-4,'Visual SPC'!$B$3),"")</f>
        <v/>
      </c>
      <c r="E6503">
        <f>IF(B6503=1,D6503,E6502)</f>
        <v/>
      </c>
      <c r="F6503">
        <f>IF(AND(B6503=1,C6503&gt;1,E6502&lt;&gt;""),ABS(D6503-E6502),"")</f>
        <v/>
      </c>
    </row>
    <row r="6504">
      <c r="A6504" t="n">
        <v>6504</v>
      </c>
      <c r="B6504">
        <f>IF(INDEX('Data Entry'!$H$5:$BE$10004,6504-4,'Visual SPC'!$B$3)="",0,IF(AND(OR('Visual SPC'!$C$4="",'Data Entry'!$C6504&gt;='Visual SPC'!$C$4),OR('Visual SPC'!$E$4="",'Data Entry'!$C6504&lt;='Visual SPC'!$E$4),OR('Visual SPC'!$G$4="",'Data Entry'!$D6504='Visual SPC'!$G$4),OR('Visual SPC'!$I$4="",'Data Entry'!$E6504='Visual SPC'!$I$4),OR('Visual SPC'!$K$4="",'Data Entry'!$F6504='Visual SPC'!$K$4)),1,0))</f>
        <v/>
      </c>
      <c r="C6504">
        <f>C6503+B6504</f>
        <v/>
      </c>
      <c r="D6504">
        <f>IF(B6504=1,INDEX('Data Entry'!$H$5:$BE$10004,6504-4,'Visual SPC'!$B$3),"")</f>
        <v/>
      </c>
      <c r="E6504">
        <f>IF(B6504=1,D6504,E6503)</f>
        <v/>
      </c>
      <c r="F6504">
        <f>IF(AND(B6504=1,C6504&gt;1,E6503&lt;&gt;""),ABS(D6504-E6503),"")</f>
        <v/>
      </c>
    </row>
    <row r="6505">
      <c r="A6505" t="n">
        <v>6505</v>
      </c>
      <c r="B6505">
        <f>IF(INDEX('Data Entry'!$H$5:$BE$10004,6505-4,'Visual SPC'!$B$3)="",0,IF(AND(OR('Visual SPC'!$C$4="",'Data Entry'!$C6505&gt;='Visual SPC'!$C$4),OR('Visual SPC'!$E$4="",'Data Entry'!$C6505&lt;='Visual SPC'!$E$4),OR('Visual SPC'!$G$4="",'Data Entry'!$D6505='Visual SPC'!$G$4),OR('Visual SPC'!$I$4="",'Data Entry'!$E6505='Visual SPC'!$I$4),OR('Visual SPC'!$K$4="",'Data Entry'!$F6505='Visual SPC'!$K$4)),1,0))</f>
        <v/>
      </c>
      <c r="C6505">
        <f>C6504+B6505</f>
        <v/>
      </c>
      <c r="D6505">
        <f>IF(B6505=1,INDEX('Data Entry'!$H$5:$BE$10004,6505-4,'Visual SPC'!$B$3),"")</f>
        <v/>
      </c>
      <c r="E6505">
        <f>IF(B6505=1,D6505,E6504)</f>
        <v/>
      </c>
      <c r="F6505">
        <f>IF(AND(B6505=1,C6505&gt;1,E6504&lt;&gt;""),ABS(D6505-E6504),"")</f>
        <v/>
      </c>
    </row>
    <row r="6506">
      <c r="A6506" t="n">
        <v>6506</v>
      </c>
      <c r="B6506">
        <f>IF(INDEX('Data Entry'!$H$5:$BE$10004,6506-4,'Visual SPC'!$B$3)="",0,IF(AND(OR('Visual SPC'!$C$4="",'Data Entry'!$C6506&gt;='Visual SPC'!$C$4),OR('Visual SPC'!$E$4="",'Data Entry'!$C6506&lt;='Visual SPC'!$E$4),OR('Visual SPC'!$G$4="",'Data Entry'!$D6506='Visual SPC'!$G$4),OR('Visual SPC'!$I$4="",'Data Entry'!$E6506='Visual SPC'!$I$4),OR('Visual SPC'!$K$4="",'Data Entry'!$F6506='Visual SPC'!$K$4)),1,0))</f>
        <v/>
      </c>
      <c r="C6506">
        <f>C6505+B6506</f>
        <v/>
      </c>
      <c r="D6506">
        <f>IF(B6506=1,INDEX('Data Entry'!$H$5:$BE$10004,6506-4,'Visual SPC'!$B$3),"")</f>
        <v/>
      </c>
      <c r="E6506">
        <f>IF(B6506=1,D6506,E6505)</f>
        <v/>
      </c>
      <c r="F6506">
        <f>IF(AND(B6506=1,C6506&gt;1,E6505&lt;&gt;""),ABS(D6506-E6505),"")</f>
        <v/>
      </c>
    </row>
    <row r="6507">
      <c r="A6507" t="n">
        <v>6507</v>
      </c>
      <c r="B6507">
        <f>IF(INDEX('Data Entry'!$H$5:$BE$10004,6507-4,'Visual SPC'!$B$3)="",0,IF(AND(OR('Visual SPC'!$C$4="",'Data Entry'!$C6507&gt;='Visual SPC'!$C$4),OR('Visual SPC'!$E$4="",'Data Entry'!$C6507&lt;='Visual SPC'!$E$4),OR('Visual SPC'!$G$4="",'Data Entry'!$D6507='Visual SPC'!$G$4),OR('Visual SPC'!$I$4="",'Data Entry'!$E6507='Visual SPC'!$I$4),OR('Visual SPC'!$K$4="",'Data Entry'!$F6507='Visual SPC'!$K$4)),1,0))</f>
        <v/>
      </c>
      <c r="C6507">
        <f>C6506+B6507</f>
        <v/>
      </c>
      <c r="D6507">
        <f>IF(B6507=1,INDEX('Data Entry'!$H$5:$BE$10004,6507-4,'Visual SPC'!$B$3),"")</f>
        <v/>
      </c>
      <c r="E6507">
        <f>IF(B6507=1,D6507,E6506)</f>
        <v/>
      </c>
      <c r="F6507">
        <f>IF(AND(B6507=1,C6507&gt;1,E6506&lt;&gt;""),ABS(D6507-E6506),"")</f>
        <v/>
      </c>
    </row>
    <row r="6508">
      <c r="A6508" t="n">
        <v>6508</v>
      </c>
      <c r="B6508">
        <f>IF(INDEX('Data Entry'!$H$5:$BE$10004,6508-4,'Visual SPC'!$B$3)="",0,IF(AND(OR('Visual SPC'!$C$4="",'Data Entry'!$C6508&gt;='Visual SPC'!$C$4),OR('Visual SPC'!$E$4="",'Data Entry'!$C6508&lt;='Visual SPC'!$E$4),OR('Visual SPC'!$G$4="",'Data Entry'!$D6508='Visual SPC'!$G$4),OR('Visual SPC'!$I$4="",'Data Entry'!$E6508='Visual SPC'!$I$4),OR('Visual SPC'!$K$4="",'Data Entry'!$F6508='Visual SPC'!$K$4)),1,0))</f>
        <v/>
      </c>
      <c r="C6508">
        <f>C6507+B6508</f>
        <v/>
      </c>
      <c r="D6508">
        <f>IF(B6508=1,INDEX('Data Entry'!$H$5:$BE$10004,6508-4,'Visual SPC'!$B$3),"")</f>
        <v/>
      </c>
      <c r="E6508">
        <f>IF(B6508=1,D6508,E6507)</f>
        <v/>
      </c>
      <c r="F6508">
        <f>IF(AND(B6508=1,C6508&gt;1,E6507&lt;&gt;""),ABS(D6508-E6507),"")</f>
        <v/>
      </c>
    </row>
    <row r="6509">
      <c r="A6509" t="n">
        <v>6509</v>
      </c>
      <c r="B6509">
        <f>IF(INDEX('Data Entry'!$H$5:$BE$10004,6509-4,'Visual SPC'!$B$3)="",0,IF(AND(OR('Visual SPC'!$C$4="",'Data Entry'!$C6509&gt;='Visual SPC'!$C$4),OR('Visual SPC'!$E$4="",'Data Entry'!$C6509&lt;='Visual SPC'!$E$4),OR('Visual SPC'!$G$4="",'Data Entry'!$D6509='Visual SPC'!$G$4),OR('Visual SPC'!$I$4="",'Data Entry'!$E6509='Visual SPC'!$I$4),OR('Visual SPC'!$K$4="",'Data Entry'!$F6509='Visual SPC'!$K$4)),1,0))</f>
        <v/>
      </c>
      <c r="C6509">
        <f>C6508+B6509</f>
        <v/>
      </c>
      <c r="D6509">
        <f>IF(B6509=1,INDEX('Data Entry'!$H$5:$BE$10004,6509-4,'Visual SPC'!$B$3),"")</f>
        <v/>
      </c>
      <c r="E6509">
        <f>IF(B6509=1,D6509,E6508)</f>
        <v/>
      </c>
      <c r="F6509">
        <f>IF(AND(B6509=1,C6509&gt;1,E6508&lt;&gt;""),ABS(D6509-E6508),"")</f>
        <v/>
      </c>
    </row>
    <row r="6510">
      <c r="A6510" t="n">
        <v>6510</v>
      </c>
      <c r="B6510">
        <f>IF(INDEX('Data Entry'!$H$5:$BE$10004,6510-4,'Visual SPC'!$B$3)="",0,IF(AND(OR('Visual SPC'!$C$4="",'Data Entry'!$C6510&gt;='Visual SPC'!$C$4),OR('Visual SPC'!$E$4="",'Data Entry'!$C6510&lt;='Visual SPC'!$E$4),OR('Visual SPC'!$G$4="",'Data Entry'!$D6510='Visual SPC'!$G$4),OR('Visual SPC'!$I$4="",'Data Entry'!$E6510='Visual SPC'!$I$4),OR('Visual SPC'!$K$4="",'Data Entry'!$F6510='Visual SPC'!$K$4)),1,0))</f>
        <v/>
      </c>
      <c r="C6510">
        <f>C6509+B6510</f>
        <v/>
      </c>
      <c r="D6510">
        <f>IF(B6510=1,INDEX('Data Entry'!$H$5:$BE$10004,6510-4,'Visual SPC'!$B$3),"")</f>
        <v/>
      </c>
      <c r="E6510">
        <f>IF(B6510=1,D6510,E6509)</f>
        <v/>
      </c>
      <c r="F6510">
        <f>IF(AND(B6510=1,C6510&gt;1,E6509&lt;&gt;""),ABS(D6510-E6509),"")</f>
        <v/>
      </c>
    </row>
    <row r="6511">
      <c r="A6511" t="n">
        <v>6511</v>
      </c>
      <c r="B6511">
        <f>IF(INDEX('Data Entry'!$H$5:$BE$10004,6511-4,'Visual SPC'!$B$3)="",0,IF(AND(OR('Visual SPC'!$C$4="",'Data Entry'!$C6511&gt;='Visual SPC'!$C$4),OR('Visual SPC'!$E$4="",'Data Entry'!$C6511&lt;='Visual SPC'!$E$4),OR('Visual SPC'!$G$4="",'Data Entry'!$D6511='Visual SPC'!$G$4),OR('Visual SPC'!$I$4="",'Data Entry'!$E6511='Visual SPC'!$I$4),OR('Visual SPC'!$K$4="",'Data Entry'!$F6511='Visual SPC'!$K$4)),1,0))</f>
        <v/>
      </c>
      <c r="C6511">
        <f>C6510+B6511</f>
        <v/>
      </c>
      <c r="D6511">
        <f>IF(B6511=1,INDEX('Data Entry'!$H$5:$BE$10004,6511-4,'Visual SPC'!$B$3),"")</f>
        <v/>
      </c>
      <c r="E6511">
        <f>IF(B6511=1,D6511,E6510)</f>
        <v/>
      </c>
      <c r="F6511">
        <f>IF(AND(B6511=1,C6511&gt;1,E6510&lt;&gt;""),ABS(D6511-E6510),"")</f>
        <v/>
      </c>
    </row>
    <row r="6512">
      <c r="A6512" t="n">
        <v>6512</v>
      </c>
      <c r="B6512">
        <f>IF(INDEX('Data Entry'!$H$5:$BE$10004,6512-4,'Visual SPC'!$B$3)="",0,IF(AND(OR('Visual SPC'!$C$4="",'Data Entry'!$C6512&gt;='Visual SPC'!$C$4),OR('Visual SPC'!$E$4="",'Data Entry'!$C6512&lt;='Visual SPC'!$E$4),OR('Visual SPC'!$G$4="",'Data Entry'!$D6512='Visual SPC'!$G$4),OR('Visual SPC'!$I$4="",'Data Entry'!$E6512='Visual SPC'!$I$4),OR('Visual SPC'!$K$4="",'Data Entry'!$F6512='Visual SPC'!$K$4)),1,0))</f>
        <v/>
      </c>
      <c r="C6512">
        <f>C6511+B6512</f>
        <v/>
      </c>
      <c r="D6512">
        <f>IF(B6512=1,INDEX('Data Entry'!$H$5:$BE$10004,6512-4,'Visual SPC'!$B$3),"")</f>
        <v/>
      </c>
      <c r="E6512">
        <f>IF(B6512=1,D6512,E6511)</f>
        <v/>
      </c>
      <c r="F6512">
        <f>IF(AND(B6512=1,C6512&gt;1,E6511&lt;&gt;""),ABS(D6512-E6511),"")</f>
        <v/>
      </c>
    </row>
    <row r="6513">
      <c r="A6513" t="n">
        <v>6513</v>
      </c>
      <c r="B6513">
        <f>IF(INDEX('Data Entry'!$H$5:$BE$10004,6513-4,'Visual SPC'!$B$3)="",0,IF(AND(OR('Visual SPC'!$C$4="",'Data Entry'!$C6513&gt;='Visual SPC'!$C$4),OR('Visual SPC'!$E$4="",'Data Entry'!$C6513&lt;='Visual SPC'!$E$4),OR('Visual SPC'!$G$4="",'Data Entry'!$D6513='Visual SPC'!$G$4),OR('Visual SPC'!$I$4="",'Data Entry'!$E6513='Visual SPC'!$I$4),OR('Visual SPC'!$K$4="",'Data Entry'!$F6513='Visual SPC'!$K$4)),1,0))</f>
        <v/>
      </c>
      <c r="C6513">
        <f>C6512+B6513</f>
        <v/>
      </c>
      <c r="D6513">
        <f>IF(B6513=1,INDEX('Data Entry'!$H$5:$BE$10004,6513-4,'Visual SPC'!$B$3),"")</f>
        <v/>
      </c>
      <c r="E6513">
        <f>IF(B6513=1,D6513,E6512)</f>
        <v/>
      </c>
      <c r="F6513">
        <f>IF(AND(B6513=1,C6513&gt;1,E6512&lt;&gt;""),ABS(D6513-E6512),"")</f>
        <v/>
      </c>
    </row>
    <row r="6514">
      <c r="A6514" t="n">
        <v>6514</v>
      </c>
      <c r="B6514">
        <f>IF(INDEX('Data Entry'!$H$5:$BE$10004,6514-4,'Visual SPC'!$B$3)="",0,IF(AND(OR('Visual SPC'!$C$4="",'Data Entry'!$C6514&gt;='Visual SPC'!$C$4),OR('Visual SPC'!$E$4="",'Data Entry'!$C6514&lt;='Visual SPC'!$E$4),OR('Visual SPC'!$G$4="",'Data Entry'!$D6514='Visual SPC'!$G$4),OR('Visual SPC'!$I$4="",'Data Entry'!$E6514='Visual SPC'!$I$4),OR('Visual SPC'!$K$4="",'Data Entry'!$F6514='Visual SPC'!$K$4)),1,0))</f>
        <v/>
      </c>
      <c r="C6514">
        <f>C6513+B6514</f>
        <v/>
      </c>
      <c r="D6514">
        <f>IF(B6514=1,INDEX('Data Entry'!$H$5:$BE$10004,6514-4,'Visual SPC'!$B$3),"")</f>
        <v/>
      </c>
      <c r="E6514">
        <f>IF(B6514=1,D6514,E6513)</f>
        <v/>
      </c>
      <c r="F6514">
        <f>IF(AND(B6514=1,C6514&gt;1,E6513&lt;&gt;""),ABS(D6514-E6513),"")</f>
        <v/>
      </c>
    </row>
    <row r="6515">
      <c r="A6515" t="n">
        <v>6515</v>
      </c>
      <c r="B6515">
        <f>IF(INDEX('Data Entry'!$H$5:$BE$10004,6515-4,'Visual SPC'!$B$3)="",0,IF(AND(OR('Visual SPC'!$C$4="",'Data Entry'!$C6515&gt;='Visual SPC'!$C$4),OR('Visual SPC'!$E$4="",'Data Entry'!$C6515&lt;='Visual SPC'!$E$4),OR('Visual SPC'!$G$4="",'Data Entry'!$D6515='Visual SPC'!$G$4),OR('Visual SPC'!$I$4="",'Data Entry'!$E6515='Visual SPC'!$I$4),OR('Visual SPC'!$K$4="",'Data Entry'!$F6515='Visual SPC'!$K$4)),1,0))</f>
        <v/>
      </c>
      <c r="C6515">
        <f>C6514+B6515</f>
        <v/>
      </c>
      <c r="D6515">
        <f>IF(B6515=1,INDEX('Data Entry'!$H$5:$BE$10004,6515-4,'Visual SPC'!$B$3),"")</f>
        <v/>
      </c>
      <c r="E6515">
        <f>IF(B6515=1,D6515,E6514)</f>
        <v/>
      </c>
      <c r="F6515">
        <f>IF(AND(B6515=1,C6515&gt;1,E6514&lt;&gt;""),ABS(D6515-E6514),"")</f>
        <v/>
      </c>
    </row>
    <row r="6516">
      <c r="A6516" t="n">
        <v>6516</v>
      </c>
      <c r="B6516">
        <f>IF(INDEX('Data Entry'!$H$5:$BE$10004,6516-4,'Visual SPC'!$B$3)="",0,IF(AND(OR('Visual SPC'!$C$4="",'Data Entry'!$C6516&gt;='Visual SPC'!$C$4),OR('Visual SPC'!$E$4="",'Data Entry'!$C6516&lt;='Visual SPC'!$E$4),OR('Visual SPC'!$G$4="",'Data Entry'!$D6516='Visual SPC'!$G$4),OR('Visual SPC'!$I$4="",'Data Entry'!$E6516='Visual SPC'!$I$4),OR('Visual SPC'!$K$4="",'Data Entry'!$F6516='Visual SPC'!$K$4)),1,0))</f>
        <v/>
      </c>
      <c r="C6516">
        <f>C6515+B6516</f>
        <v/>
      </c>
      <c r="D6516">
        <f>IF(B6516=1,INDEX('Data Entry'!$H$5:$BE$10004,6516-4,'Visual SPC'!$B$3),"")</f>
        <v/>
      </c>
      <c r="E6516">
        <f>IF(B6516=1,D6516,E6515)</f>
        <v/>
      </c>
      <c r="F6516">
        <f>IF(AND(B6516=1,C6516&gt;1,E6515&lt;&gt;""),ABS(D6516-E6515),"")</f>
        <v/>
      </c>
    </row>
    <row r="6517">
      <c r="A6517" t="n">
        <v>6517</v>
      </c>
      <c r="B6517">
        <f>IF(INDEX('Data Entry'!$H$5:$BE$10004,6517-4,'Visual SPC'!$B$3)="",0,IF(AND(OR('Visual SPC'!$C$4="",'Data Entry'!$C6517&gt;='Visual SPC'!$C$4),OR('Visual SPC'!$E$4="",'Data Entry'!$C6517&lt;='Visual SPC'!$E$4),OR('Visual SPC'!$G$4="",'Data Entry'!$D6517='Visual SPC'!$G$4),OR('Visual SPC'!$I$4="",'Data Entry'!$E6517='Visual SPC'!$I$4),OR('Visual SPC'!$K$4="",'Data Entry'!$F6517='Visual SPC'!$K$4)),1,0))</f>
        <v/>
      </c>
      <c r="C6517">
        <f>C6516+B6517</f>
        <v/>
      </c>
      <c r="D6517">
        <f>IF(B6517=1,INDEX('Data Entry'!$H$5:$BE$10004,6517-4,'Visual SPC'!$B$3),"")</f>
        <v/>
      </c>
      <c r="E6517">
        <f>IF(B6517=1,D6517,E6516)</f>
        <v/>
      </c>
      <c r="F6517">
        <f>IF(AND(B6517=1,C6517&gt;1,E6516&lt;&gt;""),ABS(D6517-E6516),"")</f>
        <v/>
      </c>
    </row>
    <row r="6518">
      <c r="A6518" t="n">
        <v>6518</v>
      </c>
      <c r="B6518">
        <f>IF(INDEX('Data Entry'!$H$5:$BE$10004,6518-4,'Visual SPC'!$B$3)="",0,IF(AND(OR('Visual SPC'!$C$4="",'Data Entry'!$C6518&gt;='Visual SPC'!$C$4),OR('Visual SPC'!$E$4="",'Data Entry'!$C6518&lt;='Visual SPC'!$E$4),OR('Visual SPC'!$G$4="",'Data Entry'!$D6518='Visual SPC'!$G$4),OR('Visual SPC'!$I$4="",'Data Entry'!$E6518='Visual SPC'!$I$4),OR('Visual SPC'!$K$4="",'Data Entry'!$F6518='Visual SPC'!$K$4)),1,0))</f>
        <v/>
      </c>
      <c r="C6518">
        <f>C6517+B6518</f>
        <v/>
      </c>
      <c r="D6518">
        <f>IF(B6518=1,INDEX('Data Entry'!$H$5:$BE$10004,6518-4,'Visual SPC'!$B$3),"")</f>
        <v/>
      </c>
      <c r="E6518">
        <f>IF(B6518=1,D6518,E6517)</f>
        <v/>
      </c>
      <c r="F6518">
        <f>IF(AND(B6518=1,C6518&gt;1,E6517&lt;&gt;""),ABS(D6518-E6517),"")</f>
        <v/>
      </c>
    </row>
    <row r="6519">
      <c r="A6519" t="n">
        <v>6519</v>
      </c>
      <c r="B6519">
        <f>IF(INDEX('Data Entry'!$H$5:$BE$10004,6519-4,'Visual SPC'!$B$3)="",0,IF(AND(OR('Visual SPC'!$C$4="",'Data Entry'!$C6519&gt;='Visual SPC'!$C$4),OR('Visual SPC'!$E$4="",'Data Entry'!$C6519&lt;='Visual SPC'!$E$4),OR('Visual SPC'!$G$4="",'Data Entry'!$D6519='Visual SPC'!$G$4),OR('Visual SPC'!$I$4="",'Data Entry'!$E6519='Visual SPC'!$I$4),OR('Visual SPC'!$K$4="",'Data Entry'!$F6519='Visual SPC'!$K$4)),1,0))</f>
        <v/>
      </c>
      <c r="C6519">
        <f>C6518+B6519</f>
        <v/>
      </c>
      <c r="D6519">
        <f>IF(B6519=1,INDEX('Data Entry'!$H$5:$BE$10004,6519-4,'Visual SPC'!$B$3),"")</f>
        <v/>
      </c>
      <c r="E6519">
        <f>IF(B6519=1,D6519,E6518)</f>
        <v/>
      </c>
      <c r="F6519">
        <f>IF(AND(B6519=1,C6519&gt;1,E6518&lt;&gt;""),ABS(D6519-E6518),"")</f>
        <v/>
      </c>
    </row>
    <row r="6520">
      <c r="A6520" t="n">
        <v>6520</v>
      </c>
      <c r="B6520">
        <f>IF(INDEX('Data Entry'!$H$5:$BE$10004,6520-4,'Visual SPC'!$B$3)="",0,IF(AND(OR('Visual SPC'!$C$4="",'Data Entry'!$C6520&gt;='Visual SPC'!$C$4),OR('Visual SPC'!$E$4="",'Data Entry'!$C6520&lt;='Visual SPC'!$E$4),OR('Visual SPC'!$G$4="",'Data Entry'!$D6520='Visual SPC'!$G$4),OR('Visual SPC'!$I$4="",'Data Entry'!$E6520='Visual SPC'!$I$4),OR('Visual SPC'!$K$4="",'Data Entry'!$F6520='Visual SPC'!$K$4)),1,0))</f>
        <v/>
      </c>
      <c r="C6520">
        <f>C6519+B6520</f>
        <v/>
      </c>
      <c r="D6520">
        <f>IF(B6520=1,INDEX('Data Entry'!$H$5:$BE$10004,6520-4,'Visual SPC'!$B$3),"")</f>
        <v/>
      </c>
      <c r="E6520">
        <f>IF(B6520=1,D6520,E6519)</f>
        <v/>
      </c>
      <c r="F6520">
        <f>IF(AND(B6520=1,C6520&gt;1,E6519&lt;&gt;""),ABS(D6520-E6519),"")</f>
        <v/>
      </c>
    </row>
    <row r="6521">
      <c r="A6521" t="n">
        <v>6521</v>
      </c>
      <c r="B6521">
        <f>IF(INDEX('Data Entry'!$H$5:$BE$10004,6521-4,'Visual SPC'!$B$3)="",0,IF(AND(OR('Visual SPC'!$C$4="",'Data Entry'!$C6521&gt;='Visual SPC'!$C$4),OR('Visual SPC'!$E$4="",'Data Entry'!$C6521&lt;='Visual SPC'!$E$4),OR('Visual SPC'!$G$4="",'Data Entry'!$D6521='Visual SPC'!$G$4),OR('Visual SPC'!$I$4="",'Data Entry'!$E6521='Visual SPC'!$I$4),OR('Visual SPC'!$K$4="",'Data Entry'!$F6521='Visual SPC'!$K$4)),1,0))</f>
        <v/>
      </c>
      <c r="C6521">
        <f>C6520+B6521</f>
        <v/>
      </c>
      <c r="D6521">
        <f>IF(B6521=1,INDEX('Data Entry'!$H$5:$BE$10004,6521-4,'Visual SPC'!$B$3),"")</f>
        <v/>
      </c>
      <c r="E6521">
        <f>IF(B6521=1,D6521,E6520)</f>
        <v/>
      </c>
      <c r="F6521">
        <f>IF(AND(B6521=1,C6521&gt;1,E6520&lt;&gt;""),ABS(D6521-E6520),"")</f>
        <v/>
      </c>
    </row>
    <row r="6522">
      <c r="A6522" t="n">
        <v>6522</v>
      </c>
      <c r="B6522">
        <f>IF(INDEX('Data Entry'!$H$5:$BE$10004,6522-4,'Visual SPC'!$B$3)="",0,IF(AND(OR('Visual SPC'!$C$4="",'Data Entry'!$C6522&gt;='Visual SPC'!$C$4),OR('Visual SPC'!$E$4="",'Data Entry'!$C6522&lt;='Visual SPC'!$E$4),OR('Visual SPC'!$G$4="",'Data Entry'!$D6522='Visual SPC'!$G$4),OR('Visual SPC'!$I$4="",'Data Entry'!$E6522='Visual SPC'!$I$4),OR('Visual SPC'!$K$4="",'Data Entry'!$F6522='Visual SPC'!$K$4)),1,0))</f>
        <v/>
      </c>
      <c r="C6522">
        <f>C6521+B6522</f>
        <v/>
      </c>
      <c r="D6522">
        <f>IF(B6522=1,INDEX('Data Entry'!$H$5:$BE$10004,6522-4,'Visual SPC'!$B$3),"")</f>
        <v/>
      </c>
      <c r="E6522">
        <f>IF(B6522=1,D6522,E6521)</f>
        <v/>
      </c>
      <c r="F6522">
        <f>IF(AND(B6522=1,C6522&gt;1,E6521&lt;&gt;""),ABS(D6522-E6521),"")</f>
        <v/>
      </c>
    </row>
    <row r="6523">
      <c r="A6523" t="n">
        <v>6523</v>
      </c>
      <c r="B6523">
        <f>IF(INDEX('Data Entry'!$H$5:$BE$10004,6523-4,'Visual SPC'!$B$3)="",0,IF(AND(OR('Visual SPC'!$C$4="",'Data Entry'!$C6523&gt;='Visual SPC'!$C$4),OR('Visual SPC'!$E$4="",'Data Entry'!$C6523&lt;='Visual SPC'!$E$4),OR('Visual SPC'!$G$4="",'Data Entry'!$D6523='Visual SPC'!$G$4),OR('Visual SPC'!$I$4="",'Data Entry'!$E6523='Visual SPC'!$I$4),OR('Visual SPC'!$K$4="",'Data Entry'!$F6523='Visual SPC'!$K$4)),1,0))</f>
        <v/>
      </c>
      <c r="C6523">
        <f>C6522+B6523</f>
        <v/>
      </c>
      <c r="D6523">
        <f>IF(B6523=1,INDEX('Data Entry'!$H$5:$BE$10004,6523-4,'Visual SPC'!$B$3),"")</f>
        <v/>
      </c>
      <c r="E6523">
        <f>IF(B6523=1,D6523,E6522)</f>
        <v/>
      </c>
      <c r="F6523">
        <f>IF(AND(B6523=1,C6523&gt;1,E6522&lt;&gt;""),ABS(D6523-E6522),"")</f>
        <v/>
      </c>
    </row>
    <row r="6524">
      <c r="A6524" t="n">
        <v>6524</v>
      </c>
      <c r="B6524">
        <f>IF(INDEX('Data Entry'!$H$5:$BE$10004,6524-4,'Visual SPC'!$B$3)="",0,IF(AND(OR('Visual SPC'!$C$4="",'Data Entry'!$C6524&gt;='Visual SPC'!$C$4),OR('Visual SPC'!$E$4="",'Data Entry'!$C6524&lt;='Visual SPC'!$E$4),OR('Visual SPC'!$G$4="",'Data Entry'!$D6524='Visual SPC'!$G$4),OR('Visual SPC'!$I$4="",'Data Entry'!$E6524='Visual SPC'!$I$4),OR('Visual SPC'!$K$4="",'Data Entry'!$F6524='Visual SPC'!$K$4)),1,0))</f>
        <v/>
      </c>
      <c r="C6524">
        <f>C6523+B6524</f>
        <v/>
      </c>
      <c r="D6524">
        <f>IF(B6524=1,INDEX('Data Entry'!$H$5:$BE$10004,6524-4,'Visual SPC'!$B$3),"")</f>
        <v/>
      </c>
      <c r="E6524">
        <f>IF(B6524=1,D6524,E6523)</f>
        <v/>
      </c>
      <c r="F6524">
        <f>IF(AND(B6524=1,C6524&gt;1,E6523&lt;&gt;""),ABS(D6524-E6523),"")</f>
        <v/>
      </c>
    </row>
    <row r="6525">
      <c r="A6525" t="n">
        <v>6525</v>
      </c>
      <c r="B6525">
        <f>IF(INDEX('Data Entry'!$H$5:$BE$10004,6525-4,'Visual SPC'!$B$3)="",0,IF(AND(OR('Visual SPC'!$C$4="",'Data Entry'!$C6525&gt;='Visual SPC'!$C$4),OR('Visual SPC'!$E$4="",'Data Entry'!$C6525&lt;='Visual SPC'!$E$4),OR('Visual SPC'!$G$4="",'Data Entry'!$D6525='Visual SPC'!$G$4),OR('Visual SPC'!$I$4="",'Data Entry'!$E6525='Visual SPC'!$I$4),OR('Visual SPC'!$K$4="",'Data Entry'!$F6525='Visual SPC'!$K$4)),1,0))</f>
        <v/>
      </c>
      <c r="C6525">
        <f>C6524+B6525</f>
        <v/>
      </c>
      <c r="D6525">
        <f>IF(B6525=1,INDEX('Data Entry'!$H$5:$BE$10004,6525-4,'Visual SPC'!$B$3),"")</f>
        <v/>
      </c>
      <c r="E6525">
        <f>IF(B6525=1,D6525,E6524)</f>
        <v/>
      </c>
      <c r="F6525">
        <f>IF(AND(B6525=1,C6525&gt;1,E6524&lt;&gt;""),ABS(D6525-E6524),"")</f>
        <v/>
      </c>
    </row>
    <row r="6526">
      <c r="A6526" t="n">
        <v>6526</v>
      </c>
      <c r="B6526">
        <f>IF(INDEX('Data Entry'!$H$5:$BE$10004,6526-4,'Visual SPC'!$B$3)="",0,IF(AND(OR('Visual SPC'!$C$4="",'Data Entry'!$C6526&gt;='Visual SPC'!$C$4),OR('Visual SPC'!$E$4="",'Data Entry'!$C6526&lt;='Visual SPC'!$E$4),OR('Visual SPC'!$G$4="",'Data Entry'!$D6526='Visual SPC'!$G$4),OR('Visual SPC'!$I$4="",'Data Entry'!$E6526='Visual SPC'!$I$4),OR('Visual SPC'!$K$4="",'Data Entry'!$F6526='Visual SPC'!$K$4)),1,0))</f>
        <v/>
      </c>
      <c r="C6526">
        <f>C6525+B6526</f>
        <v/>
      </c>
      <c r="D6526">
        <f>IF(B6526=1,INDEX('Data Entry'!$H$5:$BE$10004,6526-4,'Visual SPC'!$B$3),"")</f>
        <v/>
      </c>
      <c r="E6526">
        <f>IF(B6526=1,D6526,E6525)</f>
        <v/>
      </c>
      <c r="F6526">
        <f>IF(AND(B6526=1,C6526&gt;1,E6525&lt;&gt;""),ABS(D6526-E6525),"")</f>
        <v/>
      </c>
    </row>
    <row r="6527">
      <c r="A6527" t="n">
        <v>6527</v>
      </c>
      <c r="B6527">
        <f>IF(INDEX('Data Entry'!$H$5:$BE$10004,6527-4,'Visual SPC'!$B$3)="",0,IF(AND(OR('Visual SPC'!$C$4="",'Data Entry'!$C6527&gt;='Visual SPC'!$C$4),OR('Visual SPC'!$E$4="",'Data Entry'!$C6527&lt;='Visual SPC'!$E$4),OR('Visual SPC'!$G$4="",'Data Entry'!$D6527='Visual SPC'!$G$4),OR('Visual SPC'!$I$4="",'Data Entry'!$E6527='Visual SPC'!$I$4),OR('Visual SPC'!$K$4="",'Data Entry'!$F6527='Visual SPC'!$K$4)),1,0))</f>
        <v/>
      </c>
      <c r="C6527">
        <f>C6526+B6527</f>
        <v/>
      </c>
      <c r="D6527">
        <f>IF(B6527=1,INDEX('Data Entry'!$H$5:$BE$10004,6527-4,'Visual SPC'!$B$3),"")</f>
        <v/>
      </c>
      <c r="E6527">
        <f>IF(B6527=1,D6527,E6526)</f>
        <v/>
      </c>
      <c r="F6527">
        <f>IF(AND(B6527=1,C6527&gt;1,E6526&lt;&gt;""),ABS(D6527-E6526),"")</f>
        <v/>
      </c>
    </row>
    <row r="6528">
      <c r="A6528" t="n">
        <v>6528</v>
      </c>
      <c r="B6528">
        <f>IF(INDEX('Data Entry'!$H$5:$BE$10004,6528-4,'Visual SPC'!$B$3)="",0,IF(AND(OR('Visual SPC'!$C$4="",'Data Entry'!$C6528&gt;='Visual SPC'!$C$4),OR('Visual SPC'!$E$4="",'Data Entry'!$C6528&lt;='Visual SPC'!$E$4),OR('Visual SPC'!$G$4="",'Data Entry'!$D6528='Visual SPC'!$G$4),OR('Visual SPC'!$I$4="",'Data Entry'!$E6528='Visual SPC'!$I$4),OR('Visual SPC'!$K$4="",'Data Entry'!$F6528='Visual SPC'!$K$4)),1,0))</f>
        <v/>
      </c>
      <c r="C6528">
        <f>C6527+B6528</f>
        <v/>
      </c>
      <c r="D6528">
        <f>IF(B6528=1,INDEX('Data Entry'!$H$5:$BE$10004,6528-4,'Visual SPC'!$B$3),"")</f>
        <v/>
      </c>
      <c r="E6528">
        <f>IF(B6528=1,D6528,E6527)</f>
        <v/>
      </c>
      <c r="F6528">
        <f>IF(AND(B6528=1,C6528&gt;1,E6527&lt;&gt;""),ABS(D6528-E6527),"")</f>
        <v/>
      </c>
    </row>
    <row r="6529">
      <c r="A6529" t="n">
        <v>6529</v>
      </c>
      <c r="B6529">
        <f>IF(INDEX('Data Entry'!$H$5:$BE$10004,6529-4,'Visual SPC'!$B$3)="",0,IF(AND(OR('Visual SPC'!$C$4="",'Data Entry'!$C6529&gt;='Visual SPC'!$C$4),OR('Visual SPC'!$E$4="",'Data Entry'!$C6529&lt;='Visual SPC'!$E$4),OR('Visual SPC'!$G$4="",'Data Entry'!$D6529='Visual SPC'!$G$4),OR('Visual SPC'!$I$4="",'Data Entry'!$E6529='Visual SPC'!$I$4),OR('Visual SPC'!$K$4="",'Data Entry'!$F6529='Visual SPC'!$K$4)),1,0))</f>
        <v/>
      </c>
      <c r="C6529">
        <f>C6528+B6529</f>
        <v/>
      </c>
      <c r="D6529">
        <f>IF(B6529=1,INDEX('Data Entry'!$H$5:$BE$10004,6529-4,'Visual SPC'!$B$3),"")</f>
        <v/>
      </c>
      <c r="E6529">
        <f>IF(B6529=1,D6529,E6528)</f>
        <v/>
      </c>
      <c r="F6529">
        <f>IF(AND(B6529=1,C6529&gt;1,E6528&lt;&gt;""),ABS(D6529-E6528),"")</f>
        <v/>
      </c>
    </row>
    <row r="6530">
      <c r="A6530" t="n">
        <v>6530</v>
      </c>
      <c r="B6530">
        <f>IF(INDEX('Data Entry'!$H$5:$BE$10004,6530-4,'Visual SPC'!$B$3)="",0,IF(AND(OR('Visual SPC'!$C$4="",'Data Entry'!$C6530&gt;='Visual SPC'!$C$4),OR('Visual SPC'!$E$4="",'Data Entry'!$C6530&lt;='Visual SPC'!$E$4),OR('Visual SPC'!$G$4="",'Data Entry'!$D6530='Visual SPC'!$G$4),OR('Visual SPC'!$I$4="",'Data Entry'!$E6530='Visual SPC'!$I$4),OR('Visual SPC'!$K$4="",'Data Entry'!$F6530='Visual SPC'!$K$4)),1,0))</f>
        <v/>
      </c>
      <c r="C6530">
        <f>C6529+B6530</f>
        <v/>
      </c>
      <c r="D6530">
        <f>IF(B6530=1,INDEX('Data Entry'!$H$5:$BE$10004,6530-4,'Visual SPC'!$B$3),"")</f>
        <v/>
      </c>
      <c r="E6530">
        <f>IF(B6530=1,D6530,E6529)</f>
        <v/>
      </c>
      <c r="F6530">
        <f>IF(AND(B6530=1,C6530&gt;1,E6529&lt;&gt;""),ABS(D6530-E6529),"")</f>
        <v/>
      </c>
    </row>
    <row r="6531">
      <c r="A6531" t="n">
        <v>6531</v>
      </c>
      <c r="B6531">
        <f>IF(INDEX('Data Entry'!$H$5:$BE$10004,6531-4,'Visual SPC'!$B$3)="",0,IF(AND(OR('Visual SPC'!$C$4="",'Data Entry'!$C6531&gt;='Visual SPC'!$C$4),OR('Visual SPC'!$E$4="",'Data Entry'!$C6531&lt;='Visual SPC'!$E$4),OR('Visual SPC'!$G$4="",'Data Entry'!$D6531='Visual SPC'!$G$4),OR('Visual SPC'!$I$4="",'Data Entry'!$E6531='Visual SPC'!$I$4),OR('Visual SPC'!$K$4="",'Data Entry'!$F6531='Visual SPC'!$K$4)),1,0))</f>
        <v/>
      </c>
      <c r="C6531">
        <f>C6530+B6531</f>
        <v/>
      </c>
      <c r="D6531">
        <f>IF(B6531=1,INDEX('Data Entry'!$H$5:$BE$10004,6531-4,'Visual SPC'!$B$3),"")</f>
        <v/>
      </c>
      <c r="E6531">
        <f>IF(B6531=1,D6531,E6530)</f>
        <v/>
      </c>
      <c r="F6531">
        <f>IF(AND(B6531=1,C6531&gt;1,E6530&lt;&gt;""),ABS(D6531-E6530),"")</f>
        <v/>
      </c>
    </row>
    <row r="6532">
      <c r="A6532" t="n">
        <v>6532</v>
      </c>
      <c r="B6532">
        <f>IF(INDEX('Data Entry'!$H$5:$BE$10004,6532-4,'Visual SPC'!$B$3)="",0,IF(AND(OR('Visual SPC'!$C$4="",'Data Entry'!$C6532&gt;='Visual SPC'!$C$4),OR('Visual SPC'!$E$4="",'Data Entry'!$C6532&lt;='Visual SPC'!$E$4),OR('Visual SPC'!$G$4="",'Data Entry'!$D6532='Visual SPC'!$G$4),OR('Visual SPC'!$I$4="",'Data Entry'!$E6532='Visual SPC'!$I$4),OR('Visual SPC'!$K$4="",'Data Entry'!$F6532='Visual SPC'!$K$4)),1,0))</f>
        <v/>
      </c>
      <c r="C6532">
        <f>C6531+B6532</f>
        <v/>
      </c>
      <c r="D6532">
        <f>IF(B6532=1,INDEX('Data Entry'!$H$5:$BE$10004,6532-4,'Visual SPC'!$B$3),"")</f>
        <v/>
      </c>
      <c r="E6532">
        <f>IF(B6532=1,D6532,E6531)</f>
        <v/>
      </c>
      <c r="F6532">
        <f>IF(AND(B6532=1,C6532&gt;1,E6531&lt;&gt;""),ABS(D6532-E6531),"")</f>
        <v/>
      </c>
    </row>
    <row r="6533">
      <c r="A6533" t="n">
        <v>6533</v>
      </c>
      <c r="B6533">
        <f>IF(INDEX('Data Entry'!$H$5:$BE$10004,6533-4,'Visual SPC'!$B$3)="",0,IF(AND(OR('Visual SPC'!$C$4="",'Data Entry'!$C6533&gt;='Visual SPC'!$C$4),OR('Visual SPC'!$E$4="",'Data Entry'!$C6533&lt;='Visual SPC'!$E$4),OR('Visual SPC'!$G$4="",'Data Entry'!$D6533='Visual SPC'!$G$4),OR('Visual SPC'!$I$4="",'Data Entry'!$E6533='Visual SPC'!$I$4),OR('Visual SPC'!$K$4="",'Data Entry'!$F6533='Visual SPC'!$K$4)),1,0))</f>
        <v/>
      </c>
      <c r="C6533">
        <f>C6532+B6533</f>
        <v/>
      </c>
      <c r="D6533">
        <f>IF(B6533=1,INDEX('Data Entry'!$H$5:$BE$10004,6533-4,'Visual SPC'!$B$3),"")</f>
        <v/>
      </c>
      <c r="E6533">
        <f>IF(B6533=1,D6533,E6532)</f>
        <v/>
      </c>
      <c r="F6533">
        <f>IF(AND(B6533=1,C6533&gt;1,E6532&lt;&gt;""),ABS(D6533-E6532),"")</f>
        <v/>
      </c>
    </row>
    <row r="6534">
      <c r="A6534" t="n">
        <v>6534</v>
      </c>
      <c r="B6534">
        <f>IF(INDEX('Data Entry'!$H$5:$BE$10004,6534-4,'Visual SPC'!$B$3)="",0,IF(AND(OR('Visual SPC'!$C$4="",'Data Entry'!$C6534&gt;='Visual SPC'!$C$4),OR('Visual SPC'!$E$4="",'Data Entry'!$C6534&lt;='Visual SPC'!$E$4),OR('Visual SPC'!$G$4="",'Data Entry'!$D6534='Visual SPC'!$G$4),OR('Visual SPC'!$I$4="",'Data Entry'!$E6534='Visual SPC'!$I$4),OR('Visual SPC'!$K$4="",'Data Entry'!$F6534='Visual SPC'!$K$4)),1,0))</f>
        <v/>
      </c>
      <c r="C6534">
        <f>C6533+B6534</f>
        <v/>
      </c>
      <c r="D6534">
        <f>IF(B6534=1,INDEX('Data Entry'!$H$5:$BE$10004,6534-4,'Visual SPC'!$B$3),"")</f>
        <v/>
      </c>
      <c r="E6534">
        <f>IF(B6534=1,D6534,E6533)</f>
        <v/>
      </c>
      <c r="F6534">
        <f>IF(AND(B6534=1,C6534&gt;1,E6533&lt;&gt;""),ABS(D6534-E6533),"")</f>
        <v/>
      </c>
    </row>
    <row r="6535">
      <c r="A6535" t="n">
        <v>6535</v>
      </c>
      <c r="B6535">
        <f>IF(INDEX('Data Entry'!$H$5:$BE$10004,6535-4,'Visual SPC'!$B$3)="",0,IF(AND(OR('Visual SPC'!$C$4="",'Data Entry'!$C6535&gt;='Visual SPC'!$C$4),OR('Visual SPC'!$E$4="",'Data Entry'!$C6535&lt;='Visual SPC'!$E$4),OR('Visual SPC'!$G$4="",'Data Entry'!$D6535='Visual SPC'!$G$4),OR('Visual SPC'!$I$4="",'Data Entry'!$E6535='Visual SPC'!$I$4),OR('Visual SPC'!$K$4="",'Data Entry'!$F6535='Visual SPC'!$K$4)),1,0))</f>
        <v/>
      </c>
      <c r="C6535">
        <f>C6534+B6535</f>
        <v/>
      </c>
      <c r="D6535">
        <f>IF(B6535=1,INDEX('Data Entry'!$H$5:$BE$10004,6535-4,'Visual SPC'!$B$3),"")</f>
        <v/>
      </c>
      <c r="E6535">
        <f>IF(B6535=1,D6535,E6534)</f>
        <v/>
      </c>
      <c r="F6535">
        <f>IF(AND(B6535=1,C6535&gt;1,E6534&lt;&gt;""),ABS(D6535-E6534),"")</f>
        <v/>
      </c>
    </row>
    <row r="6536">
      <c r="A6536" t="n">
        <v>6536</v>
      </c>
      <c r="B6536">
        <f>IF(INDEX('Data Entry'!$H$5:$BE$10004,6536-4,'Visual SPC'!$B$3)="",0,IF(AND(OR('Visual SPC'!$C$4="",'Data Entry'!$C6536&gt;='Visual SPC'!$C$4),OR('Visual SPC'!$E$4="",'Data Entry'!$C6536&lt;='Visual SPC'!$E$4),OR('Visual SPC'!$G$4="",'Data Entry'!$D6536='Visual SPC'!$G$4),OR('Visual SPC'!$I$4="",'Data Entry'!$E6536='Visual SPC'!$I$4),OR('Visual SPC'!$K$4="",'Data Entry'!$F6536='Visual SPC'!$K$4)),1,0))</f>
        <v/>
      </c>
      <c r="C6536">
        <f>C6535+B6536</f>
        <v/>
      </c>
      <c r="D6536">
        <f>IF(B6536=1,INDEX('Data Entry'!$H$5:$BE$10004,6536-4,'Visual SPC'!$B$3),"")</f>
        <v/>
      </c>
      <c r="E6536">
        <f>IF(B6536=1,D6536,E6535)</f>
        <v/>
      </c>
      <c r="F6536">
        <f>IF(AND(B6536=1,C6536&gt;1,E6535&lt;&gt;""),ABS(D6536-E6535),"")</f>
        <v/>
      </c>
    </row>
    <row r="6537">
      <c r="A6537" t="n">
        <v>6537</v>
      </c>
      <c r="B6537">
        <f>IF(INDEX('Data Entry'!$H$5:$BE$10004,6537-4,'Visual SPC'!$B$3)="",0,IF(AND(OR('Visual SPC'!$C$4="",'Data Entry'!$C6537&gt;='Visual SPC'!$C$4),OR('Visual SPC'!$E$4="",'Data Entry'!$C6537&lt;='Visual SPC'!$E$4),OR('Visual SPC'!$G$4="",'Data Entry'!$D6537='Visual SPC'!$G$4),OR('Visual SPC'!$I$4="",'Data Entry'!$E6537='Visual SPC'!$I$4),OR('Visual SPC'!$K$4="",'Data Entry'!$F6537='Visual SPC'!$K$4)),1,0))</f>
        <v/>
      </c>
      <c r="C6537">
        <f>C6536+B6537</f>
        <v/>
      </c>
      <c r="D6537">
        <f>IF(B6537=1,INDEX('Data Entry'!$H$5:$BE$10004,6537-4,'Visual SPC'!$B$3),"")</f>
        <v/>
      </c>
      <c r="E6537">
        <f>IF(B6537=1,D6537,E6536)</f>
        <v/>
      </c>
      <c r="F6537">
        <f>IF(AND(B6537=1,C6537&gt;1,E6536&lt;&gt;""),ABS(D6537-E6536),"")</f>
        <v/>
      </c>
    </row>
    <row r="6538">
      <c r="A6538" t="n">
        <v>6538</v>
      </c>
      <c r="B6538">
        <f>IF(INDEX('Data Entry'!$H$5:$BE$10004,6538-4,'Visual SPC'!$B$3)="",0,IF(AND(OR('Visual SPC'!$C$4="",'Data Entry'!$C6538&gt;='Visual SPC'!$C$4),OR('Visual SPC'!$E$4="",'Data Entry'!$C6538&lt;='Visual SPC'!$E$4),OR('Visual SPC'!$G$4="",'Data Entry'!$D6538='Visual SPC'!$G$4),OR('Visual SPC'!$I$4="",'Data Entry'!$E6538='Visual SPC'!$I$4),OR('Visual SPC'!$K$4="",'Data Entry'!$F6538='Visual SPC'!$K$4)),1,0))</f>
        <v/>
      </c>
      <c r="C6538">
        <f>C6537+B6538</f>
        <v/>
      </c>
      <c r="D6538">
        <f>IF(B6538=1,INDEX('Data Entry'!$H$5:$BE$10004,6538-4,'Visual SPC'!$B$3),"")</f>
        <v/>
      </c>
      <c r="E6538">
        <f>IF(B6538=1,D6538,E6537)</f>
        <v/>
      </c>
      <c r="F6538">
        <f>IF(AND(B6538=1,C6538&gt;1,E6537&lt;&gt;""),ABS(D6538-E6537),"")</f>
        <v/>
      </c>
    </row>
    <row r="6539">
      <c r="A6539" t="n">
        <v>6539</v>
      </c>
      <c r="B6539">
        <f>IF(INDEX('Data Entry'!$H$5:$BE$10004,6539-4,'Visual SPC'!$B$3)="",0,IF(AND(OR('Visual SPC'!$C$4="",'Data Entry'!$C6539&gt;='Visual SPC'!$C$4),OR('Visual SPC'!$E$4="",'Data Entry'!$C6539&lt;='Visual SPC'!$E$4),OR('Visual SPC'!$G$4="",'Data Entry'!$D6539='Visual SPC'!$G$4),OR('Visual SPC'!$I$4="",'Data Entry'!$E6539='Visual SPC'!$I$4),OR('Visual SPC'!$K$4="",'Data Entry'!$F6539='Visual SPC'!$K$4)),1,0))</f>
        <v/>
      </c>
      <c r="C6539">
        <f>C6538+B6539</f>
        <v/>
      </c>
      <c r="D6539">
        <f>IF(B6539=1,INDEX('Data Entry'!$H$5:$BE$10004,6539-4,'Visual SPC'!$B$3),"")</f>
        <v/>
      </c>
      <c r="E6539">
        <f>IF(B6539=1,D6539,E6538)</f>
        <v/>
      </c>
      <c r="F6539">
        <f>IF(AND(B6539=1,C6539&gt;1,E6538&lt;&gt;""),ABS(D6539-E6538),"")</f>
        <v/>
      </c>
    </row>
    <row r="6540">
      <c r="A6540" t="n">
        <v>6540</v>
      </c>
      <c r="B6540">
        <f>IF(INDEX('Data Entry'!$H$5:$BE$10004,6540-4,'Visual SPC'!$B$3)="",0,IF(AND(OR('Visual SPC'!$C$4="",'Data Entry'!$C6540&gt;='Visual SPC'!$C$4),OR('Visual SPC'!$E$4="",'Data Entry'!$C6540&lt;='Visual SPC'!$E$4),OR('Visual SPC'!$G$4="",'Data Entry'!$D6540='Visual SPC'!$G$4),OR('Visual SPC'!$I$4="",'Data Entry'!$E6540='Visual SPC'!$I$4),OR('Visual SPC'!$K$4="",'Data Entry'!$F6540='Visual SPC'!$K$4)),1,0))</f>
        <v/>
      </c>
      <c r="C6540">
        <f>C6539+B6540</f>
        <v/>
      </c>
      <c r="D6540">
        <f>IF(B6540=1,INDEX('Data Entry'!$H$5:$BE$10004,6540-4,'Visual SPC'!$B$3),"")</f>
        <v/>
      </c>
      <c r="E6540">
        <f>IF(B6540=1,D6540,E6539)</f>
        <v/>
      </c>
      <c r="F6540">
        <f>IF(AND(B6540=1,C6540&gt;1,E6539&lt;&gt;""),ABS(D6540-E6539),"")</f>
        <v/>
      </c>
    </row>
    <row r="6541">
      <c r="A6541" t="n">
        <v>6541</v>
      </c>
      <c r="B6541">
        <f>IF(INDEX('Data Entry'!$H$5:$BE$10004,6541-4,'Visual SPC'!$B$3)="",0,IF(AND(OR('Visual SPC'!$C$4="",'Data Entry'!$C6541&gt;='Visual SPC'!$C$4),OR('Visual SPC'!$E$4="",'Data Entry'!$C6541&lt;='Visual SPC'!$E$4),OR('Visual SPC'!$G$4="",'Data Entry'!$D6541='Visual SPC'!$G$4),OR('Visual SPC'!$I$4="",'Data Entry'!$E6541='Visual SPC'!$I$4),OR('Visual SPC'!$K$4="",'Data Entry'!$F6541='Visual SPC'!$K$4)),1,0))</f>
        <v/>
      </c>
      <c r="C6541">
        <f>C6540+B6541</f>
        <v/>
      </c>
      <c r="D6541">
        <f>IF(B6541=1,INDEX('Data Entry'!$H$5:$BE$10004,6541-4,'Visual SPC'!$B$3),"")</f>
        <v/>
      </c>
      <c r="E6541">
        <f>IF(B6541=1,D6541,E6540)</f>
        <v/>
      </c>
      <c r="F6541">
        <f>IF(AND(B6541=1,C6541&gt;1,E6540&lt;&gt;""),ABS(D6541-E6540),"")</f>
        <v/>
      </c>
    </row>
    <row r="6542">
      <c r="A6542" t="n">
        <v>6542</v>
      </c>
      <c r="B6542">
        <f>IF(INDEX('Data Entry'!$H$5:$BE$10004,6542-4,'Visual SPC'!$B$3)="",0,IF(AND(OR('Visual SPC'!$C$4="",'Data Entry'!$C6542&gt;='Visual SPC'!$C$4),OR('Visual SPC'!$E$4="",'Data Entry'!$C6542&lt;='Visual SPC'!$E$4),OR('Visual SPC'!$G$4="",'Data Entry'!$D6542='Visual SPC'!$G$4),OR('Visual SPC'!$I$4="",'Data Entry'!$E6542='Visual SPC'!$I$4),OR('Visual SPC'!$K$4="",'Data Entry'!$F6542='Visual SPC'!$K$4)),1,0))</f>
        <v/>
      </c>
      <c r="C6542">
        <f>C6541+B6542</f>
        <v/>
      </c>
      <c r="D6542">
        <f>IF(B6542=1,INDEX('Data Entry'!$H$5:$BE$10004,6542-4,'Visual SPC'!$B$3),"")</f>
        <v/>
      </c>
      <c r="E6542">
        <f>IF(B6542=1,D6542,E6541)</f>
        <v/>
      </c>
      <c r="F6542">
        <f>IF(AND(B6542=1,C6542&gt;1,E6541&lt;&gt;""),ABS(D6542-E6541),"")</f>
        <v/>
      </c>
    </row>
    <row r="6543">
      <c r="A6543" t="n">
        <v>6543</v>
      </c>
      <c r="B6543">
        <f>IF(INDEX('Data Entry'!$H$5:$BE$10004,6543-4,'Visual SPC'!$B$3)="",0,IF(AND(OR('Visual SPC'!$C$4="",'Data Entry'!$C6543&gt;='Visual SPC'!$C$4),OR('Visual SPC'!$E$4="",'Data Entry'!$C6543&lt;='Visual SPC'!$E$4),OR('Visual SPC'!$G$4="",'Data Entry'!$D6543='Visual SPC'!$G$4),OR('Visual SPC'!$I$4="",'Data Entry'!$E6543='Visual SPC'!$I$4),OR('Visual SPC'!$K$4="",'Data Entry'!$F6543='Visual SPC'!$K$4)),1,0))</f>
        <v/>
      </c>
      <c r="C6543">
        <f>C6542+B6543</f>
        <v/>
      </c>
      <c r="D6543">
        <f>IF(B6543=1,INDEX('Data Entry'!$H$5:$BE$10004,6543-4,'Visual SPC'!$B$3),"")</f>
        <v/>
      </c>
      <c r="E6543">
        <f>IF(B6543=1,D6543,E6542)</f>
        <v/>
      </c>
      <c r="F6543">
        <f>IF(AND(B6543=1,C6543&gt;1,E6542&lt;&gt;""),ABS(D6543-E6542),"")</f>
        <v/>
      </c>
    </row>
    <row r="6544">
      <c r="A6544" t="n">
        <v>6544</v>
      </c>
      <c r="B6544">
        <f>IF(INDEX('Data Entry'!$H$5:$BE$10004,6544-4,'Visual SPC'!$B$3)="",0,IF(AND(OR('Visual SPC'!$C$4="",'Data Entry'!$C6544&gt;='Visual SPC'!$C$4),OR('Visual SPC'!$E$4="",'Data Entry'!$C6544&lt;='Visual SPC'!$E$4),OR('Visual SPC'!$G$4="",'Data Entry'!$D6544='Visual SPC'!$G$4),OR('Visual SPC'!$I$4="",'Data Entry'!$E6544='Visual SPC'!$I$4),OR('Visual SPC'!$K$4="",'Data Entry'!$F6544='Visual SPC'!$K$4)),1,0))</f>
        <v/>
      </c>
      <c r="C6544">
        <f>C6543+B6544</f>
        <v/>
      </c>
      <c r="D6544">
        <f>IF(B6544=1,INDEX('Data Entry'!$H$5:$BE$10004,6544-4,'Visual SPC'!$B$3),"")</f>
        <v/>
      </c>
      <c r="E6544">
        <f>IF(B6544=1,D6544,E6543)</f>
        <v/>
      </c>
      <c r="F6544">
        <f>IF(AND(B6544=1,C6544&gt;1,E6543&lt;&gt;""),ABS(D6544-E6543),"")</f>
        <v/>
      </c>
    </row>
    <row r="6545">
      <c r="A6545" t="n">
        <v>6545</v>
      </c>
      <c r="B6545">
        <f>IF(INDEX('Data Entry'!$H$5:$BE$10004,6545-4,'Visual SPC'!$B$3)="",0,IF(AND(OR('Visual SPC'!$C$4="",'Data Entry'!$C6545&gt;='Visual SPC'!$C$4),OR('Visual SPC'!$E$4="",'Data Entry'!$C6545&lt;='Visual SPC'!$E$4),OR('Visual SPC'!$G$4="",'Data Entry'!$D6545='Visual SPC'!$G$4),OR('Visual SPC'!$I$4="",'Data Entry'!$E6545='Visual SPC'!$I$4),OR('Visual SPC'!$K$4="",'Data Entry'!$F6545='Visual SPC'!$K$4)),1,0))</f>
        <v/>
      </c>
      <c r="C6545">
        <f>C6544+B6545</f>
        <v/>
      </c>
      <c r="D6545">
        <f>IF(B6545=1,INDEX('Data Entry'!$H$5:$BE$10004,6545-4,'Visual SPC'!$B$3),"")</f>
        <v/>
      </c>
      <c r="E6545">
        <f>IF(B6545=1,D6545,E6544)</f>
        <v/>
      </c>
      <c r="F6545">
        <f>IF(AND(B6545=1,C6545&gt;1,E6544&lt;&gt;""),ABS(D6545-E6544),"")</f>
        <v/>
      </c>
    </row>
    <row r="6546">
      <c r="A6546" t="n">
        <v>6546</v>
      </c>
      <c r="B6546">
        <f>IF(INDEX('Data Entry'!$H$5:$BE$10004,6546-4,'Visual SPC'!$B$3)="",0,IF(AND(OR('Visual SPC'!$C$4="",'Data Entry'!$C6546&gt;='Visual SPC'!$C$4),OR('Visual SPC'!$E$4="",'Data Entry'!$C6546&lt;='Visual SPC'!$E$4),OR('Visual SPC'!$G$4="",'Data Entry'!$D6546='Visual SPC'!$G$4),OR('Visual SPC'!$I$4="",'Data Entry'!$E6546='Visual SPC'!$I$4),OR('Visual SPC'!$K$4="",'Data Entry'!$F6546='Visual SPC'!$K$4)),1,0))</f>
        <v/>
      </c>
      <c r="C6546">
        <f>C6545+B6546</f>
        <v/>
      </c>
      <c r="D6546">
        <f>IF(B6546=1,INDEX('Data Entry'!$H$5:$BE$10004,6546-4,'Visual SPC'!$B$3),"")</f>
        <v/>
      </c>
      <c r="E6546">
        <f>IF(B6546=1,D6546,E6545)</f>
        <v/>
      </c>
      <c r="F6546">
        <f>IF(AND(B6546=1,C6546&gt;1,E6545&lt;&gt;""),ABS(D6546-E6545),"")</f>
        <v/>
      </c>
    </row>
    <row r="6547">
      <c r="A6547" t="n">
        <v>6547</v>
      </c>
      <c r="B6547">
        <f>IF(INDEX('Data Entry'!$H$5:$BE$10004,6547-4,'Visual SPC'!$B$3)="",0,IF(AND(OR('Visual SPC'!$C$4="",'Data Entry'!$C6547&gt;='Visual SPC'!$C$4),OR('Visual SPC'!$E$4="",'Data Entry'!$C6547&lt;='Visual SPC'!$E$4),OR('Visual SPC'!$G$4="",'Data Entry'!$D6547='Visual SPC'!$G$4),OR('Visual SPC'!$I$4="",'Data Entry'!$E6547='Visual SPC'!$I$4),OR('Visual SPC'!$K$4="",'Data Entry'!$F6547='Visual SPC'!$K$4)),1,0))</f>
        <v/>
      </c>
      <c r="C6547">
        <f>C6546+B6547</f>
        <v/>
      </c>
      <c r="D6547">
        <f>IF(B6547=1,INDEX('Data Entry'!$H$5:$BE$10004,6547-4,'Visual SPC'!$B$3),"")</f>
        <v/>
      </c>
      <c r="E6547">
        <f>IF(B6547=1,D6547,E6546)</f>
        <v/>
      </c>
      <c r="F6547">
        <f>IF(AND(B6547=1,C6547&gt;1,E6546&lt;&gt;""),ABS(D6547-E6546),"")</f>
        <v/>
      </c>
    </row>
    <row r="6548">
      <c r="A6548" t="n">
        <v>6548</v>
      </c>
      <c r="B6548">
        <f>IF(INDEX('Data Entry'!$H$5:$BE$10004,6548-4,'Visual SPC'!$B$3)="",0,IF(AND(OR('Visual SPC'!$C$4="",'Data Entry'!$C6548&gt;='Visual SPC'!$C$4),OR('Visual SPC'!$E$4="",'Data Entry'!$C6548&lt;='Visual SPC'!$E$4),OR('Visual SPC'!$G$4="",'Data Entry'!$D6548='Visual SPC'!$G$4),OR('Visual SPC'!$I$4="",'Data Entry'!$E6548='Visual SPC'!$I$4),OR('Visual SPC'!$K$4="",'Data Entry'!$F6548='Visual SPC'!$K$4)),1,0))</f>
        <v/>
      </c>
      <c r="C6548">
        <f>C6547+B6548</f>
        <v/>
      </c>
      <c r="D6548">
        <f>IF(B6548=1,INDEX('Data Entry'!$H$5:$BE$10004,6548-4,'Visual SPC'!$B$3),"")</f>
        <v/>
      </c>
      <c r="E6548">
        <f>IF(B6548=1,D6548,E6547)</f>
        <v/>
      </c>
      <c r="F6548">
        <f>IF(AND(B6548=1,C6548&gt;1,E6547&lt;&gt;""),ABS(D6548-E6547),"")</f>
        <v/>
      </c>
    </row>
    <row r="6549">
      <c r="A6549" t="n">
        <v>6549</v>
      </c>
      <c r="B6549">
        <f>IF(INDEX('Data Entry'!$H$5:$BE$10004,6549-4,'Visual SPC'!$B$3)="",0,IF(AND(OR('Visual SPC'!$C$4="",'Data Entry'!$C6549&gt;='Visual SPC'!$C$4),OR('Visual SPC'!$E$4="",'Data Entry'!$C6549&lt;='Visual SPC'!$E$4),OR('Visual SPC'!$G$4="",'Data Entry'!$D6549='Visual SPC'!$G$4),OR('Visual SPC'!$I$4="",'Data Entry'!$E6549='Visual SPC'!$I$4),OR('Visual SPC'!$K$4="",'Data Entry'!$F6549='Visual SPC'!$K$4)),1,0))</f>
        <v/>
      </c>
      <c r="C6549">
        <f>C6548+B6549</f>
        <v/>
      </c>
      <c r="D6549">
        <f>IF(B6549=1,INDEX('Data Entry'!$H$5:$BE$10004,6549-4,'Visual SPC'!$B$3),"")</f>
        <v/>
      </c>
      <c r="E6549">
        <f>IF(B6549=1,D6549,E6548)</f>
        <v/>
      </c>
      <c r="F6549">
        <f>IF(AND(B6549=1,C6549&gt;1,E6548&lt;&gt;""),ABS(D6549-E6548),"")</f>
        <v/>
      </c>
    </row>
    <row r="6550">
      <c r="A6550" t="n">
        <v>6550</v>
      </c>
      <c r="B6550">
        <f>IF(INDEX('Data Entry'!$H$5:$BE$10004,6550-4,'Visual SPC'!$B$3)="",0,IF(AND(OR('Visual SPC'!$C$4="",'Data Entry'!$C6550&gt;='Visual SPC'!$C$4),OR('Visual SPC'!$E$4="",'Data Entry'!$C6550&lt;='Visual SPC'!$E$4),OR('Visual SPC'!$G$4="",'Data Entry'!$D6550='Visual SPC'!$G$4),OR('Visual SPC'!$I$4="",'Data Entry'!$E6550='Visual SPC'!$I$4),OR('Visual SPC'!$K$4="",'Data Entry'!$F6550='Visual SPC'!$K$4)),1,0))</f>
        <v/>
      </c>
      <c r="C6550">
        <f>C6549+B6550</f>
        <v/>
      </c>
      <c r="D6550">
        <f>IF(B6550=1,INDEX('Data Entry'!$H$5:$BE$10004,6550-4,'Visual SPC'!$B$3),"")</f>
        <v/>
      </c>
      <c r="E6550">
        <f>IF(B6550=1,D6550,E6549)</f>
        <v/>
      </c>
      <c r="F6550">
        <f>IF(AND(B6550=1,C6550&gt;1,E6549&lt;&gt;""),ABS(D6550-E6549),"")</f>
        <v/>
      </c>
    </row>
    <row r="6551">
      <c r="A6551" t="n">
        <v>6551</v>
      </c>
      <c r="B6551">
        <f>IF(INDEX('Data Entry'!$H$5:$BE$10004,6551-4,'Visual SPC'!$B$3)="",0,IF(AND(OR('Visual SPC'!$C$4="",'Data Entry'!$C6551&gt;='Visual SPC'!$C$4),OR('Visual SPC'!$E$4="",'Data Entry'!$C6551&lt;='Visual SPC'!$E$4),OR('Visual SPC'!$G$4="",'Data Entry'!$D6551='Visual SPC'!$G$4),OR('Visual SPC'!$I$4="",'Data Entry'!$E6551='Visual SPC'!$I$4),OR('Visual SPC'!$K$4="",'Data Entry'!$F6551='Visual SPC'!$K$4)),1,0))</f>
        <v/>
      </c>
      <c r="C6551">
        <f>C6550+B6551</f>
        <v/>
      </c>
      <c r="D6551">
        <f>IF(B6551=1,INDEX('Data Entry'!$H$5:$BE$10004,6551-4,'Visual SPC'!$B$3),"")</f>
        <v/>
      </c>
      <c r="E6551">
        <f>IF(B6551=1,D6551,E6550)</f>
        <v/>
      </c>
      <c r="F6551">
        <f>IF(AND(B6551=1,C6551&gt;1,E6550&lt;&gt;""),ABS(D6551-E6550),"")</f>
        <v/>
      </c>
    </row>
    <row r="6552">
      <c r="A6552" t="n">
        <v>6552</v>
      </c>
      <c r="B6552">
        <f>IF(INDEX('Data Entry'!$H$5:$BE$10004,6552-4,'Visual SPC'!$B$3)="",0,IF(AND(OR('Visual SPC'!$C$4="",'Data Entry'!$C6552&gt;='Visual SPC'!$C$4),OR('Visual SPC'!$E$4="",'Data Entry'!$C6552&lt;='Visual SPC'!$E$4),OR('Visual SPC'!$G$4="",'Data Entry'!$D6552='Visual SPC'!$G$4),OR('Visual SPC'!$I$4="",'Data Entry'!$E6552='Visual SPC'!$I$4),OR('Visual SPC'!$K$4="",'Data Entry'!$F6552='Visual SPC'!$K$4)),1,0))</f>
        <v/>
      </c>
      <c r="C6552">
        <f>C6551+B6552</f>
        <v/>
      </c>
      <c r="D6552">
        <f>IF(B6552=1,INDEX('Data Entry'!$H$5:$BE$10004,6552-4,'Visual SPC'!$B$3),"")</f>
        <v/>
      </c>
      <c r="E6552">
        <f>IF(B6552=1,D6552,E6551)</f>
        <v/>
      </c>
      <c r="F6552">
        <f>IF(AND(B6552=1,C6552&gt;1,E6551&lt;&gt;""),ABS(D6552-E6551),"")</f>
        <v/>
      </c>
    </row>
    <row r="6553">
      <c r="A6553" t="n">
        <v>6553</v>
      </c>
      <c r="B6553">
        <f>IF(INDEX('Data Entry'!$H$5:$BE$10004,6553-4,'Visual SPC'!$B$3)="",0,IF(AND(OR('Visual SPC'!$C$4="",'Data Entry'!$C6553&gt;='Visual SPC'!$C$4),OR('Visual SPC'!$E$4="",'Data Entry'!$C6553&lt;='Visual SPC'!$E$4),OR('Visual SPC'!$G$4="",'Data Entry'!$D6553='Visual SPC'!$G$4),OR('Visual SPC'!$I$4="",'Data Entry'!$E6553='Visual SPC'!$I$4),OR('Visual SPC'!$K$4="",'Data Entry'!$F6553='Visual SPC'!$K$4)),1,0))</f>
        <v/>
      </c>
      <c r="C6553">
        <f>C6552+B6553</f>
        <v/>
      </c>
      <c r="D6553">
        <f>IF(B6553=1,INDEX('Data Entry'!$H$5:$BE$10004,6553-4,'Visual SPC'!$B$3),"")</f>
        <v/>
      </c>
      <c r="E6553">
        <f>IF(B6553=1,D6553,E6552)</f>
        <v/>
      </c>
      <c r="F6553">
        <f>IF(AND(B6553=1,C6553&gt;1,E6552&lt;&gt;""),ABS(D6553-E6552),"")</f>
        <v/>
      </c>
    </row>
    <row r="6554">
      <c r="A6554" t="n">
        <v>6554</v>
      </c>
      <c r="B6554">
        <f>IF(INDEX('Data Entry'!$H$5:$BE$10004,6554-4,'Visual SPC'!$B$3)="",0,IF(AND(OR('Visual SPC'!$C$4="",'Data Entry'!$C6554&gt;='Visual SPC'!$C$4),OR('Visual SPC'!$E$4="",'Data Entry'!$C6554&lt;='Visual SPC'!$E$4),OR('Visual SPC'!$G$4="",'Data Entry'!$D6554='Visual SPC'!$G$4),OR('Visual SPC'!$I$4="",'Data Entry'!$E6554='Visual SPC'!$I$4),OR('Visual SPC'!$K$4="",'Data Entry'!$F6554='Visual SPC'!$K$4)),1,0))</f>
        <v/>
      </c>
      <c r="C6554">
        <f>C6553+B6554</f>
        <v/>
      </c>
      <c r="D6554">
        <f>IF(B6554=1,INDEX('Data Entry'!$H$5:$BE$10004,6554-4,'Visual SPC'!$B$3),"")</f>
        <v/>
      </c>
      <c r="E6554">
        <f>IF(B6554=1,D6554,E6553)</f>
        <v/>
      </c>
      <c r="F6554">
        <f>IF(AND(B6554=1,C6554&gt;1,E6553&lt;&gt;""),ABS(D6554-E6553),"")</f>
        <v/>
      </c>
    </row>
    <row r="6555">
      <c r="A6555" t="n">
        <v>6555</v>
      </c>
      <c r="B6555">
        <f>IF(INDEX('Data Entry'!$H$5:$BE$10004,6555-4,'Visual SPC'!$B$3)="",0,IF(AND(OR('Visual SPC'!$C$4="",'Data Entry'!$C6555&gt;='Visual SPC'!$C$4),OR('Visual SPC'!$E$4="",'Data Entry'!$C6555&lt;='Visual SPC'!$E$4),OR('Visual SPC'!$G$4="",'Data Entry'!$D6555='Visual SPC'!$G$4),OR('Visual SPC'!$I$4="",'Data Entry'!$E6555='Visual SPC'!$I$4),OR('Visual SPC'!$K$4="",'Data Entry'!$F6555='Visual SPC'!$K$4)),1,0))</f>
        <v/>
      </c>
      <c r="C6555">
        <f>C6554+B6555</f>
        <v/>
      </c>
      <c r="D6555">
        <f>IF(B6555=1,INDEX('Data Entry'!$H$5:$BE$10004,6555-4,'Visual SPC'!$B$3),"")</f>
        <v/>
      </c>
      <c r="E6555">
        <f>IF(B6555=1,D6555,E6554)</f>
        <v/>
      </c>
      <c r="F6555">
        <f>IF(AND(B6555=1,C6555&gt;1,E6554&lt;&gt;""),ABS(D6555-E6554),"")</f>
        <v/>
      </c>
    </row>
    <row r="6556">
      <c r="A6556" t="n">
        <v>6556</v>
      </c>
      <c r="B6556">
        <f>IF(INDEX('Data Entry'!$H$5:$BE$10004,6556-4,'Visual SPC'!$B$3)="",0,IF(AND(OR('Visual SPC'!$C$4="",'Data Entry'!$C6556&gt;='Visual SPC'!$C$4),OR('Visual SPC'!$E$4="",'Data Entry'!$C6556&lt;='Visual SPC'!$E$4),OR('Visual SPC'!$G$4="",'Data Entry'!$D6556='Visual SPC'!$G$4),OR('Visual SPC'!$I$4="",'Data Entry'!$E6556='Visual SPC'!$I$4),OR('Visual SPC'!$K$4="",'Data Entry'!$F6556='Visual SPC'!$K$4)),1,0))</f>
        <v/>
      </c>
      <c r="C6556">
        <f>C6555+B6556</f>
        <v/>
      </c>
      <c r="D6556">
        <f>IF(B6556=1,INDEX('Data Entry'!$H$5:$BE$10004,6556-4,'Visual SPC'!$B$3),"")</f>
        <v/>
      </c>
      <c r="E6556">
        <f>IF(B6556=1,D6556,E6555)</f>
        <v/>
      </c>
      <c r="F6556">
        <f>IF(AND(B6556=1,C6556&gt;1,E6555&lt;&gt;""),ABS(D6556-E6555),"")</f>
        <v/>
      </c>
    </row>
    <row r="6557">
      <c r="A6557" t="n">
        <v>6557</v>
      </c>
      <c r="B6557">
        <f>IF(INDEX('Data Entry'!$H$5:$BE$10004,6557-4,'Visual SPC'!$B$3)="",0,IF(AND(OR('Visual SPC'!$C$4="",'Data Entry'!$C6557&gt;='Visual SPC'!$C$4),OR('Visual SPC'!$E$4="",'Data Entry'!$C6557&lt;='Visual SPC'!$E$4),OR('Visual SPC'!$G$4="",'Data Entry'!$D6557='Visual SPC'!$G$4),OR('Visual SPC'!$I$4="",'Data Entry'!$E6557='Visual SPC'!$I$4),OR('Visual SPC'!$K$4="",'Data Entry'!$F6557='Visual SPC'!$K$4)),1,0))</f>
        <v/>
      </c>
      <c r="C6557">
        <f>C6556+B6557</f>
        <v/>
      </c>
      <c r="D6557">
        <f>IF(B6557=1,INDEX('Data Entry'!$H$5:$BE$10004,6557-4,'Visual SPC'!$B$3),"")</f>
        <v/>
      </c>
      <c r="E6557">
        <f>IF(B6557=1,D6557,E6556)</f>
        <v/>
      </c>
      <c r="F6557">
        <f>IF(AND(B6557=1,C6557&gt;1,E6556&lt;&gt;""),ABS(D6557-E6556),"")</f>
        <v/>
      </c>
    </row>
    <row r="6558">
      <c r="A6558" t="n">
        <v>6558</v>
      </c>
      <c r="B6558">
        <f>IF(INDEX('Data Entry'!$H$5:$BE$10004,6558-4,'Visual SPC'!$B$3)="",0,IF(AND(OR('Visual SPC'!$C$4="",'Data Entry'!$C6558&gt;='Visual SPC'!$C$4),OR('Visual SPC'!$E$4="",'Data Entry'!$C6558&lt;='Visual SPC'!$E$4),OR('Visual SPC'!$G$4="",'Data Entry'!$D6558='Visual SPC'!$G$4),OR('Visual SPC'!$I$4="",'Data Entry'!$E6558='Visual SPC'!$I$4),OR('Visual SPC'!$K$4="",'Data Entry'!$F6558='Visual SPC'!$K$4)),1,0))</f>
        <v/>
      </c>
      <c r="C6558">
        <f>C6557+B6558</f>
        <v/>
      </c>
      <c r="D6558">
        <f>IF(B6558=1,INDEX('Data Entry'!$H$5:$BE$10004,6558-4,'Visual SPC'!$B$3),"")</f>
        <v/>
      </c>
      <c r="E6558">
        <f>IF(B6558=1,D6558,E6557)</f>
        <v/>
      </c>
      <c r="F6558">
        <f>IF(AND(B6558=1,C6558&gt;1,E6557&lt;&gt;""),ABS(D6558-E6557),"")</f>
        <v/>
      </c>
    </row>
    <row r="6559">
      <c r="A6559" t="n">
        <v>6559</v>
      </c>
      <c r="B6559">
        <f>IF(INDEX('Data Entry'!$H$5:$BE$10004,6559-4,'Visual SPC'!$B$3)="",0,IF(AND(OR('Visual SPC'!$C$4="",'Data Entry'!$C6559&gt;='Visual SPC'!$C$4),OR('Visual SPC'!$E$4="",'Data Entry'!$C6559&lt;='Visual SPC'!$E$4),OR('Visual SPC'!$G$4="",'Data Entry'!$D6559='Visual SPC'!$G$4),OR('Visual SPC'!$I$4="",'Data Entry'!$E6559='Visual SPC'!$I$4),OR('Visual SPC'!$K$4="",'Data Entry'!$F6559='Visual SPC'!$K$4)),1,0))</f>
        <v/>
      </c>
      <c r="C6559">
        <f>C6558+B6559</f>
        <v/>
      </c>
      <c r="D6559">
        <f>IF(B6559=1,INDEX('Data Entry'!$H$5:$BE$10004,6559-4,'Visual SPC'!$B$3),"")</f>
        <v/>
      </c>
      <c r="E6559">
        <f>IF(B6559=1,D6559,E6558)</f>
        <v/>
      </c>
      <c r="F6559">
        <f>IF(AND(B6559=1,C6559&gt;1,E6558&lt;&gt;""),ABS(D6559-E6558),"")</f>
        <v/>
      </c>
    </row>
    <row r="6560">
      <c r="A6560" t="n">
        <v>6560</v>
      </c>
      <c r="B6560">
        <f>IF(INDEX('Data Entry'!$H$5:$BE$10004,6560-4,'Visual SPC'!$B$3)="",0,IF(AND(OR('Visual SPC'!$C$4="",'Data Entry'!$C6560&gt;='Visual SPC'!$C$4),OR('Visual SPC'!$E$4="",'Data Entry'!$C6560&lt;='Visual SPC'!$E$4),OR('Visual SPC'!$G$4="",'Data Entry'!$D6560='Visual SPC'!$G$4),OR('Visual SPC'!$I$4="",'Data Entry'!$E6560='Visual SPC'!$I$4),OR('Visual SPC'!$K$4="",'Data Entry'!$F6560='Visual SPC'!$K$4)),1,0))</f>
        <v/>
      </c>
      <c r="C6560">
        <f>C6559+B6560</f>
        <v/>
      </c>
      <c r="D6560">
        <f>IF(B6560=1,INDEX('Data Entry'!$H$5:$BE$10004,6560-4,'Visual SPC'!$B$3),"")</f>
        <v/>
      </c>
      <c r="E6560">
        <f>IF(B6560=1,D6560,E6559)</f>
        <v/>
      </c>
      <c r="F6560">
        <f>IF(AND(B6560=1,C6560&gt;1,E6559&lt;&gt;""),ABS(D6560-E6559),"")</f>
        <v/>
      </c>
    </row>
    <row r="6561">
      <c r="A6561" t="n">
        <v>6561</v>
      </c>
      <c r="B6561">
        <f>IF(INDEX('Data Entry'!$H$5:$BE$10004,6561-4,'Visual SPC'!$B$3)="",0,IF(AND(OR('Visual SPC'!$C$4="",'Data Entry'!$C6561&gt;='Visual SPC'!$C$4),OR('Visual SPC'!$E$4="",'Data Entry'!$C6561&lt;='Visual SPC'!$E$4),OR('Visual SPC'!$G$4="",'Data Entry'!$D6561='Visual SPC'!$G$4),OR('Visual SPC'!$I$4="",'Data Entry'!$E6561='Visual SPC'!$I$4),OR('Visual SPC'!$K$4="",'Data Entry'!$F6561='Visual SPC'!$K$4)),1,0))</f>
        <v/>
      </c>
      <c r="C6561">
        <f>C6560+B6561</f>
        <v/>
      </c>
      <c r="D6561">
        <f>IF(B6561=1,INDEX('Data Entry'!$H$5:$BE$10004,6561-4,'Visual SPC'!$B$3),"")</f>
        <v/>
      </c>
      <c r="E6561">
        <f>IF(B6561=1,D6561,E6560)</f>
        <v/>
      </c>
      <c r="F6561">
        <f>IF(AND(B6561=1,C6561&gt;1,E6560&lt;&gt;""),ABS(D6561-E6560),"")</f>
        <v/>
      </c>
    </row>
    <row r="6562">
      <c r="A6562" t="n">
        <v>6562</v>
      </c>
      <c r="B6562">
        <f>IF(INDEX('Data Entry'!$H$5:$BE$10004,6562-4,'Visual SPC'!$B$3)="",0,IF(AND(OR('Visual SPC'!$C$4="",'Data Entry'!$C6562&gt;='Visual SPC'!$C$4),OR('Visual SPC'!$E$4="",'Data Entry'!$C6562&lt;='Visual SPC'!$E$4),OR('Visual SPC'!$G$4="",'Data Entry'!$D6562='Visual SPC'!$G$4),OR('Visual SPC'!$I$4="",'Data Entry'!$E6562='Visual SPC'!$I$4),OR('Visual SPC'!$K$4="",'Data Entry'!$F6562='Visual SPC'!$K$4)),1,0))</f>
        <v/>
      </c>
      <c r="C6562">
        <f>C6561+B6562</f>
        <v/>
      </c>
      <c r="D6562">
        <f>IF(B6562=1,INDEX('Data Entry'!$H$5:$BE$10004,6562-4,'Visual SPC'!$B$3),"")</f>
        <v/>
      </c>
      <c r="E6562">
        <f>IF(B6562=1,D6562,E6561)</f>
        <v/>
      </c>
      <c r="F6562">
        <f>IF(AND(B6562=1,C6562&gt;1,E6561&lt;&gt;""),ABS(D6562-E6561),"")</f>
        <v/>
      </c>
    </row>
    <row r="6563">
      <c r="A6563" t="n">
        <v>6563</v>
      </c>
      <c r="B6563">
        <f>IF(INDEX('Data Entry'!$H$5:$BE$10004,6563-4,'Visual SPC'!$B$3)="",0,IF(AND(OR('Visual SPC'!$C$4="",'Data Entry'!$C6563&gt;='Visual SPC'!$C$4),OR('Visual SPC'!$E$4="",'Data Entry'!$C6563&lt;='Visual SPC'!$E$4),OR('Visual SPC'!$G$4="",'Data Entry'!$D6563='Visual SPC'!$G$4),OR('Visual SPC'!$I$4="",'Data Entry'!$E6563='Visual SPC'!$I$4),OR('Visual SPC'!$K$4="",'Data Entry'!$F6563='Visual SPC'!$K$4)),1,0))</f>
        <v/>
      </c>
      <c r="C6563">
        <f>C6562+B6563</f>
        <v/>
      </c>
      <c r="D6563">
        <f>IF(B6563=1,INDEX('Data Entry'!$H$5:$BE$10004,6563-4,'Visual SPC'!$B$3),"")</f>
        <v/>
      </c>
      <c r="E6563">
        <f>IF(B6563=1,D6563,E6562)</f>
        <v/>
      </c>
      <c r="F6563">
        <f>IF(AND(B6563=1,C6563&gt;1,E6562&lt;&gt;""),ABS(D6563-E6562),"")</f>
        <v/>
      </c>
    </row>
    <row r="6564">
      <c r="A6564" t="n">
        <v>6564</v>
      </c>
      <c r="B6564">
        <f>IF(INDEX('Data Entry'!$H$5:$BE$10004,6564-4,'Visual SPC'!$B$3)="",0,IF(AND(OR('Visual SPC'!$C$4="",'Data Entry'!$C6564&gt;='Visual SPC'!$C$4),OR('Visual SPC'!$E$4="",'Data Entry'!$C6564&lt;='Visual SPC'!$E$4),OR('Visual SPC'!$G$4="",'Data Entry'!$D6564='Visual SPC'!$G$4),OR('Visual SPC'!$I$4="",'Data Entry'!$E6564='Visual SPC'!$I$4),OR('Visual SPC'!$K$4="",'Data Entry'!$F6564='Visual SPC'!$K$4)),1,0))</f>
        <v/>
      </c>
      <c r="C6564">
        <f>C6563+B6564</f>
        <v/>
      </c>
      <c r="D6564">
        <f>IF(B6564=1,INDEX('Data Entry'!$H$5:$BE$10004,6564-4,'Visual SPC'!$B$3),"")</f>
        <v/>
      </c>
      <c r="E6564">
        <f>IF(B6564=1,D6564,E6563)</f>
        <v/>
      </c>
      <c r="F6564">
        <f>IF(AND(B6564=1,C6564&gt;1,E6563&lt;&gt;""),ABS(D6564-E6563),"")</f>
        <v/>
      </c>
    </row>
    <row r="6565">
      <c r="A6565" t="n">
        <v>6565</v>
      </c>
      <c r="B6565">
        <f>IF(INDEX('Data Entry'!$H$5:$BE$10004,6565-4,'Visual SPC'!$B$3)="",0,IF(AND(OR('Visual SPC'!$C$4="",'Data Entry'!$C6565&gt;='Visual SPC'!$C$4),OR('Visual SPC'!$E$4="",'Data Entry'!$C6565&lt;='Visual SPC'!$E$4),OR('Visual SPC'!$G$4="",'Data Entry'!$D6565='Visual SPC'!$G$4),OR('Visual SPC'!$I$4="",'Data Entry'!$E6565='Visual SPC'!$I$4),OR('Visual SPC'!$K$4="",'Data Entry'!$F6565='Visual SPC'!$K$4)),1,0))</f>
        <v/>
      </c>
      <c r="C6565">
        <f>C6564+B6565</f>
        <v/>
      </c>
      <c r="D6565">
        <f>IF(B6565=1,INDEX('Data Entry'!$H$5:$BE$10004,6565-4,'Visual SPC'!$B$3),"")</f>
        <v/>
      </c>
      <c r="E6565">
        <f>IF(B6565=1,D6565,E6564)</f>
        <v/>
      </c>
      <c r="F6565">
        <f>IF(AND(B6565=1,C6565&gt;1,E6564&lt;&gt;""),ABS(D6565-E6564),"")</f>
        <v/>
      </c>
    </row>
    <row r="6566">
      <c r="A6566" t="n">
        <v>6566</v>
      </c>
      <c r="B6566">
        <f>IF(INDEX('Data Entry'!$H$5:$BE$10004,6566-4,'Visual SPC'!$B$3)="",0,IF(AND(OR('Visual SPC'!$C$4="",'Data Entry'!$C6566&gt;='Visual SPC'!$C$4),OR('Visual SPC'!$E$4="",'Data Entry'!$C6566&lt;='Visual SPC'!$E$4),OR('Visual SPC'!$G$4="",'Data Entry'!$D6566='Visual SPC'!$G$4),OR('Visual SPC'!$I$4="",'Data Entry'!$E6566='Visual SPC'!$I$4),OR('Visual SPC'!$K$4="",'Data Entry'!$F6566='Visual SPC'!$K$4)),1,0))</f>
        <v/>
      </c>
      <c r="C6566">
        <f>C6565+B6566</f>
        <v/>
      </c>
      <c r="D6566">
        <f>IF(B6566=1,INDEX('Data Entry'!$H$5:$BE$10004,6566-4,'Visual SPC'!$B$3),"")</f>
        <v/>
      </c>
      <c r="E6566">
        <f>IF(B6566=1,D6566,E6565)</f>
        <v/>
      </c>
      <c r="F6566">
        <f>IF(AND(B6566=1,C6566&gt;1,E6565&lt;&gt;""),ABS(D6566-E6565),"")</f>
        <v/>
      </c>
    </row>
    <row r="6567">
      <c r="A6567" t="n">
        <v>6567</v>
      </c>
      <c r="B6567">
        <f>IF(INDEX('Data Entry'!$H$5:$BE$10004,6567-4,'Visual SPC'!$B$3)="",0,IF(AND(OR('Visual SPC'!$C$4="",'Data Entry'!$C6567&gt;='Visual SPC'!$C$4),OR('Visual SPC'!$E$4="",'Data Entry'!$C6567&lt;='Visual SPC'!$E$4),OR('Visual SPC'!$G$4="",'Data Entry'!$D6567='Visual SPC'!$G$4),OR('Visual SPC'!$I$4="",'Data Entry'!$E6567='Visual SPC'!$I$4),OR('Visual SPC'!$K$4="",'Data Entry'!$F6567='Visual SPC'!$K$4)),1,0))</f>
        <v/>
      </c>
      <c r="C6567">
        <f>C6566+B6567</f>
        <v/>
      </c>
      <c r="D6567">
        <f>IF(B6567=1,INDEX('Data Entry'!$H$5:$BE$10004,6567-4,'Visual SPC'!$B$3),"")</f>
        <v/>
      </c>
      <c r="E6567">
        <f>IF(B6567=1,D6567,E6566)</f>
        <v/>
      </c>
      <c r="F6567">
        <f>IF(AND(B6567=1,C6567&gt;1,E6566&lt;&gt;""),ABS(D6567-E6566),"")</f>
        <v/>
      </c>
    </row>
    <row r="6568">
      <c r="A6568" t="n">
        <v>6568</v>
      </c>
      <c r="B6568">
        <f>IF(INDEX('Data Entry'!$H$5:$BE$10004,6568-4,'Visual SPC'!$B$3)="",0,IF(AND(OR('Visual SPC'!$C$4="",'Data Entry'!$C6568&gt;='Visual SPC'!$C$4),OR('Visual SPC'!$E$4="",'Data Entry'!$C6568&lt;='Visual SPC'!$E$4),OR('Visual SPC'!$G$4="",'Data Entry'!$D6568='Visual SPC'!$G$4),OR('Visual SPC'!$I$4="",'Data Entry'!$E6568='Visual SPC'!$I$4),OR('Visual SPC'!$K$4="",'Data Entry'!$F6568='Visual SPC'!$K$4)),1,0))</f>
        <v/>
      </c>
      <c r="C6568">
        <f>C6567+B6568</f>
        <v/>
      </c>
      <c r="D6568">
        <f>IF(B6568=1,INDEX('Data Entry'!$H$5:$BE$10004,6568-4,'Visual SPC'!$B$3),"")</f>
        <v/>
      </c>
      <c r="E6568">
        <f>IF(B6568=1,D6568,E6567)</f>
        <v/>
      </c>
      <c r="F6568">
        <f>IF(AND(B6568=1,C6568&gt;1,E6567&lt;&gt;""),ABS(D6568-E6567),"")</f>
        <v/>
      </c>
    </row>
    <row r="6569">
      <c r="A6569" t="n">
        <v>6569</v>
      </c>
      <c r="B6569">
        <f>IF(INDEX('Data Entry'!$H$5:$BE$10004,6569-4,'Visual SPC'!$B$3)="",0,IF(AND(OR('Visual SPC'!$C$4="",'Data Entry'!$C6569&gt;='Visual SPC'!$C$4),OR('Visual SPC'!$E$4="",'Data Entry'!$C6569&lt;='Visual SPC'!$E$4),OR('Visual SPC'!$G$4="",'Data Entry'!$D6569='Visual SPC'!$G$4),OR('Visual SPC'!$I$4="",'Data Entry'!$E6569='Visual SPC'!$I$4),OR('Visual SPC'!$K$4="",'Data Entry'!$F6569='Visual SPC'!$K$4)),1,0))</f>
        <v/>
      </c>
      <c r="C6569">
        <f>C6568+B6569</f>
        <v/>
      </c>
      <c r="D6569">
        <f>IF(B6569=1,INDEX('Data Entry'!$H$5:$BE$10004,6569-4,'Visual SPC'!$B$3),"")</f>
        <v/>
      </c>
      <c r="E6569">
        <f>IF(B6569=1,D6569,E6568)</f>
        <v/>
      </c>
      <c r="F6569">
        <f>IF(AND(B6569=1,C6569&gt;1,E6568&lt;&gt;""),ABS(D6569-E6568),"")</f>
        <v/>
      </c>
    </row>
    <row r="6570">
      <c r="A6570" t="n">
        <v>6570</v>
      </c>
      <c r="B6570">
        <f>IF(INDEX('Data Entry'!$H$5:$BE$10004,6570-4,'Visual SPC'!$B$3)="",0,IF(AND(OR('Visual SPC'!$C$4="",'Data Entry'!$C6570&gt;='Visual SPC'!$C$4),OR('Visual SPC'!$E$4="",'Data Entry'!$C6570&lt;='Visual SPC'!$E$4),OR('Visual SPC'!$G$4="",'Data Entry'!$D6570='Visual SPC'!$G$4),OR('Visual SPC'!$I$4="",'Data Entry'!$E6570='Visual SPC'!$I$4),OR('Visual SPC'!$K$4="",'Data Entry'!$F6570='Visual SPC'!$K$4)),1,0))</f>
        <v/>
      </c>
      <c r="C6570">
        <f>C6569+B6570</f>
        <v/>
      </c>
      <c r="D6570">
        <f>IF(B6570=1,INDEX('Data Entry'!$H$5:$BE$10004,6570-4,'Visual SPC'!$B$3),"")</f>
        <v/>
      </c>
      <c r="E6570">
        <f>IF(B6570=1,D6570,E6569)</f>
        <v/>
      </c>
      <c r="F6570">
        <f>IF(AND(B6570=1,C6570&gt;1,E6569&lt;&gt;""),ABS(D6570-E6569),"")</f>
        <v/>
      </c>
    </row>
    <row r="6571">
      <c r="A6571" t="n">
        <v>6571</v>
      </c>
      <c r="B6571">
        <f>IF(INDEX('Data Entry'!$H$5:$BE$10004,6571-4,'Visual SPC'!$B$3)="",0,IF(AND(OR('Visual SPC'!$C$4="",'Data Entry'!$C6571&gt;='Visual SPC'!$C$4),OR('Visual SPC'!$E$4="",'Data Entry'!$C6571&lt;='Visual SPC'!$E$4),OR('Visual SPC'!$G$4="",'Data Entry'!$D6571='Visual SPC'!$G$4),OR('Visual SPC'!$I$4="",'Data Entry'!$E6571='Visual SPC'!$I$4),OR('Visual SPC'!$K$4="",'Data Entry'!$F6571='Visual SPC'!$K$4)),1,0))</f>
        <v/>
      </c>
      <c r="C6571">
        <f>C6570+B6571</f>
        <v/>
      </c>
      <c r="D6571">
        <f>IF(B6571=1,INDEX('Data Entry'!$H$5:$BE$10004,6571-4,'Visual SPC'!$B$3),"")</f>
        <v/>
      </c>
      <c r="E6571">
        <f>IF(B6571=1,D6571,E6570)</f>
        <v/>
      </c>
      <c r="F6571">
        <f>IF(AND(B6571=1,C6571&gt;1,E6570&lt;&gt;""),ABS(D6571-E6570),"")</f>
        <v/>
      </c>
    </row>
    <row r="6572">
      <c r="A6572" t="n">
        <v>6572</v>
      </c>
      <c r="B6572">
        <f>IF(INDEX('Data Entry'!$H$5:$BE$10004,6572-4,'Visual SPC'!$B$3)="",0,IF(AND(OR('Visual SPC'!$C$4="",'Data Entry'!$C6572&gt;='Visual SPC'!$C$4),OR('Visual SPC'!$E$4="",'Data Entry'!$C6572&lt;='Visual SPC'!$E$4),OR('Visual SPC'!$G$4="",'Data Entry'!$D6572='Visual SPC'!$G$4),OR('Visual SPC'!$I$4="",'Data Entry'!$E6572='Visual SPC'!$I$4),OR('Visual SPC'!$K$4="",'Data Entry'!$F6572='Visual SPC'!$K$4)),1,0))</f>
        <v/>
      </c>
      <c r="C6572">
        <f>C6571+B6572</f>
        <v/>
      </c>
      <c r="D6572">
        <f>IF(B6572=1,INDEX('Data Entry'!$H$5:$BE$10004,6572-4,'Visual SPC'!$B$3),"")</f>
        <v/>
      </c>
      <c r="E6572">
        <f>IF(B6572=1,D6572,E6571)</f>
        <v/>
      </c>
      <c r="F6572">
        <f>IF(AND(B6572=1,C6572&gt;1,E6571&lt;&gt;""),ABS(D6572-E6571),"")</f>
        <v/>
      </c>
    </row>
    <row r="6573">
      <c r="A6573" t="n">
        <v>6573</v>
      </c>
      <c r="B6573">
        <f>IF(INDEX('Data Entry'!$H$5:$BE$10004,6573-4,'Visual SPC'!$B$3)="",0,IF(AND(OR('Visual SPC'!$C$4="",'Data Entry'!$C6573&gt;='Visual SPC'!$C$4),OR('Visual SPC'!$E$4="",'Data Entry'!$C6573&lt;='Visual SPC'!$E$4),OR('Visual SPC'!$G$4="",'Data Entry'!$D6573='Visual SPC'!$G$4),OR('Visual SPC'!$I$4="",'Data Entry'!$E6573='Visual SPC'!$I$4),OR('Visual SPC'!$K$4="",'Data Entry'!$F6573='Visual SPC'!$K$4)),1,0))</f>
        <v/>
      </c>
      <c r="C6573">
        <f>C6572+B6573</f>
        <v/>
      </c>
      <c r="D6573">
        <f>IF(B6573=1,INDEX('Data Entry'!$H$5:$BE$10004,6573-4,'Visual SPC'!$B$3),"")</f>
        <v/>
      </c>
      <c r="E6573">
        <f>IF(B6573=1,D6573,E6572)</f>
        <v/>
      </c>
      <c r="F6573">
        <f>IF(AND(B6573=1,C6573&gt;1,E6572&lt;&gt;""),ABS(D6573-E6572),"")</f>
        <v/>
      </c>
    </row>
    <row r="6574">
      <c r="A6574" t="n">
        <v>6574</v>
      </c>
      <c r="B6574">
        <f>IF(INDEX('Data Entry'!$H$5:$BE$10004,6574-4,'Visual SPC'!$B$3)="",0,IF(AND(OR('Visual SPC'!$C$4="",'Data Entry'!$C6574&gt;='Visual SPC'!$C$4),OR('Visual SPC'!$E$4="",'Data Entry'!$C6574&lt;='Visual SPC'!$E$4),OR('Visual SPC'!$G$4="",'Data Entry'!$D6574='Visual SPC'!$G$4),OR('Visual SPC'!$I$4="",'Data Entry'!$E6574='Visual SPC'!$I$4),OR('Visual SPC'!$K$4="",'Data Entry'!$F6574='Visual SPC'!$K$4)),1,0))</f>
        <v/>
      </c>
      <c r="C6574">
        <f>C6573+B6574</f>
        <v/>
      </c>
      <c r="D6574">
        <f>IF(B6574=1,INDEX('Data Entry'!$H$5:$BE$10004,6574-4,'Visual SPC'!$B$3),"")</f>
        <v/>
      </c>
      <c r="E6574">
        <f>IF(B6574=1,D6574,E6573)</f>
        <v/>
      </c>
      <c r="F6574">
        <f>IF(AND(B6574=1,C6574&gt;1,E6573&lt;&gt;""),ABS(D6574-E6573),"")</f>
        <v/>
      </c>
    </row>
    <row r="6575">
      <c r="A6575" t="n">
        <v>6575</v>
      </c>
      <c r="B6575">
        <f>IF(INDEX('Data Entry'!$H$5:$BE$10004,6575-4,'Visual SPC'!$B$3)="",0,IF(AND(OR('Visual SPC'!$C$4="",'Data Entry'!$C6575&gt;='Visual SPC'!$C$4),OR('Visual SPC'!$E$4="",'Data Entry'!$C6575&lt;='Visual SPC'!$E$4),OR('Visual SPC'!$G$4="",'Data Entry'!$D6575='Visual SPC'!$G$4),OR('Visual SPC'!$I$4="",'Data Entry'!$E6575='Visual SPC'!$I$4),OR('Visual SPC'!$K$4="",'Data Entry'!$F6575='Visual SPC'!$K$4)),1,0))</f>
        <v/>
      </c>
      <c r="C6575">
        <f>C6574+B6575</f>
        <v/>
      </c>
      <c r="D6575">
        <f>IF(B6575=1,INDEX('Data Entry'!$H$5:$BE$10004,6575-4,'Visual SPC'!$B$3),"")</f>
        <v/>
      </c>
      <c r="E6575">
        <f>IF(B6575=1,D6575,E6574)</f>
        <v/>
      </c>
      <c r="F6575">
        <f>IF(AND(B6575=1,C6575&gt;1,E6574&lt;&gt;""),ABS(D6575-E6574),"")</f>
        <v/>
      </c>
    </row>
    <row r="6576">
      <c r="A6576" t="n">
        <v>6576</v>
      </c>
      <c r="B6576">
        <f>IF(INDEX('Data Entry'!$H$5:$BE$10004,6576-4,'Visual SPC'!$B$3)="",0,IF(AND(OR('Visual SPC'!$C$4="",'Data Entry'!$C6576&gt;='Visual SPC'!$C$4),OR('Visual SPC'!$E$4="",'Data Entry'!$C6576&lt;='Visual SPC'!$E$4),OR('Visual SPC'!$G$4="",'Data Entry'!$D6576='Visual SPC'!$G$4),OR('Visual SPC'!$I$4="",'Data Entry'!$E6576='Visual SPC'!$I$4),OR('Visual SPC'!$K$4="",'Data Entry'!$F6576='Visual SPC'!$K$4)),1,0))</f>
        <v/>
      </c>
      <c r="C6576">
        <f>C6575+B6576</f>
        <v/>
      </c>
      <c r="D6576">
        <f>IF(B6576=1,INDEX('Data Entry'!$H$5:$BE$10004,6576-4,'Visual SPC'!$B$3),"")</f>
        <v/>
      </c>
      <c r="E6576">
        <f>IF(B6576=1,D6576,E6575)</f>
        <v/>
      </c>
      <c r="F6576">
        <f>IF(AND(B6576=1,C6576&gt;1,E6575&lt;&gt;""),ABS(D6576-E6575),"")</f>
        <v/>
      </c>
    </row>
    <row r="6577">
      <c r="A6577" t="n">
        <v>6577</v>
      </c>
      <c r="B6577">
        <f>IF(INDEX('Data Entry'!$H$5:$BE$10004,6577-4,'Visual SPC'!$B$3)="",0,IF(AND(OR('Visual SPC'!$C$4="",'Data Entry'!$C6577&gt;='Visual SPC'!$C$4),OR('Visual SPC'!$E$4="",'Data Entry'!$C6577&lt;='Visual SPC'!$E$4),OR('Visual SPC'!$G$4="",'Data Entry'!$D6577='Visual SPC'!$G$4),OR('Visual SPC'!$I$4="",'Data Entry'!$E6577='Visual SPC'!$I$4),OR('Visual SPC'!$K$4="",'Data Entry'!$F6577='Visual SPC'!$K$4)),1,0))</f>
        <v/>
      </c>
      <c r="C6577">
        <f>C6576+B6577</f>
        <v/>
      </c>
      <c r="D6577">
        <f>IF(B6577=1,INDEX('Data Entry'!$H$5:$BE$10004,6577-4,'Visual SPC'!$B$3),"")</f>
        <v/>
      </c>
      <c r="E6577">
        <f>IF(B6577=1,D6577,E6576)</f>
        <v/>
      </c>
      <c r="F6577">
        <f>IF(AND(B6577=1,C6577&gt;1,E6576&lt;&gt;""),ABS(D6577-E6576),"")</f>
        <v/>
      </c>
    </row>
    <row r="6578">
      <c r="A6578" t="n">
        <v>6578</v>
      </c>
      <c r="B6578">
        <f>IF(INDEX('Data Entry'!$H$5:$BE$10004,6578-4,'Visual SPC'!$B$3)="",0,IF(AND(OR('Visual SPC'!$C$4="",'Data Entry'!$C6578&gt;='Visual SPC'!$C$4),OR('Visual SPC'!$E$4="",'Data Entry'!$C6578&lt;='Visual SPC'!$E$4),OR('Visual SPC'!$G$4="",'Data Entry'!$D6578='Visual SPC'!$G$4),OR('Visual SPC'!$I$4="",'Data Entry'!$E6578='Visual SPC'!$I$4),OR('Visual SPC'!$K$4="",'Data Entry'!$F6578='Visual SPC'!$K$4)),1,0))</f>
        <v/>
      </c>
      <c r="C6578">
        <f>C6577+B6578</f>
        <v/>
      </c>
      <c r="D6578">
        <f>IF(B6578=1,INDEX('Data Entry'!$H$5:$BE$10004,6578-4,'Visual SPC'!$B$3),"")</f>
        <v/>
      </c>
      <c r="E6578">
        <f>IF(B6578=1,D6578,E6577)</f>
        <v/>
      </c>
      <c r="F6578">
        <f>IF(AND(B6578=1,C6578&gt;1,E6577&lt;&gt;""),ABS(D6578-E6577),"")</f>
        <v/>
      </c>
    </row>
    <row r="6579">
      <c r="A6579" t="n">
        <v>6579</v>
      </c>
      <c r="B6579">
        <f>IF(INDEX('Data Entry'!$H$5:$BE$10004,6579-4,'Visual SPC'!$B$3)="",0,IF(AND(OR('Visual SPC'!$C$4="",'Data Entry'!$C6579&gt;='Visual SPC'!$C$4),OR('Visual SPC'!$E$4="",'Data Entry'!$C6579&lt;='Visual SPC'!$E$4),OR('Visual SPC'!$G$4="",'Data Entry'!$D6579='Visual SPC'!$G$4),OR('Visual SPC'!$I$4="",'Data Entry'!$E6579='Visual SPC'!$I$4),OR('Visual SPC'!$K$4="",'Data Entry'!$F6579='Visual SPC'!$K$4)),1,0))</f>
        <v/>
      </c>
      <c r="C6579">
        <f>C6578+B6579</f>
        <v/>
      </c>
      <c r="D6579">
        <f>IF(B6579=1,INDEX('Data Entry'!$H$5:$BE$10004,6579-4,'Visual SPC'!$B$3),"")</f>
        <v/>
      </c>
      <c r="E6579">
        <f>IF(B6579=1,D6579,E6578)</f>
        <v/>
      </c>
      <c r="F6579">
        <f>IF(AND(B6579=1,C6579&gt;1,E6578&lt;&gt;""),ABS(D6579-E6578),"")</f>
        <v/>
      </c>
    </row>
    <row r="6580">
      <c r="A6580" t="n">
        <v>6580</v>
      </c>
      <c r="B6580">
        <f>IF(INDEX('Data Entry'!$H$5:$BE$10004,6580-4,'Visual SPC'!$B$3)="",0,IF(AND(OR('Visual SPC'!$C$4="",'Data Entry'!$C6580&gt;='Visual SPC'!$C$4),OR('Visual SPC'!$E$4="",'Data Entry'!$C6580&lt;='Visual SPC'!$E$4),OR('Visual SPC'!$G$4="",'Data Entry'!$D6580='Visual SPC'!$G$4),OR('Visual SPC'!$I$4="",'Data Entry'!$E6580='Visual SPC'!$I$4),OR('Visual SPC'!$K$4="",'Data Entry'!$F6580='Visual SPC'!$K$4)),1,0))</f>
        <v/>
      </c>
      <c r="C6580">
        <f>C6579+B6580</f>
        <v/>
      </c>
      <c r="D6580">
        <f>IF(B6580=1,INDEX('Data Entry'!$H$5:$BE$10004,6580-4,'Visual SPC'!$B$3),"")</f>
        <v/>
      </c>
      <c r="E6580">
        <f>IF(B6580=1,D6580,E6579)</f>
        <v/>
      </c>
      <c r="F6580">
        <f>IF(AND(B6580=1,C6580&gt;1,E6579&lt;&gt;""),ABS(D6580-E6579),"")</f>
        <v/>
      </c>
    </row>
    <row r="6581">
      <c r="A6581" t="n">
        <v>6581</v>
      </c>
      <c r="B6581">
        <f>IF(INDEX('Data Entry'!$H$5:$BE$10004,6581-4,'Visual SPC'!$B$3)="",0,IF(AND(OR('Visual SPC'!$C$4="",'Data Entry'!$C6581&gt;='Visual SPC'!$C$4),OR('Visual SPC'!$E$4="",'Data Entry'!$C6581&lt;='Visual SPC'!$E$4),OR('Visual SPC'!$G$4="",'Data Entry'!$D6581='Visual SPC'!$G$4),OR('Visual SPC'!$I$4="",'Data Entry'!$E6581='Visual SPC'!$I$4),OR('Visual SPC'!$K$4="",'Data Entry'!$F6581='Visual SPC'!$K$4)),1,0))</f>
        <v/>
      </c>
      <c r="C6581">
        <f>C6580+B6581</f>
        <v/>
      </c>
      <c r="D6581">
        <f>IF(B6581=1,INDEX('Data Entry'!$H$5:$BE$10004,6581-4,'Visual SPC'!$B$3),"")</f>
        <v/>
      </c>
      <c r="E6581">
        <f>IF(B6581=1,D6581,E6580)</f>
        <v/>
      </c>
      <c r="F6581">
        <f>IF(AND(B6581=1,C6581&gt;1,E6580&lt;&gt;""),ABS(D6581-E6580),"")</f>
        <v/>
      </c>
    </row>
    <row r="6582">
      <c r="A6582" t="n">
        <v>6582</v>
      </c>
      <c r="B6582">
        <f>IF(INDEX('Data Entry'!$H$5:$BE$10004,6582-4,'Visual SPC'!$B$3)="",0,IF(AND(OR('Visual SPC'!$C$4="",'Data Entry'!$C6582&gt;='Visual SPC'!$C$4),OR('Visual SPC'!$E$4="",'Data Entry'!$C6582&lt;='Visual SPC'!$E$4),OR('Visual SPC'!$G$4="",'Data Entry'!$D6582='Visual SPC'!$G$4),OR('Visual SPC'!$I$4="",'Data Entry'!$E6582='Visual SPC'!$I$4),OR('Visual SPC'!$K$4="",'Data Entry'!$F6582='Visual SPC'!$K$4)),1,0))</f>
        <v/>
      </c>
      <c r="C6582">
        <f>C6581+B6582</f>
        <v/>
      </c>
      <c r="D6582">
        <f>IF(B6582=1,INDEX('Data Entry'!$H$5:$BE$10004,6582-4,'Visual SPC'!$B$3),"")</f>
        <v/>
      </c>
      <c r="E6582">
        <f>IF(B6582=1,D6582,E6581)</f>
        <v/>
      </c>
      <c r="F6582">
        <f>IF(AND(B6582=1,C6582&gt;1,E6581&lt;&gt;""),ABS(D6582-E6581),"")</f>
        <v/>
      </c>
    </row>
    <row r="6583">
      <c r="A6583" t="n">
        <v>6583</v>
      </c>
      <c r="B6583">
        <f>IF(INDEX('Data Entry'!$H$5:$BE$10004,6583-4,'Visual SPC'!$B$3)="",0,IF(AND(OR('Visual SPC'!$C$4="",'Data Entry'!$C6583&gt;='Visual SPC'!$C$4),OR('Visual SPC'!$E$4="",'Data Entry'!$C6583&lt;='Visual SPC'!$E$4),OR('Visual SPC'!$G$4="",'Data Entry'!$D6583='Visual SPC'!$G$4),OR('Visual SPC'!$I$4="",'Data Entry'!$E6583='Visual SPC'!$I$4),OR('Visual SPC'!$K$4="",'Data Entry'!$F6583='Visual SPC'!$K$4)),1,0))</f>
        <v/>
      </c>
      <c r="C6583">
        <f>C6582+B6583</f>
        <v/>
      </c>
      <c r="D6583">
        <f>IF(B6583=1,INDEX('Data Entry'!$H$5:$BE$10004,6583-4,'Visual SPC'!$B$3),"")</f>
        <v/>
      </c>
      <c r="E6583">
        <f>IF(B6583=1,D6583,E6582)</f>
        <v/>
      </c>
      <c r="F6583">
        <f>IF(AND(B6583=1,C6583&gt;1,E6582&lt;&gt;""),ABS(D6583-E6582),"")</f>
        <v/>
      </c>
    </row>
    <row r="6584">
      <c r="A6584" t="n">
        <v>6584</v>
      </c>
      <c r="B6584">
        <f>IF(INDEX('Data Entry'!$H$5:$BE$10004,6584-4,'Visual SPC'!$B$3)="",0,IF(AND(OR('Visual SPC'!$C$4="",'Data Entry'!$C6584&gt;='Visual SPC'!$C$4),OR('Visual SPC'!$E$4="",'Data Entry'!$C6584&lt;='Visual SPC'!$E$4),OR('Visual SPC'!$G$4="",'Data Entry'!$D6584='Visual SPC'!$G$4),OR('Visual SPC'!$I$4="",'Data Entry'!$E6584='Visual SPC'!$I$4),OR('Visual SPC'!$K$4="",'Data Entry'!$F6584='Visual SPC'!$K$4)),1,0))</f>
        <v/>
      </c>
      <c r="C6584">
        <f>C6583+B6584</f>
        <v/>
      </c>
      <c r="D6584">
        <f>IF(B6584=1,INDEX('Data Entry'!$H$5:$BE$10004,6584-4,'Visual SPC'!$B$3),"")</f>
        <v/>
      </c>
      <c r="E6584">
        <f>IF(B6584=1,D6584,E6583)</f>
        <v/>
      </c>
      <c r="F6584">
        <f>IF(AND(B6584=1,C6584&gt;1,E6583&lt;&gt;""),ABS(D6584-E6583),"")</f>
        <v/>
      </c>
    </row>
    <row r="6585">
      <c r="A6585" t="n">
        <v>6585</v>
      </c>
      <c r="B6585">
        <f>IF(INDEX('Data Entry'!$H$5:$BE$10004,6585-4,'Visual SPC'!$B$3)="",0,IF(AND(OR('Visual SPC'!$C$4="",'Data Entry'!$C6585&gt;='Visual SPC'!$C$4),OR('Visual SPC'!$E$4="",'Data Entry'!$C6585&lt;='Visual SPC'!$E$4),OR('Visual SPC'!$G$4="",'Data Entry'!$D6585='Visual SPC'!$G$4),OR('Visual SPC'!$I$4="",'Data Entry'!$E6585='Visual SPC'!$I$4),OR('Visual SPC'!$K$4="",'Data Entry'!$F6585='Visual SPC'!$K$4)),1,0))</f>
        <v/>
      </c>
      <c r="C6585">
        <f>C6584+B6585</f>
        <v/>
      </c>
      <c r="D6585">
        <f>IF(B6585=1,INDEX('Data Entry'!$H$5:$BE$10004,6585-4,'Visual SPC'!$B$3),"")</f>
        <v/>
      </c>
      <c r="E6585">
        <f>IF(B6585=1,D6585,E6584)</f>
        <v/>
      </c>
      <c r="F6585">
        <f>IF(AND(B6585=1,C6585&gt;1,E6584&lt;&gt;""),ABS(D6585-E6584),"")</f>
        <v/>
      </c>
    </row>
    <row r="6586">
      <c r="A6586" t="n">
        <v>6586</v>
      </c>
      <c r="B6586">
        <f>IF(INDEX('Data Entry'!$H$5:$BE$10004,6586-4,'Visual SPC'!$B$3)="",0,IF(AND(OR('Visual SPC'!$C$4="",'Data Entry'!$C6586&gt;='Visual SPC'!$C$4),OR('Visual SPC'!$E$4="",'Data Entry'!$C6586&lt;='Visual SPC'!$E$4),OR('Visual SPC'!$G$4="",'Data Entry'!$D6586='Visual SPC'!$G$4),OR('Visual SPC'!$I$4="",'Data Entry'!$E6586='Visual SPC'!$I$4),OR('Visual SPC'!$K$4="",'Data Entry'!$F6586='Visual SPC'!$K$4)),1,0))</f>
        <v/>
      </c>
      <c r="C6586">
        <f>C6585+B6586</f>
        <v/>
      </c>
      <c r="D6586">
        <f>IF(B6586=1,INDEX('Data Entry'!$H$5:$BE$10004,6586-4,'Visual SPC'!$B$3),"")</f>
        <v/>
      </c>
      <c r="E6586">
        <f>IF(B6586=1,D6586,E6585)</f>
        <v/>
      </c>
      <c r="F6586">
        <f>IF(AND(B6586=1,C6586&gt;1,E6585&lt;&gt;""),ABS(D6586-E6585),"")</f>
        <v/>
      </c>
    </row>
    <row r="6587">
      <c r="A6587" t="n">
        <v>6587</v>
      </c>
      <c r="B6587">
        <f>IF(INDEX('Data Entry'!$H$5:$BE$10004,6587-4,'Visual SPC'!$B$3)="",0,IF(AND(OR('Visual SPC'!$C$4="",'Data Entry'!$C6587&gt;='Visual SPC'!$C$4),OR('Visual SPC'!$E$4="",'Data Entry'!$C6587&lt;='Visual SPC'!$E$4),OR('Visual SPC'!$G$4="",'Data Entry'!$D6587='Visual SPC'!$G$4),OR('Visual SPC'!$I$4="",'Data Entry'!$E6587='Visual SPC'!$I$4),OR('Visual SPC'!$K$4="",'Data Entry'!$F6587='Visual SPC'!$K$4)),1,0))</f>
        <v/>
      </c>
      <c r="C6587">
        <f>C6586+B6587</f>
        <v/>
      </c>
      <c r="D6587">
        <f>IF(B6587=1,INDEX('Data Entry'!$H$5:$BE$10004,6587-4,'Visual SPC'!$B$3),"")</f>
        <v/>
      </c>
      <c r="E6587">
        <f>IF(B6587=1,D6587,E6586)</f>
        <v/>
      </c>
      <c r="F6587">
        <f>IF(AND(B6587=1,C6587&gt;1,E6586&lt;&gt;""),ABS(D6587-E6586),"")</f>
        <v/>
      </c>
    </row>
    <row r="6588">
      <c r="A6588" t="n">
        <v>6588</v>
      </c>
      <c r="B6588">
        <f>IF(INDEX('Data Entry'!$H$5:$BE$10004,6588-4,'Visual SPC'!$B$3)="",0,IF(AND(OR('Visual SPC'!$C$4="",'Data Entry'!$C6588&gt;='Visual SPC'!$C$4),OR('Visual SPC'!$E$4="",'Data Entry'!$C6588&lt;='Visual SPC'!$E$4),OR('Visual SPC'!$G$4="",'Data Entry'!$D6588='Visual SPC'!$G$4),OR('Visual SPC'!$I$4="",'Data Entry'!$E6588='Visual SPC'!$I$4),OR('Visual SPC'!$K$4="",'Data Entry'!$F6588='Visual SPC'!$K$4)),1,0))</f>
        <v/>
      </c>
      <c r="C6588">
        <f>C6587+B6588</f>
        <v/>
      </c>
      <c r="D6588">
        <f>IF(B6588=1,INDEX('Data Entry'!$H$5:$BE$10004,6588-4,'Visual SPC'!$B$3),"")</f>
        <v/>
      </c>
      <c r="E6588">
        <f>IF(B6588=1,D6588,E6587)</f>
        <v/>
      </c>
      <c r="F6588">
        <f>IF(AND(B6588=1,C6588&gt;1,E6587&lt;&gt;""),ABS(D6588-E6587),"")</f>
        <v/>
      </c>
    </row>
    <row r="6589">
      <c r="A6589" t="n">
        <v>6589</v>
      </c>
      <c r="B6589">
        <f>IF(INDEX('Data Entry'!$H$5:$BE$10004,6589-4,'Visual SPC'!$B$3)="",0,IF(AND(OR('Visual SPC'!$C$4="",'Data Entry'!$C6589&gt;='Visual SPC'!$C$4),OR('Visual SPC'!$E$4="",'Data Entry'!$C6589&lt;='Visual SPC'!$E$4),OR('Visual SPC'!$G$4="",'Data Entry'!$D6589='Visual SPC'!$G$4),OR('Visual SPC'!$I$4="",'Data Entry'!$E6589='Visual SPC'!$I$4),OR('Visual SPC'!$K$4="",'Data Entry'!$F6589='Visual SPC'!$K$4)),1,0))</f>
        <v/>
      </c>
      <c r="C6589">
        <f>C6588+B6589</f>
        <v/>
      </c>
      <c r="D6589">
        <f>IF(B6589=1,INDEX('Data Entry'!$H$5:$BE$10004,6589-4,'Visual SPC'!$B$3),"")</f>
        <v/>
      </c>
      <c r="E6589">
        <f>IF(B6589=1,D6589,E6588)</f>
        <v/>
      </c>
      <c r="F6589">
        <f>IF(AND(B6589=1,C6589&gt;1,E6588&lt;&gt;""),ABS(D6589-E6588),"")</f>
        <v/>
      </c>
    </row>
    <row r="6590">
      <c r="A6590" t="n">
        <v>6590</v>
      </c>
      <c r="B6590">
        <f>IF(INDEX('Data Entry'!$H$5:$BE$10004,6590-4,'Visual SPC'!$B$3)="",0,IF(AND(OR('Visual SPC'!$C$4="",'Data Entry'!$C6590&gt;='Visual SPC'!$C$4),OR('Visual SPC'!$E$4="",'Data Entry'!$C6590&lt;='Visual SPC'!$E$4),OR('Visual SPC'!$G$4="",'Data Entry'!$D6590='Visual SPC'!$G$4),OR('Visual SPC'!$I$4="",'Data Entry'!$E6590='Visual SPC'!$I$4),OR('Visual SPC'!$K$4="",'Data Entry'!$F6590='Visual SPC'!$K$4)),1,0))</f>
        <v/>
      </c>
      <c r="C6590">
        <f>C6589+B6590</f>
        <v/>
      </c>
      <c r="D6590">
        <f>IF(B6590=1,INDEX('Data Entry'!$H$5:$BE$10004,6590-4,'Visual SPC'!$B$3),"")</f>
        <v/>
      </c>
      <c r="E6590">
        <f>IF(B6590=1,D6590,E6589)</f>
        <v/>
      </c>
      <c r="F6590">
        <f>IF(AND(B6590=1,C6590&gt;1,E6589&lt;&gt;""),ABS(D6590-E6589),"")</f>
        <v/>
      </c>
    </row>
    <row r="6591">
      <c r="A6591" t="n">
        <v>6591</v>
      </c>
      <c r="B6591">
        <f>IF(INDEX('Data Entry'!$H$5:$BE$10004,6591-4,'Visual SPC'!$B$3)="",0,IF(AND(OR('Visual SPC'!$C$4="",'Data Entry'!$C6591&gt;='Visual SPC'!$C$4),OR('Visual SPC'!$E$4="",'Data Entry'!$C6591&lt;='Visual SPC'!$E$4),OR('Visual SPC'!$G$4="",'Data Entry'!$D6591='Visual SPC'!$G$4),OR('Visual SPC'!$I$4="",'Data Entry'!$E6591='Visual SPC'!$I$4),OR('Visual SPC'!$K$4="",'Data Entry'!$F6591='Visual SPC'!$K$4)),1,0))</f>
        <v/>
      </c>
      <c r="C6591">
        <f>C6590+B6591</f>
        <v/>
      </c>
      <c r="D6591">
        <f>IF(B6591=1,INDEX('Data Entry'!$H$5:$BE$10004,6591-4,'Visual SPC'!$B$3),"")</f>
        <v/>
      </c>
      <c r="E6591">
        <f>IF(B6591=1,D6591,E6590)</f>
        <v/>
      </c>
      <c r="F6591">
        <f>IF(AND(B6591=1,C6591&gt;1,E6590&lt;&gt;""),ABS(D6591-E6590),"")</f>
        <v/>
      </c>
    </row>
    <row r="6592">
      <c r="A6592" t="n">
        <v>6592</v>
      </c>
      <c r="B6592">
        <f>IF(INDEX('Data Entry'!$H$5:$BE$10004,6592-4,'Visual SPC'!$B$3)="",0,IF(AND(OR('Visual SPC'!$C$4="",'Data Entry'!$C6592&gt;='Visual SPC'!$C$4),OR('Visual SPC'!$E$4="",'Data Entry'!$C6592&lt;='Visual SPC'!$E$4),OR('Visual SPC'!$G$4="",'Data Entry'!$D6592='Visual SPC'!$G$4),OR('Visual SPC'!$I$4="",'Data Entry'!$E6592='Visual SPC'!$I$4),OR('Visual SPC'!$K$4="",'Data Entry'!$F6592='Visual SPC'!$K$4)),1,0))</f>
        <v/>
      </c>
      <c r="C6592">
        <f>C6591+B6592</f>
        <v/>
      </c>
      <c r="D6592">
        <f>IF(B6592=1,INDEX('Data Entry'!$H$5:$BE$10004,6592-4,'Visual SPC'!$B$3),"")</f>
        <v/>
      </c>
      <c r="E6592">
        <f>IF(B6592=1,D6592,E6591)</f>
        <v/>
      </c>
      <c r="F6592">
        <f>IF(AND(B6592=1,C6592&gt;1,E6591&lt;&gt;""),ABS(D6592-E6591),"")</f>
        <v/>
      </c>
    </row>
    <row r="6593">
      <c r="A6593" t="n">
        <v>6593</v>
      </c>
      <c r="B6593">
        <f>IF(INDEX('Data Entry'!$H$5:$BE$10004,6593-4,'Visual SPC'!$B$3)="",0,IF(AND(OR('Visual SPC'!$C$4="",'Data Entry'!$C6593&gt;='Visual SPC'!$C$4),OR('Visual SPC'!$E$4="",'Data Entry'!$C6593&lt;='Visual SPC'!$E$4),OR('Visual SPC'!$G$4="",'Data Entry'!$D6593='Visual SPC'!$G$4),OR('Visual SPC'!$I$4="",'Data Entry'!$E6593='Visual SPC'!$I$4),OR('Visual SPC'!$K$4="",'Data Entry'!$F6593='Visual SPC'!$K$4)),1,0))</f>
        <v/>
      </c>
      <c r="C6593">
        <f>C6592+B6593</f>
        <v/>
      </c>
      <c r="D6593">
        <f>IF(B6593=1,INDEX('Data Entry'!$H$5:$BE$10004,6593-4,'Visual SPC'!$B$3),"")</f>
        <v/>
      </c>
      <c r="E6593">
        <f>IF(B6593=1,D6593,E6592)</f>
        <v/>
      </c>
      <c r="F6593">
        <f>IF(AND(B6593=1,C6593&gt;1,E6592&lt;&gt;""),ABS(D6593-E6592),"")</f>
        <v/>
      </c>
    </row>
    <row r="6594">
      <c r="A6594" t="n">
        <v>6594</v>
      </c>
      <c r="B6594">
        <f>IF(INDEX('Data Entry'!$H$5:$BE$10004,6594-4,'Visual SPC'!$B$3)="",0,IF(AND(OR('Visual SPC'!$C$4="",'Data Entry'!$C6594&gt;='Visual SPC'!$C$4),OR('Visual SPC'!$E$4="",'Data Entry'!$C6594&lt;='Visual SPC'!$E$4),OR('Visual SPC'!$G$4="",'Data Entry'!$D6594='Visual SPC'!$G$4),OR('Visual SPC'!$I$4="",'Data Entry'!$E6594='Visual SPC'!$I$4),OR('Visual SPC'!$K$4="",'Data Entry'!$F6594='Visual SPC'!$K$4)),1,0))</f>
        <v/>
      </c>
      <c r="C6594">
        <f>C6593+B6594</f>
        <v/>
      </c>
      <c r="D6594">
        <f>IF(B6594=1,INDEX('Data Entry'!$H$5:$BE$10004,6594-4,'Visual SPC'!$B$3),"")</f>
        <v/>
      </c>
      <c r="E6594">
        <f>IF(B6594=1,D6594,E6593)</f>
        <v/>
      </c>
      <c r="F6594">
        <f>IF(AND(B6594=1,C6594&gt;1,E6593&lt;&gt;""),ABS(D6594-E6593),"")</f>
        <v/>
      </c>
    </row>
    <row r="6595">
      <c r="A6595" t="n">
        <v>6595</v>
      </c>
      <c r="B6595">
        <f>IF(INDEX('Data Entry'!$H$5:$BE$10004,6595-4,'Visual SPC'!$B$3)="",0,IF(AND(OR('Visual SPC'!$C$4="",'Data Entry'!$C6595&gt;='Visual SPC'!$C$4),OR('Visual SPC'!$E$4="",'Data Entry'!$C6595&lt;='Visual SPC'!$E$4),OR('Visual SPC'!$G$4="",'Data Entry'!$D6595='Visual SPC'!$G$4),OR('Visual SPC'!$I$4="",'Data Entry'!$E6595='Visual SPC'!$I$4),OR('Visual SPC'!$K$4="",'Data Entry'!$F6595='Visual SPC'!$K$4)),1,0))</f>
        <v/>
      </c>
      <c r="C6595">
        <f>C6594+B6595</f>
        <v/>
      </c>
      <c r="D6595">
        <f>IF(B6595=1,INDEX('Data Entry'!$H$5:$BE$10004,6595-4,'Visual SPC'!$B$3),"")</f>
        <v/>
      </c>
      <c r="E6595">
        <f>IF(B6595=1,D6595,E6594)</f>
        <v/>
      </c>
      <c r="F6595">
        <f>IF(AND(B6595=1,C6595&gt;1,E6594&lt;&gt;""),ABS(D6595-E6594),"")</f>
        <v/>
      </c>
    </row>
    <row r="6596">
      <c r="A6596" t="n">
        <v>6596</v>
      </c>
      <c r="B6596">
        <f>IF(INDEX('Data Entry'!$H$5:$BE$10004,6596-4,'Visual SPC'!$B$3)="",0,IF(AND(OR('Visual SPC'!$C$4="",'Data Entry'!$C6596&gt;='Visual SPC'!$C$4),OR('Visual SPC'!$E$4="",'Data Entry'!$C6596&lt;='Visual SPC'!$E$4),OR('Visual SPC'!$G$4="",'Data Entry'!$D6596='Visual SPC'!$G$4),OR('Visual SPC'!$I$4="",'Data Entry'!$E6596='Visual SPC'!$I$4),OR('Visual SPC'!$K$4="",'Data Entry'!$F6596='Visual SPC'!$K$4)),1,0))</f>
        <v/>
      </c>
      <c r="C6596">
        <f>C6595+B6596</f>
        <v/>
      </c>
      <c r="D6596">
        <f>IF(B6596=1,INDEX('Data Entry'!$H$5:$BE$10004,6596-4,'Visual SPC'!$B$3),"")</f>
        <v/>
      </c>
      <c r="E6596">
        <f>IF(B6596=1,D6596,E6595)</f>
        <v/>
      </c>
      <c r="F6596">
        <f>IF(AND(B6596=1,C6596&gt;1,E6595&lt;&gt;""),ABS(D6596-E6595),"")</f>
        <v/>
      </c>
    </row>
    <row r="6597">
      <c r="A6597" t="n">
        <v>6597</v>
      </c>
      <c r="B6597">
        <f>IF(INDEX('Data Entry'!$H$5:$BE$10004,6597-4,'Visual SPC'!$B$3)="",0,IF(AND(OR('Visual SPC'!$C$4="",'Data Entry'!$C6597&gt;='Visual SPC'!$C$4),OR('Visual SPC'!$E$4="",'Data Entry'!$C6597&lt;='Visual SPC'!$E$4),OR('Visual SPC'!$G$4="",'Data Entry'!$D6597='Visual SPC'!$G$4),OR('Visual SPC'!$I$4="",'Data Entry'!$E6597='Visual SPC'!$I$4),OR('Visual SPC'!$K$4="",'Data Entry'!$F6597='Visual SPC'!$K$4)),1,0))</f>
        <v/>
      </c>
      <c r="C6597">
        <f>C6596+B6597</f>
        <v/>
      </c>
      <c r="D6597">
        <f>IF(B6597=1,INDEX('Data Entry'!$H$5:$BE$10004,6597-4,'Visual SPC'!$B$3),"")</f>
        <v/>
      </c>
      <c r="E6597">
        <f>IF(B6597=1,D6597,E6596)</f>
        <v/>
      </c>
      <c r="F6597">
        <f>IF(AND(B6597=1,C6597&gt;1,E6596&lt;&gt;""),ABS(D6597-E6596),"")</f>
        <v/>
      </c>
    </row>
    <row r="6598">
      <c r="A6598" t="n">
        <v>6598</v>
      </c>
      <c r="B6598">
        <f>IF(INDEX('Data Entry'!$H$5:$BE$10004,6598-4,'Visual SPC'!$B$3)="",0,IF(AND(OR('Visual SPC'!$C$4="",'Data Entry'!$C6598&gt;='Visual SPC'!$C$4),OR('Visual SPC'!$E$4="",'Data Entry'!$C6598&lt;='Visual SPC'!$E$4),OR('Visual SPC'!$G$4="",'Data Entry'!$D6598='Visual SPC'!$G$4),OR('Visual SPC'!$I$4="",'Data Entry'!$E6598='Visual SPC'!$I$4),OR('Visual SPC'!$K$4="",'Data Entry'!$F6598='Visual SPC'!$K$4)),1,0))</f>
        <v/>
      </c>
      <c r="C6598">
        <f>C6597+B6598</f>
        <v/>
      </c>
      <c r="D6598">
        <f>IF(B6598=1,INDEX('Data Entry'!$H$5:$BE$10004,6598-4,'Visual SPC'!$B$3),"")</f>
        <v/>
      </c>
      <c r="E6598">
        <f>IF(B6598=1,D6598,E6597)</f>
        <v/>
      </c>
      <c r="F6598">
        <f>IF(AND(B6598=1,C6598&gt;1,E6597&lt;&gt;""),ABS(D6598-E6597),"")</f>
        <v/>
      </c>
    </row>
    <row r="6599">
      <c r="A6599" t="n">
        <v>6599</v>
      </c>
      <c r="B6599">
        <f>IF(INDEX('Data Entry'!$H$5:$BE$10004,6599-4,'Visual SPC'!$B$3)="",0,IF(AND(OR('Visual SPC'!$C$4="",'Data Entry'!$C6599&gt;='Visual SPC'!$C$4),OR('Visual SPC'!$E$4="",'Data Entry'!$C6599&lt;='Visual SPC'!$E$4),OR('Visual SPC'!$G$4="",'Data Entry'!$D6599='Visual SPC'!$G$4),OR('Visual SPC'!$I$4="",'Data Entry'!$E6599='Visual SPC'!$I$4),OR('Visual SPC'!$K$4="",'Data Entry'!$F6599='Visual SPC'!$K$4)),1,0))</f>
        <v/>
      </c>
      <c r="C6599">
        <f>C6598+B6599</f>
        <v/>
      </c>
      <c r="D6599">
        <f>IF(B6599=1,INDEX('Data Entry'!$H$5:$BE$10004,6599-4,'Visual SPC'!$B$3),"")</f>
        <v/>
      </c>
      <c r="E6599">
        <f>IF(B6599=1,D6599,E6598)</f>
        <v/>
      </c>
      <c r="F6599">
        <f>IF(AND(B6599=1,C6599&gt;1,E6598&lt;&gt;""),ABS(D6599-E6598),"")</f>
        <v/>
      </c>
    </row>
    <row r="6600">
      <c r="A6600" t="n">
        <v>6600</v>
      </c>
      <c r="B6600">
        <f>IF(INDEX('Data Entry'!$H$5:$BE$10004,6600-4,'Visual SPC'!$B$3)="",0,IF(AND(OR('Visual SPC'!$C$4="",'Data Entry'!$C6600&gt;='Visual SPC'!$C$4),OR('Visual SPC'!$E$4="",'Data Entry'!$C6600&lt;='Visual SPC'!$E$4),OR('Visual SPC'!$G$4="",'Data Entry'!$D6600='Visual SPC'!$G$4),OR('Visual SPC'!$I$4="",'Data Entry'!$E6600='Visual SPC'!$I$4),OR('Visual SPC'!$K$4="",'Data Entry'!$F6600='Visual SPC'!$K$4)),1,0))</f>
        <v/>
      </c>
      <c r="C6600">
        <f>C6599+B6600</f>
        <v/>
      </c>
      <c r="D6600">
        <f>IF(B6600=1,INDEX('Data Entry'!$H$5:$BE$10004,6600-4,'Visual SPC'!$B$3),"")</f>
        <v/>
      </c>
      <c r="E6600">
        <f>IF(B6600=1,D6600,E6599)</f>
        <v/>
      </c>
      <c r="F6600">
        <f>IF(AND(B6600=1,C6600&gt;1,E6599&lt;&gt;""),ABS(D6600-E6599),"")</f>
        <v/>
      </c>
    </row>
    <row r="6601">
      <c r="A6601" t="n">
        <v>6601</v>
      </c>
      <c r="B6601">
        <f>IF(INDEX('Data Entry'!$H$5:$BE$10004,6601-4,'Visual SPC'!$B$3)="",0,IF(AND(OR('Visual SPC'!$C$4="",'Data Entry'!$C6601&gt;='Visual SPC'!$C$4),OR('Visual SPC'!$E$4="",'Data Entry'!$C6601&lt;='Visual SPC'!$E$4),OR('Visual SPC'!$G$4="",'Data Entry'!$D6601='Visual SPC'!$G$4),OR('Visual SPC'!$I$4="",'Data Entry'!$E6601='Visual SPC'!$I$4),OR('Visual SPC'!$K$4="",'Data Entry'!$F6601='Visual SPC'!$K$4)),1,0))</f>
        <v/>
      </c>
      <c r="C6601">
        <f>C6600+B6601</f>
        <v/>
      </c>
      <c r="D6601">
        <f>IF(B6601=1,INDEX('Data Entry'!$H$5:$BE$10004,6601-4,'Visual SPC'!$B$3),"")</f>
        <v/>
      </c>
      <c r="E6601">
        <f>IF(B6601=1,D6601,E6600)</f>
        <v/>
      </c>
      <c r="F6601">
        <f>IF(AND(B6601=1,C6601&gt;1,E6600&lt;&gt;""),ABS(D6601-E6600),"")</f>
        <v/>
      </c>
    </row>
    <row r="6602">
      <c r="A6602" t="n">
        <v>6602</v>
      </c>
      <c r="B6602">
        <f>IF(INDEX('Data Entry'!$H$5:$BE$10004,6602-4,'Visual SPC'!$B$3)="",0,IF(AND(OR('Visual SPC'!$C$4="",'Data Entry'!$C6602&gt;='Visual SPC'!$C$4),OR('Visual SPC'!$E$4="",'Data Entry'!$C6602&lt;='Visual SPC'!$E$4),OR('Visual SPC'!$G$4="",'Data Entry'!$D6602='Visual SPC'!$G$4),OR('Visual SPC'!$I$4="",'Data Entry'!$E6602='Visual SPC'!$I$4),OR('Visual SPC'!$K$4="",'Data Entry'!$F6602='Visual SPC'!$K$4)),1,0))</f>
        <v/>
      </c>
      <c r="C6602">
        <f>C6601+B6602</f>
        <v/>
      </c>
      <c r="D6602">
        <f>IF(B6602=1,INDEX('Data Entry'!$H$5:$BE$10004,6602-4,'Visual SPC'!$B$3),"")</f>
        <v/>
      </c>
      <c r="E6602">
        <f>IF(B6602=1,D6602,E6601)</f>
        <v/>
      </c>
      <c r="F6602">
        <f>IF(AND(B6602=1,C6602&gt;1,E6601&lt;&gt;""),ABS(D6602-E6601),"")</f>
        <v/>
      </c>
    </row>
    <row r="6603">
      <c r="A6603" t="n">
        <v>6603</v>
      </c>
      <c r="B6603">
        <f>IF(INDEX('Data Entry'!$H$5:$BE$10004,6603-4,'Visual SPC'!$B$3)="",0,IF(AND(OR('Visual SPC'!$C$4="",'Data Entry'!$C6603&gt;='Visual SPC'!$C$4),OR('Visual SPC'!$E$4="",'Data Entry'!$C6603&lt;='Visual SPC'!$E$4),OR('Visual SPC'!$G$4="",'Data Entry'!$D6603='Visual SPC'!$G$4),OR('Visual SPC'!$I$4="",'Data Entry'!$E6603='Visual SPC'!$I$4),OR('Visual SPC'!$K$4="",'Data Entry'!$F6603='Visual SPC'!$K$4)),1,0))</f>
        <v/>
      </c>
      <c r="C6603">
        <f>C6602+B6603</f>
        <v/>
      </c>
      <c r="D6603">
        <f>IF(B6603=1,INDEX('Data Entry'!$H$5:$BE$10004,6603-4,'Visual SPC'!$B$3),"")</f>
        <v/>
      </c>
      <c r="E6603">
        <f>IF(B6603=1,D6603,E6602)</f>
        <v/>
      </c>
      <c r="F6603">
        <f>IF(AND(B6603=1,C6603&gt;1,E6602&lt;&gt;""),ABS(D6603-E6602),"")</f>
        <v/>
      </c>
    </row>
    <row r="6604">
      <c r="A6604" t="n">
        <v>6604</v>
      </c>
      <c r="B6604">
        <f>IF(INDEX('Data Entry'!$H$5:$BE$10004,6604-4,'Visual SPC'!$B$3)="",0,IF(AND(OR('Visual SPC'!$C$4="",'Data Entry'!$C6604&gt;='Visual SPC'!$C$4),OR('Visual SPC'!$E$4="",'Data Entry'!$C6604&lt;='Visual SPC'!$E$4),OR('Visual SPC'!$G$4="",'Data Entry'!$D6604='Visual SPC'!$G$4),OR('Visual SPC'!$I$4="",'Data Entry'!$E6604='Visual SPC'!$I$4),OR('Visual SPC'!$K$4="",'Data Entry'!$F6604='Visual SPC'!$K$4)),1,0))</f>
        <v/>
      </c>
      <c r="C6604">
        <f>C6603+B6604</f>
        <v/>
      </c>
      <c r="D6604">
        <f>IF(B6604=1,INDEX('Data Entry'!$H$5:$BE$10004,6604-4,'Visual SPC'!$B$3),"")</f>
        <v/>
      </c>
      <c r="E6604">
        <f>IF(B6604=1,D6604,E6603)</f>
        <v/>
      </c>
      <c r="F6604">
        <f>IF(AND(B6604=1,C6604&gt;1,E6603&lt;&gt;""),ABS(D6604-E6603),"")</f>
        <v/>
      </c>
    </row>
    <row r="6605">
      <c r="A6605" t="n">
        <v>6605</v>
      </c>
      <c r="B6605">
        <f>IF(INDEX('Data Entry'!$H$5:$BE$10004,6605-4,'Visual SPC'!$B$3)="",0,IF(AND(OR('Visual SPC'!$C$4="",'Data Entry'!$C6605&gt;='Visual SPC'!$C$4),OR('Visual SPC'!$E$4="",'Data Entry'!$C6605&lt;='Visual SPC'!$E$4),OR('Visual SPC'!$G$4="",'Data Entry'!$D6605='Visual SPC'!$G$4),OR('Visual SPC'!$I$4="",'Data Entry'!$E6605='Visual SPC'!$I$4),OR('Visual SPC'!$K$4="",'Data Entry'!$F6605='Visual SPC'!$K$4)),1,0))</f>
        <v/>
      </c>
      <c r="C6605">
        <f>C6604+B6605</f>
        <v/>
      </c>
      <c r="D6605">
        <f>IF(B6605=1,INDEX('Data Entry'!$H$5:$BE$10004,6605-4,'Visual SPC'!$B$3),"")</f>
        <v/>
      </c>
      <c r="E6605">
        <f>IF(B6605=1,D6605,E6604)</f>
        <v/>
      </c>
      <c r="F6605">
        <f>IF(AND(B6605=1,C6605&gt;1,E6604&lt;&gt;""),ABS(D6605-E6604),"")</f>
        <v/>
      </c>
    </row>
    <row r="6606">
      <c r="A6606" t="n">
        <v>6606</v>
      </c>
      <c r="B6606">
        <f>IF(INDEX('Data Entry'!$H$5:$BE$10004,6606-4,'Visual SPC'!$B$3)="",0,IF(AND(OR('Visual SPC'!$C$4="",'Data Entry'!$C6606&gt;='Visual SPC'!$C$4),OR('Visual SPC'!$E$4="",'Data Entry'!$C6606&lt;='Visual SPC'!$E$4),OR('Visual SPC'!$G$4="",'Data Entry'!$D6606='Visual SPC'!$G$4),OR('Visual SPC'!$I$4="",'Data Entry'!$E6606='Visual SPC'!$I$4),OR('Visual SPC'!$K$4="",'Data Entry'!$F6606='Visual SPC'!$K$4)),1,0))</f>
        <v/>
      </c>
      <c r="C6606">
        <f>C6605+B6606</f>
        <v/>
      </c>
      <c r="D6606">
        <f>IF(B6606=1,INDEX('Data Entry'!$H$5:$BE$10004,6606-4,'Visual SPC'!$B$3),"")</f>
        <v/>
      </c>
      <c r="E6606">
        <f>IF(B6606=1,D6606,E6605)</f>
        <v/>
      </c>
      <c r="F6606">
        <f>IF(AND(B6606=1,C6606&gt;1,E6605&lt;&gt;""),ABS(D6606-E6605),"")</f>
        <v/>
      </c>
    </row>
    <row r="6607">
      <c r="A6607" t="n">
        <v>6607</v>
      </c>
      <c r="B6607">
        <f>IF(INDEX('Data Entry'!$H$5:$BE$10004,6607-4,'Visual SPC'!$B$3)="",0,IF(AND(OR('Visual SPC'!$C$4="",'Data Entry'!$C6607&gt;='Visual SPC'!$C$4),OR('Visual SPC'!$E$4="",'Data Entry'!$C6607&lt;='Visual SPC'!$E$4),OR('Visual SPC'!$G$4="",'Data Entry'!$D6607='Visual SPC'!$G$4),OR('Visual SPC'!$I$4="",'Data Entry'!$E6607='Visual SPC'!$I$4),OR('Visual SPC'!$K$4="",'Data Entry'!$F6607='Visual SPC'!$K$4)),1,0))</f>
        <v/>
      </c>
      <c r="C6607">
        <f>C6606+B6607</f>
        <v/>
      </c>
      <c r="D6607">
        <f>IF(B6607=1,INDEX('Data Entry'!$H$5:$BE$10004,6607-4,'Visual SPC'!$B$3),"")</f>
        <v/>
      </c>
      <c r="E6607">
        <f>IF(B6607=1,D6607,E6606)</f>
        <v/>
      </c>
      <c r="F6607">
        <f>IF(AND(B6607=1,C6607&gt;1,E6606&lt;&gt;""),ABS(D6607-E6606),"")</f>
        <v/>
      </c>
    </row>
    <row r="6608">
      <c r="A6608" t="n">
        <v>6608</v>
      </c>
      <c r="B6608">
        <f>IF(INDEX('Data Entry'!$H$5:$BE$10004,6608-4,'Visual SPC'!$B$3)="",0,IF(AND(OR('Visual SPC'!$C$4="",'Data Entry'!$C6608&gt;='Visual SPC'!$C$4),OR('Visual SPC'!$E$4="",'Data Entry'!$C6608&lt;='Visual SPC'!$E$4),OR('Visual SPC'!$G$4="",'Data Entry'!$D6608='Visual SPC'!$G$4),OR('Visual SPC'!$I$4="",'Data Entry'!$E6608='Visual SPC'!$I$4),OR('Visual SPC'!$K$4="",'Data Entry'!$F6608='Visual SPC'!$K$4)),1,0))</f>
        <v/>
      </c>
      <c r="C6608">
        <f>C6607+B6608</f>
        <v/>
      </c>
      <c r="D6608">
        <f>IF(B6608=1,INDEX('Data Entry'!$H$5:$BE$10004,6608-4,'Visual SPC'!$B$3),"")</f>
        <v/>
      </c>
      <c r="E6608">
        <f>IF(B6608=1,D6608,E6607)</f>
        <v/>
      </c>
      <c r="F6608">
        <f>IF(AND(B6608=1,C6608&gt;1,E6607&lt;&gt;""),ABS(D6608-E6607),"")</f>
        <v/>
      </c>
    </row>
    <row r="6609">
      <c r="A6609" t="n">
        <v>6609</v>
      </c>
      <c r="B6609">
        <f>IF(INDEX('Data Entry'!$H$5:$BE$10004,6609-4,'Visual SPC'!$B$3)="",0,IF(AND(OR('Visual SPC'!$C$4="",'Data Entry'!$C6609&gt;='Visual SPC'!$C$4),OR('Visual SPC'!$E$4="",'Data Entry'!$C6609&lt;='Visual SPC'!$E$4),OR('Visual SPC'!$G$4="",'Data Entry'!$D6609='Visual SPC'!$G$4),OR('Visual SPC'!$I$4="",'Data Entry'!$E6609='Visual SPC'!$I$4),OR('Visual SPC'!$K$4="",'Data Entry'!$F6609='Visual SPC'!$K$4)),1,0))</f>
        <v/>
      </c>
      <c r="C6609">
        <f>C6608+B6609</f>
        <v/>
      </c>
      <c r="D6609">
        <f>IF(B6609=1,INDEX('Data Entry'!$H$5:$BE$10004,6609-4,'Visual SPC'!$B$3),"")</f>
        <v/>
      </c>
      <c r="E6609">
        <f>IF(B6609=1,D6609,E6608)</f>
        <v/>
      </c>
      <c r="F6609">
        <f>IF(AND(B6609=1,C6609&gt;1,E6608&lt;&gt;""),ABS(D6609-E6608),"")</f>
        <v/>
      </c>
    </row>
    <row r="6610">
      <c r="A6610" t="n">
        <v>6610</v>
      </c>
      <c r="B6610">
        <f>IF(INDEX('Data Entry'!$H$5:$BE$10004,6610-4,'Visual SPC'!$B$3)="",0,IF(AND(OR('Visual SPC'!$C$4="",'Data Entry'!$C6610&gt;='Visual SPC'!$C$4),OR('Visual SPC'!$E$4="",'Data Entry'!$C6610&lt;='Visual SPC'!$E$4),OR('Visual SPC'!$G$4="",'Data Entry'!$D6610='Visual SPC'!$G$4),OR('Visual SPC'!$I$4="",'Data Entry'!$E6610='Visual SPC'!$I$4),OR('Visual SPC'!$K$4="",'Data Entry'!$F6610='Visual SPC'!$K$4)),1,0))</f>
        <v/>
      </c>
      <c r="C6610">
        <f>C6609+B6610</f>
        <v/>
      </c>
      <c r="D6610">
        <f>IF(B6610=1,INDEX('Data Entry'!$H$5:$BE$10004,6610-4,'Visual SPC'!$B$3),"")</f>
        <v/>
      </c>
      <c r="E6610">
        <f>IF(B6610=1,D6610,E6609)</f>
        <v/>
      </c>
      <c r="F6610">
        <f>IF(AND(B6610=1,C6610&gt;1,E6609&lt;&gt;""),ABS(D6610-E6609),"")</f>
        <v/>
      </c>
    </row>
    <row r="6611">
      <c r="A6611" t="n">
        <v>6611</v>
      </c>
      <c r="B6611">
        <f>IF(INDEX('Data Entry'!$H$5:$BE$10004,6611-4,'Visual SPC'!$B$3)="",0,IF(AND(OR('Visual SPC'!$C$4="",'Data Entry'!$C6611&gt;='Visual SPC'!$C$4),OR('Visual SPC'!$E$4="",'Data Entry'!$C6611&lt;='Visual SPC'!$E$4),OR('Visual SPC'!$G$4="",'Data Entry'!$D6611='Visual SPC'!$G$4),OR('Visual SPC'!$I$4="",'Data Entry'!$E6611='Visual SPC'!$I$4),OR('Visual SPC'!$K$4="",'Data Entry'!$F6611='Visual SPC'!$K$4)),1,0))</f>
        <v/>
      </c>
      <c r="C6611">
        <f>C6610+B6611</f>
        <v/>
      </c>
      <c r="D6611">
        <f>IF(B6611=1,INDEX('Data Entry'!$H$5:$BE$10004,6611-4,'Visual SPC'!$B$3),"")</f>
        <v/>
      </c>
      <c r="E6611">
        <f>IF(B6611=1,D6611,E6610)</f>
        <v/>
      </c>
      <c r="F6611">
        <f>IF(AND(B6611=1,C6611&gt;1,E6610&lt;&gt;""),ABS(D6611-E6610),"")</f>
        <v/>
      </c>
    </row>
    <row r="6612">
      <c r="A6612" t="n">
        <v>6612</v>
      </c>
      <c r="B6612">
        <f>IF(INDEX('Data Entry'!$H$5:$BE$10004,6612-4,'Visual SPC'!$B$3)="",0,IF(AND(OR('Visual SPC'!$C$4="",'Data Entry'!$C6612&gt;='Visual SPC'!$C$4),OR('Visual SPC'!$E$4="",'Data Entry'!$C6612&lt;='Visual SPC'!$E$4),OR('Visual SPC'!$G$4="",'Data Entry'!$D6612='Visual SPC'!$G$4),OR('Visual SPC'!$I$4="",'Data Entry'!$E6612='Visual SPC'!$I$4),OR('Visual SPC'!$K$4="",'Data Entry'!$F6612='Visual SPC'!$K$4)),1,0))</f>
        <v/>
      </c>
      <c r="C6612">
        <f>C6611+B6612</f>
        <v/>
      </c>
      <c r="D6612">
        <f>IF(B6612=1,INDEX('Data Entry'!$H$5:$BE$10004,6612-4,'Visual SPC'!$B$3),"")</f>
        <v/>
      </c>
      <c r="E6612">
        <f>IF(B6612=1,D6612,E6611)</f>
        <v/>
      </c>
      <c r="F6612">
        <f>IF(AND(B6612=1,C6612&gt;1,E6611&lt;&gt;""),ABS(D6612-E6611),"")</f>
        <v/>
      </c>
    </row>
    <row r="6613">
      <c r="A6613" t="n">
        <v>6613</v>
      </c>
      <c r="B6613">
        <f>IF(INDEX('Data Entry'!$H$5:$BE$10004,6613-4,'Visual SPC'!$B$3)="",0,IF(AND(OR('Visual SPC'!$C$4="",'Data Entry'!$C6613&gt;='Visual SPC'!$C$4),OR('Visual SPC'!$E$4="",'Data Entry'!$C6613&lt;='Visual SPC'!$E$4),OR('Visual SPC'!$G$4="",'Data Entry'!$D6613='Visual SPC'!$G$4),OR('Visual SPC'!$I$4="",'Data Entry'!$E6613='Visual SPC'!$I$4),OR('Visual SPC'!$K$4="",'Data Entry'!$F6613='Visual SPC'!$K$4)),1,0))</f>
        <v/>
      </c>
      <c r="C6613">
        <f>C6612+B6613</f>
        <v/>
      </c>
      <c r="D6613">
        <f>IF(B6613=1,INDEX('Data Entry'!$H$5:$BE$10004,6613-4,'Visual SPC'!$B$3),"")</f>
        <v/>
      </c>
      <c r="E6613">
        <f>IF(B6613=1,D6613,E6612)</f>
        <v/>
      </c>
      <c r="F6613">
        <f>IF(AND(B6613=1,C6613&gt;1,E6612&lt;&gt;""),ABS(D6613-E6612),"")</f>
        <v/>
      </c>
    </row>
    <row r="6614">
      <c r="A6614" t="n">
        <v>6614</v>
      </c>
      <c r="B6614">
        <f>IF(INDEX('Data Entry'!$H$5:$BE$10004,6614-4,'Visual SPC'!$B$3)="",0,IF(AND(OR('Visual SPC'!$C$4="",'Data Entry'!$C6614&gt;='Visual SPC'!$C$4),OR('Visual SPC'!$E$4="",'Data Entry'!$C6614&lt;='Visual SPC'!$E$4),OR('Visual SPC'!$G$4="",'Data Entry'!$D6614='Visual SPC'!$G$4),OR('Visual SPC'!$I$4="",'Data Entry'!$E6614='Visual SPC'!$I$4),OR('Visual SPC'!$K$4="",'Data Entry'!$F6614='Visual SPC'!$K$4)),1,0))</f>
        <v/>
      </c>
      <c r="C6614">
        <f>C6613+B6614</f>
        <v/>
      </c>
      <c r="D6614">
        <f>IF(B6614=1,INDEX('Data Entry'!$H$5:$BE$10004,6614-4,'Visual SPC'!$B$3),"")</f>
        <v/>
      </c>
      <c r="E6614">
        <f>IF(B6614=1,D6614,E6613)</f>
        <v/>
      </c>
      <c r="F6614">
        <f>IF(AND(B6614=1,C6614&gt;1,E6613&lt;&gt;""),ABS(D6614-E6613),"")</f>
        <v/>
      </c>
    </row>
    <row r="6615">
      <c r="A6615" t="n">
        <v>6615</v>
      </c>
      <c r="B6615">
        <f>IF(INDEX('Data Entry'!$H$5:$BE$10004,6615-4,'Visual SPC'!$B$3)="",0,IF(AND(OR('Visual SPC'!$C$4="",'Data Entry'!$C6615&gt;='Visual SPC'!$C$4),OR('Visual SPC'!$E$4="",'Data Entry'!$C6615&lt;='Visual SPC'!$E$4),OR('Visual SPC'!$G$4="",'Data Entry'!$D6615='Visual SPC'!$G$4),OR('Visual SPC'!$I$4="",'Data Entry'!$E6615='Visual SPC'!$I$4),OR('Visual SPC'!$K$4="",'Data Entry'!$F6615='Visual SPC'!$K$4)),1,0))</f>
        <v/>
      </c>
      <c r="C6615">
        <f>C6614+B6615</f>
        <v/>
      </c>
      <c r="D6615">
        <f>IF(B6615=1,INDEX('Data Entry'!$H$5:$BE$10004,6615-4,'Visual SPC'!$B$3),"")</f>
        <v/>
      </c>
      <c r="E6615">
        <f>IF(B6615=1,D6615,E6614)</f>
        <v/>
      </c>
      <c r="F6615">
        <f>IF(AND(B6615=1,C6615&gt;1,E6614&lt;&gt;""),ABS(D6615-E6614),"")</f>
        <v/>
      </c>
    </row>
    <row r="6616">
      <c r="A6616" t="n">
        <v>6616</v>
      </c>
      <c r="B6616">
        <f>IF(INDEX('Data Entry'!$H$5:$BE$10004,6616-4,'Visual SPC'!$B$3)="",0,IF(AND(OR('Visual SPC'!$C$4="",'Data Entry'!$C6616&gt;='Visual SPC'!$C$4),OR('Visual SPC'!$E$4="",'Data Entry'!$C6616&lt;='Visual SPC'!$E$4),OR('Visual SPC'!$G$4="",'Data Entry'!$D6616='Visual SPC'!$G$4),OR('Visual SPC'!$I$4="",'Data Entry'!$E6616='Visual SPC'!$I$4),OR('Visual SPC'!$K$4="",'Data Entry'!$F6616='Visual SPC'!$K$4)),1,0))</f>
        <v/>
      </c>
      <c r="C6616">
        <f>C6615+B6616</f>
        <v/>
      </c>
      <c r="D6616">
        <f>IF(B6616=1,INDEX('Data Entry'!$H$5:$BE$10004,6616-4,'Visual SPC'!$B$3),"")</f>
        <v/>
      </c>
      <c r="E6616">
        <f>IF(B6616=1,D6616,E6615)</f>
        <v/>
      </c>
      <c r="F6616">
        <f>IF(AND(B6616=1,C6616&gt;1,E6615&lt;&gt;""),ABS(D6616-E6615),"")</f>
        <v/>
      </c>
    </row>
    <row r="6617">
      <c r="A6617" t="n">
        <v>6617</v>
      </c>
      <c r="B6617">
        <f>IF(INDEX('Data Entry'!$H$5:$BE$10004,6617-4,'Visual SPC'!$B$3)="",0,IF(AND(OR('Visual SPC'!$C$4="",'Data Entry'!$C6617&gt;='Visual SPC'!$C$4),OR('Visual SPC'!$E$4="",'Data Entry'!$C6617&lt;='Visual SPC'!$E$4),OR('Visual SPC'!$G$4="",'Data Entry'!$D6617='Visual SPC'!$G$4),OR('Visual SPC'!$I$4="",'Data Entry'!$E6617='Visual SPC'!$I$4),OR('Visual SPC'!$K$4="",'Data Entry'!$F6617='Visual SPC'!$K$4)),1,0))</f>
        <v/>
      </c>
      <c r="C6617">
        <f>C6616+B6617</f>
        <v/>
      </c>
      <c r="D6617">
        <f>IF(B6617=1,INDEX('Data Entry'!$H$5:$BE$10004,6617-4,'Visual SPC'!$B$3),"")</f>
        <v/>
      </c>
      <c r="E6617">
        <f>IF(B6617=1,D6617,E6616)</f>
        <v/>
      </c>
      <c r="F6617">
        <f>IF(AND(B6617=1,C6617&gt;1,E6616&lt;&gt;""),ABS(D6617-E6616),"")</f>
        <v/>
      </c>
    </row>
    <row r="6618">
      <c r="A6618" t="n">
        <v>6618</v>
      </c>
      <c r="B6618">
        <f>IF(INDEX('Data Entry'!$H$5:$BE$10004,6618-4,'Visual SPC'!$B$3)="",0,IF(AND(OR('Visual SPC'!$C$4="",'Data Entry'!$C6618&gt;='Visual SPC'!$C$4),OR('Visual SPC'!$E$4="",'Data Entry'!$C6618&lt;='Visual SPC'!$E$4),OR('Visual SPC'!$G$4="",'Data Entry'!$D6618='Visual SPC'!$G$4),OR('Visual SPC'!$I$4="",'Data Entry'!$E6618='Visual SPC'!$I$4),OR('Visual SPC'!$K$4="",'Data Entry'!$F6618='Visual SPC'!$K$4)),1,0))</f>
        <v/>
      </c>
      <c r="C6618">
        <f>C6617+B6618</f>
        <v/>
      </c>
      <c r="D6618">
        <f>IF(B6618=1,INDEX('Data Entry'!$H$5:$BE$10004,6618-4,'Visual SPC'!$B$3),"")</f>
        <v/>
      </c>
      <c r="E6618">
        <f>IF(B6618=1,D6618,E6617)</f>
        <v/>
      </c>
      <c r="F6618">
        <f>IF(AND(B6618=1,C6618&gt;1,E6617&lt;&gt;""),ABS(D6618-E6617),"")</f>
        <v/>
      </c>
    </row>
    <row r="6619">
      <c r="A6619" t="n">
        <v>6619</v>
      </c>
      <c r="B6619">
        <f>IF(INDEX('Data Entry'!$H$5:$BE$10004,6619-4,'Visual SPC'!$B$3)="",0,IF(AND(OR('Visual SPC'!$C$4="",'Data Entry'!$C6619&gt;='Visual SPC'!$C$4),OR('Visual SPC'!$E$4="",'Data Entry'!$C6619&lt;='Visual SPC'!$E$4),OR('Visual SPC'!$G$4="",'Data Entry'!$D6619='Visual SPC'!$G$4),OR('Visual SPC'!$I$4="",'Data Entry'!$E6619='Visual SPC'!$I$4),OR('Visual SPC'!$K$4="",'Data Entry'!$F6619='Visual SPC'!$K$4)),1,0))</f>
        <v/>
      </c>
      <c r="C6619">
        <f>C6618+B6619</f>
        <v/>
      </c>
      <c r="D6619">
        <f>IF(B6619=1,INDEX('Data Entry'!$H$5:$BE$10004,6619-4,'Visual SPC'!$B$3),"")</f>
        <v/>
      </c>
      <c r="E6619">
        <f>IF(B6619=1,D6619,E6618)</f>
        <v/>
      </c>
      <c r="F6619">
        <f>IF(AND(B6619=1,C6619&gt;1,E6618&lt;&gt;""),ABS(D6619-E6618),"")</f>
        <v/>
      </c>
    </row>
    <row r="6620">
      <c r="A6620" t="n">
        <v>6620</v>
      </c>
      <c r="B6620">
        <f>IF(INDEX('Data Entry'!$H$5:$BE$10004,6620-4,'Visual SPC'!$B$3)="",0,IF(AND(OR('Visual SPC'!$C$4="",'Data Entry'!$C6620&gt;='Visual SPC'!$C$4),OR('Visual SPC'!$E$4="",'Data Entry'!$C6620&lt;='Visual SPC'!$E$4),OR('Visual SPC'!$G$4="",'Data Entry'!$D6620='Visual SPC'!$G$4),OR('Visual SPC'!$I$4="",'Data Entry'!$E6620='Visual SPC'!$I$4),OR('Visual SPC'!$K$4="",'Data Entry'!$F6620='Visual SPC'!$K$4)),1,0))</f>
        <v/>
      </c>
      <c r="C6620">
        <f>C6619+B6620</f>
        <v/>
      </c>
      <c r="D6620">
        <f>IF(B6620=1,INDEX('Data Entry'!$H$5:$BE$10004,6620-4,'Visual SPC'!$B$3),"")</f>
        <v/>
      </c>
      <c r="E6620">
        <f>IF(B6620=1,D6620,E6619)</f>
        <v/>
      </c>
      <c r="F6620">
        <f>IF(AND(B6620=1,C6620&gt;1,E6619&lt;&gt;""),ABS(D6620-E6619),"")</f>
        <v/>
      </c>
    </row>
    <row r="6621">
      <c r="A6621" t="n">
        <v>6621</v>
      </c>
      <c r="B6621">
        <f>IF(INDEX('Data Entry'!$H$5:$BE$10004,6621-4,'Visual SPC'!$B$3)="",0,IF(AND(OR('Visual SPC'!$C$4="",'Data Entry'!$C6621&gt;='Visual SPC'!$C$4),OR('Visual SPC'!$E$4="",'Data Entry'!$C6621&lt;='Visual SPC'!$E$4),OR('Visual SPC'!$G$4="",'Data Entry'!$D6621='Visual SPC'!$G$4),OR('Visual SPC'!$I$4="",'Data Entry'!$E6621='Visual SPC'!$I$4),OR('Visual SPC'!$K$4="",'Data Entry'!$F6621='Visual SPC'!$K$4)),1,0))</f>
        <v/>
      </c>
      <c r="C6621">
        <f>C6620+B6621</f>
        <v/>
      </c>
      <c r="D6621">
        <f>IF(B6621=1,INDEX('Data Entry'!$H$5:$BE$10004,6621-4,'Visual SPC'!$B$3),"")</f>
        <v/>
      </c>
      <c r="E6621">
        <f>IF(B6621=1,D6621,E6620)</f>
        <v/>
      </c>
      <c r="F6621">
        <f>IF(AND(B6621=1,C6621&gt;1,E6620&lt;&gt;""),ABS(D6621-E6620),"")</f>
        <v/>
      </c>
    </row>
    <row r="6622">
      <c r="A6622" t="n">
        <v>6622</v>
      </c>
      <c r="B6622">
        <f>IF(INDEX('Data Entry'!$H$5:$BE$10004,6622-4,'Visual SPC'!$B$3)="",0,IF(AND(OR('Visual SPC'!$C$4="",'Data Entry'!$C6622&gt;='Visual SPC'!$C$4),OR('Visual SPC'!$E$4="",'Data Entry'!$C6622&lt;='Visual SPC'!$E$4),OR('Visual SPC'!$G$4="",'Data Entry'!$D6622='Visual SPC'!$G$4),OR('Visual SPC'!$I$4="",'Data Entry'!$E6622='Visual SPC'!$I$4),OR('Visual SPC'!$K$4="",'Data Entry'!$F6622='Visual SPC'!$K$4)),1,0))</f>
        <v/>
      </c>
      <c r="C6622">
        <f>C6621+B6622</f>
        <v/>
      </c>
      <c r="D6622">
        <f>IF(B6622=1,INDEX('Data Entry'!$H$5:$BE$10004,6622-4,'Visual SPC'!$B$3),"")</f>
        <v/>
      </c>
      <c r="E6622">
        <f>IF(B6622=1,D6622,E6621)</f>
        <v/>
      </c>
      <c r="F6622">
        <f>IF(AND(B6622=1,C6622&gt;1,E6621&lt;&gt;""),ABS(D6622-E6621),"")</f>
        <v/>
      </c>
    </row>
    <row r="6623">
      <c r="A6623" t="n">
        <v>6623</v>
      </c>
      <c r="B6623">
        <f>IF(INDEX('Data Entry'!$H$5:$BE$10004,6623-4,'Visual SPC'!$B$3)="",0,IF(AND(OR('Visual SPC'!$C$4="",'Data Entry'!$C6623&gt;='Visual SPC'!$C$4),OR('Visual SPC'!$E$4="",'Data Entry'!$C6623&lt;='Visual SPC'!$E$4),OR('Visual SPC'!$G$4="",'Data Entry'!$D6623='Visual SPC'!$G$4),OR('Visual SPC'!$I$4="",'Data Entry'!$E6623='Visual SPC'!$I$4),OR('Visual SPC'!$K$4="",'Data Entry'!$F6623='Visual SPC'!$K$4)),1,0))</f>
        <v/>
      </c>
      <c r="C6623">
        <f>C6622+B6623</f>
        <v/>
      </c>
      <c r="D6623">
        <f>IF(B6623=1,INDEX('Data Entry'!$H$5:$BE$10004,6623-4,'Visual SPC'!$B$3),"")</f>
        <v/>
      </c>
      <c r="E6623">
        <f>IF(B6623=1,D6623,E6622)</f>
        <v/>
      </c>
      <c r="F6623">
        <f>IF(AND(B6623=1,C6623&gt;1,E6622&lt;&gt;""),ABS(D6623-E6622),"")</f>
        <v/>
      </c>
    </row>
    <row r="6624">
      <c r="A6624" t="n">
        <v>6624</v>
      </c>
      <c r="B6624">
        <f>IF(INDEX('Data Entry'!$H$5:$BE$10004,6624-4,'Visual SPC'!$B$3)="",0,IF(AND(OR('Visual SPC'!$C$4="",'Data Entry'!$C6624&gt;='Visual SPC'!$C$4),OR('Visual SPC'!$E$4="",'Data Entry'!$C6624&lt;='Visual SPC'!$E$4),OR('Visual SPC'!$G$4="",'Data Entry'!$D6624='Visual SPC'!$G$4),OR('Visual SPC'!$I$4="",'Data Entry'!$E6624='Visual SPC'!$I$4),OR('Visual SPC'!$K$4="",'Data Entry'!$F6624='Visual SPC'!$K$4)),1,0))</f>
        <v/>
      </c>
      <c r="C6624">
        <f>C6623+B6624</f>
        <v/>
      </c>
      <c r="D6624">
        <f>IF(B6624=1,INDEX('Data Entry'!$H$5:$BE$10004,6624-4,'Visual SPC'!$B$3),"")</f>
        <v/>
      </c>
      <c r="E6624">
        <f>IF(B6624=1,D6624,E6623)</f>
        <v/>
      </c>
      <c r="F6624">
        <f>IF(AND(B6624=1,C6624&gt;1,E6623&lt;&gt;""),ABS(D6624-E6623),"")</f>
        <v/>
      </c>
    </row>
    <row r="6625">
      <c r="A6625" t="n">
        <v>6625</v>
      </c>
      <c r="B6625">
        <f>IF(INDEX('Data Entry'!$H$5:$BE$10004,6625-4,'Visual SPC'!$B$3)="",0,IF(AND(OR('Visual SPC'!$C$4="",'Data Entry'!$C6625&gt;='Visual SPC'!$C$4),OR('Visual SPC'!$E$4="",'Data Entry'!$C6625&lt;='Visual SPC'!$E$4),OR('Visual SPC'!$G$4="",'Data Entry'!$D6625='Visual SPC'!$G$4),OR('Visual SPC'!$I$4="",'Data Entry'!$E6625='Visual SPC'!$I$4),OR('Visual SPC'!$K$4="",'Data Entry'!$F6625='Visual SPC'!$K$4)),1,0))</f>
        <v/>
      </c>
      <c r="C6625">
        <f>C6624+B6625</f>
        <v/>
      </c>
      <c r="D6625">
        <f>IF(B6625=1,INDEX('Data Entry'!$H$5:$BE$10004,6625-4,'Visual SPC'!$B$3),"")</f>
        <v/>
      </c>
      <c r="E6625">
        <f>IF(B6625=1,D6625,E6624)</f>
        <v/>
      </c>
      <c r="F6625">
        <f>IF(AND(B6625=1,C6625&gt;1,E6624&lt;&gt;""),ABS(D6625-E6624),"")</f>
        <v/>
      </c>
    </row>
    <row r="6626">
      <c r="A6626" t="n">
        <v>6626</v>
      </c>
      <c r="B6626">
        <f>IF(INDEX('Data Entry'!$H$5:$BE$10004,6626-4,'Visual SPC'!$B$3)="",0,IF(AND(OR('Visual SPC'!$C$4="",'Data Entry'!$C6626&gt;='Visual SPC'!$C$4),OR('Visual SPC'!$E$4="",'Data Entry'!$C6626&lt;='Visual SPC'!$E$4),OR('Visual SPC'!$G$4="",'Data Entry'!$D6626='Visual SPC'!$G$4),OR('Visual SPC'!$I$4="",'Data Entry'!$E6626='Visual SPC'!$I$4),OR('Visual SPC'!$K$4="",'Data Entry'!$F6626='Visual SPC'!$K$4)),1,0))</f>
        <v/>
      </c>
      <c r="C6626">
        <f>C6625+B6626</f>
        <v/>
      </c>
      <c r="D6626">
        <f>IF(B6626=1,INDEX('Data Entry'!$H$5:$BE$10004,6626-4,'Visual SPC'!$B$3),"")</f>
        <v/>
      </c>
      <c r="E6626">
        <f>IF(B6626=1,D6626,E6625)</f>
        <v/>
      </c>
      <c r="F6626">
        <f>IF(AND(B6626=1,C6626&gt;1,E6625&lt;&gt;""),ABS(D6626-E6625),"")</f>
        <v/>
      </c>
    </row>
    <row r="6627">
      <c r="A6627" t="n">
        <v>6627</v>
      </c>
      <c r="B6627">
        <f>IF(INDEX('Data Entry'!$H$5:$BE$10004,6627-4,'Visual SPC'!$B$3)="",0,IF(AND(OR('Visual SPC'!$C$4="",'Data Entry'!$C6627&gt;='Visual SPC'!$C$4),OR('Visual SPC'!$E$4="",'Data Entry'!$C6627&lt;='Visual SPC'!$E$4),OR('Visual SPC'!$G$4="",'Data Entry'!$D6627='Visual SPC'!$G$4),OR('Visual SPC'!$I$4="",'Data Entry'!$E6627='Visual SPC'!$I$4),OR('Visual SPC'!$K$4="",'Data Entry'!$F6627='Visual SPC'!$K$4)),1,0))</f>
        <v/>
      </c>
      <c r="C6627">
        <f>C6626+B6627</f>
        <v/>
      </c>
      <c r="D6627">
        <f>IF(B6627=1,INDEX('Data Entry'!$H$5:$BE$10004,6627-4,'Visual SPC'!$B$3),"")</f>
        <v/>
      </c>
      <c r="E6627">
        <f>IF(B6627=1,D6627,E6626)</f>
        <v/>
      </c>
      <c r="F6627">
        <f>IF(AND(B6627=1,C6627&gt;1,E6626&lt;&gt;""),ABS(D6627-E6626),"")</f>
        <v/>
      </c>
    </row>
    <row r="6628">
      <c r="A6628" t="n">
        <v>6628</v>
      </c>
      <c r="B6628">
        <f>IF(INDEX('Data Entry'!$H$5:$BE$10004,6628-4,'Visual SPC'!$B$3)="",0,IF(AND(OR('Visual SPC'!$C$4="",'Data Entry'!$C6628&gt;='Visual SPC'!$C$4),OR('Visual SPC'!$E$4="",'Data Entry'!$C6628&lt;='Visual SPC'!$E$4),OR('Visual SPC'!$G$4="",'Data Entry'!$D6628='Visual SPC'!$G$4),OR('Visual SPC'!$I$4="",'Data Entry'!$E6628='Visual SPC'!$I$4),OR('Visual SPC'!$K$4="",'Data Entry'!$F6628='Visual SPC'!$K$4)),1,0))</f>
        <v/>
      </c>
      <c r="C6628">
        <f>C6627+B6628</f>
        <v/>
      </c>
      <c r="D6628">
        <f>IF(B6628=1,INDEX('Data Entry'!$H$5:$BE$10004,6628-4,'Visual SPC'!$B$3),"")</f>
        <v/>
      </c>
      <c r="E6628">
        <f>IF(B6628=1,D6628,E6627)</f>
        <v/>
      </c>
      <c r="F6628">
        <f>IF(AND(B6628=1,C6628&gt;1,E6627&lt;&gt;""),ABS(D6628-E6627),"")</f>
        <v/>
      </c>
    </row>
    <row r="6629">
      <c r="A6629" t="n">
        <v>6629</v>
      </c>
      <c r="B6629">
        <f>IF(INDEX('Data Entry'!$H$5:$BE$10004,6629-4,'Visual SPC'!$B$3)="",0,IF(AND(OR('Visual SPC'!$C$4="",'Data Entry'!$C6629&gt;='Visual SPC'!$C$4),OR('Visual SPC'!$E$4="",'Data Entry'!$C6629&lt;='Visual SPC'!$E$4),OR('Visual SPC'!$G$4="",'Data Entry'!$D6629='Visual SPC'!$G$4),OR('Visual SPC'!$I$4="",'Data Entry'!$E6629='Visual SPC'!$I$4),OR('Visual SPC'!$K$4="",'Data Entry'!$F6629='Visual SPC'!$K$4)),1,0))</f>
        <v/>
      </c>
      <c r="C6629">
        <f>C6628+B6629</f>
        <v/>
      </c>
      <c r="D6629">
        <f>IF(B6629=1,INDEX('Data Entry'!$H$5:$BE$10004,6629-4,'Visual SPC'!$B$3),"")</f>
        <v/>
      </c>
      <c r="E6629">
        <f>IF(B6629=1,D6629,E6628)</f>
        <v/>
      </c>
      <c r="F6629">
        <f>IF(AND(B6629=1,C6629&gt;1,E6628&lt;&gt;""),ABS(D6629-E6628),"")</f>
        <v/>
      </c>
    </row>
    <row r="6630">
      <c r="A6630" t="n">
        <v>6630</v>
      </c>
      <c r="B6630">
        <f>IF(INDEX('Data Entry'!$H$5:$BE$10004,6630-4,'Visual SPC'!$B$3)="",0,IF(AND(OR('Visual SPC'!$C$4="",'Data Entry'!$C6630&gt;='Visual SPC'!$C$4),OR('Visual SPC'!$E$4="",'Data Entry'!$C6630&lt;='Visual SPC'!$E$4),OR('Visual SPC'!$G$4="",'Data Entry'!$D6630='Visual SPC'!$G$4),OR('Visual SPC'!$I$4="",'Data Entry'!$E6630='Visual SPC'!$I$4),OR('Visual SPC'!$K$4="",'Data Entry'!$F6630='Visual SPC'!$K$4)),1,0))</f>
        <v/>
      </c>
      <c r="C6630">
        <f>C6629+B6630</f>
        <v/>
      </c>
      <c r="D6630">
        <f>IF(B6630=1,INDEX('Data Entry'!$H$5:$BE$10004,6630-4,'Visual SPC'!$B$3),"")</f>
        <v/>
      </c>
      <c r="E6630">
        <f>IF(B6630=1,D6630,E6629)</f>
        <v/>
      </c>
      <c r="F6630">
        <f>IF(AND(B6630=1,C6630&gt;1,E6629&lt;&gt;""),ABS(D6630-E6629),"")</f>
        <v/>
      </c>
    </row>
    <row r="6631">
      <c r="A6631" t="n">
        <v>6631</v>
      </c>
      <c r="B6631">
        <f>IF(INDEX('Data Entry'!$H$5:$BE$10004,6631-4,'Visual SPC'!$B$3)="",0,IF(AND(OR('Visual SPC'!$C$4="",'Data Entry'!$C6631&gt;='Visual SPC'!$C$4),OR('Visual SPC'!$E$4="",'Data Entry'!$C6631&lt;='Visual SPC'!$E$4),OR('Visual SPC'!$G$4="",'Data Entry'!$D6631='Visual SPC'!$G$4),OR('Visual SPC'!$I$4="",'Data Entry'!$E6631='Visual SPC'!$I$4),OR('Visual SPC'!$K$4="",'Data Entry'!$F6631='Visual SPC'!$K$4)),1,0))</f>
        <v/>
      </c>
      <c r="C6631">
        <f>C6630+B6631</f>
        <v/>
      </c>
      <c r="D6631">
        <f>IF(B6631=1,INDEX('Data Entry'!$H$5:$BE$10004,6631-4,'Visual SPC'!$B$3),"")</f>
        <v/>
      </c>
      <c r="E6631">
        <f>IF(B6631=1,D6631,E6630)</f>
        <v/>
      </c>
      <c r="F6631">
        <f>IF(AND(B6631=1,C6631&gt;1,E6630&lt;&gt;""),ABS(D6631-E6630),"")</f>
        <v/>
      </c>
    </row>
    <row r="6632">
      <c r="A6632" t="n">
        <v>6632</v>
      </c>
      <c r="B6632">
        <f>IF(INDEX('Data Entry'!$H$5:$BE$10004,6632-4,'Visual SPC'!$B$3)="",0,IF(AND(OR('Visual SPC'!$C$4="",'Data Entry'!$C6632&gt;='Visual SPC'!$C$4),OR('Visual SPC'!$E$4="",'Data Entry'!$C6632&lt;='Visual SPC'!$E$4),OR('Visual SPC'!$G$4="",'Data Entry'!$D6632='Visual SPC'!$G$4),OR('Visual SPC'!$I$4="",'Data Entry'!$E6632='Visual SPC'!$I$4),OR('Visual SPC'!$K$4="",'Data Entry'!$F6632='Visual SPC'!$K$4)),1,0))</f>
        <v/>
      </c>
      <c r="C6632">
        <f>C6631+B6632</f>
        <v/>
      </c>
      <c r="D6632">
        <f>IF(B6632=1,INDEX('Data Entry'!$H$5:$BE$10004,6632-4,'Visual SPC'!$B$3),"")</f>
        <v/>
      </c>
      <c r="E6632">
        <f>IF(B6632=1,D6632,E6631)</f>
        <v/>
      </c>
      <c r="F6632">
        <f>IF(AND(B6632=1,C6632&gt;1,E6631&lt;&gt;""),ABS(D6632-E6631),"")</f>
        <v/>
      </c>
    </row>
    <row r="6633">
      <c r="A6633" t="n">
        <v>6633</v>
      </c>
      <c r="B6633">
        <f>IF(INDEX('Data Entry'!$H$5:$BE$10004,6633-4,'Visual SPC'!$B$3)="",0,IF(AND(OR('Visual SPC'!$C$4="",'Data Entry'!$C6633&gt;='Visual SPC'!$C$4),OR('Visual SPC'!$E$4="",'Data Entry'!$C6633&lt;='Visual SPC'!$E$4),OR('Visual SPC'!$G$4="",'Data Entry'!$D6633='Visual SPC'!$G$4),OR('Visual SPC'!$I$4="",'Data Entry'!$E6633='Visual SPC'!$I$4),OR('Visual SPC'!$K$4="",'Data Entry'!$F6633='Visual SPC'!$K$4)),1,0))</f>
        <v/>
      </c>
      <c r="C6633">
        <f>C6632+B6633</f>
        <v/>
      </c>
      <c r="D6633">
        <f>IF(B6633=1,INDEX('Data Entry'!$H$5:$BE$10004,6633-4,'Visual SPC'!$B$3),"")</f>
        <v/>
      </c>
      <c r="E6633">
        <f>IF(B6633=1,D6633,E6632)</f>
        <v/>
      </c>
      <c r="F6633">
        <f>IF(AND(B6633=1,C6633&gt;1,E6632&lt;&gt;""),ABS(D6633-E6632),"")</f>
        <v/>
      </c>
    </row>
    <row r="6634">
      <c r="A6634" t="n">
        <v>6634</v>
      </c>
      <c r="B6634">
        <f>IF(INDEX('Data Entry'!$H$5:$BE$10004,6634-4,'Visual SPC'!$B$3)="",0,IF(AND(OR('Visual SPC'!$C$4="",'Data Entry'!$C6634&gt;='Visual SPC'!$C$4),OR('Visual SPC'!$E$4="",'Data Entry'!$C6634&lt;='Visual SPC'!$E$4),OR('Visual SPC'!$G$4="",'Data Entry'!$D6634='Visual SPC'!$G$4),OR('Visual SPC'!$I$4="",'Data Entry'!$E6634='Visual SPC'!$I$4),OR('Visual SPC'!$K$4="",'Data Entry'!$F6634='Visual SPC'!$K$4)),1,0))</f>
        <v/>
      </c>
      <c r="C6634">
        <f>C6633+B6634</f>
        <v/>
      </c>
      <c r="D6634">
        <f>IF(B6634=1,INDEX('Data Entry'!$H$5:$BE$10004,6634-4,'Visual SPC'!$B$3),"")</f>
        <v/>
      </c>
      <c r="E6634">
        <f>IF(B6634=1,D6634,E6633)</f>
        <v/>
      </c>
      <c r="F6634">
        <f>IF(AND(B6634=1,C6634&gt;1,E6633&lt;&gt;""),ABS(D6634-E6633),"")</f>
        <v/>
      </c>
    </row>
    <row r="6635">
      <c r="A6635" t="n">
        <v>6635</v>
      </c>
      <c r="B6635">
        <f>IF(INDEX('Data Entry'!$H$5:$BE$10004,6635-4,'Visual SPC'!$B$3)="",0,IF(AND(OR('Visual SPC'!$C$4="",'Data Entry'!$C6635&gt;='Visual SPC'!$C$4),OR('Visual SPC'!$E$4="",'Data Entry'!$C6635&lt;='Visual SPC'!$E$4),OR('Visual SPC'!$G$4="",'Data Entry'!$D6635='Visual SPC'!$G$4),OR('Visual SPC'!$I$4="",'Data Entry'!$E6635='Visual SPC'!$I$4),OR('Visual SPC'!$K$4="",'Data Entry'!$F6635='Visual SPC'!$K$4)),1,0))</f>
        <v/>
      </c>
      <c r="C6635">
        <f>C6634+B6635</f>
        <v/>
      </c>
      <c r="D6635">
        <f>IF(B6635=1,INDEX('Data Entry'!$H$5:$BE$10004,6635-4,'Visual SPC'!$B$3),"")</f>
        <v/>
      </c>
      <c r="E6635">
        <f>IF(B6635=1,D6635,E6634)</f>
        <v/>
      </c>
      <c r="F6635">
        <f>IF(AND(B6635=1,C6635&gt;1,E6634&lt;&gt;""),ABS(D6635-E6634),"")</f>
        <v/>
      </c>
    </row>
    <row r="6636">
      <c r="A6636" t="n">
        <v>6636</v>
      </c>
      <c r="B6636">
        <f>IF(INDEX('Data Entry'!$H$5:$BE$10004,6636-4,'Visual SPC'!$B$3)="",0,IF(AND(OR('Visual SPC'!$C$4="",'Data Entry'!$C6636&gt;='Visual SPC'!$C$4),OR('Visual SPC'!$E$4="",'Data Entry'!$C6636&lt;='Visual SPC'!$E$4),OR('Visual SPC'!$G$4="",'Data Entry'!$D6636='Visual SPC'!$G$4),OR('Visual SPC'!$I$4="",'Data Entry'!$E6636='Visual SPC'!$I$4),OR('Visual SPC'!$K$4="",'Data Entry'!$F6636='Visual SPC'!$K$4)),1,0))</f>
        <v/>
      </c>
      <c r="C6636">
        <f>C6635+B6636</f>
        <v/>
      </c>
      <c r="D6636">
        <f>IF(B6636=1,INDEX('Data Entry'!$H$5:$BE$10004,6636-4,'Visual SPC'!$B$3),"")</f>
        <v/>
      </c>
      <c r="E6636">
        <f>IF(B6636=1,D6636,E6635)</f>
        <v/>
      </c>
      <c r="F6636">
        <f>IF(AND(B6636=1,C6636&gt;1,E6635&lt;&gt;""),ABS(D6636-E6635),"")</f>
        <v/>
      </c>
    </row>
    <row r="6637">
      <c r="A6637" t="n">
        <v>6637</v>
      </c>
      <c r="B6637">
        <f>IF(INDEX('Data Entry'!$H$5:$BE$10004,6637-4,'Visual SPC'!$B$3)="",0,IF(AND(OR('Visual SPC'!$C$4="",'Data Entry'!$C6637&gt;='Visual SPC'!$C$4),OR('Visual SPC'!$E$4="",'Data Entry'!$C6637&lt;='Visual SPC'!$E$4),OR('Visual SPC'!$G$4="",'Data Entry'!$D6637='Visual SPC'!$G$4),OR('Visual SPC'!$I$4="",'Data Entry'!$E6637='Visual SPC'!$I$4),OR('Visual SPC'!$K$4="",'Data Entry'!$F6637='Visual SPC'!$K$4)),1,0))</f>
        <v/>
      </c>
      <c r="C6637">
        <f>C6636+B6637</f>
        <v/>
      </c>
      <c r="D6637">
        <f>IF(B6637=1,INDEX('Data Entry'!$H$5:$BE$10004,6637-4,'Visual SPC'!$B$3),"")</f>
        <v/>
      </c>
      <c r="E6637">
        <f>IF(B6637=1,D6637,E6636)</f>
        <v/>
      </c>
      <c r="F6637">
        <f>IF(AND(B6637=1,C6637&gt;1,E6636&lt;&gt;""),ABS(D6637-E6636),"")</f>
        <v/>
      </c>
    </row>
    <row r="6638">
      <c r="A6638" t="n">
        <v>6638</v>
      </c>
      <c r="B6638">
        <f>IF(INDEX('Data Entry'!$H$5:$BE$10004,6638-4,'Visual SPC'!$B$3)="",0,IF(AND(OR('Visual SPC'!$C$4="",'Data Entry'!$C6638&gt;='Visual SPC'!$C$4),OR('Visual SPC'!$E$4="",'Data Entry'!$C6638&lt;='Visual SPC'!$E$4),OR('Visual SPC'!$G$4="",'Data Entry'!$D6638='Visual SPC'!$G$4),OR('Visual SPC'!$I$4="",'Data Entry'!$E6638='Visual SPC'!$I$4),OR('Visual SPC'!$K$4="",'Data Entry'!$F6638='Visual SPC'!$K$4)),1,0))</f>
        <v/>
      </c>
      <c r="C6638">
        <f>C6637+B6638</f>
        <v/>
      </c>
      <c r="D6638">
        <f>IF(B6638=1,INDEX('Data Entry'!$H$5:$BE$10004,6638-4,'Visual SPC'!$B$3),"")</f>
        <v/>
      </c>
      <c r="E6638">
        <f>IF(B6638=1,D6638,E6637)</f>
        <v/>
      </c>
      <c r="F6638">
        <f>IF(AND(B6638=1,C6638&gt;1,E6637&lt;&gt;""),ABS(D6638-E6637),"")</f>
        <v/>
      </c>
    </row>
    <row r="6639">
      <c r="A6639" t="n">
        <v>6639</v>
      </c>
      <c r="B6639">
        <f>IF(INDEX('Data Entry'!$H$5:$BE$10004,6639-4,'Visual SPC'!$B$3)="",0,IF(AND(OR('Visual SPC'!$C$4="",'Data Entry'!$C6639&gt;='Visual SPC'!$C$4),OR('Visual SPC'!$E$4="",'Data Entry'!$C6639&lt;='Visual SPC'!$E$4),OR('Visual SPC'!$G$4="",'Data Entry'!$D6639='Visual SPC'!$G$4),OR('Visual SPC'!$I$4="",'Data Entry'!$E6639='Visual SPC'!$I$4),OR('Visual SPC'!$K$4="",'Data Entry'!$F6639='Visual SPC'!$K$4)),1,0))</f>
        <v/>
      </c>
      <c r="C6639">
        <f>C6638+B6639</f>
        <v/>
      </c>
      <c r="D6639">
        <f>IF(B6639=1,INDEX('Data Entry'!$H$5:$BE$10004,6639-4,'Visual SPC'!$B$3),"")</f>
        <v/>
      </c>
      <c r="E6639">
        <f>IF(B6639=1,D6639,E6638)</f>
        <v/>
      </c>
      <c r="F6639">
        <f>IF(AND(B6639=1,C6639&gt;1,E6638&lt;&gt;""),ABS(D6639-E6638),"")</f>
        <v/>
      </c>
    </row>
    <row r="6640">
      <c r="A6640" t="n">
        <v>6640</v>
      </c>
      <c r="B6640">
        <f>IF(INDEX('Data Entry'!$H$5:$BE$10004,6640-4,'Visual SPC'!$B$3)="",0,IF(AND(OR('Visual SPC'!$C$4="",'Data Entry'!$C6640&gt;='Visual SPC'!$C$4),OR('Visual SPC'!$E$4="",'Data Entry'!$C6640&lt;='Visual SPC'!$E$4),OR('Visual SPC'!$G$4="",'Data Entry'!$D6640='Visual SPC'!$G$4),OR('Visual SPC'!$I$4="",'Data Entry'!$E6640='Visual SPC'!$I$4),OR('Visual SPC'!$K$4="",'Data Entry'!$F6640='Visual SPC'!$K$4)),1,0))</f>
        <v/>
      </c>
      <c r="C6640">
        <f>C6639+B6640</f>
        <v/>
      </c>
      <c r="D6640">
        <f>IF(B6640=1,INDEX('Data Entry'!$H$5:$BE$10004,6640-4,'Visual SPC'!$B$3),"")</f>
        <v/>
      </c>
      <c r="E6640">
        <f>IF(B6640=1,D6640,E6639)</f>
        <v/>
      </c>
      <c r="F6640">
        <f>IF(AND(B6640=1,C6640&gt;1,E6639&lt;&gt;""),ABS(D6640-E6639),"")</f>
        <v/>
      </c>
    </row>
    <row r="6641">
      <c r="A6641" t="n">
        <v>6641</v>
      </c>
      <c r="B6641">
        <f>IF(INDEX('Data Entry'!$H$5:$BE$10004,6641-4,'Visual SPC'!$B$3)="",0,IF(AND(OR('Visual SPC'!$C$4="",'Data Entry'!$C6641&gt;='Visual SPC'!$C$4),OR('Visual SPC'!$E$4="",'Data Entry'!$C6641&lt;='Visual SPC'!$E$4),OR('Visual SPC'!$G$4="",'Data Entry'!$D6641='Visual SPC'!$G$4),OR('Visual SPC'!$I$4="",'Data Entry'!$E6641='Visual SPC'!$I$4),OR('Visual SPC'!$K$4="",'Data Entry'!$F6641='Visual SPC'!$K$4)),1,0))</f>
        <v/>
      </c>
      <c r="C6641">
        <f>C6640+B6641</f>
        <v/>
      </c>
      <c r="D6641">
        <f>IF(B6641=1,INDEX('Data Entry'!$H$5:$BE$10004,6641-4,'Visual SPC'!$B$3),"")</f>
        <v/>
      </c>
      <c r="E6641">
        <f>IF(B6641=1,D6641,E6640)</f>
        <v/>
      </c>
      <c r="F6641">
        <f>IF(AND(B6641=1,C6641&gt;1,E6640&lt;&gt;""),ABS(D6641-E6640),"")</f>
        <v/>
      </c>
    </row>
    <row r="6642">
      <c r="A6642" t="n">
        <v>6642</v>
      </c>
      <c r="B6642">
        <f>IF(INDEX('Data Entry'!$H$5:$BE$10004,6642-4,'Visual SPC'!$B$3)="",0,IF(AND(OR('Visual SPC'!$C$4="",'Data Entry'!$C6642&gt;='Visual SPC'!$C$4),OR('Visual SPC'!$E$4="",'Data Entry'!$C6642&lt;='Visual SPC'!$E$4),OR('Visual SPC'!$G$4="",'Data Entry'!$D6642='Visual SPC'!$G$4),OR('Visual SPC'!$I$4="",'Data Entry'!$E6642='Visual SPC'!$I$4),OR('Visual SPC'!$K$4="",'Data Entry'!$F6642='Visual SPC'!$K$4)),1,0))</f>
        <v/>
      </c>
      <c r="C6642">
        <f>C6641+B6642</f>
        <v/>
      </c>
      <c r="D6642">
        <f>IF(B6642=1,INDEX('Data Entry'!$H$5:$BE$10004,6642-4,'Visual SPC'!$B$3),"")</f>
        <v/>
      </c>
      <c r="E6642">
        <f>IF(B6642=1,D6642,E6641)</f>
        <v/>
      </c>
      <c r="F6642">
        <f>IF(AND(B6642=1,C6642&gt;1,E6641&lt;&gt;""),ABS(D6642-E6641),"")</f>
        <v/>
      </c>
    </row>
    <row r="6643">
      <c r="A6643" t="n">
        <v>6643</v>
      </c>
      <c r="B6643">
        <f>IF(INDEX('Data Entry'!$H$5:$BE$10004,6643-4,'Visual SPC'!$B$3)="",0,IF(AND(OR('Visual SPC'!$C$4="",'Data Entry'!$C6643&gt;='Visual SPC'!$C$4),OR('Visual SPC'!$E$4="",'Data Entry'!$C6643&lt;='Visual SPC'!$E$4),OR('Visual SPC'!$G$4="",'Data Entry'!$D6643='Visual SPC'!$G$4),OR('Visual SPC'!$I$4="",'Data Entry'!$E6643='Visual SPC'!$I$4),OR('Visual SPC'!$K$4="",'Data Entry'!$F6643='Visual SPC'!$K$4)),1,0))</f>
        <v/>
      </c>
      <c r="C6643">
        <f>C6642+B6643</f>
        <v/>
      </c>
      <c r="D6643">
        <f>IF(B6643=1,INDEX('Data Entry'!$H$5:$BE$10004,6643-4,'Visual SPC'!$B$3),"")</f>
        <v/>
      </c>
      <c r="E6643">
        <f>IF(B6643=1,D6643,E6642)</f>
        <v/>
      </c>
      <c r="F6643">
        <f>IF(AND(B6643=1,C6643&gt;1,E6642&lt;&gt;""),ABS(D6643-E6642),"")</f>
        <v/>
      </c>
    </row>
    <row r="6644">
      <c r="A6644" t="n">
        <v>6644</v>
      </c>
      <c r="B6644">
        <f>IF(INDEX('Data Entry'!$H$5:$BE$10004,6644-4,'Visual SPC'!$B$3)="",0,IF(AND(OR('Visual SPC'!$C$4="",'Data Entry'!$C6644&gt;='Visual SPC'!$C$4),OR('Visual SPC'!$E$4="",'Data Entry'!$C6644&lt;='Visual SPC'!$E$4),OR('Visual SPC'!$G$4="",'Data Entry'!$D6644='Visual SPC'!$G$4),OR('Visual SPC'!$I$4="",'Data Entry'!$E6644='Visual SPC'!$I$4),OR('Visual SPC'!$K$4="",'Data Entry'!$F6644='Visual SPC'!$K$4)),1,0))</f>
        <v/>
      </c>
      <c r="C6644">
        <f>C6643+B6644</f>
        <v/>
      </c>
      <c r="D6644">
        <f>IF(B6644=1,INDEX('Data Entry'!$H$5:$BE$10004,6644-4,'Visual SPC'!$B$3),"")</f>
        <v/>
      </c>
      <c r="E6644">
        <f>IF(B6644=1,D6644,E6643)</f>
        <v/>
      </c>
      <c r="F6644">
        <f>IF(AND(B6644=1,C6644&gt;1,E6643&lt;&gt;""),ABS(D6644-E6643),"")</f>
        <v/>
      </c>
    </row>
    <row r="6645">
      <c r="A6645" t="n">
        <v>6645</v>
      </c>
      <c r="B6645">
        <f>IF(INDEX('Data Entry'!$H$5:$BE$10004,6645-4,'Visual SPC'!$B$3)="",0,IF(AND(OR('Visual SPC'!$C$4="",'Data Entry'!$C6645&gt;='Visual SPC'!$C$4),OR('Visual SPC'!$E$4="",'Data Entry'!$C6645&lt;='Visual SPC'!$E$4),OR('Visual SPC'!$G$4="",'Data Entry'!$D6645='Visual SPC'!$G$4),OR('Visual SPC'!$I$4="",'Data Entry'!$E6645='Visual SPC'!$I$4),OR('Visual SPC'!$K$4="",'Data Entry'!$F6645='Visual SPC'!$K$4)),1,0))</f>
        <v/>
      </c>
      <c r="C6645">
        <f>C6644+B6645</f>
        <v/>
      </c>
      <c r="D6645">
        <f>IF(B6645=1,INDEX('Data Entry'!$H$5:$BE$10004,6645-4,'Visual SPC'!$B$3),"")</f>
        <v/>
      </c>
      <c r="E6645">
        <f>IF(B6645=1,D6645,E6644)</f>
        <v/>
      </c>
      <c r="F6645">
        <f>IF(AND(B6645=1,C6645&gt;1,E6644&lt;&gt;""),ABS(D6645-E6644),"")</f>
        <v/>
      </c>
    </row>
    <row r="6646">
      <c r="A6646" t="n">
        <v>6646</v>
      </c>
      <c r="B6646">
        <f>IF(INDEX('Data Entry'!$H$5:$BE$10004,6646-4,'Visual SPC'!$B$3)="",0,IF(AND(OR('Visual SPC'!$C$4="",'Data Entry'!$C6646&gt;='Visual SPC'!$C$4),OR('Visual SPC'!$E$4="",'Data Entry'!$C6646&lt;='Visual SPC'!$E$4),OR('Visual SPC'!$G$4="",'Data Entry'!$D6646='Visual SPC'!$G$4),OR('Visual SPC'!$I$4="",'Data Entry'!$E6646='Visual SPC'!$I$4),OR('Visual SPC'!$K$4="",'Data Entry'!$F6646='Visual SPC'!$K$4)),1,0))</f>
        <v/>
      </c>
      <c r="C6646">
        <f>C6645+B6646</f>
        <v/>
      </c>
      <c r="D6646">
        <f>IF(B6646=1,INDEX('Data Entry'!$H$5:$BE$10004,6646-4,'Visual SPC'!$B$3),"")</f>
        <v/>
      </c>
      <c r="E6646">
        <f>IF(B6646=1,D6646,E6645)</f>
        <v/>
      </c>
      <c r="F6646">
        <f>IF(AND(B6646=1,C6646&gt;1,E6645&lt;&gt;""),ABS(D6646-E6645),"")</f>
        <v/>
      </c>
    </row>
    <row r="6647">
      <c r="A6647" t="n">
        <v>6647</v>
      </c>
      <c r="B6647">
        <f>IF(INDEX('Data Entry'!$H$5:$BE$10004,6647-4,'Visual SPC'!$B$3)="",0,IF(AND(OR('Visual SPC'!$C$4="",'Data Entry'!$C6647&gt;='Visual SPC'!$C$4),OR('Visual SPC'!$E$4="",'Data Entry'!$C6647&lt;='Visual SPC'!$E$4),OR('Visual SPC'!$G$4="",'Data Entry'!$D6647='Visual SPC'!$G$4),OR('Visual SPC'!$I$4="",'Data Entry'!$E6647='Visual SPC'!$I$4),OR('Visual SPC'!$K$4="",'Data Entry'!$F6647='Visual SPC'!$K$4)),1,0))</f>
        <v/>
      </c>
      <c r="C6647">
        <f>C6646+B6647</f>
        <v/>
      </c>
      <c r="D6647">
        <f>IF(B6647=1,INDEX('Data Entry'!$H$5:$BE$10004,6647-4,'Visual SPC'!$B$3),"")</f>
        <v/>
      </c>
      <c r="E6647">
        <f>IF(B6647=1,D6647,E6646)</f>
        <v/>
      </c>
      <c r="F6647">
        <f>IF(AND(B6647=1,C6647&gt;1,E6646&lt;&gt;""),ABS(D6647-E6646),"")</f>
        <v/>
      </c>
    </row>
    <row r="6648">
      <c r="A6648" t="n">
        <v>6648</v>
      </c>
      <c r="B6648">
        <f>IF(INDEX('Data Entry'!$H$5:$BE$10004,6648-4,'Visual SPC'!$B$3)="",0,IF(AND(OR('Visual SPC'!$C$4="",'Data Entry'!$C6648&gt;='Visual SPC'!$C$4),OR('Visual SPC'!$E$4="",'Data Entry'!$C6648&lt;='Visual SPC'!$E$4),OR('Visual SPC'!$G$4="",'Data Entry'!$D6648='Visual SPC'!$G$4),OR('Visual SPC'!$I$4="",'Data Entry'!$E6648='Visual SPC'!$I$4),OR('Visual SPC'!$K$4="",'Data Entry'!$F6648='Visual SPC'!$K$4)),1,0))</f>
        <v/>
      </c>
      <c r="C6648">
        <f>C6647+B6648</f>
        <v/>
      </c>
      <c r="D6648">
        <f>IF(B6648=1,INDEX('Data Entry'!$H$5:$BE$10004,6648-4,'Visual SPC'!$B$3),"")</f>
        <v/>
      </c>
      <c r="E6648">
        <f>IF(B6648=1,D6648,E6647)</f>
        <v/>
      </c>
      <c r="F6648">
        <f>IF(AND(B6648=1,C6648&gt;1,E6647&lt;&gt;""),ABS(D6648-E6647),"")</f>
        <v/>
      </c>
    </row>
    <row r="6649">
      <c r="A6649" t="n">
        <v>6649</v>
      </c>
      <c r="B6649">
        <f>IF(INDEX('Data Entry'!$H$5:$BE$10004,6649-4,'Visual SPC'!$B$3)="",0,IF(AND(OR('Visual SPC'!$C$4="",'Data Entry'!$C6649&gt;='Visual SPC'!$C$4),OR('Visual SPC'!$E$4="",'Data Entry'!$C6649&lt;='Visual SPC'!$E$4),OR('Visual SPC'!$G$4="",'Data Entry'!$D6649='Visual SPC'!$G$4),OR('Visual SPC'!$I$4="",'Data Entry'!$E6649='Visual SPC'!$I$4),OR('Visual SPC'!$K$4="",'Data Entry'!$F6649='Visual SPC'!$K$4)),1,0))</f>
        <v/>
      </c>
      <c r="C6649">
        <f>C6648+B6649</f>
        <v/>
      </c>
      <c r="D6649">
        <f>IF(B6649=1,INDEX('Data Entry'!$H$5:$BE$10004,6649-4,'Visual SPC'!$B$3),"")</f>
        <v/>
      </c>
      <c r="E6649">
        <f>IF(B6649=1,D6649,E6648)</f>
        <v/>
      </c>
      <c r="F6649">
        <f>IF(AND(B6649=1,C6649&gt;1,E6648&lt;&gt;""),ABS(D6649-E6648),"")</f>
        <v/>
      </c>
    </row>
    <row r="6650">
      <c r="A6650" t="n">
        <v>6650</v>
      </c>
      <c r="B6650">
        <f>IF(INDEX('Data Entry'!$H$5:$BE$10004,6650-4,'Visual SPC'!$B$3)="",0,IF(AND(OR('Visual SPC'!$C$4="",'Data Entry'!$C6650&gt;='Visual SPC'!$C$4),OR('Visual SPC'!$E$4="",'Data Entry'!$C6650&lt;='Visual SPC'!$E$4),OR('Visual SPC'!$G$4="",'Data Entry'!$D6650='Visual SPC'!$G$4),OR('Visual SPC'!$I$4="",'Data Entry'!$E6650='Visual SPC'!$I$4),OR('Visual SPC'!$K$4="",'Data Entry'!$F6650='Visual SPC'!$K$4)),1,0))</f>
        <v/>
      </c>
      <c r="C6650">
        <f>C6649+B6650</f>
        <v/>
      </c>
      <c r="D6650">
        <f>IF(B6650=1,INDEX('Data Entry'!$H$5:$BE$10004,6650-4,'Visual SPC'!$B$3),"")</f>
        <v/>
      </c>
      <c r="E6650">
        <f>IF(B6650=1,D6650,E6649)</f>
        <v/>
      </c>
      <c r="F6650">
        <f>IF(AND(B6650=1,C6650&gt;1,E6649&lt;&gt;""),ABS(D6650-E6649),"")</f>
        <v/>
      </c>
    </row>
    <row r="6651">
      <c r="A6651" t="n">
        <v>6651</v>
      </c>
      <c r="B6651">
        <f>IF(INDEX('Data Entry'!$H$5:$BE$10004,6651-4,'Visual SPC'!$B$3)="",0,IF(AND(OR('Visual SPC'!$C$4="",'Data Entry'!$C6651&gt;='Visual SPC'!$C$4),OR('Visual SPC'!$E$4="",'Data Entry'!$C6651&lt;='Visual SPC'!$E$4),OR('Visual SPC'!$G$4="",'Data Entry'!$D6651='Visual SPC'!$G$4),OR('Visual SPC'!$I$4="",'Data Entry'!$E6651='Visual SPC'!$I$4),OR('Visual SPC'!$K$4="",'Data Entry'!$F6651='Visual SPC'!$K$4)),1,0))</f>
        <v/>
      </c>
      <c r="C6651">
        <f>C6650+B6651</f>
        <v/>
      </c>
      <c r="D6651">
        <f>IF(B6651=1,INDEX('Data Entry'!$H$5:$BE$10004,6651-4,'Visual SPC'!$B$3),"")</f>
        <v/>
      </c>
      <c r="E6651">
        <f>IF(B6651=1,D6651,E6650)</f>
        <v/>
      </c>
      <c r="F6651">
        <f>IF(AND(B6651=1,C6651&gt;1,E6650&lt;&gt;""),ABS(D6651-E6650),"")</f>
        <v/>
      </c>
    </row>
    <row r="6652">
      <c r="A6652" t="n">
        <v>6652</v>
      </c>
      <c r="B6652">
        <f>IF(INDEX('Data Entry'!$H$5:$BE$10004,6652-4,'Visual SPC'!$B$3)="",0,IF(AND(OR('Visual SPC'!$C$4="",'Data Entry'!$C6652&gt;='Visual SPC'!$C$4),OR('Visual SPC'!$E$4="",'Data Entry'!$C6652&lt;='Visual SPC'!$E$4),OR('Visual SPC'!$G$4="",'Data Entry'!$D6652='Visual SPC'!$G$4),OR('Visual SPC'!$I$4="",'Data Entry'!$E6652='Visual SPC'!$I$4),OR('Visual SPC'!$K$4="",'Data Entry'!$F6652='Visual SPC'!$K$4)),1,0))</f>
        <v/>
      </c>
      <c r="C6652">
        <f>C6651+B6652</f>
        <v/>
      </c>
      <c r="D6652">
        <f>IF(B6652=1,INDEX('Data Entry'!$H$5:$BE$10004,6652-4,'Visual SPC'!$B$3),"")</f>
        <v/>
      </c>
      <c r="E6652">
        <f>IF(B6652=1,D6652,E6651)</f>
        <v/>
      </c>
      <c r="F6652">
        <f>IF(AND(B6652=1,C6652&gt;1,E6651&lt;&gt;""),ABS(D6652-E6651),"")</f>
        <v/>
      </c>
    </row>
    <row r="6653">
      <c r="A6653" t="n">
        <v>6653</v>
      </c>
      <c r="B6653">
        <f>IF(INDEX('Data Entry'!$H$5:$BE$10004,6653-4,'Visual SPC'!$B$3)="",0,IF(AND(OR('Visual SPC'!$C$4="",'Data Entry'!$C6653&gt;='Visual SPC'!$C$4),OR('Visual SPC'!$E$4="",'Data Entry'!$C6653&lt;='Visual SPC'!$E$4),OR('Visual SPC'!$G$4="",'Data Entry'!$D6653='Visual SPC'!$G$4),OR('Visual SPC'!$I$4="",'Data Entry'!$E6653='Visual SPC'!$I$4),OR('Visual SPC'!$K$4="",'Data Entry'!$F6653='Visual SPC'!$K$4)),1,0))</f>
        <v/>
      </c>
      <c r="C6653">
        <f>C6652+B6653</f>
        <v/>
      </c>
      <c r="D6653">
        <f>IF(B6653=1,INDEX('Data Entry'!$H$5:$BE$10004,6653-4,'Visual SPC'!$B$3),"")</f>
        <v/>
      </c>
      <c r="E6653">
        <f>IF(B6653=1,D6653,E6652)</f>
        <v/>
      </c>
      <c r="F6653">
        <f>IF(AND(B6653=1,C6653&gt;1,E6652&lt;&gt;""),ABS(D6653-E6652),"")</f>
        <v/>
      </c>
    </row>
    <row r="6654">
      <c r="A6654" t="n">
        <v>6654</v>
      </c>
      <c r="B6654">
        <f>IF(INDEX('Data Entry'!$H$5:$BE$10004,6654-4,'Visual SPC'!$B$3)="",0,IF(AND(OR('Visual SPC'!$C$4="",'Data Entry'!$C6654&gt;='Visual SPC'!$C$4),OR('Visual SPC'!$E$4="",'Data Entry'!$C6654&lt;='Visual SPC'!$E$4),OR('Visual SPC'!$G$4="",'Data Entry'!$D6654='Visual SPC'!$G$4),OR('Visual SPC'!$I$4="",'Data Entry'!$E6654='Visual SPC'!$I$4),OR('Visual SPC'!$K$4="",'Data Entry'!$F6654='Visual SPC'!$K$4)),1,0))</f>
        <v/>
      </c>
      <c r="C6654">
        <f>C6653+B6654</f>
        <v/>
      </c>
      <c r="D6654">
        <f>IF(B6654=1,INDEX('Data Entry'!$H$5:$BE$10004,6654-4,'Visual SPC'!$B$3),"")</f>
        <v/>
      </c>
      <c r="E6654">
        <f>IF(B6654=1,D6654,E6653)</f>
        <v/>
      </c>
      <c r="F6654">
        <f>IF(AND(B6654=1,C6654&gt;1,E6653&lt;&gt;""),ABS(D6654-E6653),"")</f>
        <v/>
      </c>
    </row>
    <row r="6655">
      <c r="A6655" t="n">
        <v>6655</v>
      </c>
      <c r="B6655">
        <f>IF(INDEX('Data Entry'!$H$5:$BE$10004,6655-4,'Visual SPC'!$B$3)="",0,IF(AND(OR('Visual SPC'!$C$4="",'Data Entry'!$C6655&gt;='Visual SPC'!$C$4),OR('Visual SPC'!$E$4="",'Data Entry'!$C6655&lt;='Visual SPC'!$E$4),OR('Visual SPC'!$G$4="",'Data Entry'!$D6655='Visual SPC'!$G$4),OR('Visual SPC'!$I$4="",'Data Entry'!$E6655='Visual SPC'!$I$4),OR('Visual SPC'!$K$4="",'Data Entry'!$F6655='Visual SPC'!$K$4)),1,0))</f>
        <v/>
      </c>
      <c r="C6655">
        <f>C6654+B6655</f>
        <v/>
      </c>
      <c r="D6655">
        <f>IF(B6655=1,INDEX('Data Entry'!$H$5:$BE$10004,6655-4,'Visual SPC'!$B$3),"")</f>
        <v/>
      </c>
      <c r="E6655">
        <f>IF(B6655=1,D6655,E6654)</f>
        <v/>
      </c>
      <c r="F6655">
        <f>IF(AND(B6655=1,C6655&gt;1,E6654&lt;&gt;""),ABS(D6655-E6654),"")</f>
        <v/>
      </c>
    </row>
    <row r="6656">
      <c r="A6656" t="n">
        <v>6656</v>
      </c>
      <c r="B6656">
        <f>IF(INDEX('Data Entry'!$H$5:$BE$10004,6656-4,'Visual SPC'!$B$3)="",0,IF(AND(OR('Visual SPC'!$C$4="",'Data Entry'!$C6656&gt;='Visual SPC'!$C$4),OR('Visual SPC'!$E$4="",'Data Entry'!$C6656&lt;='Visual SPC'!$E$4),OR('Visual SPC'!$G$4="",'Data Entry'!$D6656='Visual SPC'!$G$4),OR('Visual SPC'!$I$4="",'Data Entry'!$E6656='Visual SPC'!$I$4),OR('Visual SPC'!$K$4="",'Data Entry'!$F6656='Visual SPC'!$K$4)),1,0))</f>
        <v/>
      </c>
      <c r="C6656">
        <f>C6655+B6656</f>
        <v/>
      </c>
      <c r="D6656">
        <f>IF(B6656=1,INDEX('Data Entry'!$H$5:$BE$10004,6656-4,'Visual SPC'!$B$3),"")</f>
        <v/>
      </c>
      <c r="E6656">
        <f>IF(B6656=1,D6656,E6655)</f>
        <v/>
      </c>
      <c r="F6656">
        <f>IF(AND(B6656=1,C6656&gt;1,E6655&lt;&gt;""),ABS(D6656-E6655),"")</f>
        <v/>
      </c>
    </row>
    <row r="6657">
      <c r="A6657" t="n">
        <v>6657</v>
      </c>
      <c r="B6657">
        <f>IF(INDEX('Data Entry'!$H$5:$BE$10004,6657-4,'Visual SPC'!$B$3)="",0,IF(AND(OR('Visual SPC'!$C$4="",'Data Entry'!$C6657&gt;='Visual SPC'!$C$4),OR('Visual SPC'!$E$4="",'Data Entry'!$C6657&lt;='Visual SPC'!$E$4),OR('Visual SPC'!$G$4="",'Data Entry'!$D6657='Visual SPC'!$G$4),OR('Visual SPC'!$I$4="",'Data Entry'!$E6657='Visual SPC'!$I$4),OR('Visual SPC'!$K$4="",'Data Entry'!$F6657='Visual SPC'!$K$4)),1,0))</f>
        <v/>
      </c>
      <c r="C6657">
        <f>C6656+B6657</f>
        <v/>
      </c>
      <c r="D6657">
        <f>IF(B6657=1,INDEX('Data Entry'!$H$5:$BE$10004,6657-4,'Visual SPC'!$B$3),"")</f>
        <v/>
      </c>
      <c r="E6657">
        <f>IF(B6657=1,D6657,E6656)</f>
        <v/>
      </c>
      <c r="F6657">
        <f>IF(AND(B6657=1,C6657&gt;1,E6656&lt;&gt;""),ABS(D6657-E6656),"")</f>
        <v/>
      </c>
    </row>
    <row r="6658">
      <c r="A6658" t="n">
        <v>6658</v>
      </c>
      <c r="B6658">
        <f>IF(INDEX('Data Entry'!$H$5:$BE$10004,6658-4,'Visual SPC'!$B$3)="",0,IF(AND(OR('Visual SPC'!$C$4="",'Data Entry'!$C6658&gt;='Visual SPC'!$C$4),OR('Visual SPC'!$E$4="",'Data Entry'!$C6658&lt;='Visual SPC'!$E$4),OR('Visual SPC'!$G$4="",'Data Entry'!$D6658='Visual SPC'!$G$4),OR('Visual SPC'!$I$4="",'Data Entry'!$E6658='Visual SPC'!$I$4),OR('Visual SPC'!$K$4="",'Data Entry'!$F6658='Visual SPC'!$K$4)),1,0))</f>
        <v/>
      </c>
      <c r="C6658">
        <f>C6657+B6658</f>
        <v/>
      </c>
      <c r="D6658">
        <f>IF(B6658=1,INDEX('Data Entry'!$H$5:$BE$10004,6658-4,'Visual SPC'!$B$3),"")</f>
        <v/>
      </c>
      <c r="E6658">
        <f>IF(B6658=1,D6658,E6657)</f>
        <v/>
      </c>
      <c r="F6658">
        <f>IF(AND(B6658=1,C6658&gt;1,E6657&lt;&gt;""),ABS(D6658-E6657),"")</f>
        <v/>
      </c>
    </row>
    <row r="6659">
      <c r="A6659" t="n">
        <v>6659</v>
      </c>
      <c r="B6659">
        <f>IF(INDEX('Data Entry'!$H$5:$BE$10004,6659-4,'Visual SPC'!$B$3)="",0,IF(AND(OR('Visual SPC'!$C$4="",'Data Entry'!$C6659&gt;='Visual SPC'!$C$4),OR('Visual SPC'!$E$4="",'Data Entry'!$C6659&lt;='Visual SPC'!$E$4),OR('Visual SPC'!$G$4="",'Data Entry'!$D6659='Visual SPC'!$G$4),OR('Visual SPC'!$I$4="",'Data Entry'!$E6659='Visual SPC'!$I$4),OR('Visual SPC'!$K$4="",'Data Entry'!$F6659='Visual SPC'!$K$4)),1,0))</f>
        <v/>
      </c>
      <c r="C6659">
        <f>C6658+B6659</f>
        <v/>
      </c>
      <c r="D6659">
        <f>IF(B6659=1,INDEX('Data Entry'!$H$5:$BE$10004,6659-4,'Visual SPC'!$B$3),"")</f>
        <v/>
      </c>
      <c r="E6659">
        <f>IF(B6659=1,D6659,E6658)</f>
        <v/>
      </c>
      <c r="F6659">
        <f>IF(AND(B6659=1,C6659&gt;1,E6658&lt;&gt;""),ABS(D6659-E6658),"")</f>
        <v/>
      </c>
    </row>
    <row r="6660">
      <c r="A6660" t="n">
        <v>6660</v>
      </c>
      <c r="B6660">
        <f>IF(INDEX('Data Entry'!$H$5:$BE$10004,6660-4,'Visual SPC'!$B$3)="",0,IF(AND(OR('Visual SPC'!$C$4="",'Data Entry'!$C6660&gt;='Visual SPC'!$C$4),OR('Visual SPC'!$E$4="",'Data Entry'!$C6660&lt;='Visual SPC'!$E$4),OR('Visual SPC'!$G$4="",'Data Entry'!$D6660='Visual SPC'!$G$4),OR('Visual SPC'!$I$4="",'Data Entry'!$E6660='Visual SPC'!$I$4),OR('Visual SPC'!$K$4="",'Data Entry'!$F6660='Visual SPC'!$K$4)),1,0))</f>
        <v/>
      </c>
      <c r="C6660">
        <f>C6659+B6660</f>
        <v/>
      </c>
      <c r="D6660">
        <f>IF(B6660=1,INDEX('Data Entry'!$H$5:$BE$10004,6660-4,'Visual SPC'!$B$3),"")</f>
        <v/>
      </c>
      <c r="E6660">
        <f>IF(B6660=1,D6660,E6659)</f>
        <v/>
      </c>
      <c r="F6660">
        <f>IF(AND(B6660=1,C6660&gt;1,E6659&lt;&gt;""),ABS(D6660-E6659),"")</f>
        <v/>
      </c>
    </row>
    <row r="6661">
      <c r="A6661" t="n">
        <v>6661</v>
      </c>
      <c r="B6661">
        <f>IF(INDEX('Data Entry'!$H$5:$BE$10004,6661-4,'Visual SPC'!$B$3)="",0,IF(AND(OR('Visual SPC'!$C$4="",'Data Entry'!$C6661&gt;='Visual SPC'!$C$4),OR('Visual SPC'!$E$4="",'Data Entry'!$C6661&lt;='Visual SPC'!$E$4),OR('Visual SPC'!$G$4="",'Data Entry'!$D6661='Visual SPC'!$G$4),OR('Visual SPC'!$I$4="",'Data Entry'!$E6661='Visual SPC'!$I$4),OR('Visual SPC'!$K$4="",'Data Entry'!$F6661='Visual SPC'!$K$4)),1,0))</f>
        <v/>
      </c>
      <c r="C6661">
        <f>C6660+B6661</f>
        <v/>
      </c>
      <c r="D6661">
        <f>IF(B6661=1,INDEX('Data Entry'!$H$5:$BE$10004,6661-4,'Visual SPC'!$B$3),"")</f>
        <v/>
      </c>
      <c r="E6661">
        <f>IF(B6661=1,D6661,E6660)</f>
        <v/>
      </c>
      <c r="F6661">
        <f>IF(AND(B6661=1,C6661&gt;1,E6660&lt;&gt;""),ABS(D6661-E6660),"")</f>
        <v/>
      </c>
    </row>
    <row r="6662">
      <c r="A6662" t="n">
        <v>6662</v>
      </c>
      <c r="B6662">
        <f>IF(INDEX('Data Entry'!$H$5:$BE$10004,6662-4,'Visual SPC'!$B$3)="",0,IF(AND(OR('Visual SPC'!$C$4="",'Data Entry'!$C6662&gt;='Visual SPC'!$C$4),OR('Visual SPC'!$E$4="",'Data Entry'!$C6662&lt;='Visual SPC'!$E$4),OR('Visual SPC'!$G$4="",'Data Entry'!$D6662='Visual SPC'!$G$4),OR('Visual SPC'!$I$4="",'Data Entry'!$E6662='Visual SPC'!$I$4),OR('Visual SPC'!$K$4="",'Data Entry'!$F6662='Visual SPC'!$K$4)),1,0))</f>
        <v/>
      </c>
      <c r="C6662">
        <f>C6661+B6662</f>
        <v/>
      </c>
      <c r="D6662">
        <f>IF(B6662=1,INDEX('Data Entry'!$H$5:$BE$10004,6662-4,'Visual SPC'!$B$3),"")</f>
        <v/>
      </c>
      <c r="E6662">
        <f>IF(B6662=1,D6662,E6661)</f>
        <v/>
      </c>
      <c r="F6662">
        <f>IF(AND(B6662=1,C6662&gt;1,E6661&lt;&gt;""),ABS(D6662-E6661),"")</f>
        <v/>
      </c>
    </row>
    <row r="6663">
      <c r="A6663" t="n">
        <v>6663</v>
      </c>
      <c r="B6663">
        <f>IF(INDEX('Data Entry'!$H$5:$BE$10004,6663-4,'Visual SPC'!$B$3)="",0,IF(AND(OR('Visual SPC'!$C$4="",'Data Entry'!$C6663&gt;='Visual SPC'!$C$4),OR('Visual SPC'!$E$4="",'Data Entry'!$C6663&lt;='Visual SPC'!$E$4),OR('Visual SPC'!$G$4="",'Data Entry'!$D6663='Visual SPC'!$G$4),OR('Visual SPC'!$I$4="",'Data Entry'!$E6663='Visual SPC'!$I$4),OR('Visual SPC'!$K$4="",'Data Entry'!$F6663='Visual SPC'!$K$4)),1,0))</f>
        <v/>
      </c>
      <c r="C6663">
        <f>C6662+B6663</f>
        <v/>
      </c>
      <c r="D6663">
        <f>IF(B6663=1,INDEX('Data Entry'!$H$5:$BE$10004,6663-4,'Visual SPC'!$B$3),"")</f>
        <v/>
      </c>
      <c r="E6663">
        <f>IF(B6663=1,D6663,E6662)</f>
        <v/>
      </c>
      <c r="F6663">
        <f>IF(AND(B6663=1,C6663&gt;1,E6662&lt;&gt;""),ABS(D6663-E6662),"")</f>
        <v/>
      </c>
    </row>
    <row r="6664">
      <c r="A6664" t="n">
        <v>6664</v>
      </c>
      <c r="B6664">
        <f>IF(INDEX('Data Entry'!$H$5:$BE$10004,6664-4,'Visual SPC'!$B$3)="",0,IF(AND(OR('Visual SPC'!$C$4="",'Data Entry'!$C6664&gt;='Visual SPC'!$C$4),OR('Visual SPC'!$E$4="",'Data Entry'!$C6664&lt;='Visual SPC'!$E$4),OR('Visual SPC'!$G$4="",'Data Entry'!$D6664='Visual SPC'!$G$4),OR('Visual SPC'!$I$4="",'Data Entry'!$E6664='Visual SPC'!$I$4),OR('Visual SPC'!$K$4="",'Data Entry'!$F6664='Visual SPC'!$K$4)),1,0))</f>
        <v/>
      </c>
      <c r="C6664">
        <f>C6663+B6664</f>
        <v/>
      </c>
      <c r="D6664">
        <f>IF(B6664=1,INDEX('Data Entry'!$H$5:$BE$10004,6664-4,'Visual SPC'!$B$3),"")</f>
        <v/>
      </c>
      <c r="E6664">
        <f>IF(B6664=1,D6664,E6663)</f>
        <v/>
      </c>
      <c r="F6664">
        <f>IF(AND(B6664=1,C6664&gt;1,E6663&lt;&gt;""),ABS(D6664-E6663),"")</f>
        <v/>
      </c>
    </row>
    <row r="6665">
      <c r="A6665" t="n">
        <v>6665</v>
      </c>
      <c r="B6665">
        <f>IF(INDEX('Data Entry'!$H$5:$BE$10004,6665-4,'Visual SPC'!$B$3)="",0,IF(AND(OR('Visual SPC'!$C$4="",'Data Entry'!$C6665&gt;='Visual SPC'!$C$4),OR('Visual SPC'!$E$4="",'Data Entry'!$C6665&lt;='Visual SPC'!$E$4),OR('Visual SPC'!$G$4="",'Data Entry'!$D6665='Visual SPC'!$G$4),OR('Visual SPC'!$I$4="",'Data Entry'!$E6665='Visual SPC'!$I$4),OR('Visual SPC'!$K$4="",'Data Entry'!$F6665='Visual SPC'!$K$4)),1,0))</f>
        <v/>
      </c>
      <c r="C6665">
        <f>C6664+B6665</f>
        <v/>
      </c>
      <c r="D6665">
        <f>IF(B6665=1,INDEX('Data Entry'!$H$5:$BE$10004,6665-4,'Visual SPC'!$B$3),"")</f>
        <v/>
      </c>
      <c r="E6665">
        <f>IF(B6665=1,D6665,E6664)</f>
        <v/>
      </c>
      <c r="F6665">
        <f>IF(AND(B6665=1,C6665&gt;1,E6664&lt;&gt;""),ABS(D6665-E6664),"")</f>
        <v/>
      </c>
    </row>
    <row r="6666">
      <c r="A6666" t="n">
        <v>6666</v>
      </c>
      <c r="B6666">
        <f>IF(INDEX('Data Entry'!$H$5:$BE$10004,6666-4,'Visual SPC'!$B$3)="",0,IF(AND(OR('Visual SPC'!$C$4="",'Data Entry'!$C6666&gt;='Visual SPC'!$C$4),OR('Visual SPC'!$E$4="",'Data Entry'!$C6666&lt;='Visual SPC'!$E$4),OR('Visual SPC'!$G$4="",'Data Entry'!$D6666='Visual SPC'!$G$4),OR('Visual SPC'!$I$4="",'Data Entry'!$E6666='Visual SPC'!$I$4),OR('Visual SPC'!$K$4="",'Data Entry'!$F6666='Visual SPC'!$K$4)),1,0))</f>
        <v/>
      </c>
      <c r="C6666">
        <f>C6665+B6666</f>
        <v/>
      </c>
      <c r="D6666">
        <f>IF(B6666=1,INDEX('Data Entry'!$H$5:$BE$10004,6666-4,'Visual SPC'!$B$3),"")</f>
        <v/>
      </c>
      <c r="E6666">
        <f>IF(B6666=1,D6666,E6665)</f>
        <v/>
      </c>
      <c r="F6666">
        <f>IF(AND(B6666=1,C6666&gt;1,E6665&lt;&gt;""),ABS(D6666-E6665),"")</f>
        <v/>
      </c>
    </row>
    <row r="6667">
      <c r="A6667" t="n">
        <v>6667</v>
      </c>
      <c r="B6667">
        <f>IF(INDEX('Data Entry'!$H$5:$BE$10004,6667-4,'Visual SPC'!$B$3)="",0,IF(AND(OR('Visual SPC'!$C$4="",'Data Entry'!$C6667&gt;='Visual SPC'!$C$4),OR('Visual SPC'!$E$4="",'Data Entry'!$C6667&lt;='Visual SPC'!$E$4),OR('Visual SPC'!$G$4="",'Data Entry'!$D6667='Visual SPC'!$G$4),OR('Visual SPC'!$I$4="",'Data Entry'!$E6667='Visual SPC'!$I$4),OR('Visual SPC'!$K$4="",'Data Entry'!$F6667='Visual SPC'!$K$4)),1,0))</f>
        <v/>
      </c>
      <c r="C6667">
        <f>C6666+B6667</f>
        <v/>
      </c>
      <c r="D6667">
        <f>IF(B6667=1,INDEX('Data Entry'!$H$5:$BE$10004,6667-4,'Visual SPC'!$B$3),"")</f>
        <v/>
      </c>
      <c r="E6667">
        <f>IF(B6667=1,D6667,E6666)</f>
        <v/>
      </c>
      <c r="F6667">
        <f>IF(AND(B6667=1,C6667&gt;1,E6666&lt;&gt;""),ABS(D6667-E6666),"")</f>
        <v/>
      </c>
    </row>
    <row r="6668">
      <c r="A6668" t="n">
        <v>6668</v>
      </c>
      <c r="B6668">
        <f>IF(INDEX('Data Entry'!$H$5:$BE$10004,6668-4,'Visual SPC'!$B$3)="",0,IF(AND(OR('Visual SPC'!$C$4="",'Data Entry'!$C6668&gt;='Visual SPC'!$C$4),OR('Visual SPC'!$E$4="",'Data Entry'!$C6668&lt;='Visual SPC'!$E$4),OR('Visual SPC'!$G$4="",'Data Entry'!$D6668='Visual SPC'!$G$4),OR('Visual SPC'!$I$4="",'Data Entry'!$E6668='Visual SPC'!$I$4),OR('Visual SPC'!$K$4="",'Data Entry'!$F6668='Visual SPC'!$K$4)),1,0))</f>
        <v/>
      </c>
      <c r="C6668">
        <f>C6667+B6668</f>
        <v/>
      </c>
      <c r="D6668">
        <f>IF(B6668=1,INDEX('Data Entry'!$H$5:$BE$10004,6668-4,'Visual SPC'!$B$3),"")</f>
        <v/>
      </c>
      <c r="E6668">
        <f>IF(B6668=1,D6668,E6667)</f>
        <v/>
      </c>
      <c r="F6668">
        <f>IF(AND(B6668=1,C6668&gt;1,E6667&lt;&gt;""),ABS(D6668-E6667),"")</f>
        <v/>
      </c>
    </row>
    <row r="6669">
      <c r="A6669" t="n">
        <v>6669</v>
      </c>
      <c r="B6669">
        <f>IF(INDEX('Data Entry'!$H$5:$BE$10004,6669-4,'Visual SPC'!$B$3)="",0,IF(AND(OR('Visual SPC'!$C$4="",'Data Entry'!$C6669&gt;='Visual SPC'!$C$4),OR('Visual SPC'!$E$4="",'Data Entry'!$C6669&lt;='Visual SPC'!$E$4),OR('Visual SPC'!$G$4="",'Data Entry'!$D6669='Visual SPC'!$G$4),OR('Visual SPC'!$I$4="",'Data Entry'!$E6669='Visual SPC'!$I$4),OR('Visual SPC'!$K$4="",'Data Entry'!$F6669='Visual SPC'!$K$4)),1,0))</f>
        <v/>
      </c>
      <c r="C6669">
        <f>C6668+B6669</f>
        <v/>
      </c>
      <c r="D6669">
        <f>IF(B6669=1,INDEX('Data Entry'!$H$5:$BE$10004,6669-4,'Visual SPC'!$B$3),"")</f>
        <v/>
      </c>
      <c r="E6669">
        <f>IF(B6669=1,D6669,E6668)</f>
        <v/>
      </c>
      <c r="F6669">
        <f>IF(AND(B6669=1,C6669&gt;1,E6668&lt;&gt;""),ABS(D6669-E6668),"")</f>
        <v/>
      </c>
    </row>
    <row r="6670">
      <c r="A6670" t="n">
        <v>6670</v>
      </c>
      <c r="B6670">
        <f>IF(INDEX('Data Entry'!$H$5:$BE$10004,6670-4,'Visual SPC'!$B$3)="",0,IF(AND(OR('Visual SPC'!$C$4="",'Data Entry'!$C6670&gt;='Visual SPC'!$C$4),OR('Visual SPC'!$E$4="",'Data Entry'!$C6670&lt;='Visual SPC'!$E$4),OR('Visual SPC'!$G$4="",'Data Entry'!$D6670='Visual SPC'!$G$4),OR('Visual SPC'!$I$4="",'Data Entry'!$E6670='Visual SPC'!$I$4),OR('Visual SPC'!$K$4="",'Data Entry'!$F6670='Visual SPC'!$K$4)),1,0))</f>
        <v/>
      </c>
      <c r="C6670">
        <f>C6669+B6670</f>
        <v/>
      </c>
      <c r="D6670">
        <f>IF(B6670=1,INDEX('Data Entry'!$H$5:$BE$10004,6670-4,'Visual SPC'!$B$3),"")</f>
        <v/>
      </c>
      <c r="E6670">
        <f>IF(B6670=1,D6670,E6669)</f>
        <v/>
      </c>
      <c r="F6670">
        <f>IF(AND(B6670=1,C6670&gt;1,E6669&lt;&gt;""),ABS(D6670-E6669),"")</f>
        <v/>
      </c>
    </row>
    <row r="6671">
      <c r="A6671" t="n">
        <v>6671</v>
      </c>
      <c r="B6671">
        <f>IF(INDEX('Data Entry'!$H$5:$BE$10004,6671-4,'Visual SPC'!$B$3)="",0,IF(AND(OR('Visual SPC'!$C$4="",'Data Entry'!$C6671&gt;='Visual SPC'!$C$4),OR('Visual SPC'!$E$4="",'Data Entry'!$C6671&lt;='Visual SPC'!$E$4),OR('Visual SPC'!$G$4="",'Data Entry'!$D6671='Visual SPC'!$G$4),OR('Visual SPC'!$I$4="",'Data Entry'!$E6671='Visual SPC'!$I$4),OR('Visual SPC'!$K$4="",'Data Entry'!$F6671='Visual SPC'!$K$4)),1,0))</f>
        <v/>
      </c>
      <c r="C6671">
        <f>C6670+B6671</f>
        <v/>
      </c>
      <c r="D6671">
        <f>IF(B6671=1,INDEX('Data Entry'!$H$5:$BE$10004,6671-4,'Visual SPC'!$B$3),"")</f>
        <v/>
      </c>
      <c r="E6671">
        <f>IF(B6671=1,D6671,E6670)</f>
        <v/>
      </c>
      <c r="F6671">
        <f>IF(AND(B6671=1,C6671&gt;1,E6670&lt;&gt;""),ABS(D6671-E6670),"")</f>
        <v/>
      </c>
    </row>
    <row r="6672">
      <c r="A6672" t="n">
        <v>6672</v>
      </c>
      <c r="B6672">
        <f>IF(INDEX('Data Entry'!$H$5:$BE$10004,6672-4,'Visual SPC'!$B$3)="",0,IF(AND(OR('Visual SPC'!$C$4="",'Data Entry'!$C6672&gt;='Visual SPC'!$C$4),OR('Visual SPC'!$E$4="",'Data Entry'!$C6672&lt;='Visual SPC'!$E$4),OR('Visual SPC'!$G$4="",'Data Entry'!$D6672='Visual SPC'!$G$4),OR('Visual SPC'!$I$4="",'Data Entry'!$E6672='Visual SPC'!$I$4),OR('Visual SPC'!$K$4="",'Data Entry'!$F6672='Visual SPC'!$K$4)),1,0))</f>
        <v/>
      </c>
      <c r="C6672">
        <f>C6671+B6672</f>
        <v/>
      </c>
      <c r="D6672">
        <f>IF(B6672=1,INDEX('Data Entry'!$H$5:$BE$10004,6672-4,'Visual SPC'!$B$3),"")</f>
        <v/>
      </c>
      <c r="E6672">
        <f>IF(B6672=1,D6672,E6671)</f>
        <v/>
      </c>
      <c r="F6672">
        <f>IF(AND(B6672=1,C6672&gt;1,E6671&lt;&gt;""),ABS(D6672-E6671),"")</f>
        <v/>
      </c>
    </row>
    <row r="6673">
      <c r="A6673" t="n">
        <v>6673</v>
      </c>
      <c r="B6673">
        <f>IF(INDEX('Data Entry'!$H$5:$BE$10004,6673-4,'Visual SPC'!$B$3)="",0,IF(AND(OR('Visual SPC'!$C$4="",'Data Entry'!$C6673&gt;='Visual SPC'!$C$4),OR('Visual SPC'!$E$4="",'Data Entry'!$C6673&lt;='Visual SPC'!$E$4),OR('Visual SPC'!$G$4="",'Data Entry'!$D6673='Visual SPC'!$G$4),OR('Visual SPC'!$I$4="",'Data Entry'!$E6673='Visual SPC'!$I$4),OR('Visual SPC'!$K$4="",'Data Entry'!$F6673='Visual SPC'!$K$4)),1,0))</f>
        <v/>
      </c>
      <c r="C6673">
        <f>C6672+B6673</f>
        <v/>
      </c>
      <c r="D6673">
        <f>IF(B6673=1,INDEX('Data Entry'!$H$5:$BE$10004,6673-4,'Visual SPC'!$B$3),"")</f>
        <v/>
      </c>
      <c r="E6673">
        <f>IF(B6673=1,D6673,E6672)</f>
        <v/>
      </c>
      <c r="F6673">
        <f>IF(AND(B6673=1,C6673&gt;1,E6672&lt;&gt;""),ABS(D6673-E6672),"")</f>
        <v/>
      </c>
    </row>
    <row r="6674">
      <c r="A6674" t="n">
        <v>6674</v>
      </c>
      <c r="B6674">
        <f>IF(INDEX('Data Entry'!$H$5:$BE$10004,6674-4,'Visual SPC'!$B$3)="",0,IF(AND(OR('Visual SPC'!$C$4="",'Data Entry'!$C6674&gt;='Visual SPC'!$C$4),OR('Visual SPC'!$E$4="",'Data Entry'!$C6674&lt;='Visual SPC'!$E$4),OR('Visual SPC'!$G$4="",'Data Entry'!$D6674='Visual SPC'!$G$4),OR('Visual SPC'!$I$4="",'Data Entry'!$E6674='Visual SPC'!$I$4),OR('Visual SPC'!$K$4="",'Data Entry'!$F6674='Visual SPC'!$K$4)),1,0))</f>
        <v/>
      </c>
      <c r="C6674">
        <f>C6673+B6674</f>
        <v/>
      </c>
      <c r="D6674">
        <f>IF(B6674=1,INDEX('Data Entry'!$H$5:$BE$10004,6674-4,'Visual SPC'!$B$3),"")</f>
        <v/>
      </c>
      <c r="E6674">
        <f>IF(B6674=1,D6674,E6673)</f>
        <v/>
      </c>
      <c r="F6674">
        <f>IF(AND(B6674=1,C6674&gt;1,E6673&lt;&gt;""),ABS(D6674-E6673),"")</f>
        <v/>
      </c>
    </row>
    <row r="6675">
      <c r="A6675" t="n">
        <v>6675</v>
      </c>
      <c r="B6675">
        <f>IF(INDEX('Data Entry'!$H$5:$BE$10004,6675-4,'Visual SPC'!$B$3)="",0,IF(AND(OR('Visual SPC'!$C$4="",'Data Entry'!$C6675&gt;='Visual SPC'!$C$4),OR('Visual SPC'!$E$4="",'Data Entry'!$C6675&lt;='Visual SPC'!$E$4),OR('Visual SPC'!$G$4="",'Data Entry'!$D6675='Visual SPC'!$G$4),OR('Visual SPC'!$I$4="",'Data Entry'!$E6675='Visual SPC'!$I$4),OR('Visual SPC'!$K$4="",'Data Entry'!$F6675='Visual SPC'!$K$4)),1,0))</f>
        <v/>
      </c>
      <c r="C6675">
        <f>C6674+B6675</f>
        <v/>
      </c>
      <c r="D6675">
        <f>IF(B6675=1,INDEX('Data Entry'!$H$5:$BE$10004,6675-4,'Visual SPC'!$B$3),"")</f>
        <v/>
      </c>
      <c r="E6675">
        <f>IF(B6675=1,D6675,E6674)</f>
        <v/>
      </c>
      <c r="F6675">
        <f>IF(AND(B6675=1,C6675&gt;1,E6674&lt;&gt;""),ABS(D6675-E6674),"")</f>
        <v/>
      </c>
    </row>
    <row r="6676">
      <c r="A6676" t="n">
        <v>6676</v>
      </c>
      <c r="B6676">
        <f>IF(INDEX('Data Entry'!$H$5:$BE$10004,6676-4,'Visual SPC'!$B$3)="",0,IF(AND(OR('Visual SPC'!$C$4="",'Data Entry'!$C6676&gt;='Visual SPC'!$C$4),OR('Visual SPC'!$E$4="",'Data Entry'!$C6676&lt;='Visual SPC'!$E$4),OR('Visual SPC'!$G$4="",'Data Entry'!$D6676='Visual SPC'!$G$4),OR('Visual SPC'!$I$4="",'Data Entry'!$E6676='Visual SPC'!$I$4),OR('Visual SPC'!$K$4="",'Data Entry'!$F6676='Visual SPC'!$K$4)),1,0))</f>
        <v/>
      </c>
      <c r="C6676">
        <f>C6675+B6676</f>
        <v/>
      </c>
      <c r="D6676">
        <f>IF(B6676=1,INDEX('Data Entry'!$H$5:$BE$10004,6676-4,'Visual SPC'!$B$3),"")</f>
        <v/>
      </c>
      <c r="E6676">
        <f>IF(B6676=1,D6676,E6675)</f>
        <v/>
      </c>
      <c r="F6676">
        <f>IF(AND(B6676=1,C6676&gt;1,E6675&lt;&gt;""),ABS(D6676-E6675),"")</f>
        <v/>
      </c>
    </row>
    <row r="6677">
      <c r="A6677" t="n">
        <v>6677</v>
      </c>
      <c r="B6677">
        <f>IF(INDEX('Data Entry'!$H$5:$BE$10004,6677-4,'Visual SPC'!$B$3)="",0,IF(AND(OR('Visual SPC'!$C$4="",'Data Entry'!$C6677&gt;='Visual SPC'!$C$4),OR('Visual SPC'!$E$4="",'Data Entry'!$C6677&lt;='Visual SPC'!$E$4),OR('Visual SPC'!$G$4="",'Data Entry'!$D6677='Visual SPC'!$G$4),OR('Visual SPC'!$I$4="",'Data Entry'!$E6677='Visual SPC'!$I$4),OR('Visual SPC'!$K$4="",'Data Entry'!$F6677='Visual SPC'!$K$4)),1,0))</f>
        <v/>
      </c>
      <c r="C6677">
        <f>C6676+B6677</f>
        <v/>
      </c>
      <c r="D6677">
        <f>IF(B6677=1,INDEX('Data Entry'!$H$5:$BE$10004,6677-4,'Visual SPC'!$B$3),"")</f>
        <v/>
      </c>
      <c r="E6677">
        <f>IF(B6677=1,D6677,E6676)</f>
        <v/>
      </c>
      <c r="F6677">
        <f>IF(AND(B6677=1,C6677&gt;1,E6676&lt;&gt;""),ABS(D6677-E6676),"")</f>
        <v/>
      </c>
    </row>
    <row r="6678">
      <c r="A6678" t="n">
        <v>6678</v>
      </c>
      <c r="B6678">
        <f>IF(INDEX('Data Entry'!$H$5:$BE$10004,6678-4,'Visual SPC'!$B$3)="",0,IF(AND(OR('Visual SPC'!$C$4="",'Data Entry'!$C6678&gt;='Visual SPC'!$C$4),OR('Visual SPC'!$E$4="",'Data Entry'!$C6678&lt;='Visual SPC'!$E$4),OR('Visual SPC'!$G$4="",'Data Entry'!$D6678='Visual SPC'!$G$4),OR('Visual SPC'!$I$4="",'Data Entry'!$E6678='Visual SPC'!$I$4),OR('Visual SPC'!$K$4="",'Data Entry'!$F6678='Visual SPC'!$K$4)),1,0))</f>
        <v/>
      </c>
      <c r="C6678">
        <f>C6677+B6678</f>
        <v/>
      </c>
      <c r="D6678">
        <f>IF(B6678=1,INDEX('Data Entry'!$H$5:$BE$10004,6678-4,'Visual SPC'!$B$3),"")</f>
        <v/>
      </c>
      <c r="E6678">
        <f>IF(B6678=1,D6678,E6677)</f>
        <v/>
      </c>
      <c r="F6678">
        <f>IF(AND(B6678=1,C6678&gt;1,E6677&lt;&gt;""),ABS(D6678-E6677),"")</f>
        <v/>
      </c>
    </row>
    <row r="6679">
      <c r="A6679" t="n">
        <v>6679</v>
      </c>
      <c r="B6679">
        <f>IF(INDEX('Data Entry'!$H$5:$BE$10004,6679-4,'Visual SPC'!$B$3)="",0,IF(AND(OR('Visual SPC'!$C$4="",'Data Entry'!$C6679&gt;='Visual SPC'!$C$4),OR('Visual SPC'!$E$4="",'Data Entry'!$C6679&lt;='Visual SPC'!$E$4),OR('Visual SPC'!$G$4="",'Data Entry'!$D6679='Visual SPC'!$G$4),OR('Visual SPC'!$I$4="",'Data Entry'!$E6679='Visual SPC'!$I$4),OR('Visual SPC'!$K$4="",'Data Entry'!$F6679='Visual SPC'!$K$4)),1,0))</f>
        <v/>
      </c>
      <c r="C6679">
        <f>C6678+B6679</f>
        <v/>
      </c>
      <c r="D6679">
        <f>IF(B6679=1,INDEX('Data Entry'!$H$5:$BE$10004,6679-4,'Visual SPC'!$B$3),"")</f>
        <v/>
      </c>
      <c r="E6679">
        <f>IF(B6679=1,D6679,E6678)</f>
        <v/>
      </c>
      <c r="F6679">
        <f>IF(AND(B6679=1,C6679&gt;1,E6678&lt;&gt;""),ABS(D6679-E6678),"")</f>
        <v/>
      </c>
    </row>
    <row r="6680">
      <c r="A6680" t="n">
        <v>6680</v>
      </c>
      <c r="B6680">
        <f>IF(INDEX('Data Entry'!$H$5:$BE$10004,6680-4,'Visual SPC'!$B$3)="",0,IF(AND(OR('Visual SPC'!$C$4="",'Data Entry'!$C6680&gt;='Visual SPC'!$C$4),OR('Visual SPC'!$E$4="",'Data Entry'!$C6680&lt;='Visual SPC'!$E$4),OR('Visual SPC'!$G$4="",'Data Entry'!$D6680='Visual SPC'!$G$4),OR('Visual SPC'!$I$4="",'Data Entry'!$E6680='Visual SPC'!$I$4),OR('Visual SPC'!$K$4="",'Data Entry'!$F6680='Visual SPC'!$K$4)),1,0))</f>
        <v/>
      </c>
      <c r="C6680">
        <f>C6679+B6680</f>
        <v/>
      </c>
      <c r="D6680">
        <f>IF(B6680=1,INDEX('Data Entry'!$H$5:$BE$10004,6680-4,'Visual SPC'!$B$3),"")</f>
        <v/>
      </c>
      <c r="E6680">
        <f>IF(B6680=1,D6680,E6679)</f>
        <v/>
      </c>
      <c r="F6680">
        <f>IF(AND(B6680=1,C6680&gt;1,E6679&lt;&gt;""),ABS(D6680-E6679),"")</f>
        <v/>
      </c>
    </row>
    <row r="6681">
      <c r="A6681" t="n">
        <v>6681</v>
      </c>
      <c r="B6681">
        <f>IF(INDEX('Data Entry'!$H$5:$BE$10004,6681-4,'Visual SPC'!$B$3)="",0,IF(AND(OR('Visual SPC'!$C$4="",'Data Entry'!$C6681&gt;='Visual SPC'!$C$4),OR('Visual SPC'!$E$4="",'Data Entry'!$C6681&lt;='Visual SPC'!$E$4),OR('Visual SPC'!$G$4="",'Data Entry'!$D6681='Visual SPC'!$G$4),OR('Visual SPC'!$I$4="",'Data Entry'!$E6681='Visual SPC'!$I$4),OR('Visual SPC'!$K$4="",'Data Entry'!$F6681='Visual SPC'!$K$4)),1,0))</f>
        <v/>
      </c>
      <c r="C6681">
        <f>C6680+B6681</f>
        <v/>
      </c>
      <c r="D6681">
        <f>IF(B6681=1,INDEX('Data Entry'!$H$5:$BE$10004,6681-4,'Visual SPC'!$B$3),"")</f>
        <v/>
      </c>
      <c r="E6681">
        <f>IF(B6681=1,D6681,E6680)</f>
        <v/>
      </c>
      <c r="F6681">
        <f>IF(AND(B6681=1,C6681&gt;1,E6680&lt;&gt;""),ABS(D6681-E6680),"")</f>
        <v/>
      </c>
    </row>
    <row r="6682">
      <c r="A6682" t="n">
        <v>6682</v>
      </c>
      <c r="B6682">
        <f>IF(INDEX('Data Entry'!$H$5:$BE$10004,6682-4,'Visual SPC'!$B$3)="",0,IF(AND(OR('Visual SPC'!$C$4="",'Data Entry'!$C6682&gt;='Visual SPC'!$C$4),OR('Visual SPC'!$E$4="",'Data Entry'!$C6682&lt;='Visual SPC'!$E$4),OR('Visual SPC'!$G$4="",'Data Entry'!$D6682='Visual SPC'!$G$4),OR('Visual SPC'!$I$4="",'Data Entry'!$E6682='Visual SPC'!$I$4),OR('Visual SPC'!$K$4="",'Data Entry'!$F6682='Visual SPC'!$K$4)),1,0))</f>
        <v/>
      </c>
      <c r="C6682">
        <f>C6681+B6682</f>
        <v/>
      </c>
      <c r="D6682">
        <f>IF(B6682=1,INDEX('Data Entry'!$H$5:$BE$10004,6682-4,'Visual SPC'!$B$3),"")</f>
        <v/>
      </c>
      <c r="E6682">
        <f>IF(B6682=1,D6682,E6681)</f>
        <v/>
      </c>
      <c r="F6682">
        <f>IF(AND(B6682=1,C6682&gt;1,E6681&lt;&gt;""),ABS(D6682-E6681),"")</f>
        <v/>
      </c>
    </row>
    <row r="6683">
      <c r="A6683" t="n">
        <v>6683</v>
      </c>
      <c r="B6683">
        <f>IF(INDEX('Data Entry'!$H$5:$BE$10004,6683-4,'Visual SPC'!$B$3)="",0,IF(AND(OR('Visual SPC'!$C$4="",'Data Entry'!$C6683&gt;='Visual SPC'!$C$4),OR('Visual SPC'!$E$4="",'Data Entry'!$C6683&lt;='Visual SPC'!$E$4),OR('Visual SPC'!$G$4="",'Data Entry'!$D6683='Visual SPC'!$G$4),OR('Visual SPC'!$I$4="",'Data Entry'!$E6683='Visual SPC'!$I$4),OR('Visual SPC'!$K$4="",'Data Entry'!$F6683='Visual SPC'!$K$4)),1,0))</f>
        <v/>
      </c>
      <c r="C6683">
        <f>C6682+B6683</f>
        <v/>
      </c>
      <c r="D6683">
        <f>IF(B6683=1,INDEX('Data Entry'!$H$5:$BE$10004,6683-4,'Visual SPC'!$B$3),"")</f>
        <v/>
      </c>
      <c r="E6683">
        <f>IF(B6683=1,D6683,E6682)</f>
        <v/>
      </c>
      <c r="F6683">
        <f>IF(AND(B6683=1,C6683&gt;1,E6682&lt;&gt;""),ABS(D6683-E6682),"")</f>
        <v/>
      </c>
    </row>
    <row r="6684">
      <c r="A6684" t="n">
        <v>6684</v>
      </c>
      <c r="B6684">
        <f>IF(INDEX('Data Entry'!$H$5:$BE$10004,6684-4,'Visual SPC'!$B$3)="",0,IF(AND(OR('Visual SPC'!$C$4="",'Data Entry'!$C6684&gt;='Visual SPC'!$C$4),OR('Visual SPC'!$E$4="",'Data Entry'!$C6684&lt;='Visual SPC'!$E$4),OR('Visual SPC'!$G$4="",'Data Entry'!$D6684='Visual SPC'!$G$4),OR('Visual SPC'!$I$4="",'Data Entry'!$E6684='Visual SPC'!$I$4),OR('Visual SPC'!$K$4="",'Data Entry'!$F6684='Visual SPC'!$K$4)),1,0))</f>
        <v/>
      </c>
      <c r="C6684">
        <f>C6683+B6684</f>
        <v/>
      </c>
      <c r="D6684">
        <f>IF(B6684=1,INDEX('Data Entry'!$H$5:$BE$10004,6684-4,'Visual SPC'!$B$3),"")</f>
        <v/>
      </c>
      <c r="E6684">
        <f>IF(B6684=1,D6684,E6683)</f>
        <v/>
      </c>
      <c r="F6684">
        <f>IF(AND(B6684=1,C6684&gt;1,E6683&lt;&gt;""),ABS(D6684-E6683),"")</f>
        <v/>
      </c>
    </row>
    <row r="6685">
      <c r="A6685" t="n">
        <v>6685</v>
      </c>
      <c r="B6685">
        <f>IF(INDEX('Data Entry'!$H$5:$BE$10004,6685-4,'Visual SPC'!$B$3)="",0,IF(AND(OR('Visual SPC'!$C$4="",'Data Entry'!$C6685&gt;='Visual SPC'!$C$4),OR('Visual SPC'!$E$4="",'Data Entry'!$C6685&lt;='Visual SPC'!$E$4),OR('Visual SPC'!$G$4="",'Data Entry'!$D6685='Visual SPC'!$G$4),OR('Visual SPC'!$I$4="",'Data Entry'!$E6685='Visual SPC'!$I$4),OR('Visual SPC'!$K$4="",'Data Entry'!$F6685='Visual SPC'!$K$4)),1,0))</f>
        <v/>
      </c>
      <c r="C6685">
        <f>C6684+B6685</f>
        <v/>
      </c>
      <c r="D6685">
        <f>IF(B6685=1,INDEX('Data Entry'!$H$5:$BE$10004,6685-4,'Visual SPC'!$B$3),"")</f>
        <v/>
      </c>
      <c r="E6685">
        <f>IF(B6685=1,D6685,E6684)</f>
        <v/>
      </c>
      <c r="F6685">
        <f>IF(AND(B6685=1,C6685&gt;1,E6684&lt;&gt;""),ABS(D6685-E6684),"")</f>
        <v/>
      </c>
    </row>
    <row r="6686">
      <c r="A6686" t="n">
        <v>6686</v>
      </c>
      <c r="B6686">
        <f>IF(INDEX('Data Entry'!$H$5:$BE$10004,6686-4,'Visual SPC'!$B$3)="",0,IF(AND(OR('Visual SPC'!$C$4="",'Data Entry'!$C6686&gt;='Visual SPC'!$C$4),OR('Visual SPC'!$E$4="",'Data Entry'!$C6686&lt;='Visual SPC'!$E$4),OR('Visual SPC'!$G$4="",'Data Entry'!$D6686='Visual SPC'!$G$4),OR('Visual SPC'!$I$4="",'Data Entry'!$E6686='Visual SPC'!$I$4),OR('Visual SPC'!$K$4="",'Data Entry'!$F6686='Visual SPC'!$K$4)),1,0))</f>
        <v/>
      </c>
      <c r="C6686">
        <f>C6685+B6686</f>
        <v/>
      </c>
      <c r="D6686">
        <f>IF(B6686=1,INDEX('Data Entry'!$H$5:$BE$10004,6686-4,'Visual SPC'!$B$3),"")</f>
        <v/>
      </c>
      <c r="E6686">
        <f>IF(B6686=1,D6686,E6685)</f>
        <v/>
      </c>
      <c r="F6686">
        <f>IF(AND(B6686=1,C6686&gt;1,E6685&lt;&gt;""),ABS(D6686-E6685),"")</f>
        <v/>
      </c>
    </row>
    <row r="6687">
      <c r="A6687" t="n">
        <v>6687</v>
      </c>
      <c r="B6687">
        <f>IF(INDEX('Data Entry'!$H$5:$BE$10004,6687-4,'Visual SPC'!$B$3)="",0,IF(AND(OR('Visual SPC'!$C$4="",'Data Entry'!$C6687&gt;='Visual SPC'!$C$4),OR('Visual SPC'!$E$4="",'Data Entry'!$C6687&lt;='Visual SPC'!$E$4),OR('Visual SPC'!$G$4="",'Data Entry'!$D6687='Visual SPC'!$G$4),OR('Visual SPC'!$I$4="",'Data Entry'!$E6687='Visual SPC'!$I$4),OR('Visual SPC'!$K$4="",'Data Entry'!$F6687='Visual SPC'!$K$4)),1,0))</f>
        <v/>
      </c>
      <c r="C6687">
        <f>C6686+B6687</f>
        <v/>
      </c>
      <c r="D6687">
        <f>IF(B6687=1,INDEX('Data Entry'!$H$5:$BE$10004,6687-4,'Visual SPC'!$B$3),"")</f>
        <v/>
      </c>
      <c r="E6687">
        <f>IF(B6687=1,D6687,E6686)</f>
        <v/>
      </c>
      <c r="F6687">
        <f>IF(AND(B6687=1,C6687&gt;1,E6686&lt;&gt;""),ABS(D6687-E6686),"")</f>
        <v/>
      </c>
    </row>
    <row r="6688">
      <c r="A6688" t="n">
        <v>6688</v>
      </c>
      <c r="B6688">
        <f>IF(INDEX('Data Entry'!$H$5:$BE$10004,6688-4,'Visual SPC'!$B$3)="",0,IF(AND(OR('Visual SPC'!$C$4="",'Data Entry'!$C6688&gt;='Visual SPC'!$C$4),OR('Visual SPC'!$E$4="",'Data Entry'!$C6688&lt;='Visual SPC'!$E$4),OR('Visual SPC'!$G$4="",'Data Entry'!$D6688='Visual SPC'!$G$4),OR('Visual SPC'!$I$4="",'Data Entry'!$E6688='Visual SPC'!$I$4),OR('Visual SPC'!$K$4="",'Data Entry'!$F6688='Visual SPC'!$K$4)),1,0))</f>
        <v/>
      </c>
      <c r="C6688">
        <f>C6687+B6688</f>
        <v/>
      </c>
      <c r="D6688">
        <f>IF(B6688=1,INDEX('Data Entry'!$H$5:$BE$10004,6688-4,'Visual SPC'!$B$3),"")</f>
        <v/>
      </c>
      <c r="E6688">
        <f>IF(B6688=1,D6688,E6687)</f>
        <v/>
      </c>
      <c r="F6688">
        <f>IF(AND(B6688=1,C6688&gt;1,E6687&lt;&gt;""),ABS(D6688-E6687),"")</f>
        <v/>
      </c>
    </row>
    <row r="6689">
      <c r="A6689" t="n">
        <v>6689</v>
      </c>
      <c r="B6689">
        <f>IF(INDEX('Data Entry'!$H$5:$BE$10004,6689-4,'Visual SPC'!$B$3)="",0,IF(AND(OR('Visual SPC'!$C$4="",'Data Entry'!$C6689&gt;='Visual SPC'!$C$4),OR('Visual SPC'!$E$4="",'Data Entry'!$C6689&lt;='Visual SPC'!$E$4),OR('Visual SPC'!$G$4="",'Data Entry'!$D6689='Visual SPC'!$G$4),OR('Visual SPC'!$I$4="",'Data Entry'!$E6689='Visual SPC'!$I$4),OR('Visual SPC'!$K$4="",'Data Entry'!$F6689='Visual SPC'!$K$4)),1,0))</f>
        <v/>
      </c>
      <c r="C6689">
        <f>C6688+B6689</f>
        <v/>
      </c>
      <c r="D6689">
        <f>IF(B6689=1,INDEX('Data Entry'!$H$5:$BE$10004,6689-4,'Visual SPC'!$B$3),"")</f>
        <v/>
      </c>
      <c r="E6689">
        <f>IF(B6689=1,D6689,E6688)</f>
        <v/>
      </c>
      <c r="F6689">
        <f>IF(AND(B6689=1,C6689&gt;1,E6688&lt;&gt;""),ABS(D6689-E6688),"")</f>
        <v/>
      </c>
    </row>
    <row r="6690">
      <c r="A6690" t="n">
        <v>6690</v>
      </c>
      <c r="B6690">
        <f>IF(INDEX('Data Entry'!$H$5:$BE$10004,6690-4,'Visual SPC'!$B$3)="",0,IF(AND(OR('Visual SPC'!$C$4="",'Data Entry'!$C6690&gt;='Visual SPC'!$C$4),OR('Visual SPC'!$E$4="",'Data Entry'!$C6690&lt;='Visual SPC'!$E$4),OR('Visual SPC'!$G$4="",'Data Entry'!$D6690='Visual SPC'!$G$4),OR('Visual SPC'!$I$4="",'Data Entry'!$E6690='Visual SPC'!$I$4),OR('Visual SPC'!$K$4="",'Data Entry'!$F6690='Visual SPC'!$K$4)),1,0))</f>
        <v/>
      </c>
      <c r="C6690">
        <f>C6689+B6690</f>
        <v/>
      </c>
      <c r="D6690">
        <f>IF(B6690=1,INDEX('Data Entry'!$H$5:$BE$10004,6690-4,'Visual SPC'!$B$3),"")</f>
        <v/>
      </c>
      <c r="E6690">
        <f>IF(B6690=1,D6690,E6689)</f>
        <v/>
      </c>
      <c r="F6690">
        <f>IF(AND(B6690=1,C6690&gt;1,E6689&lt;&gt;""),ABS(D6690-E6689),"")</f>
        <v/>
      </c>
    </row>
    <row r="6691">
      <c r="A6691" t="n">
        <v>6691</v>
      </c>
      <c r="B6691">
        <f>IF(INDEX('Data Entry'!$H$5:$BE$10004,6691-4,'Visual SPC'!$B$3)="",0,IF(AND(OR('Visual SPC'!$C$4="",'Data Entry'!$C6691&gt;='Visual SPC'!$C$4),OR('Visual SPC'!$E$4="",'Data Entry'!$C6691&lt;='Visual SPC'!$E$4),OR('Visual SPC'!$G$4="",'Data Entry'!$D6691='Visual SPC'!$G$4),OR('Visual SPC'!$I$4="",'Data Entry'!$E6691='Visual SPC'!$I$4),OR('Visual SPC'!$K$4="",'Data Entry'!$F6691='Visual SPC'!$K$4)),1,0))</f>
        <v/>
      </c>
      <c r="C6691">
        <f>C6690+B6691</f>
        <v/>
      </c>
      <c r="D6691">
        <f>IF(B6691=1,INDEX('Data Entry'!$H$5:$BE$10004,6691-4,'Visual SPC'!$B$3),"")</f>
        <v/>
      </c>
      <c r="E6691">
        <f>IF(B6691=1,D6691,E6690)</f>
        <v/>
      </c>
      <c r="F6691">
        <f>IF(AND(B6691=1,C6691&gt;1,E6690&lt;&gt;""),ABS(D6691-E6690),"")</f>
        <v/>
      </c>
    </row>
    <row r="6692">
      <c r="A6692" t="n">
        <v>6692</v>
      </c>
      <c r="B6692">
        <f>IF(INDEX('Data Entry'!$H$5:$BE$10004,6692-4,'Visual SPC'!$B$3)="",0,IF(AND(OR('Visual SPC'!$C$4="",'Data Entry'!$C6692&gt;='Visual SPC'!$C$4),OR('Visual SPC'!$E$4="",'Data Entry'!$C6692&lt;='Visual SPC'!$E$4),OR('Visual SPC'!$G$4="",'Data Entry'!$D6692='Visual SPC'!$G$4),OR('Visual SPC'!$I$4="",'Data Entry'!$E6692='Visual SPC'!$I$4),OR('Visual SPC'!$K$4="",'Data Entry'!$F6692='Visual SPC'!$K$4)),1,0))</f>
        <v/>
      </c>
      <c r="C6692">
        <f>C6691+B6692</f>
        <v/>
      </c>
      <c r="D6692">
        <f>IF(B6692=1,INDEX('Data Entry'!$H$5:$BE$10004,6692-4,'Visual SPC'!$B$3),"")</f>
        <v/>
      </c>
      <c r="E6692">
        <f>IF(B6692=1,D6692,E6691)</f>
        <v/>
      </c>
      <c r="F6692">
        <f>IF(AND(B6692=1,C6692&gt;1,E6691&lt;&gt;""),ABS(D6692-E6691),"")</f>
        <v/>
      </c>
    </row>
    <row r="6693">
      <c r="A6693" t="n">
        <v>6693</v>
      </c>
      <c r="B6693">
        <f>IF(INDEX('Data Entry'!$H$5:$BE$10004,6693-4,'Visual SPC'!$B$3)="",0,IF(AND(OR('Visual SPC'!$C$4="",'Data Entry'!$C6693&gt;='Visual SPC'!$C$4),OR('Visual SPC'!$E$4="",'Data Entry'!$C6693&lt;='Visual SPC'!$E$4),OR('Visual SPC'!$G$4="",'Data Entry'!$D6693='Visual SPC'!$G$4),OR('Visual SPC'!$I$4="",'Data Entry'!$E6693='Visual SPC'!$I$4),OR('Visual SPC'!$K$4="",'Data Entry'!$F6693='Visual SPC'!$K$4)),1,0))</f>
        <v/>
      </c>
      <c r="C6693">
        <f>C6692+B6693</f>
        <v/>
      </c>
      <c r="D6693">
        <f>IF(B6693=1,INDEX('Data Entry'!$H$5:$BE$10004,6693-4,'Visual SPC'!$B$3),"")</f>
        <v/>
      </c>
      <c r="E6693">
        <f>IF(B6693=1,D6693,E6692)</f>
        <v/>
      </c>
      <c r="F6693">
        <f>IF(AND(B6693=1,C6693&gt;1,E6692&lt;&gt;""),ABS(D6693-E6692),"")</f>
        <v/>
      </c>
    </row>
    <row r="6694">
      <c r="A6694" t="n">
        <v>6694</v>
      </c>
      <c r="B6694">
        <f>IF(INDEX('Data Entry'!$H$5:$BE$10004,6694-4,'Visual SPC'!$B$3)="",0,IF(AND(OR('Visual SPC'!$C$4="",'Data Entry'!$C6694&gt;='Visual SPC'!$C$4),OR('Visual SPC'!$E$4="",'Data Entry'!$C6694&lt;='Visual SPC'!$E$4),OR('Visual SPC'!$G$4="",'Data Entry'!$D6694='Visual SPC'!$G$4),OR('Visual SPC'!$I$4="",'Data Entry'!$E6694='Visual SPC'!$I$4),OR('Visual SPC'!$K$4="",'Data Entry'!$F6694='Visual SPC'!$K$4)),1,0))</f>
        <v/>
      </c>
      <c r="C6694">
        <f>C6693+B6694</f>
        <v/>
      </c>
      <c r="D6694">
        <f>IF(B6694=1,INDEX('Data Entry'!$H$5:$BE$10004,6694-4,'Visual SPC'!$B$3),"")</f>
        <v/>
      </c>
      <c r="E6694">
        <f>IF(B6694=1,D6694,E6693)</f>
        <v/>
      </c>
      <c r="F6694">
        <f>IF(AND(B6694=1,C6694&gt;1,E6693&lt;&gt;""),ABS(D6694-E6693),"")</f>
        <v/>
      </c>
    </row>
    <row r="6695">
      <c r="A6695" t="n">
        <v>6695</v>
      </c>
      <c r="B6695">
        <f>IF(INDEX('Data Entry'!$H$5:$BE$10004,6695-4,'Visual SPC'!$B$3)="",0,IF(AND(OR('Visual SPC'!$C$4="",'Data Entry'!$C6695&gt;='Visual SPC'!$C$4),OR('Visual SPC'!$E$4="",'Data Entry'!$C6695&lt;='Visual SPC'!$E$4),OR('Visual SPC'!$G$4="",'Data Entry'!$D6695='Visual SPC'!$G$4),OR('Visual SPC'!$I$4="",'Data Entry'!$E6695='Visual SPC'!$I$4),OR('Visual SPC'!$K$4="",'Data Entry'!$F6695='Visual SPC'!$K$4)),1,0))</f>
        <v/>
      </c>
      <c r="C6695">
        <f>C6694+B6695</f>
        <v/>
      </c>
      <c r="D6695">
        <f>IF(B6695=1,INDEX('Data Entry'!$H$5:$BE$10004,6695-4,'Visual SPC'!$B$3),"")</f>
        <v/>
      </c>
      <c r="E6695">
        <f>IF(B6695=1,D6695,E6694)</f>
        <v/>
      </c>
      <c r="F6695">
        <f>IF(AND(B6695=1,C6695&gt;1,E6694&lt;&gt;""),ABS(D6695-E6694),"")</f>
        <v/>
      </c>
    </row>
    <row r="6696">
      <c r="A6696" t="n">
        <v>6696</v>
      </c>
      <c r="B6696">
        <f>IF(INDEX('Data Entry'!$H$5:$BE$10004,6696-4,'Visual SPC'!$B$3)="",0,IF(AND(OR('Visual SPC'!$C$4="",'Data Entry'!$C6696&gt;='Visual SPC'!$C$4),OR('Visual SPC'!$E$4="",'Data Entry'!$C6696&lt;='Visual SPC'!$E$4),OR('Visual SPC'!$G$4="",'Data Entry'!$D6696='Visual SPC'!$G$4),OR('Visual SPC'!$I$4="",'Data Entry'!$E6696='Visual SPC'!$I$4),OR('Visual SPC'!$K$4="",'Data Entry'!$F6696='Visual SPC'!$K$4)),1,0))</f>
        <v/>
      </c>
      <c r="C6696">
        <f>C6695+B6696</f>
        <v/>
      </c>
      <c r="D6696">
        <f>IF(B6696=1,INDEX('Data Entry'!$H$5:$BE$10004,6696-4,'Visual SPC'!$B$3),"")</f>
        <v/>
      </c>
      <c r="E6696">
        <f>IF(B6696=1,D6696,E6695)</f>
        <v/>
      </c>
      <c r="F6696">
        <f>IF(AND(B6696=1,C6696&gt;1,E6695&lt;&gt;""),ABS(D6696-E6695),"")</f>
        <v/>
      </c>
    </row>
    <row r="6697">
      <c r="A6697" t="n">
        <v>6697</v>
      </c>
      <c r="B6697">
        <f>IF(INDEX('Data Entry'!$H$5:$BE$10004,6697-4,'Visual SPC'!$B$3)="",0,IF(AND(OR('Visual SPC'!$C$4="",'Data Entry'!$C6697&gt;='Visual SPC'!$C$4),OR('Visual SPC'!$E$4="",'Data Entry'!$C6697&lt;='Visual SPC'!$E$4),OR('Visual SPC'!$G$4="",'Data Entry'!$D6697='Visual SPC'!$G$4),OR('Visual SPC'!$I$4="",'Data Entry'!$E6697='Visual SPC'!$I$4),OR('Visual SPC'!$K$4="",'Data Entry'!$F6697='Visual SPC'!$K$4)),1,0))</f>
        <v/>
      </c>
      <c r="C6697">
        <f>C6696+B6697</f>
        <v/>
      </c>
      <c r="D6697">
        <f>IF(B6697=1,INDEX('Data Entry'!$H$5:$BE$10004,6697-4,'Visual SPC'!$B$3),"")</f>
        <v/>
      </c>
      <c r="E6697">
        <f>IF(B6697=1,D6697,E6696)</f>
        <v/>
      </c>
      <c r="F6697">
        <f>IF(AND(B6697=1,C6697&gt;1,E6696&lt;&gt;""),ABS(D6697-E6696),"")</f>
        <v/>
      </c>
    </row>
    <row r="6698">
      <c r="A6698" t="n">
        <v>6698</v>
      </c>
      <c r="B6698">
        <f>IF(INDEX('Data Entry'!$H$5:$BE$10004,6698-4,'Visual SPC'!$B$3)="",0,IF(AND(OR('Visual SPC'!$C$4="",'Data Entry'!$C6698&gt;='Visual SPC'!$C$4),OR('Visual SPC'!$E$4="",'Data Entry'!$C6698&lt;='Visual SPC'!$E$4),OR('Visual SPC'!$G$4="",'Data Entry'!$D6698='Visual SPC'!$G$4),OR('Visual SPC'!$I$4="",'Data Entry'!$E6698='Visual SPC'!$I$4),OR('Visual SPC'!$K$4="",'Data Entry'!$F6698='Visual SPC'!$K$4)),1,0))</f>
        <v/>
      </c>
      <c r="C6698">
        <f>C6697+B6698</f>
        <v/>
      </c>
      <c r="D6698">
        <f>IF(B6698=1,INDEX('Data Entry'!$H$5:$BE$10004,6698-4,'Visual SPC'!$B$3),"")</f>
        <v/>
      </c>
      <c r="E6698">
        <f>IF(B6698=1,D6698,E6697)</f>
        <v/>
      </c>
      <c r="F6698">
        <f>IF(AND(B6698=1,C6698&gt;1,E6697&lt;&gt;""),ABS(D6698-E6697),"")</f>
        <v/>
      </c>
    </row>
    <row r="6699">
      <c r="A6699" t="n">
        <v>6699</v>
      </c>
      <c r="B6699">
        <f>IF(INDEX('Data Entry'!$H$5:$BE$10004,6699-4,'Visual SPC'!$B$3)="",0,IF(AND(OR('Visual SPC'!$C$4="",'Data Entry'!$C6699&gt;='Visual SPC'!$C$4),OR('Visual SPC'!$E$4="",'Data Entry'!$C6699&lt;='Visual SPC'!$E$4),OR('Visual SPC'!$G$4="",'Data Entry'!$D6699='Visual SPC'!$G$4),OR('Visual SPC'!$I$4="",'Data Entry'!$E6699='Visual SPC'!$I$4),OR('Visual SPC'!$K$4="",'Data Entry'!$F6699='Visual SPC'!$K$4)),1,0))</f>
        <v/>
      </c>
      <c r="C6699">
        <f>C6698+B6699</f>
        <v/>
      </c>
      <c r="D6699">
        <f>IF(B6699=1,INDEX('Data Entry'!$H$5:$BE$10004,6699-4,'Visual SPC'!$B$3),"")</f>
        <v/>
      </c>
      <c r="E6699">
        <f>IF(B6699=1,D6699,E6698)</f>
        <v/>
      </c>
      <c r="F6699">
        <f>IF(AND(B6699=1,C6699&gt;1,E6698&lt;&gt;""),ABS(D6699-E6698),"")</f>
        <v/>
      </c>
    </row>
    <row r="6700">
      <c r="A6700" t="n">
        <v>6700</v>
      </c>
      <c r="B6700">
        <f>IF(INDEX('Data Entry'!$H$5:$BE$10004,6700-4,'Visual SPC'!$B$3)="",0,IF(AND(OR('Visual SPC'!$C$4="",'Data Entry'!$C6700&gt;='Visual SPC'!$C$4),OR('Visual SPC'!$E$4="",'Data Entry'!$C6700&lt;='Visual SPC'!$E$4),OR('Visual SPC'!$G$4="",'Data Entry'!$D6700='Visual SPC'!$G$4),OR('Visual SPC'!$I$4="",'Data Entry'!$E6700='Visual SPC'!$I$4),OR('Visual SPC'!$K$4="",'Data Entry'!$F6700='Visual SPC'!$K$4)),1,0))</f>
        <v/>
      </c>
      <c r="C6700">
        <f>C6699+B6700</f>
        <v/>
      </c>
      <c r="D6700">
        <f>IF(B6700=1,INDEX('Data Entry'!$H$5:$BE$10004,6700-4,'Visual SPC'!$B$3),"")</f>
        <v/>
      </c>
      <c r="E6700">
        <f>IF(B6700=1,D6700,E6699)</f>
        <v/>
      </c>
      <c r="F6700">
        <f>IF(AND(B6700=1,C6700&gt;1,E6699&lt;&gt;""),ABS(D6700-E6699),"")</f>
        <v/>
      </c>
    </row>
    <row r="6701">
      <c r="A6701" t="n">
        <v>6701</v>
      </c>
      <c r="B6701">
        <f>IF(INDEX('Data Entry'!$H$5:$BE$10004,6701-4,'Visual SPC'!$B$3)="",0,IF(AND(OR('Visual SPC'!$C$4="",'Data Entry'!$C6701&gt;='Visual SPC'!$C$4),OR('Visual SPC'!$E$4="",'Data Entry'!$C6701&lt;='Visual SPC'!$E$4),OR('Visual SPC'!$G$4="",'Data Entry'!$D6701='Visual SPC'!$G$4),OR('Visual SPC'!$I$4="",'Data Entry'!$E6701='Visual SPC'!$I$4),OR('Visual SPC'!$K$4="",'Data Entry'!$F6701='Visual SPC'!$K$4)),1,0))</f>
        <v/>
      </c>
      <c r="C6701">
        <f>C6700+B6701</f>
        <v/>
      </c>
      <c r="D6701">
        <f>IF(B6701=1,INDEX('Data Entry'!$H$5:$BE$10004,6701-4,'Visual SPC'!$B$3),"")</f>
        <v/>
      </c>
      <c r="E6701">
        <f>IF(B6701=1,D6701,E6700)</f>
        <v/>
      </c>
      <c r="F6701">
        <f>IF(AND(B6701=1,C6701&gt;1,E6700&lt;&gt;""),ABS(D6701-E6700),"")</f>
        <v/>
      </c>
    </row>
    <row r="6702">
      <c r="A6702" t="n">
        <v>6702</v>
      </c>
      <c r="B6702">
        <f>IF(INDEX('Data Entry'!$H$5:$BE$10004,6702-4,'Visual SPC'!$B$3)="",0,IF(AND(OR('Visual SPC'!$C$4="",'Data Entry'!$C6702&gt;='Visual SPC'!$C$4),OR('Visual SPC'!$E$4="",'Data Entry'!$C6702&lt;='Visual SPC'!$E$4),OR('Visual SPC'!$G$4="",'Data Entry'!$D6702='Visual SPC'!$G$4),OR('Visual SPC'!$I$4="",'Data Entry'!$E6702='Visual SPC'!$I$4),OR('Visual SPC'!$K$4="",'Data Entry'!$F6702='Visual SPC'!$K$4)),1,0))</f>
        <v/>
      </c>
      <c r="C6702">
        <f>C6701+B6702</f>
        <v/>
      </c>
      <c r="D6702">
        <f>IF(B6702=1,INDEX('Data Entry'!$H$5:$BE$10004,6702-4,'Visual SPC'!$B$3),"")</f>
        <v/>
      </c>
      <c r="E6702">
        <f>IF(B6702=1,D6702,E6701)</f>
        <v/>
      </c>
      <c r="F6702">
        <f>IF(AND(B6702=1,C6702&gt;1,E6701&lt;&gt;""),ABS(D6702-E6701),"")</f>
        <v/>
      </c>
    </row>
    <row r="6703">
      <c r="A6703" t="n">
        <v>6703</v>
      </c>
      <c r="B6703">
        <f>IF(INDEX('Data Entry'!$H$5:$BE$10004,6703-4,'Visual SPC'!$B$3)="",0,IF(AND(OR('Visual SPC'!$C$4="",'Data Entry'!$C6703&gt;='Visual SPC'!$C$4),OR('Visual SPC'!$E$4="",'Data Entry'!$C6703&lt;='Visual SPC'!$E$4),OR('Visual SPC'!$G$4="",'Data Entry'!$D6703='Visual SPC'!$G$4),OR('Visual SPC'!$I$4="",'Data Entry'!$E6703='Visual SPC'!$I$4),OR('Visual SPC'!$K$4="",'Data Entry'!$F6703='Visual SPC'!$K$4)),1,0))</f>
        <v/>
      </c>
      <c r="C6703">
        <f>C6702+B6703</f>
        <v/>
      </c>
      <c r="D6703">
        <f>IF(B6703=1,INDEX('Data Entry'!$H$5:$BE$10004,6703-4,'Visual SPC'!$B$3),"")</f>
        <v/>
      </c>
      <c r="E6703">
        <f>IF(B6703=1,D6703,E6702)</f>
        <v/>
      </c>
      <c r="F6703">
        <f>IF(AND(B6703=1,C6703&gt;1,E6702&lt;&gt;""),ABS(D6703-E6702),"")</f>
        <v/>
      </c>
    </row>
    <row r="6704">
      <c r="A6704" t="n">
        <v>6704</v>
      </c>
      <c r="B6704">
        <f>IF(INDEX('Data Entry'!$H$5:$BE$10004,6704-4,'Visual SPC'!$B$3)="",0,IF(AND(OR('Visual SPC'!$C$4="",'Data Entry'!$C6704&gt;='Visual SPC'!$C$4),OR('Visual SPC'!$E$4="",'Data Entry'!$C6704&lt;='Visual SPC'!$E$4),OR('Visual SPC'!$G$4="",'Data Entry'!$D6704='Visual SPC'!$G$4),OR('Visual SPC'!$I$4="",'Data Entry'!$E6704='Visual SPC'!$I$4),OR('Visual SPC'!$K$4="",'Data Entry'!$F6704='Visual SPC'!$K$4)),1,0))</f>
        <v/>
      </c>
      <c r="C6704">
        <f>C6703+B6704</f>
        <v/>
      </c>
      <c r="D6704">
        <f>IF(B6704=1,INDEX('Data Entry'!$H$5:$BE$10004,6704-4,'Visual SPC'!$B$3),"")</f>
        <v/>
      </c>
      <c r="E6704">
        <f>IF(B6704=1,D6704,E6703)</f>
        <v/>
      </c>
      <c r="F6704">
        <f>IF(AND(B6704=1,C6704&gt;1,E6703&lt;&gt;""),ABS(D6704-E6703),"")</f>
        <v/>
      </c>
    </row>
    <row r="6705">
      <c r="A6705" t="n">
        <v>6705</v>
      </c>
      <c r="B6705">
        <f>IF(INDEX('Data Entry'!$H$5:$BE$10004,6705-4,'Visual SPC'!$B$3)="",0,IF(AND(OR('Visual SPC'!$C$4="",'Data Entry'!$C6705&gt;='Visual SPC'!$C$4),OR('Visual SPC'!$E$4="",'Data Entry'!$C6705&lt;='Visual SPC'!$E$4),OR('Visual SPC'!$G$4="",'Data Entry'!$D6705='Visual SPC'!$G$4),OR('Visual SPC'!$I$4="",'Data Entry'!$E6705='Visual SPC'!$I$4),OR('Visual SPC'!$K$4="",'Data Entry'!$F6705='Visual SPC'!$K$4)),1,0))</f>
        <v/>
      </c>
      <c r="C6705">
        <f>C6704+B6705</f>
        <v/>
      </c>
      <c r="D6705">
        <f>IF(B6705=1,INDEX('Data Entry'!$H$5:$BE$10004,6705-4,'Visual SPC'!$B$3),"")</f>
        <v/>
      </c>
      <c r="E6705">
        <f>IF(B6705=1,D6705,E6704)</f>
        <v/>
      </c>
      <c r="F6705">
        <f>IF(AND(B6705=1,C6705&gt;1,E6704&lt;&gt;""),ABS(D6705-E6704),"")</f>
        <v/>
      </c>
    </row>
    <row r="6706">
      <c r="A6706" t="n">
        <v>6706</v>
      </c>
      <c r="B6706">
        <f>IF(INDEX('Data Entry'!$H$5:$BE$10004,6706-4,'Visual SPC'!$B$3)="",0,IF(AND(OR('Visual SPC'!$C$4="",'Data Entry'!$C6706&gt;='Visual SPC'!$C$4),OR('Visual SPC'!$E$4="",'Data Entry'!$C6706&lt;='Visual SPC'!$E$4),OR('Visual SPC'!$G$4="",'Data Entry'!$D6706='Visual SPC'!$G$4),OR('Visual SPC'!$I$4="",'Data Entry'!$E6706='Visual SPC'!$I$4),OR('Visual SPC'!$K$4="",'Data Entry'!$F6706='Visual SPC'!$K$4)),1,0))</f>
        <v/>
      </c>
      <c r="C6706">
        <f>C6705+B6706</f>
        <v/>
      </c>
      <c r="D6706">
        <f>IF(B6706=1,INDEX('Data Entry'!$H$5:$BE$10004,6706-4,'Visual SPC'!$B$3),"")</f>
        <v/>
      </c>
      <c r="E6706">
        <f>IF(B6706=1,D6706,E6705)</f>
        <v/>
      </c>
      <c r="F6706">
        <f>IF(AND(B6706=1,C6706&gt;1,E6705&lt;&gt;""),ABS(D6706-E6705),"")</f>
        <v/>
      </c>
    </row>
    <row r="6707">
      <c r="A6707" t="n">
        <v>6707</v>
      </c>
      <c r="B6707">
        <f>IF(INDEX('Data Entry'!$H$5:$BE$10004,6707-4,'Visual SPC'!$B$3)="",0,IF(AND(OR('Visual SPC'!$C$4="",'Data Entry'!$C6707&gt;='Visual SPC'!$C$4),OR('Visual SPC'!$E$4="",'Data Entry'!$C6707&lt;='Visual SPC'!$E$4),OR('Visual SPC'!$G$4="",'Data Entry'!$D6707='Visual SPC'!$G$4),OR('Visual SPC'!$I$4="",'Data Entry'!$E6707='Visual SPC'!$I$4),OR('Visual SPC'!$K$4="",'Data Entry'!$F6707='Visual SPC'!$K$4)),1,0))</f>
        <v/>
      </c>
      <c r="C6707">
        <f>C6706+B6707</f>
        <v/>
      </c>
      <c r="D6707">
        <f>IF(B6707=1,INDEX('Data Entry'!$H$5:$BE$10004,6707-4,'Visual SPC'!$B$3),"")</f>
        <v/>
      </c>
      <c r="E6707">
        <f>IF(B6707=1,D6707,E6706)</f>
        <v/>
      </c>
      <c r="F6707">
        <f>IF(AND(B6707=1,C6707&gt;1,E6706&lt;&gt;""),ABS(D6707-E6706),"")</f>
        <v/>
      </c>
    </row>
    <row r="6708">
      <c r="A6708" t="n">
        <v>6708</v>
      </c>
      <c r="B6708">
        <f>IF(INDEX('Data Entry'!$H$5:$BE$10004,6708-4,'Visual SPC'!$B$3)="",0,IF(AND(OR('Visual SPC'!$C$4="",'Data Entry'!$C6708&gt;='Visual SPC'!$C$4),OR('Visual SPC'!$E$4="",'Data Entry'!$C6708&lt;='Visual SPC'!$E$4),OR('Visual SPC'!$G$4="",'Data Entry'!$D6708='Visual SPC'!$G$4),OR('Visual SPC'!$I$4="",'Data Entry'!$E6708='Visual SPC'!$I$4),OR('Visual SPC'!$K$4="",'Data Entry'!$F6708='Visual SPC'!$K$4)),1,0))</f>
        <v/>
      </c>
      <c r="C6708">
        <f>C6707+B6708</f>
        <v/>
      </c>
      <c r="D6708">
        <f>IF(B6708=1,INDEX('Data Entry'!$H$5:$BE$10004,6708-4,'Visual SPC'!$B$3),"")</f>
        <v/>
      </c>
      <c r="E6708">
        <f>IF(B6708=1,D6708,E6707)</f>
        <v/>
      </c>
      <c r="F6708">
        <f>IF(AND(B6708=1,C6708&gt;1,E6707&lt;&gt;""),ABS(D6708-E6707),"")</f>
        <v/>
      </c>
    </row>
    <row r="6709">
      <c r="A6709" t="n">
        <v>6709</v>
      </c>
      <c r="B6709">
        <f>IF(INDEX('Data Entry'!$H$5:$BE$10004,6709-4,'Visual SPC'!$B$3)="",0,IF(AND(OR('Visual SPC'!$C$4="",'Data Entry'!$C6709&gt;='Visual SPC'!$C$4),OR('Visual SPC'!$E$4="",'Data Entry'!$C6709&lt;='Visual SPC'!$E$4),OR('Visual SPC'!$G$4="",'Data Entry'!$D6709='Visual SPC'!$G$4),OR('Visual SPC'!$I$4="",'Data Entry'!$E6709='Visual SPC'!$I$4),OR('Visual SPC'!$K$4="",'Data Entry'!$F6709='Visual SPC'!$K$4)),1,0))</f>
        <v/>
      </c>
      <c r="C6709">
        <f>C6708+B6709</f>
        <v/>
      </c>
      <c r="D6709">
        <f>IF(B6709=1,INDEX('Data Entry'!$H$5:$BE$10004,6709-4,'Visual SPC'!$B$3),"")</f>
        <v/>
      </c>
      <c r="E6709">
        <f>IF(B6709=1,D6709,E6708)</f>
        <v/>
      </c>
      <c r="F6709">
        <f>IF(AND(B6709=1,C6709&gt;1,E6708&lt;&gt;""),ABS(D6709-E6708),"")</f>
        <v/>
      </c>
    </row>
    <row r="6710">
      <c r="A6710" t="n">
        <v>6710</v>
      </c>
      <c r="B6710">
        <f>IF(INDEX('Data Entry'!$H$5:$BE$10004,6710-4,'Visual SPC'!$B$3)="",0,IF(AND(OR('Visual SPC'!$C$4="",'Data Entry'!$C6710&gt;='Visual SPC'!$C$4),OR('Visual SPC'!$E$4="",'Data Entry'!$C6710&lt;='Visual SPC'!$E$4),OR('Visual SPC'!$G$4="",'Data Entry'!$D6710='Visual SPC'!$G$4),OR('Visual SPC'!$I$4="",'Data Entry'!$E6710='Visual SPC'!$I$4),OR('Visual SPC'!$K$4="",'Data Entry'!$F6710='Visual SPC'!$K$4)),1,0))</f>
        <v/>
      </c>
      <c r="C6710">
        <f>C6709+B6710</f>
        <v/>
      </c>
      <c r="D6710">
        <f>IF(B6710=1,INDEX('Data Entry'!$H$5:$BE$10004,6710-4,'Visual SPC'!$B$3),"")</f>
        <v/>
      </c>
      <c r="E6710">
        <f>IF(B6710=1,D6710,E6709)</f>
        <v/>
      </c>
      <c r="F6710">
        <f>IF(AND(B6710=1,C6710&gt;1,E6709&lt;&gt;""),ABS(D6710-E6709),"")</f>
        <v/>
      </c>
    </row>
    <row r="6711">
      <c r="A6711" t="n">
        <v>6711</v>
      </c>
      <c r="B6711">
        <f>IF(INDEX('Data Entry'!$H$5:$BE$10004,6711-4,'Visual SPC'!$B$3)="",0,IF(AND(OR('Visual SPC'!$C$4="",'Data Entry'!$C6711&gt;='Visual SPC'!$C$4),OR('Visual SPC'!$E$4="",'Data Entry'!$C6711&lt;='Visual SPC'!$E$4),OR('Visual SPC'!$G$4="",'Data Entry'!$D6711='Visual SPC'!$G$4),OR('Visual SPC'!$I$4="",'Data Entry'!$E6711='Visual SPC'!$I$4),OR('Visual SPC'!$K$4="",'Data Entry'!$F6711='Visual SPC'!$K$4)),1,0))</f>
        <v/>
      </c>
      <c r="C6711">
        <f>C6710+B6711</f>
        <v/>
      </c>
      <c r="D6711">
        <f>IF(B6711=1,INDEX('Data Entry'!$H$5:$BE$10004,6711-4,'Visual SPC'!$B$3),"")</f>
        <v/>
      </c>
      <c r="E6711">
        <f>IF(B6711=1,D6711,E6710)</f>
        <v/>
      </c>
      <c r="F6711">
        <f>IF(AND(B6711=1,C6711&gt;1,E6710&lt;&gt;""),ABS(D6711-E6710),"")</f>
        <v/>
      </c>
    </row>
    <row r="6712">
      <c r="A6712" t="n">
        <v>6712</v>
      </c>
      <c r="B6712">
        <f>IF(INDEX('Data Entry'!$H$5:$BE$10004,6712-4,'Visual SPC'!$B$3)="",0,IF(AND(OR('Visual SPC'!$C$4="",'Data Entry'!$C6712&gt;='Visual SPC'!$C$4),OR('Visual SPC'!$E$4="",'Data Entry'!$C6712&lt;='Visual SPC'!$E$4),OR('Visual SPC'!$G$4="",'Data Entry'!$D6712='Visual SPC'!$G$4),OR('Visual SPC'!$I$4="",'Data Entry'!$E6712='Visual SPC'!$I$4),OR('Visual SPC'!$K$4="",'Data Entry'!$F6712='Visual SPC'!$K$4)),1,0))</f>
        <v/>
      </c>
      <c r="C6712">
        <f>C6711+B6712</f>
        <v/>
      </c>
      <c r="D6712">
        <f>IF(B6712=1,INDEX('Data Entry'!$H$5:$BE$10004,6712-4,'Visual SPC'!$B$3),"")</f>
        <v/>
      </c>
      <c r="E6712">
        <f>IF(B6712=1,D6712,E6711)</f>
        <v/>
      </c>
      <c r="F6712">
        <f>IF(AND(B6712=1,C6712&gt;1,E6711&lt;&gt;""),ABS(D6712-E6711),"")</f>
        <v/>
      </c>
    </row>
    <row r="6713">
      <c r="A6713" t="n">
        <v>6713</v>
      </c>
      <c r="B6713">
        <f>IF(INDEX('Data Entry'!$H$5:$BE$10004,6713-4,'Visual SPC'!$B$3)="",0,IF(AND(OR('Visual SPC'!$C$4="",'Data Entry'!$C6713&gt;='Visual SPC'!$C$4),OR('Visual SPC'!$E$4="",'Data Entry'!$C6713&lt;='Visual SPC'!$E$4),OR('Visual SPC'!$G$4="",'Data Entry'!$D6713='Visual SPC'!$G$4),OR('Visual SPC'!$I$4="",'Data Entry'!$E6713='Visual SPC'!$I$4),OR('Visual SPC'!$K$4="",'Data Entry'!$F6713='Visual SPC'!$K$4)),1,0))</f>
        <v/>
      </c>
      <c r="C6713">
        <f>C6712+B6713</f>
        <v/>
      </c>
      <c r="D6713">
        <f>IF(B6713=1,INDEX('Data Entry'!$H$5:$BE$10004,6713-4,'Visual SPC'!$B$3),"")</f>
        <v/>
      </c>
      <c r="E6713">
        <f>IF(B6713=1,D6713,E6712)</f>
        <v/>
      </c>
      <c r="F6713">
        <f>IF(AND(B6713=1,C6713&gt;1,E6712&lt;&gt;""),ABS(D6713-E6712),"")</f>
        <v/>
      </c>
    </row>
    <row r="6714">
      <c r="A6714" t="n">
        <v>6714</v>
      </c>
      <c r="B6714">
        <f>IF(INDEX('Data Entry'!$H$5:$BE$10004,6714-4,'Visual SPC'!$B$3)="",0,IF(AND(OR('Visual SPC'!$C$4="",'Data Entry'!$C6714&gt;='Visual SPC'!$C$4),OR('Visual SPC'!$E$4="",'Data Entry'!$C6714&lt;='Visual SPC'!$E$4),OR('Visual SPC'!$G$4="",'Data Entry'!$D6714='Visual SPC'!$G$4),OR('Visual SPC'!$I$4="",'Data Entry'!$E6714='Visual SPC'!$I$4),OR('Visual SPC'!$K$4="",'Data Entry'!$F6714='Visual SPC'!$K$4)),1,0))</f>
        <v/>
      </c>
      <c r="C6714">
        <f>C6713+B6714</f>
        <v/>
      </c>
      <c r="D6714">
        <f>IF(B6714=1,INDEX('Data Entry'!$H$5:$BE$10004,6714-4,'Visual SPC'!$B$3),"")</f>
        <v/>
      </c>
      <c r="E6714">
        <f>IF(B6714=1,D6714,E6713)</f>
        <v/>
      </c>
      <c r="F6714">
        <f>IF(AND(B6714=1,C6714&gt;1,E6713&lt;&gt;""),ABS(D6714-E6713),"")</f>
        <v/>
      </c>
    </row>
    <row r="6715">
      <c r="A6715" t="n">
        <v>6715</v>
      </c>
      <c r="B6715">
        <f>IF(INDEX('Data Entry'!$H$5:$BE$10004,6715-4,'Visual SPC'!$B$3)="",0,IF(AND(OR('Visual SPC'!$C$4="",'Data Entry'!$C6715&gt;='Visual SPC'!$C$4),OR('Visual SPC'!$E$4="",'Data Entry'!$C6715&lt;='Visual SPC'!$E$4),OR('Visual SPC'!$G$4="",'Data Entry'!$D6715='Visual SPC'!$G$4),OR('Visual SPC'!$I$4="",'Data Entry'!$E6715='Visual SPC'!$I$4),OR('Visual SPC'!$K$4="",'Data Entry'!$F6715='Visual SPC'!$K$4)),1,0))</f>
        <v/>
      </c>
      <c r="C6715">
        <f>C6714+B6715</f>
        <v/>
      </c>
      <c r="D6715">
        <f>IF(B6715=1,INDEX('Data Entry'!$H$5:$BE$10004,6715-4,'Visual SPC'!$B$3),"")</f>
        <v/>
      </c>
      <c r="E6715">
        <f>IF(B6715=1,D6715,E6714)</f>
        <v/>
      </c>
      <c r="F6715">
        <f>IF(AND(B6715=1,C6715&gt;1,E6714&lt;&gt;""),ABS(D6715-E6714),"")</f>
        <v/>
      </c>
    </row>
    <row r="6716">
      <c r="A6716" t="n">
        <v>6716</v>
      </c>
      <c r="B6716">
        <f>IF(INDEX('Data Entry'!$H$5:$BE$10004,6716-4,'Visual SPC'!$B$3)="",0,IF(AND(OR('Visual SPC'!$C$4="",'Data Entry'!$C6716&gt;='Visual SPC'!$C$4),OR('Visual SPC'!$E$4="",'Data Entry'!$C6716&lt;='Visual SPC'!$E$4),OR('Visual SPC'!$G$4="",'Data Entry'!$D6716='Visual SPC'!$G$4),OR('Visual SPC'!$I$4="",'Data Entry'!$E6716='Visual SPC'!$I$4),OR('Visual SPC'!$K$4="",'Data Entry'!$F6716='Visual SPC'!$K$4)),1,0))</f>
        <v/>
      </c>
      <c r="C6716">
        <f>C6715+B6716</f>
        <v/>
      </c>
      <c r="D6716">
        <f>IF(B6716=1,INDEX('Data Entry'!$H$5:$BE$10004,6716-4,'Visual SPC'!$B$3),"")</f>
        <v/>
      </c>
      <c r="E6716">
        <f>IF(B6716=1,D6716,E6715)</f>
        <v/>
      </c>
      <c r="F6716">
        <f>IF(AND(B6716=1,C6716&gt;1,E6715&lt;&gt;""),ABS(D6716-E6715),"")</f>
        <v/>
      </c>
    </row>
    <row r="6717">
      <c r="A6717" t="n">
        <v>6717</v>
      </c>
      <c r="B6717">
        <f>IF(INDEX('Data Entry'!$H$5:$BE$10004,6717-4,'Visual SPC'!$B$3)="",0,IF(AND(OR('Visual SPC'!$C$4="",'Data Entry'!$C6717&gt;='Visual SPC'!$C$4),OR('Visual SPC'!$E$4="",'Data Entry'!$C6717&lt;='Visual SPC'!$E$4),OR('Visual SPC'!$G$4="",'Data Entry'!$D6717='Visual SPC'!$G$4),OR('Visual SPC'!$I$4="",'Data Entry'!$E6717='Visual SPC'!$I$4),OR('Visual SPC'!$K$4="",'Data Entry'!$F6717='Visual SPC'!$K$4)),1,0))</f>
        <v/>
      </c>
      <c r="C6717">
        <f>C6716+B6717</f>
        <v/>
      </c>
      <c r="D6717">
        <f>IF(B6717=1,INDEX('Data Entry'!$H$5:$BE$10004,6717-4,'Visual SPC'!$B$3),"")</f>
        <v/>
      </c>
      <c r="E6717">
        <f>IF(B6717=1,D6717,E6716)</f>
        <v/>
      </c>
      <c r="F6717">
        <f>IF(AND(B6717=1,C6717&gt;1,E6716&lt;&gt;""),ABS(D6717-E6716),"")</f>
        <v/>
      </c>
    </row>
    <row r="6718">
      <c r="A6718" t="n">
        <v>6718</v>
      </c>
      <c r="B6718">
        <f>IF(INDEX('Data Entry'!$H$5:$BE$10004,6718-4,'Visual SPC'!$B$3)="",0,IF(AND(OR('Visual SPC'!$C$4="",'Data Entry'!$C6718&gt;='Visual SPC'!$C$4),OR('Visual SPC'!$E$4="",'Data Entry'!$C6718&lt;='Visual SPC'!$E$4),OR('Visual SPC'!$G$4="",'Data Entry'!$D6718='Visual SPC'!$G$4),OR('Visual SPC'!$I$4="",'Data Entry'!$E6718='Visual SPC'!$I$4),OR('Visual SPC'!$K$4="",'Data Entry'!$F6718='Visual SPC'!$K$4)),1,0))</f>
        <v/>
      </c>
      <c r="C6718">
        <f>C6717+B6718</f>
        <v/>
      </c>
      <c r="D6718">
        <f>IF(B6718=1,INDEX('Data Entry'!$H$5:$BE$10004,6718-4,'Visual SPC'!$B$3),"")</f>
        <v/>
      </c>
      <c r="E6718">
        <f>IF(B6718=1,D6718,E6717)</f>
        <v/>
      </c>
      <c r="F6718">
        <f>IF(AND(B6718=1,C6718&gt;1,E6717&lt;&gt;""),ABS(D6718-E6717),"")</f>
        <v/>
      </c>
    </row>
    <row r="6719">
      <c r="A6719" t="n">
        <v>6719</v>
      </c>
      <c r="B6719">
        <f>IF(INDEX('Data Entry'!$H$5:$BE$10004,6719-4,'Visual SPC'!$B$3)="",0,IF(AND(OR('Visual SPC'!$C$4="",'Data Entry'!$C6719&gt;='Visual SPC'!$C$4),OR('Visual SPC'!$E$4="",'Data Entry'!$C6719&lt;='Visual SPC'!$E$4),OR('Visual SPC'!$G$4="",'Data Entry'!$D6719='Visual SPC'!$G$4),OR('Visual SPC'!$I$4="",'Data Entry'!$E6719='Visual SPC'!$I$4),OR('Visual SPC'!$K$4="",'Data Entry'!$F6719='Visual SPC'!$K$4)),1,0))</f>
        <v/>
      </c>
      <c r="C6719">
        <f>C6718+B6719</f>
        <v/>
      </c>
      <c r="D6719">
        <f>IF(B6719=1,INDEX('Data Entry'!$H$5:$BE$10004,6719-4,'Visual SPC'!$B$3),"")</f>
        <v/>
      </c>
      <c r="E6719">
        <f>IF(B6719=1,D6719,E6718)</f>
        <v/>
      </c>
      <c r="F6719">
        <f>IF(AND(B6719=1,C6719&gt;1,E6718&lt;&gt;""),ABS(D6719-E6718),"")</f>
        <v/>
      </c>
    </row>
    <row r="6720">
      <c r="A6720" t="n">
        <v>6720</v>
      </c>
      <c r="B6720">
        <f>IF(INDEX('Data Entry'!$H$5:$BE$10004,6720-4,'Visual SPC'!$B$3)="",0,IF(AND(OR('Visual SPC'!$C$4="",'Data Entry'!$C6720&gt;='Visual SPC'!$C$4),OR('Visual SPC'!$E$4="",'Data Entry'!$C6720&lt;='Visual SPC'!$E$4),OR('Visual SPC'!$G$4="",'Data Entry'!$D6720='Visual SPC'!$G$4),OR('Visual SPC'!$I$4="",'Data Entry'!$E6720='Visual SPC'!$I$4),OR('Visual SPC'!$K$4="",'Data Entry'!$F6720='Visual SPC'!$K$4)),1,0))</f>
        <v/>
      </c>
      <c r="C6720">
        <f>C6719+B6720</f>
        <v/>
      </c>
      <c r="D6720">
        <f>IF(B6720=1,INDEX('Data Entry'!$H$5:$BE$10004,6720-4,'Visual SPC'!$B$3),"")</f>
        <v/>
      </c>
      <c r="E6720">
        <f>IF(B6720=1,D6720,E6719)</f>
        <v/>
      </c>
      <c r="F6720">
        <f>IF(AND(B6720=1,C6720&gt;1,E6719&lt;&gt;""),ABS(D6720-E6719),"")</f>
        <v/>
      </c>
    </row>
    <row r="6721">
      <c r="A6721" t="n">
        <v>6721</v>
      </c>
      <c r="B6721">
        <f>IF(INDEX('Data Entry'!$H$5:$BE$10004,6721-4,'Visual SPC'!$B$3)="",0,IF(AND(OR('Visual SPC'!$C$4="",'Data Entry'!$C6721&gt;='Visual SPC'!$C$4),OR('Visual SPC'!$E$4="",'Data Entry'!$C6721&lt;='Visual SPC'!$E$4),OR('Visual SPC'!$G$4="",'Data Entry'!$D6721='Visual SPC'!$G$4),OR('Visual SPC'!$I$4="",'Data Entry'!$E6721='Visual SPC'!$I$4),OR('Visual SPC'!$K$4="",'Data Entry'!$F6721='Visual SPC'!$K$4)),1,0))</f>
        <v/>
      </c>
      <c r="C6721">
        <f>C6720+B6721</f>
        <v/>
      </c>
      <c r="D6721">
        <f>IF(B6721=1,INDEX('Data Entry'!$H$5:$BE$10004,6721-4,'Visual SPC'!$B$3),"")</f>
        <v/>
      </c>
      <c r="E6721">
        <f>IF(B6721=1,D6721,E6720)</f>
        <v/>
      </c>
      <c r="F6721">
        <f>IF(AND(B6721=1,C6721&gt;1,E6720&lt;&gt;""),ABS(D6721-E6720),"")</f>
        <v/>
      </c>
    </row>
    <row r="6722">
      <c r="A6722" t="n">
        <v>6722</v>
      </c>
      <c r="B6722">
        <f>IF(INDEX('Data Entry'!$H$5:$BE$10004,6722-4,'Visual SPC'!$B$3)="",0,IF(AND(OR('Visual SPC'!$C$4="",'Data Entry'!$C6722&gt;='Visual SPC'!$C$4),OR('Visual SPC'!$E$4="",'Data Entry'!$C6722&lt;='Visual SPC'!$E$4),OR('Visual SPC'!$G$4="",'Data Entry'!$D6722='Visual SPC'!$G$4),OR('Visual SPC'!$I$4="",'Data Entry'!$E6722='Visual SPC'!$I$4),OR('Visual SPC'!$K$4="",'Data Entry'!$F6722='Visual SPC'!$K$4)),1,0))</f>
        <v/>
      </c>
      <c r="C6722">
        <f>C6721+B6722</f>
        <v/>
      </c>
      <c r="D6722">
        <f>IF(B6722=1,INDEX('Data Entry'!$H$5:$BE$10004,6722-4,'Visual SPC'!$B$3),"")</f>
        <v/>
      </c>
      <c r="E6722">
        <f>IF(B6722=1,D6722,E6721)</f>
        <v/>
      </c>
      <c r="F6722">
        <f>IF(AND(B6722=1,C6722&gt;1,E6721&lt;&gt;""),ABS(D6722-E6721),"")</f>
        <v/>
      </c>
    </row>
    <row r="6723">
      <c r="A6723" t="n">
        <v>6723</v>
      </c>
      <c r="B6723">
        <f>IF(INDEX('Data Entry'!$H$5:$BE$10004,6723-4,'Visual SPC'!$B$3)="",0,IF(AND(OR('Visual SPC'!$C$4="",'Data Entry'!$C6723&gt;='Visual SPC'!$C$4),OR('Visual SPC'!$E$4="",'Data Entry'!$C6723&lt;='Visual SPC'!$E$4),OR('Visual SPC'!$G$4="",'Data Entry'!$D6723='Visual SPC'!$G$4),OR('Visual SPC'!$I$4="",'Data Entry'!$E6723='Visual SPC'!$I$4),OR('Visual SPC'!$K$4="",'Data Entry'!$F6723='Visual SPC'!$K$4)),1,0))</f>
        <v/>
      </c>
      <c r="C6723">
        <f>C6722+B6723</f>
        <v/>
      </c>
      <c r="D6723">
        <f>IF(B6723=1,INDEX('Data Entry'!$H$5:$BE$10004,6723-4,'Visual SPC'!$B$3),"")</f>
        <v/>
      </c>
      <c r="E6723">
        <f>IF(B6723=1,D6723,E6722)</f>
        <v/>
      </c>
      <c r="F6723">
        <f>IF(AND(B6723=1,C6723&gt;1,E6722&lt;&gt;""),ABS(D6723-E6722),"")</f>
        <v/>
      </c>
    </row>
    <row r="6724">
      <c r="A6724" t="n">
        <v>6724</v>
      </c>
      <c r="B6724">
        <f>IF(INDEX('Data Entry'!$H$5:$BE$10004,6724-4,'Visual SPC'!$B$3)="",0,IF(AND(OR('Visual SPC'!$C$4="",'Data Entry'!$C6724&gt;='Visual SPC'!$C$4),OR('Visual SPC'!$E$4="",'Data Entry'!$C6724&lt;='Visual SPC'!$E$4),OR('Visual SPC'!$G$4="",'Data Entry'!$D6724='Visual SPC'!$G$4),OR('Visual SPC'!$I$4="",'Data Entry'!$E6724='Visual SPC'!$I$4),OR('Visual SPC'!$K$4="",'Data Entry'!$F6724='Visual SPC'!$K$4)),1,0))</f>
        <v/>
      </c>
      <c r="C6724">
        <f>C6723+B6724</f>
        <v/>
      </c>
      <c r="D6724">
        <f>IF(B6724=1,INDEX('Data Entry'!$H$5:$BE$10004,6724-4,'Visual SPC'!$B$3),"")</f>
        <v/>
      </c>
      <c r="E6724">
        <f>IF(B6724=1,D6724,E6723)</f>
        <v/>
      </c>
      <c r="F6724">
        <f>IF(AND(B6724=1,C6724&gt;1,E6723&lt;&gt;""),ABS(D6724-E6723),"")</f>
        <v/>
      </c>
    </row>
    <row r="6725">
      <c r="A6725" t="n">
        <v>6725</v>
      </c>
      <c r="B6725">
        <f>IF(INDEX('Data Entry'!$H$5:$BE$10004,6725-4,'Visual SPC'!$B$3)="",0,IF(AND(OR('Visual SPC'!$C$4="",'Data Entry'!$C6725&gt;='Visual SPC'!$C$4),OR('Visual SPC'!$E$4="",'Data Entry'!$C6725&lt;='Visual SPC'!$E$4),OR('Visual SPC'!$G$4="",'Data Entry'!$D6725='Visual SPC'!$G$4),OR('Visual SPC'!$I$4="",'Data Entry'!$E6725='Visual SPC'!$I$4),OR('Visual SPC'!$K$4="",'Data Entry'!$F6725='Visual SPC'!$K$4)),1,0))</f>
        <v/>
      </c>
      <c r="C6725">
        <f>C6724+B6725</f>
        <v/>
      </c>
      <c r="D6725">
        <f>IF(B6725=1,INDEX('Data Entry'!$H$5:$BE$10004,6725-4,'Visual SPC'!$B$3),"")</f>
        <v/>
      </c>
      <c r="E6725">
        <f>IF(B6725=1,D6725,E6724)</f>
        <v/>
      </c>
      <c r="F6725">
        <f>IF(AND(B6725=1,C6725&gt;1,E6724&lt;&gt;""),ABS(D6725-E6724),"")</f>
        <v/>
      </c>
    </row>
    <row r="6726">
      <c r="A6726" t="n">
        <v>6726</v>
      </c>
      <c r="B6726">
        <f>IF(INDEX('Data Entry'!$H$5:$BE$10004,6726-4,'Visual SPC'!$B$3)="",0,IF(AND(OR('Visual SPC'!$C$4="",'Data Entry'!$C6726&gt;='Visual SPC'!$C$4),OR('Visual SPC'!$E$4="",'Data Entry'!$C6726&lt;='Visual SPC'!$E$4),OR('Visual SPC'!$G$4="",'Data Entry'!$D6726='Visual SPC'!$G$4),OR('Visual SPC'!$I$4="",'Data Entry'!$E6726='Visual SPC'!$I$4),OR('Visual SPC'!$K$4="",'Data Entry'!$F6726='Visual SPC'!$K$4)),1,0))</f>
        <v/>
      </c>
      <c r="C6726">
        <f>C6725+B6726</f>
        <v/>
      </c>
      <c r="D6726">
        <f>IF(B6726=1,INDEX('Data Entry'!$H$5:$BE$10004,6726-4,'Visual SPC'!$B$3),"")</f>
        <v/>
      </c>
      <c r="E6726">
        <f>IF(B6726=1,D6726,E6725)</f>
        <v/>
      </c>
      <c r="F6726">
        <f>IF(AND(B6726=1,C6726&gt;1,E6725&lt;&gt;""),ABS(D6726-E6725),"")</f>
        <v/>
      </c>
    </row>
    <row r="6727">
      <c r="A6727" t="n">
        <v>6727</v>
      </c>
      <c r="B6727">
        <f>IF(INDEX('Data Entry'!$H$5:$BE$10004,6727-4,'Visual SPC'!$B$3)="",0,IF(AND(OR('Visual SPC'!$C$4="",'Data Entry'!$C6727&gt;='Visual SPC'!$C$4),OR('Visual SPC'!$E$4="",'Data Entry'!$C6727&lt;='Visual SPC'!$E$4),OR('Visual SPC'!$G$4="",'Data Entry'!$D6727='Visual SPC'!$G$4),OR('Visual SPC'!$I$4="",'Data Entry'!$E6727='Visual SPC'!$I$4),OR('Visual SPC'!$K$4="",'Data Entry'!$F6727='Visual SPC'!$K$4)),1,0))</f>
        <v/>
      </c>
      <c r="C6727">
        <f>C6726+B6727</f>
        <v/>
      </c>
      <c r="D6727">
        <f>IF(B6727=1,INDEX('Data Entry'!$H$5:$BE$10004,6727-4,'Visual SPC'!$B$3),"")</f>
        <v/>
      </c>
      <c r="E6727">
        <f>IF(B6727=1,D6727,E6726)</f>
        <v/>
      </c>
      <c r="F6727">
        <f>IF(AND(B6727=1,C6727&gt;1,E6726&lt;&gt;""),ABS(D6727-E6726),"")</f>
        <v/>
      </c>
    </row>
    <row r="6728">
      <c r="A6728" t="n">
        <v>6728</v>
      </c>
      <c r="B6728">
        <f>IF(INDEX('Data Entry'!$H$5:$BE$10004,6728-4,'Visual SPC'!$B$3)="",0,IF(AND(OR('Visual SPC'!$C$4="",'Data Entry'!$C6728&gt;='Visual SPC'!$C$4),OR('Visual SPC'!$E$4="",'Data Entry'!$C6728&lt;='Visual SPC'!$E$4),OR('Visual SPC'!$G$4="",'Data Entry'!$D6728='Visual SPC'!$G$4),OR('Visual SPC'!$I$4="",'Data Entry'!$E6728='Visual SPC'!$I$4),OR('Visual SPC'!$K$4="",'Data Entry'!$F6728='Visual SPC'!$K$4)),1,0))</f>
        <v/>
      </c>
      <c r="C6728">
        <f>C6727+B6728</f>
        <v/>
      </c>
      <c r="D6728">
        <f>IF(B6728=1,INDEX('Data Entry'!$H$5:$BE$10004,6728-4,'Visual SPC'!$B$3),"")</f>
        <v/>
      </c>
      <c r="E6728">
        <f>IF(B6728=1,D6728,E6727)</f>
        <v/>
      </c>
      <c r="F6728">
        <f>IF(AND(B6728=1,C6728&gt;1,E6727&lt;&gt;""),ABS(D6728-E6727),"")</f>
        <v/>
      </c>
    </row>
    <row r="6729">
      <c r="A6729" t="n">
        <v>6729</v>
      </c>
      <c r="B6729">
        <f>IF(INDEX('Data Entry'!$H$5:$BE$10004,6729-4,'Visual SPC'!$B$3)="",0,IF(AND(OR('Visual SPC'!$C$4="",'Data Entry'!$C6729&gt;='Visual SPC'!$C$4),OR('Visual SPC'!$E$4="",'Data Entry'!$C6729&lt;='Visual SPC'!$E$4),OR('Visual SPC'!$G$4="",'Data Entry'!$D6729='Visual SPC'!$G$4),OR('Visual SPC'!$I$4="",'Data Entry'!$E6729='Visual SPC'!$I$4),OR('Visual SPC'!$K$4="",'Data Entry'!$F6729='Visual SPC'!$K$4)),1,0))</f>
        <v/>
      </c>
      <c r="C6729">
        <f>C6728+B6729</f>
        <v/>
      </c>
      <c r="D6729">
        <f>IF(B6729=1,INDEX('Data Entry'!$H$5:$BE$10004,6729-4,'Visual SPC'!$B$3),"")</f>
        <v/>
      </c>
      <c r="E6729">
        <f>IF(B6729=1,D6729,E6728)</f>
        <v/>
      </c>
      <c r="F6729">
        <f>IF(AND(B6729=1,C6729&gt;1,E6728&lt;&gt;""),ABS(D6729-E6728),"")</f>
        <v/>
      </c>
    </row>
    <row r="6730">
      <c r="A6730" t="n">
        <v>6730</v>
      </c>
      <c r="B6730">
        <f>IF(INDEX('Data Entry'!$H$5:$BE$10004,6730-4,'Visual SPC'!$B$3)="",0,IF(AND(OR('Visual SPC'!$C$4="",'Data Entry'!$C6730&gt;='Visual SPC'!$C$4),OR('Visual SPC'!$E$4="",'Data Entry'!$C6730&lt;='Visual SPC'!$E$4),OR('Visual SPC'!$G$4="",'Data Entry'!$D6730='Visual SPC'!$G$4),OR('Visual SPC'!$I$4="",'Data Entry'!$E6730='Visual SPC'!$I$4),OR('Visual SPC'!$K$4="",'Data Entry'!$F6730='Visual SPC'!$K$4)),1,0))</f>
        <v/>
      </c>
      <c r="C6730">
        <f>C6729+B6730</f>
        <v/>
      </c>
      <c r="D6730">
        <f>IF(B6730=1,INDEX('Data Entry'!$H$5:$BE$10004,6730-4,'Visual SPC'!$B$3),"")</f>
        <v/>
      </c>
      <c r="E6730">
        <f>IF(B6730=1,D6730,E6729)</f>
        <v/>
      </c>
      <c r="F6730">
        <f>IF(AND(B6730=1,C6730&gt;1,E6729&lt;&gt;""),ABS(D6730-E6729),"")</f>
        <v/>
      </c>
    </row>
    <row r="6731">
      <c r="A6731" t="n">
        <v>6731</v>
      </c>
      <c r="B6731">
        <f>IF(INDEX('Data Entry'!$H$5:$BE$10004,6731-4,'Visual SPC'!$B$3)="",0,IF(AND(OR('Visual SPC'!$C$4="",'Data Entry'!$C6731&gt;='Visual SPC'!$C$4),OR('Visual SPC'!$E$4="",'Data Entry'!$C6731&lt;='Visual SPC'!$E$4),OR('Visual SPC'!$G$4="",'Data Entry'!$D6731='Visual SPC'!$G$4),OR('Visual SPC'!$I$4="",'Data Entry'!$E6731='Visual SPC'!$I$4),OR('Visual SPC'!$K$4="",'Data Entry'!$F6731='Visual SPC'!$K$4)),1,0))</f>
        <v/>
      </c>
      <c r="C6731">
        <f>C6730+B6731</f>
        <v/>
      </c>
      <c r="D6731">
        <f>IF(B6731=1,INDEX('Data Entry'!$H$5:$BE$10004,6731-4,'Visual SPC'!$B$3),"")</f>
        <v/>
      </c>
      <c r="E6731">
        <f>IF(B6731=1,D6731,E6730)</f>
        <v/>
      </c>
      <c r="F6731">
        <f>IF(AND(B6731=1,C6731&gt;1,E6730&lt;&gt;""),ABS(D6731-E6730),"")</f>
        <v/>
      </c>
    </row>
    <row r="6732">
      <c r="A6732" t="n">
        <v>6732</v>
      </c>
      <c r="B6732">
        <f>IF(INDEX('Data Entry'!$H$5:$BE$10004,6732-4,'Visual SPC'!$B$3)="",0,IF(AND(OR('Visual SPC'!$C$4="",'Data Entry'!$C6732&gt;='Visual SPC'!$C$4),OR('Visual SPC'!$E$4="",'Data Entry'!$C6732&lt;='Visual SPC'!$E$4),OR('Visual SPC'!$G$4="",'Data Entry'!$D6732='Visual SPC'!$G$4),OR('Visual SPC'!$I$4="",'Data Entry'!$E6732='Visual SPC'!$I$4),OR('Visual SPC'!$K$4="",'Data Entry'!$F6732='Visual SPC'!$K$4)),1,0))</f>
        <v/>
      </c>
      <c r="C6732">
        <f>C6731+B6732</f>
        <v/>
      </c>
      <c r="D6732">
        <f>IF(B6732=1,INDEX('Data Entry'!$H$5:$BE$10004,6732-4,'Visual SPC'!$B$3),"")</f>
        <v/>
      </c>
      <c r="E6732">
        <f>IF(B6732=1,D6732,E6731)</f>
        <v/>
      </c>
      <c r="F6732">
        <f>IF(AND(B6732=1,C6732&gt;1,E6731&lt;&gt;""),ABS(D6732-E6731),"")</f>
        <v/>
      </c>
    </row>
    <row r="6733">
      <c r="A6733" t="n">
        <v>6733</v>
      </c>
      <c r="B6733">
        <f>IF(INDEX('Data Entry'!$H$5:$BE$10004,6733-4,'Visual SPC'!$B$3)="",0,IF(AND(OR('Visual SPC'!$C$4="",'Data Entry'!$C6733&gt;='Visual SPC'!$C$4),OR('Visual SPC'!$E$4="",'Data Entry'!$C6733&lt;='Visual SPC'!$E$4),OR('Visual SPC'!$G$4="",'Data Entry'!$D6733='Visual SPC'!$G$4),OR('Visual SPC'!$I$4="",'Data Entry'!$E6733='Visual SPC'!$I$4),OR('Visual SPC'!$K$4="",'Data Entry'!$F6733='Visual SPC'!$K$4)),1,0))</f>
        <v/>
      </c>
      <c r="C6733">
        <f>C6732+B6733</f>
        <v/>
      </c>
      <c r="D6733">
        <f>IF(B6733=1,INDEX('Data Entry'!$H$5:$BE$10004,6733-4,'Visual SPC'!$B$3),"")</f>
        <v/>
      </c>
      <c r="E6733">
        <f>IF(B6733=1,D6733,E6732)</f>
        <v/>
      </c>
      <c r="F6733">
        <f>IF(AND(B6733=1,C6733&gt;1,E6732&lt;&gt;""),ABS(D6733-E6732),"")</f>
        <v/>
      </c>
    </row>
    <row r="6734">
      <c r="A6734" t="n">
        <v>6734</v>
      </c>
      <c r="B6734">
        <f>IF(INDEX('Data Entry'!$H$5:$BE$10004,6734-4,'Visual SPC'!$B$3)="",0,IF(AND(OR('Visual SPC'!$C$4="",'Data Entry'!$C6734&gt;='Visual SPC'!$C$4),OR('Visual SPC'!$E$4="",'Data Entry'!$C6734&lt;='Visual SPC'!$E$4),OR('Visual SPC'!$G$4="",'Data Entry'!$D6734='Visual SPC'!$G$4),OR('Visual SPC'!$I$4="",'Data Entry'!$E6734='Visual SPC'!$I$4),OR('Visual SPC'!$K$4="",'Data Entry'!$F6734='Visual SPC'!$K$4)),1,0))</f>
        <v/>
      </c>
      <c r="C6734">
        <f>C6733+B6734</f>
        <v/>
      </c>
      <c r="D6734">
        <f>IF(B6734=1,INDEX('Data Entry'!$H$5:$BE$10004,6734-4,'Visual SPC'!$B$3),"")</f>
        <v/>
      </c>
      <c r="E6734">
        <f>IF(B6734=1,D6734,E6733)</f>
        <v/>
      </c>
      <c r="F6734">
        <f>IF(AND(B6734=1,C6734&gt;1,E6733&lt;&gt;""),ABS(D6734-E6733),"")</f>
        <v/>
      </c>
    </row>
    <row r="6735">
      <c r="A6735" t="n">
        <v>6735</v>
      </c>
      <c r="B6735">
        <f>IF(INDEX('Data Entry'!$H$5:$BE$10004,6735-4,'Visual SPC'!$B$3)="",0,IF(AND(OR('Visual SPC'!$C$4="",'Data Entry'!$C6735&gt;='Visual SPC'!$C$4),OR('Visual SPC'!$E$4="",'Data Entry'!$C6735&lt;='Visual SPC'!$E$4),OR('Visual SPC'!$G$4="",'Data Entry'!$D6735='Visual SPC'!$G$4),OR('Visual SPC'!$I$4="",'Data Entry'!$E6735='Visual SPC'!$I$4),OR('Visual SPC'!$K$4="",'Data Entry'!$F6735='Visual SPC'!$K$4)),1,0))</f>
        <v/>
      </c>
      <c r="C6735">
        <f>C6734+B6735</f>
        <v/>
      </c>
      <c r="D6735">
        <f>IF(B6735=1,INDEX('Data Entry'!$H$5:$BE$10004,6735-4,'Visual SPC'!$B$3),"")</f>
        <v/>
      </c>
      <c r="E6735">
        <f>IF(B6735=1,D6735,E6734)</f>
        <v/>
      </c>
      <c r="F6735">
        <f>IF(AND(B6735=1,C6735&gt;1,E6734&lt;&gt;""),ABS(D6735-E6734),"")</f>
        <v/>
      </c>
    </row>
    <row r="6736">
      <c r="A6736" t="n">
        <v>6736</v>
      </c>
      <c r="B6736">
        <f>IF(INDEX('Data Entry'!$H$5:$BE$10004,6736-4,'Visual SPC'!$B$3)="",0,IF(AND(OR('Visual SPC'!$C$4="",'Data Entry'!$C6736&gt;='Visual SPC'!$C$4),OR('Visual SPC'!$E$4="",'Data Entry'!$C6736&lt;='Visual SPC'!$E$4),OR('Visual SPC'!$G$4="",'Data Entry'!$D6736='Visual SPC'!$G$4),OR('Visual SPC'!$I$4="",'Data Entry'!$E6736='Visual SPC'!$I$4),OR('Visual SPC'!$K$4="",'Data Entry'!$F6736='Visual SPC'!$K$4)),1,0))</f>
        <v/>
      </c>
      <c r="C6736">
        <f>C6735+B6736</f>
        <v/>
      </c>
      <c r="D6736">
        <f>IF(B6736=1,INDEX('Data Entry'!$H$5:$BE$10004,6736-4,'Visual SPC'!$B$3),"")</f>
        <v/>
      </c>
      <c r="E6736">
        <f>IF(B6736=1,D6736,E6735)</f>
        <v/>
      </c>
      <c r="F6736">
        <f>IF(AND(B6736=1,C6736&gt;1,E6735&lt;&gt;""),ABS(D6736-E6735),"")</f>
        <v/>
      </c>
    </row>
    <row r="6737">
      <c r="A6737" t="n">
        <v>6737</v>
      </c>
      <c r="B6737">
        <f>IF(INDEX('Data Entry'!$H$5:$BE$10004,6737-4,'Visual SPC'!$B$3)="",0,IF(AND(OR('Visual SPC'!$C$4="",'Data Entry'!$C6737&gt;='Visual SPC'!$C$4),OR('Visual SPC'!$E$4="",'Data Entry'!$C6737&lt;='Visual SPC'!$E$4),OR('Visual SPC'!$G$4="",'Data Entry'!$D6737='Visual SPC'!$G$4),OR('Visual SPC'!$I$4="",'Data Entry'!$E6737='Visual SPC'!$I$4),OR('Visual SPC'!$K$4="",'Data Entry'!$F6737='Visual SPC'!$K$4)),1,0))</f>
        <v/>
      </c>
      <c r="C6737">
        <f>C6736+B6737</f>
        <v/>
      </c>
      <c r="D6737">
        <f>IF(B6737=1,INDEX('Data Entry'!$H$5:$BE$10004,6737-4,'Visual SPC'!$B$3),"")</f>
        <v/>
      </c>
      <c r="E6737">
        <f>IF(B6737=1,D6737,E6736)</f>
        <v/>
      </c>
      <c r="F6737">
        <f>IF(AND(B6737=1,C6737&gt;1,E6736&lt;&gt;""),ABS(D6737-E6736),"")</f>
        <v/>
      </c>
    </row>
    <row r="6738">
      <c r="A6738" t="n">
        <v>6738</v>
      </c>
      <c r="B6738">
        <f>IF(INDEX('Data Entry'!$H$5:$BE$10004,6738-4,'Visual SPC'!$B$3)="",0,IF(AND(OR('Visual SPC'!$C$4="",'Data Entry'!$C6738&gt;='Visual SPC'!$C$4),OR('Visual SPC'!$E$4="",'Data Entry'!$C6738&lt;='Visual SPC'!$E$4),OR('Visual SPC'!$G$4="",'Data Entry'!$D6738='Visual SPC'!$G$4),OR('Visual SPC'!$I$4="",'Data Entry'!$E6738='Visual SPC'!$I$4),OR('Visual SPC'!$K$4="",'Data Entry'!$F6738='Visual SPC'!$K$4)),1,0))</f>
        <v/>
      </c>
      <c r="C6738">
        <f>C6737+B6738</f>
        <v/>
      </c>
      <c r="D6738">
        <f>IF(B6738=1,INDEX('Data Entry'!$H$5:$BE$10004,6738-4,'Visual SPC'!$B$3),"")</f>
        <v/>
      </c>
      <c r="E6738">
        <f>IF(B6738=1,D6738,E6737)</f>
        <v/>
      </c>
      <c r="F6738">
        <f>IF(AND(B6738=1,C6738&gt;1,E6737&lt;&gt;""),ABS(D6738-E6737),"")</f>
        <v/>
      </c>
    </row>
    <row r="6739">
      <c r="A6739" t="n">
        <v>6739</v>
      </c>
      <c r="B6739">
        <f>IF(INDEX('Data Entry'!$H$5:$BE$10004,6739-4,'Visual SPC'!$B$3)="",0,IF(AND(OR('Visual SPC'!$C$4="",'Data Entry'!$C6739&gt;='Visual SPC'!$C$4),OR('Visual SPC'!$E$4="",'Data Entry'!$C6739&lt;='Visual SPC'!$E$4),OR('Visual SPC'!$G$4="",'Data Entry'!$D6739='Visual SPC'!$G$4),OR('Visual SPC'!$I$4="",'Data Entry'!$E6739='Visual SPC'!$I$4),OR('Visual SPC'!$K$4="",'Data Entry'!$F6739='Visual SPC'!$K$4)),1,0))</f>
        <v/>
      </c>
      <c r="C6739">
        <f>C6738+B6739</f>
        <v/>
      </c>
      <c r="D6739">
        <f>IF(B6739=1,INDEX('Data Entry'!$H$5:$BE$10004,6739-4,'Visual SPC'!$B$3),"")</f>
        <v/>
      </c>
      <c r="E6739">
        <f>IF(B6739=1,D6739,E6738)</f>
        <v/>
      </c>
      <c r="F6739">
        <f>IF(AND(B6739=1,C6739&gt;1,E6738&lt;&gt;""),ABS(D6739-E6738),"")</f>
        <v/>
      </c>
    </row>
    <row r="6740">
      <c r="A6740" t="n">
        <v>6740</v>
      </c>
      <c r="B6740">
        <f>IF(INDEX('Data Entry'!$H$5:$BE$10004,6740-4,'Visual SPC'!$B$3)="",0,IF(AND(OR('Visual SPC'!$C$4="",'Data Entry'!$C6740&gt;='Visual SPC'!$C$4),OR('Visual SPC'!$E$4="",'Data Entry'!$C6740&lt;='Visual SPC'!$E$4),OR('Visual SPC'!$G$4="",'Data Entry'!$D6740='Visual SPC'!$G$4),OR('Visual SPC'!$I$4="",'Data Entry'!$E6740='Visual SPC'!$I$4),OR('Visual SPC'!$K$4="",'Data Entry'!$F6740='Visual SPC'!$K$4)),1,0))</f>
        <v/>
      </c>
      <c r="C6740">
        <f>C6739+B6740</f>
        <v/>
      </c>
      <c r="D6740">
        <f>IF(B6740=1,INDEX('Data Entry'!$H$5:$BE$10004,6740-4,'Visual SPC'!$B$3),"")</f>
        <v/>
      </c>
      <c r="E6740">
        <f>IF(B6740=1,D6740,E6739)</f>
        <v/>
      </c>
      <c r="F6740">
        <f>IF(AND(B6740=1,C6740&gt;1,E6739&lt;&gt;""),ABS(D6740-E6739),"")</f>
        <v/>
      </c>
    </row>
    <row r="6741">
      <c r="A6741" t="n">
        <v>6741</v>
      </c>
      <c r="B6741">
        <f>IF(INDEX('Data Entry'!$H$5:$BE$10004,6741-4,'Visual SPC'!$B$3)="",0,IF(AND(OR('Visual SPC'!$C$4="",'Data Entry'!$C6741&gt;='Visual SPC'!$C$4),OR('Visual SPC'!$E$4="",'Data Entry'!$C6741&lt;='Visual SPC'!$E$4),OR('Visual SPC'!$G$4="",'Data Entry'!$D6741='Visual SPC'!$G$4),OR('Visual SPC'!$I$4="",'Data Entry'!$E6741='Visual SPC'!$I$4),OR('Visual SPC'!$K$4="",'Data Entry'!$F6741='Visual SPC'!$K$4)),1,0))</f>
        <v/>
      </c>
      <c r="C6741">
        <f>C6740+B6741</f>
        <v/>
      </c>
      <c r="D6741">
        <f>IF(B6741=1,INDEX('Data Entry'!$H$5:$BE$10004,6741-4,'Visual SPC'!$B$3),"")</f>
        <v/>
      </c>
      <c r="E6741">
        <f>IF(B6741=1,D6741,E6740)</f>
        <v/>
      </c>
      <c r="F6741">
        <f>IF(AND(B6741=1,C6741&gt;1,E6740&lt;&gt;""),ABS(D6741-E6740),"")</f>
        <v/>
      </c>
    </row>
    <row r="6742">
      <c r="A6742" t="n">
        <v>6742</v>
      </c>
      <c r="B6742">
        <f>IF(INDEX('Data Entry'!$H$5:$BE$10004,6742-4,'Visual SPC'!$B$3)="",0,IF(AND(OR('Visual SPC'!$C$4="",'Data Entry'!$C6742&gt;='Visual SPC'!$C$4),OR('Visual SPC'!$E$4="",'Data Entry'!$C6742&lt;='Visual SPC'!$E$4),OR('Visual SPC'!$G$4="",'Data Entry'!$D6742='Visual SPC'!$G$4),OR('Visual SPC'!$I$4="",'Data Entry'!$E6742='Visual SPC'!$I$4),OR('Visual SPC'!$K$4="",'Data Entry'!$F6742='Visual SPC'!$K$4)),1,0))</f>
        <v/>
      </c>
      <c r="C6742">
        <f>C6741+B6742</f>
        <v/>
      </c>
      <c r="D6742">
        <f>IF(B6742=1,INDEX('Data Entry'!$H$5:$BE$10004,6742-4,'Visual SPC'!$B$3),"")</f>
        <v/>
      </c>
      <c r="E6742">
        <f>IF(B6742=1,D6742,E6741)</f>
        <v/>
      </c>
      <c r="F6742">
        <f>IF(AND(B6742=1,C6742&gt;1,E6741&lt;&gt;""),ABS(D6742-E6741),"")</f>
        <v/>
      </c>
    </row>
    <row r="6743">
      <c r="A6743" t="n">
        <v>6743</v>
      </c>
      <c r="B6743">
        <f>IF(INDEX('Data Entry'!$H$5:$BE$10004,6743-4,'Visual SPC'!$B$3)="",0,IF(AND(OR('Visual SPC'!$C$4="",'Data Entry'!$C6743&gt;='Visual SPC'!$C$4),OR('Visual SPC'!$E$4="",'Data Entry'!$C6743&lt;='Visual SPC'!$E$4),OR('Visual SPC'!$G$4="",'Data Entry'!$D6743='Visual SPC'!$G$4),OR('Visual SPC'!$I$4="",'Data Entry'!$E6743='Visual SPC'!$I$4),OR('Visual SPC'!$K$4="",'Data Entry'!$F6743='Visual SPC'!$K$4)),1,0))</f>
        <v/>
      </c>
      <c r="C6743">
        <f>C6742+B6743</f>
        <v/>
      </c>
      <c r="D6743">
        <f>IF(B6743=1,INDEX('Data Entry'!$H$5:$BE$10004,6743-4,'Visual SPC'!$B$3),"")</f>
        <v/>
      </c>
      <c r="E6743">
        <f>IF(B6743=1,D6743,E6742)</f>
        <v/>
      </c>
      <c r="F6743">
        <f>IF(AND(B6743=1,C6743&gt;1,E6742&lt;&gt;""),ABS(D6743-E6742),"")</f>
        <v/>
      </c>
    </row>
    <row r="6744">
      <c r="A6744" t="n">
        <v>6744</v>
      </c>
      <c r="B6744">
        <f>IF(INDEX('Data Entry'!$H$5:$BE$10004,6744-4,'Visual SPC'!$B$3)="",0,IF(AND(OR('Visual SPC'!$C$4="",'Data Entry'!$C6744&gt;='Visual SPC'!$C$4),OR('Visual SPC'!$E$4="",'Data Entry'!$C6744&lt;='Visual SPC'!$E$4),OR('Visual SPC'!$G$4="",'Data Entry'!$D6744='Visual SPC'!$G$4),OR('Visual SPC'!$I$4="",'Data Entry'!$E6744='Visual SPC'!$I$4),OR('Visual SPC'!$K$4="",'Data Entry'!$F6744='Visual SPC'!$K$4)),1,0))</f>
        <v/>
      </c>
      <c r="C6744">
        <f>C6743+B6744</f>
        <v/>
      </c>
      <c r="D6744">
        <f>IF(B6744=1,INDEX('Data Entry'!$H$5:$BE$10004,6744-4,'Visual SPC'!$B$3),"")</f>
        <v/>
      </c>
      <c r="E6744">
        <f>IF(B6744=1,D6744,E6743)</f>
        <v/>
      </c>
      <c r="F6744">
        <f>IF(AND(B6744=1,C6744&gt;1,E6743&lt;&gt;""),ABS(D6744-E6743),"")</f>
        <v/>
      </c>
    </row>
    <row r="6745">
      <c r="A6745" t="n">
        <v>6745</v>
      </c>
      <c r="B6745">
        <f>IF(INDEX('Data Entry'!$H$5:$BE$10004,6745-4,'Visual SPC'!$B$3)="",0,IF(AND(OR('Visual SPC'!$C$4="",'Data Entry'!$C6745&gt;='Visual SPC'!$C$4),OR('Visual SPC'!$E$4="",'Data Entry'!$C6745&lt;='Visual SPC'!$E$4),OR('Visual SPC'!$G$4="",'Data Entry'!$D6745='Visual SPC'!$G$4),OR('Visual SPC'!$I$4="",'Data Entry'!$E6745='Visual SPC'!$I$4),OR('Visual SPC'!$K$4="",'Data Entry'!$F6745='Visual SPC'!$K$4)),1,0))</f>
        <v/>
      </c>
      <c r="C6745">
        <f>C6744+B6745</f>
        <v/>
      </c>
      <c r="D6745">
        <f>IF(B6745=1,INDEX('Data Entry'!$H$5:$BE$10004,6745-4,'Visual SPC'!$B$3),"")</f>
        <v/>
      </c>
      <c r="E6745">
        <f>IF(B6745=1,D6745,E6744)</f>
        <v/>
      </c>
      <c r="F6745">
        <f>IF(AND(B6745=1,C6745&gt;1,E6744&lt;&gt;""),ABS(D6745-E6744),"")</f>
        <v/>
      </c>
    </row>
    <row r="6746">
      <c r="A6746" t="n">
        <v>6746</v>
      </c>
      <c r="B6746">
        <f>IF(INDEX('Data Entry'!$H$5:$BE$10004,6746-4,'Visual SPC'!$B$3)="",0,IF(AND(OR('Visual SPC'!$C$4="",'Data Entry'!$C6746&gt;='Visual SPC'!$C$4),OR('Visual SPC'!$E$4="",'Data Entry'!$C6746&lt;='Visual SPC'!$E$4),OR('Visual SPC'!$G$4="",'Data Entry'!$D6746='Visual SPC'!$G$4),OR('Visual SPC'!$I$4="",'Data Entry'!$E6746='Visual SPC'!$I$4),OR('Visual SPC'!$K$4="",'Data Entry'!$F6746='Visual SPC'!$K$4)),1,0))</f>
        <v/>
      </c>
      <c r="C6746">
        <f>C6745+B6746</f>
        <v/>
      </c>
      <c r="D6746">
        <f>IF(B6746=1,INDEX('Data Entry'!$H$5:$BE$10004,6746-4,'Visual SPC'!$B$3),"")</f>
        <v/>
      </c>
      <c r="E6746">
        <f>IF(B6746=1,D6746,E6745)</f>
        <v/>
      </c>
      <c r="F6746">
        <f>IF(AND(B6746=1,C6746&gt;1,E6745&lt;&gt;""),ABS(D6746-E6745),"")</f>
        <v/>
      </c>
    </row>
    <row r="6747">
      <c r="A6747" t="n">
        <v>6747</v>
      </c>
      <c r="B6747">
        <f>IF(INDEX('Data Entry'!$H$5:$BE$10004,6747-4,'Visual SPC'!$B$3)="",0,IF(AND(OR('Visual SPC'!$C$4="",'Data Entry'!$C6747&gt;='Visual SPC'!$C$4),OR('Visual SPC'!$E$4="",'Data Entry'!$C6747&lt;='Visual SPC'!$E$4),OR('Visual SPC'!$G$4="",'Data Entry'!$D6747='Visual SPC'!$G$4),OR('Visual SPC'!$I$4="",'Data Entry'!$E6747='Visual SPC'!$I$4),OR('Visual SPC'!$K$4="",'Data Entry'!$F6747='Visual SPC'!$K$4)),1,0))</f>
        <v/>
      </c>
      <c r="C6747">
        <f>C6746+B6747</f>
        <v/>
      </c>
      <c r="D6747">
        <f>IF(B6747=1,INDEX('Data Entry'!$H$5:$BE$10004,6747-4,'Visual SPC'!$B$3),"")</f>
        <v/>
      </c>
      <c r="E6747">
        <f>IF(B6747=1,D6747,E6746)</f>
        <v/>
      </c>
      <c r="F6747">
        <f>IF(AND(B6747=1,C6747&gt;1,E6746&lt;&gt;""),ABS(D6747-E6746),"")</f>
        <v/>
      </c>
    </row>
    <row r="6748">
      <c r="A6748" t="n">
        <v>6748</v>
      </c>
      <c r="B6748">
        <f>IF(INDEX('Data Entry'!$H$5:$BE$10004,6748-4,'Visual SPC'!$B$3)="",0,IF(AND(OR('Visual SPC'!$C$4="",'Data Entry'!$C6748&gt;='Visual SPC'!$C$4),OR('Visual SPC'!$E$4="",'Data Entry'!$C6748&lt;='Visual SPC'!$E$4),OR('Visual SPC'!$G$4="",'Data Entry'!$D6748='Visual SPC'!$G$4),OR('Visual SPC'!$I$4="",'Data Entry'!$E6748='Visual SPC'!$I$4),OR('Visual SPC'!$K$4="",'Data Entry'!$F6748='Visual SPC'!$K$4)),1,0))</f>
        <v/>
      </c>
      <c r="C6748">
        <f>C6747+B6748</f>
        <v/>
      </c>
      <c r="D6748">
        <f>IF(B6748=1,INDEX('Data Entry'!$H$5:$BE$10004,6748-4,'Visual SPC'!$B$3),"")</f>
        <v/>
      </c>
      <c r="E6748">
        <f>IF(B6748=1,D6748,E6747)</f>
        <v/>
      </c>
      <c r="F6748">
        <f>IF(AND(B6748=1,C6748&gt;1,E6747&lt;&gt;""),ABS(D6748-E6747),"")</f>
        <v/>
      </c>
    </row>
    <row r="6749">
      <c r="A6749" t="n">
        <v>6749</v>
      </c>
      <c r="B6749">
        <f>IF(INDEX('Data Entry'!$H$5:$BE$10004,6749-4,'Visual SPC'!$B$3)="",0,IF(AND(OR('Visual SPC'!$C$4="",'Data Entry'!$C6749&gt;='Visual SPC'!$C$4),OR('Visual SPC'!$E$4="",'Data Entry'!$C6749&lt;='Visual SPC'!$E$4),OR('Visual SPC'!$G$4="",'Data Entry'!$D6749='Visual SPC'!$G$4),OR('Visual SPC'!$I$4="",'Data Entry'!$E6749='Visual SPC'!$I$4),OR('Visual SPC'!$K$4="",'Data Entry'!$F6749='Visual SPC'!$K$4)),1,0))</f>
        <v/>
      </c>
      <c r="C6749">
        <f>C6748+B6749</f>
        <v/>
      </c>
      <c r="D6749">
        <f>IF(B6749=1,INDEX('Data Entry'!$H$5:$BE$10004,6749-4,'Visual SPC'!$B$3),"")</f>
        <v/>
      </c>
      <c r="E6749">
        <f>IF(B6749=1,D6749,E6748)</f>
        <v/>
      </c>
      <c r="F6749">
        <f>IF(AND(B6749=1,C6749&gt;1,E6748&lt;&gt;""),ABS(D6749-E6748),"")</f>
        <v/>
      </c>
    </row>
    <row r="6750">
      <c r="A6750" t="n">
        <v>6750</v>
      </c>
      <c r="B6750">
        <f>IF(INDEX('Data Entry'!$H$5:$BE$10004,6750-4,'Visual SPC'!$B$3)="",0,IF(AND(OR('Visual SPC'!$C$4="",'Data Entry'!$C6750&gt;='Visual SPC'!$C$4),OR('Visual SPC'!$E$4="",'Data Entry'!$C6750&lt;='Visual SPC'!$E$4),OR('Visual SPC'!$G$4="",'Data Entry'!$D6750='Visual SPC'!$G$4),OR('Visual SPC'!$I$4="",'Data Entry'!$E6750='Visual SPC'!$I$4),OR('Visual SPC'!$K$4="",'Data Entry'!$F6750='Visual SPC'!$K$4)),1,0))</f>
        <v/>
      </c>
      <c r="C6750">
        <f>C6749+B6750</f>
        <v/>
      </c>
      <c r="D6750">
        <f>IF(B6750=1,INDEX('Data Entry'!$H$5:$BE$10004,6750-4,'Visual SPC'!$B$3),"")</f>
        <v/>
      </c>
      <c r="E6750">
        <f>IF(B6750=1,D6750,E6749)</f>
        <v/>
      </c>
      <c r="F6750">
        <f>IF(AND(B6750=1,C6750&gt;1,E6749&lt;&gt;""),ABS(D6750-E6749),"")</f>
        <v/>
      </c>
    </row>
    <row r="6751">
      <c r="A6751" t="n">
        <v>6751</v>
      </c>
      <c r="B6751">
        <f>IF(INDEX('Data Entry'!$H$5:$BE$10004,6751-4,'Visual SPC'!$B$3)="",0,IF(AND(OR('Visual SPC'!$C$4="",'Data Entry'!$C6751&gt;='Visual SPC'!$C$4),OR('Visual SPC'!$E$4="",'Data Entry'!$C6751&lt;='Visual SPC'!$E$4),OR('Visual SPC'!$G$4="",'Data Entry'!$D6751='Visual SPC'!$G$4),OR('Visual SPC'!$I$4="",'Data Entry'!$E6751='Visual SPC'!$I$4),OR('Visual SPC'!$K$4="",'Data Entry'!$F6751='Visual SPC'!$K$4)),1,0))</f>
        <v/>
      </c>
      <c r="C6751">
        <f>C6750+B6751</f>
        <v/>
      </c>
      <c r="D6751">
        <f>IF(B6751=1,INDEX('Data Entry'!$H$5:$BE$10004,6751-4,'Visual SPC'!$B$3),"")</f>
        <v/>
      </c>
      <c r="E6751">
        <f>IF(B6751=1,D6751,E6750)</f>
        <v/>
      </c>
      <c r="F6751">
        <f>IF(AND(B6751=1,C6751&gt;1,E6750&lt;&gt;""),ABS(D6751-E6750),"")</f>
        <v/>
      </c>
    </row>
    <row r="6752">
      <c r="A6752" t="n">
        <v>6752</v>
      </c>
      <c r="B6752">
        <f>IF(INDEX('Data Entry'!$H$5:$BE$10004,6752-4,'Visual SPC'!$B$3)="",0,IF(AND(OR('Visual SPC'!$C$4="",'Data Entry'!$C6752&gt;='Visual SPC'!$C$4),OR('Visual SPC'!$E$4="",'Data Entry'!$C6752&lt;='Visual SPC'!$E$4),OR('Visual SPC'!$G$4="",'Data Entry'!$D6752='Visual SPC'!$G$4),OR('Visual SPC'!$I$4="",'Data Entry'!$E6752='Visual SPC'!$I$4),OR('Visual SPC'!$K$4="",'Data Entry'!$F6752='Visual SPC'!$K$4)),1,0))</f>
        <v/>
      </c>
      <c r="C6752">
        <f>C6751+B6752</f>
        <v/>
      </c>
      <c r="D6752">
        <f>IF(B6752=1,INDEX('Data Entry'!$H$5:$BE$10004,6752-4,'Visual SPC'!$B$3),"")</f>
        <v/>
      </c>
      <c r="E6752">
        <f>IF(B6752=1,D6752,E6751)</f>
        <v/>
      </c>
      <c r="F6752">
        <f>IF(AND(B6752=1,C6752&gt;1,E6751&lt;&gt;""),ABS(D6752-E6751),"")</f>
        <v/>
      </c>
    </row>
    <row r="6753">
      <c r="A6753" t="n">
        <v>6753</v>
      </c>
      <c r="B6753">
        <f>IF(INDEX('Data Entry'!$H$5:$BE$10004,6753-4,'Visual SPC'!$B$3)="",0,IF(AND(OR('Visual SPC'!$C$4="",'Data Entry'!$C6753&gt;='Visual SPC'!$C$4),OR('Visual SPC'!$E$4="",'Data Entry'!$C6753&lt;='Visual SPC'!$E$4),OR('Visual SPC'!$G$4="",'Data Entry'!$D6753='Visual SPC'!$G$4),OR('Visual SPC'!$I$4="",'Data Entry'!$E6753='Visual SPC'!$I$4),OR('Visual SPC'!$K$4="",'Data Entry'!$F6753='Visual SPC'!$K$4)),1,0))</f>
        <v/>
      </c>
      <c r="C6753">
        <f>C6752+B6753</f>
        <v/>
      </c>
      <c r="D6753">
        <f>IF(B6753=1,INDEX('Data Entry'!$H$5:$BE$10004,6753-4,'Visual SPC'!$B$3),"")</f>
        <v/>
      </c>
      <c r="E6753">
        <f>IF(B6753=1,D6753,E6752)</f>
        <v/>
      </c>
      <c r="F6753">
        <f>IF(AND(B6753=1,C6753&gt;1,E6752&lt;&gt;""),ABS(D6753-E6752),"")</f>
        <v/>
      </c>
    </row>
    <row r="6754">
      <c r="A6754" t="n">
        <v>6754</v>
      </c>
      <c r="B6754">
        <f>IF(INDEX('Data Entry'!$H$5:$BE$10004,6754-4,'Visual SPC'!$B$3)="",0,IF(AND(OR('Visual SPC'!$C$4="",'Data Entry'!$C6754&gt;='Visual SPC'!$C$4),OR('Visual SPC'!$E$4="",'Data Entry'!$C6754&lt;='Visual SPC'!$E$4),OR('Visual SPC'!$G$4="",'Data Entry'!$D6754='Visual SPC'!$G$4),OR('Visual SPC'!$I$4="",'Data Entry'!$E6754='Visual SPC'!$I$4),OR('Visual SPC'!$K$4="",'Data Entry'!$F6754='Visual SPC'!$K$4)),1,0))</f>
        <v/>
      </c>
      <c r="C6754">
        <f>C6753+B6754</f>
        <v/>
      </c>
      <c r="D6754">
        <f>IF(B6754=1,INDEX('Data Entry'!$H$5:$BE$10004,6754-4,'Visual SPC'!$B$3),"")</f>
        <v/>
      </c>
      <c r="E6754">
        <f>IF(B6754=1,D6754,E6753)</f>
        <v/>
      </c>
      <c r="F6754">
        <f>IF(AND(B6754=1,C6754&gt;1,E6753&lt;&gt;""),ABS(D6754-E6753),"")</f>
        <v/>
      </c>
    </row>
    <row r="6755">
      <c r="A6755" t="n">
        <v>6755</v>
      </c>
      <c r="B6755">
        <f>IF(INDEX('Data Entry'!$H$5:$BE$10004,6755-4,'Visual SPC'!$B$3)="",0,IF(AND(OR('Visual SPC'!$C$4="",'Data Entry'!$C6755&gt;='Visual SPC'!$C$4),OR('Visual SPC'!$E$4="",'Data Entry'!$C6755&lt;='Visual SPC'!$E$4),OR('Visual SPC'!$G$4="",'Data Entry'!$D6755='Visual SPC'!$G$4),OR('Visual SPC'!$I$4="",'Data Entry'!$E6755='Visual SPC'!$I$4),OR('Visual SPC'!$K$4="",'Data Entry'!$F6755='Visual SPC'!$K$4)),1,0))</f>
        <v/>
      </c>
      <c r="C6755">
        <f>C6754+B6755</f>
        <v/>
      </c>
      <c r="D6755">
        <f>IF(B6755=1,INDEX('Data Entry'!$H$5:$BE$10004,6755-4,'Visual SPC'!$B$3),"")</f>
        <v/>
      </c>
      <c r="E6755">
        <f>IF(B6755=1,D6755,E6754)</f>
        <v/>
      </c>
      <c r="F6755">
        <f>IF(AND(B6755=1,C6755&gt;1,E6754&lt;&gt;""),ABS(D6755-E6754),"")</f>
        <v/>
      </c>
    </row>
    <row r="6756">
      <c r="A6756" t="n">
        <v>6756</v>
      </c>
      <c r="B6756">
        <f>IF(INDEX('Data Entry'!$H$5:$BE$10004,6756-4,'Visual SPC'!$B$3)="",0,IF(AND(OR('Visual SPC'!$C$4="",'Data Entry'!$C6756&gt;='Visual SPC'!$C$4),OR('Visual SPC'!$E$4="",'Data Entry'!$C6756&lt;='Visual SPC'!$E$4),OR('Visual SPC'!$G$4="",'Data Entry'!$D6756='Visual SPC'!$G$4),OR('Visual SPC'!$I$4="",'Data Entry'!$E6756='Visual SPC'!$I$4),OR('Visual SPC'!$K$4="",'Data Entry'!$F6756='Visual SPC'!$K$4)),1,0))</f>
        <v/>
      </c>
      <c r="C6756">
        <f>C6755+B6756</f>
        <v/>
      </c>
      <c r="D6756">
        <f>IF(B6756=1,INDEX('Data Entry'!$H$5:$BE$10004,6756-4,'Visual SPC'!$B$3),"")</f>
        <v/>
      </c>
      <c r="E6756">
        <f>IF(B6756=1,D6756,E6755)</f>
        <v/>
      </c>
      <c r="F6756">
        <f>IF(AND(B6756=1,C6756&gt;1,E6755&lt;&gt;""),ABS(D6756-E6755),"")</f>
        <v/>
      </c>
    </row>
    <row r="6757">
      <c r="A6757" t="n">
        <v>6757</v>
      </c>
      <c r="B6757">
        <f>IF(INDEX('Data Entry'!$H$5:$BE$10004,6757-4,'Visual SPC'!$B$3)="",0,IF(AND(OR('Visual SPC'!$C$4="",'Data Entry'!$C6757&gt;='Visual SPC'!$C$4),OR('Visual SPC'!$E$4="",'Data Entry'!$C6757&lt;='Visual SPC'!$E$4),OR('Visual SPC'!$G$4="",'Data Entry'!$D6757='Visual SPC'!$G$4),OR('Visual SPC'!$I$4="",'Data Entry'!$E6757='Visual SPC'!$I$4),OR('Visual SPC'!$K$4="",'Data Entry'!$F6757='Visual SPC'!$K$4)),1,0))</f>
        <v/>
      </c>
      <c r="C6757">
        <f>C6756+B6757</f>
        <v/>
      </c>
      <c r="D6757">
        <f>IF(B6757=1,INDEX('Data Entry'!$H$5:$BE$10004,6757-4,'Visual SPC'!$B$3),"")</f>
        <v/>
      </c>
      <c r="E6757">
        <f>IF(B6757=1,D6757,E6756)</f>
        <v/>
      </c>
      <c r="F6757">
        <f>IF(AND(B6757=1,C6757&gt;1,E6756&lt;&gt;""),ABS(D6757-E6756),"")</f>
        <v/>
      </c>
    </row>
    <row r="6758">
      <c r="A6758" t="n">
        <v>6758</v>
      </c>
      <c r="B6758">
        <f>IF(INDEX('Data Entry'!$H$5:$BE$10004,6758-4,'Visual SPC'!$B$3)="",0,IF(AND(OR('Visual SPC'!$C$4="",'Data Entry'!$C6758&gt;='Visual SPC'!$C$4),OR('Visual SPC'!$E$4="",'Data Entry'!$C6758&lt;='Visual SPC'!$E$4),OR('Visual SPC'!$G$4="",'Data Entry'!$D6758='Visual SPC'!$G$4),OR('Visual SPC'!$I$4="",'Data Entry'!$E6758='Visual SPC'!$I$4),OR('Visual SPC'!$K$4="",'Data Entry'!$F6758='Visual SPC'!$K$4)),1,0))</f>
        <v/>
      </c>
      <c r="C6758">
        <f>C6757+B6758</f>
        <v/>
      </c>
      <c r="D6758">
        <f>IF(B6758=1,INDEX('Data Entry'!$H$5:$BE$10004,6758-4,'Visual SPC'!$B$3),"")</f>
        <v/>
      </c>
      <c r="E6758">
        <f>IF(B6758=1,D6758,E6757)</f>
        <v/>
      </c>
      <c r="F6758">
        <f>IF(AND(B6758=1,C6758&gt;1,E6757&lt;&gt;""),ABS(D6758-E6757),"")</f>
        <v/>
      </c>
    </row>
    <row r="6759">
      <c r="A6759" t="n">
        <v>6759</v>
      </c>
      <c r="B6759">
        <f>IF(INDEX('Data Entry'!$H$5:$BE$10004,6759-4,'Visual SPC'!$B$3)="",0,IF(AND(OR('Visual SPC'!$C$4="",'Data Entry'!$C6759&gt;='Visual SPC'!$C$4),OR('Visual SPC'!$E$4="",'Data Entry'!$C6759&lt;='Visual SPC'!$E$4),OR('Visual SPC'!$G$4="",'Data Entry'!$D6759='Visual SPC'!$G$4),OR('Visual SPC'!$I$4="",'Data Entry'!$E6759='Visual SPC'!$I$4),OR('Visual SPC'!$K$4="",'Data Entry'!$F6759='Visual SPC'!$K$4)),1,0))</f>
        <v/>
      </c>
      <c r="C6759">
        <f>C6758+B6759</f>
        <v/>
      </c>
      <c r="D6759">
        <f>IF(B6759=1,INDEX('Data Entry'!$H$5:$BE$10004,6759-4,'Visual SPC'!$B$3),"")</f>
        <v/>
      </c>
      <c r="E6759">
        <f>IF(B6759=1,D6759,E6758)</f>
        <v/>
      </c>
      <c r="F6759">
        <f>IF(AND(B6759=1,C6759&gt;1,E6758&lt;&gt;""),ABS(D6759-E6758),"")</f>
        <v/>
      </c>
    </row>
    <row r="6760">
      <c r="A6760" t="n">
        <v>6760</v>
      </c>
      <c r="B6760">
        <f>IF(INDEX('Data Entry'!$H$5:$BE$10004,6760-4,'Visual SPC'!$B$3)="",0,IF(AND(OR('Visual SPC'!$C$4="",'Data Entry'!$C6760&gt;='Visual SPC'!$C$4),OR('Visual SPC'!$E$4="",'Data Entry'!$C6760&lt;='Visual SPC'!$E$4),OR('Visual SPC'!$G$4="",'Data Entry'!$D6760='Visual SPC'!$G$4),OR('Visual SPC'!$I$4="",'Data Entry'!$E6760='Visual SPC'!$I$4),OR('Visual SPC'!$K$4="",'Data Entry'!$F6760='Visual SPC'!$K$4)),1,0))</f>
        <v/>
      </c>
      <c r="C6760">
        <f>C6759+B6760</f>
        <v/>
      </c>
      <c r="D6760">
        <f>IF(B6760=1,INDEX('Data Entry'!$H$5:$BE$10004,6760-4,'Visual SPC'!$B$3),"")</f>
        <v/>
      </c>
      <c r="E6760">
        <f>IF(B6760=1,D6760,E6759)</f>
        <v/>
      </c>
      <c r="F6760">
        <f>IF(AND(B6760=1,C6760&gt;1,E6759&lt;&gt;""),ABS(D6760-E6759),"")</f>
        <v/>
      </c>
    </row>
    <row r="6761">
      <c r="A6761" t="n">
        <v>6761</v>
      </c>
      <c r="B6761">
        <f>IF(INDEX('Data Entry'!$H$5:$BE$10004,6761-4,'Visual SPC'!$B$3)="",0,IF(AND(OR('Visual SPC'!$C$4="",'Data Entry'!$C6761&gt;='Visual SPC'!$C$4),OR('Visual SPC'!$E$4="",'Data Entry'!$C6761&lt;='Visual SPC'!$E$4),OR('Visual SPC'!$G$4="",'Data Entry'!$D6761='Visual SPC'!$G$4),OR('Visual SPC'!$I$4="",'Data Entry'!$E6761='Visual SPC'!$I$4),OR('Visual SPC'!$K$4="",'Data Entry'!$F6761='Visual SPC'!$K$4)),1,0))</f>
        <v/>
      </c>
      <c r="C6761">
        <f>C6760+B6761</f>
        <v/>
      </c>
      <c r="D6761">
        <f>IF(B6761=1,INDEX('Data Entry'!$H$5:$BE$10004,6761-4,'Visual SPC'!$B$3),"")</f>
        <v/>
      </c>
      <c r="E6761">
        <f>IF(B6761=1,D6761,E6760)</f>
        <v/>
      </c>
      <c r="F6761">
        <f>IF(AND(B6761=1,C6761&gt;1,E6760&lt;&gt;""),ABS(D6761-E6760),"")</f>
        <v/>
      </c>
    </row>
    <row r="6762">
      <c r="A6762" t="n">
        <v>6762</v>
      </c>
      <c r="B6762">
        <f>IF(INDEX('Data Entry'!$H$5:$BE$10004,6762-4,'Visual SPC'!$B$3)="",0,IF(AND(OR('Visual SPC'!$C$4="",'Data Entry'!$C6762&gt;='Visual SPC'!$C$4),OR('Visual SPC'!$E$4="",'Data Entry'!$C6762&lt;='Visual SPC'!$E$4),OR('Visual SPC'!$G$4="",'Data Entry'!$D6762='Visual SPC'!$G$4),OR('Visual SPC'!$I$4="",'Data Entry'!$E6762='Visual SPC'!$I$4),OR('Visual SPC'!$K$4="",'Data Entry'!$F6762='Visual SPC'!$K$4)),1,0))</f>
        <v/>
      </c>
      <c r="C6762">
        <f>C6761+B6762</f>
        <v/>
      </c>
      <c r="D6762">
        <f>IF(B6762=1,INDEX('Data Entry'!$H$5:$BE$10004,6762-4,'Visual SPC'!$B$3),"")</f>
        <v/>
      </c>
      <c r="E6762">
        <f>IF(B6762=1,D6762,E6761)</f>
        <v/>
      </c>
      <c r="F6762">
        <f>IF(AND(B6762=1,C6762&gt;1,E6761&lt;&gt;""),ABS(D6762-E6761),"")</f>
        <v/>
      </c>
    </row>
    <row r="6763">
      <c r="A6763" t="n">
        <v>6763</v>
      </c>
      <c r="B6763">
        <f>IF(INDEX('Data Entry'!$H$5:$BE$10004,6763-4,'Visual SPC'!$B$3)="",0,IF(AND(OR('Visual SPC'!$C$4="",'Data Entry'!$C6763&gt;='Visual SPC'!$C$4),OR('Visual SPC'!$E$4="",'Data Entry'!$C6763&lt;='Visual SPC'!$E$4),OR('Visual SPC'!$G$4="",'Data Entry'!$D6763='Visual SPC'!$G$4),OR('Visual SPC'!$I$4="",'Data Entry'!$E6763='Visual SPC'!$I$4),OR('Visual SPC'!$K$4="",'Data Entry'!$F6763='Visual SPC'!$K$4)),1,0))</f>
        <v/>
      </c>
      <c r="C6763">
        <f>C6762+B6763</f>
        <v/>
      </c>
      <c r="D6763">
        <f>IF(B6763=1,INDEX('Data Entry'!$H$5:$BE$10004,6763-4,'Visual SPC'!$B$3),"")</f>
        <v/>
      </c>
      <c r="E6763">
        <f>IF(B6763=1,D6763,E6762)</f>
        <v/>
      </c>
      <c r="F6763">
        <f>IF(AND(B6763=1,C6763&gt;1,E6762&lt;&gt;""),ABS(D6763-E6762),"")</f>
        <v/>
      </c>
    </row>
    <row r="6764">
      <c r="A6764" t="n">
        <v>6764</v>
      </c>
      <c r="B6764">
        <f>IF(INDEX('Data Entry'!$H$5:$BE$10004,6764-4,'Visual SPC'!$B$3)="",0,IF(AND(OR('Visual SPC'!$C$4="",'Data Entry'!$C6764&gt;='Visual SPC'!$C$4),OR('Visual SPC'!$E$4="",'Data Entry'!$C6764&lt;='Visual SPC'!$E$4),OR('Visual SPC'!$G$4="",'Data Entry'!$D6764='Visual SPC'!$G$4),OR('Visual SPC'!$I$4="",'Data Entry'!$E6764='Visual SPC'!$I$4),OR('Visual SPC'!$K$4="",'Data Entry'!$F6764='Visual SPC'!$K$4)),1,0))</f>
        <v/>
      </c>
      <c r="C6764">
        <f>C6763+B6764</f>
        <v/>
      </c>
      <c r="D6764">
        <f>IF(B6764=1,INDEX('Data Entry'!$H$5:$BE$10004,6764-4,'Visual SPC'!$B$3),"")</f>
        <v/>
      </c>
      <c r="E6764">
        <f>IF(B6764=1,D6764,E6763)</f>
        <v/>
      </c>
      <c r="F6764">
        <f>IF(AND(B6764=1,C6764&gt;1,E6763&lt;&gt;""),ABS(D6764-E6763),"")</f>
        <v/>
      </c>
    </row>
    <row r="6765">
      <c r="A6765" t="n">
        <v>6765</v>
      </c>
      <c r="B6765">
        <f>IF(INDEX('Data Entry'!$H$5:$BE$10004,6765-4,'Visual SPC'!$B$3)="",0,IF(AND(OR('Visual SPC'!$C$4="",'Data Entry'!$C6765&gt;='Visual SPC'!$C$4),OR('Visual SPC'!$E$4="",'Data Entry'!$C6765&lt;='Visual SPC'!$E$4),OR('Visual SPC'!$G$4="",'Data Entry'!$D6765='Visual SPC'!$G$4),OR('Visual SPC'!$I$4="",'Data Entry'!$E6765='Visual SPC'!$I$4),OR('Visual SPC'!$K$4="",'Data Entry'!$F6765='Visual SPC'!$K$4)),1,0))</f>
        <v/>
      </c>
      <c r="C6765">
        <f>C6764+B6765</f>
        <v/>
      </c>
      <c r="D6765">
        <f>IF(B6765=1,INDEX('Data Entry'!$H$5:$BE$10004,6765-4,'Visual SPC'!$B$3),"")</f>
        <v/>
      </c>
      <c r="E6765">
        <f>IF(B6765=1,D6765,E6764)</f>
        <v/>
      </c>
      <c r="F6765">
        <f>IF(AND(B6765=1,C6765&gt;1,E6764&lt;&gt;""),ABS(D6765-E6764),"")</f>
        <v/>
      </c>
    </row>
    <row r="6766">
      <c r="A6766" t="n">
        <v>6766</v>
      </c>
      <c r="B6766">
        <f>IF(INDEX('Data Entry'!$H$5:$BE$10004,6766-4,'Visual SPC'!$B$3)="",0,IF(AND(OR('Visual SPC'!$C$4="",'Data Entry'!$C6766&gt;='Visual SPC'!$C$4),OR('Visual SPC'!$E$4="",'Data Entry'!$C6766&lt;='Visual SPC'!$E$4),OR('Visual SPC'!$G$4="",'Data Entry'!$D6766='Visual SPC'!$G$4),OR('Visual SPC'!$I$4="",'Data Entry'!$E6766='Visual SPC'!$I$4),OR('Visual SPC'!$K$4="",'Data Entry'!$F6766='Visual SPC'!$K$4)),1,0))</f>
        <v/>
      </c>
      <c r="C6766">
        <f>C6765+B6766</f>
        <v/>
      </c>
      <c r="D6766">
        <f>IF(B6766=1,INDEX('Data Entry'!$H$5:$BE$10004,6766-4,'Visual SPC'!$B$3),"")</f>
        <v/>
      </c>
      <c r="E6766">
        <f>IF(B6766=1,D6766,E6765)</f>
        <v/>
      </c>
      <c r="F6766">
        <f>IF(AND(B6766=1,C6766&gt;1,E6765&lt;&gt;""),ABS(D6766-E6765),"")</f>
        <v/>
      </c>
    </row>
    <row r="6767">
      <c r="A6767" t="n">
        <v>6767</v>
      </c>
      <c r="B6767">
        <f>IF(INDEX('Data Entry'!$H$5:$BE$10004,6767-4,'Visual SPC'!$B$3)="",0,IF(AND(OR('Visual SPC'!$C$4="",'Data Entry'!$C6767&gt;='Visual SPC'!$C$4),OR('Visual SPC'!$E$4="",'Data Entry'!$C6767&lt;='Visual SPC'!$E$4),OR('Visual SPC'!$G$4="",'Data Entry'!$D6767='Visual SPC'!$G$4),OR('Visual SPC'!$I$4="",'Data Entry'!$E6767='Visual SPC'!$I$4),OR('Visual SPC'!$K$4="",'Data Entry'!$F6767='Visual SPC'!$K$4)),1,0))</f>
        <v/>
      </c>
      <c r="C6767">
        <f>C6766+B6767</f>
        <v/>
      </c>
      <c r="D6767">
        <f>IF(B6767=1,INDEX('Data Entry'!$H$5:$BE$10004,6767-4,'Visual SPC'!$B$3),"")</f>
        <v/>
      </c>
      <c r="E6767">
        <f>IF(B6767=1,D6767,E6766)</f>
        <v/>
      </c>
      <c r="F6767">
        <f>IF(AND(B6767=1,C6767&gt;1,E6766&lt;&gt;""),ABS(D6767-E6766),"")</f>
        <v/>
      </c>
    </row>
    <row r="6768">
      <c r="A6768" t="n">
        <v>6768</v>
      </c>
      <c r="B6768">
        <f>IF(INDEX('Data Entry'!$H$5:$BE$10004,6768-4,'Visual SPC'!$B$3)="",0,IF(AND(OR('Visual SPC'!$C$4="",'Data Entry'!$C6768&gt;='Visual SPC'!$C$4),OR('Visual SPC'!$E$4="",'Data Entry'!$C6768&lt;='Visual SPC'!$E$4),OR('Visual SPC'!$G$4="",'Data Entry'!$D6768='Visual SPC'!$G$4),OR('Visual SPC'!$I$4="",'Data Entry'!$E6768='Visual SPC'!$I$4),OR('Visual SPC'!$K$4="",'Data Entry'!$F6768='Visual SPC'!$K$4)),1,0))</f>
        <v/>
      </c>
      <c r="C6768">
        <f>C6767+B6768</f>
        <v/>
      </c>
      <c r="D6768">
        <f>IF(B6768=1,INDEX('Data Entry'!$H$5:$BE$10004,6768-4,'Visual SPC'!$B$3),"")</f>
        <v/>
      </c>
      <c r="E6768">
        <f>IF(B6768=1,D6768,E6767)</f>
        <v/>
      </c>
      <c r="F6768">
        <f>IF(AND(B6768=1,C6768&gt;1,E6767&lt;&gt;""),ABS(D6768-E6767),"")</f>
        <v/>
      </c>
    </row>
    <row r="6769">
      <c r="A6769" t="n">
        <v>6769</v>
      </c>
      <c r="B6769">
        <f>IF(INDEX('Data Entry'!$H$5:$BE$10004,6769-4,'Visual SPC'!$B$3)="",0,IF(AND(OR('Visual SPC'!$C$4="",'Data Entry'!$C6769&gt;='Visual SPC'!$C$4),OR('Visual SPC'!$E$4="",'Data Entry'!$C6769&lt;='Visual SPC'!$E$4),OR('Visual SPC'!$G$4="",'Data Entry'!$D6769='Visual SPC'!$G$4),OR('Visual SPC'!$I$4="",'Data Entry'!$E6769='Visual SPC'!$I$4),OR('Visual SPC'!$K$4="",'Data Entry'!$F6769='Visual SPC'!$K$4)),1,0))</f>
        <v/>
      </c>
      <c r="C6769">
        <f>C6768+B6769</f>
        <v/>
      </c>
      <c r="D6769">
        <f>IF(B6769=1,INDEX('Data Entry'!$H$5:$BE$10004,6769-4,'Visual SPC'!$B$3),"")</f>
        <v/>
      </c>
      <c r="E6769">
        <f>IF(B6769=1,D6769,E6768)</f>
        <v/>
      </c>
      <c r="F6769">
        <f>IF(AND(B6769=1,C6769&gt;1,E6768&lt;&gt;""),ABS(D6769-E6768),"")</f>
        <v/>
      </c>
    </row>
    <row r="6770">
      <c r="A6770" t="n">
        <v>6770</v>
      </c>
      <c r="B6770">
        <f>IF(INDEX('Data Entry'!$H$5:$BE$10004,6770-4,'Visual SPC'!$B$3)="",0,IF(AND(OR('Visual SPC'!$C$4="",'Data Entry'!$C6770&gt;='Visual SPC'!$C$4),OR('Visual SPC'!$E$4="",'Data Entry'!$C6770&lt;='Visual SPC'!$E$4),OR('Visual SPC'!$G$4="",'Data Entry'!$D6770='Visual SPC'!$G$4),OR('Visual SPC'!$I$4="",'Data Entry'!$E6770='Visual SPC'!$I$4),OR('Visual SPC'!$K$4="",'Data Entry'!$F6770='Visual SPC'!$K$4)),1,0))</f>
        <v/>
      </c>
      <c r="C6770">
        <f>C6769+B6770</f>
        <v/>
      </c>
      <c r="D6770">
        <f>IF(B6770=1,INDEX('Data Entry'!$H$5:$BE$10004,6770-4,'Visual SPC'!$B$3),"")</f>
        <v/>
      </c>
      <c r="E6770">
        <f>IF(B6770=1,D6770,E6769)</f>
        <v/>
      </c>
      <c r="F6770">
        <f>IF(AND(B6770=1,C6770&gt;1,E6769&lt;&gt;""),ABS(D6770-E6769),"")</f>
        <v/>
      </c>
    </row>
    <row r="6771">
      <c r="A6771" t="n">
        <v>6771</v>
      </c>
      <c r="B6771">
        <f>IF(INDEX('Data Entry'!$H$5:$BE$10004,6771-4,'Visual SPC'!$B$3)="",0,IF(AND(OR('Visual SPC'!$C$4="",'Data Entry'!$C6771&gt;='Visual SPC'!$C$4),OR('Visual SPC'!$E$4="",'Data Entry'!$C6771&lt;='Visual SPC'!$E$4),OR('Visual SPC'!$G$4="",'Data Entry'!$D6771='Visual SPC'!$G$4),OR('Visual SPC'!$I$4="",'Data Entry'!$E6771='Visual SPC'!$I$4),OR('Visual SPC'!$K$4="",'Data Entry'!$F6771='Visual SPC'!$K$4)),1,0))</f>
        <v/>
      </c>
      <c r="C6771">
        <f>C6770+B6771</f>
        <v/>
      </c>
      <c r="D6771">
        <f>IF(B6771=1,INDEX('Data Entry'!$H$5:$BE$10004,6771-4,'Visual SPC'!$B$3),"")</f>
        <v/>
      </c>
      <c r="E6771">
        <f>IF(B6771=1,D6771,E6770)</f>
        <v/>
      </c>
      <c r="F6771">
        <f>IF(AND(B6771=1,C6771&gt;1,E6770&lt;&gt;""),ABS(D6771-E6770),"")</f>
        <v/>
      </c>
    </row>
    <row r="6772">
      <c r="A6772" t="n">
        <v>6772</v>
      </c>
      <c r="B6772">
        <f>IF(INDEX('Data Entry'!$H$5:$BE$10004,6772-4,'Visual SPC'!$B$3)="",0,IF(AND(OR('Visual SPC'!$C$4="",'Data Entry'!$C6772&gt;='Visual SPC'!$C$4),OR('Visual SPC'!$E$4="",'Data Entry'!$C6772&lt;='Visual SPC'!$E$4),OR('Visual SPC'!$G$4="",'Data Entry'!$D6772='Visual SPC'!$G$4),OR('Visual SPC'!$I$4="",'Data Entry'!$E6772='Visual SPC'!$I$4),OR('Visual SPC'!$K$4="",'Data Entry'!$F6772='Visual SPC'!$K$4)),1,0))</f>
        <v/>
      </c>
      <c r="C6772">
        <f>C6771+B6772</f>
        <v/>
      </c>
      <c r="D6772">
        <f>IF(B6772=1,INDEX('Data Entry'!$H$5:$BE$10004,6772-4,'Visual SPC'!$B$3),"")</f>
        <v/>
      </c>
      <c r="E6772">
        <f>IF(B6772=1,D6772,E6771)</f>
        <v/>
      </c>
      <c r="F6772">
        <f>IF(AND(B6772=1,C6772&gt;1,E6771&lt;&gt;""),ABS(D6772-E6771),"")</f>
        <v/>
      </c>
    </row>
    <row r="6773">
      <c r="A6773" t="n">
        <v>6773</v>
      </c>
      <c r="B6773">
        <f>IF(INDEX('Data Entry'!$H$5:$BE$10004,6773-4,'Visual SPC'!$B$3)="",0,IF(AND(OR('Visual SPC'!$C$4="",'Data Entry'!$C6773&gt;='Visual SPC'!$C$4),OR('Visual SPC'!$E$4="",'Data Entry'!$C6773&lt;='Visual SPC'!$E$4),OR('Visual SPC'!$G$4="",'Data Entry'!$D6773='Visual SPC'!$G$4),OR('Visual SPC'!$I$4="",'Data Entry'!$E6773='Visual SPC'!$I$4),OR('Visual SPC'!$K$4="",'Data Entry'!$F6773='Visual SPC'!$K$4)),1,0))</f>
        <v/>
      </c>
      <c r="C6773">
        <f>C6772+B6773</f>
        <v/>
      </c>
      <c r="D6773">
        <f>IF(B6773=1,INDEX('Data Entry'!$H$5:$BE$10004,6773-4,'Visual SPC'!$B$3),"")</f>
        <v/>
      </c>
      <c r="E6773">
        <f>IF(B6773=1,D6773,E6772)</f>
        <v/>
      </c>
      <c r="F6773">
        <f>IF(AND(B6773=1,C6773&gt;1,E6772&lt;&gt;""),ABS(D6773-E6772),"")</f>
        <v/>
      </c>
    </row>
    <row r="6774">
      <c r="A6774" t="n">
        <v>6774</v>
      </c>
      <c r="B6774">
        <f>IF(INDEX('Data Entry'!$H$5:$BE$10004,6774-4,'Visual SPC'!$B$3)="",0,IF(AND(OR('Visual SPC'!$C$4="",'Data Entry'!$C6774&gt;='Visual SPC'!$C$4),OR('Visual SPC'!$E$4="",'Data Entry'!$C6774&lt;='Visual SPC'!$E$4),OR('Visual SPC'!$G$4="",'Data Entry'!$D6774='Visual SPC'!$G$4),OR('Visual SPC'!$I$4="",'Data Entry'!$E6774='Visual SPC'!$I$4),OR('Visual SPC'!$K$4="",'Data Entry'!$F6774='Visual SPC'!$K$4)),1,0))</f>
        <v/>
      </c>
      <c r="C6774">
        <f>C6773+B6774</f>
        <v/>
      </c>
      <c r="D6774">
        <f>IF(B6774=1,INDEX('Data Entry'!$H$5:$BE$10004,6774-4,'Visual SPC'!$B$3),"")</f>
        <v/>
      </c>
      <c r="E6774">
        <f>IF(B6774=1,D6774,E6773)</f>
        <v/>
      </c>
      <c r="F6774">
        <f>IF(AND(B6774=1,C6774&gt;1,E6773&lt;&gt;""),ABS(D6774-E6773),"")</f>
        <v/>
      </c>
    </row>
    <row r="6775">
      <c r="A6775" t="n">
        <v>6775</v>
      </c>
      <c r="B6775">
        <f>IF(INDEX('Data Entry'!$H$5:$BE$10004,6775-4,'Visual SPC'!$B$3)="",0,IF(AND(OR('Visual SPC'!$C$4="",'Data Entry'!$C6775&gt;='Visual SPC'!$C$4),OR('Visual SPC'!$E$4="",'Data Entry'!$C6775&lt;='Visual SPC'!$E$4),OR('Visual SPC'!$G$4="",'Data Entry'!$D6775='Visual SPC'!$G$4),OR('Visual SPC'!$I$4="",'Data Entry'!$E6775='Visual SPC'!$I$4),OR('Visual SPC'!$K$4="",'Data Entry'!$F6775='Visual SPC'!$K$4)),1,0))</f>
        <v/>
      </c>
      <c r="C6775">
        <f>C6774+B6775</f>
        <v/>
      </c>
      <c r="D6775">
        <f>IF(B6775=1,INDEX('Data Entry'!$H$5:$BE$10004,6775-4,'Visual SPC'!$B$3),"")</f>
        <v/>
      </c>
      <c r="E6775">
        <f>IF(B6775=1,D6775,E6774)</f>
        <v/>
      </c>
      <c r="F6775">
        <f>IF(AND(B6775=1,C6775&gt;1,E6774&lt;&gt;""),ABS(D6775-E6774),"")</f>
        <v/>
      </c>
    </row>
    <row r="6776">
      <c r="A6776" t="n">
        <v>6776</v>
      </c>
      <c r="B6776">
        <f>IF(INDEX('Data Entry'!$H$5:$BE$10004,6776-4,'Visual SPC'!$B$3)="",0,IF(AND(OR('Visual SPC'!$C$4="",'Data Entry'!$C6776&gt;='Visual SPC'!$C$4),OR('Visual SPC'!$E$4="",'Data Entry'!$C6776&lt;='Visual SPC'!$E$4),OR('Visual SPC'!$G$4="",'Data Entry'!$D6776='Visual SPC'!$G$4),OR('Visual SPC'!$I$4="",'Data Entry'!$E6776='Visual SPC'!$I$4),OR('Visual SPC'!$K$4="",'Data Entry'!$F6776='Visual SPC'!$K$4)),1,0))</f>
        <v/>
      </c>
      <c r="C6776">
        <f>C6775+B6776</f>
        <v/>
      </c>
      <c r="D6776">
        <f>IF(B6776=1,INDEX('Data Entry'!$H$5:$BE$10004,6776-4,'Visual SPC'!$B$3),"")</f>
        <v/>
      </c>
      <c r="E6776">
        <f>IF(B6776=1,D6776,E6775)</f>
        <v/>
      </c>
      <c r="F6776">
        <f>IF(AND(B6776=1,C6776&gt;1,E6775&lt;&gt;""),ABS(D6776-E6775),"")</f>
        <v/>
      </c>
    </row>
    <row r="6777">
      <c r="A6777" t="n">
        <v>6777</v>
      </c>
      <c r="B6777">
        <f>IF(INDEX('Data Entry'!$H$5:$BE$10004,6777-4,'Visual SPC'!$B$3)="",0,IF(AND(OR('Visual SPC'!$C$4="",'Data Entry'!$C6777&gt;='Visual SPC'!$C$4),OR('Visual SPC'!$E$4="",'Data Entry'!$C6777&lt;='Visual SPC'!$E$4),OR('Visual SPC'!$G$4="",'Data Entry'!$D6777='Visual SPC'!$G$4),OR('Visual SPC'!$I$4="",'Data Entry'!$E6777='Visual SPC'!$I$4),OR('Visual SPC'!$K$4="",'Data Entry'!$F6777='Visual SPC'!$K$4)),1,0))</f>
        <v/>
      </c>
      <c r="C6777">
        <f>C6776+B6777</f>
        <v/>
      </c>
      <c r="D6777">
        <f>IF(B6777=1,INDEX('Data Entry'!$H$5:$BE$10004,6777-4,'Visual SPC'!$B$3),"")</f>
        <v/>
      </c>
      <c r="E6777">
        <f>IF(B6777=1,D6777,E6776)</f>
        <v/>
      </c>
      <c r="F6777">
        <f>IF(AND(B6777=1,C6777&gt;1,E6776&lt;&gt;""),ABS(D6777-E6776),"")</f>
        <v/>
      </c>
    </row>
    <row r="6778">
      <c r="A6778" t="n">
        <v>6778</v>
      </c>
      <c r="B6778">
        <f>IF(INDEX('Data Entry'!$H$5:$BE$10004,6778-4,'Visual SPC'!$B$3)="",0,IF(AND(OR('Visual SPC'!$C$4="",'Data Entry'!$C6778&gt;='Visual SPC'!$C$4),OR('Visual SPC'!$E$4="",'Data Entry'!$C6778&lt;='Visual SPC'!$E$4),OR('Visual SPC'!$G$4="",'Data Entry'!$D6778='Visual SPC'!$G$4),OR('Visual SPC'!$I$4="",'Data Entry'!$E6778='Visual SPC'!$I$4),OR('Visual SPC'!$K$4="",'Data Entry'!$F6778='Visual SPC'!$K$4)),1,0))</f>
        <v/>
      </c>
      <c r="C6778">
        <f>C6777+B6778</f>
        <v/>
      </c>
      <c r="D6778">
        <f>IF(B6778=1,INDEX('Data Entry'!$H$5:$BE$10004,6778-4,'Visual SPC'!$B$3),"")</f>
        <v/>
      </c>
      <c r="E6778">
        <f>IF(B6778=1,D6778,E6777)</f>
        <v/>
      </c>
      <c r="F6778">
        <f>IF(AND(B6778=1,C6778&gt;1,E6777&lt;&gt;""),ABS(D6778-E6777),"")</f>
        <v/>
      </c>
    </row>
    <row r="6779">
      <c r="A6779" t="n">
        <v>6779</v>
      </c>
      <c r="B6779">
        <f>IF(INDEX('Data Entry'!$H$5:$BE$10004,6779-4,'Visual SPC'!$B$3)="",0,IF(AND(OR('Visual SPC'!$C$4="",'Data Entry'!$C6779&gt;='Visual SPC'!$C$4),OR('Visual SPC'!$E$4="",'Data Entry'!$C6779&lt;='Visual SPC'!$E$4),OR('Visual SPC'!$G$4="",'Data Entry'!$D6779='Visual SPC'!$G$4),OR('Visual SPC'!$I$4="",'Data Entry'!$E6779='Visual SPC'!$I$4),OR('Visual SPC'!$K$4="",'Data Entry'!$F6779='Visual SPC'!$K$4)),1,0))</f>
        <v/>
      </c>
      <c r="C6779">
        <f>C6778+B6779</f>
        <v/>
      </c>
      <c r="D6779">
        <f>IF(B6779=1,INDEX('Data Entry'!$H$5:$BE$10004,6779-4,'Visual SPC'!$B$3),"")</f>
        <v/>
      </c>
      <c r="E6779">
        <f>IF(B6779=1,D6779,E6778)</f>
        <v/>
      </c>
      <c r="F6779">
        <f>IF(AND(B6779=1,C6779&gt;1,E6778&lt;&gt;""),ABS(D6779-E6778),"")</f>
        <v/>
      </c>
    </row>
    <row r="6780">
      <c r="A6780" t="n">
        <v>6780</v>
      </c>
      <c r="B6780">
        <f>IF(INDEX('Data Entry'!$H$5:$BE$10004,6780-4,'Visual SPC'!$B$3)="",0,IF(AND(OR('Visual SPC'!$C$4="",'Data Entry'!$C6780&gt;='Visual SPC'!$C$4),OR('Visual SPC'!$E$4="",'Data Entry'!$C6780&lt;='Visual SPC'!$E$4),OR('Visual SPC'!$G$4="",'Data Entry'!$D6780='Visual SPC'!$G$4),OR('Visual SPC'!$I$4="",'Data Entry'!$E6780='Visual SPC'!$I$4),OR('Visual SPC'!$K$4="",'Data Entry'!$F6780='Visual SPC'!$K$4)),1,0))</f>
        <v/>
      </c>
      <c r="C6780">
        <f>C6779+B6780</f>
        <v/>
      </c>
      <c r="D6780">
        <f>IF(B6780=1,INDEX('Data Entry'!$H$5:$BE$10004,6780-4,'Visual SPC'!$B$3),"")</f>
        <v/>
      </c>
      <c r="E6780">
        <f>IF(B6780=1,D6780,E6779)</f>
        <v/>
      </c>
      <c r="F6780">
        <f>IF(AND(B6780=1,C6780&gt;1,E6779&lt;&gt;""),ABS(D6780-E6779),"")</f>
        <v/>
      </c>
    </row>
    <row r="6781">
      <c r="A6781" t="n">
        <v>6781</v>
      </c>
      <c r="B6781">
        <f>IF(INDEX('Data Entry'!$H$5:$BE$10004,6781-4,'Visual SPC'!$B$3)="",0,IF(AND(OR('Visual SPC'!$C$4="",'Data Entry'!$C6781&gt;='Visual SPC'!$C$4),OR('Visual SPC'!$E$4="",'Data Entry'!$C6781&lt;='Visual SPC'!$E$4),OR('Visual SPC'!$G$4="",'Data Entry'!$D6781='Visual SPC'!$G$4),OR('Visual SPC'!$I$4="",'Data Entry'!$E6781='Visual SPC'!$I$4),OR('Visual SPC'!$K$4="",'Data Entry'!$F6781='Visual SPC'!$K$4)),1,0))</f>
        <v/>
      </c>
      <c r="C6781">
        <f>C6780+B6781</f>
        <v/>
      </c>
      <c r="D6781">
        <f>IF(B6781=1,INDEX('Data Entry'!$H$5:$BE$10004,6781-4,'Visual SPC'!$B$3),"")</f>
        <v/>
      </c>
      <c r="E6781">
        <f>IF(B6781=1,D6781,E6780)</f>
        <v/>
      </c>
      <c r="F6781">
        <f>IF(AND(B6781=1,C6781&gt;1,E6780&lt;&gt;""),ABS(D6781-E6780),"")</f>
        <v/>
      </c>
    </row>
    <row r="6782">
      <c r="A6782" t="n">
        <v>6782</v>
      </c>
      <c r="B6782">
        <f>IF(INDEX('Data Entry'!$H$5:$BE$10004,6782-4,'Visual SPC'!$B$3)="",0,IF(AND(OR('Visual SPC'!$C$4="",'Data Entry'!$C6782&gt;='Visual SPC'!$C$4),OR('Visual SPC'!$E$4="",'Data Entry'!$C6782&lt;='Visual SPC'!$E$4),OR('Visual SPC'!$G$4="",'Data Entry'!$D6782='Visual SPC'!$G$4),OR('Visual SPC'!$I$4="",'Data Entry'!$E6782='Visual SPC'!$I$4),OR('Visual SPC'!$K$4="",'Data Entry'!$F6782='Visual SPC'!$K$4)),1,0))</f>
        <v/>
      </c>
      <c r="C6782">
        <f>C6781+B6782</f>
        <v/>
      </c>
      <c r="D6782">
        <f>IF(B6782=1,INDEX('Data Entry'!$H$5:$BE$10004,6782-4,'Visual SPC'!$B$3),"")</f>
        <v/>
      </c>
      <c r="E6782">
        <f>IF(B6782=1,D6782,E6781)</f>
        <v/>
      </c>
      <c r="F6782">
        <f>IF(AND(B6782=1,C6782&gt;1,E6781&lt;&gt;""),ABS(D6782-E6781),"")</f>
        <v/>
      </c>
    </row>
    <row r="6783">
      <c r="A6783" t="n">
        <v>6783</v>
      </c>
      <c r="B6783">
        <f>IF(INDEX('Data Entry'!$H$5:$BE$10004,6783-4,'Visual SPC'!$B$3)="",0,IF(AND(OR('Visual SPC'!$C$4="",'Data Entry'!$C6783&gt;='Visual SPC'!$C$4),OR('Visual SPC'!$E$4="",'Data Entry'!$C6783&lt;='Visual SPC'!$E$4),OR('Visual SPC'!$G$4="",'Data Entry'!$D6783='Visual SPC'!$G$4),OR('Visual SPC'!$I$4="",'Data Entry'!$E6783='Visual SPC'!$I$4),OR('Visual SPC'!$K$4="",'Data Entry'!$F6783='Visual SPC'!$K$4)),1,0))</f>
        <v/>
      </c>
      <c r="C6783">
        <f>C6782+B6783</f>
        <v/>
      </c>
      <c r="D6783">
        <f>IF(B6783=1,INDEX('Data Entry'!$H$5:$BE$10004,6783-4,'Visual SPC'!$B$3),"")</f>
        <v/>
      </c>
      <c r="E6783">
        <f>IF(B6783=1,D6783,E6782)</f>
        <v/>
      </c>
      <c r="F6783">
        <f>IF(AND(B6783=1,C6783&gt;1,E6782&lt;&gt;""),ABS(D6783-E6782),"")</f>
        <v/>
      </c>
    </row>
    <row r="6784">
      <c r="A6784" t="n">
        <v>6784</v>
      </c>
      <c r="B6784">
        <f>IF(INDEX('Data Entry'!$H$5:$BE$10004,6784-4,'Visual SPC'!$B$3)="",0,IF(AND(OR('Visual SPC'!$C$4="",'Data Entry'!$C6784&gt;='Visual SPC'!$C$4),OR('Visual SPC'!$E$4="",'Data Entry'!$C6784&lt;='Visual SPC'!$E$4),OR('Visual SPC'!$G$4="",'Data Entry'!$D6784='Visual SPC'!$G$4),OR('Visual SPC'!$I$4="",'Data Entry'!$E6784='Visual SPC'!$I$4),OR('Visual SPC'!$K$4="",'Data Entry'!$F6784='Visual SPC'!$K$4)),1,0))</f>
        <v/>
      </c>
      <c r="C6784">
        <f>C6783+B6784</f>
        <v/>
      </c>
      <c r="D6784">
        <f>IF(B6784=1,INDEX('Data Entry'!$H$5:$BE$10004,6784-4,'Visual SPC'!$B$3),"")</f>
        <v/>
      </c>
      <c r="E6784">
        <f>IF(B6784=1,D6784,E6783)</f>
        <v/>
      </c>
      <c r="F6784">
        <f>IF(AND(B6784=1,C6784&gt;1,E6783&lt;&gt;""),ABS(D6784-E6783),"")</f>
        <v/>
      </c>
    </row>
    <row r="6785">
      <c r="A6785" t="n">
        <v>6785</v>
      </c>
      <c r="B6785">
        <f>IF(INDEX('Data Entry'!$H$5:$BE$10004,6785-4,'Visual SPC'!$B$3)="",0,IF(AND(OR('Visual SPC'!$C$4="",'Data Entry'!$C6785&gt;='Visual SPC'!$C$4),OR('Visual SPC'!$E$4="",'Data Entry'!$C6785&lt;='Visual SPC'!$E$4),OR('Visual SPC'!$G$4="",'Data Entry'!$D6785='Visual SPC'!$G$4),OR('Visual SPC'!$I$4="",'Data Entry'!$E6785='Visual SPC'!$I$4),OR('Visual SPC'!$K$4="",'Data Entry'!$F6785='Visual SPC'!$K$4)),1,0))</f>
        <v/>
      </c>
      <c r="C6785">
        <f>C6784+B6785</f>
        <v/>
      </c>
      <c r="D6785">
        <f>IF(B6785=1,INDEX('Data Entry'!$H$5:$BE$10004,6785-4,'Visual SPC'!$B$3),"")</f>
        <v/>
      </c>
      <c r="E6785">
        <f>IF(B6785=1,D6785,E6784)</f>
        <v/>
      </c>
      <c r="F6785">
        <f>IF(AND(B6785=1,C6785&gt;1,E6784&lt;&gt;""),ABS(D6785-E6784),"")</f>
        <v/>
      </c>
    </row>
    <row r="6786">
      <c r="A6786" t="n">
        <v>6786</v>
      </c>
      <c r="B6786">
        <f>IF(INDEX('Data Entry'!$H$5:$BE$10004,6786-4,'Visual SPC'!$B$3)="",0,IF(AND(OR('Visual SPC'!$C$4="",'Data Entry'!$C6786&gt;='Visual SPC'!$C$4),OR('Visual SPC'!$E$4="",'Data Entry'!$C6786&lt;='Visual SPC'!$E$4),OR('Visual SPC'!$G$4="",'Data Entry'!$D6786='Visual SPC'!$G$4),OR('Visual SPC'!$I$4="",'Data Entry'!$E6786='Visual SPC'!$I$4),OR('Visual SPC'!$K$4="",'Data Entry'!$F6786='Visual SPC'!$K$4)),1,0))</f>
        <v/>
      </c>
      <c r="C6786">
        <f>C6785+B6786</f>
        <v/>
      </c>
      <c r="D6786">
        <f>IF(B6786=1,INDEX('Data Entry'!$H$5:$BE$10004,6786-4,'Visual SPC'!$B$3),"")</f>
        <v/>
      </c>
      <c r="E6786">
        <f>IF(B6786=1,D6786,E6785)</f>
        <v/>
      </c>
      <c r="F6786">
        <f>IF(AND(B6786=1,C6786&gt;1,E6785&lt;&gt;""),ABS(D6786-E6785),"")</f>
        <v/>
      </c>
    </row>
    <row r="6787">
      <c r="A6787" t="n">
        <v>6787</v>
      </c>
      <c r="B6787">
        <f>IF(INDEX('Data Entry'!$H$5:$BE$10004,6787-4,'Visual SPC'!$B$3)="",0,IF(AND(OR('Visual SPC'!$C$4="",'Data Entry'!$C6787&gt;='Visual SPC'!$C$4),OR('Visual SPC'!$E$4="",'Data Entry'!$C6787&lt;='Visual SPC'!$E$4),OR('Visual SPC'!$G$4="",'Data Entry'!$D6787='Visual SPC'!$G$4),OR('Visual SPC'!$I$4="",'Data Entry'!$E6787='Visual SPC'!$I$4),OR('Visual SPC'!$K$4="",'Data Entry'!$F6787='Visual SPC'!$K$4)),1,0))</f>
        <v/>
      </c>
      <c r="C6787">
        <f>C6786+B6787</f>
        <v/>
      </c>
      <c r="D6787">
        <f>IF(B6787=1,INDEX('Data Entry'!$H$5:$BE$10004,6787-4,'Visual SPC'!$B$3),"")</f>
        <v/>
      </c>
      <c r="E6787">
        <f>IF(B6787=1,D6787,E6786)</f>
        <v/>
      </c>
      <c r="F6787">
        <f>IF(AND(B6787=1,C6787&gt;1,E6786&lt;&gt;""),ABS(D6787-E6786),"")</f>
        <v/>
      </c>
    </row>
    <row r="6788">
      <c r="A6788" t="n">
        <v>6788</v>
      </c>
      <c r="B6788">
        <f>IF(INDEX('Data Entry'!$H$5:$BE$10004,6788-4,'Visual SPC'!$B$3)="",0,IF(AND(OR('Visual SPC'!$C$4="",'Data Entry'!$C6788&gt;='Visual SPC'!$C$4),OR('Visual SPC'!$E$4="",'Data Entry'!$C6788&lt;='Visual SPC'!$E$4),OR('Visual SPC'!$G$4="",'Data Entry'!$D6788='Visual SPC'!$G$4),OR('Visual SPC'!$I$4="",'Data Entry'!$E6788='Visual SPC'!$I$4),OR('Visual SPC'!$K$4="",'Data Entry'!$F6788='Visual SPC'!$K$4)),1,0))</f>
        <v/>
      </c>
      <c r="C6788">
        <f>C6787+B6788</f>
        <v/>
      </c>
      <c r="D6788">
        <f>IF(B6788=1,INDEX('Data Entry'!$H$5:$BE$10004,6788-4,'Visual SPC'!$B$3),"")</f>
        <v/>
      </c>
      <c r="E6788">
        <f>IF(B6788=1,D6788,E6787)</f>
        <v/>
      </c>
      <c r="F6788">
        <f>IF(AND(B6788=1,C6788&gt;1,E6787&lt;&gt;""),ABS(D6788-E6787),"")</f>
        <v/>
      </c>
    </row>
    <row r="6789">
      <c r="A6789" t="n">
        <v>6789</v>
      </c>
      <c r="B6789">
        <f>IF(INDEX('Data Entry'!$H$5:$BE$10004,6789-4,'Visual SPC'!$B$3)="",0,IF(AND(OR('Visual SPC'!$C$4="",'Data Entry'!$C6789&gt;='Visual SPC'!$C$4),OR('Visual SPC'!$E$4="",'Data Entry'!$C6789&lt;='Visual SPC'!$E$4),OR('Visual SPC'!$G$4="",'Data Entry'!$D6789='Visual SPC'!$G$4),OR('Visual SPC'!$I$4="",'Data Entry'!$E6789='Visual SPC'!$I$4),OR('Visual SPC'!$K$4="",'Data Entry'!$F6789='Visual SPC'!$K$4)),1,0))</f>
        <v/>
      </c>
      <c r="C6789">
        <f>C6788+B6789</f>
        <v/>
      </c>
      <c r="D6789">
        <f>IF(B6789=1,INDEX('Data Entry'!$H$5:$BE$10004,6789-4,'Visual SPC'!$B$3),"")</f>
        <v/>
      </c>
      <c r="E6789">
        <f>IF(B6789=1,D6789,E6788)</f>
        <v/>
      </c>
      <c r="F6789">
        <f>IF(AND(B6789=1,C6789&gt;1,E6788&lt;&gt;""),ABS(D6789-E6788),"")</f>
        <v/>
      </c>
    </row>
    <row r="6790">
      <c r="A6790" t="n">
        <v>6790</v>
      </c>
      <c r="B6790">
        <f>IF(INDEX('Data Entry'!$H$5:$BE$10004,6790-4,'Visual SPC'!$B$3)="",0,IF(AND(OR('Visual SPC'!$C$4="",'Data Entry'!$C6790&gt;='Visual SPC'!$C$4),OR('Visual SPC'!$E$4="",'Data Entry'!$C6790&lt;='Visual SPC'!$E$4),OR('Visual SPC'!$G$4="",'Data Entry'!$D6790='Visual SPC'!$G$4),OR('Visual SPC'!$I$4="",'Data Entry'!$E6790='Visual SPC'!$I$4),OR('Visual SPC'!$K$4="",'Data Entry'!$F6790='Visual SPC'!$K$4)),1,0))</f>
        <v/>
      </c>
      <c r="C6790">
        <f>C6789+B6790</f>
        <v/>
      </c>
      <c r="D6790">
        <f>IF(B6790=1,INDEX('Data Entry'!$H$5:$BE$10004,6790-4,'Visual SPC'!$B$3),"")</f>
        <v/>
      </c>
      <c r="E6790">
        <f>IF(B6790=1,D6790,E6789)</f>
        <v/>
      </c>
      <c r="F6790">
        <f>IF(AND(B6790=1,C6790&gt;1,E6789&lt;&gt;""),ABS(D6790-E6789),"")</f>
        <v/>
      </c>
    </row>
    <row r="6791">
      <c r="A6791" t="n">
        <v>6791</v>
      </c>
      <c r="B6791">
        <f>IF(INDEX('Data Entry'!$H$5:$BE$10004,6791-4,'Visual SPC'!$B$3)="",0,IF(AND(OR('Visual SPC'!$C$4="",'Data Entry'!$C6791&gt;='Visual SPC'!$C$4),OR('Visual SPC'!$E$4="",'Data Entry'!$C6791&lt;='Visual SPC'!$E$4),OR('Visual SPC'!$G$4="",'Data Entry'!$D6791='Visual SPC'!$G$4),OR('Visual SPC'!$I$4="",'Data Entry'!$E6791='Visual SPC'!$I$4),OR('Visual SPC'!$K$4="",'Data Entry'!$F6791='Visual SPC'!$K$4)),1,0))</f>
        <v/>
      </c>
      <c r="C6791">
        <f>C6790+B6791</f>
        <v/>
      </c>
      <c r="D6791">
        <f>IF(B6791=1,INDEX('Data Entry'!$H$5:$BE$10004,6791-4,'Visual SPC'!$B$3),"")</f>
        <v/>
      </c>
      <c r="E6791">
        <f>IF(B6791=1,D6791,E6790)</f>
        <v/>
      </c>
      <c r="F6791">
        <f>IF(AND(B6791=1,C6791&gt;1,E6790&lt;&gt;""),ABS(D6791-E6790),"")</f>
        <v/>
      </c>
    </row>
    <row r="6792">
      <c r="A6792" t="n">
        <v>6792</v>
      </c>
      <c r="B6792">
        <f>IF(INDEX('Data Entry'!$H$5:$BE$10004,6792-4,'Visual SPC'!$B$3)="",0,IF(AND(OR('Visual SPC'!$C$4="",'Data Entry'!$C6792&gt;='Visual SPC'!$C$4),OR('Visual SPC'!$E$4="",'Data Entry'!$C6792&lt;='Visual SPC'!$E$4),OR('Visual SPC'!$G$4="",'Data Entry'!$D6792='Visual SPC'!$G$4),OR('Visual SPC'!$I$4="",'Data Entry'!$E6792='Visual SPC'!$I$4),OR('Visual SPC'!$K$4="",'Data Entry'!$F6792='Visual SPC'!$K$4)),1,0))</f>
        <v/>
      </c>
      <c r="C6792">
        <f>C6791+B6792</f>
        <v/>
      </c>
      <c r="D6792">
        <f>IF(B6792=1,INDEX('Data Entry'!$H$5:$BE$10004,6792-4,'Visual SPC'!$B$3),"")</f>
        <v/>
      </c>
      <c r="E6792">
        <f>IF(B6792=1,D6792,E6791)</f>
        <v/>
      </c>
      <c r="F6792">
        <f>IF(AND(B6792=1,C6792&gt;1,E6791&lt;&gt;""),ABS(D6792-E6791),"")</f>
        <v/>
      </c>
    </row>
    <row r="6793">
      <c r="A6793" t="n">
        <v>6793</v>
      </c>
      <c r="B6793">
        <f>IF(INDEX('Data Entry'!$H$5:$BE$10004,6793-4,'Visual SPC'!$B$3)="",0,IF(AND(OR('Visual SPC'!$C$4="",'Data Entry'!$C6793&gt;='Visual SPC'!$C$4),OR('Visual SPC'!$E$4="",'Data Entry'!$C6793&lt;='Visual SPC'!$E$4),OR('Visual SPC'!$G$4="",'Data Entry'!$D6793='Visual SPC'!$G$4),OR('Visual SPC'!$I$4="",'Data Entry'!$E6793='Visual SPC'!$I$4),OR('Visual SPC'!$K$4="",'Data Entry'!$F6793='Visual SPC'!$K$4)),1,0))</f>
        <v/>
      </c>
      <c r="C6793">
        <f>C6792+B6793</f>
        <v/>
      </c>
      <c r="D6793">
        <f>IF(B6793=1,INDEX('Data Entry'!$H$5:$BE$10004,6793-4,'Visual SPC'!$B$3),"")</f>
        <v/>
      </c>
      <c r="E6793">
        <f>IF(B6793=1,D6793,E6792)</f>
        <v/>
      </c>
      <c r="F6793">
        <f>IF(AND(B6793=1,C6793&gt;1,E6792&lt;&gt;""),ABS(D6793-E6792),"")</f>
        <v/>
      </c>
    </row>
    <row r="6794">
      <c r="A6794" t="n">
        <v>6794</v>
      </c>
      <c r="B6794">
        <f>IF(INDEX('Data Entry'!$H$5:$BE$10004,6794-4,'Visual SPC'!$B$3)="",0,IF(AND(OR('Visual SPC'!$C$4="",'Data Entry'!$C6794&gt;='Visual SPC'!$C$4),OR('Visual SPC'!$E$4="",'Data Entry'!$C6794&lt;='Visual SPC'!$E$4),OR('Visual SPC'!$G$4="",'Data Entry'!$D6794='Visual SPC'!$G$4),OR('Visual SPC'!$I$4="",'Data Entry'!$E6794='Visual SPC'!$I$4),OR('Visual SPC'!$K$4="",'Data Entry'!$F6794='Visual SPC'!$K$4)),1,0))</f>
        <v/>
      </c>
      <c r="C6794">
        <f>C6793+B6794</f>
        <v/>
      </c>
      <c r="D6794">
        <f>IF(B6794=1,INDEX('Data Entry'!$H$5:$BE$10004,6794-4,'Visual SPC'!$B$3),"")</f>
        <v/>
      </c>
      <c r="E6794">
        <f>IF(B6794=1,D6794,E6793)</f>
        <v/>
      </c>
      <c r="F6794">
        <f>IF(AND(B6794=1,C6794&gt;1,E6793&lt;&gt;""),ABS(D6794-E6793),"")</f>
        <v/>
      </c>
    </row>
    <row r="6795">
      <c r="A6795" t="n">
        <v>6795</v>
      </c>
      <c r="B6795">
        <f>IF(INDEX('Data Entry'!$H$5:$BE$10004,6795-4,'Visual SPC'!$B$3)="",0,IF(AND(OR('Visual SPC'!$C$4="",'Data Entry'!$C6795&gt;='Visual SPC'!$C$4),OR('Visual SPC'!$E$4="",'Data Entry'!$C6795&lt;='Visual SPC'!$E$4),OR('Visual SPC'!$G$4="",'Data Entry'!$D6795='Visual SPC'!$G$4),OR('Visual SPC'!$I$4="",'Data Entry'!$E6795='Visual SPC'!$I$4),OR('Visual SPC'!$K$4="",'Data Entry'!$F6795='Visual SPC'!$K$4)),1,0))</f>
        <v/>
      </c>
      <c r="C6795">
        <f>C6794+B6795</f>
        <v/>
      </c>
      <c r="D6795">
        <f>IF(B6795=1,INDEX('Data Entry'!$H$5:$BE$10004,6795-4,'Visual SPC'!$B$3),"")</f>
        <v/>
      </c>
      <c r="E6795">
        <f>IF(B6795=1,D6795,E6794)</f>
        <v/>
      </c>
      <c r="F6795">
        <f>IF(AND(B6795=1,C6795&gt;1,E6794&lt;&gt;""),ABS(D6795-E6794),"")</f>
        <v/>
      </c>
    </row>
    <row r="6796">
      <c r="A6796" t="n">
        <v>6796</v>
      </c>
      <c r="B6796">
        <f>IF(INDEX('Data Entry'!$H$5:$BE$10004,6796-4,'Visual SPC'!$B$3)="",0,IF(AND(OR('Visual SPC'!$C$4="",'Data Entry'!$C6796&gt;='Visual SPC'!$C$4),OR('Visual SPC'!$E$4="",'Data Entry'!$C6796&lt;='Visual SPC'!$E$4),OR('Visual SPC'!$G$4="",'Data Entry'!$D6796='Visual SPC'!$G$4),OR('Visual SPC'!$I$4="",'Data Entry'!$E6796='Visual SPC'!$I$4),OR('Visual SPC'!$K$4="",'Data Entry'!$F6796='Visual SPC'!$K$4)),1,0))</f>
        <v/>
      </c>
      <c r="C6796">
        <f>C6795+B6796</f>
        <v/>
      </c>
      <c r="D6796">
        <f>IF(B6796=1,INDEX('Data Entry'!$H$5:$BE$10004,6796-4,'Visual SPC'!$B$3),"")</f>
        <v/>
      </c>
      <c r="E6796">
        <f>IF(B6796=1,D6796,E6795)</f>
        <v/>
      </c>
      <c r="F6796">
        <f>IF(AND(B6796=1,C6796&gt;1,E6795&lt;&gt;""),ABS(D6796-E6795),"")</f>
        <v/>
      </c>
    </row>
    <row r="6797">
      <c r="A6797" t="n">
        <v>6797</v>
      </c>
      <c r="B6797">
        <f>IF(INDEX('Data Entry'!$H$5:$BE$10004,6797-4,'Visual SPC'!$B$3)="",0,IF(AND(OR('Visual SPC'!$C$4="",'Data Entry'!$C6797&gt;='Visual SPC'!$C$4),OR('Visual SPC'!$E$4="",'Data Entry'!$C6797&lt;='Visual SPC'!$E$4),OR('Visual SPC'!$G$4="",'Data Entry'!$D6797='Visual SPC'!$G$4),OR('Visual SPC'!$I$4="",'Data Entry'!$E6797='Visual SPC'!$I$4),OR('Visual SPC'!$K$4="",'Data Entry'!$F6797='Visual SPC'!$K$4)),1,0))</f>
        <v/>
      </c>
      <c r="C6797">
        <f>C6796+B6797</f>
        <v/>
      </c>
      <c r="D6797">
        <f>IF(B6797=1,INDEX('Data Entry'!$H$5:$BE$10004,6797-4,'Visual SPC'!$B$3),"")</f>
        <v/>
      </c>
      <c r="E6797">
        <f>IF(B6797=1,D6797,E6796)</f>
        <v/>
      </c>
      <c r="F6797">
        <f>IF(AND(B6797=1,C6797&gt;1,E6796&lt;&gt;""),ABS(D6797-E6796),"")</f>
        <v/>
      </c>
    </row>
    <row r="6798">
      <c r="A6798" t="n">
        <v>6798</v>
      </c>
      <c r="B6798">
        <f>IF(INDEX('Data Entry'!$H$5:$BE$10004,6798-4,'Visual SPC'!$B$3)="",0,IF(AND(OR('Visual SPC'!$C$4="",'Data Entry'!$C6798&gt;='Visual SPC'!$C$4),OR('Visual SPC'!$E$4="",'Data Entry'!$C6798&lt;='Visual SPC'!$E$4),OR('Visual SPC'!$G$4="",'Data Entry'!$D6798='Visual SPC'!$G$4),OR('Visual SPC'!$I$4="",'Data Entry'!$E6798='Visual SPC'!$I$4),OR('Visual SPC'!$K$4="",'Data Entry'!$F6798='Visual SPC'!$K$4)),1,0))</f>
        <v/>
      </c>
      <c r="C6798">
        <f>C6797+B6798</f>
        <v/>
      </c>
      <c r="D6798">
        <f>IF(B6798=1,INDEX('Data Entry'!$H$5:$BE$10004,6798-4,'Visual SPC'!$B$3),"")</f>
        <v/>
      </c>
      <c r="E6798">
        <f>IF(B6798=1,D6798,E6797)</f>
        <v/>
      </c>
      <c r="F6798">
        <f>IF(AND(B6798=1,C6798&gt;1,E6797&lt;&gt;""),ABS(D6798-E6797),"")</f>
        <v/>
      </c>
    </row>
    <row r="6799">
      <c r="A6799" t="n">
        <v>6799</v>
      </c>
      <c r="B6799">
        <f>IF(INDEX('Data Entry'!$H$5:$BE$10004,6799-4,'Visual SPC'!$B$3)="",0,IF(AND(OR('Visual SPC'!$C$4="",'Data Entry'!$C6799&gt;='Visual SPC'!$C$4),OR('Visual SPC'!$E$4="",'Data Entry'!$C6799&lt;='Visual SPC'!$E$4),OR('Visual SPC'!$G$4="",'Data Entry'!$D6799='Visual SPC'!$G$4),OR('Visual SPC'!$I$4="",'Data Entry'!$E6799='Visual SPC'!$I$4),OR('Visual SPC'!$K$4="",'Data Entry'!$F6799='Visual SPC'!$K$4)),1,0))</f>
        <v/>
      </c>
      <c r="C6799">
        <f>C6798+B6799</f>
        <v/>
      </c>
      <c r="D6799">
        <f>IF(B6799=1,INDEX('Data Entry'!$H$5:$BE$10004,6799-4,'Visual SPC'!$B$3),"")</f>
        <v/>
      </c>
      <c r="E6799">
        <f>IF(B6799=1,D6799,E6798)</f>
        <v/>
      </c>
      <c r="F6799">
        <f>IF(AND(B6799=1,C6799&gt;1,E6798&lt;&gt;""),ABS(D6799-E6798),"")</f>
        <v/>
      </c>
    </row>
    <row r="6800">
      <c r="A6800" t="n">
        <v>6800</v>
      </c>
      <c r="B6800">
        <f>IF(INDEX('Data Entry'!$H$5:$BE$10004,6800-4,'Visual SPC'!$B$3)="",0,IF(AND(OR('Visual SPC'!$C$4="",'Data Entry'!$C6800&gt;='Visual SPC'!$C$4),OR('Visual SPC'!$E$4="",'Data Entry'!$C6800&lt;='Visual SPC'!$E$4),OR('Visual SPC'!$G$4="",'Data Entry'!$D6800='Visual SPC'!$G$4),OR('Visual SPC'!$I$4="",'Data Entry'!$E6800='Visual SPC'!$I$4),OR('Visual SPC'!$K$4="",'Data Entry'!$F6800='Visual SPC'!$K$4)),1,0))</f>
        <v/>
      </c>
      <c r="C6800">
        <f>C6799+B6800</f>
        <v/>
      </c>
      <c r="D6800">
        <f>IF(B6800=1,INDEX('Data Entry'!$H$5:$BE$10004,6800-4,'Visual SPC'!$B$3),"")</f>
        <v/>
      </c>
      <c r="E6800">
        <f>IF(B6800=1,D6800,E6799)</f>
        <v/>
      </c>
      <c r="F6800">
        <f>IF(AND(B6800=1,C6800&gt;1,E6799&lt;&gt;""),ABS(D6800-E6799),"")</f>
        <v/>
      </c>
    </row>
    <row r="6801">
      <c r="A6801" t="n">
        <v>6801</v>
      </c>
      <c r="B6801">
        <f>IF(INDEX('Data Entry'!$H$5:$BE$10004,6801-4,'Visual SPC'!$B$3)="",0,IF(AND(OR('Visual SPC'!$C$4="",'Data Entry'!$C6801&gt;='Visual SPC'!$C$4),OR('Visual SPC'!$E$4="",'Data Entry'!$C6801&lt;='Visual SPC'!$E$4),OR('Visual SPC'!$G$4="",'Data Entry'!$D6801='Visual SPC'!$G$4),OR('Visual SPC'!$I$4="",'Data Entry'!$E6801='Visual SPC'!$I$4),OR('Visual SPC'!$K$4="",'Data Entry'!$F6801='Visual SPC'!$K$4)),1,0))</f>
        <v/>
      </c>
      <c r="C6801">
        <f>C6800+B6801</f>
        <v/>
      </c>
      <c r="D6801">
        <f>IF(B6801=1,INDEX('Data Entry'!$H$5:$BE$10004,6801-4,'Visual SPC'!$B$3),"")</f>
        <v/>
      </c>
      <c r="E6801">
        <f>IF(B6801=1,D6801,E6800)</f>
        <v/>
      </c>
      <c r="F6801">
        <f>IF(AND(B6801=1,C6801&gt;1,E6800&lt;&gt;""),ABS(D6801-E6800),"")</f>
        <v/>
      </c>
    </row>
    <row r="6802">
      <c r="A6802" t="n">
        <v>6802</v>
      </c>
      <c r="B6802">
        <f>IF(INDEX('Data Entry'!$H$5:$BE$10004,6802-4,'Visual SPC'!$B$3)="",0,IF(AND(OR('Visual SPC'!$C$4="",'Data Entry'!$C6802&gt;='Visual SPC'!$C$4),OR('Visual SPC'!$E$4="",'Data Entry'!$C6802&lt;='Visual SPC'!$E$4),OR('Visual SPC'!$G$4="",'Data Entry'!$D6802='Visual SPC'!$G$4),OR('Visual SPC'!$I$4="",'Data Entry'!$E6802='Visual SPC'!$I$4),OR('Visual SPC'!$K$4="",'Data Entry'!$F6802='Visual SPC'!$K$4)),1,0))</f>
        <v/>
      </c>
      <c r="C6802">
        <f>C6801+B6802</f>
        <v/>
      </c>
      <c r="D6802">
        <f>IF(B6802=1,INDEX('Data Entry'!$H$5:$BE$10004,6802-4,'Visual SPC'!$B$3),"")</f>
        <v/>
      </c>
      <c r="E6802">
        <f>IF(B6802=1,D6802,E6801)</f>
        <v/>
      </c>
      <c r="F6802">
        <f>IF(AND(B6802=1,C6802&gt;1,E6801&lt;&gt;""),ABS(D6802-E6801),"")</f>
        <v/>
      </c>
    </row>
    <row r="6803">
      <c r="A6803" t="n">
        <v>6803</v>
      </c>
      <c r="B6803">
        <f>IF(INDEX('Data Entry'!$H$5:$BE$10004,6803-4,'Visual SPC'!$B$3)="",0,IF(AND(OR('Visual SPC'!$C$4="",'Data Entry'!$C6803&gt;='Visual SPC'!$C$4),OR('Visual SPC'!$E$4="",'Data Entry'!$C6803&lt;='Visual SPC'!$E$4),OR('Visual SPC'!$G$4="",'Data Entry'!$D6803='Visual SPC'!$G$4),OR('Visual SPC'!$I$4="",'Data Entry'!$E6803='Visual SPC'!$I$4),OR('Visual SPC'!$K$4="",'Data Entry'!$F6803='Visual SPC'!$K$4)),1,0))</f>
        <v/>
      </c>
      <c r="C6803">
        <f>C6802+B6803</f>
        <v/>
      </c>
      <c r="D6803">
        <f>IF(B6803=1,INDEX('Data Entry'!$H$5:$BE$10004,6803-4,'Visual SPC'!$B$3),"")</f>
        <v/>
      </c>
      <c r="E6803">
        <f>IF(B6803=1,D6803,E6802)</f>
        <v/>
      </c>
      <c r="F6803">
        <f>IF(AND(B6803=1,C6803&gt;1,E6802&lt;&gt;""),ABS(D6803-E6802),"")</f>
        <v/>
      </c>
    </row>
    <row r="6804">
      <c r="A6804" t="n">
        <v>6804</v>
      </c>
      <c r="B6804">
        <f>IF(INDEX('Data Entry'!$H$5:$BE$10004,6804-4,'Visual SPC'!$B$3)="",0,IF(AND(OR('Visual SPC'!$C$4="",'Data Entry'!$C6804&gt;='Visual SPC'!$C$4),OR('Visual SPC'!$E$4="",'Data Entry'!$C6804&lt;='Visual SPC'!$E$4),OR('Visual SPC'!$G$4="",'Data Entry'!$D6804='Visual SPC'!$G$4),OR('Visual SPC'!$I$4="",'Data Entry'!$E6804='Visual SPC'!$I$4),OR('Visual SPC'!$K$4="",'Data Entry'!$F6804='Visual SPC'!$K$4)),1,0))</f>
        <v/>
      </c>
      <c r="C6804">
        <f>C6803+B6804</f>
        <v/>
      </c>
      <c r="D6804">
        <f>IF(B6804=1,INDEX('Data Entry'!$H$5:$BE$10004,6804-4,'Visual SPC'!$B$3),"")</f>
        <v/>
      </c>
      <c r="E6804">
        <f>IF(B6804=1,D6804,E6803)</f>
        <v/>
      </c>
      <c r="F6804">
        <f>IF(AND(B6804=1,C6804&gt;1,E6803&lt;&gt;""),ABS(D6804-E6803),"")</f>
        <v/>
      </c>
    </row>
    <row r="6805">
      <c r="A6805" t="n">
        <v>6805</v>
      </c>
      <c r="B6805">
        <f>IF(INDEX('Data Entry'!$H$5:$BE$10004,6805-4,'Visual SPC'!$B$3)="",0,IF(AND(OR('Visual SPC'!$C$4="",'Data Entry'!$C6805&gt;='Visual SPC'!$C$4),OR('Visual SPC'!$E$4="",'Data Entry'!$C6805&lt;='Visual SPC'!$E$4),OR('Visual SPC'!$G$4="",'Data Entry'!$D6805='Visual SPC'!$G$4),OR('Visual SPC'!$I$4="",'Data Entry'!$E6805='Visual SPC'!$I$4),OR('Visual SPC'!$K$4="",'Data Entry'!$F6805='Visual SPC'!$K$4)),1,0))</f>
        <v/>
      </c>
      <c r="C6805">
        <f>C6804+B6805</f>
        <v/>
      </c>
      <c r="D6805">
        <f>IF(B6805=1,INDEX('Data Entry'!$H$5:$BE$10004,6805-4,'Visual SPC'!$B$3),"")</f>
        <v/>
      </c>
      <c r="E6805">
        <f>IF(B6805=1,D6805,E6804)</f>
        <v/>
      </c>
      <c r="F6805">
        <f>IF(AND(B6805=1,C6805&gt;1,E6804&lt;&gt;""),ABS(D6805-E6804),"")</f>
        <v/>
      </c>
    </row>
    <row r="6806">
      <c r="A6806" t="n">
        <v>6806</v>
      </c>
      <c r="B6806">
        <f>IF(INDEX('Data Entry'!$H$5:$BE$10004,6806-4,'Visual SPC'!$B$3)="",0,IF(AND(OR('Visual SPC'!$C$4="",'Data Entry'!$C6806&gt;='Visual SPC'!$C$4),OR('Visual SPC'!$E$4="",'Data Entry'!$C6806&lt;='Visual SPC'!$E$4),OR('Visual SPC'!$G$4="",'Data Entry'!$D6806='Visual SPC'!$G$4),OR('Visual SPC'!$I$4="",'Data Entry'!$E6806='Visual SPC'!$I$4),OR('Visual SPC'!$K$4="",'Data Entry'!$F6806='Visual SPC'!$K$4)),1,0))</f>
        <v/>
      </c>
      <c r="C6806">
        <f>C6805+B6806</f>
        <v/>
      </c>
      <c r="D6806">
        <f>IF(B6806=1,INDEX('Data Entry'!$H$5:$BE$10004,6806-4,'Visual SPC'!$B$3),"")</f>
        <v/>
      </c>
      <c r="E6806">
        <f>IF(B6806=1,D6806,E6805)</f>
        <v/>
      </c>
      <c r="F6806">
        <f>IF(AND(B6806=1,C6806&gt;1,E6805&lt;&gt;""),ABS(D6806-E6805),"")</f>
        <v/>
      </c>
    </row>
    <row r="6807">
      <c r="A6807" t="n">
        <v>6807</v>
      </c>
      <c r="B6807">
        <f>IF(INDEX('Data Entry'!$H$5:$BE$10004,6807-4,'Visual SPC'!$B$3)="",0,IF(AND(OR('Visual SPC'!$C$4="",'Data Entry'!$C6807&gt;='Visual SPC'!$C$4),OR('Visual SPC'!$E$4="",'Data Entry'!$C6807&lt;='Visual SPC'!$E$4),OR('Visual SPC'!$G$4="",'Data Entry'!$D6807='Visual SPC'!$G$4),OR('Visual SPC'!$I$4="",'Data Entry'!$E6807='Visual SPC'!$I$4),OR('Visual SPC'!$K$4="",'Data Entry'!$F6807='Visual SPC'!$K$4)),1,0))</f>
        <v/>
      </c>
      <c r="C6807">
        <f>C6806+B6807</f>
        <v/>
      </c>
      <c r="D6807">
        <f>IF(B6807=1,INDEX('Data Entry'!$H$5:$BE$10004,6807-4,'Visual SPC'!$B$3),"")</f>
        <v/>
      </c>
      <c r="E6807">
        <f>IF(B6807=1,D6807,E6806)</f>
        <v/>
      </c>
      <c r="F6807">
        <f>IF(AND(B6807=1,C6807&gt;1,E6806&lt;&gt;""),ABS(D6807-E6806),"")</f>
        <v/>
      </c>
    </row>
    <row r="6808">
      <c r="A6808" t="n">
        <v>6808</v>
      </c>
      <c r="B6808">
        <f>IF(INDEX('Data Entry'!$H$5:$BE$10004,6808-4,'Visual SPC'!$B$3)="",0,IF(AND(OR('Visual SPC'!$C$4="",'Data Entry'!$C6808&gt;='Visual SPC'!$C$4),OR('Visual SPC'!$E$4="",'Data Entry'!$C6808&lt;='Visual SPC'!$E$4),OR('Visual SPC'!$G$4="",'Data Entry'!$D6808='Visual SPC'!$G$4),OR('Visual SPC'!$I$4="",'Data Entry'!$E6808='Visual SPC'!$I$4),OR('Visual SPC'!$K$4="",'Data Entry'!$F6808='Visual SPC'!$K$4)),1,0))</f>
        <v/>
      </c>
      <c r="C6808">
        <f>C6807+B6808</f>
        <v/>
      </c>
      <c r="D6808">
        <f>IF(B6808=1,INDEX('Data Entry'!$H$5:$BE$10004,6808-4,'Visual SPC'!$B$3),"")</f>
        <v/>
      </c>
      <c r="E6808">
        <f>IF(B6808=1,D6808,E6807)</f>
        <v/>
      </c>
      <c r="F6808">
        <f>IF(AND(B6808=1,C6808&gt;1,E6807&lt;&gt;""),ABS(D6808-E6807),"")</f>
        <v/>
      </c>
    </row>
    <row r="6809">
      <c r="A6809" t="n">
        <v>6809</v>
      </c>
      <c r="B6809">
        <f>IF(INDEX('Data Entry'!$H$5:$BE$10004,6809-4,'Visual SPC'!$B$3)="",0,IF(AND(OR('Visual SPC'!$C$4="",'Data Entry'!$C6809&gt;='Visual SPC'!$C$4),OR('Visual SPC'!$E$4="",'Data Entry'!$C6809&lt;='Visual SPC'!$E$4),OR('Visual SPC'!$G$4="",'Data Entry'!$D6809='Visual SPC'!$G$4),OR('Visual SPC'!$I$4="",'Data Entry'!$E6809='Visual SPC'!$I$4),OR('Visual SPC'!$K$4="",'Data Entry'!$F6809='Visual SPC'!$K$4)),1,0))</f>
        <v/>
      </c>
      <c r="C6809">
        <f>C6808+B6809</f>
        <v/>
      </c>
      <c r="D6809">
        <f>IF(B6809=1,INDEX('Data Entry'!$H$5:$BE$10004,6809-4,'Visual SPC'!$B$3),"")</f>
        <v/>
      </c>
      <c r="E6809">
        <f>IF(B6809=1,D6809,E6808)</f>
        <v/>
      </c>
      <c r="F6809">
        <f>IF(AND(B6809=1,C6809&gt;1,E6808&lt;&gt;""),ABS(D6809-E6808),"")</f>
        <v/>
      </c>
    </row>
    <row r="6810">
      <c r="A6810" t="n">
        <v>6810</v>
      </c>
      <c r="B6810">
        <f>IF(INDEX('Data Entry'!$H$5:$BE$10004,6810-4,'Visual SPC'!$B$3)="",0,IF(AND(OR('Visual SPC'!$C$4="",'Data Entry'!$C6810&gt;='Visual SPC'!$C$4),OR('Visual SPC'!$E$4="",'Data Entry'!$C6810&lt;='Visual SPC'!$E$4),OR('Visual SPC'!$G$4="",'Data Entry'!$D6810='Visual SPC'!$G$4),OR('Visual SPC'!$I$4="",'Data Entry'!$E6810='Visual SPC'!$I$4),OR('Visual SPC'!$K$4="",'Data Entry'!$F6810='Visual SPC'!$K$4)),1,0))</f>
        <v/>
      </c>
      <c r="C6810">
        <f>C6809+B6810</f>
        <v/>
      </c>
      <c r="D6810">
        <f>IF(B6810=1,INDEX('Data Entry'!$H$5:$BE$10004,6810-4,'Visual SPC'!$B$3),"")</f>
        <v/>
      </c>
      <c r="E6810">
        <f>IF(B6810=1,D6810,E6809)</f>
        <v/>
      </c>
      <c r="F6810">
        <f>IF(AND(B6810=1,C6810&gt;1,E6809&lt;&gt;""),ABS(D6810-E6809),"")</f>
        <v/>
      </c>
    </row>
    <row r="6811">
      <c r="A6811" t="n">
        <v>6811</v>
      </c>
      <c r="B6811">
        <f>IF(INDEX('Data Entry'!$H$5:$BE$10004,6811-4,'Visual SPC'!$B$3)="",0,IF(AND(OR('Visual SPC'!$C$4="",'Data Entry'!$C6811&gt;='Visual SPC'!$C$4),OR('Visual SPC'!$E$4="",'Data Entry'!$C6811&lt;='Visual SPC'!$E$4),OR('Visual SPC'!$G$4="",'Data Entry'!$D6811='Visual SPC'!$G$4),OR('Visual SPC'!$I$4="",'Data Entry'!$E6811='Visual SPC'!$I$4),OR('Visual SPC'!$K$4="",'Data Entry'!$F6811='Visual SPC'!$K$4)),1,0))</f>
        <v/>
      </c>
      <c r="C6811">
        <f>C6810+B6811</f>
        <v/>
      </c>
      <c r="D6811">
        <f>IF(B6811=1,INDEX('Data Entry'!$H$5:$BE$10004,6811-4,'Visual SPC'!$B$3),"")</f>
        <v/>
      </c>
      <c r="E6811">
        <f>IF(B6811=1,D6811,E6810)</f>
        <v/>
      </c>
      <c r="F6811">
        <f>IF(AND(B6811=1,C6811&gt;1,E6810&lt;&gt;""),ABS(D6811-E6810),"")</f>
        <v/>
      </c>
    </row>
    <row r="6812">
      <c r="A6812" t="n">
        <v>6812</v>
      </c>
      <c r="B6812">
        <f>IF(INDEX('Data Entry'!$H$5:$BE$10004,6812-4,'Visual SPC'!$B$3)="",0,IF(AND(OR('Visual SPC'!$C$4="",'Data Entry'!$C6812&gt;='Visual SPC'!$C$4),OR('Visual SPC'!$E$4="",'Data Entry'!$C6812&lt;='Visual SPC'!$E$4),OR('Visual SPC'!$G$4="",'Data Entry'!$D6812='Visual SPC'!$G$4),OR('Visual SPC'!$I$4="",'Data Entry'!$E6812='Visual SPC'!$I$4),OR('Visual SPC'!$K$4="",'Data Entry'!$F6812='Visual SPC'!$K$4)),1,0))</f>
        <v/>
      </c>
      <c r="C6812">
        <f>C6811+B6812</f>
        <v/>
      </c>
      <c r="D6812">
        <f>IF(B6812=1,INDEX('Data Entry'!$H$5:$BE$10004,6812-4,'Visual SPC'!$B$3),"")</f>
        <v/>
      </c>
      <c r="E6812">
        <f>IF(B6812=1,D6812,E6811)</f>
        <v/>
      </c>
      <c r="F6812">
        <f>IF(AND(B6812=1,C6812&gt;1,E6811&lt;&gt;""),ABS(D6812-E6811),"")</f>
        <v/>
      </c>
    </row>
    <row r="6813">
      <c r="A6813" t="n">
        <v>6813</v>
      </c>
      <c r="B6813">
        <f>IF(INDEX('Data Entry'!$H$5:$BE$10004,6813-4,'Visual SPC'!$B$3)="",0,IF(AND(OR('Visual SPC'!$C$4="",'Data Entry'!$C6813&gt;='Visual SPC'!$C$4),OR('Visual SPC'!$E$4="",'Data Entry'!$C6813&lt;='Visual SPC'!$E$4),OR('Visual SPC'!$G$4="",'Data Entry'!$D6813='Visual SPC'!$G$4),OR('Visual SPC'!$I$4="",'Data Entry'!$E6813='Visual SPC'!$I$4),OR('Visual SPC'!$K$4="",'Data Entry'!$F6813='Visual SPC'!$K$4)),1,0))</f>
        <v/>
      </c>
      <c r="C6813">
        <f>C6812+B6813</f>
        <v/>
      </c>
      <c r="D6813">
        <f>IF(B6813=1,INDEX('Data Entry'!$H$5:$BE$10004,6813-4,'Visual SPC'!$B$3),"")</f>
        <v/>
      </c>
      <c r="E6813">
        <f>IF(B6813=1,D6813,E6812)</f>
        <v/>
      </c>
      <c r="F6813">
        <f>IF(AND(B6813=1,C6813&gt;1,E6812&lt;&gt;""),ABS(D6813-E6812),"")</f>
        <v/>
      </c>
    </row>
    <row r="6814">
      <c r="A6814" t="n">
        <v>6814</v>
      </c>
      <c r="B6814">
        <f>IF(INDEX('Data Entry'!$H$5:$BE$10004,6814-4,'Visual SPC'!$B$3)="",0,IF(AND(OR('Visual SPC'!$C$4="",'Data Entry'!$C6814&gt;='Visual SPC'!$C$4),OR('Visual SPC'!$E$4="",'Data Entry'!$C6814&lt;='Visual SPC'!$E$4),OR('Visual SPC'!$G$4="",'Data Entry'!$D6814='Visual SPC'!$G$4),OR('Visual SPC'!$I$4="",'Data Entry'!$E6814='Visual SPC'!$I$4),OR('Visual SPC'!$K$4="",'Data Entry'!$F6814='Visual SPC'!$K$4)),1,0))</f>
        <v/>
      </c>
      <c r="C6814">
        <f>C6813+B6814</f>
        <v/>
      </c>
      <c r="D6814">
        <f>IF(B6814=1,INDEX('Data Entry'!$H$5:$BE$10004,6814-4,'Visual SPC'!$B$3),"")</f>
        <v/>
      </c>
      <c r="E6814">
        <f>IF(B6814=1,D6814,E6813)</f>
        <v/>
      </c>
      <c r="F6814">
        <f>IF(AND(B6814=1,C6814&gt;1,E6813&lt;&gt;""),ABS(D6814-E6813),"")</f>
        <v/>
      </c>
    </row>
    <row r="6815">
      <c r="A6815" t="n">
        <v>6815</v>
      </c>
      <c r="B6815">
        <f>IF(INDEX('Data Entry'!$H$5:$BE$10004,6815-4,'Visual SPC'!$B$3)="",0,IF(AND(OR('Visual SPC'!$C$4="",'Data Entry'!$C6815&gt;='Visual SPC'!$C$4),OR('Visual SPC'!$E$4="",'Data Entry'!$C6815&lt;='Visual SPC'!$E$4),OR('Visual SPC'!$G$4="",'Data Entry'!$D6815='Visual SPC'!$G$4),OR('Visual SPC'!$I$4="",'Data Entry'!$E6815='Visual SPC'!$I$4),OR('Visual SPC'!$K$4="",'Data Entry'!$F6815='Visual SPC'!$K$4)),1,0))</f>
        <v/>
      </c>
      <c r="C6815">
        <f>C6814+B6815</f>
        <v/>
      </c>
      <c r="D6815">
        <f>IF(B6815=1,INDEX('Data Entry'!$H$5:$BE$10004,6815-4,'Visual SPC'!$B$3),"")</f>
        <v/>
      </c>
      <c r="E6815">
        <f>IF(B6815=1,D6815,E6814)</f>
        <v/>
      </c>
      <c r="F6815">
        <f>IF(AND(B6815=1,C6815&gt;1,E6814&lt;&gt;""),ABS(D6815-E6814),"")</f>
        <v/>
      </c>
    </row>
    <row r="6816">
      <c r="A6816" t="n">
        <v>6816</v>
      </c>
      <c r="B6816">
        <f>IF(INDEX('Data Entry'!$H$5:$BE$10004,6816-4,'Visual SPC'!$B$3)="",0,IF(AND(OR('Visual SPC'!$C$4="",'Data Entry'!$C6816&gt;='Visual SPC'!$C$4),OR('Visual SPC'!$E$4="",'Data Entry'!$C6816&lt;='Visual SPC'!$E$4),OR('Visual SPC'!$G$4="",'Data Entry'!$D6816='Visual SPC'!$G$4),OR('Visual SPC'!$I$4="",'Data Entry'!$E6816='Visual SPC'!$I$4),OR('Visual SPC'!$K$4="",'Data Entry'!$F6816='Visual SPC'!$K$4)),1,0))</f>
        <v/>
      </c>
      <c r="C6816">
        <f>C6815+B6816</f>
        <v/>
      </c>
      <c r="D6816">
        <f>IF(B6816=1,INDEX('Data Entry'!$H$5:$BE$10004,6816-4,'Visual SPC'!$B$3),"")</f>
        <v/>
      </c>
      <c r="E6816">
        <f>IF(B6816=1,D6816,E6815)</f>
        <v/>
      </c>
      <c r="F6816">
        <f>IF(AND(B6816=1,C6816&gt;1,E6815&lt;&gt;""),ABS(D6816-E6815),"")</f>
        <v/>
      </c>
    </row>
    <row r="6817">
      <c r="A6817" t="n">
        <v>6817</v>
      </c>
      <c r="B6817">
        <f>IF(INDEX('Data Entry'!$H$5:$BE$10004,6817-4,'Visual SPC'!$B$3)="",0,IF(AND(OR('Visual SPC'!$C$4="",'Data Entry'!$C6817&gt;='Visual SPC'!$C$4),OR('Visual SPC'!$E$4="",'Data Entry'!$C6817&lt;='Visual SPC'!$E$4),OR('Visual SPC'!$G$4="",'Data Entry'!$D6817='Visual SPC'!$G$4),OR('Visual SPC'!$I$4="",'Data Entry'!$E6817='Visual SPC'!$I$4),OR('Visual SPC'!$K$4="",'Data Entry'!$F6817='Visual SPC'!$K$4)),1,0))</f>
        <v/>
      </c>
      <c r="C6817">
        <f>C6816+B6817</f>
        <v/>
      </c>
      <c r="D6817">
        <f>IF(B6817=1,INDEX('Data Entry'!$H$5:$BE$10004,6817-4,'Visual SPC'!$B$3),"")</f>
        <v/>
      </c>
      <c r="E6817">
        <f>IF(B6817=1,D6817,E6816)</f>
        <v/>
      </c>
      <c r="F6817">
        <f>IF(AND(B6817=1,C6817&gt;1,E6816&lt;&gt;""),ABS(D6817-E6816),"")</f>
        <v/>
      </c>
    </row>
    <row r="6818">
      <c r="A6818" t="n">
        <v>6818</v>
      </c>
      <c r="B6818">
        <f>IF(INDEX('Data Entry'!$H$5:$BE$10004,6818-4,'Visual SPC'!$B$3)="",0,IF(AND(OR('Visual SPC'!$C$4="",'Data Entry'!$C6818&gt;='Visual SPC'!$C$4),OR('Visual SPC'!$E$4="",'Data Entry'!$C6818&lt;='Visual SPC'!$E$4),OR('Visual SPC'!$G$4="",'Data Entry'!$D6818='Visual SPC'!$G$4),OR('Visual SPC'!$I$4="",'Data Entry'!$E6818='Visual SPC'!$I$4),OR('Visual SPC'!$K$4="",'Data Entry'!$F6818='Visual SPC'!$K$4)),1,0))</f>
        <v/>
      </c>
      <c r="C6818">
        <f>C6817+B6818</f>
        <v/>
      </c>
      <c r="D6818">
        <f>IF(B6818=1,INDEX('Data Entry'!$H$5:$BE$10004,6818-4,'Visual SPC'!$B$3),"")</f>
        <v/>
      </c>
      <c r="E6818">
        <f>IF(B6818=1,D6818,E6817)</f>
        <v/>
      </c>
      <c r="F6818">
        <f>IF(AND(B6818=1,C6818&gt;1,E6817&lt;&gt;""),ABS(D6818-E6817),"")</f>
        <v/>
      </c>
    </row>
    <row r="6819">
      <c r="A6819" t="n">
        <v>6819</v>
      </c>
      <c r="B6819">
        <f>IF(INDEX('Data Entry'!$H$5:$BE$10004,6819-4,'Visual SPC'!$B$3)="",0,IF(AND(OR('Visual SPC'!$C$4="",'Data Entry'!$C6819&gt;='Visual SPC'!$C$4),OR('Visual SPC'!$E$4="",'Data Entry'!$C6819&lt;='Visual SPC'!$E$4),OR('Visual SPC'!$G$4="",'Data Entry'!$D6819='Visual SPC'!$G$4),OR('Visual SPC'!$I$4="",'Data Entry'!$E6819='Visual SPC'!$I$4),OR('Visual SPC'!$K$4="",'Data Entry'!$F6819='Visual SPC'!$K$4)),1,0))</f>
        <v/>
      </c>
      <c r="C6819">
        <f>C6818+B6819</f>
        <v/>
      </c>
      <c r="D6819">
        <f>IF(B6819=1,INDEX('Data Entry'!$H$5:$BE$10004,6819-4,'Visual SPC'!$B$3),"")</f>
        <v/>
      </c>
      <c r="E6819">
        <f>IF(B6819=1,D6819,E6818)</f>
        <v/>
      </c>
      <c r="F6819">
        <f>IF(AND(B6819=1,C6819&gt;1,E6818&lt;&gt;""),ABS(D6819-E6818),"")</f>
        <v/>
      </c>
    </row>
    <row r="6820">
      <c r="A6820" t="n">
        <v>6820</v>
      </c>
      <c r="B6820">
        <f>IF(INDEX('Data Entry'!$H$5:$BE$10004,6820-4,'Visual SPC'!$B$3)="",0,IF(AND(OR('Visual SPC'!$C$4="",'Data Entry'!$C6820&gt;='Visual SPC'!$C$4),OR('Visual SPC'!$E$4="",'Data Entry'!$C6820&lt;='Visual SPC'!$E$4),OR('Visual SPC'!$G$4="",'Data Entry'!$D6820='Visual SPC'!$G$4),OR('Visual SPC'!$I$4="",'Data Entry'!$E6820='Visual SPC'!$I$4),OR('Visual SPC'!$K$4="",'Data Entry'!$F6820='Visual SPC'!$K$4)),1,0))</f>
        <v/>
      </c>
      <c r="C6820">
        <f>C6819+B6820</f>
        <v/>
      </c>
      <c r="D6820">
        <f>IF(B6820=1,INDEX('Data Entry'!$H$5:$BE$10004,6820-4,'Visual SPC'!$B$3),"")</f>
        <v/>
      </c>
      <c r="E6820">
        <f>IF(B6820=1,D6820,E6819)</f>
        <v/>
      </c>
      <c r="F6820">
        <f>IF(AND(B6820=1,C6820&gt;1,E6819&lt;&gt;""),ABS(D6820-E6819),"")</f>
        <v/>
      </c>
    </row>
    <row r="6821">
      <c r="A6821" t="n">
        <v>6821</v>
      </c>
      <c r="B6821">
        <f>IF(INDEX('Data Entry'!$H$5:$BE$10004,6821-4,'Visual SPC'!$B$3)="",0,IF(AND(OR('Visual SPC'!$C$4="",'Data Entry'!$C6821&gt;='Visual SPC'!$C$4),OR('Visual SPC'!$E$4="",'Data Entry'!$C6821&lt;='Visual SPC'!$E$4),OR('Visual SPC'!$G$4="",'Data Entry'!$D6821='Visual SPC'!$G$4),OR('Visual SPC'!$I$4="",'Data Entry'!$E6821='Visual SPC'!$I$4),OR('Visual SPC'!$K$4="",'Data Entry'!$F6821='Visual SPC'!$K$4)),1,0))</f>
        <v/>
      </c>
      <c r="C6821">
        <f>C6820+B6821</f>
        <v/>
      </c>
      <c r="D6821">
        <f>IF(B6821=1,INDEX('Data Entry'!$H$5:$BE$10004,6821-4,'Visual SPC'!$B$3),"")</f>
        <v/>
      </c>
      <c r="E6821">
        <f>IF(B6821=1,D6821,E6820)</f>
        <v/>
      </c>
      <c r="F6821">
        <f>IF(AND(B6821=1,C6821&gt;1,E6820&lt;&gt;""),ABS(D6821-E6820),"")</f>
        <v/>
      </c>
    </row>
    <row r="6822">
      <c r="A6822" t="n">
        <v>6822</v>
      </c>
      <c r="B6822">
        <f>IF(INDEX('Data Entry'!$H$5:$BE$10004,6822-4,'Visual SPC'!$B$3)="",0,IF(AND(OR('Visual SPC'!$C$4="",'Data Entry'!$C6822&gt;='Visual SPC'!$C$4),OR('Visual SPC'!$E$4="",'Data Entry'!$C6822&lt;='Visual SPC'!$E$4),OR('Visual SPC'!$G$4="",'Data Entry'!$D6822='Visual SPC'!$G$4),OR('Visual SPC'!$I$4="",'Data Entry'!$E6822='Visual SPC'!$I$4),OR('Visual SPC'!$K$4="",'Data Entry'!$F6822='Visual SPC'!$K$4)),1,0))</f>
        <v/>
      </c>
      <c r="C6822">
        <f>C6821+B6822</f>
        <v/>
      </c>
      <c r="D6822">
        <f>IF(B6822=1,INDEX('Data Entry'!$H$5:$BE$10004,6822-4,'Visual SPC'!$B$3),"")</f>
        <v/>
      </c>
      <c r="E6822">
        <f>IF(B6822=1,D6822,E6821)</f>
        <v/>
      </c>
      <c r="F6822">
        <f>IF(AND(B6822=1,C6822&gt;1,E6821&lt;&gt;""),ABS(D6822-E6821),"")</f>
        <v/>
      </c>
    </row>
    <row r="6823">
      <c r="A6823" t="n">
        <v>6823</v>
      </c>
      <c r="B6823">
        <f>IF(INDEX('Data Entry'!$H$5:$BE$10004,6823-4,'Visual SPC'!$B$3)="",0,IF(AND(OR('Visual SPC'!$C$4="",'Data Entry'!$C6823&gt;='Visual SPC'!$C$4),OR('Visual SPC'!$E$4="",'Data Entry'!$C6823&lt;='Visual SPC'!$E$4),OR('Visual SPC'!$G$4="",'Data Entry'!$D6823='Visual SPC'!$G$4),OR('Visual SPC'!$I$4="",'Data Entry'!$E6823='Visual SPC'!$I$4),OR('Visual SPC'!$K$4="",'Data Entry'!$F6823='Visual SPC'!$K$4)),1,0))</f>
        <v/>
      </c>
      <c r="C6823">
        <f>C6822+B6823</f>
        <v/>
      </c>
      <c r="D6823">
        <f>IF(B6823=1,INDEX('Data Entry'!$H$5:$BE$10004,6823-4,'Visual SPC'!$B$3),"")</f>
        <v/>
      </c>
      <c r="E6823">
        <f>IF(B6823=1,D6823,E6822)</f>
        <v/>
      </c>
      <c r="F6823">
        <f>IF(AND(B6823=1,C6823&gt;1,E6822&lt;&gt;""),ABS(D6823-E6822),"")</f>
        <v/>
      </c>
    </row>
    <row r="6824">
      <c r="A6824" t="n">
        <v>6824</v>
      </c>
      <c r="B6824">
        <f>IF(INDEX('Data Entry'!$H$5:$BE$10004,6824-4,'Visual SPC'!$B$3)="",0,IF(AND(OR('Visual SPC'!$C$4="",'Data Entry'!$C6824&gt;='Visual SPC'!$C$4),OR('Visual SPC'!$E$4="",'Data Entry'!$C6824&lt;='Visual SPC'!$E$4),OR('Visual SPC'!$G$4="",'Data Entry'!$D6824='Visual SPC'!$G$4),OR('Visual SPC'!$I$4="",'Data Entry'!$E6824='Visual SPC'!$I$4),OR('Visual SPC'!$K$4="",'Data Entry'!$F6824='Visual SPC'!$K$4)),1,0))</f>
        <v/>
      </c>
      <c r="C6824">
        <f>C6823+B6824</f>
        <v/>
      </c>
      <c r="D6824">
        <f>IF(B6824=1,INDEX('Data Entry'!$H$5:$BE$10004,6824-4,'Visual SPC'!$B$3),"")</f>
        <v/>
      </c>
      <c r="E6824">
        <f>IF(B6824=1,D6824,E6823)</f>
        <v/>
      </c>
      <c r="F6824">
        <f>IF(AND(B6824=1,C6824&gt;1,E6823&lt;&gt;""),ABS(D6824-E6823),"")</f>
        <v/>
      </c>
    </row>
    <row r="6825">
      <c r="A6825" t="n">
        <v>6825</v>
      </c>
      <c r="B6825">
        <f>IF(INDEX('Data Entry'!$H$5:$BE$10004,6825-4,'Visual SPC'!$B$3)="",0,IF(AND(OR('Visual SPC'!$C$4="",'Data Entry'!$C6825&gt;='Visual SPC'!$C$4),OR('Visual SPC'!$E$4="",'Data Entry'!$C6825&lt;='Visual SPC'!$E$4),OR('Visual SPC'!$G$4="",'Data Entry'!$D6825='Visual SPC'!$G$4),OR('Visual SPC'!$I$4="",'Data Entry'!$E6825='Visual SPC'!$I$4),OR('Visual SPC'!$K$4="",'Data Entry'!$F6825='Visual SPC'!$K$4)),1,0))</f>
        <v/>
      </c>
      <c r="C6825">
        <f>C6824+B6825</f>
        <v/>
      </c>
      <c r="D6825">
        <f>IF(B6825=1,INDEX('Data Entry'!$H$5:$BE$10004,6825-4,'Visual SPC'!$B$3),"")</f>
        <v/>
      </c>
      <c r="E6825">
        <f>IF(B6825=1,D6825,E6824)</f>
        <v/>
      </c>
      <c r="F6825">
        <f>IF(AND(B6825=1,C6825&gt;1,E6824&lt;&gt;""),ABS(D6825-E6824),"")</f>
        <v/>
      </c>
    </row>
    <row r="6826">
      <c r="A6826" t="n">
        <v>6826</v>
      </c>
      <c r="B6826">
        <f>IF(INDEX('Data Entry'!$H$5:$BE$10004,6826-4,'Visual SPC'!$B$3)="",0,IF(AND(OR('Visual SPC'!$C$4="",'Data Entry'!$C6826&gt;='Visual SPC'!$C$4),OR('Visual SPC'!$E$4="",'Data Entry'!$C6826&lt;='Visual SPC'!$E$4),OR('Visual SPC'!$G$4="",'Data Entry'!$D6826='Visual SPC'!$G$4),OR('Visual SPC'!$I$4="",'Data Entry'!$E6826='Visual SPC'!$I$4),OR('Visual SPC'!$K$4="",'Data Entry'!$F6826='Visual SPC'!$K$4)),1,0))</f>
        <v/>
      </c>
      <c r="C6826">
        <f>C6825+B6826</f>
        <v/>
      </c>
      <c r="D6826">
        <f>IF(B6826=1,INDEX('Data Entry'!$H$5:$BE$10004,6826-4,'Visual SPC'!$B$3),"")</f>
        <v/>
      </c>
      <c r="E6826">
        <f>IF(B6826=1,D6826,E6825)</f>
        <v/>
      </c>
      <c r="F6826">
        <f>IF(AND(B6826=1,C6826&gt;1,E6825&lt;&gt;""),ABS(D6826-E6825),"")</f>
        <v/>
      </c>
    </row>
    <row r="6827">
      <c r="A6827" t="n">
        <v>6827</v>
      </c>
      <c r="B6827">
        <f>IF(INDEX('Data Entry'!$H$5:$BE$10004,6827-4,'Visual SPC'!$B$3)="",0,IF(AND(OR('Visual SPC'!$C$4="",'Data Entry'!$C6827&gt;='Visual SPC'!$C$4),OR('Visual SPC'!$E$4="",'Data Entry'!$C6827&lt;='Visual SPC'!$E$4),OR('Visual SPC'!$G$4="",'Data Entry'!$D6827='Visual SPC'!$G$4),OR('Visual SPC'!$I$4="",'Data Entry'!$E6827='Visual SPC'!$I$4),OR('Visual SPC'!$K$4="",'Data Entry'!$F6827='Visual SPC'!$K$4)),1,0))</f>
        <v/>
      </c>
      <c r="C6827">
        <f>C6826+B6827</f>
        <v/>
      </c>
      <c r="D6827">
        <f>IF(B6827=1,INDEX('Data Entry'!$H$5:$BE$10004,6827-4,'Visual SPC'!$B$3),"")</f>
        <v/>
      </c>
      <c r="E6827">
        <f>IF(B6827=1,D6827,E6826)</f>
        <v/>
      </c>
      <c r="F6827">
        <f>IF(AND(B6827=1,C6827&gt;1,E6826&lt;&gt;""),ABS(D6827-E6826),"")</f>
        <v/>
      </c>
    </row>
    <row r="6828">
      <c r="A6828" t="n">
        <v>6828</v>
      </c>
      <c r="B6828">
        <f>IF(INDEX('Data Entry'!$H$5:$BE$10004,6828-4,'Visual SPC'!$B$3)="",0,IF(AND(OR('Visual SPC'!$C$4="",'Data Entry'!$C6828&gt;='Visual SPC'!$C$4),OR('Visual SPC'!$E$4="",'Data Entry'!$C6828&lt;='Visual SPC'!$E$4),OR('Visual SPC'!$G$4="",'Data Entry'!$D6828='Visual SPC'!$G$4),OR('Visual SPC'!$I$4="",'Data Entry'!$E6828='Visual SPC'!$I$4),OR('Visual SPC'!$K$4="",'Data Entry'!$F6828='Visual SPC'!$K$4)),1,0))</f>
        <v/>
      </c>
      <c r="C6828">
        <f>C6827+B6828</f>
        <v/>
      </c>
      <c r="D6828">
        <f>IF(B6828=1,INDEX('Data Entry'!$H$5:$BE$10004,6828-4,'Visual SPC'!$B$3),"")</f>
        <v/>
      </c>
      <c r="E6828">
        <f>IF(B6828=1,D6828,E6827)</f>
        <v/>
      </c>
      <c r="F6828">
        <f>IF(AND(B6828=1,C6828&gt;1,E6827&lt;&gt;""),ABS(D6828-E6827),"")</f>
        <v/>
      </c>
    </row>
    <row r="6829">
      <c r="A6829" t="n">
        <v>6829</v>
      </c>
      <c r="B6829">
        <f>IF(INDEX('Data Entry'!$H$5:$BE$10004,6829-4,'Visual SPC'!$B$3)="",0,IF(AND(OR('Visual SPC'!$C$4="",'Data Entry'!$C6829&gt;='Visual SPC'!$C$4),OR('Visual SPC'!$E$4="",'Data Entry'!$C6829&lt;='Visual SPC'!$E$4),OR('Visual SPC'!$G$4="",'Data Entry'!$D6829='Visual SPC'!$G$4),OR('Visual SPC'!$I$4="",'Data Entry'!$E6829='Visual SPC'!$I$4),OR('Visual SPC'!$K$4="",'Data Entry'!$F6829='Visual SPC'!$K$4)),1,0))</f>
        <v/>
      </c>
      <c r="C6829">
        <f>C6828+B6829</f>
        <v/>
      </c>
      <c r="D6829">
        <f>IF(B6829=1,INDEX('Data Entry'!$H$5:$BE$10004,6829-4,'Visual SPC'!$B$3),"")</f>
        <v/>
      </c>
      <c r="E6829">
        <f>IF(B6829=1,D6829,E6828)</f>
        <v/>
      </c>
      <c r="F6829">
        <f>IF(AND(B6829=1,C6829&gt;1,E6828&lt;&gt;""),ABS(D6829-E6828),"")</f>
        <v/>
      </c>
    </row>
    <row r="6830">
      <c r="A6830" t="n">
        <v>6830</v>
      </c>
      <c r="B6830">
        <f>IF(INDEX('Data Entry'!$H$5:$BE$10004,6830-4,'Visual SPC'!$B$3)="",0,IF(AND(OR('Visual SPC'!$C$4="",'Data Entry'!$C6830&gt;='Visual SPC'!$C$4),OR('Visual SPC'!$E$4="",'Data Entry'!$C6830&lt;='Visual SPC'!$E$4),OR('Visual SPC'!$G$4="",'Data Entry'!$D6830='Visual SPC'!$G$4),OR('Visual SPC'!$I$4="",'Data Entry'!$E6830='Visual SPC'!$I$4),OR('Visual SPC'!$K$4="",'Data Entry'!$F6830='Visual SPC'!$K$4)),1,0))</f>
        <v/>
      </c>
      <c r="C6830">
        <f>C6829+B6830</f>
        <v/>
      </c>
      <c r="D6830">
        <f>IF(B6830=1,INDEX('Data Entry'!$H$5:$BE$10004,6830-4,'Visual SPC'!$B$3),"")</f>
        <v/>
      </c>
      <c r="E6830">
        <f>IF(B6830=1,D6830,E6829)</f>
        <v/>
      </c>
      <c r="F6830">
        <f>IF(AND(B6830=1,C6830&gt;1,E6829&lt;&gt;""),ABS(D6830-E6829),"")</f>
        <v/>
      </c>
    </row>
    <row r="6831">
      <c r="A6831" t="n">
        <v>6831</v>
      </c>
      <c r="B6831">
        <f>IF(INDEX('Data Entry'!$H$5:$BE$10004,6831-4,'Visual SPC'!$B$3)="",0,IF(AND(OR('Visual SPC'!$C$4="",'Data Entry'!$C6831&gt;='Visual SPC'!$C$4),OR('Visual SPC'!$E$4="",'Data Entry'!$C6831&lt;='Visual SPC'!$E$4),OR('Visual SPC'!$G$4="",'Data Entry'!$D6831='Visual SPC'!$G$4),OR('Visual SPC'!$I$4="",'Data Entry'!$E6831='Visual SPC'!$I$4),OR('Visual SPC'!$K$4="",'Data Entry'!$F6831='Visual SPC'!$K$4)),1,0))</f>
        <v/>
      </c>
      <c r="C6831">
        <f>C6830+B6831</f>
        <v/>
      </c>
      <c r="D6831">
        <f>IF(B6831=1,INDEX('Data Entry'!$H$5:$BE$10004,6831-4,'Visual SPC'!$B$3),"")</f>
        <v/>
      </c>
      <c r="E6831">
        <f>IF(B6831=1,D6831,E6830)</f>
        <v/>
      </c>
      <c r="F6831">
        <f>IF(AND(B6831=1,C6831&gt;1,E6830&lt;&gt;""),ABS(D6831-E6830),"")</f>
        <v/>
      </c>
    </row>
    <row r="6832">
      <c r="A6832" t="n">
        <v>6832</v>
      </c>
      <c r="B6832">
        <f>IF(INDEX('Data Entry'!$H$5:$BE$10004,6832-4,'Visual SPC'!$B$3)="",0,IF(AND(OR('Visual SPC'!$C$4="",'Data Entry'!$C6832&gt;='Visual SPC'!$C$4),OR('Visual SPC'!$E$4="",'Data Entry'!$C6832&lt;='Visual SPC'!$E$4),OR('Visual SPC'!$G$4="",'Data Entry'!$D6832='Visual SPC'!$G$4),OR('Visual SPC'!$I$4="",'Data Entry'!$E6832='Visual SPC'!$I$4),OR('Visual SPC'!$K$4="",'Data Entry'!$F6832='Visual SPC'!$K$4)),1,0))</f>
        <v/>
      </c>
      <c r="C6832">
        <f>C6831+B6832</f>
        <v/>
      </c>
      <c r="D6832">
        <f>IF(B6832=1,INDEX('Data Entry'!$H$5:$BE$10004,6832-4,'Visual SPC'!$B$3),"")</f>
        <v/>
      </c>
      <c r="E6832">
        <f>IF(B6832=1,D6832,E6831)</f>
        <v/>
      </c>
      <c r="F6832">
        <f>IF(AND(B6832=1,C6832&gt;1,E6831&lt;&gt;""),ABS(D6832-E6831),"")</f>
        <v/>
      </c>
    </row>
    <row r="6833">
      <c r="A6833" t="n">
        <v>6833</v>
      </c>
      <c r="B6833">
        <f>IF(INDEX('Data Entry'!$H$5:$BE$10004,6833-4,'Visual SPC'!$B$3)="",0,IF(AND(OR('Visual SPC'!$C$4="",'Data Entry'!$C6833&gt;='Visual SPC'!$C$4),OR('Visual SPC'!$E$4="",'Data Entry'!$C6833&lt;='Visual SPC'!$E$4),OR('Visual SPC'!$G$4="",'Data Entry'!$D6833='Visual SPC'!$G$4),OR('Visual SPC'!$I$4="",'Data Entry'!$E6833='Visual SPC'!$I$4),OR('Visual SPC'!$K$4="",'Data Entry'!$F6833='Visual SPC'!$K$4)),1,0))</f>
        <v/>
      </c>
      <c r="C6833">
        <f>C6832+B6833</f>
        <v/>
      </c>
      <c r="D6833">
        <f>IF(B6833=1,INDEX('Data Entry'!$H$5:$BE$10004,6833-4,'Visual SPC'!$B$3),"")</f>
        <v/>
      </c>
      <c r="E6833">
        <f>IF(B6833=1,D6833,E6832)</f>
        <v/>
      </c>
      <c r="F6833">
        <f>IF(AND(B6833=1,C6833&gt;1,E6832&lt;&gt;""),ABS(D6833-E6832),"")</f>
        <v/>
      </c>
    </row>
    <row r="6834">
      <c r="A6834" t="n">
        <v>6834</v>
      </c>
      <c r="B6834">
        <f>IF(INDEX('Data Entry'!$H$5:$BE$10004,6834-4,'Visual SPC'!$B$3)="",0,IF(AND(OR('Visual SPC'!$C$4="",'Data Entry'!$C6834&gt;='Visual SPC'!$C$4),OR('Visual SPC'!$E$4="",'Data Entry'!$C6834&lt;='Visual SPC'!$E$4),OR('Visual SPC'!$G$4="",'Data Entry'!$D6834='Visual SPC'!$G$4),OR('Visual SPC'!$I$4="",'Data Entry'!$E6834='Visual SPC'!$I$4),OR('Visual SPC'!$K$4="",'Data Entry'!$F6834='Visual SPC'!$K$4)),1,0))</f>
        <v/>
      </c>
      <c r="C6834">
        <f>C6833+B6834</f>
        <v/>
      </c>
      <c r="D6834">
        <f>IF(B6834=1,INDEX('Data Entry'!$H$5:$BE$10004,6834-4,'Visual SPC'!$B$3),"")</f>
        <v/>
      </c>
      <c r="E6834">
        <f>IF(B6834=1,D6834,E6833)</f>
        <v/>
      </c>
      <c r="F6834">
        <f>IF(AND(B6834=1,C6834&gt;1,E6833&lt;&gt;""),ABS(D6834-E6833),"")</f>
        <v/>
      </c>
    </row>
    <row r="6835">
      <c r="A6835" t="n">
        <v>6835</v>
      </c>
      <c r="B6835">
        <f>IF(INDEX('Data Entry'!$H$5:$BE$10004,6835-4,'Visual SPC'!$B$3)="",0,IF(AND(OR('Visual SPC'!$C$4="",'Data Entry'!$C6835&gt;='Visual SPC'!$C$4),OR('Visual SPC'!$E$4="",'Data Entry'!$C6835&lt;='Visual SPC'!$E$4),OR('Visual SPC'!$G$4="",'Data Entry'!$D6835='Visual SPC'!$G$4),OR('Visual SPC'!$I$4="",'Data Entry'!$E6835='Visual SPC'!$I$4),OR('Visual SPC'!$K$4="",'Data Entry'!$F6835='Visual SPC'!$K$4)),1,0))</f>
        <v/>
      </c>
      <c r="C6835">
        <f>C6834+B6835</f>
        <v/>
      </c>
      <c r="D6835">
        <f>IF(B6835=1,INDEX('Data Entry'!$H$5:$BE$10004,6835-4,'Visual SPC'!$B$3),"")</f>
        <v/>
      </c>
      <c r="E6835">
        <f>IF(B6835=1,D6835,E6834)</f>
        <v/>
      </c>
      <c r="F6835">
        <f>IF(AND(B6835=1,C6835&gt;1,E6834&lt;&gt;""),ABS(D6835-E6834),"")</f>
        <v/>
      </c>
    </row>
    <row r="6836">
      <c r="A6836" t="n">
        <v>6836</v>
      </c>
      <c r="B6836">
        <f>IF(INDEX('Data Entry'!$H$5:$BE$10004,6836-4,'Visual SPC'!$B$3)="",0,IF(AND(OR('Visual SPC'!$C$4="",'Data Entry'!$C6836&gt;='Visual SPC'!$C$4),OR('Visual SPC'!$E$4="",'Data Entry'!$C6836&lt;='Visual SPC'!$E$4),OR('Visual SPC'!$G$4="",'Data Entry'!$D6836='Visual SPC'!$G$4),OR('Visual SPC'!$I$4="",'Data Entry'!$E6836='Visual SPC'!$I$4),OR('Visual SPC'!$K$4="",'Data Entry'!$F6836='Visual SPC'!$K$4)),1,0))</f>
        <v/>
      </c>
      <c r="C6836">
        <f>C6835+B6836</f>
        <v/>
      </c>
      <c r="D6836">
        <f>IF(B6836=1,INDEX('Data Entry'!$H$5:$BE$10004,6836-4,'Visual SPC'!$B$3),"")</f>
        <v/>
      </c>
      <c r="E6836">
        <f>IF(B6836=1,D6836,E6835)</f>
        <v/>
      </c>
      <c r="F6836">
        <f>IF(AND(B6836=1,C6836&gt;1,E6835&lt;&gt;""),ABS(D6836-E6835),"")</f>
        <v/>
      </c>
    </row>
    <row r="6837">
      <c r="A6837" t="n">
        <v>6837</v>
      </c>
      <c r="B6837">
        <f>IF(INDEX('Data Entry'!$H$5:$BE$10004,6837-4,'Visual SPC'!$B$3)="",0,IF(AND(OR('Visual SPC'!$C$4="",'Data Entry'!$C6837&gt;='Visual SPC'!$C$4),OR('Visual SPC'!$E$4="",'Data Entry'!$C6837&lt;='Visual SPC'!$E$4),OR('Visual SPC'!$G$4="",'Data Entry'!$D6837='Visual SPC'!$G$4),OR('Visual SPC'!$I$4="",'Data Entry'!$E6837='Visual SPC'!$I$4),OR('Visual SPC'!$K$4="",'Data Entry'!$F6837='Visual SPC'!$K$4)),1,0))</f>
        <v/>
      </c>
      <c r="C6837">
        <f>C6836+B6837</f>
        <v/>
      </c>
      <c r="D6837">
        <f>IF(B6837=1,INDEX('Data Entry'!$H$5:$BE$10004,6837-4,'Visual SPC'!$B$3),"")</f>
        <v/>
      </c>
      <c r="E6837">
        <f>IF(B6837=1,D6837,E6836)</f>
        <v/>
      </c>
      <c r="F6837">
        <f>IF(AND(B6837=1,C6837&gt;1,E6836&lt;&gt;""),ABS(D6837-E6836),"")</f>
        <v/>
      </c>
    </row>
    <row r="6838">
      <c r="A6838" t="n">
        <v>6838</v>
      </c>
      <c r="B6838">
        <f>IF(INDEX('Data Entry'!$H$5:$BE$10004,6838-4,'Visual SPC'!$B$3)="",0,IF(AND(OR('Visual SPC'!$C$4="",'Data Entry'!$C6838&gt;='Visual SPC'!$C$4),OR('Visual SPC'!$E$4="",'Data Entry'!$C6838&lt;='Visual SPC'!$E$4),OR('Visual SPC'!$G$4="",'Data Entry'!$D6838='Visual SPC'!$G$4),OR('Visual SPC'!$I$4="",'Data Entry'!$E6838='Visual SPC'!$I$4),OR('Visual SPC'!$K$4="",'Data Entry'!$F6838='Visual SPC'!$K$4)),1,0))</f>
        <v/>
      </c>
      <c r="C6838">
        <f>C6837+B6838</f>
        <v/>
      </c>
      <c r="D6838">
        <f>IF(B6838=1,INDEX('Data Entry'!$H$5:$BE$10004,6838-4,'Visual SPC'!$B$3),"")</f>
        <v/>
      </c>
      <c r="E6838">
        <f>IF(B6838=1,D6838,E6837)</f>
        <v/>
      </c>
      <c r="F6838">
        <f>IF(AND(B6838=1,C6838&gt;1,E6837&lt;&gt;""),ABS(D6838-E6837),"")</f>
        <v/>
      </c>
    </row>
    <row r="6839">
      <c r="A6839" t="n">
        <v>6839</v>
      </c>
      <c r="B6839">
        <f>IF(INDEX('Data Entry'!$H$5:$BE$10004,6839-4,'Visual SPC'!$B$3)="",0,IF(AND(OR('Visual SPC'!$C$4="",'Data Entry'!$C6839&gt;='Visual SPC'!$C$4),OR('Visual SPC'!$E$4="",'Data Entry'!$C6839&lt;='Visual SPC'!$E$4),OR('Visual SPC'!$G$4="",'Data Entry'!$D6839='Visual SPC'!$G$4),OR('Visual SPC'!$I$4="",'Data Entry'!$E6839='Visual SPC'!$I$4),OR('Visual SPC'!$K$4="",'Data Entry'!$F6839='Visual SPC'!$K$4)),1,0))</f>
        <v/>
      </c>
      <c r="C6839">
        <f>C6838+B6839</f>
        <v/>
      </c>
      <c r="D6839">
        <f>IF(B6839=1,INDEX('Data Entry'!$H$5:$BE$10004,6839-4,'Visual SPC'!$B$3),"")</f>
        <v/>
      </c>
      <c r="E6839">
        <f>IF(B6839=1,D6839,E6838)</f>
        <v/>
      </c>
      <c r="F6839">
        <f>IF(AND(B6839=1,C6839&gt;1,E6838&lt;&gt;""),ABS(D6839-E6838),"")</f>
        <v/>
      </c>
    </row>
    <row r="6840">
      <c r="A6840" t="n">
        <v>6840</v>
      </c>
      <c r="B6840">
        <f>IF(INDEX('Data Entry'!$H$5:$BE$10004,6840-4,'Visual SPC'!$B$3)="",0,IF(AND(OR('Visual SPC'!$C$4="",'Data Entry'!$C6840&gt;='Visual SPC'!$C$4),OR('Visual SPC'!$E$4="",'Data Entry'!$C6840&lt;='Visual SPC'!$E$4),OR('Visual SPC'!$G$4="",'Data Entry'!$D6840='Visual SPC'!$G$4),OR('Visual SPC'!$I$4="",'Data Entry'!$E6840='Visual SPC'!$I$4),OR('Visual SPC'!$K$4="",'Data Entry'!$F6840='Visual SPC'!$K$4)),1,0))</f>
        <v/>
      </c>
      <c r="C6840">
        <f>C6839+B6840</f>
        <v/>
      </c>
      <c r="D6840">
        <f>IF(B6840=1,INDEX('Data Entry'!$H$5:$BE$10004,6840-4,'Visual SPC'!$B$3),"")</f>
        <v/>
      </c>
      <c r="E6840">
        <f>IF(B6840=1,D6840,E6839)</f>
        <v/>
      </c>
      <c r="F6840">
        <f>IF(AND(B6840=1,C6840&gt;1,E6839&lt;&gt;""),ABS(D6840-E6839),"")</f>
        <v/>
      </c>
    </row>
    <row r="6841">
      <c r="A6841" t="n">
        <v>6841</v>
      </c>
      <c r="B6841">
        <f>IF(INDEX('Data Entry'!$H$5:$BE$10004,6841-4,'Visual SPC'!$B$3)="",0,IF(AND(OR('Visual SPC'!$C$4="",'Data Entry'!$C6841&gt;='Visual SPC'!$C$4),OR('Visual SPC'!$E$4="",'Data Entry'!$C6841&lt;='Visual SPC'!$E$4),OR('Visual SPC'!$G$4="",'Data Entry'!$D6841='Visual SPC'!$G$4),OR('Visual SPC'!$I$4="",'Data Entry'!$E6841='Visual SPC'!$I$4),OR('Visual SPC'!$K$4="",'Data Entry'!$F6841='Visual SPC'!$K$4)),1,0))</f>
        <v/>
      </c>
      <c r="C6841">
        <f>C6840+B6841</f>
        <v/>
      </c>
      <c r="D6841">
        <f>IF(B6841=1,INDEX('Data Entry'!$H$5:$BE$10004,6841-4,'Visual SPC'!$B$3),"")</f>
        <v/>
      </c>
      <c r="E6841">
        <f>IF(B6841=1,D6841,E6840)</f>
        <v/>
      </c>
      <c r="F6841">
        <f>IF(AND(B6841=1,C6841&gt;1,E6840&lt;&gt;""),ABS(D6841-E6840),"")</f>
        <v/>
      </c>
    </row>
    <row r="6842">
      <c r="A6842" t="n">
        <v>6842</v>
      </c>
      <c r="B6842">
        <f>IF(INDEX('Data Entry'!$H$5:$BE$10004,6842-4,'Visual SPC'!$B$3)="",0,IF(AND(OR('Visual SPC'!$C$4="",'Data Entry'!$C6842&gt;='Visual SPC'!$C$4),OR('Visual SPC'!$E$4="",'Data Entry'!$C6842&lt;='Visual SPC'!$E$4),OR('Visual SPC'!$G$4="",'Data Entry'!$D6842='Visual SPC'!$G$4),OR('Visual SPC'!$I$4="",'Data Entry'!$E6842='Visual SPC'!$I$4),OR('Visual SPC'!$K$4="",'Data Entry'!$F6842='Visual SPC'!$K$4)),1,0))</f>
        <v/>
      </c>
      <c r="C6842">
        <f>C6841+B6842</f>
        <v/>
      </c>
      <c r="D6842">
        <f>IF(B6842=1,INDEX('Data Entry'!$H$5:$BE$10004,6842-4,'Visual SPC'!$B$3),"")</f>
        <v/>
      </c>
      <c r="E6842">
        <f>IF(B6842=1,D6842,E6841)</f>
        <v/>
      </c>
      <c r="F6842">
        <f>IF(AND(B6842=1,C6842&gt;1,E6841&lt;&gt;""),ABS(D6842-E6841),"")</f>
        <v/>
      </c>
    </row>
    <row r="6843">
      <c r="A6843" t="n">
        <v>6843</v>
      </c>
      <c r="B6843">
        <f>IF(INDEX('Data Entry'!$H$5:$BE$10004,6843-4,'Visual SPC'!$B$3)="",0,IF(AND(OR('Visual SPC'!$C$4="",'Data Entry'!$C6843&gt;='Visual SPC'!$C$4),OR('Visual SPC'!$E$4="",'Data Entry'!$C6843&lt;='Visual SPC'!$E$4),OR('Visual SPC'!$G$4="",'Data Entry'!$D6843='Visual SPC'!$G$4),OR('Visual SPC'!$I$4="",'Data Entry'!$E6843='Visual SPC'!$I$4),OR('Visual SPC'!$K$4="",'Data Entry'!$F6843='Visual SPC'!$K$4)),1,0))</f>
        <v/>
      </c>
      <c r="C6843">
        <f>C6842+B6843</f>
        <v/>
      </c>
      <c r="D6843">
        <f>IF(B6843=1,INDEX('Data Entry'!$H$5:$BE$10004,6843-4,'Visual SPC'!$B$3),"")</f>
        <v/>
      </c>
      <c r="E6843">
        <f>IF(B6843=1,D6843,E6842)</f>
        <v/>
      </c>
      <c r="F6843">
        <f>IF(AND(B6843=1,C6843&gt;1,E6842&lt;&gt;""),ABS(D6843-E6842),"")</f>
        <v/>
      </c>
    </row>
    <row r="6844">
      <c r="A6844" t="n">
        <v>6844</v>
      </c>
      <c r="B6844">
        <f>IF(INDEX('Data Entry'!$H$5:$BE$10004,6844-4,'Visual SPC'!$B$3)="",0,IF(AND(OR('Visual SPC'!$C$4="",'Data Entry'!$C6844&gt;='Visual SPC'!$C$4),OR('Visual SPC'!$E$4="",'Data Entry'!$C6844&lt;='Visual SPC'!$E$4),OR('Visual SPC'!$G$4="",'Data Entry'!$D6844='Visual SPC'!$G$4),OR('Visual SPC'!$I$4="",'Data Entry'!$E6844='Visual SPC'!$I$4),OR('Visual SPC'!$K$4="",'Data Entry'!$F6844='Visual SPC'!$K$4)),1,0))</f>
        <v/>
      </c>
      <c r="C6844">
        <f>C6843+B6844</f>
        <v/>
      </c>
      <c r="D6844">
        <f>IF(B6844=1,INDEX('Data Entry'!$H$5:$BE$10004,6844-4,'Visual SPC'!$B$3),"")</f>
        <v/>
      </c>
      <c r="E6844">
        <f>IF(B6844=1,D6844,E6843)</f>
        <v/>
      </c>
      <c r="F6844">
        <f>IF(AND(B6844=1,C6844&gt;1,E6843&lt;&gt;""),ABS(D6844-E6843),"")</f>
        <v/>
      </c>
    </row>
    <row r="6845">
      <c r="A6845" t="n">
        <v>6845</v>
      </c>
      <c r="B6845">
        <f>IF(INDEX('Data Entry'!$H$5:$BE$10004,6845-4,'Visual SPC'!$B$3)="",0,IF(AND(OR('Visual SPC'!$C$4="",'Data Entry'!$C6845&gt;='Visual SPC'!$C$4),OR('Visual SPC'!$E$4="",'Data Entry'!$C6845&lt;='Visual SPC'!$E$4),OR('Visual SPC'!$G$4="",'Data Entry'!$D6845='Visual SPC'!$G$4),OR('Visual SPC'!$I$4="",'Data Entry'!$E6845='Visual SPC'!$I$4),OR('Visual SPC'!$K$4="",'Data Entry'!$F6845='Visual SPC'!$K$4)),1,0))</f>
        <v/>
      </c>
      <c r="C6845">
        <f>C6844+B6845</f>
        <v/>
      </c>
      <c r="D6845">
        <f>IF(B6845=1,INDEX('Data Entry'!$H$5:$BE$10004,6845-4,'Visual SPC'!$B$3),"")</f>
        <v/>
      </c>
      <c r="E6845">
        <f>IF(B6845=1,D6845,E6844)</f>
        <v/>
      </c>
      <c r="F6845">
        <f>IF(AND(B6845=1,C6845&gt;1,E6844&lt;&gt;""),ABS(D6845-E6844),"")</f>
        <v/>
      </c>
    </row>
    <row r="6846">
      <c r="A6846" t="n">
        <v>6846</v>
      </c>
      <c r="B6846">
        <f>IF(INDEX('Data Entry'!$H$5:$BE$10004,6846-4,'Visual SPC'!$B$3)="",0,IF(AND(OR('Visual SPC'!$C$4="",'Data Entry'!$C6846&gt;='Visual SPC'!$C$4),OR('Visual SPC'!$E$4="",'Data Entry'!$C6846&lt;='Visual SPC'!$E$4),OR('Visual SPC'!$G$4="",'Data Entry'!$D6846='Visual SPC'!$G$4),OR('Visual SPC'!$I$4="",'Data Entry'!$E6846='Visual SPC'!$I$4),OR('Visual SPC'!$K$4="",'Data Entry'!$F6846='Visual SPC'!$K$4)),1,0))</f>
        <v/>
      </c>
      <c r="C6846">
        <f>C6845+B6846</f>
        <v/>
      </c>
      <c r="D6846">
        <f>IF(B6846=1,INDEX('Data Entry'!$H$5:$BE$10004,6846-4,'Visual SPC'!$B$3),"")</f>
        <v/>
      </c>
      <c r="E6846">
        <f>IF(B6846=1,D6846,E6845)</f>
        <v/>
      </c>
      <c r="F6846">
        <f>IF(AND(B6846=1,C6846&gt;1,E6845&lt;&gt;""),ABS(D6846-E6845),"")</f>
        <v/>
      </c>
    </row>
    <row r="6847">
      <c r="A6847" t="n">
        <v>6847</v>
      </c>
      <c r="B6847">
        <f>IF(INDEX('Data Entry'!$H$5:$BE$10004,6847-4,'Visual SPC'!$B$3)="",0,IF(AND(OR('Visual SPC'!$C$4="",'Data Entry'!$C6847&gt;='Visual SPC'!$C$4),OR('Visual SPC'!$E$4="",'Data Entry'!$C6847&lt;='Visual SPC'!$E$4),OR('Visual SPC'!$G$4="",'Data Entry'!$D6847='Visual SPC'!$G$4),OR('Visual SPC'!$I$4="",'Data Entry'!$E6847='Visual SPC'!$I$4),OR('Visual SPC'!$K$4="",'Data Entry'!$F6847='Visual SPC'!$K$4)),1,0))</f>
        <v/>
      </c>
      <c r="C6847">
        <f>C6846+B6847</f>
        <v/>
      </c>
      <c r="D6847">
        <f>IF(B6847=1,INDEX('Data Entry'!$H$5:$BE$10004,6847-4,'Visual SPC'!$B$3),"")</f>
        <v/>
      </c>
      <c r="E6847">
        <f>IF(B6847=1,D6847,E6846)</f>
        <v/>
      </c>
      <c r="F6847">
        <f>IF(AND(B6847=1,C6847&gt;1,E6846&lt;&gt;""),ABS(D6847-E6846),"")</f>
        <v/>
      </c>
    </row>
    <row r="6848">
      <c r="A6848" t="n">
        <v>6848</v>
      </c>
      <c r="B6848">
        <f>IF(INDEX('Data Entry'!$H$5:$BE$10004,6848-4,'Visual SPC'!$B$3)="",0,IF(AND(OR('Visual SPC'!$C$4="",'Data Entry'!$C6848&gt;='Visual SPC'!$C$4),OR('Visual SPC'!$E$4="",'Data Entry'!$C6848&lt;='Visual SPC'!$E$4),OR('Visual SPC'!$G$4="",'Data Entry'!$D6848='Visual SPC'!$G$4),OR('Visual SPC'!$I$4="",'Data Entry'!$E6848='Visual SPC'!$I$4),OR('Visual SPC'!$K$4="",'Data Entry'!$F6848='Visual SPC'!$K$4)),1,0))</f>
        <v/>
      </c>
      <c r="C6848">
        <f>C6847+B6848</f>
        <v/>
      </c>
      <c r="D6848">
        <f>IF(B6848=1,INDEX('Data Entry'!$H$5:$BE$10004,6848-4,'Visual SPC'!$B$3),"")</f>
        <v/>
      </c>
      <c r="E6848">
        <f>IF(B6848=1,D6848,E6847)</f>
        <v/>
      </c>
      <c r="F6848">
        <f>IF(AND(B6848=1,C6848&gt;1,E6847&lt;&gt;""),ABS(D6848-E6847),"")</f>
        <v/>
      </c>
    </row>
    <row r="6849">
      <c r="A6849" t="n">
        <v>6849</v>
      </c>
      <c r="B6849">
        <f>IF(INDEX('Data Entry'!$H$5:$BE$10004,6849-4,'Visual SPC'!$B$3)="",0,IF(AND(OR('Visual SPC'!$C$4="",'Data Entry'!$C6849&gt;='Visual SPC'!$C$4),OR('Visual SPC'!$E$4="",'Data Entry'!$C6849&lt;='Visual SPC'!$E$4),OR('Visual SPC'!$G$4="",'Data Entry'!$D6849='Visual SPC'!$G$4),OR('Visual SPC'!$I$4="",'Data Entry'!$E6849='Visual SPC'!$I$4),OR('Visual SPC'!$K$4="",'Data Entry'!$F6849='Visual SPC'!$K$4)),1,0))</f>
        <v/>
      </c>
      <c r="C6849">
        <f>C6848+B6849</f>
        <v/>
      </c>
      <c r="D6849">
        <f>IF(B6849=1,INDEX('Data Entry'!$H$5:$BE$10004,6849-4,'Visual SPC'!$B$3),"")</f>
        <v/>
      </c>
      <c r="E6849">
        <f>IF(B6849=1,D6849,E6848)</f>
        <v/>
      </c>
      <c r="F6849">
        <f>IF(AND(B6849=1,C6849&gt;1,E6848&lt;&gt;""),ABS(D6849-E6848),"")</f>
        <v/>
      </c>
    </row>
    <row r="6850">
      <c r="A6850" t="n">
        <v>6850</v>
      </c>
      <c r="B6850">
        <f>IF(INDEX('Data Entry'!$H$5:$BE$10004,6850-4,'Visual SPC'!$B$3)="",0,IF(AND(OR('Visual SPC'!$C$4="",'Data Entry'!$C6850&gt;='Visual SPC'!$C$4),OR('Visual SPC'!$E$4="",'Data Entry'!$C6850&lt;='Visual SPC'!$E$4),OR('Visual SPC'!$G$4="",'Data Entry'!$D6850='Visual SPC'!$G$4),OR('Visual SPC'!$I$4="",'Data Entry'!$E6850='Visual SPC'!$I$4),OR('Visual SPC'!$K$4="",'Data Entry'!$F6850='Visual SPC'!$K$4)),1,0))</f>
        <v/>
      </c>
      <c r="C6850">
        <f>C6849+B6850</f>
        <v/>
      </c>
      <c r="D6850">
        <f>IF(B6850=1,INDEX('Data Entry'!$H$5:$BE$10004,6850-4,'Visual SPC'!$B$3),"")</f>
        <v/>
      </c>
      <c r="E6850">
        <f>IF(B6850=1,D6850,E6849)</f>
        <v/>
      </c>
      <c r="F6850">
        <f>IF(AND(B6850=1,C6850&gt;1,E6849&lt;&gt;""),ABS(D6850-E6849),"")</f>
        <v/>
      </c>
    </row>
    <row r="6851">
      <c r="A6851" t="n">
        <v>6851</v>
      </c>
      <c r="B6851">
        <f>IF(INDEX('Data Entry'!$H$5:$BE$10004,6851-4,'Visual SPC'!$B$3)="",0,IF(AND(OR('Visual SPC'!$C$4="",'Data Entry'!$C6851&gt;='Visual SPC'!$C$4),OR('Visual SPC'!$E$4="",'Data Entry'!$C6851&lt;='Visual SPC'!$E$4),OR('Visual SPC'!$G$4="",'Data Entry'!$D6851='Visual SPC'!$G$4),OR('Visual SPC'!$I$4="",'Data Entry'!$E6851='Visual SPC'!$I$4),OR('Visual SPC'!$K$4="",'Data Entry'!$F6851='Visual SPC'!$K$4)),1,0))</f>
        <v/>
      </c>
      <c r="C6851">
        <f>C6850+B6851</f>
        <v/>
      </c>
      <c r="D6851">
        <f>IF(B6851=1,INDEX('Data Entry'!$H$5:$BE$10004,6851-4,'Visual SPC'!$B$3),"")</f>
        <v/>
      </c>
      <c r="E6851">
        <f>IF(B6851=1,D6851,E6850)</f>
        <v/>
      </c>
      <c r="F6851">
        <f>IF(AND(B6851=1,C6851&gt;1,E6850&lt;&gt;""),ABS(D6851-E6850),"")</f>
        <v/>
      </c>
    </row>
    <row r="6852">
      <c r="A6852" t="n">
        <v>6852</v>
      </c>
      <c r="B6852">
        <f>IF(INDEX('Data Entry'!$H$5:$BE$10004,6852-4,'Visual SPC'!$B$3)="",0,IF(AND(OR('Visual SPC'!$C$4="",'Data Entry'!$C6852&gt;='Visual SPC'!$C$4),OR('Visual SPC'!$E$4="",'Data Entry'!$C6852&lt;='Visual SPC'!$E$4),OR('Visual SPC'!$G$4="",'Data Entry'!$D6852='Visual SPC'!$G$4),OR('Visual SPC'!$I$4="",'Data Entry'!$E6852='Visual SPC'!$I$4),OR('Visual SPC'!$K$4="",'Data Entry'!$F6852='Visual SPC'!$K$4)),1,0))</f>
        <v/>
      </c>
      <c r="C6852">
        <f>C6851+B6852</f>
        <v/>
      </c>
      <c r="D6852">
        <f>IF(B6852=1,INDEX('Data Entry'!$H$5:$BE$10004,6852-4,'Visual SPC'!$B$3),"")</f>
        <v/>
      </c>
      <c r="E6852">
        <f>IF(B6852=1,D6852,E6851)</f>
        <v/>
      </c>
      <c r="F6852">
        <f>IF(AND(B6852=1,C6852&gt;1,E6851&lt;&gt;""),ABS(D6852-E6851),"")</f>
        <v/>
      </c>
    </row>
    <row r="6853">
      <c r="A6853" t="n">
        <v>6853</v>
      </c>
      <c r="B6853">
        <f>IF(INDEX('Data Entry'!$H$5:$BE$10004,6853-4,'Visual SPC'!$B$3)="",0,IF(AND(OR('Visual SPC'!$C$4="",'Data Entry'!$C6853&gt;='Visual SPC'!$C$4),OR('Visual SPC'!$E$4="",'Data Entry'!$C6853&lt;='Visual SPC'!$E$4),OR('Visual SPC'!$G$4="",'Data Entry'!$D6853='Visual SPC'!$G$4),OR('Visual SPC'!$I$4="",'Data Entry'!$E6853='Visual SPC'!$I$4),OR('Visual SPC'!$K$4="",'Data Entry'!$F6853='Visual SPC'!$K$4)),1,0))</f>
        <v/>
      </c>
      <c r="C6853">
        <f>C6852+B6853</f>
        <v/>
      </c>
      <c r="D6853">
        <f>IF(B6853=1,INDEX('Data Entry'!$H$5:$BE$10004,6853-4,'Visual SPC'!$B$3),"")</f>
        <v/>
      </c>
      <c r="E6853">
        <f>IF(B6853=1,D6853,E6852)</f>
        <v/>
      </c>
      <c r="F6853">
        <f>IF(AND(B6853=1,C6853&gt;1,E6852&lt;&gt;""),ABS(D6853-E6852),"")</f>
        <v/>
      </c>
    </row>
    <row r="6854">
      <c r="A6854" t="n">
        <v>6854</v>
      </c>
      <c r="B6854">
        <f>IF(INDEX('Data Entry'!$H$5:$BE$10004,6854-4,'Visual SPC'!$B$3)="",0,IF(AND(OR('Visual SPC'!$C$4="",'Data Entry'!$C6854&gt;='Visual SPC'!$C$4),OR('Visual SPC'!$E$4="",'Data Entry'!$C6854&lt;='Visual SPC'!$E$4),OR('Visual SPC'!$G$4="",'Data Entry'!$D6854='Visual SPC'!$G$4),OR('Visual SPC'!$I$4="",'Data Entry'!$E6854='Visual SPC'!$I$4),OR('Visual SPC'!$K$4="",'Data Entry'!$F6854='Visual SPC'!$K$4)),1,0))</f>
        <v/>
      </c>
      <c r="C6854">
        <f>C6853+B6854</f>
        <v/>
      </c>
      <c r="D6854">
        <f>IF(B6854=1,INDEX('Data Entry'!$H$5:$BE$10004,6854-4,'Visual SPC'!$B$3),"")</f>
        <v/>
      </c>
      <c r="E6854">
        <f>IF(B6854=1,D6854,E6853)</f>
        <v/>
      </c>
      <c r="F6854">
        <f>IF(AND(B6854=1,C6854&gt;1,E6853&lt;&gt;""),ABS(D6854-E6853),"")</f>
        <v/>
      </c>
    </row>
    <row r="6855">
      <c r="A6855" t="n">
        <v>6855</v>
      </c>
      <c r="B6855">
        <f>IF(INDEX('Data Entry'!$H$5:$BE$10004,6855-4,'Visual SPC'!$B$3)="",0,IF(AND(OR('Visual SPC'!$C$4="",'Data Entry'!$C6855&gt;='Visual SPC'!$C$4),OR('Visual SPC'!$E$4="",'Data Entry'!$C6855&lt;='Visual SPC'!$E$4),OR('Visual SPC'!$G$4="",'Data Entry'!$D6855='Visual SPC'!$G$4),OR('Visual SPC'!$I$4="",'Data Entry'!$E6855='Visual SPC'!$I$4),OR('Visual SPC'!$K$4="",'Data Entry'!$F6855='Visual SPC'!$K$4)),1,0))</f>
        <v/>
      </c>
      <c r="C6855">
        <f>C6854+B6855</f>
        <v/>
      </c>
      <c r="D6855">
        <f>IF(B6855=1,INDEX('Data Entry'!$H$5:$BE$10004,6855-4,'Visual SPC'!$B$3),"")</f>
        <v/>
      </c>
      <c r="E6855">
        <f>IF(B6855=1,D6855,E6854)</f>
        <v/>
      </c>
      <c r="F6855">
        <f>IF(AND(B6855=1,C6855&gt;1,E6854&lt;&gt;""),ABS(D6855-E6854),"")</f>
        <v/>
      </c>
    </row>
    <row r="6856">
      <c r="A6856" t="n">
        <v>6856</v>
      </c>
      <c r="B6856">
        <f>IF(INDEX('Data Entry'!$H$5:$BE$10004,6856-4,'Visual SPC'!$B$3)="",0,IF(AND(OR('Visual SPC'!$C$4="",'Data Entry'!$C6856&gt;='Visual SPC'!$C$4),OR('Visual SPC'!$E$4="",'Data Entry'!$C6856&lt;='Visual SPC'!$E$4),OR('Visual SPC'!$G$4="",'Data Entry'!$D6856='Visual SPC'!$G$4),OR('Visual SPC'!$I$4="",'Data Entry'!$E6856='Visual SPC'!$I$4),OR('Visual SPC'!$K$4="",'Data Entry'!$F6856='Visual SPC'!$K$4)),1,0))</f>
        <v/>
      </c>
      <c r="C6856">
        <f>C6855+B6856</f>
        <v/>
      </c>
      <c r="D6856">
        <f>IF(B6856=1,INDEX('Data Entry'!$H$5:$BE$10004,6856-4,'Visual SPC'!$B$3),"")</f>
        <v/>
      </c>
      <c r="E6856">
        <f>IF(B6856=1,D6856,E6855)</f>
        <v/>
      </c>
      <c r="F6856">
        <f>IF(AND(B6856=1,C6856&gt;1,E6855&lt;&gt;""),ABS(D6856-E6855),"")</f>
        <v/>
      </c>
    </row>
    <row r="6857">
      <c r="A6857" t="n">
        <v>6857</v>
      </c>
      <c r="B6857">
        <f>IF(INDEX('Data Entry'!$H$5:$BE$10004,6857-4,'Visual SPC'!$B$3)="",0,IF(AND(OR('Visual SPC'!$C$4="",'Data Entry'!$C6857&gt;='Visual SPC'!$C$4),OR('Visual SPC'!$E$4="",'Data Entry'!$C6857&lt;='Visual SPC'!$E$4),OR('Visual SPC'!$G$4="",'Data Entry'!$D6857='Visual SPC'!$G$4),OR('Visual SPC'!$I$4="",'Data Entry'!$E6857='Visual SPC'!$I$4),OR('Visual SPC'!$K$4="",'Data Entry'!$F6857='Visual SPC'!$K$4)),1,0))</f>
        <v/>
      </c>
      <c r="C6857">
        <f>C6856+B6857</f>
        <v/>
      </c>
      <c r="D6857">
        <f>IF(B6857=1,INDEX('Data Entry'!$H$5:$BE$10004,6857-4,'Visual SPC'!$B$3),"")</f>
        <v/>
      </c>
      <c r="E6857">
        <f>IF(B6857=1,D6857,E6856)</f>
        <v/>
      </c>
      <c r="F6857">
        <f>IF(AND(B6857=1,C6857&gt;1,E6856&lt;&gt;""),ABS(D6857-E6856),"")</f>
        <v/>
      </c>
    </row>
    <row r="6858">
      <c r="A6858" t="n">
        <v>6858</v>
      </c>
      <c r="B6858">
        <f>IF(INDEX('Data Entry'!$H$5:$BE$10004,6858-4,'Visual SPC'!$B$3)="",0,IF(AND(OR('Visual SPC'!$C$4="",'Data Entry'!$C6858&gt;='Visual SPC'!$C$4),OR('Visual SPC'!$E$4="",'Data Entry'!$C6858&lt;='Visual SPC'!$E$4),OR('Visual SPC'!$G$4="",'Data Entry'!$D6858='Visual SPC'!$G$4),OR('Visual SPC'!$I$4="",'Data Entry'!$E6858='Visual SPC'!$I$4),OR('Visual SPC'!$K$4="",'Data Entry'!$F6858='Visual SPC'!$K$4)),1,0))</f>
        <v/>
      </c>
      <c r="C6858">
        <f>C6857+B6858</f>
        <v/>
      </c>
      <c r="D6858">
        <f>IF(B6858=1,INDEX('Data Entry'!$H$5:$BE$10004,6858-4,'Visual SPC'!$B$3),"")</f>
        <v/>
      </c>
      <c r="E6858">
        <f>IF(B6858=1,D6858,E6857)</f>
        <v/>
      </c>
      <c r="F6858">
        <f>IF(AND(B6858=1,C6858&gt;1,E6857&lt;&gt;""),ABS(D6858-E6857),"")</f>
        <v/>
      </c>
    </row>
    <row r="6859">
      <c r="A6859" t="n">
        <v>6859</v>
      </c>
      <c r="B6859">
        <f>IF(INDEX('Data Entry'!$H$5:$BE$10004,6859-4,'Visual SPC'!$B$3)="",0,IF(AND(OR('Visual SPC'!$C$4="",'Data Entry'!$C6859&gt;='Visual SPC'!$C$4),OR('Visual SPC'!$E$4="",'Data Entry'!$C6859&lt;='Visual SPC'!$E$4),OR('Visual SPC'!$G$4="",'Data Entry'!$D6859='Visual SPC'!$G$4),OR('Visual SPC'!$I$4="",'Data Entry'!$E6859='Visual SPC'!$I$4),OR('Visual SPC'!$K$4="",'Data Entry'!$F6859='Visual SPC'!$K$4)),1,0))</f>
        <v/>
      </c>
      <c r="C6859">
        <f>C6858+B6859</f>
        <v/>
      </c>
      <c r="D6859">
        <f>IF(B6859=1,INDEX('Data Entry'!$H$5:$BE$10004,6859-4,'Visual SPC'!$B$3),"")</f>
        <v/>
      </c>
      <c r="E6859">
        <f>IF(B6859=1,D6859,E6858)</f>
        <v/>
      </c>
      <c r="F6859">
        <f>IF(AND(B6859=1,C6859&gt;1,E6858&lt;&gt;""),ABS(D6859-E6858),"")</f>
        <v/>
      </c>
    </row>
    <row r="6860">
      <c r="A6860" t="n">
        <v>6860</v>
      </c>
      <c r="B6860">
        <f>IF(INDEX('Data Entry'!$H$5:$BE$10004,6860-4,'Visual SPC'!$B$3)="",0,IF(AND(OR('Visual SPC'!$C$4="",'Data Entry'!$C6860&gt;='Visual SPC'!$C$4),OR('Visual SPC'!$E$4="",'Data Entry'!$C6860&lt;='Visual SPC'!$E$4),OR('Visual SPC'!$G$4="",'Data Entry'!$D6860='Visual SPC'!$G$4),OR('Visual SPC'!$I$4="",'Data Entry'!$E6860='Visual SPC'!$I$4),OR('Visual SPC'!$K$4="",'Data Entry'!$F6860='Visual SPC'!$K$4)),1,0))</f>
        <v/>
      </c>
      <c r="C6860">
        <f>C6859+B6860</f>
        <v/>
      </c>
      <c r="D6860">
        <f>IF(B6860=1,INDEX('Data Entry'!$H$5:$BE$10004,6860-4,'Visual SPC'!$B$3),"")</f>
        <v/>
      </c>
      <c r="E6860">
        <f>IF(B6860=1,D6860,E6859)</f>
        <v/>
      </c>
      <c r="F6860">
        <f>IF(AND(B6860=1,C6860&gt;1,E6859&lt;&gt;""),ABS(D6860-E6859),"")</f>
        <v/>
      </c>
    </row>
    <row r="6861">
      <c r="A6861" t="n">
        <v>6861</v>
      </c>
      <c r="B6861">
        <f>IF(INDEX('Data Entry'!$H$5:$BE$10004,6861-4,'Visual SPC'!$B$3)="",0,IF(AND(OR('Visual SPC'!$C$4="",'Data Entry'!$C6861&gt;='Visual SPC'!$C$4),OR('Visual SPC'!$E$4="",'Data Entry'!$C6861&lt;='Visual SPC'!$E$4),OR('Visual SPC'!$G$4="",'Data Entry'!$D6861='Visual SPC'!$G$4),OR('Visual SPC'!$I$4="",'Data Entry'!$E6861='Visual SPC'!$I$4),OR('Visual SPC'!$K$4="",'Data Entry'!$F6861='Visual SPC'!$K$4)),1,0))</f>
        <v/>
      </c>
      <c r="C6861">
        <f>C6860+B6861</f>
        <v/>
      </c>
      <c r="D6861">
        <f>IF(B6861=1,INDEX('Data Entry'!$H$5:$BE$10004,6861-4,'Visual SPC'!$B$3),"")</f>
        <v/>
      </c>
      <c r="E6861">
        <f>IF(B6861=1,D6861,E6860)</f>
        <v/>
      </c>
      <c r="F6861">
        <f>IF(AND(B6861=1,C6861&gt;1,E6860&lt;&gt;""),ABS(D6861-E6860),"")</f>
        <v/>
      </c>
    </row>
    <row r="6862">
      <c r="A6862" t="n">
        <v>6862</v>
      </c>
      <c r="B6862">
        <f>IF(INDEX('Data Entry'!$H$5:$BE$10004,6862-4,'Visual SPC'!$B$3)="",0,IF(AND(OR('Visual SPC'!$C$4="",'Data Entry'!$C6862&gt;='Visual SPC'!$C$4),OR('Visual SPC'!$E$4="",'Data Entry'!$C6862&lt;='Visual SPC'!$E$4),OR('Visual SPC'!$G$4="",'Data Entry'!$D6862='Visual SPC'!$G$4),OR('Visual SPC'!$I$4="",'Data Entry'!$E6862='Visual SPC'!$I$4),OR('Visual SPC'!$K$4="",'Data Entry'!$F6862='Visual SPC'!$K$4)),1,0))</f>
        <v/>
      </c>
      <c r="C6862">
        <f>C6861+B6862</f>
        <v/>
      </c>
      <c r="D6862">
        <f>IF(B6862=1,INDEX('Data Entry'!$H$5:$BE$10004,6862-4,'Visual SPC'!$B$3),"")</f>
        <v/>
      </c>
      <c r="E6862">
        <f>IF(B6862=1,D6862,E6861)</f>
        <v/>
      </c>
      <c r="F6862">
        <f>IF(AND(B6862=1,C6862&gt;1,E6861&lt;&gt;""),ABS(D6862-E6861),"")</f>
        <v/>
      </c>
    </row>
    <row r="6863">
      <c r="A6863" t="n">
        <v>6863</v>
      </c>
      <c r="B6863">
        <f>IF(INDEX('Data Entry'!$H$5:$BE$10004,6863-4,'Visual SPC'!$B$3)="",0,IF(AND(OR('Visual SPC'!$C$4="",'Data Entry'!$C6863&gt;='Visual SPC'!$C$4),OR('Visual SPC'!$E$4="",'Data Entry'!$C6863&lt;='Visual SPC'!$E$4),OR('Visual SPC'!$G$4="",'Data Entry'!$D6863='Visual SPC'!$G$4),OR('Visual SPC'!$I$4="",'Data Entry'!$E6863='Visual SPC'!$I$4),OR('Visual SPC'!$K$4="",'Data Entry'!$F6863='Visual SPC'!$K$4)),1,0))</f>
        <v/>
      </c>
      <c r="C6863">
        <f>C6862+B6863</f>
        <v/>
      </c>
      <c r="D6863">
        <f>IF(B6863=1,INDEX('Data Entry'!$H$5:$BE$10004,6863-4,'Visual SPC'!$B$3),"")</f>
        <v/>
      </c>
      <c r="E6863">
        <f>IF(B6863=1,D6863,E6862)</f>
        <v/>
      </c>
      <c r="F6863">
        <f>IF(AND(B6863=1,C6863&gt;1,E6862&lt;&gt;""),ABS(D6863-E6862),"")</f>
        <v/>
      </c>
    </row>
    <row r="6864">
      <c r="A6864" t="n">
        <v>6864</v>
      </c>
      <c r="B6864">
        <f>IF(INDEX('Data Entry'!$H$5:$BE$10004,6864-4,'Visual SPC'!$B$3)="",0,IF(AND(OR('Visual SPC'!$C$4="",'Data Entry'!$C6864&gt;='Visual SPC'!$C$4),OR('Visual SPC'!$E$4="",'Data Entry'!$C6864&lt;='Visual SPC'!$E$4),OR('Visual SPC'!$G$4="",'Data Entry'!$D6864='Visual SPC'!$G$4),OR('Visual SPC'!$I$4="",'Data Entry'!$E6864='Visual SPC'!$I$4),OR('Visual SPC'!$K$4="",'Data Entry'!$F6864='Visual SPC'!$K$4)),1,0))</f>
        <v/>
      </c>
      <c r="C6864">
        <f>C6863+B6864</f>
        <v/>
      </c>
      <c r="D6864">
        <f>IF(B6864=1,INDEX('Data Entry'!$H$5:$BE$10004,6864-4,'Visual SPC'!$B$3),"")</f>
        <v/>
      </c>
      <c r="E6864">
        <f>IF(B6864=1,D6864,E6863)</f>
        <v/>
      </c>
      <c r="F6864">
        <f>IF(AND(B6864=1,C6864&gt;1,E6863&lt;&gt;""),ABS(D6864-E6863),"")</f>
        <v/>
      </c>
    </row>
    <row r="6865">
      <c r="A6865" t="n">
        <v>6865</v>
      </c>
      <c r="B6865">
        <f>IF(INDEX('Data Entry'!$H$5:$BE$10004,6865-4,'Visual SPC'!$B$3)="",0,IF(AND(OR('Visual SPC'!$C$4="",'Data Entry'!$C6865&gt;='Visual SPC'!$C$4),OR('Visual SPC'!$E$4="",'Data Entry'!$C6865&lt;='Visual SPC'!$E$4),OR('Visual SPC'!$G$4="",'Data Entry'!$D6865='Visual SPC'!$G$4),OR('Visual SPC'!$I$4="",'Data Entry'!$E6865='Visual SPC'!$I$4),OR('Visual SPC'!$K$4="",'Data Entry'!$F6865='Visual SPC'!$K$4)),1,0))</f>
        <v/>
      </c>
      <c r="C6865">
        <f>C6864+B6865</f>
        <v/>
      </c>
      <c r="D6865">
        <f>IF(B6865=1,INDEX('Data Entry'!$H$5:$BE$10004,6865-4,'Visual SPC'!$B$3),"")</f>
        <v/>
      </c>
      <c r="E6865">
        <f>IF(B6865=1,D6865,E6864)</f>
        <v/>
      </c>
      <c r="F6865">
        <f>IF(AND(B6865=1,C6865&gt;1,E6864&lt;&gt;""),ABS(D6865-E6864),"")</f>
        <v/>
      </c>
    </row>
    <row r="6866">
      <c r="A6866" t="n">
        <v>6866</v>
      </c>
      <c r="B6866">
        <f>IF(INDEX('Data Entry'!$H$5:$BE$10004,6866-4,'Visual SPC'!$B$3)="",0,IF(AND(OR('Visual SPC'!$C$4="",'Data Entry'!$C6866&gt;='Visual SPC'!$C$4),OR('Visual SPC'!$E$4="",'Data Entry'!$C6866&lt;='Visual SPC'!$E$4),OR('Visual SPC'!$G$4="",'Data Entry'!$D6866='Visual SPC'!$G$4),OR('Visual SPC'!$I$4="",'Data Entry'!$E6866='Visual SPC'!$I$4),OR('Visual SPC'!$K$4="",'Data Entry'!$F6866='Visual SPC'!$K$4)),1,0))</f>
        <v/>
      </c>
      <c r="C6866">
        <f>C6865+B6866</f>
        <v/>
      </c>
      <c r="D6866">
        <f>IF(B6866=1,INDEX('Data Entry'!$H$5:$BE$10004,6866-4,'Visual SPC'!$B$3),"")</f>
        <v/>
      </c>
      <c r="E6866">
        <f>IF(B6866=1,D6866,E6865)</f>
        <v/>
      </c>
      <c r="F6866">
        <f>IF(AND(B6866=1,C6866&gt;1,E6865&lt;&gt;""),ABS(D6866-E6865),"")</f>
        <v/>
      </c>
    </row>
    <row r="6867">
      <c r="A6867" t="n">
        <v>6867</v>
      </c>
      <c r="B6867">
        <f>IF(INDEX('Data Entry'!$H$5:$BE$10004,6867-4,'Visual SPC'!$B$3)="",0,IF(AND(OR('Visual SPC'!$C$4="",'Data Entry'!$C6867&gt;='Visual SPC'!$C$4),OR('Visual SPC'!$E$4="",'Data Entry'!$C6867&lt;='Visual SPC'!$E$4),OR('Visual SPC'!$G$4="",'Data Entry'!$D6867='Visual SPC'!$G$4),OR('Visual SPC'!$I$4="",'Data Entry'!$E6867='Visual SPC'!$I$4),OR('Visual SPC'!$K$4="",'Data Entry'!$F6867='Visual SPC'!$K$4)),1,0))</f>
        <v/>
      </c>
      <c r="C6867">
        <f>C6866+B6867</f>
        <v/>
      </c>
      <c r="D6867">
        <f>IF(B6867=1,INDEX('Data Entry'!$H$5:$BE$10004,6867-4,'Visual SPC'!$B$3),"")</f>
        <v/>
      </c>
      <c r="E6867">
        <f>IF(B6867=1,D6867,E6866)</f>
        <v/>
      </c>
      <c r="F6867">
        <f>IF(AND(B6867=1,C6867&gt;1,E6866&lt;&gt;""),ABS(D6867-E6866),"")</f>
        <v/>
      </c>
    </row>
    <row r="6868">
      <c r="A6868" t="n">
        <v>6868</v>
      </c>
      <c r="B6868">
        <f>IF(INDEX('Data Entry'!$H$5:$BE$10004,6868-4,'Visual SPC'!$B$3)="",0,IF(AND(OR('Visual SPC'!$C$4="",'Data Entry'!$C6868&gt;='Visual SPC'!$C$4),OR('Visual SPC'!$E$4="",'Data Entry'!$C6868&lt;='Visual SPC'!$E$4),OR('Visual SPC'!$G$4="",'Data Entry'!$D6868='Visual SPC'!$G$4),OR('Visual SPC'!$I$4="",'Data Entry'!$E6868='Visual SPC'!$I$4),OR('Visual SPC'!$K$4="",'Data Entry'!$F6868='Visual SPC'!$K$4)),1,0))</f>
        <v/>
      </c>
      <c r="C6868">
        <f>C6867+B6868</f>
        <v/>
      </c>
      <c r="D6868">
        <f>IF(B6868=1,INDEX('Data Entry'!$H$5:$BE$10004,6868-4,'Visual SPC'!$B$3),"")</f>
        <v/>
      </c>
      <c r="E6868">
        <f>IF(B6868=1,D6868,E6867)</f>
        <v/>
      </c>
      <c r="F6868">
        <f>IF(AND(B6868=1,C6868&gt;1,E6867&lt;&gt;""),ABS(D6868-E6867),"")</f>
        <v/>
      </c>
    </row>
    <row r="6869">
      <c r="A6869" t="n">
        <v>6869</v>
      </c>
      <c r="B6869">
        <f>IF(INDEX('Data Entry'!$H$5:$BE$10004,6869-4,'Visual SPC'!$B$3)="",0,IF(AND(OR('Visual SPC'!$C$4="",'Data Entry'!$C6869&gt;='Visual SPC'!$C$4),OR('Visual SPC'!$E$4="",'Data Entry'!$C6869&lt;='Visual SPC'!$E$4),OR('Visual SPC'!$G$4="",'Data Entry'!$D6869='Visual SPC'!$G$4),OR('Visual SPC'!$I$4="",'Data Entry'!$E6869='Visual SPC'!$I$4),OR('Visual SPC'!$K$4="",'Data Entry'!$F6869='Visual SPC'!$K$4)),1,0))</f>
        <v/>
      </c>
      <c r="C6869">
        <f>C6868+B6869</f>
        <v/>
      </c>
      <c r="D6869">
        <f>IF(B6869=1,INDEX('Data Entry'!$H$5:$BE$10004,6869-4,'Visual SPC'!$B$3),"")</f>
        <v/>
      </c>
      <c r="E6869">
        <f>IF(B6869=1,D6869,E6868)</f>
        <v/>
      </c>
      <c r="F6869">
        <f>IF(AND(B6869=1,C6869&gt;1,E6868&lt;&gt;""),ABS(D6869-E6868),"")</f>
        <v/>
      </c>
    </row>
    <row r="6870">
      <c r="A6870" t="n">
        <v>6870</v>
      </c>
      <c r="B6870">
        <f>IF(INDEX('Data Entry'!$H$5:$BE$10004,6870-4,'Visual SPC'!$B$3)="",0,IF(AND(OR('Visual SPC'!$C$4="",'Data Entry'!$C6870&gt;='Visual SPC'!$C$4),OR('Visual SPC'!$E$4="",'Data Entry'!$C6870&lt;='Visual SPC'!$E$4),OR('Visual SPC'!$G$4="",'Data Entry'!$D6870='Visual SPC'!$G$4),OR('Visual SPC'!$I$4="",'Data Entry'!$E6870='Visual SPC'!$I$4),OR('Visual SPC'!$K$4="",'Data Entry'!$F6870='Visual SPC'!$K$4)),1,0))</f>
        <v/>
      </c>
      <c r="C6870">
        <f>C6869+B6870</f>
        <v/>
      </c>
      <c r="D6870">
        <f>IF(B6870=1,INDEX('Data Entry'!$H$5:$BE$10004,6870-4,'Visual SPC'!$B$3),"")</f>
        <v/>
      </c>
      <c r="E6870">
        <f>IF(B6870=1,D6870,E6869)</f>
        <v/>
      </c>
      <c r="F6870">
        <f>IF(AND(B6870=1,C6870&gt;1,E6869&lt;&gt;""),ABS(D6870-E6869),"")</f>
        <v/>
      </c>
    </row>
    <row r="6871">
      <c r="A6871" t="n">
        <v>6871</v>
      </c>
      <c r="B6871">
        <f>IF(INDEX('Data Entry'!$H$5:$BE$10004,6871-4,'Visual SPC'!$B$3)="",0,IF(AND(OR('Visual SPC'!$C$4="",'Data Entry'!$C6871&gt;='Visual SPC'!$C$4),OR('Visual SPC'!$E$4="",'Data Entry'!$C6871&lt;='Visual SPC'!$E$4),OR('Visual SPC'!$G$4="",'Data Entry'!$D6871='Visual SPC'!$G$4),OR('Visual SPC'!$I$4="",'Data Entry'!$E6871='Visual SPC'!$I$4),OR('Visual SPC'!$K$4="",'Data Entry'!$F6871='Visual SPC'!$K$4)),1,0))</f>
        <v/>
      </c>
      <c r="C6871">
        <f>C6870+B6871</f>
        <v/>
      </c>
      <c r="D6871">
        <f>IF(B6871=1,INDEX('Data Entry'!$H$5:$BE$10004,6871-4,'Visual SPC'!$B$3),"")</f>
        <v/>
      </c>
      <c r="E6871">
        <f>IF(B6871=1,D6871,E6870)</f>
        <v/>
      </c>
      <c r="F6871">
        <f>IF(AND(B6871=1,C6871&gt;1,E6870&lt;&gt;""),ABS(D6871-E6870),"")</f>
        <v/>
      </c>
    </row>
    <row r="6872">
      <c r="A6872" t="n">
        <v>6872</v>
      </c>
      <c r="B6872">
        <f>IF(INDEX('Data Entry'!$H$5:$BE$10004,6872-4,'Visual SPC'!$B$3)="",0,IF(AND(OR('Visual SPC'!$C$4="",'Data Entry'!$C6872&gt;='Visual SPC'!$C$4),OR('Visual SPC'!$E$4="",'Data Entry'!$C6872&lt;='Visual SPC'!$E$4),OR('Visual SPC'!$G$4="",'Data Entry'!$D6872='Visual SPC'!$G$4),OR('Visual SPC'!$I$4="",'Data Entry'!$E6872='Visual SPC'!$I$4),OR('Visual SPC'!$K$4="",'Data Entry'!$F6872='Visual SPC'!$K$4)),1,0))</f>
        <v/>
      </c>
      <c r="C6872">
        <f>C6871+B6872</f>
        <v/>
      </c>
      <c r="D6872">
        <f>IF(B6872=1,INDEX('Data Entry'!$H$5:$BE$10004,6872-4,'Visual SPC'!$B$3),"")</f>
        <v/>
      </c>
      <c r="E6872">
        <f>IF(B6872=1,D6872,E6871)</f>
        <v/>
      </c>
      <c r="F6872">
        <f>IF(AND(B6872=1,C6872&gt;1,E6871&lt;&gt;""),ABS(D6872-E6871),"")</f>
        <v/>
      </c>
    </row>
    <row r="6873">
      <c r="A6873" t="n">
        <v>6873</v>
      </c>
      <c r="B6873">
        <f>IF(INDEX('Data Entry'!$H$5:$BE$10004,6873-4,'Visual SPC'!$B$3)="",0,IF(AND(OR('Visual SPC'!$C$4="",'Data Entry'!$C6873&gt;='Visual SPC'!$C$4),OR('Visual SPC'!$E$4="",'Data Entry'!$C6873&lt;='Visual SPC'!$E$4),OR('Visual SPC'!$G$4="",'Data Entry'!$D6873='Visual SPC'!$G$4),OR('Visual SPC'!$I$4="",'Data Entry'!$E6873='Visual SPC'!$I$4),OR('Visual SPC'!$K$4="",'Data Entry'!$F6873='Visual SPC'!$K$4)),1,0))</f>
        <v/>
      </c>
      <c r="C6873">
        <f>C6872+B6873</f>
        <v/>
      </c>
      <c r="D6873">
        <f>IF(B6873=1,INDEX('Data Entry'!$H$5:$BE$10004,6873-4,'Visual SPC'!$B$3),"")</f>
        <v/>
      </c>
      <c r="E6873">
        <f>IF(B6873=1,D6873,E6872)</f>
        <v/>
      </c>
      <c r="F6873">
        <f>IF(AND(B6873=1,C6873&gt;1,E6872&lt;&gt;""),ABS(D6873-E6872),"")</f>
        <v/>
      </c>
    </row>
    <row r="6874">
      <c r="A6874" t="n">
        <v>6874</v>
      </c>
      <c r="B6874">
        <f>IF(INDEX('Data Entry'!$H$5:$BE$10004,6874-4,'Visual SPC'!$B$3)="",0,IF(AND(OR('Visual SPC'!$C$4="",'Data Entry'!$C6874&gt;='Visual SPC'!$C$4),OR('Visual SPC'!$E$4="",'Data Entry'!$C6874&lt;='Visual SPC'!$E$4),OR('Visual SPC'!$G$4="",'Data Entry'!$D6874='Visual SPC'!$G$4),OR('Visual SPC'!$I$4="",'Data Entry'!$E6874='Visual SPC'!$I$4),OR('Visual SPC'!$K$4="",'Data Entry'!$F6874='Visual SPC'!$K$4)),1,0))</f>
        <v/>
      </c>
      <c r="C6874">
        <f>C6873+B6874</f>
        <v/>
      </c>
      <c r="D6874">
        <f>IF(B6874=1,INDEX('Data Entry'!$H$5:$BE$10004,6874-4,'Visual SPC'!$B$3),"")</f>
        <v/>
      </c>
      <c r="E6874">
        <f>IF(B6874=1,D6874,E6873)</f>
        <v/>
      </c>
      <c r="F6874">
        <f>IF(AND(B6874=1,C6874&gt;1,E6873&lt;&gt;""),ABS(D6874-E6873),"")</f>
        <v/>
      </c>
    </row>
    <row r="6875">
      <c r="A6875" t="n">
        <v>6875</v>
      </c>
      <c r="B6875">
        <f>IF(INDEX('Data Entry'!$H$5:$BE$10004,6875-4,'Visual SPC'!$B$3)="",0,IF(AND(OR('Visual SPC'!$C$4="",'Data Entry'!$C6875&gt;='Visual SPC'!$C$4),OR('Visual SPC'!$E$4="",'Data Entry'!$C6875&lt;='Visual SPC'!$E$4),OR('Visual SPC'!$G$4="",'Data Entry'!$D6875='Visual SPC'!$G$4),OR('Visual SPC'!$I$4="",'Data Entry'!$E6875='Visual SPC'!$I$4),OR('Visual SPC'!$K$4="",'Data Entry'!$F6875='Visual SPC'!$K$4)),1,0))</f>
        <v/>
      </c>
      <c r="C6875">
        <f>C6874+B6875</f>
        <v/>
      </c>
      <c r="D6875">
        <f>IF(B6875=1,INDEX('Data Entry'!$H$5:$BE$10004,6875-4,'Visual SPC'!$B$3),"")</f>
        <v/>
      </c>
      <c r="E6875">
        <f>IF(B6875=1,D6875,E6874)</f>
        <v/>
      </c>
      <c r="F6875">
        <f>IF(AND(B6875=1,C6875&gt;1,E6874&lt;&gt;""),ABS(D6875-E6874),"")</f>
        <v/>
      </c>
    </row>
    <row r="6876">
      <c r="A6876" t="n">
        <v>6876</v>
      </c>
      <c r="B6876">
        <f>IF(INDEX('Data Entry'!$H$5:$BE$10004,6876-4,'Visual SPC'!$B$3)="",0,IF(AND(OR('Visual SPC'!$C$4="",'Data Entry'!$C6876&gt;='Visual SPC'!$C$4),OR('Visual SPC'!$E$4="",'Data Entry'!$C6876&lt;='Visual SPC'!$E$4),OR('Visual SPC'!$G$4="",'Data Entry'!$D6876='Visual SPC'!$G$4),OR('Visual SPC'!$I$4="",'Data Entry'!$E6876='Visual SPC'!$I$4),OR('Visual SPC'!$K$4="",'Data Entry'!$F6876='Visual SPC'!$K$4)),1,0))</f>
        <v/>
      </c>
      <c r="C6876">
        <f>C6875+B6876</f>
        <v/>
      </c>
      <c r="D6876">
        <f>IF(B6876=1,INDEX('Data Entry'!$H$5:$BE$10004,6876-4,'Visual SPC'!$B$3),"")</f>
        <v/>
      </c>
      <c r="E6876">
        <f>IF(B6876=1,D6876,E6875)</f>
        <v/>
      </c>
      <c r="F6876">
        <f>IF(AND(B6876=1,C6876&gt;1,E6875&lt;&gt;""),ABS(D6876-E6875),"")</f>
        <v/>
      </c>
    </row>
    <row r="6877">
      <c r="A6877" t="n">
        <v>6877</v>
      </c>
      <c r="B6877">
        <f>IF(INDEX('Data Entry'!$H$5:$BE$10004,6877-4,'Visual SPC'!$B$3)="",0,IF(AND(OR('Visual SPC'!$C$4="",'Data Entry'!$C6877&gt;='Visual SPC'!$C$4),OR('Visual SPC'!$E$4="",'Data Entry'!$C6877&lt;='Visual SPC'!$E$4),OR('Visual SPC'!$G$4="",'Data Entry'!$D6877='Visual SPC'!$G$4),OR('Visual SPC'!$I$4="",'Data Entry'!$E6877='Visual SPC'!$I$4),OR('Visual SPC'!$K$4="",'Data Entry'!$F6877='Visual SPC'!$K$4)),1,0))</f>
        <v/>
      </c>
      <c r="C6877">
        <f>C6876+B6877</f>
        <v/>
      </c>
      <c r="D6877">
        <f>IF(B6877=1,INDEX('Data Entry'!$H$5:$BE$10004,6877-4,'Visual SPC'!$B$3),"")</f>
        <v/>
      </c>
      <c r="E6877">
        <f>IF(B6877=1,D6877,E6876)</f>
        <v/>
      </c>
      <c r="F6877">
        <f>IF(AND(B6877=1,C6877&gt;1,E6876&lt;&gt;""),ABS(D6877-E6876),"")</f>
        <v/>
      </c>
    </row>
    <row r="6878">
      <c r="A6878" t="n">
        <v>6878</v>
      </c>
      <c r="B6878">
        <f>IF(INDEX('Data Entry'!$H$5:$BE$10004,6878-4,'Visual SPC'!$B$3)="",0,IF(AND(OR('Visual SPC'!$C$4="",'Data Entry'!$C6878&gt;='Visual SPC'!$C$4),OR('Visual SPC'!$E$4="",'Data Entry'!$C6878&lt;='Visual SPC'!$E$4),OR('Visual SPC'!$G$4="",'Data Entry'!$D6878='Visual SPC'!$G$4),OR('Visual SPC'!$I$4="",'Data Entry'!$E6878='Visual SPC'!$I$4),OR('Visual SPC'!$K$4="",'Data Entry'!$F6878='Visual SPC'!$K$4)),1,0))</f>
        <v/>
      </c>
      <c r="C6878">
        <f>C6877+B6878</f>
        <v/>
      </c>
      <c r="D6878">
        <f>IF(B6878=1,INDEX('Data Entry'!$H$5:$BE$10004,6878-4,'Visual SPC'!$B$3),"")</f>
        <v/>
      </c>
      <c r="E6878">
        <f>IF(B6878=1,D6878,E6877)</f>
        <v/>
      </c>
      <c r="F6878">
        <f>IF(AND(B6878=1,C6878&gt;1,E6877&lt;&gt;""),ABS(D6878-E6877),"")</f>
        <v/>
      </c>
    </row>
    <row r="6879">
      <c r="A6879" t="n">
        <v>6879</v>
      </c>
      <c r="B6879">
        <f>IF(INDEX('Data Entry'!$H$5:$BE$10004,6879-4,'Visual SPC'!$B$3)="",0,IF(AND(OR('Visual SPC'!$C$4="",'Data Entry'!$C6879&gt;='Visual SPC'!$C$4),OR('Visual SPC'!$E$4="",'Data Entry'!$C6879&lt;='Visual SPC'!$E$4),OR('Visual SPC'!$G$4="",'Data Entry'!$D6879='Visual SPC'!$G$4),OR('Visual SPC'!$I$4="",'Data Entry'!$E6879='Visual SPC'!$I$4),OR('Visual SPC'!$K$4="",'Data Entry'!$F6879='Visual SPC'!$K$4)),1,0))</f>
        <v/>
      </c>
      <c r="C6879">
        <f>C6878+B6879</f>
        <v/>
      </c>
      <c r="D6879">
        <f>IF(B6879=1,INDEX('Data Entry'!$H$5:$BE$10004,6879-4,'Visual SPC'!$B$3),"")</f>
        <v/>
      </c>
      <c r="E6879">
        <f>IF(B6879=1,D6879,E6878)</f>
        <v/>
      </c>
      <c r="F6879">
        <f>IF(AND(B6879=1,C6879&gt;1,E6878&lt;&gt;""),ABS(D6879-E6878),"")</f>
        <v/>
      </c>
    </row>
    <row r="6880">
      <c r="A6880" t="n">
        <v>6880</v>
      </c>
      <c r="B6880">
        <f>IF(INDEX('Data Entry'!$H$5:$BE$10004,6880-4,'Visual SPC'!$B$3)="",0,IF(AND(OR('Visual SPC'!$C$4="",'Data Entry'!$C6880&gt;='Visual SPC'!$C$4),OR('Visual SPC'!$E$4="",'Data Entry'!$C6880&lt;='Visual SPC'!$E$4),OR('Visual SPC'!$G$4="",'Data Entry'!$D6880='Visual SPC'!$G$4),OR('Visual SPC'!$I$4="",'Data Entry'!$E6880='Visual SPC'!$I$4),OR('Visual SPC'!$K$4="",'Data Entry'!$F6880='Visual SPC'!$K$4)),1,0))</f>
        <v/>
      </c>
      <c r="C6880">
        <f>C6879+B6880</f>
        <v/>
      </c>
      <c r="D6880">
        <f>IF(B6880=1,INDEX('Data Entry'!$H$5:$BE$10004,6880-4,'Visual SPC'!$B$3),"")</f>
        <v/>
      </c>
      <c r="E6880">
        <f>IF(B6880=1,D6880,E6879)</f>
        <v/>
      </c>
      <c r="F6880">
        <f>IF(AND(B6880=1,C6880&gt;1,E6879&lt;&gt;""),ABS(D6880-E6879),"")</f>
        <v/>
      </c>
    </row>
    <row r="6881">
      <c r="A6881" t="n">
        <v>6881</v>
      </c>
      <c r="B6881">
        <f>IF(INDEX('Data Entry'!$H$5:$BE$10004,6881-4,'Visual SPC'!$B$3)="",0,IF(AND(OR('Visual SPC'!$C$4="",'Data Entry'!$C6881&gt;='Visual SPC'!$C$4),OR('Visual SPC'!$E$4="",'Data Entry'!$C6881&lt;='Visual SPC'!$E$4),OR('Visual SPC'!$G$4="",'Data Entry'!$D6881='Visual SPC'!$G$4),OR('Visual SPC'!$I$4="",'Data Entry'!$E6881='Visual SPC'!$I$4),OR('Visual SPC'!$K$4="",'Data Entry'!$F6881='Visual SPC'!$K$4)),1,0))</f>
        <v/>
      </c>
      <c r="C6881">
        <f>C6880+B6881</f>
        <v/>
      </c>
      <c r="D6881">
        <f>IF(B6881=1,INDEX('Data Entry'!$H$5:$BE$10004,6881-4,'Visual SPC'!$B$3),"")</f>
        <v/>
      </c>
      <c r="E6881">
        <f>IF(B6881=1,D6881,E6880)</f>
        <v/>
      </c>
      <c r="F6881">
        <f>IF(AND(B6881=1,C6881&gt;1,E6880&lt;&gt;""),ABS(D6881-E6880),"")</f>
        <v/>
      </c>
    </row>
    <row r="6882">
      <c r="A6882" t="n">
        <v>6882</v>
      </c>
      <c r="B6882">
        <f>IF(INDEX('Data Entry'!$H$5:$BE$10004,6882-4,'Visual SPC'!$B$3)="",0,IF(AND(OR('Visual SPC'!$C$4="",'Data Entry'!$C6882&gt;='Visual SPC'!$C$4),OR('Visual SPC'!$E$4="",'Data Entry'!$C6882&lt;='Visual SPC'!$E$4),OR('Visual SPC'!$G$4="",'Data Entry'!$D6882='Visual SPC'!$G$4),OR('Visual SPC'!$I$4="",'Data Entry'!$E6882='Visual SPC'!$I$4),OR('Visual SPC'!$K$4="",'Data Entry'!$F6882='Visual SPC'!$K$4)),1,0))</f>
        <v/>
      </c>
      <c r="C6882">
        <f>C6881+B6882</f>
        <v/>
      </c>
      <c r="D6882">
        <f>IF(B6882=1,INDEX('Data Entry'!$H$5:$BE$10004,6882-4,'Visual SPC'!$B$3),"")</f>
        <v/>
      </c>
      <c r="E6882">
        <f>IF(B6882=1,D6882,E6881)</f>
        <v/>
      </c>
      <c r="F6882">
        <f>IF(AND(B6882=1,C6882&gt;1,E6881&lt;&gt;""),ABS(D6882-E6881),"")</f>
        <v/>
      </c>
    </row>
    <row r="6883">
      <c r="A6883" t="n">
        <v>6883</v>
      </c>
      <c r="B6883">
        <f>IF(INDEX('Data Entry'!$H$5:$BE$10004,6883-4,'Visual SPC'!$B$3)="",0,IF(AND(OR('Visual SPC'!$C$4="",'Data Entry'!$C6883&gt;='Visual SPC'!$C$4),OR('Visual SPC'!$E$4="",'Data Entry'!$C6883&lt;='Visual SPC'!$E$4),OR('Visual SPC'!$G$4="",'Data Entry'!$D6883='Visual SPC'!$G$4),OR('Visual SPC'!$I$4="",'Data Entry'!$E6883='Visual SPC'!$I$4),OR('Visual SPC'!$K$4="",'Data Entry'!$F6883='Visual SPC'!$K$4)),1,0))</f>
        <v/>
      </c>
      <c r="C6883">
        <f>C6882+B6883</f>
        <v/>
      </c>
      <c r="D6883">
        <f>IF(B6883=1,INDEX('Data Entry'!$H$5:$BE$10004,6883-4,'Visual SPC'!$B$3),"")</f>
        <v/>
      </c>
      <c r="E6883">
        <f>IF(B6883=1,D6883,E6882)</f>
        <v/>
      </c>
      <c r="F6883">
        <f>IF(AND(B6883=1,C6883&gt;1,E6882&lt;&gt;""),ABS(D6883-E6882),"")</f>
        <v/>
      </c>
    </row>
    <row r="6884">
      <c r="A6884" t="n">
        <v>6884</v>
      </c>
      <c r="B6884">
        <f>IF(INDEX('Data Entry'!$H$5:$BE$10004,6884-4,'Visual SPC'!$B$3)="",0,IF(AND(OR('Visual SPC'!$C$4="",'Data Entry'!$C6884&gt;='Visual SPC'!$C$4),OR('Visual SPC'!$E$4="",'Data Entry'!$C6884&lt;='Visual SPC'!$E$4),OR('Visual SPC'!$G$4="",'Data Entry'!$D6884='Visual SPC'!$G$4),OR('Visual SPC'!$I$4="",'Data Entry'!$E6884='Visual SPC'!$I$4),OR('Visual SPC'!$K$4="",'Data Entry'!$F6884='Visual SPC'!$K$4)),1,0))</f>
        <v/>
      </c>
      <c r="C6884">
        <f>C6883+B6884</f>
        <v/>
      </c>
      <c r="D6884">
        <f>IF(B6884=1,INDEX('Data Entry'!$H$5:$BE$10004,6884-4,'Visual SPC'!$B$3),"")</f>
        <v/>
      </c>
      <c r="E6884">
        <f>IF(B6884=1,D6884,E6883)</f>
        <v/>
      </c>
      <c r="F6884">
        <f>IF(AND(B6884=1,C6884&gt;1,E6883&lt;&gt;""),ABS(D6884-E6883),"")</f>
        <v/>
      </c>
    </row>
    <row r="6885">
      <c r="A6885" t="n">
        <v>6885</v>
      </c>
      <c r="B6885">
        <f>IF(INDEX('Data Entry'!$H$5:$BE$10004,6885-4,'Visual SPC'!$B$3)="",0,IF(AND(OR('Visual SPC'!$C$4="",'Data Entry'!$C6885&gt;='Visual SPC'!$C$4),OR('Visual SPC'!$E$4="",'Data Entry'!$C6885&lt;='Visual SPC'!$E$4),OR('Visual SPC'!$G$4="",'Data Entry'!$D6885='Visual SPC'!$G$4),OR('Visual SPC'!$I$4="",'Data Entry'!$E6885='Visual SPC'!$I$4),OR('Visual SPC'!$K$4="",'Data Entry'!$F6885='Visual SPC'!$K$4)),1,0))</f>
        <v/>
      </c>
      <c r="C6885">
        <f>C6884+B6885</f>
        <v/>
      </c>
      <c r="D6885">
        <f>IF(B6885=1,INDEX('Data Entry'!$H$5:$BE$10004,6885-4,'Visual SPC'!$B$3),"")</f>
        <v/>
      </c>
      <c r="E6885">
        <f>IF(B6885=1,D6885,E6884)</f>
        <v/>
      </c>
      <c r="F6885">
        <f>IF(AND(B6885=1,C6885&gt;1,E6884&lt;&gt;""),ABS(D6885-E6884),"")</f>
        <v/>
      </c>
    </row>
    <row r="6886">
      <c r="A6886" t="n">
        <v>6886</v>
      </c>
      <c r="B6886">
        <f>IF(INDEX('Data Entry'!$H$5:$BE$10004,6886-4,'Visual SPC'!$B$3)="",0,IF(AND(OR('Visual SPC'!$C$4="",'Data Entry'!$C6886&gt;='Visual SPC'!$C$4),OR('Visual SPC'!$E$4="",'Data Entry'!$C6886&lt;='Visual SPC'!$E$4),OR('Visual SPC'!$G$4="",'Data Entry'!$D6886='Visual SPC'!$G$4),OR('Visual SPC'!$I$4="",'Data Entry'!$E6886='Visual SPC'!$I$4),OR('Visual SPC'!$K$4="",'Data Entry'!$F6886='Visual SPC'!$K$4)),1,0))</f>
        <v/>
      </c>
      <c r="C6886">
        <f>C6885+B6886</f>
        <v/>
      </c>
      <c r="D6886">
        <f>IF(B6886=1,INDEX('Data Entry'!$H$5:$BE$10004,6886-4,'Visual SPC'!$B$3),"")</f>
        <v/>
      </c>
      <c r="E6886">
        <f>IF(B6886=1,D6886,E6885)</f>
        <v/>
      </c>
      <c r="F6886">
        <f>IF(AND(B6886=1,C6886&gt;1,E6885&lt;&gt;""),ABS(D6886-E6885),"")</f>
        <v/>
      </c>
    </row>
    <row r="6887">
      <c r="A6887" t="n">
        <v>6887</v>
      </c>
      <c r="B6887">
        <f>IF(INDEX('Data Entry'!$H$5:$BE$10004,6887-4,'Visual SPC'!$B$3)="",0,IF(AND(OR('Visual SPC'!$C$4="",'Data Entry'!$C6887&gt;='Visual SPC'!$C$4),OR('Visual SPC'!$E$4="",'Data Entry'!$C6887&lt;='Visual SPC'!$E$4),OR('Visual SPC'!$G$4="",'Data Entry'!$D6887='Visual SPC'!$G$4),OR('Visual SPC'!$I$4="",'Data Entry'!$E6887='Visual SPC'!$I$4),OR('Visual SPC'!$K$4="",'Data Entry'!$F6887='Visual SPC'!$K$4)),1,0))</f>
        <v/>
      </c>
      <c r="C6887">
        <f>C6886+B6887</f>
        <v/>
      </c>
      <c r="D6887">
        <f>IF(B6887=1,INDEX('Data Entry'!$H$5:$BE$10004,6887-4,'Visual SPC'!$B$3),"")</f>
        <v/>
      </c>
      <c r="E6887">
        <f>IF(B6887=1,D6887,E6886)</f>
        <v/>
      </c>
      <c r="F6887">
        <f>IF(AND(B6887=1,C6887&gt;1,E6886&lt;&gt;""),ABS(D6887-E6886),"")</f>
        <v/>
      </c>
    </row>
    <row r="6888">
      <c r="A6888" t="n">
        <v>6888</v>
      </c>
      <c r="B6888">
        <f>IF(INDEX('Data Entry'!$H$5:$BE$10004,6888-4,'Visual SPC'!$B$3)="",0,IF(AND(OR('Visual SPC'!$C$4="",'Data Entry'!$C6888&gt;='Visual SPC'!$C$4),OR('Visual SPC'!$E$4="",'Data Entry'!$C6888&lt;='Visual SPC'!$E$4),OR('Visual SPC'!$G$4="",'Data Entry'!$D6888='Visual SPC'!$G$4),OR('Visual SPC'!$I$4="",'Data Entry'!$E6888='Visual SPC'!$I$4),OR('Visual SPC'!$K$4="",'Data Entry'!$F6888='Visual SPC'!$K$4)),1,0))</f>
        <v/>
      </c>
      <c r="C6888">
        <f>C6887+B6888</f>
        <v/>
      </c>
      <c r="D6888">
        <f>IF(B6888=1,INDEX('Data Entry'!$H$5:$BE$10004,6888-4,'Visual SPC'!$B$3),"")</f>
        <v/>
      </c>
      <c r="E6888">
        <f>IF(B6888=1,D6888,E6887)</f>
        <v/>
      </c>
      <c r="F6888">
        <f>IF(AND(B6888=1,C6888&gt;1,E6887&lt;&gt;""),ABS(D6888-E6887),"")</f>
        <v/>
      </c>
    </row>
    <row r="6889">
      <c r="A6889" t="n">
        <v>6889</v>
      </c>
      <c r="B6889">
        <f>IF(INDEX('Data Entry'!$H$5:$BE$10004,6889-4,'Visual SPC'!$B$3)="",0,IF(AND(OR('Visual SPC'!$C$4="",'Data Entry'!$C6889&gt;='Visual SPC'!$C$4),OR('Visual SPC'!$E$4="",'Data Entry'!$C6889&lt;='Visual SPC'!$E$4),OR('Visual SPC'!$G$4="",'Data Entry'!$D6889='Visual SPC'!$G$4),OR('Visual SPC'!$I$4="",'Data Entry'!$E6889='Visual SPC'!$I$4),OR('Visual SPC'!$K$4="",'Data Entry'!$F6889='Visual SPC'!$K$4)),1,0))</f>
        <v/>
      </c>
      <c r="C6889">
        <f>C6888+B6889</f>
        <v/>
      </c>
      <c r="D6889">
        <f>IF(B6889=1,INDEX('Data Entry'!$H$5:$BE$10004,6889-4,'Visual SPC'!$B$3),"")</f>
        <v/>
      </c>
      <c r="E6889">
        <f>IF(B6889=1,D6889,E6888)</f>
        <v/>
      </c>
      <c r="F6889">
        <f>IF(AND(B6889=1,C6889&gt;1,E6888&lt;&gt;""),ABS(D6889-E6888),"")</f>
        <v/>
      </c>
    </row>
    <row r="6890">
      <c r="A6890" t="n">
        <v>6890</v>
      </c>
      <c r="B6890">
        <f>IF(INDEX('Data Entry'!$H$5:$BE$10004,6890-4,'Visual SPC'!$B$3)="",0,IF(AND(OR('Visual SPC'!$C$4="",'Data Entry'!$C6890&gt;='Visual SPC'!$C$4),OR('Visual SPC'!$E$4="",'Data Entry'!$C6890&lt;='Visual SPC'!$E$4),OR('Visual SPC'!$G$4="",'Data Entry'!$D6890='Visual SPC'!$G$4),OR('Visual SPC'!$I$4="",'Data Entry'!$E6890='Visual SPC'!$I$4),OR('Visual SPC'!$K$4="",'Data Entry'!$F6890='Visual SPC'!$K$4)),1,0))</f>
        <v/>
      </c>
      <c r="C6890">
        <f>C6889+B6890</f>
        <v/>
      </c>
      <c r="D6890">
        <f>IF(B6890=1,INDEX('Data Entry'!$H$5:$BE$10004,6890-4,'Visual SPC'!$B$3),"")</f>
        <v/>
      </c>
      <c r="E6890">
        <f>IF(B6890=1,D6890,E6889)</f>
        <v/>
      </c>
      <c r="F6890">
        <f>IF(AND(B6890=1,C6890&gt;1,E6889&lt;&gt;""),ABS(D6890-E6889),"")</f>
        <v/>
      </c>
    </row>
    <row r="6891">
      <c r="A6891" t="n">
        <v>6891</v>
      </c>
      <c r="B6891">
        <f>IF(INDEX('Data Entry'!$H$5:$BE$10004,6891-4,'Visual SPC'!$B$3)="",0,IF(AND(OR('Visual SPC'!$C$4="",'Data Entry'!$C6891&gt;='Visual SPC'!$C$4),OR('Visual SPC'!$E$4="",'Data Entry'!$C6891&lt;='Visual SPC'!$E$4),OR('Visual SPC'!$G$4="",'Data Entry'!$D6891='Visual SPC'!$G$4),OR('Visual SPC'!$I$4="",'Data Entry'!$E6891='Visual SPC'!$I$4),OR('Visual SPC'!$K$4="",'Data Entry'!$F6891='Visual SPC'!$K$4)),1,0))</f>
        <v/>
      </c>
      <c r="C6891">
        <f>C6890+B6891</f>
        <v/>
      </c>
      <c r="D6891">
        <f>IF(B6891=1,INDEX('Data Entry'!$H$5:$BE$10004,6891-4,'Visual SPC'!$B$3),"")</f>
        <v/>
      </c>
      <c r="E6891">
        <f>IF(B6891=1,D6891,E6890)</f>
        <v/>
      </c>
      <c r="F6891">
        <f>IF(AND(B6891=1,C6891&gt;1,E6890&lt;&gt;""),ABS(D6891-E6890),"")</f>
        <v/>
      </c>
    </row>
    <row r="6892">
      <c r="A6892" t="n">
        <v>6892</v>
      </c>
      <c r="B6892">
        <f>IF(INDEX('Data Entry'!$H$5:$BE$10004,6892-4,'Visual SPC'!$B$3)="",0,IF(AND(OR('Visual SPC'!$C$4="",'Data Entry'!$C6892&gt;='Visual SPC'!$C$4),OR('Visual SPC'!$E$4="",'Data Entry'!$C6892&lt;='Visual SPC'!$E$4),OR('Visual SPC'!$G$4="",'Data Entry'!$D6892='Visual SPC'!$G$4),OR('Visual SPC'!$I$4="",'Data Entry'!$E6892='Visual SPC'!$I$4),OR('Visual SPC'!$K$4="",'Data Entry'!$F6892='Visual SPC'!$K$4)),1,0))</f>
        <v/>
      </c>
      <c r="C6892">
        <f>C6891+B6892</f>
        <v/>
      </c>
      <c r="D6892">
        <f>IF(B6892=1,INDEX('Data Entry'!$H$5:$BE$10004,6892-4,'Visual SPC'!$B$3),"")</f>
        <v/>
      </c>
      <c r="E6892">
        <f>IF(B6892=1,D6892,E6891)</f>
        <v/>
      </c>
      <c r="F6892">
        <f>IF(AND(B6892=1,C6892&gt;1,E6891&lt;&gt;""),ABS(D6892-E6891),"")</f>
        <v/>
      </c>
    </row>
    <row r="6893">
      <c r="A6893" t="n">
        <v>6893</v>
      </c>
      <c r="B6893">
        <f>IF(INDEX('Data Entry'!$H$5:$BE$10004,6893-4,'Visual SPC'!$B$3)="",0,IF(AND(OR('Visual SPC'!$C$4="",'Data Entry'!$C6893&gt;='Visual SPC'!$C$4),OR('Visual SPC'!$E$4="",'Data Entry'!$C6893&lt;='Visual SPC'!$E$4),OR('Visual SPC'!$G$4="",'Data Entry'!$D6893='Visual SPC'!$G$4),OR('Visual SPC'!$I$4="",'Data Entry'!$E6893='Visual SPC'!$I$4),OR('Visual SPC'!$K$4="",'Data Entry'!$F6893='Visual SPC'!$K$4)),1,0))</f>
        <v/>
      </c>
      <c r="C6893">
        <f>C6892+B6893</f>
        <v/>
      </c>
      <c r="D6893">
        <f>IF(B6893=1,INDEX('Data Entry'!$H$5:$BE$10004,6893-4,'Visual SPC'!$B$3),"")</f>
        <v/>
      </c>
      <c r="E6893">
        <f>IF(B6893=1,D6893,E6892)</f>
        <v/>
      </c>
      <c r="F6893">
        <f>IF(AND(B6893=1,C6893&gt;1,E6892&lt;&gt;""),ABS(D6893-E6892),"")</f>
        <v/>
      </c>
    </row>
    <row r="6894">
      <c r="A6894" t="n">
        <v>6894</v>
      </c>
      <c r="B6894">
        <f>IF(INDEX('Data Entry'!$H$5:$BE$10004,6894-4,'Visual SPC'!$B$3)="",0,IF(AND(OR('Visual SPC'!$C$4="",'Data Entry'!$C6894&gt;='Visual SPC'!$C$4),OR('Visual SPC'!$E$4="",'Data Entry'!$C6894&lt;='Visual SPC'!$E$4),OR('Visual SPC'!$G$4="",'Data Entry'!$D6894='Visual SPC'!$G$4),OR('Visual SPC'!$I$4="",'Data Entry'!$E6894='Visual SPC'!$I$4),OR('Visual SPC'!$K$4="",'Data Entry'!$F6894='Visual SPC'!$K$4)),1,0))</f>
        <v/>
      </c>
      <c r="C6894">
        <f>C6893+B6894</f>
        <v/>
      </c>
      <c r="D6894">
        <f>IF(B6894=1,INDEX('Data Entry'!$H$5:$BE$10004,6894-4,'Visual SPC'!$B$3),"")</f>
        <v/>
      </c>
      <c r="E6894">
        <f>IF(B6894=1,D6894,E6893)</f>
        <v/>
      </c>
      <c r="F6894">
        <f>IF(AND(B6894=1,C6894&gt;1,E6893&lt;&gt;""),ABS(D6894-E6893),"")</f>
        <v/>
      </c>
    </row>
    <row r="6895">
      <c r="A6895" t="n">
        <v>6895</v>
      </c>
      <c r="B6895">
        <f>IF(INDEX('Data Entry'!$H$5:$BE$10004,6895-4,'Visual SPC'!$B$3)="",0,IF(AND(OR('Visual SPC'!$C$4="",'Data Entry'!$C6895&gt;='Visual SPC'!$C$4),OR('Visual SPC'!$E$4="",'Data Entry'!$C6895&lt;='Visual SPC'!$E$4),OR('Visual SPC'!$G$4="",'Data Entry'!$D6895='Visual SPC'!$G$4),OR('Visual SPC'!$I$4="",'Data Entry'!$E6895='Visual SPC'!$I$4),OR('Visual SPC'!$K$4="",'Data Entry'!$F6895='Visual SPC'!$K$4)),1,0))</f>
        <v/>
      </c>
      <c r="C6895">
        <f>C6894+B6895</f>
        <v/>
      </c>
      <c r="D6895">
        <f>IF(B6895=1,INDEX('Data Entry'!$H$5:$BE$10004,6895-4,'Visual SPC'!$B$3),"")</f>
        <v/>
      </c>
      <c r="E6895">
        <f>IF(B6895=1,D6895,E6894)</f>
        <v/>
      </c>
      <c r="F6895">
        <f>IF(AND(B6895=1,C6895&gt;1,E6894&lt;&gt;""),ABS(D6895-E6894),"")</f>
        <v/>
      </c>
    </row>
    <row r="6896">
      <c r="A6896" t="n">
        <v>6896</v>
      </c>
      <c r="B6896">
        <f>IF(INDEX('Data Entry'!$H$5:$BE$10004,6896-4,'Visual SPC'!$B$3)="",0,IF(AND(OR('Visual SPC'!$C$4="",'Data Entry'!$C6896&gt;='Visual SPC'!$C$4),OR('Visual SPC'!$E$4="",'Data Entry'!$C6896&lt;='Visual SPC'!$E$4),OR('Visual SPC'!$G$4="",'Data Entry'!$D6896='Visual SPC'!$G$4),OR('Visual SPC'!$I$4="",'Data Entry'!$E6896='Visual SPC'!$I$4),OR('Visual SPC'!$K$4="",'Data Entry'!$F6896='Visual SPC'!$K$4)),1,0))</f>
        <v/>
      </c>
      <c r="C6896">
        <f>C6895+B6896</f>
        <v/>
      </c>
      <c r="D6896">
        <f>IF(B6896=1,INDEX('Data Entry'!$H$5:$BE$10004,6896-4,'Visual SPC'!$B$3),"")</f>
        <v/>
      </c>
      <c r="E6896">
        <f>IF(B6896=1,D6896,E6895)</f>
        <v/>
      </c>
      <c r="F6896">
        <f>IF(AND(B6896=1,C6896&gt;1,E6895&lt;&gt;""),ABS(D6896-E6895),"")</f>
        <v/>
      </c>
    </row>
    <row r="6897">
      <c r="A6897" t="n">
        <v>6897</v>
      </c>
      <c r="B6897">
        <f>IF(INDEX('Data Entry'!$H$5:$BE$10004,6897-4,'Visual SPC'!$B$3)="",0,IF(AND(OR('Visual SPC'!$C$4="",'Data Entry'!$C6897&gt;='Visual SPC'!$C$4),OR('Visual SPC'!$E$4="",'Data Entry'!$C6897&lt;='Visual SPC'!$E$4),OR('Visual SPC'!$G$4="",'Data Entry'!$D6897='Visual SPC'!$G$4),OR('Visual SPC'!$I$4="",'Data Entry'!$E6897='Visual SPC'!$I$4),OR('Visual SPC'!$K$4="",'Data Entry'!$F6897='Visual SPC'!$K$4)),1,0))</f>
        <v/>
      </c>
      <c r="C6897">
        <f>C6896+B6897</f>
        <v/>
      </c>
      <c r="D6897">
        <f>IF(B6897=1,INDEX('Data Entry'!$H$5:$BE$10004,6897-4,'Visual SPC'!$B$3),"")</f>
        <v/>
      </c>
      <c r="E6897">
        <f>IF(B6897=1,D6897,E6896)</f>
        <v/>
      </c>
      <c r="F6897">
        <f>IF(AND(B6897=1,C6897&gt;1,E6896&lt;&gt;""),ABS(D6897-E6896),"")</f>
        <v/>
      </c>
    </row>
    <row r="6898">
      <c r="A6898" t="n">
        <v>6898</v>
      </c>
      <c r="B6898">
        <f>IF(INDEX('Data Entry'!$H$5:$BE$10004,6898-4,'Visual SPC'!$B$3)="",0,IF(AND(OR('Visual SPC'!$C$4="",'Data Entry'!$C6898&gt;='Visual SPC'!$C$4),OR('Visual SPC'!$E$4="",'Data Entry'!$C6898&lt;='Visual SPC'!$E$4),OR('Visual SPC'!$G$4="",'Data Entry'!$D6898='Visual SPC'!$G$4),OR('Visual SPC'!$I$4="",'Data Entry'!$E6898='Visual SPC'!$I$4),OR('Visual SPC'!$K$4="",'Data Entry'!$F6898='Visual SPC'!$K$4)),1,0))</f>
        <v/>
      </c>
      <c r="C6898">
        <f>C6897+B6898</f>
        <v/>
      </c>
      <c r="D6898">
        <f>IF(B6898=1,INDEX('Data Entry'!$H$5:$BE$10004,6898-4,'Visual SPC'!$B$3),"")</f>
        <v/>
      </c>
      <c r="E6898">
        <f>IF(B6898=1,D6898,E6897)</f>
        <v/>
      </c>
      <c r="F6898">
        <f>IF(AND(B6898=1,C6898&gt;1,E6897&lt;&gt;""),ABS(D6898-E6897),"")</f>
        <v/>
      </c>
    </row>
    <row r="6899">
      <c r="A6899" t="n">
        <v>6899</v>
      </c>
      <c r="B6899">
        <f>IF(INDEX('Data Entry'!$H$5:$BE$10004,6899-4,'Visual SPC'!$B$3)="",0,IF(AND(OR('Visual SPC'!$C$4="",'Data Entry'!$C6899&gt;='Visual SPC'!$C$4),OR('Visual SPC'!$E$4="",'Data Entry'!$C6899&lt;='Visual SPC'!$E$4),OR('Visual SPC'!$G$4="",'Data Entry'!$D6899='Visual SPC'!$G$4),OR('Visual SPC'!$I$4="",'Data Entry'!$E6899='Visual SPC'!$I$4),OR('Visual SPC'!$K$4="",'Data Entry'!$F6899='Visual SPC'!$K$4)),1,0))</f>
        <v/>
      </c>
      <c r="C6899">
        <f>C6898+B6899</f>
        <v/>
      </c>
      <c r="D6899">
        <f>IF(B6899=1,INDEX('Data Entry'!$H$5:$BE$10004,6899-4,'Visual SPC'!$B$3),"")</f>
        <v/>
      </c>
      <c r="E6899">
        <f>IF(B6899=1,D6899,E6898)</f>
        <v/>
      </c>
      <c r="F6899">
        <f>IF(AND(B6899=1,C6899&gt;1,E6898&lt;&gt;""),ABS(D6899-E6898),"")</f>
        <v/>
      </c>
    </row>
    <row r="6900">
      <c r="A6900" t="n">
        <v>6900</v>
      </c>
      <c r="B6900">
        <f>IF(INDEX('Data Entry'!$H$5:$BE$10004,6900-4,'Visual SPC'!$B$3)="",0,IF(AND(OR('Visual SPC'!$C$4="",'Data Entry'!$C6900&gt;='Visual SPC'!$C$4),OR('Visual SPC'!$E$4="",'Data Entry'!$C6900&lt;='Visual SPC'!$E$4),OR('Visual SPC'!$G$4="",'Data Entry'!$D6900='Visual SPC'!$G$4),OR('Visual SPC'!$I$4="",'Data Entry'!$E6900='Visual SPC'!$I$4),OR('Visual SPC'!$K$4="",'Data Entry'!$F6900='Visual SPC'!$K$4)),1,0))</f>
        <v/>
      </c>
      <c r="C6900">
        <f>C6899+B6900</f>
        <v/>
      </c>
      <c r="D6900">
        <f>IF(B6900=1,INDEX('Data Entry'!$H$5:$BE$10004,6900-4,'Visual SPC'!$B$3),"")</f>
        <v/>
      </c>
      <c r="E6900">
        <f>IF(B6900=1,D6900,E6899)</f>
        <v/>
      </c>
      <c r="F6900">
        <f>IF(AND(B6900=1,C6900&gt;1,E6899&lt;&gt;""),ABS(D6900-E6899),"")</f>
        <v/>
      </c>
    </row>
    <row r="6901">
      <c r="A6901" t="n">
        <v>6901</v>
      </c>
      <c r="B6901">
        <f>IF(INDEX('Data Entry'!$H$5:$BE$10004,6901-4,'Visual SPC'!$B$3)="",0,IF(AND(OR('Visual SPC'!$C$4="",'Data Entry'!$C6901&gt;='Visual SPC'!$C$4),OR('Visual SPC'!$E$4="",'Data Entry'!$C6901&lt;='Visual SPC'!$E$4),OR('Visual SPC'!$G$4="",'Data Entry'!$D6901='Visual SPC'!$G$4),OR('Visual SPC'!$I$4="",'Data Entry'!$E6901='Visual SPC'!$I$4),OR('Visual SPC'!$K$4="",'Data Entry'!$F6901='Visual SPC'!$K$4)),1,0))</f>
        <v/>
      </c>
      <c r="C6901">
        <f>C6900+B6901</f>
        <v/>
      </c>
      <c r="D6901">
        <f>IF(B6901=1,INDEX('Data Entry'!$H$5:$BE$10004,6901-4,'Visual SPC'!$B$3),"")</f>
        <v/>
      </c>
      <c r="E6901">
        <f>IF(B6901=1,D6901,E6900)</f>
        <v/>
      </c>
      <c r="F6901">
        <f>IF(AND(B6901=1,C6901&gt;1,E6900&lt;&gt;""),ABS(D6901-E6900),"")</f>
        <v/>
      </c>
    </row>
    <row r="6902">
      <c r="A6902" t="n">
        <v>6902</v>
      </c>
      <c r="B6902">
        <f>IF(INDEX('Data Entry'!$H$5:$BE$10004,6902-4,'Visual SPC'!$B$3)="",0,IF(AND(OR('Visual SPC'!$C$4="",'Data Entry'!$C6902&gt;='Visual SPC'!$C$4),OR('Visual SPC'!$E$4="",'Data Entry'!$C6902&lt;='Visual SPC'!$E$4),OR('Visual SPC'!$G$4="",'Data Entry'!$D6902='Visual SPC'!$G$4),OR('Visual SPC'!$I$4="",'Data Entry'!$E6902='Visual SPC'!$I$4),OR('Visual SPC'!$K$4="",'Data Entry'!$F6902='Visual SPC'!$K$4)),1,0))</f>
        <v/>
      </c>
      <c r="C6902">
        <f>C6901+B6902</f>
        <v/>
      </c>
      <c r="D6902">
        <f>IF(B6902=1,INDEX('Data Entry'!$H$5:$BE$10004,6902-4,'Visual SPC'!$B$3),"")</f>
        <v/>
      </c>
      <c r="E6902">
        <f>IF(B6902=1,D6902,E6901)</f>
        <v/>
      </c>
      <c r="F6902">
        <f>IF(AND(B6902=1,C6902&gt;1,E6901&lt;&gt;""),ABS(D6902-E6901),"")</f>
        <v/>
      </c>
    </row>
    <row r="6903">
      <c r="A6903" t="n">
        <v>6903</v>
      </c>
      <c r="B6903">
        <f>IF(INDEX('Data Entry'!$H$5:$BE$10004,6903-4,'Visual SPC'!$B$3)="",0,IF(AND(OR('Visual SPC'!$C$4="",'Data Entry'!$C6903&gt;='Visual SPC'!$C$4),OR('Visual SPC'!$E$4="",'Data Entry'!$C6903&lt;='Visual SPC'!$E$4),OR('Visual SPC'!$G$4="",'Data Entry'!$D6903='Visual SPC'!$G$4),OR('Visual SPC'!$I$4="",'Data Entry'!$E6903='Visual SPC'!$I$4),OR('Visual SPC'!$K$4="",'Data Entry'!$F6903='Visual SPC'!$K$4)),1,0))</f>
        <v/>
      </c>
      <c r="C6903">
        <f>C6902+B6903</f>
        <v/>
      </c>
      <c r="D6903">
        <f>IF(B6903=1,INDEX('Data Entry'!$H$5:$BE$10004,6903-4,'Visual SPC'!$B$3),"")</f>
        <v/>
      </c>
      <c r="E6903">
        <f>IF(B6903=1,D6903,E6902)</f>
        <v/>
      </c>
      <c r="F6903">
        <f>IF(AND(B6903=1,C6903&gt;1,E6902&lt;&gt;""),ABS(D6903-E6902),"")</f>
        <v/>
      </c>
    </row>
    <row r="6904">
      <c r="A6904" t="n">
        <v>6904</v>
      </c>
      <c r="B6904">
        <f>IF(INDEX('Data Entry'!$H$5:$BE$10004,6904-4,'Visual SPC'!$B$3)="",0,IF(AND(OR('Visual SPC'!$C$4="",'Data Entry'!$C6904&gt;='Visual SPC'!$C$4),OR('Visual SPC'!$E$4="",'Data Entry'!$C6904&lt;='Visual SPC'!$E$4),OR('Visual SPC'!$G$4="",'Data Entry'!$D6904='Visual SPC'!$G$4),OR('Visual SPC'!$I$4="",'Data Entry'!$E6904='Visual SPC'!$I$4),OR('Visual SPC'!$K$4="",'Data Entry'!$F6904='Visual SPC'!$K$4)),1,0))</f>
        <v/>
      </c>
      <c r="C6904">
        <f>C6903+B6904</f>
        <v/>
      </c>
      <c r="D6904">
        <f>IF(B6904=1,INDEX('Data Entry'!$H$5:$BE$10004,6904-4,'Visual SPC'!$B$3),"")</f>
        <v/>
      </c>
      <c r="E6904">
        <f>IF(B6904=1,D6904,E6903)</f>
        <v/>
      </c>
      <c r="F6904">
        <f>IF(AND(B6904=1,C6904&gt;1,E6903&lt;&gt;""),ABS(D6904-E6903),"")</f>
        <v/>
      </c>
    </row>
    <row r="6905">
      <c r="A6905" t="n">
        <v>6905</v>
      </c>
      <c r="B6905">
        <f>IF(INDEX('Data Entry'!$H$5:$BE$10004,6905-4,'Visual SPC'!$B$3)="",0,IF(AND(OR('Visual SPC'!$C$4="",'Data Entry'!$C6905&gt;='Visual SPC'!$C$4),OR('Visual SPC'!$E$4="",'Data Entry'!$C6905&lt;='Visual SPC'!$E$4),OR('Visual SPC'!$G$4="",'Data Entry'!$D6905='Visual SPC'!$G$4),OR('Visual SPC'!$I$4="",'Data Entry'!$E6905='Visual SPC'!$I$4),OR('Visual SPC'!$K$4="",'Data Entry'!$F6905='Visual SPC'!$K$4)),1,0))</f>
        <v/>
      </c>
      <c r="C6905">
        <f>C6904+B6905</f>
        <v/>
      </c>
      <c r="D6905">
        <f>IF(B6905=1,INDEX('Data Entry'!$H$5:$BE$10004,6905-4,'Visual SPC'!$B$3),"")</f>
        <v/>
      </c>
      <c r="E6905">
        <f>IF(B6905=1,D6905,E6904)</f>
        <v/>
      </c>
      <c r="F6905">
        <f>IF(AND(B6905=1,C6905&gt;1,E6904&lt;&gt;""),ABS(D6905-E6904),"")</f>
        <v/>
      </c>
    </row>
    <row r="6906">
      <c r="A6906" t="n">
        <v>6906</v>
      </c>
      <c r="B6906">
        <f>IF(INDEX('Data Entry'!$H$5:$BE$10004,6906-4,'Visual SPC'!$B$3)="",0,IF(AND(OR('Visual SPC'!$C$4="",'Data Entry'!$C6906&gt;='Visual SPC'!$C$4),OR('Visual SPC'!$E$4="",'Data Entry'!$C6906&lt;='Visual SPC'!$E$4),OR('Visual SPC'!$G$4="",'Data Entry'!$D6906='Visual SPC'!$G$4),OR('Visual SPC'!$I$4="",'Data Entry'!$E6906='Visual SPC'!$I$4),OR('Visual SPC'!$K$4="",'Data Entry'!$F6906='Visual SPC'!$K$4)),1,0))</f>
        <v/>
      </c>
      <c r="C6906">
        <f>C6905+B6906</f>
        <v/>
      </c>
      <c r="D6906">
        <f>IF(B6906=1,INDEX('Data Entry'!$H$5:$BE$10004,6906-4,'Visual SPC'!$B$3),"")</f>
        <v/>
      </c>
      <c r="E6906">
        <f>IF(B6906=1,D6906,E6905)</f>
        <v/>
      </c>
      <c r="F6906">
        <f>IF(AND(B6906=1,C6906&gt;1,E6905&lt;&gt;""),ABS(D6906-E6905),"")</f>
        <v/>
      </c>
    </row>
    <row r="6907">
      <c r="A6907" t="n">
        <v>6907</v>
      </c>
      <c r="B6907">
        <f>IF(INDEX('Data Entry'!$H$5:$BE$10004,6907-4,'Visual SPC'!$B$3)="",0,IF(AND(OR('Visual SPC'!$C$4="",'Data Entry'!$C6907&gt;='Visual SPC'!$C$4),OR('Visual SPC'!$E$4="",'Data Entry'!$C6907&lt;='Visual SPC'!$E$4),OR('Visual SPC'!$G$4="",'Data Entry'!$D6907='Visual SPC'!$G$4),OR('Visual SPC'!$I$4="",'Data Entry'!$E6907='Visual SPC'!$I$4),OR('Visual SPC'!$K$4="",'Data Entry'!$F6907='Visual SPC'!$K$4)),1,0))</f>
        <v/>
      </c>
      <c r="C6907">
        <f>C6906+B6907</f>
        <v/>
      </c>
      <c r="D6907">
        <f>IF(B6907=1,INDEX('Data Entry'!$H$5:$BE$10004,6907-4,'Visual SPC'!$B$3),"")</f>
        <v/>
      </c>
      <c r="E6907">
        <f>IF(B6907=1,D6907,E6906)</f>
        <v/>
      </c>
      <c r="F6907">
        <f>IF(AND(B6907=1,C6907&gt;1,E6906&lt;&gt;""),ABS(D6907-E6906),"")</f>
        <v/>
      </c>
    </row>
    <row r="6908">
      <c r="A6908" t="n">
        <v>6908</v>
      </c>
      <c r="B6908">
        <f>IF(INDEX('Data Entry'!$H$5:$BE$10004,6908-4,'Visual SPC'!$B$3)="",0,IF(AND(OR('Visual SPC'!$C$4="",'Data Entry'!$C6908&gt;='Visual SPC'!$C$4),OR('Visual SPC'!$E$4="",'Data Entry'!$C6908&lt;='Visual SPC'!$E$4),OR('Visual SPC'!$G$4="",'Data Entry'!$D6908='Visual SPC'!$G$4),OR('Visual SPC'!$I$4="",'Data Entry'!$E6908='Visual SPC'!$I$4),OR('Visual SPC'!$K$4="",'Data Entry'!$F6908='Visual SPC'!$K$4)),1,0))</f>
        <v/>
      </c>
      <c r="C6908">
        <f>C6907+B6908</f>
        <v/>
      </c>
      <c r="D6908">
        <f>IF(B6908=1,INDEX('Data Entry'!$H$5:$BE$10004,6908-4,'Visual SPC'!$B$3),"")</f>
        <v/>
      </c>
      <c r="E6908">
        <f>IF(B6908=1,D6908,E6907)</f>
        <v/>
      </c>
      <c r="F6908">
        <f>IF(AND(B6908=1,C6908&gt;1,E6907&lt;&gt;""),ABS(D6908-E6907),"")</f>
        <v/>
      </c>
    </row>
    <row r="6909">
      <c r="A6909" t="n">
        <v>6909</v>
      </c>
      <c r="B6909">
        <f>IF(INDEX('Data Entry'!$H$5:$BE$10004,6909-4,'Visual SPC'!$B$3)="",0,IF(AND(OR('Visual SPC'!$C$4="",'Data Entry'!$C6909&gt;='Visual SPC'!$C$4),OR('Visual SPC'!$E$4="",'Data Entry'!$C6909&lt;='Visual SPC'!$E$4),OR('Visual SPC'!$G$4="",'Data Entry'!$D6909='Visual SPC'!$G$4),OR('Visual SPC'!$I$4="",'Data Entry'!$E6909='Visual SPC'!$I$4),OR('Visual SPC'!$K$4="",'Data Entry'!$F6909='Visual SPC'!$K$4)),1,0))</f>
        <v/>
      </c>
      <c r="C6909">
        <f>C6908+B6909</f>
        <v/>
      </c>
      <c r="D6909">
        <f>IF(B6909=1,INDEX('Data Entry'!$H$5:$BE$10004,6909-4,'Visual SPC'!$B$3),"")</f>
        <v/>
      </c>
      <c r="E6909">
        <f>IF(B6909=1,D6909,E6908)</f>
        <v/>
      </c>
      <c r="F6909">
        <f>IF(AND(B6909=1,C6909&gt;1,E6908&lt;&gt;""),ABS(D6909-E6908),"")</f>
        <v/>
      </c>
    </row>
    <row r="6910">
      <c r="A6910" t="n">
        <v>6910</v>
      </c>
      <c r="B6910">
        <f>IF(INDEX('Data Entry'!$H$5:$BE$10004,6910-4,'Visual SPC'!$B$3)="",0,IF(AND(OR('Visual SPC'!$C$4="",'Data Entry'!$C6910&gt;='Visual SPC'!$C$4),OR('Visual SPC'!$E$4="",'Data Entry'!$C6910&lt;='Visual SPC'!$E$4),OR('Visual SPC'!$G$4="",'Data Entry'!$D6910='Visual SPC'!$G$4),OR('Visual SPC'!$I$4="",'Data Entry'!$E6910='Visual SPC'!$I$4),OR('Visual SPC'!$K$4="",'Data Entry'!$F6910='Visual SPC'!$K$4)),1,0))</f>
        <v/>
      </c>
      <c r="C6910">
        <f>C6909+B6910</f>
        <v/>
      </c>
      <c r="D6910">
        <f>IF(B6910=1,INDEX('Data Entry'!$H$5:$BE$10004,6910-4,'Visual SPC'!$B$3),"")</f>
        <v/>
      </c>
      <c r="E6910">
        <f>IF(B6910=1,D6910,E6909)</f>
        <v/>
      </c>
      <c r="F6910">
        <f>IF(AND(B6910=1,C6910&gt;1,E6909&lt;&gt;""),ABS(D6910-E6909),"")</f>
        <v/>
      </c>
    </row>
    <row r="6911">
      <c r="A6911" t="n">
        <v>6911</v>
      </c>
      <c r="B6911">
        <f>IF(INDEX('Data Entry'!$H$5:$BE$10004,6911-4,'Visual SPC'!$B$3)="",0,IF(AND(OR('Visual SPC'!$C$4="",'Data Entry'!$C6911&gt;='Visual SPC'!$C$4),OR('Visual SPC'!$E$4="",'Data Entry'!$C6911&lt;='Visual SPC'!$E$4),OR('Visual SPC'!$G$4="",'Data Entry'!$D6911='Visual SPC'!$G$4),OR('Visual SPC'!$I$4="",'Data Entry'!$E6911='Visual SPC'!$I$4),OR('Visual SPC'!$K$4="",'Data Entry'!$F6911='Visual SPC'!$K$4)),1,0))</f>
        <v/>
      </c>
      <c r="C6911">
        <f>C6910+B6911</f>
        <v/>
      </c>
      <c r="D6911">
        <f>IF(B6911=1,INDEX('Data Entry'!$H$5:$BE$10004,6911-4,'Visual SPC'!$B$3),"")</f>
        <v/>
      </c>
      <c r="E6911">
        <f>IF(B6911=1,D6911,E6910)</f>
        <v/>
      </c>
      <c r="F6911">
        <f>IF(AND(B6911=1,C6911&gt;1,E6910&lt;&gt;""),ABS(D6911-E6910),"")</f>
        <v/>
      </c>
    </row>
    <row r="6912">
      <c r="A6912" t="n">
        <v>6912</v>
      </c>
      <c r="B6912">
        <f>IF(INDEX('Data Entry'!$H$5:$BE$10004,6912-4,'Visual SPC'!$B$3)="",0,IF(AND(OR('Visual SPC'!$C$4="",'Data Entry'!$C6912&gt;='Visual SPC'!$C$4),OR('Visual SPC'!$E$4="",'Data Entry'!$C6912&lt;='Visual SPC'!$E$4),OR('Visual SPC'!$G$4="",'Data Entry'!$D6912='Visual SPC'!$G$4),OR('Visual SPC'!$I$4="",'Data Entry'!$E6912='Visual SPC'!$I$4),OR('Visual SPC'!$K$4="",'Data Entry'!$F6912='Visual SPC'!$K$4)),1,0))</f>
        <v/>
      </c>
      <c r="C6912">
        <f>C6911+B6912</f>
        <v/>
      </c>
      <c r="D6912">
        <f>IF(B6912=1,INDEX('Data Entry'!$H$5:$BE$10004,6912-4,'Visual SPC'!$B$3),"")</f>
        <v/>
      </c>
      <c r="E6912">
        <f>IF(B6912=1,D6912,E6911)</f>
        <v/>
      </c>
      <c r="F6912">
        <f>IF(AND(B6912=1,C6912&gt;1,E6911&lt;&gt;""),ABS(D6912-E6911),"")</f>
        <v/>
      </c>
    </row>
    <row r="6913">
      <c r="A6913" t="n">
        <v>6913</v>
      </c>
      <c r="B6913">
        <f>IF(INDEX('Data Entry'!$H$5:$BE$10004,6913-4,'Visual SPC'!$B$3)="",0,IF(AND(OR('Visual SPC'!$C$4="",'Data Entry'!$C6913&gt;='Visual SPC'!$C$4),OR('Visual SPC'!$E$4="",'Data Entry'!$C6913&lt;='Visual SPC'!$E$4),OR('Visual SPC'!$G$4="",'Data Entry'!$D6913='Visual SPC'!$G$4),OR('Visual SPC'!$I$4="",'Data Entry'!$E6913='Visual SPC'!$I$4),OR('Visual SPC'!$K$4="",'Data Entry'!$F6913='Visual SPC'!$K$4)),1,0))</f>
        <v/>
      </c>
      <c r="C6913">
        <f>C6912+B6913</f>
        <v/>
      </c>
      <c r="D6913">
        <f>IF(B6913=1,INDEX('Data Entry'!$H$5:$BE$10004,6913-4,'Visual SPC'!$B$3),"")</f>
        <v/>
      </c>
      <c r="E6913">
        <f>IF(B6913=1,D6913,E6912)</f>
        <v/>
      </c>
      <c r="F6913">
        <f>IF(AND(B6913=1,C6913&gt;1,E6912&lt;&gt;""),ABS(D6913-E6912),"")</f>
        <v/>
      </c>
    </row>
    <row r="6914">
      <c r="A6914" t="n">
        <v>6914</v>
      </c>
      <c r="B6914">
        <f>IF(INDEX('Data Entry'!$H$5:$BE$10004,6914-4,'Visual SPC'!$B$3)="",0,IF(AND(OR('Visual SPC'!$C$4="",'Data Entry'!$C6914&gt;='Visual SPC'!$C$4),OR('Visual SPC'!$E$4="",'Data Entry'!$C6914&lt;='Visual SPC'!$E$4),OR('Visual SPC'!$G$4="",'Data Entry'!$D6914='Visual SPC'!$G$4),OR('Visual SPC'!$I$4="",'Data Entry'!$E6914='Visual SPC'!$I$4),OR('Visual SPC'!$K$4="",'Data Entry'!$F6914='Visual SPC'!$K$4)),1,0))</f>
        <v/>
      </c>
      <c r="C6914">
        <f>C6913+B6914</f>
        <v/>
      </c>
      <c r="D6914">
        <f>IF(B6914=1,INDEX('Data Entry'!$H$5:$BE$10004,6914-4,'Visual SPC'!$B$3),"")</f>
        <v/>
      </c>
      <c r="E6914">
        <f>IF(B6914=1,D6914,E6913)</f>
        <v/>
      </c>
      <c r="F6914">
        <f>IF(AND(B6914=1,C6914&gt;1,E6913&lt;&gt;""),ABS(D6914-E6913),"")</f>
        <v/>
      </c>
    </row>
    <row r="6915">
      <c r="A6915" t="n">
        <v>6915</v>
      </c>
      <c r="B6915">
        <f>IF(INDEX('Data Entry'!$H$5:$BE$10004,6915-4,'Visual SPC'!$B$3)="",0,IF(AND(OR('Visual SPC'!$C$4="",'Data Entry'!$C6915&gt;='Visual SPC'!$C$4),OR('Visual SPC'!$E$4="",'Data Entry'!$C6915&lt;='Visual SPC'!$E$4),OR('Visual SPC'!$G$4="",'Data Entry'!$D6915='Visual SPC'!$G$4),OR('Visual SPC'!$I$4="",'Data Entry'!$E6915='Visual SPC'!$I$4),OR('Visual SPC'!$K$4="",'Data Entry'!$F6915='Visual SPC'!$K$4)),1,0))</f>
        <v/>
      </c>
      <c r="C6915">
        <f>C6914+B6915</f>
        <v/>
      </c>
      <c r="D6915">
        <f>IF(B6915=1,INDEX('Data Entry'!$H$5:$BE$10004,6915-4,'Visual SPC'!$B$3),"")</f>
        <v/>
      </c>
      <c r="E6915">
        <f>IF(B6915=1,D6915,E6914)</f>
        <v/>
      </c>
      <c r="F6915">
        <f>IF(AND(B6915=1,C6915&gt;1,E6914&lt;&gt;""),ABS(D6915-E6914),"")</f>
        <v/>
      </c>
    </row>
    <row r="6916">
      <c r="A6916" t="n">
        <v>6916</v>
      </c>
      <c r="B6916">
        <f>IF(INDEX('Data Entry'!$H$5:$BE$10004,6916-4,'Visual SPC'!$B$3)="",0,IF(AND(OR('Visual SPC'!$C$4="",'Data Entry'!$C6916&gt;='Visual SPC'!$C$4),OR('Visual SPC'!$E$4="",'Data Entry'!$C6916&lt;='Visual SPC'!$E$4),OR('Visual SPC'!$G$4="",'Data Entry'!$D6916='Visual SPC'!$G$4),OR('Visual SPC'!$I$4="",'Data Entry'!$E6916='Visual SPC'!$I$4),OR('Visual SPC'!$K$4="",'Data Entry'!$F6916='Visual SPC'!$K$4)),1,0))</f>
        <v/>
      </c>
      <c r="C6916">
        <f>C6915+B6916</f>
        <v/>
      </c>
      <c r="D6916">
        <f>IF(B6916=1,INDEX('Data Entry'!$H$5:$BE$10004,6916-4,'Visual SPC'!$B$3),"")</f>
        <v/>
      </c>
      <c r="E6916">
        <f>IF(B6916=1,D6916,E6915)</f>
        <v/>
      </c>
      <c r="F6916">
        <f>IF(AND(B6916=1,C6916&gt;1,E6915&lt;&gt;""),ABS(D6916-E6915),"")</f>
        <v/>
      </c>
    </row>
    <row r="6917">
      <c r="A6917" t="n">
        <v>6917</v>
      </c>
      <c r="B6917">
        <f>IF(INDEX('Data Entry'!$H$5:$BE$10004,6917-4,'Visual SPC'!$B$3)="",0,IF(AND(OR('Visual SPC'!$C$4="",'Data Entry'!$C6917&gt;='Visual SPC'!$C$4),OR('Visual SPC'!$E$4="",'Data Entry'!$C6917&lt;='Visual SPC'!$E$4),OR('Visual SPC'!$G$4="",'Data Entry'!$D6917='Visual SPC'!$G$4),OR('Visual SPC'!$I$4="",'Data Entry'!$E6917='Visual SPC'!$I$4),OR('Visual SPC'!$K$4="",'Data Entry'!$F6917='Visual SPC'!$K$4)),1,0))</f>
        <v/>
      </c>
      <c r="C6917">
        <f>C6916+B6917</f>
        <v/>
      </c>
      <c r="D6917">
        <f>IF(B6917=1,INDEX('Data Entry'!$H$5:$BE$10004,6917-4,'Visual SPC'!$B$3),"")</f>
        <v/>
      </c>
      <c r="E6917">
        <f>IF(B6917=1,D6917,E6916)</f>
        <v/>
      </c>
      <c r="F6917">
        <f>IF(AND(B6917=1,C6917&gt;1,E6916&lt;&gt;""),ABS(D6917-E6916),"")</f>
        <v/>
      </c>
    </row>
    <row r="6918">
      <c r="A6918" t="n">
        <v>6918</v>
      </c>
      <c r="B6918">
        <f>IF(INDEX('Data Entry'!$H$5:$BE$10004,6918-4,'Visual SPC'!$B$3)="",0,IF(AND(OR('Visual SPC'!$C$4="",'Data Entry'!$C6918&gt;='Visual SPC'!$C$4),OR('Visual SPC'!$E$4="",'Data Entry'!$C6918&lt;='Visual SPC'!$E$4),OR('Visual SPC'!$G$4="",'Data Entry'!$D6918='Visual SPC'!$G$4),OR('Visual SPC'!$I$4="",'Data Entry'!$E6918='Visual SPC'!$I$4),OR('Visual SPC'!$K$4="",'Data Entry'!$F6918='Visual SPC'!$K$4)),1,0))</f>
        <v/>
      </c>
      <c r="C6918">
        <f>C6917+B6918</f>
        <v/>
      </c>
      <c r="D6918">
        <f>IF(B6918=1,INDEX('Data Entry'!$H$5:$BE$10004,6918-4,'Visual SPC'!$B$3),"")</f>
        <v/>
      </c>
      <c r="E6918">
        <f>IF(B6918=1,D6918,E6917)</f>
        <v/>
      </c>
      <c r="F6918">
        <f>IF(AND(B6918=1,C6918&gt;1,E6917&lt;&gt;""),ABS(D6918-E6917),"")</f>
        <v/>
      </c>
    </row>
    <row r="6919">
      <c r="A6919" t="n">
        <v>6919</v>
      </c>
      <c r="B6919">
        <f>IF(INDEX('Data Entry'!$H$5:$BE$10004,6919-4,'Visual SPC'!$B$3)="",0,IF(AND(OR('Visual SPC'!$C$4="",'Data Entry'!$C6919&gt;='Visual SPC'!$C$4),OR('Visual SPC'!$E$4="",'Data Entry'!$C6919&lt;='Visual SPC'!$E$4),OR('Visual SPC'!$G$4="",'Data Entry'!$D6919='Visual SPC'!$G$4),OR('Visual SPC'!$I$4="",'Data Entry'!$E6919='Visual SPC'!$I$4),OR('Visual SPC'!$K$4="",'Data Entry'!$F6919='Visual SPC'!$K$4)),1,0))</f>
        <v/>
      </c>
      <c r="C6919">
        <f>C6918+B6919</f>
        <v/>
      </c>
      <c r="D6919">
        <f>IF(B6919=1,INDEX('Data Entry'!$H$5:$BE$10004,6919-4,'Visual SPC'!$B$3),"")</f>
        <v/>
      </c>
      <c r="E6919">
        <f>IF(B6919=1,D6919,E6918)</f>
        <v/>
      </c>
      <c r="F6919">
        <f>IF(AND(B6919=1,C6919&gt;1,E6918&lt;&gt;""),ABS(D6919-E6918),"")</f>
        <v/>
      </c>
    </row>
    <row r="6920">
      <c r="A6920" t="n">
        <v>6920</v>
      </c>
      <c r="B6920">
        <f>IF(INDEX('Data Entry'!$H$5:$BE$10004,6920-4,'Visual SPC'!$B$3)="",0,IF(AND(OR('Visual SPC'!$C$4="",'Data Entry'!$C6920&gt;='Visual SPC'!$C$4),OR('Visual SPC'!$E$4="",'Data Entry'!$C6920&lt;='Visual SPC'!$E$4),OR('Visual SPC'!$G$4="",'Data Entry'!$D6920='Visual SPC'!$G$4),OR('Visual SPC'!$I$4="",'Data Entry'!$E6920='Visual SPC'!$I$4),OR('Visual SPC'!$K$4="",'Data Entry'!$F6920='Visual SPC'!$K$4)),1,0))</f>
        <v/>
      </c>
      <c r="C6920">
        <f>C6919+B6920</f>
        <v/>
      </c>
      <c r="D6920">
        <f>IF(B6920=1,INDEX('Data Entry'!$H$5:$BE$10004,6920-4,'Visual SPC'!$B$3),"")</f>
        <v/>
      </c>
      <c r="E6920">
        <f>IF(B6920=1,D6920,E6919)</f>
        <v/>
      </c>
      <c r="F6920">
        <f>IF(AND(B6920=1,C6920&gt;1,E6919&lt;&gt;""),ABS(D6920-E6919),"")</f>
        <v/>
      </c>
    </row>
    <row r="6921">
      <c r="A6921" t="n">
        <v>6921</v>
      </c>
      <c r="B6921">
        <f>IF(INDEX('Data Entry'!$H$5:$BE$10004,6921-4,'Visual SPC'!$B$3)="",0,IF(AND(OR('Visual SPC'!$C$4="",'Data Entry'!$C6921&gt;='Visual SPC'!$C$4),OR('Visual SPC'!$E$4="",'Data Entry'!$C6921&lt;='Visual SPC'!$E$4),OR('Visual SPC'!$G$4="",'Data Entry'!$D6921='Visual SPC'!$G$4),OR('Visual SPC'!$I$4="",'Data Entry'!$E6921='Visual SPC'!$I$4),OR('Visual SPC'!$K$4="",'Data Entry'!$F6921='Visual SPC'!$K$4)),1,0))</f>
        <v/>
      </c>
      <c r="C6921">
        <f>C6920+B6921</f>
        <v/>
      </c>
      <c r="D6921">
        <f>IF(B6921=1,INDEX('Data Entry'!$H$5:$BE$10004,6921-4,'Visual SPC'!$B$3),"")</f>
        <v/>
      </c>
      <c r="E6921">
        <f>IF(B6921=1,D6921,E6920)</f>
        <v/>
      </c>
      <c r="F6921">
        <f>IF(AND(B6921=1,C6921&gt;1,E6920&lt;&gt;""),ABS(D6921-E6920),"")</f>
        <v/>
      </c>
    </row>
    <row r="6922">
      <c r="A6922" t="n">
        <v>6922</v>
      </c>
      <c r="B6922">
        <f>IF(INDEX('Data Entry'!$H$5:$BE$10004,6922-4,'Visual SPC'!$B$3)="",0,IF(AND(OR('Visual SPC'!$C$4="",'Data Entry'!$C6922&gt;='Visual SPC'!$C$4),OR('Visual SPC'!$E$4="",'Data Entry'!$C6922&lt;='Visual SPC'!$E$4),OR('Visual SPC'!$G$4="",'Data Entry'!$D6922='Visual SPC'!$G$4),OR('Visual SPC'!$I$4="",'Data Entry'!$E6922='Visual SPC'!$I$4),OR('Visual SPC'!$K$4="",'Data Entry'!$F6922='Visual SPC'!$K$4)),1,0))</f>
        <v/>
      </c>
      <c r="C6922">
        <f>C6921+B6922</f>
        <v/>
      </c>
      <c r="D6922">
        <f>IF(B6922=1,INDEX('Data Entry'!$H$5:$BE$10004,6922-4,'Visual SPC'!$B$3),"")</f>
        <v/>
      </c>
      <c r="E6922">
        <f>IF(B6922=1,D6922,E6921)</f>
        <v/>
      </c>
      <c r="F6922">
        <f>IF(AND(B6922=1,C6922&gt;1,E6921&lt;&gt;""),ABS(D6922-E6921),"")</f>
        <v/>
      </c>
    </row>
    <row r="6923">
      <c r="A6923" t="n">
        <v>6923</v>
      </c>
      <c r="B6923">
        <f>IF(INDEX('Data Entry'!$H$5:$BE$10004,6923-4,'Visual SPC'!$B$3)="",0,IF(AND(OR('Visual SPC'!$C$4="",'Data Entry'!$C6923&gt;='Visual SPC'!$C$4),OR('Visual SPC'!$E$4="",'Data Entry'!$C6923&lt;='Visual SPC'!$E$4),OR('Visual SPC'!$G$4="",'Data Entry'!$D6923='Visual SPC'!$G$4),OR('Visual SPC'!$I$4="",'Data Entry'!$E6923='Visual SPC'!$I$4),OR('Visual SPC'!$K$4="",'Data Entry'!$F6923='Visual SPC'!$K$4)),1,0))</f>
        <v/>
      </c>
      <c r="C6923">
        <f>C6922+B6923</f>
        <v/>
      </c>
      <c r="D6923">
        <f>IF(B6923=1,INDEX('Data Entry'!$H$5:$BE$10004,6923-4,'Visual SPC'!$B$3),"")</f>
        <v/>
      </c>
      <c r="E6923">
        <f>IF(B6923=1,D6923,E6922)</f>
        <v/>
      </c>
      <c r="F6923">
        <f>IF(AND(B6923=1,C6923&gt;1,E6922&lt;&gt;""),ABS(D6923-E6922),"")</f>
        <v/>
      </c>
    </row>
    <row r="6924">
      <c r="A6924" t="n">
        <v>6924</v>
      </c>
      <c r="B6924">
        <f>IF(INDEX('Data Entry'!$H$5:$BE$10004,6924-4,'Visual SPC'!$B$3)="",0,IF(AND(OR('Visual SPC'!$C$4="",'Data Entry'!$C6924&gt;='Visual SPC'!$C$4),OR('Visual SPC'!$E$4="",'Data Entry'!$C6924&lt;='Visual SPC'!$E$4),OR('Visual SPC'!$G$4="",'Data Entry'!$D6924='Visual SPC'!$G$4),OR('Visual SPC'!$I$4="",'Data Entry'!$E6924='Visual SPC'!$I$4),OR('Visual SPC'!$K$4="",'Data Entry'!$F6924='Visual SPC'!$K$4)),1,0))</f>
        <v/>
      </c>
      <c r="C6924">
        <f>C6923+B6924</f>
        <v/>
      </c>
      <c r="D6924">
        <f>IF(B6924=1,INDEX('Data Entry'!$H$5:$BE$10004,6924-4,'Visual SPC'!$B$3),"")</f>
        <v/>
      </c>
      <c r="E6924">
        <f>IF(B6924=1,D6924,E6923)</f>
        <v/>
      </c>
      <c r="F6924">
        <f>IF(AND(B6924=1,C6924&gt;1,E6923&lt;&gt;""),ABS(D6924-E6923),"")</f>
        <v/>
      </c>
    </row>
    <row r="6925">
      <c r="A6925" t="n">
        <v>6925</v>
      </c>
      <c r="B6925">
        <f>IF(INDEX('Data Entry'!$H$5:$BE$10004,6925-4,'Visual SPC'!$B$3)="",0,IF(AND(OR('Visual SPC'!$C$4="",'Data Entry'!$C6925&gt;='Visual SPC'!$C$4),OR('Visual SPC'!$E$4="",'Data Entry'!$C6925&lt;='Visual SPC'!$E$4),OR('Visual SPC'!$G$4="",'Data Entry'!$D6925='Visual SPC'!$G$4),OR('Visual SPC'!$I$4="",'Data Entry'!$E6925='Visual SPC'!$I$4),OR('Visual SPC'!$K$4="",'Data Entry'!$F6925='Visual SPC'!$K$4)),1,0))</f>
        <v/>
      </c>
      <c r="C6925">
        <f>C6924+B6925</f>
        <v/>
      </c>
      <c r="D6925">
        <f>IF(B6925=1,INDEX('Data Entry'!$H$5:$BE$10004,6925-4,'Visual SPC'!$B$3),"")</f>
        <v/>
      </c>
      <c r="E6925">
        <f>IF(B6925=1,D6925,E6924)</f>
        <v/>
      </c>
      <c r="F6925">
        <f>IF(AND(B6925=1,C6925&gt;1,E6924&lt;&gt;""),ABS(D6925-E6924),"")</f>
        <v/>
      </c>
    </row>
    <row r="6926">
      <c r="A6926" t="n">
        <v>6926</v>
      </c>
      <c r="B6926">
        <f>IF(INDEX('Data Entry'!$H$5:$BE$10004,6926-4,'Visual SPC'!$B$3)="",0,IF(AND(OR('Visual SPC'!$C$4="",'Data Entry'!$C6926&gt;='Visual SPC'!$C$4),OR('Visual SPC'!$E$4="",'Data Entry'!$C6926&lt;='Visual SPC'!$E$4),OR('Visual SPC'!$G$4="",'Data Entry'!$D6926='Visual SPC'!$G$4),OR('Visual SPC'!$I$4="",'Data Entry'!$E6926='Visual SPC'!$I$4),OR('Visual SPC'!$K$4="",'Data Entry'!$F6926='Visual SPC'!$K$4)),1,0))</f>
        <v/>
      </c>
      <c r="C6926">
        <f>C6925+B6926</f>
        <v/>
      </c>
      <c r="D6926">
        <f>IF(B6926=1,INDEX('Data Entry'!$H$5:$BE$10004,6926-4,'Visual SPC'!$B$3),"")</f>
        <v/>
      </c>
      <c r="E6926">
        <f>IF(B6926=1,D6926,E6925)</f>
        <v/>
      </c>
      <c r="F6926">
        <f>IF(AND(B6926=1,C6926&gt;1,E6925&lt;&gt;""),ABS(D6926-E6925),"")</f>
        <v/>
      </c>
    </row>
    <row r="6927">
      <c r="A6927" t="n">
        <v>6927</v>
      </c>
      <c r="B6927">
        <f>IF(INDEX('Data Entry'!$H$5:$BE$10004,6927-4,'Visual SPC'!$B$3)="",0,IF(AND(OR('Visual SPC'!$C$4="",'Data Entry'!$C6927&gt;='Visual SPC'!$C$4),OR('Visual SPC'!$E$4="",'Data Entry'!$C6927&lt;='Visual SPC'!$E$4),OR('Visual SPC'!$G$4="",'Data Entry'!$D6927='Visual SPC'!$G$4),OR('Visual SPC'!$I$4="",'Data Entry'!$E6927='Visual SPC'!$I$4),OR('Visual SPC'!$K$4="",'Data Entry'!$F6927='Visual SPC'!$K$4)),1,0))</f>
        <v/>
      </c>
      <c r="C6927">
        <f>C6926+B6927</f>
        <v/>
      </c>
      <c r="D6927">
        <f>IF(B6927=1,INDEX('Data Entry'!$H$5:$BE$10004,6927-4,'Visual SPC'!$B$3),"")</f>
        <v/>
      </c>
      <c r="E6927">
        <f>IF(B6927=1,D6927,E6926)</f>
        <v/>
      </c>
      <c r="F6927">
        <f>IF(AND(B6927=1,C6927&gt;1,E6926&lt;&gt;""),ABS(D6927-E6926),"")</f>
        <v/>
      </c>
    </row>
    <row r="6928">
      <c r="A6928" t="n">
        <v>6928</v>
      </c>
      <c r="B6928">
        <f>IF(INDEX('Data Entry'!$H$5:$BE$10004,6928-4,'Visual SPC'!$B$3)="",0,IF(AND(OR('Visual SPC'!$C$4="",'Data Entry'!$C6928&gt;='Visual SPC'!$C$4),OR('Visual SPC'!$E$4="",'Data Entry'!$C6928&lt;='Visual SPC'!$E$4),OR('Visual SPC'!$G$4="",'Data Entry'!$D6928='Visual SPC'!$G$4),OR('Visual SPC'!$I$4="",'Data Entry'!$E6928='Visual SPC'!$I$4),OR('Visual SPC'!$K$4="",'Data Entry'!$F6928='Visual SPC'!$K$4)),1,0))</f>
        <v/>
      </c>
      <c r="C6928">
        <f>C6927+B6928</f>
        <v/>
      </c>
      <c r="D6928">
        <f>IF(B6928=1,INDEX('Data Entry'!$H$5:$BE$10004,6928-4,'Visual SPC'!$B$3),"")</f>
        <v/>
      </c>
      <c r="E6928">
        <f>IF(B6928=1,D6928,E6927)</f>
        <v/>
      </c>
      <c r="F6928">
        <f>IF(AND(B6928=1,C6928&gt;1,E6927&lt;&gt;""),ABS(D6928-E6927),"")</f>
        <v/>
      </c>
    </row>
    <row r="6929">
      <c r="A6929" t="n">
        <v>6929</v>
      </c>
      <c r="B6929">
        <f>IF(INDEX('Data Entry'!$H$5:$BE$10004,6929-4,'Visual SPC'!$B$3)="",0,IF(AND(OR('Visual SPC'!$C$4="",'Data Entry'!$C6929&gt;='Visual SPC'!$C$4),OR('Visual SPC'!$E$4="",'Data Entry'!$C6929&lt;='Visual SPC'!$E$4),OR('Visual SPC'!$G$4="",'Data Entry'!$D6929='Visual SPC'!$G$4),OR('Visual SPC'!$I$4="",'Data Entry'!$E6929='Visual SPC'!$I$4),OR('Visual SPC'!$K$4="",'Data Entry'!$F6929='Visual SPC'!$K$4)),1,0))</f>
        <v/>
      </c>
      <c r="C6929">
        <f>C6928+B6929</f>
        <v/>
      </c>
      <c r="D6929">
        <f>IF(B6929=1,INDEX('Data Entry'!$H$5:$BE$10004,6929-4,'Visual SPC'!$B$3),"")</f>
        <v/>
      </c>
      <c r="E6929">
        <f>IF(B6929=1,D6929,E6928)</f>
        <v/>
      </c>
      <c r="F6929">
        <f>IF(AND(B6929=1,C6929&gt;1,E6928&lt;&gt;""),ABS(D6929-E6928),"")</f>
        <v/>
      </c>
    </row>
    <row r="6930">
      <c r="A6930" t="n">
        <v>6930</v>
      </c>
      <c r="B6930">
        <f>IF(INDEX('Data Entry'!$H$5:$BE$10004,6930-4,'Visual SPC'!$B$3)="",0,IF(AND(OR('Visual SPC'!$C$4="",'Data Entry'!$C6930&gt;='Visual SPC'!$C$4),OR('Visual SPC'!$E$4="",'Data Entry'!$C6930&lt;='Visual SPC'!$E$4),OR('Visual SPC'!$G$4="",'Data Entry'!$D6930='Visual SPC'!$G$4),OR('Visual SPC'!$I$4="",'Data Entry'!$E6930='Visual SPC'!$I$4),OR('Visual SPC'!$K$4="",'Data Entry'!$F6930='Visual SPC'!$K$4)),1,0))</f>
        <v/>
      </c>
      <c r="C6930">
        <f>C6929+B6930</f>
        <v/>
      </c>
      <c r="D6930">
        <f>IF(B6930=1,INDEX('Data Entry'!$H$5:$BE$10004,6930-4,'Visual SPC'!$B$3),"")</f>
        <v/>
      </c>
      <c r="E6930">
        <f>IF(B6930=1,D6930,E6929)</f>
        <v/>
      </c>
      <c r="F6930">
        <f>IF(AND(B6930=1,C6930&gt;1,E6929&lt;&gt;""),ABS(D6930-E6929),"")</f>
        <v/>
      </c>
    </row>
    <row r="6931">
      <c r="A6931" t="n">
        <v>6931</v>
      </c>
      <c r="B6931">
        <f>IF(INDEX('Data Entry'!$H$5:$BE$10004,6931-4,'Visual SPC'!$B$3)="",0,IF(AND(OR('Visual SPC'!$C$4="",'Data Entry'!$C6931&gt;='Visual SPC'!$C$4),OR('Visual SPC'!$E$4="",'Data Entry'!$C6931&lt;='Visual SPC'!$E$4),OR('Visual SPC'!$G$4="",'Data Entry'!$D6931='Visual SPC'!$G$4),OR('Visual SPC'!$I$4="",'Data Entry'!$E6931='Visual SPC'!$I$4),OR('Visual SPC'!$K$4="",'Data Entry'!$F6931='Visual SPC'!$K$4)),1,0))</f>
        <v/>
      </c>
      <c r="C6931">
        <f>C6930+B6931</f>
        <v/>
      </c>
      <c r="D6931">
        <f>IF(B6931=1,INDEX('Data Entry'!$H$5:$BE$10004,6931-4,'Visual SPC'!$B$3),"")</f>
        <v/>
      </c>
      <c r="E6931">
        <f>IF(B6931=1,D6931,E6930)</f>
        <v/>
      </c>
      <c r="F6931">
        <f>IF(AND(B6931=1,C6931&gt;1,E6930&lt;&gt;""),ABS(D6931-E6930),"")</f>
        <v/>
      </c>
    </row>
    <row r="6932">
      <c r="A6932" t="n">
        <v>6932</v>
      </c>
      <c r="B6932">
        <f>IF(INDEX('Data Entry'!$H$5:$BE$10004,6932-4,'Visual SPC'!$B$3)="",0,IF(AND(OR('Visual SPC'!$C$4="",'Data Entry'!$C6932&gt;='Visual SPC'!$C$4),OR('Visual SPC'!$E$4="",'Data Entry'!$C6932&lt;='Visual SPC'!$E$4),OR('Visual SPC'!$G$4="",'Data Entry'!$D6932='Visual SPC'!$G$4),OR('Visual SPC'!$I$4="",'Data Entry'!$E6932='Visual SPC'!$I$4),OR('Visual SPC'!$K$4="",'Data Entry'!$F6932='Visual SPC'!$K$4)),1,0))</f>
        <v/>
      </c>
      <c r="C6932">
        <f>C6931+B6932</f>
        <v/>
      </c>
      <c r="D6932">
        <f>IF(B6932=1,INDEX('Data Entry'!$H$5:$BE$10004,6932-4,'Visual SPC'!$B$3),"")</f>
        <v/>
      </c>
      <c r="E6932">
        <f>IF(B6932=1,D6932,E6931)</f>
        <v/>
      </c>
      <c r="F6932">
        <f>IF(AND(B6932=1,C6932&gt;1,E6931&lt;&gt;""),ABS(D6932-E6931),"")</f>
        <v/>
      </c>
    </row>
    <row r="6933">
      <c r="A6933" t="n">
        <v>6933</v>
      </c>
      <c r="B6933">
        <f>IF(INDEX('Data Entry'!$H$5:$BE$10004,6933-4,'Visual SPC'!$B$3)="",0,IF(AND(OR('Visual SPC'!$C$4="",'Data Entry'!$C6933&gt;='Visual SPC'!$C$4),OR('Visual SPC'!$E$4="",'Data Entry'!$C6933&lt;='Visual SPC'!$E$4),OR('Visual SPC'!$G$4="",'Data Entry'!$D6933='Visual SPC'!$G$4),OR('Visual SPC'!$I$4="",'Data Entry'!$E6933='Visual SPC'!$I$4),OR('Visual SPC'!$K$4="",'Data Entry'!$F6933='Visual SPC'!$K$4)),1,0))</f>
        <v/>
      </c>
      <c r="C6933">
        <f>C6932+B6933</f>
        <v/>
      </c>
      <c r="D6933">
        <f>IF(B6933=1,INDEX('Data Entry'!$H$5:$BE$10004,6933-4,'Visual SPC'!$B$3),"")</f>
        <v/>
      </c>
      <c r="E6933">
        <f>IF(B6933=1,D6933,E6932)</f>
        <v/>
      </c>
      <c r="F6933">
        <f>IF(AND(B6933=1,C6933&gt;1,E6932&lt;&gt;""),ABS(D6933-E6932),"")</f>
        <v/>
      </c>
    </row>
    <row r="6934">
      <c r="A6934" t="n">
        <v>6934</v>
      </c>
      <c r="B6934">
        <f>IF(INDEX('Data Entry'!$H$5:$BE$10004,6934-4,'Visual SPC'!$B$3)="",0,IF(AND(OR('Visual SPC'!$C$4="",'Data Entry'!$C6934&gt;='Visual SPC'!$C$4),OR('Visual SPC'!$E$4="",'Data Entry'!$C6934&lt;='Visual SPC'!$E$4),OR('Visual SPC'!$G$4="",'Data Entry'!$D6934='Visual SPC'!$G$4),OR('Visual SPC'!$I$4="",'Data Entry'!$E6934='Visual SPC'!$I$4),OR('Visual SPC'!$K$4="",'Data Entry'!$F6934='Visual SPC'!$K$4)),1,0))</f>
        <v/>
      </c>
      <c r="C6934">
        <f>C6933+B6934</f>
        <v/>
      </c>
      <c r="D6934">
        <f>IF(B6934=1,INDEX('Data Entry'!$H$5:$BE$10004,6934-4,'Visual SPC'!$B$3),"")</f>
        <v/>
      </c>
      <c r="E6934">
        <f>IF(B6934=1,D6934,E6933)</f>
        <v/>
      </c>
      <c r="F6934">
        <f>IF(AND(B6934=1,C6934&gt;1,E6933&lt;&gt;""),ABS(D6934-E6933),"")</f>
        <v/>
      </c>
    </row>
    <row r="6935">
      <c r="A6935" t="n">
        <v>6935</v>
      </c>
      <c r="B6935">
        <f>IF(INDEX('Data Entry'!$H$5:$BE$10004,6935-4,'Visual SPC'!$B$3)="",0,IF(AND(OR('Visual SPC'!$C$4="",'Data Entry'!$C6935&gt;='Visual SPC'!$C$4),OR('Visual SPC'!$E$4="",'Data Entry'!$C6935&lt;='Visual SPC'!$E$4),OR('Visual SPC'!$G$4="",'Data Entry'!$D6935='Visual SPC'!$G$4),OR('Visual SPC'!$I$4="",'Data Entry'!$E6935='Visual SPC'!$I$4),OR('Visual SPC'!$K$4="",'Data Entry'!$F6935='Visual SPC'!$K$4)),1,0))</f>
        <v/>
      </c>
      <c r="C6935">
        <f>C6934+B6935</f>
        <v/>
      </c>
      <c r="D6935">
        <f>IF(B6935=1,INDEX('Data Entry'!$H$5:$BE$10004,6935-4,'Visual SPC'!$B$3),"")</f>
        <v/>
      </c>
      <c r="E6935">
        <f>IF(B6935=1,D6935,E6934)</f>
        <v/>
      </c>
      <c r="F6935">
        <f>IF(AND(B6935=1,C6935&gt;1,E6934&lt;&gt;""),ABS(D6935-E6934),"")</f>
        <v/>
      </c>
    </row>
    <row r="6936">
      <c r="A6936" t="n">
        <v>6936</v>
      </c>
      <c r="B6936">
        <f>IF(INDEX('Data Entry'!$H$5:$BE$10004,6936-4,'Visual SPC'!$B$3)="",0,IF(AND(OR('Visual SPC'!$C$4="",'Data Entry'!$C6936&gt;='Visual SPC'!$C$4),OR('Visual SPC'!$E$4="",'Data Entry'!$C6936&lt;='Visual SPC'!$E$4),OR('Visual SPC'!$G$4="",'Data Entry'!$D6936='Visual SPC'!$G$4),OR('Visual SPC'!$I$4="",'Data Entry'!$E6936='Visual SPC'!$I$4),OR('Visual SPC'!$K$4="",'Data Entry'!$F6936='Visual SPC'!$K$4)),1,0))</f>
        <v/>
      </c>
      <c r="C6936">
        <f>C6935+B6936</f>
        <v/>
      </c>
      <c r="D6936">
        <f>IF(B6936=1,INDEX('Data Entry'!$H$5:$BE$10004,6936-4,'Visual SPC'!$B$3),"")</f>
        <v/>
      </c>
      <c r="E6936">
        <f>IF(B6936=1,D6936,E6935)</f>
        <v/>
      </c>
      <c r="F6936">
        <f>IF(AND(B6936=1,C6936&gt;1,E6935&lt;&gt;""),ABS(D6936-E6935),"")</f>
        <v/>
      </c>
    </row>
    <row r="6937">
      <c r="A6937" t="n">
        <v>6937</v>
      </c>
      <c r="B6937">
        <f>IF(INDEX('Data Entry'!$H$5:$BE$10004,6937-4,'Visual SPC'!$B$3)="",0,IF(AND(OR('Visual SPC'!$C$4="",'Data Entry'!$C6937&gt;='Visual SPC'!$C$4),OR('Visual SPC'!$E$4="",'Data Entry'!$C6937&lt;='Visual SPC'!$E$4),OR('Visual SPC'!$G$4="",'Data Entry'!$D6937='Visual SPC'!$G$4),OR('Visual SPC'!$I$4="",'Data Entry'!$E6937='Visual SPC'!$I$4),OR('Visual SPC'!$K$4="",'Data Entry'!$F6937='Visual SPC'!$K$4)),1,0))</f>
        <v/>
      </c>
      <c r="C6937">
        <f>C6936+B6937</f>
        <v/>
      </c>
      <c r="D6937">
        <f>IF(B6937=1,INDEX('Data Entry'!$H$5:$BE$10004,6937-4,'Visual SPC'!$B$3),"")</f>
        <v/>
      </c>
      <c r="E6937">
        <f>IF(B6937=1,D6937,E6936)</f>
        <v/>
      </c>
      <c r="F6937">
        <f>IF(AND(B6937=1,C6937&gt;1,E6936&lt;&gt;""),ABS(D6937-E6936),"")</f>
        <v/>
      </c>
    </row>
    <row r="6938">
      <c r="A6938" t="n">
        <v>6938</v>
      </c>
      <c r="B6938">
        <f>IF(INDEX('Data Entry'!$H$5:$BE$10004,6938-4,'Visual SPC'!$B$3)="",0,IF(AND(OR('Visual SPC'!$C$4="",'Data Entry'!$C6938&gt;='Visual SPC'!$C$4),OR('Visual SPC'!$E$4="",'Data Entry'!$C6938&lt;='Visual SPC'!$E$4),OR('Visual SPC'!$G$4="",'Data Entry'!$D6938='Visual SPC'!$G$4),OR('Visual SPC'!$I$4="",'Data Entry'!$E6938='Visual SPC'!$I$4),OR('Visual SPC'!$K$4="",'Data Entry'!$F6938='Visual SPC'!$K$4)),1,0))</f>
        <v/>
      </c>
      <c r="C6938">
        <f>C6937+B6938</f>
        <v/>
      </c>
      <c r="D6938">
        <f>IF(B6938=1,INDEX('Data Entry'!$H$5:$BE$10004,6938-4,'Visual SPC'!$B$3),"")</f>
        <v/>
      </c>
      <c r="E6938">
        <f>IF(B6938=1,D6938,E6937)</f>
        <v/>
      </c>
      <c r="F6938">
        <f>IF(AND(B6938=1,C6938&gt;1,E6937&lt;&gt;""),ABS(D6938-E6937),"")</f>
        <v/>
      </c>
    </row>
    <row r="6939">
      <c r="A6939" t="n">
        <v>6939</v>
      </c>
      <c r="B6939">
        <f>IF(INDEX('Data Entry'!$H$5:$BE$10004,6939-4,'Visual SPC'!$B$3)="",0,IF(AND(OR('Visual SPC'!$C$4="",'Data Entry'!$C6939&gt;='Visual SPC'!$C$4),OR('Visual SPC'!$E$4="",'Data Entry'!$C6939&lt;='Visual SPC'!$E$4),OR('Visual SPC'!$G$4="",'Data Entry'!$D6939='Visual SPC'!$G$4),OR('Visual SPC'!$I$4="",'Data Entry'!$E6939='Visual SPC'!$I$4),OR('Visual SPC'!$K$4="",'Data Entry'!$F6939='Visual SPC'!$K$4)),1,0))</f>
        <v/>
      </c>
      <c r="C6939">
        <f>C6938+B6939</f>
        <v/>
      </c>
      <c r="D6939">
        <f>IF(B6939=1,INDEX('Data Entry'!$H$5:$BE$10004,6939-4,'Visual SPC'!$B$3),"")</f>
        <v/>
      </c>
      <c r="E6939">
        <f>IF(B6939=1,D6939,E6938)</f>
        <v/>
      </c>
      <c r="F6939">
        <f>IF(AND(B6939=1,C6939&gt;1,E6938&lt;&gt;""),ABS(D6939-E6938),"")</f>
        <v/>
      </c>
    </row>
    <row r="6940">
      <c r="A6940" t="n">
        <v>6940</v>
      </c>
      <c r="B6940">
        <f>IF(INDEX('Data Entry'!$H$5:$BE$10004,6940-4,'Visual SPC'!$B$3)="",0,IF(AND(OR('Visual SPC'!$C$4="",'Data Entry'!$C6940&gt;='Visual SPC'!$C$4),OR('Visual SPC'!$E$4="",'Data Entry'!$C6940&lt;='Visual SPC'!$E$4),OR('Visual SPC'!$G$4="",'Data Entry'!$D6940='Visual SPC'!$G$4),OR('Visual SPC'!$I$4="",'Data Entry'!$E6940='Visual SPC'!$I$4),OR('Visual SPC'!$K$4="",'Data Entry'!$F6940='Visual SPC'!$K$4)),1,0))</f>
        <v/>
      </c>
      <c r="C6940">
        <f>C6939+B6940</f>
        <v/>
      </c>
      <c r="D6940">
        <f>IF(B6940=1,INDEX('Data Entry'!$H$5:$BE$10004,6940-4,'Visual SPC'!$B$3),"")</f>
        <v/>
      </c>
      <c r="E6940">
        <f>IF(B6940=1,D6940,E6939)</f>
        <v/>
      </c>
      <c r="F6940">
        <f>IF(AND(B6940=1,C6940&gt;1,E6939&lt;&gt;""),ABS(D6940-E6939),"")</f>
        <v/>
      </c>
    </row>
    <row r="6941">
      <c r="A6941" t="n">
        <v>6941</v>
      </c>
      <c r="B6941">
        <f>IF(INDEX('Data Entry'!$H$5:$BE$10004,6941-4,'Visual SPC'!$B$3)="",0,IF(AND(OR('Visual SPC'!$C$4="",'Data Entry'!$C6941&gt;='Visual SPC'!$C$4),OR('Visual SPC'!$E$4="",'Data Entry'!$C6941&lt;='Visual SPC'!$E$4),OR('Visual SPC'!$G$4="",'Data Entry'!$D6941='Visual SPC'!$G$4),OR('Visual SPC'!$I$4="",'Data Entry'!$E6941='Visual SPC'!$I$4),OR('Visual SPC'!$K$4="",'Data Entry'!$F6941='Visual SPC'!$K$4)),1,0))</f>
        <v/>
      </c>
      <c r="C6941">
        <f>C6940+B6941</f>
        <v/>
      </c>
      <c r="D6941">
        <f>IF(B6941=1,INDEX('Data Entry'!$H$5:$BE$10004,6941-4,'Visual SPC'!$B$3),"")</f>
        <v/>
      </c>
      <c r="E6941">
        <f>IF(B6941=1,D6941,E6940)</f>
        <v/>
      </c>
      <c r="F6941">
        <f>IF(AND(B6941=1,C6941&gt;1,E6940&lt;&gt;""),ABS(D6941-E6940),"")</f>
        <v/>
      </c>
    </row>
    <row r="6942">
      <c r="A6942" t="n">
        <v>6942</v>
      </c>
      <c r="B6942">
        <f>IF(INDEX('Data Entry'!$H$5:$BE$10004,6942-4,'Visual SPC'!$B$3)="",0,IF(AND(OR('Visual SPC'!$C$4="",'Data Entry'!$C6942&gt;='Visual SPC'!$C$4),OR('Visual SPC'!$E$4="",'Data Entry'!$C6942&lt;='Visual SPC'!$E$4),OR('Visual SPC'!$G$4="",'Data Entry'!$D6942='Visual SPC'!$G$4),OR('Visual SPC'!$I$4="",'Data Entry'!$E6942='Visual SPC'!$I$4),OR('Visual SPC'!$K$4="",'Data Entry'!$F6942='Visual SPC'!$K$4)),1,0))</f>
        <v/>
      </c>
      <c r="C6942">
        <f>C6941+B6942</f>
        <v/>
      </c>
      <c r="D6942">
        <f>IF(B6942=1,INDEX('Data Entry'!$H$5:$BE$10004,6942-4,'Visual SPC'!$B$3),"")</f>
        <v/>
      </c>
      <c r="E6942">
        <f>IF(B6942=1,D6942,E6941)</f>
        <v/>
      </c>
      <c r="F6942">
        <f>IF(AND(B6942=1,C6942&gt;1,E6941&lt;&gt;""),ABS(D6942-E6941),"")</f>
        <v/>
      </c>
    </row>
    <row r="6943">
      <c r="A6943" t="n">
        <v>6943</v>
      </c>
      <c r="B6943">
        <f>IF(INDEX('Data Entry'!$H$5:$BE$10004,6943-4,'Visual SPC'!$B$3)="",0,IF(AND(OR('Visual SPC'!$C$4="",'Data Entry'!$C6943&gt;='Visual SPC'!$C$4),OR('Visual SPC'!$E$4="",'Data Entry'!$C6943&lt;='Visual SPC'!$E$4),OR('Visual SPC'!$G$4="",'Data Entry'!$D6943='Visual SPC'!$G$4),OR('Visual SPC'!$I$4="",'Data Entry'!$E6943='Visual SPC'!$I$4),OR('Visual SPC'!$K$4="",'Data Entry'!$F6943='Visual SPC'!$K$4)),1,0))</f>
        <v/>
      </c>
      <c r="C6943">
        <f>C6942+B6943</f>
        <v/>
      </c>
      <c r="D6943">
        <f>IF(B6943=1,INDEX('Data Entry'!$H$5:$BE$10004,6943-4,'Visual SPC'!$B$3),"")</f>
        <v/>
      </c>
      <c r="E6943">
        <f>IF(B6943=1,D6943,E6942)</f>
        <v/>
      </c>
      <c r="F6943">
        <f>IF(AND(B6943=1,C6943&gt;1,E6942&lt;&gt;""),ABS(D6943-E6942),"")</f>
        <v/>
      </c>
    </row>
    <row r="6944">
      <c r="A6944" t="n">
        <v>6944</v>
      </c>
      <c r="B6944">
        <f>IF(INDEX('Data Entry'!$H$5:$BE$10004,6944-4,'Visual SPC'!$B$3)="",0,IF(AND(OR('Visual SPC'!$C$4="",'Data Entry'!$C6944&gt;='Visual SPC'!$C$4),OR('Visual SPC'!$E$4="",'Data Entry'!$C6944&lt;='Visual SPC'!$E$4),OR('Visual SPC'!$G$4="",'Data Entry'!$D6944='Visual SPC'!$G$4),OR('Visual SPC'!$I$4="",'Data Entry'!$E6944='Visual SPC'!$I$4),OR('Visual SPC'!$K$4="",'Data Entry'!$F6944='Visual SPC'!$K$4)),1,0))</f>
        <v/>
      </c>
      <c r="C6944">
        <f>C6943+B6944</f>
        <v/>
      </c>
      <c r="D6944">
        <f>IF(B6944=1,INDEX('Data Entry'!$H$5:$BE$10004,6944-4,'Visual SPC'!$B$3),"")</f>
        <v/>
      </c>
      <c r="E6944">
        <f>IF(B6944=1,D6944,E6943)</f>
        <v/>
      </c>
      <c r="F6944">
        <f>IF(AND(B6944=1,C6944&gt;1,E6943&lt;&gt;""),ABS(D6944-E6943),"")</f>
        <v/>
      </c>
    </row>
    <row r="6945">
      <c r="A6945" t="n">
        <v>6945</v>
      </c>
      <c r="B6945">
        <f>IF(INDEX('Data Entry'!$H$5:$BE$10004,6945-4,'Visual SPC'!$B$3)="",0,IF(AND(OR('Visual SPC'!$C$4="",'Data Entry'!$C6945&gt;='Visual SPC'!$C$4),OR('Visual SPC'!$E$4="",'Data Entry'!$C6945&lt;='Visual SPC'!$E$4),OR('Visual SPC'!$G$4="",'Data Entry'!$D6945='Visual SPC'!$G$4),OR('Visual SPC'!$I$4="",'Data Entry'!$E6945='Visual SPC'!$I$4),OR('Visual SPC'!$K$4="",'Data Entry'!$F6945='Visual SPC'!$K$4)),1,0))</f>
        <v/>
      </c>
      <c r="C6945">
        <f>C6944+B6945</f>
        <v/>
      </c>
      <c r="D6945">
        <f>IF(B6945=1,INDEX('Data Entry'!$H$5:$BE$10004,6945-4,'Visual SPC'!$B$3),"")</f>
        <v/>
      </c>
      <c r="E6945">
        <f>IF(B6945=1,D6945,E6944)</f>
        <v/>
      </c>
      <c r="F6945">
        <f>IF(AND(B6945=1,C6945&gt;1,E6944&lt;&gt;""),ABS(D6945-E6944),"")</f>
        <v/>
      </c>
    </row>
    <row r="6946">
      <c r="A6946" t="n">
        <v>6946</v>
      </c>
      <c r="B6946">
        <f>IF(INDEX('Data Entry'!$H$5:$BE$10004,6946-4,'Visual SPC'!$B$3)="",0,IF(AND(OR('Visual SPC'!$C$4="",'Data Entry'!$C6946&gt;='Visual SPC'!$C$4),OR('Visual SPC'!$E$4="",'Data Entry'!$C6946&lt;='Visual SPC'!$E$4),OR('Visual SPC'!$G$4="",'Data Entry'!$D6946='Visual SPC'!$G$4),OR('Visual SPC'!$I$4="",'Data Entry'!$E6946='Visual SPC'!$I$4),OR('Visual SPC'!$K$4="",'Data Entry'!$F6946='Visual SPC'!$K$4)),1,0))</f>
        <v/>
      </c>
      <c r="C6946">
        <f>C6945+B6946</f>
        <v/>
      </c>
      <c r="D6946">
        <f>IF(B6946=1,INDEX('Data Entry'!$H$5:$BE$10004,6946-4,'Visual SPC'!$B$3),"")</f>
        <v/>
      </c>
      <c r="E6946">
        <f>IF(B6946=1,D6946,E6945)</f>
        <v/>
      </c>
      <c r="F6946">
        <f>IF(AND(B6946=1,C6946&gt;1,E6945&lt;&gt;""),ABS(D6946-E6945),"")</f>
        <v/>
      </c>
    </row>
    <row r="6947">
      <c r="A6947" t="n">
        <v>6947</v>
      </c>
      <c r="B6947">
        <f>IF(INDEX('Data Entry'!$H$5:$BE$10004,6947-4,'Visual SPC'!$B$3)="",0,IF(AND(OR('Visual SPC'!$C$4="",'Data Entry'!$C6947&gt;='Visual SPC'!$C$4),OR('Visual SPC'!$E$4="",'Data Entry'!$C6947&lt;='Visual SPC'!$E$4),OR('Visual SPC'!$G$4="",'Data Entry'!$D6947='Visual SPC'!$G$4),OR('Visual SPC'!$I$4="",'Data Entry'!$E6947='Visual SPC'!$I$4),OR('Visual SPC'!$K$4="",'Data Entry'!$F6947='Visual SPC'!$K$4)),1,0))</f>
        <v/>
      </c>
      <c r="C6947">
        <f>C6946+B6947</f>
        <v/>
      </c>
      <c r="D6947">
        <f>IF(B6947=1,INDEX('Data Entry'!$H$5:$BE$10004,6947-4,'Visual SPC'!$B$3),"")</f>
        <v/>
      </c>
      <c r="E6947">
        <f>IF(B6947=1,D6947,E6946)</f>
        <v/>
      </c>
      <c r="F6947">
        <f>IF(AND(B6947=1,C6947&gt;1,E6946&lt;&gt;""),ABS(D6947-E6946),"")</f>
        <v/>
      </c>
    </row>
    <row r="6948">
      <c r="A6948" t="n">
        <v>6948</v>
      </c>
      <c r="B6948">
        <f>IF(INDEX('Data Entry'!$H$5:$BE$10004,6948-4,'Visual SPC'!$B$3)="",0,IF(AND(OR('Visual SPC'!$C$4="",'Data Entry'!$C6948&gt;='Visual SPC'!$C$4),OR('Visual SPC'!$E$4="",'Data Entry'!$C6948&lt;='Visual SPC'!$E$4),OR('Visual SPC'!$G$4="",'Data Entry'!$D6948='Visual SPC'!$G$4),OR('Visual SPC'!$I$4="",'Data Entry'!$E6948='Visual SPC'!$I$4),OR('Visual SPC'!$K$4="",'Data Entry'!$F6948='Visual SPC'!$K$4)),1,0))</f>
        <v/>
      </c>
      <c r="C6948">
        <f>C6947+B6948</f>
        <v/>
      </c>
      <c r="D6948">
        <f>IF(B6948=1,INDEX('Data Entry'!$H$5:$BE$10004,6948-4,'Visual SPC'!$B$3),"")</f>
        <v/>
      </c>
      <c r="E6948">
        <f>IF(B6948=1,D6948,E6947)</f>
        <v/>
      </c>
      <c r="F6948">
        <f>IF(AND(B6948=1,C6948&gt;1,E6947&lt;&gt;""),ABS(D6948-E6947),"")</f>
        <v/>
      </c>
    </row>
    <row r="6949">
      <c r="A6949" t="n">
        <v>6949</v>
      </c>
      <c r="B6949">
        <f>IF(INDEX('Data Entry'!$H$5:$BE$10004,6949-4,'Visual SPC'!$B$3)="",0,IF(AND(OR('Visual SPC'!$C$4="",'Data Entry'!$C6949&gt;='Visual SPC'!$C$4),OR('Visual SPC'!$E$4="",'Data Entry'!$C6949&lt;='Visual SPC'!$E$4),OR('Visual SPC'!$G$4="",'Data Entry'!$D6949='Visual SPC'!$G$4),OR('Visual SPC'!$I$4="",'Data Entry'!$E6949='Visual SPC'!$I$4),OR('Visual SPC'!$K$4="",'Data Entry'!$F6949='Visual SPC'!$K$4)),1,0))</f>
        <v/>
      </c>
      <c r="C6949">
        <f>C6948+B6949</f>
        <v/>
      </c>
      <c r="D6949">
        <f>IF(B6949=1,INDEX('Data Entry'!$H$5:$BE$10004,6949-4,'Visual SPC'!$B$3),"")</f>
        <v/>
      </c>
      <c r="E6949">
        <f>IF(B6949=1,D6949,E6948)</f>
        <v/>
      </c>
      <c r="F6949">
        <f>IF(AND(B6949=1,C6949&gt;1,E6948&lt;&gt;""),ABS(D6949-E6948),"")</f>
        <v/>
      </c>
    </row>
    <row r="6950">
      <c r="A6950" t="n">
        <v>6950</v>
      </c>
      <c r="B6950">
        <f>IF(INDEX('Data Entry'!$H$5:$BE$10004,6950-4,'Visual SPC'!$B$3)="",0,IF(AND(OR('Visual SPC'!$C$4="",'Data Entry'!$C6950&gt;='Visual SPC'!$C$4),OR('Visual SPC'!$E$4="",'Data Entry'!$C6950&lt;='Visual SPC'!$E$4),OR('Visual SPC'!$G$4="",'Data Entry'!$D6950='Visual SPC'!$G$4),OR('Visual SPC'!$I$4="",'Data Entry'!$E6950='Visual SPC'!$I$4),OR('Visual SPC'!$K$4="",'Data Entry'!$F6950='Visual SPC'!$K$4)),1,0))</f>
        <v/>
      </c>
      <c r="C6950">
        <f>C6949+B6950</f>
        <v/>
      </c>
      <c r="D6950">
        <f>IF(B6950=1,INDEX('Data Entry'!$H$5:$BE$10004,6950-4,'Visual SPC'!$B$3),"")</f>
        <v/>
      </c>
      <c r="E6950">
        <f>IF(B6950=1,D6950,E6949)</f>
        <v/>
      </c>
      <c r="F6950">
        <f>IF(AND(B6950=1,C6950&gt;1,E6949&lt;&gt;""),ABS(D6950-E6949),"")</f>
        <v/>
      </c>
    </row>
    <row r="6951">
      <c r="A6951" t="n">
        <v>6951</v>
      </c>
      <c r="B6951">
        <f>IF(INDEX('Data Entry'!$H$5:$BE$10004,6951-4,'Visual SPC'!$B$3)="",0,IF(AND(OR('Visual SPC'!$C$4="",'Data Entry'!$C6951&gt;='Visual SPC'!$C$4),OR('Visual SPC'!$E$4="",'Data Entry'!$C6951&lt;='Visual SPC'!$E$4),OR('Visual SPC'!$G$4="",'Data Entry'!$D6951='Visual SPC'!$G$4),OR('Visual SPC'!$I$4="",'Data Entry'!$E6951='Visual SPC'!$I$4),OR('Visual SPC'!$K$4="",'Data Entry'!$F6951='Visual SPC'!$K$4)),1,0))</f>
        <v/>
      </c>
      <c r="C6951">
        <f>C6950+B6951</f>
        <v/>
      </c>
      <c r="D6951">
        <f>IF(B6951=1,INDEX('Data Entry'!$H$5:$BE$10004,6951-4,'Visual SPC'!$B$3),"")</f>
        <v/>
      </c>
      <c r="E6951">
        <f>IF(B6951=1,D6951,E6950)</f>
        <v/>
      </c>
      <c r="F6951">
        <f>IF(AND(B6951=1,C6951&gt;1,E6950&lt;&gt;""),ABS(D6951-E6950),"")</f>
        <v/>
      </c>
    </row>
    <row r="6952">
      <c r="A6952" t="n">
        <v>6952</v>
      </c>
      <c r="B6952">
        <f>IF(INDEX('Data Entry'!$H$5:$BE$10004,6952-4,'Visual SPC'!$B$3)="",0,IF(AND(OR('Visual SPC'!$C$4="",'Data Entry'!$C6952&gt;='Visual SPC'!$C$4),OR('Visual SPC'!$E$4="",'Data Entry'!$C6952&lt;='Visual SPC'!$E$4),OR('Visual SPC'!$G$4="",'Data Entry'!$D6952='Visual SPC'!$G$4),OR('Visual SPC'!$I$4="",'Data Entry'!$E6952='Visual SPC'!$I$4),OR('Visual SPC'!$K$4="",'Data Entry'!$F6952='Visual SPC'!$K$4)),1,0))</f>
        <v/>
      </c>
      <c r="C6952">
        <f>C6951+B6952</f>
        <v/>
      </c>
      <c r="D6952">
        <f>IF(B6952=1,INDEX('Data Entry'!$H$5:$BE$10004,6952-4,'Visual SPC'!$B$3),"")</f>
        <v/>
      </c>
      <c r="E6952">
        <f>IF(B6952=1,D6952,E6951)</f>
        <v/>
      </c>
      <c r="F6952">
        <f>IF(AND(B6952=1,C6952&gt;1,E6951&lt;&gt;""),ABS(D6952-E6951),"")</f>
        <v/>
      </c>
    </row>
    <row r="6953">
      <c r="A6953" t="n">
        <v>6953</v>
      </c>
      <c r="B6953">
        <f>IF(INDEX('Data Entry'!$H$5:$BE$10004,6953-4,'Visual SPC'!$B$3)="",0,IF(AND(OR('Visual SPC'!$C$4="",'Data Entry'!$C6953&gt;='Visual SPC'!$C$4),OR('Visual SPC'!$E$4="",'Data Entry'!$C6953&lt;='Visual SPC'!$E$4),OR('Visual SPC'!$G$4="",'Data Entry'!$D6953='Visual SPC'!$G$4),OR('Visual SPC'!$I$4="",'Data Entry'!$E6953='Visual SPC'!$I$4),OR('Visual SPC'!$K$4="",'Data Entry'!$F6953='Visual SPC'!$K$4)),1,0))</f>
        <v/>
      </c>
      <c r="C6953">
        <f>C6952+B6953</f>
        <v/>
      </c>
      <c r="D6953">
        <f>IF(B6953=1,INDEX('Data Entry'!$H$5:$BE$10004,6953-4,'Visual SPC'!$B$3),"")</f>
        <v/>
      </c>
      <c r="E6953">
        <f>IF(B6953=1,D6953,E6952)</f>
        <v/>
      </c>
      <c r="F6953">
        <f>IF(AND(B6953=1,C6953&gt;1,E6952&lt;&gt;""),ABS(D6953-E6952),"")</f>
        <v/>
      </c>
    </row>
    <row r="6954">
      <c r="A6954" t="n">
        <v>6954</v>
      </c>
      <c r="B6954">
        <f>IF(INDEX('Data Entry'!$H$5:$BE$10004,6954-4,'Visual SPC'!$B$3)="",0,IF(AND(OR('Visual SPC'!$C$4="",'Data Entry'!$C6954&gt;='Visual SPC'!$C$4),OR('Visual SPC'!$E$4="",'Data Entry'!$C6954&lt;='Visual SPC'!$E$4),OR('Visual SPC'!$G$4="",'Data Entry'!$D6954='Visual SPC'!$G$4),OR('Visual SPC'!$I$4="",'Data Entry'!$E6954='Visual SPC'!$I$4),OR('Visual SPC'!$K$4="",'Data Entry'!$F6954='Visual SPC'!$K$4)),1,0))</f>
        <v/>
      </c>
      <c r="C6954">
        <f>C6953+B6954</f>
        <v/>
      </c>
      <c r="D6954">
        <f>IF(B6954=1,INDEX('Data Entry'!$H$5:$BE$10004,6954-4,'Visual SPC'!$B$3),"")</f>
        <v/>
      </c>
      <c r="E6954">
        <f>IF(B6954=1,D6954,E6953)</f>
        <v/>
      </c>
      <c r="F6954">
        <f>IF(AND(B6954=1,C6954&gt;1,E6953&lt;&gt;""),ABS(D6954-E6953),"")</f>
        <v/>
      </c>
    </row>
    <row r="6955">
      <c r="A6955" t="n">
        <v>6955</v>
      </c>
      <c r="B6955">
        <f>IF(INDEX('Data Entry'!$H$5:$BE$10004,6955-4,'Visual SPC'!$B$3)="",0,IF(AND(OR('Visual SPC'!$C$4="",'Data Entry'!$C6955&gt;='Visual SPC'!$C$4),OR('Visual SPC'!$E$4="",'Data Entry'!$C6955&lt;='Visual SPC'!$E$4),OR('Visual SPC'!$G$4="",'Data Entry'!$D6955='Visual SPC'!$G$4),OR('Visual SPC'!$I$4="",'Data Entry'!$E6955='Visual SPC'!$I$4),OR('Visual SPC'!$K$4="",'Data Entry'!$F6955='Visual SPC'!$K$4)),1,0))</f>
        <v/>
      </c>
      <c r="C6955">
        <f>C6954+B6955</f>
        <v/>
      </c>
      <c r="D6955">
        <f>IF(B6955=1,INDEX('Data Entry'!$H$5:$BE$10004,6955-4,'Visual SPC'!$B$3),"")</f>
        <v/>
      </c>
      <c r="E6955">
        <f>IF(B6955=1,D6955,E6954)</f>
        <v/>
      </c>
      <c r="F6955">
        <f>IF(AND(B6955=1,C6955&gt;1,E6954&lt;&gt;""),ABS(D6955-E6954),"")</f>
        <v/>
      </c>
    </row>
    <row r="6956">
      <c r="A6956" t="n">
        <v>6956</v>
      </c>
      <c r="B6956">
        <f>IF(INDEX('Data Entry'!$H$5:$BE$10004,6956-4,'Visual SPC'!$B$3)="",0,IF(AND(OR('Visual SPC'!$C$4="",'Data Entry'!$C6956&gt;='Visual SPC'!$C$4),OR('Visual SPC'!$E$4="",'Data Entry'!$C6956&lt;='Visual SPC'!$E$4),OR('Visual SPC'!$G$4="",'Data Entry'!$D6956='Visual SPC'!$G$4),OR('Visual SPC'!$I$4="",'Data Entry'!$E6956='Visual SPC'!$I$4),OR('Visual SPC'!$K$4="",'Data Entry'!$F6956='Visual SPC'!$K$4)),1,0))</f>
        <v/>
      </c>
      <c r="C6956">
        <f>C6955+B6956</f>
        <v/>
      </c>
      <c r="D6956">
        <f>IF(B6956=1,INDEX('Data Entry'!$H$5:$BE$10004,6956-4,'Visual SPC'!$B$3),"")</f>
        <v/>
      </c>
      <c r="E6956">
        <f>IF(B6956=1,D6956,E6955)</f>
        <v/>
      </c>
      <c r="F6956">
        <f>IF(AND(B6956=1,C6956&gt;1,E6955&lt;&gt;""),ABS(D6956-E6955),"")</f>
        <v/>
      </c>
    </row>
    <row r="6957">
      <c r="A6957" t="n">
        <v>6957</v>
      </c>
      <c r="B6957">
        <f>IF(INDEX('Data Entry'!$H$5:$BE$10004,6957-4,'Visual SPC'!$B$3)="",0,IF(AND(OR('Visual SPC'!$C$4="",'Data Entry'!$C6957&gt;='Visual SPC'!$C$4),OR('Visual SPC'!$E$4="",'Data Entry'!$C6957&lt;='Visual SPC'!$E$4),OR('Visual SPC'!$G$4="",'Data Entry'!$D6957='Visual SPC'!$G$4),OR('Visual SPC'!$I$4="",'Data Entry'!$E6957='Visual SPC'!$I$4),OR('Visual SPC'!$K$4="",'Data Entry'!$F6957='Visual SPC'!$K$4)),1,0))</f>
        <v/>
      </c>
      <c r="C6957">
        <f>C6956+B6957</f>
        <v/>
      </c>
      <c r="D6957">
        <f>IF(B6957=1,INDEX('Data Entry'!$H$5:$BE$10004,6957-4,'Visual SPC'!$B$3),"")</f>
        <v/>
      </c>
      <c r="E6957">
        <f>IF(B6957=1,D6957,E6956)</f>
        <v/>
      </c>
      <c r="F6957">
        <f>IF(AND(B6957=1,C6957&gt;1,E6956&lt;&gt;""),ABS(D6957-E6956),"")</f>
        <v/>
      </c>
    </row>
    <row r="6958">
      <c r="A6958" t="n">
        <v>6958</v>
      </c>
      <c r="B6958">
        <f>IF(INDEX('Data Entry'!$H$5:$BE$10004,6958-4,'Visual SPC'!$B$3)="",0,IF(AND(OR('Visual SPC'!$C$4="",'Data Entry'!$C6958&gt;='Visual SPC'!$C$4),OR('Visual SPC'!$E$4="",'Data Entry'!$C6958&lt;='Visual SPC'!$E$4),OR('Visual SPC'!$G$4="",'Data Entry'!$D6958='Visual SPC'!$G$4),OR('Visual SPC'!$I$4="",'Data Entry'!$E6958='Visual SPC'!$I$4),OR('Visual SPC'!$K$4="",'Data Entry'!$F6958='Visual SPC'!$K$4)),1,0))</f>
        <v/>
      </c>
      <c r="C6958">
        <f>C6957+B6958</f>
        <v/>
      </c>
      <c r="D6958">
        <f>IF(B6958=1,INDEX('Data Entry'!$H$5:$BE$10004,6958-4,'Visual SPC'!$B$3),"")</f>
        <v/>
      </c>
      <c r="E6958">
        <f>IF(B6958=1,D6958,E6957)</f>
        <v/>
      </c>
      <c r="F6958">
        <f>IF(AND(B6958=1,C6958&gt;1,E6957&lt;&gt;""),ABS(D6958-E6957),"")</f>
        <v/>
      </c>
    </row>
    <row r="6959">
      <c r="A6959" t="n">
        <v>6959</v>
      </c>
      <c r="B6959">
        <f>IF(INDEX('Data Entry'!$H$5:$BE$10004,6959-4,'Visual SPC'!$B$3)="",0,IF(AND(OR('Visual SPC'!$C$4="",'Data Entry'!$C6959&gt;='Visual SPC'!$C$4),OR('Visual SPC'!$E$4="",'Data Entry'!$C6959&lt;='Visual SPC'!$E$4),OR('Visual SPC'!$G$4="",'Data Entry'!$D6959='Visual SPC'!$G$4),OR('Visual SPC'!$I$4="",'Data Entry'!$E6959='Visual SPC'!$I$4),OR('Visual SPC'!$K$4="",'Data Entry'!$F6959='Visual SPC'!$K$4)),1,0))</f>
        <v/>
      </c>
      <c r="C6959">
        <f>C6958+B6959</f>
        <v/>
      </c>
      <c r="D6959">
        <f>IF(B6959=1,INDEX('Data Entry'!$H$5:$BE$10004,6959-4,'Visual SPC'!$B$3),"")</f>
        <v/>
      </c>
      <c r="E6959">
        <f>IF(B6959=1,D6959,E6958)</f>
        <v/>
      </c>
      <c r="F6959">
        <f>IF(AND(B6959=1,C6959&gt;1,E6958&lt;&gt;""),ABS(D6959-E6958),"")</f>
        <v/>
      </c>
    </row>
    <row r="6960">
      <c r="A6960" t="n">
        <v>6960</v>
      </c>
      <c r="B6960">
        <f>IF(INDEX('Data Entry'!$H$5:$BE$10004,6960-4,'Visual SPC'!$B$3)="",0,IF(AND(OR('Visual SPC'!$C$4="",'Data Entry'!$C6960&gt;='Visual SPC'!$C$4),OR('Visual SPC'!$E$4="",'Data Entry'!$C6960&lt;='Visual SPC'!$E$4),OR('Visual SPC'!$G$4="",'Data Entry'!$D6960='Visual SPC'!$G$4),OR('Visual SPC'!$I$4="",'Data Entry'!$E6960='Visual SPC'!$I$4),OR('Visual SPC'!$K$4="",'Data Entry'!$F6960='Visual SPC'!$K$4)),1,0))</f>
        <v/>
      </c>
      <c r="C6960">
        <f>C6959+B6960</f>
        <v/>
      </c>
      <c r="D6960">
        <f>IF(B6960=1,INDEX('Data Entry'!$H$5:$BE$10004,6960-4,'Visual SPC'!$B$3),"")</f>
        <v/>
      </c>
      <c r="E6960">
        <f>IF(B6960=1,D6960,E6959)</f>
        <v/>
      </c>
      <c r="F6960">
        <f>IF(AND(B6960=1,C6960&gt;1,E6959&lt;&gt;""),ABS(D6960-E6959),"")</f>
        <v/>
      </c>
    </row>
    <row r="6961">
      <c r="A6961" t="n">
        <v>6961</v>
      </c>
      <c r="B6961">
        <f>IF(INDEX('Data Entry'!$H$5:$BE$10004,6961-4,'Visual SPC'!$B$3)="",0,IF(AND(OR('Visual SPC'!$C$4="",'Data Entry'!$C6961&gt;='Visual SPC'!$C$4),OR('Visual SPC'!$E$4="",'Data Entry'!$C6961&lt;='Visual SPC'!$E$4),OR('Visual SPC'!$G$4="",'Data Entry'!$D6961='Visual SPC'!$G$4),OR('Visual SPC'!$I$4="",'Data Entry'!$E6961='Visual SPC'!$I$4),OR('Visual SPC'!$K$4="",'Data Entry'!$F6961='Visual SPC'!$K$4)),1,0))</f>
        <v/>
      </c>
      <c r="C6961">
        <f>C6960+B6961</f>
        <v/>
      </c>
      <c r="D6961">
        <f>IF(B6961=1,INDEX('Data Entry'!$H$5:$BE$10004,6961-4,'Visual SPC'!$B$3),"")</f>
        <v/>
      </c>
      <c r="E6961">
        <f>IF(B6961=1,D6961,E6960)</f>
        <v/>
      </c>
      <c r="F6961">
        <f>IF(AND(B6961=1,C6961&gt;1,E6960&lt;&gt;""),ABS(D6961-E6960),"")</f>
        <v/>
      </c>
    </row>
    <row r="6962">
      <c r="A6962" t="n">
        <v>6962</v>
      </c>
      <c r="B6962">
        <f>IF(INDEX('Data Entry'!$H$5:$BE$10004,6962-4,'Visual SPC'!$B$3)="",0,IF(AND(OR('Visual SPC'!$C$4="",'Data Entry'!$C6962&gt;='Visual SPC'!$C$4),OR('Visual SPC'!$E$4="",'Data Entry'!$C6962&lt;='Visual SPC'!$E$4),OR('Visual SPC'!$G$4="",'Data Entry'!$D6962='Visual SPC'!$G$4),OR('Visual SPC'!$I$4="",'Data Entry'!$E6962='Visual SPC'!$I$4),OR('Visual SPC'!$K$4="",'Data Entry'!$F6962='Visual SPC'!$K$4)),1,0))</f>
        <v/>
      </c>
      <c r="C6962">
        <f>C6961+B6962</f>
        <v/>
      </c>
      <c r="D6962">
        <f>IF(B6962=1,INDEX('Data Entry'!$H$5:$BE$10004,6962-4,'Visual SPC'!$B$3),"")</f>
        <v/>
      </c>
      <c r="E6962">
        <f>IF(B6962=1,D6962,E6961)</f>
        <v/>
      </c>
      <c r="F6962">
        <f>IF(AND(B6962=1,C6962&gt;1,E6961&lt;&gt;""),ABS(D6962-E6961),"")</f>
        <v/>
      </c>
    </row>
    <row r="6963">
      <c r="A6963" t="n">
        <v>6963</v>
      </c>
      <c r="B6963">
        <f>IF(INDEX('Data Entry'!$H$5:$BE$10004,6963-4,'Visual SPC'!$B$3)="",0,IF(AND(OR('Visual SPC'!$C$4="",'Data Entry'!$C6963&gt;='Visual SPC'!$C$4),OR('Visual SPC'!$E$4="",'Data Entry'!$C6963&lt;='Visual SPC'!$E$4),OR('Visual SPC'!$G$4="",'Data Entry'!$D6963='Visual SPC'!$G$4),OR('Visual SPC'!$I$4="",'Data Entry'!$E6963='Visual SPC'!$I$4),OR('Visual SPC'!$K$4="",'Data Entry'!$F6963='Visual SPC'!$K$4)),1,0))</f>
        <v/>
      </c>
      <c r="C6963">
        <f>C6962+B6963</f>
        <v/>
      </c>
      <c r="D6963">
        <f>IF(B6963=1,INDEX('Data Entry'!$H$5:$BE$10004,6963-4,'Visual SPC'!$B$3),"")</f>
        <v/>
      </c>
      <c r="E6963">
        <f>IF(B6963=1,D6963,E6962)</f>
        <v/>
      </c>
      <c r="F6963">
        <f>IF(AND(B6963=1,C6963&gt;1,E6962&lt;&gt;""),ABS(D6963-E6962),"")</f>
        <v/>
      </c>
    </row>
    <row r="6964">
      <c r="A6964" t="n">
        <v>6964</v>
      </c>
      <c r="B6964">
        <f>IF(INDEX('Data Entry'!$H$5:$BE$10004,6964-4,'Visual SPC'!$B$3)="",0,IF(AND(OR('Visual SPC'!$C$4="",'Data Entry'!$C6964&gt;='Visual SPC'!$C$4),OR('Visual SPC'!$E$4="",'Data Entry'!$C6964&lt;='Visual SPC'!$E$4),OR('Visual SPC'!$G$4="",'Data Entry'!$D6964='Visual SPC'!$G$4),OR('Visual SPC'!$I$4="",'Data Entry'!$E6964='Visual SPC'!$I$4),OR('Visual SPC'!$K$4="",'Data Entry'!$F6964='Visual SPC'!$K$4)),1,0))</f>
        <v/>
      </c>
      <c r="C6964">
        <f>C6963+B6964</f>
        <v/>
      </c>
      <c r="D6964">
        <f>IF(B6964=1,INDEX('Data Entry'!$H$5:$BE$10004,6964-4,'Visual SPC'!$B$3),"")</f>
        <v/>
      </c>
      <c r="E6964">
        <f>IF(B6964=1,D6964,E6963)</f>
        <v/>
      </c>
      <c r="F6964">
        <f>IF(AND(B6964=1,C6964&gt;1,E6963&lt;&gt;""),ABS(D6964-E6963),"")</f>
        <v/>
      </c>
    </row>
    <row r="6965">
      <c r="A6965" t="n">
        <v>6965</v>
      </c>
      <c r="B6965">
        <f>IF(INDEX('Data Entry'!$H$5:$BE$10004,6965-4,'Visual SPC'!$B$3)="",0,IF(AND(OR('Visual SPC'!$C$4="",'Data Entry'!$C6965&gt;='Visual SPC'!$C$4),OR('Visual SPC'!$E$4="",'Data Entry'!$C6965&lt;='Visual SPC'!$E$4),OR('Visual SPC'!$G$4="",'Data Entry'!$D6965='Visual SPC'!$G$4),OR('Visual SPC'!$I$4="",'Data Entry'!$E6965='Visual SPC'!$I$4),OR('Visual SPC'!$K$4="",'Data Entry'!$F6965='Visual SPC'!$K$4)),1,0))</f>
        <v/>
      </c>
      <c r="C6965">
        <f>C6964+B6965</f>
        <v/>
      </c>
      <c r="D6965">
        <f>IF(B6965=1,INDEX('Data Entry'!$H$5:$BE$10004,6965-4,'Visual SPC'!$B$3),"")</f>
        <v/>
      </c>
      <c r="E6965">
        <f>IF(B6965=1,D6965,E6964)</f>
        <v/>
      </c>
      <c r="F6965">
        <f>IF(AND(B6965=1,C6965&gt;1,E6964&lt;&gt;""),ABS(D6965-E6964),"")</f>
        <v/>
      </c>
    </row>
    <row r="6966">
      <c r="A6966" t="n">
        <v>6966</v>
      </c>
      <c r="B6966">
        <f>IF(INDEX('Data Entry'!$H$5:$BE$10004,6966-4,'Visual SPC'!$B$3)="",0,IF(AND(OR('Visual SPC'!$C$4="",'Data Entry'!$C6966&gt;='Visual SPC'!$C$4),OR('Visual SPC'!$E$4="",'Data Entry'!$C6966&lt;='Visual SPC'!$E$4),OR('Visual SPC'!$G$4="",'Data Entry'!$D6966='Visual SPC'!$G$4),OR('Visual SPC'!$I$4="",'Data Entry'!$E6966='Visual SPC'!$I$4),OR('Visual SPC'!$K$4="",'Data Entry'!$F6966='Visual SPC'!$K$4)),1,0))</f>
        <v/>
      </c>
      <c r="C6966">
        <f>C6965+B6966</f>
        <v/>
      </c>
      <c r="D6966">
        <f>IF(B6966=1,INDEX('Data Entry'!$H$5:$BE$10004,6966-4,'Visual SPC'!$B$3),"")</f>
        <v/>
      </c>
      <c r="E6966">
        <f>IF(B6966=1,D6966,E6965)</f>
        <v/>
      </c>
      <c r="F6966">
        <f>IF(AND(B6966=1,C6966&gt;1,E6965&lt;&gt;""),ABS(D6966-E6965),"")</f>
        <v/>
      </c>
    </row>
    <row r="6967">
      <c r="A6967" t="n">
        <v>6967</v>
      </c>
      <c r="B6967">
        <f>IF(INDEX('Data Entry'!$H$5:$BE$10004,6967-4,'Visual SPC'!$B$3)="",0,IF(AND(OR('Visual SPC'!$C$4="",'Data Entry'!$C6967&gt;='Visual SPC'!$C$4),OR('Visual SPC'!$E$4="",'Data Entry'!$C6967&lt;='Visual SPC'!$E$4),OR('Visual SPC'!$G$4="",'Data Entry'!$D6967='Visual SPC'!$G$4),OR('Visual SPC'!$I$4="",'Data Entry'!$E6967='Visual SPC'!$I$4),OR('Visual SPC'!$K$4="",'Data Entry'!$F6967='Visual SPC'!$K$4)),1,0))</f>
        <v/>
      </c>
      <c r="C6967">
        <f>C6966+B6967</f>
        <v/>
      </c>
      <c r="D6967">
        <f>IF(B6967=1,INDEX('Data Entry'!$H$5:$BE$10004,6967-4,'Visual SPC'!$B$3),"")</f>
        <v/>
      </c>
      <c r="E6967">
        <f>IF(B6967=1,D6967,E6966)</f>
        <v/>
      </c>
      <c r="F6967">
        <f>IF(AND(B6967=1,C6967&gt;1,E6966&lt;&gt;""),ABS(D6967-E6966),"")</f>
        <v/>
      </c>
    </row>
    <row r="6968">
      <c r="A6968" t="n">
        <v>6968</v>
      </c>
      <c r="B6968">
        <f>IF(INDEX('Data Entry'!$H$5:$BE$10004,6968-4,'Visual SPC'!$B$3)="",0,IF(AND(OR('Visual SPC'!$C$4="",'Data Entry'!$C6968&gt;='Visual SPC'!$C$4),OR('Visual SPC'!$E$4="",'Data Entry'!$C6968&lt;='Visual SPC'!$E$4),OR('Visual SPC'!$G$4="",'Data Entry'!$D6968='Visual SPC'!$G$4),OR('Visual SPC'!$I$4="",'Data Entry'!$E6968='Visual SPC'!$I$4),OR('Visual SPC'!$K$4="",'Data Entry'!$F6968='Visual SPC'!$K$4)),1,0))</f>
        <v/>
      </c>
      <c r="C6968">
        <f>C6967+B6968</f>
        <v/>
      </c>
      <c r="D6968">
        <f>IF(B6968=1,INDEX('Data Entry'!$H$5:$BE$10004,6968-4,'Visual SPC'!$B$3),"")</f>
        <v/>
      </c>
      <c r="E6968">
        <f>IF(B6968=1,D6968,E6967)</f>
        <v/>
      </c>
      <c r="F6968">
        <f>IF(AND(B6968=1,C6968&gt;1,E6967&lt;&gt;""),ABS(D6968-E6967),"")</f>
        <v/>
      </c>
    </row>
    <row r="6969">
      <c r="A6969" t="n">
        <v>6969</v>
      </c>
      <c r="B6969">
        <f>IF(INDEX('Data Entry'!$H$5:$BE$10004,6969-4,'Visual SPC'!$B$3)="",0,IF(AND(OR('Visual SPC'!$C$4="",'Data Entry'!$C6969&gt;='Visual SPC'!$C$4),OR('Visual SPC'!$E$4="",'Data Entry'!$C6969&lt;='Visual SPC'!$E$4),OR('Visual SPC'!$G$4="",'Data Entry'!$D6969='Visual SPC'!$G$4),OR('Visual SPC'!$I$4="",'Data Entry'!$E6969='Visual SPC'!$I$4),OR('Visual SPC'!$K$4="",'Data Entry'!$F6969='Visual SPC'!$K$4)),1,0))</f>
        <v/>
      </c>
      <c r="C6969">
        <f>C6968+B6969</f>
        <v/>
      </c>
      <c r="D6969">
        <f>IF(B6969=1,INDEX('Data Entry'!$H$5:$BE$10004,6969-4,'Visual SPC'!$B$3),"")</f>
        <v/>
      </c>
      <c r="E6969">
        <f>IF(B6969=1,D6969,E6968)</f>
        <v/>
      </c>
      <c r="F6969">
        <f>IF(AND(B6969=1,C6969&gt;1,E6968&lt;&gt;""),ABS(D6969-E6968),"")</f>
        <v/>
      </c>
    </row>
    <row r="6970">
      <c r="A6970" t="n">
        <v>6970</v>
      </c>
      <c r="B6970">
        <f>IF(INDEX('Data Entry'!$H$5:$BE$10004,6970-4,'Visual SPC'!$B$3)="",0,IF(AND(OR('Visual SPC'!$C$4="",'Data Entry'!$C6970&gt;='Visual SPC'!$C$4),OR('Visual SPC'!$E$4="",'Data Entry'!$C6970&lt;='Visual SPC'!$E$4),OR('Visual SPC'!$G$4="",'Data Entry'!$D6970='Visual SPC'!$G$4),OR('Visual SPC'!$I$4="",'Data Entry'!$E6970='Visual SPC'!$I$4),OR('Visual SPC'!$K$4="",'Data Entry'!$F6970='Visual SPC'!$K$4)),1,0))</f>
        <v/>
      </c>
      <c r="C6970">
        <f>C6969+B6970</f>
        <v/>
      </c>
      <c r="D6970">
        <f>IF(B6970=1,INDEX('Data Entry'!$H$5:$BE$10004,6970-4,'Visual SPC'!$B$3),"")</f>
        <v/>
      </c>
      <c r="E6970">
        <f>IF(B6970=1,D6970,E6969)</f>
        <v/>
      </c>
      <c r="F6970">
        <f>IF(AND(B6970=1,C6970&gt;1,E6969&lt;&gt;""),ABS(D6970-E6969),"")</f>
        <v/>
      </c>
    </row>
    <row r="6971">
      <c r="A6971" t="n">
        <v>6971</v>
      </c>
      <c r="B6971">
        <f>IF(INDEX('Data Entry'!$H$5:$BE$10004,6971-4,'Visual SPC'!$B$3)="",0,IF(AND(OR('Visual SPC'!$C$4="",'Data Entry'!$C6971&gt;='Visual SPC'!$C$4),OR('Visual SPC'!$E$4="",'Data Entry'!$C6971&lt;='Visual SPC'!$E$4),OR('Visual SPC'!$G$4="",'Data Entry'!$D6971='Visual SPC'!$G$4),OR('Visual SPC'!$I$4="",'Data Entry'!$E6971='Visual SPC'!$I$4),OR('Visual SPC'!$K$4="",'Data Entry'!$F6971='Visual SPC'!$K$4)),1,0))</f>
        <v/>
      </c>
      <c r="C6971">
        <f>C6970+B6971</f>
        <v/>
      </c>
      <c r="D6971">
        <f>IF(B6971=1,INDEX('Data Entry'!$H$5:$BE$10004,6971-4,'Visual SPC'!$B$3),"")</f>
        <v/>
      </c>
      <c r="E6971">
        <f>IF(B6971=1,D6971,E6970)</f>
        <v/>
      </c>
      <c r="F6971">
        <f>IF(AND(B6971=1,C6971&gt;1,E6970&lt;&gt;""),ABS(D6971-E6970),"")</f>
        <v/>
      </c>
    </row>
    <row r="6972">
      <c r="A6972" t="n">
        <v>6972</v>
      </c>
      <c r="B6972">
        <f>IF(INDEX('Data Entry'!$H$5:$BE$10004,6972-4,'Visual SPC'!$B$3)="",0,IF(AND(OR('Visual SPC'!$C$4="",'Data Entry'!$C6972&gt;='Visual SPC'!$C$4),OR('Visual SPC'!$E$4="",'Data Entry'!$C6972&lt;='Visual SPC'!$E$4),OR('Visual SPC'!$G$4="",'Data Entry'!$D6972='Visual SPC'!$G$4),OR('Visual SPC'!$I$4="",'Data Entry'!$E6972='Visual SPC'!$I$4),OR('Visual SPC'!$K$4="",'Data Entry'!$F6972='Visual SPC'!$K$4)),1,0))</f>
        <v/>
      </c>
      <c r="C6972">
        <f>C6971+B6972</f>
        <v/>
      </c>
      <c r="D6972">
        <f>IF(B6972=1,INDEX('Data Entry'!$H$5:$BE$10004,6972-4,'Visual SPC'!$B$3),"")</f>
        <v/>
      </c>
      <c r="E6972">
        <f>IF(B6972=1,D6972,E6971)</f>
        <v/>
      </c>
      <c r="F6972">
        <f>IF(AND(B6972=1,C6972&gt;1,E6971&lt;&gt;""),ABS(D6972-E6971),"")</f>
        <v/>
      </c>
    </row>
    <row r="6973">
      <c r="A6973" t="n">
        <v>6973</v>
      </c>
      <c r="B6973">
        <f>IF(INDEX('Data Entry'!$H$5:$BE$10004,6973-4,'Visual SPC'!$B$3)="",0,IF(AND(OR('Visual SPC'!$C$4="",'Data Entry'!$C6973&gt;='Visual SPC'!$C$4),OR('Visual SPC'!$E$4="",'Data Entry'!$C6973&lt;='Visual SPC'!$E$4),OR('Visual SPC'!$G$4="",'Data Entry'!$D6973='Visual SPC'!$G$4),OR('Visual SPC'!$I$4="",'Data Entry'!$E6973='Visual SPC'!$I$4),OR('Visual SPC'!$K$4="",'Data Entry'!$F6973='Visual SPC'!$K$4)),1,0))</f>
        <v/>
      </c>
      <c r="C6973">
        <f>C6972+B6973</f>
        <v/>
      </c>
      <c r="D6973">
        <f>IF(B6973=1,INDEX('Data Entry'!$H$5:$BE$10004,6973-4,'Visual SPC'!$B$3),"")</f>
        <v/>
      </c>
      <c r="E6973">
        <f>IF(B6973=1,D6973,E6972)</f>
        <v/>
      </c>
      <c r="F6973">
        <f>IF(AND(B6973=1,C6973&gt;1,E6972&lt;&gt;""),ABS(D6973-E6972),"")</f>
        <v/>
      </c>
    </row>
    <row r="6974">
      <c r="A6974" t="n">
        <v>6974</v>
      </c>
      <c r="B6974">
        <f>IF(INDEX('Data Entry'!$H$5:$BE$10004,6974-4,'Visual SPC'!$B$3)="",0,IF(AND(OR('Visual SPC'!$C$4="",'Data Entry'!$C6974&gt;='Visual SPC'!$C$4),OR('Visual SPC'!$E$4="",'Data Entry'!$C6974&lt;='Visual SPC'!$E$4),OR('Visual SPC'!$G$4="",'Data Entry'!$D6974='Visual SPC'!$G$4),OR('Visual SPC'!$I$4="",'Data Entry'!$E6974='Visual SPC'!$I$4),OR('Visual SPC'!$K$4="",'Data Entry'!$F6974='Visual SPC'!$K$4)),1,0))</f>
        <v/>
      </c>
      <c r="C6974">
        <f>C6973+B6974</f>
        <v/>
      </c>
      <c r="D6974">
        <f>IF(B6974=1,INDEX('Data Entry'!$H$5:$BE$10004,6974-4,'Visual SPC'!$B$3),"")</f>
        <v/>
      </c>
      <c r="E6974">
        <f>IF(B6974=1,D6974,E6973)</f>
        <v/>
      </c>
      <c r="F6974">
        <f>IF(AND(B6974=1,C6974&gt;1,E6973&lt;&gt;""),ABS(D6974-E6973),"")</f>
        <v/>
      </c>
    </row>
    <row r="6975">
      <c r="A6975" t="n">
        <v>6975</v>
      </c>
      <c r="B6975">
        <f>IF(INDEX('Data Entry'!$H$5:$BE$10004,6975-4,'Visual SPC'!$B$3)="",0,IF(AND(OR('Visual SPC'!$C$4="",'Data Entry'!$C6975&gt;='Visual SPC'!$C$4),OR('Visual SPC'!$E$4="",'Data Entry'!$C6975&lt;='Visual SPC'!$E$4),OR('Visual SPC'!$G$4="",'Data Entry'!$D6975='Visual SPC'!$G$4),OR('Visual SPC'!$I$4="",'Data Entry'!$E6975='Visual SPC'!$I$4),OR('Visual SPC'!$K$4="",'Data Entry'!$F6975='Visual SPC'!$K$4)),1,0))</f>
        <v/>
      </c>
      <c r="C6975">
        <f>C6974+B6975</f>
        <v/>
      </c>
      <c r="D6975">
        <f>IF(B6975=1,INDEX('Data Entry'!$H$5:$BE$10004,6975-4,'Visual SPC'!$B$3),"")</f>
        <v/>
      </c>
      <c r="E6975">
        <f>IF(B6975=1,D6975,E6974)</f>
        <v/>
      </c>
      <c r="F6975">
        <f>IF(AND(B6975=1,C6975&gt;1,E6974&lt;&gt;""),ABS(D6975-E6974),"")</f>
        <v/>
      </c>
    </row>
    <row r="6976">
      <c r="A6976" t="n">
        <v>6976</v>
      </c>
      <c r="B6976">
        <f>IF(INDEX('Data Entry'!$H$5:$BE$10004,6976-4,'Visual SPC'!$B$3)="",0,IF(AND(OR('Visual SPC'!$C$4="",'Data Entry'!$C6976&gt;='Visual SPC'!$C$4),OR('Visual SPC'!$E$4="",'Data Entry'!$C6976&lt;='Visual SPC'!$E$4),OR('Visual SPC'!$G$4="",'Data Entry'!$D6976='Visual SPC'!$G$4),OR('Visual SPC'!$I$4="",'Data Entry'!$E6976='Visual SPC'!$I$4),OR('Visual SPC'!$K$4="",'Data Entry'!$F6976='Visual SPC'!$K$4)),1,0))</f>
        <v/>
      </c>
      <c r="C6976">
        <f>C6975+B6976</f>
        <v/>
      </c>
      <c r="D6976">
        <f>IF(B6976=1,INDEX('Data Entry'!$H$5:$BE$10004,6976-4,'Visual SPC'!$B$3),"")</f>
        <v/>
      </c>
      <c r="E6976">
        <f>IF(B6976=1,D6976,E6975)</f>
        <v/>
      </c>
      <c r="F6976">
        <f>IF(AND(B6976=1,C6976&gt;1,E6975&lt;&gt;""),ABS(D6976-E6975),"")</f>
        <v/>
      </c>
    </row>
    <row r="6977">
      <c r="A6977" t="n">
        <v>6977</v>
      </c>
      <c r="B6977">
        <f>IF(INDEX('Data Entry'!$H$5:$BE$10004,6977-4,'Visual SPC'!$B$3)="",0,IF(AND(OR('Visual SPC'!$C$4="",'Data Entry'!$C6977&gt;='Visual SPC'!$C$4),OR('Visual SPC'!$E$4="",'Data Entry'!$C6977&lt;='Visual SPC'!$E$4),OR('Visual SPC'!$G$4="",'Data Entry'!$D6977='Visual SPC'!$G$4),OR('Visual SPC'!$I$4="",'Data Entry'!$E6977='Visual SPC'!$I$4),OR('Visual SPC'!$K$4="",'Data Entry'!$F6977='Visual SPC'!$K$4)),1,0))</f>
        <v/>
      </c>
      <c r="C6977">
        <f>C6976+B6977</f>
        <v/>
      </c>
      <c r="D6977">
        <f>IF(B6977=1,INDEX('Data Entry'!$H$5:$BE$10004,6977-4,'Visual SPC'!$B$3),"")</f>
        <v/>
      </c>
      <c r="E6977">
        <f>IF(B6977=1,D6977,E6976)</f>
        <v/>
      </c>
      <c r="F6977">
        <f>IF(AND(B6977=1,C6977&gt;1,E6976&lt;&gt;""),ABS(D6977-E6976),"")</f>
        <v/>
      </c>
    </row>
    <row r="6978">
      <c r="A6978" t="n">
        <v>6978</v>
      </c>
      <c r="B6978">
        <f>IF(INDEX('Data Entry'!$H$5:$BE$10004,6978-4,'Visual SPC'!$B$3)="",0,IF(AND(OR('Visual SPC'!$C$4="",'Data Entry'!$C6978&gt;='Visual SPC'!$C$4),OR('Visual SPC'!$E$4="",'Data Entry'!$C6978&lt;='Visual SPC'!$E$4),OR('Visual SPC'!$G$4="",'Data Entry'!$D6978='Visual SPC'!$G$4),OR('Visual SPC'!$I$4="",'Data Entry'!$E6978='Visual SPC'!$I$4),OR('Visual SPC'!$K$4="",'Data Entry'!$F6978='Visual SPC'!$K$4)),1,0))</f>
        <v/>
      </c>
      <c r="C6978">
        <f>C6977+B6978</f>
        <v/>
      </c>
      <c r="D6978">
        <f>IF(B6978=1,INDEX('Data Entry'!$H$5:$BE$10004,6978-4,'Visual SPC'!$B$3),"")</f>
        <v/>
      </c>
      <c r="E6978">
        <f>IF(B6978=1,D6978,E6977)</f>
        <v/>
      </c>
      <c r="F6978">
        <f>IF(AND(B6978=1,C6978&gt;1,E6977&lt;&gt;""),ABS(D6978-E6977),"")</f>
        <v/>
      </c>
    </row>
    <row r="6979">
      <c r="A6979" t="n">
        <v>6979</v>
      </c>
      <c r="B6979">
        <f>IF(INDEX('Data Entry'!$H$5:$BE$10004,6979-4,'Visual SPC'!$B$3)="",0,IF(AND(OR('Visual SPC'!$C$4="",'Data Entry'!$C6979&gt;='Visual SPC'!$C$4),OR('Visual SPC'!$E$4="",'Data Entry'!$C6979&lt;='Visual SPC'!$E$4),OR('Visual SPC'!$G$4="",'Data Entry'!$D6979='Visual SPC'!$G$4),OR('Visual SPC'!$I$4="",'Data Entry'!$E6979='Visual SPC'!$I$4),OR('Visual SPC'!$K$4="",'Data Entry'!$F6979='Visual SPC'!$K$4)),1,0))</f>
        <v/>
      </c>
      <c r="C6979">
        <f>C6978+B6979</f>
        <v/>
      </c>
      <c r="D6979">
        <f>IF(B6979=1,INDEX('Data Entry'!$H$5:$BE$10004,6979-4,'Visual SPC'!$B$3),"")</f>
        <v/>
      </c>
      <c r="E6979">
        <f>IF(B6979=1,D6979,E6978)</f>
        <v/>
      </c>
      <c r="F6979">
        <f>IF(AND(B6979=1,C6979&gt;1,E6978&lt;&gt;""),ABS(D6979-E6978),"")</f>
        <v/>
      </c>
    </row>
    <row r="6980">
      <c r="A6980" t="n">
        <v>6980</v>
      </c>
      <c r="B6980">
        <f>IF(INDEX('Data Entry'!$H$5:$BE$10004,6980-4,'Visual SPC'!$B$3)="",0,IF(AND(OR('Visual SPC'!$C$4="",'Data Entry'!$C6980&gt;='Visual SPC'!$C$4),OR('Visual SPC'!$E$4="",'Data Entry'!$C6980&lt;='Visual SPC'!$E$4),OR('Visual SPC'!$G$4="",'Data Entry'!$D6980='Visual SPC'!$G$4),OR('Visual SPC'!$I$4="",'Data Entry'!$E6980='Visual SPC'!$I$4),OR('Visual SPC'!$K$4="",'Data Entry'!$F6980='Visual SPC'!$K$4)),1,0))</f>
        <v/>
      </c>
      <c r="C6980">
        <f>C6979+B6980</f>
        <v/>
      </c>
      <c r="D6980">
        <f>IF(B6980=1,INDEX('Data Entry'!$H$5:$BE$10004,6980-4,'Visual SPC'!$B$3),"")</f>
        <v/>
      </c>
      <c r="E6980">
        <f>IF(B6980=1,D6980,E6979)</f>
        <v/>
      </c>
      <c r="F6980">
        <f>IF(AND(B6980=1,C6980&gt;1,E6979&lt;&gt;""),ABS(D6980-E6979),"")</f>
        <v/>
      </c>
    </row>
    <row r="6981">
      <c r="A6981" t="n">
        <v>6981</v>
      </c>
      <c r="B6981">
        <f>IF(INDEX('Data Entry'!$H$5:$BE$10004,6981-4,'Visual SPC'!$B$3)="",0,IF(AND(OR('Visual SPC'!$C$4="",'Data Entry'!$C6981&gt;='Visual SPC'!$C$4),OR('Visual SPC'!$E$4="",'Data Entry'!$C6981&lt;='Visual SPC'!$E$4),OR('Visual SPC'!$G$4="",'Data Entry'!$D6981='Visual SPC'!$G$4),OR('Visual SPC'!$I$4="",'Data Entry'!$E6981='Visual SPC'!$I$4),OR('Visual SPC'!$K$4="",'Data Entry'!$F6981='Visual SPC'!$K$4)),1,0))</f>
        <v/>
      </c>
      <c r="C6981">
        <f>C6980+B6981</f>
        <v/>
      </c>
      <c r="D6981">
        <f>IF(B6981=1,INDEX('Data Entry'!$H$5:$BE$10004,6981-4,'Visual SPC'!$B$3),"")</f>
        <v/>
      </c>
      <c r="E6981">
        <f>IF(B6981=1,D6981,E6980)</f>
        <v/>
      </c>
      <c r="F6981">
        <f>IF(AND(B6981=1,C6981&gt;1,E6980&lt;&gt;""),ABS(D6981-E6980),"")</f>
        <v/>
      </c>
    </row>
    <row r="6982">
      <c r="A6982" t="n">
        <v>6982</v>
      </c>
      <c r="B6982">
        <f>IF(INDEX('Data Entry'!$H$5:$BE$10004,6982-4,'Visual SPC'!$B$3)="",0,IF(AND(OR('Visual SPC'!$C$4="",'Data Entry'!$C6982&gt;='Visual SPC'!$C$4),OR('Visual SPC'!$E$4="",'Data Entry'!$C6982&lt;='Visual SPC'!$E$4),OR('Visual SPC'!$G$4="",'Data Entry'!$D6982='Visual SPC'!$G$4),OR('Visual SPC'!$I$4="",'Data Entry'!$E6982='Visual SPC'!$I$4),OR('Visual SPC'!$K$4="",'Data Entry'!$F6982='Visual SPC'!$K$4)),1,0))</f>
        <v/>
      </c>
      <c r="C6982">
        <f>C6981+B6982</f>
        <v/>
      </c>
      <c r="D6982">
        <f>IF(B6982=1,INDEX('Data Entry'!$H$5:$BE$10004,6982-4,'Visual SPC'!$B$3),"")</f>
        <v/>
      </c>
      <c r="E6982">
        <f>IF(B6982=1,D6982,E6981)</f>
        <v/>
      </c>
      <c r="F6982">
        <f>IF(AND(B6982=1,C6982&gt;1,E6981&lt;&gt;""),ABS(D6982-E6981),"")</f>
        <v/>
      </c>
    </row>
    <row r="6983">
      <c r="A6983" t="n">
        <v>6983</v>
      </c>
      <c r="B6983">
        <f>IF(INDEX('Data Entry'!$H$5:$BE$10004,6983-4,'Visual SPC'!$B$3)="",0,IF(AND(OR('Visual SPC'!$C$4="",'Data Entry'!$C6983&gt;='Visual SPC'!$C$4),OR('Visual SPC'!$E$4="",'Data Entry'!$C6983&lt;='Visual SPC'!$E$4),OR('Visual SPC'!$G$4="",'Data Entry'!$D6983='Visual SPC'!$G$4),OR('Visual SPC'!$I$4="",'Data Entry'!$E6983='Visual SPC'!$I$4),OR('Visual SPC'!$K$4="",'Data Entry'!$F6983='Visual SPC'!$K$4)),1,0))</f>
        <v/>
      </c>
      <c r="C6983">
        <f>C6982+B6983</f>
        <v/>
      </c>
      <c r="D6983">
        <f>IF(B6983=1,INDEX('Data Entry'!$H$5:$BE$10004,6983-4,'Visual SPC'!$B$3),"")</f>
        <v/>
      </c>
      <c r="E6983">
        <f>IF(B6983=1,D6983,E6982)</f>
        <v/>
      </c>
      <c r="F6983">
        <f>IF(AND(B6983=1,C6983&gt;1,E6982&lt;&gt;""),ABS(D6983-E6982),"")</f>
        <v/>
      </c>
    </row>
    <row r="6984">
      <c r="A6984" t="n">
        <v>6984</v>
      </c>
      <c r="B6984">
        <f>IF(INDEX('Data Entry'!$H$5:$BE$10004,6984-4,'Visual SPC'!$B$3)="",0,IF(AND(OR('Visual SPC'!$C$4="",'Data Entry'!$C6984&gt;='Visual SPC'!$C$4),OR('Visual SPC'!$E$4="",'Data Entry'!$C6984&lt;='Visual SPC'!$E$4),OR('Visual SPC'!$G$4="",'Data Entry'!$D6984='Visual SPC'!$G$4),OR('Visual SPC'!$I$4="",'Data Entry'!$E6984='Visual SPC'!$I$4),OR('Visual SPC'!$K$4="",'Data Entry'!$F6984='Visual SPC'!$K$4)),1,0))</f>
        <v/>
      </c>
      <c r="C6984">
        <f>C6983+B6984</f>
        <v/>
      </c>
      <c r="D6984">
        <f>IF(B6984=1,INDEX('Data Entry'!$H$5:$BE$10004,6984-4,'Visual SPC'!$B$3),"")</f>
        <v/>
      </c>
      <c r="E6984">
        <f>IF(B6984=1,D6984,E6983)</f>
        <v/>
      </c>
      <c r="F6984">
        <f>IF(AND(B6984=1,C6984&gt;1,E6983&lt;&gt;""),ABS(D6984-E6983),"")</f>
        <v/>
      </c>
    </row>
    <row r="6985">
      <c r="A6985" t="n">
        <v>6985</v>
      </c>
      <c r="B6985">
        <f>IF(INDEX('Data Entry'!$H$5:$BE$10004,6985-4,'Visual SPC'!$B$3)="",0,IF(AND(OR('Visual SPC'!$C$4="",'Data Entry'!$C6985&gt;='Visual SPC'!$C$4),OR('Visual SPC'!$E$4="",'Data Entry'!$C6985&lt;='Visual SPC'!$E$4),OR('Visual SPC'!$G$4="",'Data Entry'!$D6985='Visual SPC'!$G$4),OR('Visual SPC'!$I$4="",'Data Entry'!$E6985='Visual SPC'!$I$4),OR('Visual SPC'!$K$4="",'Data Entry'!$F6985='Visual SPC'!$K$4)),1,0))</f>
        <v/>
      </c>
      <c r="C6985">
        <f>C6984+B6985</f>
        <v/>
      </c>
      <c r="D6985">
        <f>IF(B6985=1,INDEX('Data Entry'!$H$5:$BE$10004,6985-4,'Visual SPC'!$B$3),"")</f>
        <v/>
      </c>
      <c r="E6985">
        <f>IF(B6985=1,D6985,E6984)</f>
        <v/>
      </c>
      <c r="F6985">
        <f>IF(AND(B6985=1,C6985&gt;1,E6984&lt;&gt;""),ABS(D6985-E6984),"")</f>
        <v/>
      </c>
    </row>
    <row r="6986">
      <c r="A6986" t="n">
        <v>6986</v>
      </c>
      <c r="B6986">
        <f>IF(INDEX('Data Entry'!$H$5:$BE$10004,6986-4,'Visual SPC'!$B$3)="",0,IF(AND(OR('Visual SPC'!$C$4="",'Data Entry'!$C6986&gt;='Visual SPC'!$C$4),OR('Visual SPC'!$E$4="",'Data Entry'!$C6986&lt;='Visual SPC'!$E$4),OR('Visual SPC'!$G$4="",'Data Entry'!$D6986='Visual SPC'!$G$4),OR('Visual SPC'!$I$4="",'Data Entry'!$E6986='Visual SPC'!$I$4),OR('Visual SPC'!$K$4="",'Data Entry'!$F6986='Visual SPC'!$K$4)),1,0))</f>
        <v/>
      </c>
      <c r="C6986">
        <f>C6985+B6986</f>
        <v/>
      </c>
      <c r="D6986">
        <f>IF(B6986=1,INDEX('Data Entry'!$H$5:$BE$10004,6986-4,'Visual SPC'!$B$3),"")</f>
        <v/>
      </c>
      <c r="E6986">
        <f>IF(B6986=1,D6986,E6985)</f>
        <v/>
      </c>
      <c r="F6986">
        <f>IF(AND(B6986=1,C6986&gt;1,E6985&lt;&gt;""),ABS(D6986-E6985),"")</f>
        <v/>
      </c>
    </row>
    <row r="6987">
      <c r="A6987" t="n">
        <v>6987</v>
      </c>
      <c r="B6987">
        <f>IF(INDEX('Data Entry'!$H$5:$BE$10004,6987-4,'Visual SPC'!$B$3)="",0,IF(AND(OR('Visual SPC'!$C$4="",'Data Entry'!$C6987&gt;='Visual SPC'!$C$4),OR('Visual SPC'!$E$4="",'Data Entry'!$C6987&lt;='Visual SPC'!$E$4),OR('Visual SPC'!$G$4="",'Data Entry'!$D6987='Visual SPC'!$G$4),OR('Visual SPC'!$I$4="",'Data Entry'!$E6987='Visual SPC'!$I$4),OR('Visual SPC'!$K$4="",'Data Entry'!$F6987='Visual SPC'!$K$4)),1,0))</f>
        <v/>
      </c>
      <c r="C6987">
        <f>C6986+B6987</f>
        <v/>
      </c>
      <c r="D6987">
        <f>IF(B6987=1,INDEX('Data Entry'!$H$5:$BE$10004,6987-4,'Visual SPC'!$B$3),"")</f>
        <v/>
      </c>
      <c r="E6987">
        <f>IF(B6987=1,D6987,E6986)</f>
        <v/>
      </c>
      <c r="F6987">
        <f>IF(AND(B6987=1,C6987&gt;1,E6986&lt;&gt;""),ABS(D6987-E6986),"")</f>
        <v/>
      </c>
    </row>
    <row r="6988">
      <c r="A6988" t="n">
        <v>6988</v>
      </c>
      <c r="B6988">
        <f>IF(INDEX('Data Entry'!$H$5:$BE$10004,6988-4,'Visual SPC'!$B$3)="",0,IF(AND(OR('Visual SPC'!$C$4="",'Data Entry'!$C6988&gt;='Visual SPC'!$C$4),OR('Visual SPC'!$E$4="",'Data Entry'!$C6988&lt;='Visual SPC'!$E$4),OR('Visual SPC'!$G$4="",'Data Entry'!$D6988='Visual SPC'!$G$4),OR('Visual SPC'!$I$4="",'Data Entry'!$E6988='Visual SPC'!$I$4),OR('Visual SPC'!$K$4="",'Data Entry'!$F6988='Visual SPC'!$K$4)),1,0))</f>
        <v/>
      </c>
      <c r="C6988">
        <f>C6987+B6988</f>
        <v/>
      </c>
      <c r="D6988">
        <f>IF(B6988=1,INDEX('Data Entry'!$H$5:$BE$10004,6988-4,'Visual SPC'!$B$3),"")</f>
        <v/>
      </c>
      <c r="E6988">
        <f>IF(B6988=1,D6988,E6987)</f>
        <v/>
      </c>
      <c r="F6988">
        <f>IF(AND(B6988=1,C6988&gt;1,E6987&lt;&gt;""),ABS(D6988-E6987),"")</f>
        <v/>
      </c>
    </row>
    <row r="6989">
      <c r="A6989" t="n">
        <v>6989</v>
      </c>
      <c r="B6989">
        <f>IF(INDEX('Data Entry'!$H$5:$BE$10004,6989-4,'Visual SPC'!$B$3)="",0,IF(AND(OR('Visual SPC'!$C$4="",'Data Entry'!$C6989&gt;='Visual SPC'!$C$4),OR('Visual SPC'!$E$4="",'Data Entry'!$C6989&lt;='Visual SPC'!$E$4),OR('Visual SPC'!$G$4="",'Data Entry'!$D6989='Visual SPC'!$G$4),OR('Visual SPC'!$I$4="",'Data Entry'!$E6989='Visual SPC'!$I$4),OR('Visual SPC'!$K$4="",'Data Entry'!$F6989='Visual SPC'!$K$4)),1,0))</f>
        <v/>
      </c>
      <c r="C6989">
        <f>C6988+B6989</f>
        <v/>
      </c>
      <c r="D6989">
        <f>IF(B6989=1,INDEX('Data Entry'!$H$5:$BE$10004,6989-4,'Visual SPC'!$B$3),"")</f>
        <v/>
      </c>
      <c r="E6989">
        <f>IF(B6989=1,D6989,E6988)</f>
        <v/>
      </c>
      <c r="F6989">
        <f>IF(AND(B6989=1,C6989&gt;1,E6988&lt;&gt;""),ABS(D6989-E6988),"")</f>
        <v/>
      </c>
    </row>
    <row r="6990">
      <c r="A6990" t="n">
        <v>6990</v>
      </c>
      <c r="B6990">
        <f>IF(INDEX('Data Entry'!$H$5:$BE$10004,6990-4,'Visual SPC'!$B$3)="",0,IF(AND(OR('Visual SPC'!$C$4="",'Data Entry'!$C6990&gt;='Visual SPC'!$C$4),OR('Visual SPC'!$E$4="",'Data Entry'!$C6990&lt;='Visual SPC'!$E$4),OR('Visual SPC'!$G$4="",'Data Entry'!$D6990='Visual SPC'!$G$4),OR('Visual SPC'!$I$4="",'Data Entry'!$E6990='Visual SPC'!$I$4),OR('Visual SPC'!$K$4="",'Data Entry'!$F6990='Visual SPC'!$K$4)),1,0))</f>
        <v/>
      </c>
      <c r="C6990">
        <f>C6989+B6990</f>
        <v/>
      </c>
      <c r="D6990">
        <f>IF(B6990=1,INDEX('Data Entry'!$H$5:$BE$10004,6990-4,'Visual SPC'!$B$3),"")</f>
        <v/>
      </c>
      <c r="E6990">
        <f>IF(B6990=1,D6990,E6989)</f>
        <v/>
      </c>
      <c r="F6990">
        <f>IF(AND(B6990=1,C6990&gt;1,E6989&lt;&gt;""),ABS(D6990-E6989),"")</f>
        <v/>
      </c>
    </row>
    <row r="6991">
      <c r="A6991" t="n">
        <v>6991</v>
      </c>
      <c r="B6991">
        <f>IF(INDEX('Data Entry'!$H$5:$BE$10004,6991-4,'Visual SPC'!$B$3)="",0,IF(AND(OR('Visual SPC'!$C$4="",'Data Entry'!$C6991&gt;='Visual SPC'!$C$4),OR('Visual SPC'!$E$4="",'Data Entry'!$C6991&lt;='Visual SPC'!$E$4),OR('Visual SPC'!$G$4="",'Data Entry'!$D6991='Visual SPC'!$G$4),OR('Visual SPC'!$I$4="",'Data Entry'!$E6991='Visual SPC'!$I$4),OR('Visual SPC'!$K$4="",'Data Entry'!$F6991='Visual SPC'!$K$4)),1,0))</f>
        <v/>
      </c>
      <c r="C6991">
        <f>C6990+B6991</f>
        <v/>
      </c>
      <c r="D6991">
        <f>IF(B6991=1,INDEX('Data Entry'!$H$5:$BE$10004,6991-4,'Visual SPC'!$B$3),"")</f>
        <v/>
      </c>
      <c r="E6991">
        <f>IF(B6991=1,D6991,E6990)</f>
        <v/>
      </c>
      <c r="F6991">
        <f>IF(AND(B6991=1,C6991&gt;1,E6990&lt;&gt;""),ABS(D6991-E6990),"")</f>
        <v/>
      </c>
    </row>
    <row r="6992">
      <c r="A6992" t="n">
        <v>6992</v>
      </c>
      <c r="B6992">
        <f>IF(INDEX('Data Entry'!$H$5:$BE$10004,6992-4,'Visual SPC'!$B$3)="",0,IF(AND(OR('Visual SPC'!$C$4="",'Data Entry'!$C6992&gt;='Visual SPC'!$C$4),OR('Visual SPC'!$E$4="",'Data Entry'!$C6992&lt;='Visual SPC'!$E$4),OR('Visual SPC'!$G$4="",'Data Entry'!$D6992='Visual SPC'!$G$4),OR('Visual SPC'!$I$4="",'Data Entry'!$E6992='Visual SPC'!$I$4),OR('Visual SPC'!$K$4="",'Data Entry'!$F6992='Visual SPC'!$K$4)),1,0))</f>
        <v/>
      </c>
      <c r="C6992">
        <f>C6991+B6992</f>
        <v/>
      </c>
      <c r="D6992">
        <f>IF(B6992=1,INDEX('Data Entry'!$H$5:$BE$10004,6992-4,'Visual SPC'!$B$3),"")</f>
        <v/>
      </c>
      <c r="E6992">
        <f>IF(B6992=1,D6992,E6991)</f>
        <v/>
      </c>
      <c r="F6992">
        <f>IF(AND(B6992=1,C6992&gt;1,E6991&lt;&gt;""),ABS(D6992-E6991),"")</f>
        <v/>
      </c>
    </row>
    <row r="6993">
      <c r="A6993" t="n">
        <v>6993</v>
      </c>
      <c r="B6993">
        <f>IF(INDEX('Data Entry'!$H$5:$BE$10004,6993-4,'Visual SPC'!$B$3)="",0,IF(AND(OR('Visual SPC'!$C$4="",'Data Entry'!$C6993&gt;='Visual SPC'!$C$4),OR('Visual SPC'!$E$4="",'Data Entry'!$C6993&lt;='Visual SPC'!$E$4),OR('Visual SPC'!$G$4="",'Data Entry'!$D6993='Visual SPC'!$G$4),OR('Visual SPC'!$I$4="",'Data Entry'!$E6993='Visual SPC'!$I$4),OR('Visual SPC'!$K$4="",'Data Entry'!$F6993='Visual SPC'!$K$4)),1,0))</f>
        <v/>
      </c>
      <c r="C6993">
        <f>C6992+B6993</f>
        <v/>
      </c>
      <c r="D6993">
        <f>IF(B6993=1,INDEX('Data Entry'!$H$5:$BE$10004,6993-4,'Visual SPC'!$B$3),"")</f>
        <v/>
      </c>
      <c r="E6993">
        <f>IF(B6993=1,D6993,E6992)</f>
        <v/>
      </c>
      <c r="F6993">
        <f>IF(AND(B6993=1,C6993&gt;1,E6992&lt;&gt;""),ABS(D6993-E6992),"")</f>
        <v/>
      </c>
    </row>
    <row r="6994">
      <c r="A6994" t="n">
        <v>6994</v>
      </c>
      <c r="B6994">
        <f>IF(INDEX('Data Entry'!$H$5:$BE$10004,6994-4,'Visual SPC'!$B$3)="",0,IF(AND(OR('Visual SPC'!$C$4="",'Data Entry'!$C6994&gt;='Visual SPC'!$C$4),OR('Visual SPC'!$E$4="",'Data Entry'!$C6994&lt;='Visual SPC'!$E$4),OR('Visual SPC'!$G$4="",'Data Entry'!$D6994='Visual SPC'!$G$4),OR('Visual SPC'!$I$4="",'Data Entry'!$E6994='Visual SPC'!$I$4),OR('Visual SPC'!$K$4="",'Data Entry'!$F6994='Visual SPC'!$K$4)),1,0))</f>
        <v/>
      </c>
      <c r="C6994">
        <f>C6993+B6994</f>
        <v/>
      </c>
      <c r="D6994">
        <f>IF(B6994=1,INDEX('Data Entry'!$H$5:$BE$10004,6994-4,'Visual SPC'!$B$3),"")</f>
        <v/>
      </c>
      <c r="E6994">
        <f>IF(B6994=1,D6994,E6993)</f>
        <v/>
      </c>
      <c r="F6994">
        <f>IF(AND(B6994=1,C6994&gt;1,E6993&lt;&gt;""),ABS(D6994-E6993),"")</f>
        <v/>
      </c>
    </row>
    <row r="6995">
      <c r="A6995" t="n">
        <v>6995</v>
      </c>
      <c r="B6995">
        <f>IF(INDEX('Data Entry'!$H$5:$BE$10004,6995-4,'Visual SPC'!$B$3)="",0,IF(AND(OR('Visual SPC'!$C$4="",'Data Entry'!$C6995&gt;='Visual SPC'!$C$4),OR('Visual SPC'!$E$4="",'Data Entry'!$C6995&lt;='Visual SPC'!$E$4),OR('Visual SPC'!$G$4="",'Data Entry'!$D6995='Visual SPC'!$G$4),OR('Visual SPC'!$I$4="",'Data Entry'!$E6995='Visual SPC'!$I$4),OR('Visual SPC'!$K$4="",'Data Entry'!$F6995='Visual SPC'!$K$4)),1,0))</f>
        <v/>
      </c>
      <c r="C6995">
        <f>C6994+B6995</f>
        <v/>
      </c>
      <c r="D6995">
        <f>IF(B6995=1,INDEX('Data Entry'!$H$5:$BE$10004,6995-4,'Visual SPC'!$B$3),"")</f>
        <v/>
      </c>
      <c r="E6995">
        <f>IF(B6995=1,D6995,E6994)</f>
        <v/>
      </c>
      <c r="F6995">
        <f>IF(AND(B6995=1,C6995&gt;1,E6994&lt;&gt;""),ABS(D6995-E6994),"")</f>
        <v/>
      </c>
    </row>
    <row r="6996">
      <c r="A6996" t="n">
        <v>6996</v>
      </c>
      <c r="B6996">
        <f>IF(INDEX('Data Entry'!$H$5:$BE$10004,6996-4,'Visual SPC'!$B$3)="",0,IF(AND(OR('Visual SPC'!$C$4="",'Data Entry'!$C6996&gt;='Visual SPC'!$C$4),OR('Visual SPC'!$E$4="",'Data Entry'!$C6996&lt;='Visual SPC'!$E$4),OR('Visual SPC'!$G$4="",'Data Entry'!$D6996='Visual SPC'!$G$4),OR('Visual SPC'!$I$4="",'Data Entry'!$E6996='Visual SPC'!$I$4),OR('Visual SPC'!$K$4="",'Data Entry'!$F6996='Visual SPC'!$K$4)),1,0))</f>
        <v/>
      </c>
      <c r="C6996">
        <f>C6995+B6996</f>
        <v/>
      </c>
      <c r="D6996">
        <f>IF(B6996=1,INDEX('Data Entry'!$H$5:$BE$10004,6996-4,'Visual SPC'!$B$3),"")</f>
        <v/>
      </c>
      <c r="E6996">
        <f>IF(B6996=1,D6996,E6995)</f>
        <v/>
      </c>
      <c r="F6996">
        <f>IF(AND(B6996=1,C6996&gt;1,E6995&lt;&gt;""),ABS(D6996-E6995),"")</f>
        <v/>
      </c>
    </row>
    <row r="6997">
      <c r="A6997" t="n">
        <v>6997</v>
      </c>
      <c r="B6997">
        <f>IF(INDEX('Data Entry'!$H$5:$BE$10004,6997-4,'Visual SPC'!$B$3)="",0,IF(AND(OR('Visual SPC'!$C$4="",'Data Entry'!$C6997&gt;='Visual SPC'!$C$4),OR('Visual SPC'!$E$4="",'Data Entry'!$C6997&lt;='Visual SPC'!$E$4),OR('Visual SPC'!$G$4="",'Data Entry'!$D6997='Visual SPC'!$G$4),OR('Visual SPC'!$I$4="",'Data Entry'!$E6997='Visual SPC'!$I$4),OR('Visual SPC'!$K$4="",'Data Entry'!$F6997='Visual SPC'!$K$4)),1,0))</f>
        <v/>
      </c>
      <c r="C6997">
        <f>C6996+B6997</f>
        <v/>
      </c>
      <c r="D6997">
        <f>IF(B6997=1,INDEX('Data Entry'!$H$5:$BE$10004,6997-4,'Visual SPC'!$B$3),"")</f>
        <v/>
      </c>
      <c r="E6997">
        <f>IF(B6997=1,D6997,E6996)</f>
        <v/>
      </c>
      <c r="F6997">
        <f>IF(AND(B6997=1,C6997&gt;1,E6996&lt;&gt;""),ABS(D6997-E6996),"")</f>
        <v/>
      </c>
    </row>
    <row r="6998">
      <c r="A6998" t="n">
        <v>6998</v>
      </c>
      <c r="B6998">
        <f>IF(INDEX('Data Entry'!$H$5:$BE$10004,6998-4,'Visual SPC'!$B$3)="",0,IF(AND(OR('Visual SPC'!$C$4="",'Data Entry'!$C6998&gt;='Visual SPC'!$C$4),OR('Visual SPC'!$E$4="",'Data Entry'!$C6998&lt;='Visual SPC'!$E$4),OR('Visual SPC'!$G$4="",'Data Entry'!$D6998='Visual SPC'!$G$4),OR('Visual SPC'!$I$4="",'Data Entry'!$E6998='Visual SPC'!$I$4),OR('Visual SPC'!$K$4="",'Data Entry'!$F6998='Visual SPC'!$K$4)),1,0))</f>
        <v/>
      </c>
      <c r="C6998">
        <f>C6997+B6998</f>
        <v/>
      </c>
      <c r="D6998">
        <f>IF(B6998=1,INDEX('Data Entry'!$H$5:$BE$10004,6998-4,'Visual SPC'!$B$3),"")</f>
        <v/>
      </c>
      <c r="E6998">
        <f>IF(B6998=1,D6998,E6997)</f>
        <v/>
      </c>
      <c r="F6998">
        <f>IF(AND(B6998=1,C6998&gt;1,E6997&lt;&gt;""),ABS(D6998-E6997),"")</f>
        <v/>
      </c>
    </row>
    <row r="6999">
      <c r="A6999" t="n">
        <v>6999</v>
      </c>
      <c r="B6999">
        <f>IF(INDEX('Data Entry'!$H$5:$BE$10004,6999-4,'Visual SPC'!$B$3)="",0,IF(AND(OR('Visual SPC'!$C$4="",'Data Entry'!$C6999&gt;='Visual SPC'!$C$4),OR('Visual SPC'!$E$4="",'Data Entry'!$C6999&lt;='Visual SPC'!$E$4),OR('Visual SPC'!$G$4="",'Data Entry'!$D6999='Visual SPC'!$G$4),OR('Visual SPC'!$I$4="",'Data Entry'!$E6999='Visual SPC'!$I$4),OR('Visual SPC'!$K$4="",'Data Entry'!$F6999='Visual SPC'!$K$4)),1,0))</f>
        <v/>
      </c>
      <c r="C6999">
        <f>C6998+B6999</f>
        <v/>
      </c>
      <c r="D6999">
        <f>IF(B6999=1,INDEX('Data Entry'!$H$5:$BE$10004,6999-4,'Visual SPC'!$B$3),"")</f>
        <v/>
      </c>
      <c r="E6999">
        <f>IF(B6999=1,D6999,E6998)</f>
        <v/>
      </c>
      <c r="F6999">
        <f>IF(AND(B6999=1,C6999&gt;1,E6998&lt;&gt;""),ABS(D6999-E6998),"")</f>
        <v/>
      </c>
    </row>
    <row r="7000">
      <c r="A7000" t="n">
        <v>7000</v>
      </c>
      <c r="B7000">
        <f>IF(INDEX('Data Entry'!$H$5:$BE$10004,7000-4,'Visual SPC'!$B$3)="",0,IF(AND(OR('Visual SPC'!$C$4="",'Data Entry'!$C7000&gt;='Visual SPC'!$C$4),OR('Visual SPC'!$E$4="",'Data Entry'!$C7000&lt;='Visual SPC'!$E$4),OR('Visual SPC'!$G$4="",'Data Entry'!$D7000='Visual SPC'!$G$4),OR('Visual SPC'!$I$4="",'Data Entry'!$E7000='Visual SPC'!$I$4),OR('Visual SPC'!$K$4="",'Data Entry'!$F7000='Visual SPC'!$K$4)),1,0))</f>
        <v/>
      </c>
      <c r="C7000">
        <f>C6999+B7000</f>
        <v/>
      </c>
      <c r="D7000">
        <f>IF(B7000=1,INDEX('Data Entry'!$H$5:$BE$10004,7000-4,'Visual SPC'!$B$3),"")</f>
        <v/>
      </c>
      <c r="E7000">
        <f>IF(B7000=1,D7000,E6999)</f>
        <v/>
      </c>
      <c r="F7000">
        <f>IF(AND(B7000=1,C7000&gt;1,E6999&lt;&gt;""),ABS(D7000-E6999),"")</f>
        <v/>
      </c>
    </row>
    <row r="7001">
      <c r="A7001" t="n">
        <v>7001</v>
      </c>
      <c r="B7001">
        <f>IF(INDEX('Data Entry'!$H$5:$BE$10004,7001-4,'Visual SPC'!$B$3)="",0,IF(AND(OR('Visual SPC'!$C$4="",'Data Entry'!$C7001&gt;='Visual SPC'!$C$4),OR('Visual SPC'!$E$4="",'Data Entry'!$C7001&lt;='Visual SPC'!$E$4),OR('Visual SPC'!$G$4="",'Data Entry'!$D7001='Visual SPC'!$G$4),OR('Visual SPC'!$I$4="",'Data Entry'!$E7001='Visual SPC'!$I$4),OR('Visual SPC'!$K$4="",'Data Entry'!$F7001='Visual SPC'!$K$4)),1,0))</f>
        <v/>
      </c>
      <c r="C7001">
        <f>C7000+B7001</f>
        <v/>
      </c>
      <c r="D7001">
        <f>IF(B7001=1,INDEX('Data Entry'!$H$5:$BE$10004,7001-4,'Visual SPC'!$B$3),"")</f>
        <v/>
      </c>
      <c r="E7001">
        <f>IF(B7001=1,D7001,E7000)</f>
        <v/>
      </c>
      <c r="F7001">
        <f>IF(AND(B7001=1,C7001&gt;1,E7000&lt;&gt;""),ABS(D7001-E7000),"")</f>
        <v/>
      </c>
    </row>
    <row r="7002">
      <c r="A7002" t="n">
        <v>7002</v>
      </c>
      <c r="B7002">
        <f>IF(INDEX('Data Entry'!$H$5:$BE$10004,7002-4,'Visual SPC'!$B$3)="",0,IF(AND(OR('Visual SPC'!$C$4="",'Data Entry'!$C7002&gt;='Visual SPC'!$C$4),OR('Visual SPC'!$E$4="",'Data Entry'!$C7002&lt;='Visual SPC'!$E$4),OR('Visual SPC'!$G$4="",'Data Entry'!$D7002='Visual SPC'!$G$4),OR('Visual SPC'!$I$4="",'Data Entry'!$E7002='Visual SPC'!$I$4),OR('Visual SPC'!$K$4="",'Data Entry'!$F7002='Visual SPC'!$K$4)),1,0))</f>
        <v/>
      </c>
      <c r="C7002">
        <f>C7001+B7002</f>
        <v/>
      </c>
      <c r="D7002">
        <f>IF(B7002=1,INDEX('Data Entry'!$H$5:$BE$10004,7002-4,'Visual SPC'!$B$3),"")</f>
        <v/>
      </c>
      <c r="E7002">
        <f>IF(B7002=1,D7002,E7001)</f>
        <v/>
      </c>
      <c r="F7002">
        <f>IF(AND(B7002=1,C7002&gt;1,E7001&lt;&gt;""),ABS(D7002-E7001),"")</f>
        <v/>
      </c>
    </row>
    <row r="7003">
      <c r="A7003" t="n">
        <v>7003</v>
      </c>
      <c r="B7003">
        <f>IF(INDEX('Data Entry'!$H$5:$BE$10004,7003-4,'Visual SPC'!$B$3)="",0,IF(AND(OR('Visual SPC'!$C$4="",'Data Entry'!$C7003&gt;='Visual SPC'!$C$4),OR('Visual SPC'!$E$4="",'Data Entry'!$C7003&lt;='Visual SPC'!$E$4),OR('Visual SPC'!$G$4="",'Data Entry'!$D7003='Visual SPC'!$G$4),OR('Visual SPC'!$I$4="",'Data Entry'!$E7003='Visual SPC'!$I$4),OR('Visual SPC'!$K$4="",'Data Entry'!$F7003='Visual SPC'!$K$4)),1,0))</f>
        <v/>
      </c>
      <c r="C7003">
        <f>C7002+B7003</f>
        <v/>
      </c>
      <c r="D7003">
        <f>IF(B7003=1,INDEX('Data Entry'!$H$5:$BE$10004,7003-4,'Visual SPC'!$B$3),"")</f>
        <v/>
      </c>
      <c r="E7003">
        <f>IF(B7003=1,D7003,E7002)</f>
        <v/>
      </c>
      <c r="F7003">
        <f>IF(AND(B7003=1,C7003&gt;1,E7002&lt;&gt;""),ABS(D7003-E7002),"")</f>
        <v/>
      </c>
    </row>
    <row r="7004">
      <c r="A7004" t="n">
        <v>7004</v>
      </c>
      <c r="B7004">
        <f>IF(INDEX('Data Entry'!$H$5:$BE$10004,7004-4,'Visual SPC'!$B$3)="",0,IF(AND(OR('Visual SPC'!$C$4="",'Data Entry'!$C7004&gt;='Visual SPC'!$C$4),OR('Visual SPC'!$E$4="",'Data Entry'!$C7004&lt;='Visual SPC'!$E$4),OR('Visual SPC'!$G$4="",'Data Entry'!$D7004='Visual SPC'!$G$4),OR('Visual SPC'!$I$4="",'Data Entry'!$E7004='Visual SPC'!$I$4),OR('Visual SPC'!$K$4="",'Data Entry'!$F7004='Visual SPC'!$K$4)),1,0))</f>
        <v/>
      </c>
      <c r="C7004">
        <f>C7003+B7004</f>
        <v/>
      </c>
      <c r="D7004">
        <f>IF(B7004=1,INDEX('Data Entry'!$H$5:$BE$10004,7004-4,'Visual SPC'!$B$3),"")</f>
        <v/>
      </c>
      <c r="E7004">
        <f>IF(B7004=1,D7004,E7003)</f>
        <v/>
      </c>
      <c r="F7004">
        <f>IF(AND(B7004=1,C7004&gt;1,E7003&lt;&gt;""),ABS(D7004-E7003),"")</f>
        <v/>
      </c>
    </row>
    <row r="7005">
      <c r="A7005" t="n">
        <v>7005</v>
      </c>
      <c r="B7005">
        <f>IF(INDEX('Data Entry'!$H$5:$BE$10004,7005-4,'Visual SPC'!$B$3)="",0,IF(AND(OR('Visual SPC'!$C$4="",'Data Entry'!$C7005&gt;='Visual SPC'!$C$4),OR('Visual SPC'!$E$4="",'Data Entry'!$C7005&lt;='Visual SPC'!$E$4),OR('Visual SPC'!$G$4="",'Data Entry'!$D7005='Visual SPC'!$G$4),OR('Visual SPC'!$I$4="",'Data Entry'!$E7005='Visual SPC'!$I$4),OR('Visual SPC'!$K$4="",'Data Entry'!$F7005='Visual SPC'!$K$4)),1,0))</f>
        <v/>
      </c>
      <c r="C7005">
        <f>C7004+B7005</f>
        <v/>
      </c>
      <c r="D7005">
        <f>IF(B7005=1,INDEX('Data Entry'!$H$5:$BE$10004,7005-4,'Visual SPC'!$B$3),"")</f>
        <v/>
      </c>
      <c r="E7005">
        <f>IF(B7005=1,D7005,E7004)</f>
        <v/>
      </c>
      <c r="F7005">
        <f>IF(AND(B7005=1,C7005&gt;1,E7004&lt;&gt;""),ABS(D7005-E7004),"")</f>
        <v/>
      </c>
    </row>
    <row r="7006">
      <c r="A7006" t="n">
        <v>7006</v>
      </c>
      <c r="B7006">
        <f>IF(INDEX('Data Entry'!$H$5:$BE$10004,7006-4,'Visual SPC'!$B$3)="",0,IF(AND(OR('Visual SPC'!$C$4="",'Data Entry'!$C7006&gt;='Visual SPC'!$C$4),OR('Visual SPC'!$E$4="",'Data Entry'!$C7006&lt;='Visual SPC'!$E$4),OR('Visual SPC'!$G$4="",'Data Entry'!$D7006='Visual SPC'!$G$4),OR('Visual SPC'!$I$4="",'Data Entry'!$E7006='Visual SPC'!$I$4),OR('Visual SPC'!$K$4="",'Data Entry'!$F7006='Visual SPC'!$K$4)),1,0))</f>
        <v/>
      </c>
      <c r="C7006">
        <f>C7005+B7006</f>
        <v/>
      </c>
      <c r="D7006">
        <f>IF(B7006=1,INDEX('Data Entry'!$H$5:$BE$10004,7006-4,'Visual SPC'!$B$3),"")</f>
        <v/>
      </c>
      <c r="E7006">
        <f>IF(B7006=1,D7006,E7005)</f>
        <v/>
      </c>
      <c r="F7006">
        <f>IF(AND(B7006=1,C7006&gt;1,E7005&lt;&gt;""),ABS(D7006-E7005),"")</f>
        <v/>
      </c>
    </row>
    <row r="7007">
      <c r="A7007" t="n">
        <v>7007</v>
      </c>
      <c r="B7007">
        <f>IF(INDEX('Data Entry'!$H$5:$BE$10004,7007-4,'Visual SPC'!$B$3)="",0,IF(AND(OR('Visual SPC'!$C$4="",'Data Entry'!$C7007&gt;='Visual SPC'!$C$4),OR('Visual SPC'!$E$4="",'Data Entry'!$C7007&lt;='Visual SPC'!$E$4),OR('Visual SPC'!$G$4="",'Data Entry'!$D7007='Visual SPC'!$G$4),OR('Visual SPC'!$I$4="",'Data Entry'!$E7007='Visual SPC'!$I$4),OR('Visual SPC'!$K$4="",'Data Entry'!$F7007='Visual SPC'!$K$4)),1,0))</f>
        <v/>
      </c>
      <c r="C7007">
        <f>C7006+B7007</f>
        <v/>
      </c>
      <c r="D7007">
        <f>IF(B7007=1,INDEX('Data Entry'!$H$5:$BE$10004,7007-4,'Visual SPC'!$B$3),"")</f>
        <v/>
      </c>
      <c r="E7007">
        <f>IF(B7007=1,D7007,E7006)</f>
        <v/>
      </c>
      <c r="F7007">
        <f>IF(AND(B7007=1,C7007&gt;1,E7006&lt;&gt;""),ABS(D7007-E7006),"")</f>
        <v/>
      </c>
    </row>
    <row r="7008">
      <c r="A7008" t="n">
        <v>7008</v>
      </c>
      <c r="B7008">
        <f>IF(INDEX('Data Entry'!$H$5:$BE$10004,7008-4,'Visual SPC'!$B$3)="",0,IF(AND(OR('Visual SPC'!$C$4="",'Data Entry'!$C7008&gt;='Visual SPC'!$C$4),OR('Visual SPC'!$E$4="",'Data Entry'!$C7008&lt;='Visual SPC'!$E$4),OR('Visual SPC'!$G$4="",'Data Entry'!$D7008='Visual SPC'!$G$4),OR('Visual SPC'!$I$4="",'Data Entry'!$E7008='Visual SPC'!$I$4),OR('Visual SPC'!$K$4="",'Data Entry'!$F7008='Visual SPC'!$K$4)),1,0))</f>
        <v/>
      </c>
      <c r="C7008">
        <f>C7007+B7008</f>
        <v/>
      </c>
      <c r="D7008">
        <f>IF(B7008=1,INDEX('Data Entry'!$H$5:$BE$10004,7008-4,'Visual SPC'!$B$3),"")</f>
        <v/>
      </c>
      <c r="E7008">
        <f>IF(B7008=1,D7008,E7007)</f>
        <v/>
      </c>
      <c r="F7008">
        <f>IF(AND(B7008=1,C7008&gt;1,E7007&lt;&gt;""),ABS(D7008-E7007),"")</f>
        <v/>
      </c>
    </row>
    <row r="7009">
      <c r="A7009" t="n">
        <v>7009</v>
      </c>
      <c r="B7009">
        <f>IF(INDEX('Data Entry'!$H$5:$BE$10004,7009-4,'Visual SPC'!$B$3)="",0,IF(AND(OR('Visual SPC'!$C$4="",'Data Entry'!$C7009&gt;='Visual SPC'!$C$4),OR('Visual SPC'!$E$4="",'Data Entry'!$C7009&lt;='Visual SPC'!$E$4),OR('Visual SPC'!$G$4="",'Data Entry'!$D7009='Visual SPC'!$G$4),OR('Visual SPC'!$I$4="",'Data Entry'!$E7009='Visual SPC'!$I$4),OR('Visual SPC'!$K$4="",'Data Entry'!$F7009='Visual SPC'!$K$4)),1,0))</f>
        <v/>
      </c>
      <c r="C7009">
        <f>C7008+B7009</f>
        <v/>
      </c>
      <c r="D7009">
        <f>IF(B7009=1,INDEX('Data Entry'!$H$5:$BE$10004,7009-4,'Visual SPC'!$B$3),"")</f>
        <v/>
      </c>
      <c r="E7009">
        <f>IF(B7009=1,D7009,E7008)</f>
        <v/>
      </c>
      <c r="F7009">
        <f>IF(AND(B7009=1,C7009&gt;1,E7008&lt;&gt;""),ABS(D7009-E7008),"")</f>
        <v/>
      </c>
    </row>
    <row r="7010">
      <c r="A7010" t="n">
        <v>7010</v>
      </c>
      <c r="B7010">
        <f>IF(INDEX('Data Entry'!$H$5:$BE$10004,7010-4,'Visual SPC'!$B$3)="",0,IF(AND(OR('Visual SPC'!$C$4="",'Data Entry'!$C7010&gt;='Visual SPC'!$C$4),OR('Visual SPC'!$E$4="",'Data Entry'!$C7010&lt;='Visual SPC'!$E$4),OR('Visual SPC'!$G$4="",'Data Entry'!$D7010='Visual SPC'!$G$4),OR('Visual SPC'!$I$4="",'Data Entry'!$E7010='Visual SPC'!$I$4),OR('Visual SPC'!$K$4="",'Data Entry'!$F7010='Visual SPC'!$K$4)),1,0))</f>
        <v/>
      </c>
      <c r="C7010">
        <f>C7009+B7010</f>
        <v/>
      </c>
      <c r="D7010">
        <f>IF(B7010=1,INDEX('Data Entry'!$H$5:$BE$10004,7010-4,'Visual SPC'!$B$3),"")</f>
        <v/>
      </c>
      <c r="E7010">
        <f>IF(B7010=1,D7010,E7009)</f>
        <v/>
      </c>
      <c r="F7010">
        <f>IF(AND(B7010=1,C7010&gt;1,E7009&lt;&gt;""),ABS(D7010-E7009),"")</f>
        <v/>
      </c>
    </row>
    <row r="7011">
      <c r="A7011" t="n">
        <v>7011</v>
      </c>
      <c r="B7011">
        <f>IF(INDEX('Data Entry'!$H$5:$BE$10004,7011-4,'Visual SPC'!$B$3)="",0,IF(AND(OR('Visual SPC'!$C$4="",'Data Entry'!$C7011&gt;='Visual SPC'!$C$4),OR('Visual SPC'!$E$4="",'Data Entry'!$C7011&lt;='Visual SPC'!$E$4),OR('Visual SPC'!$G$4="",'Data Entry'!$D7011='Visual SPC'!$G$4),OR('Visual SPC'!$I$4="",'Data Entry'!$E7011='Visual SPC'!$I$4),OR('Visual SPC'!$K$4="",'Data Entry'!$F7011='Visual SPC'!$K$4)),1,0))</f>
        <v/>
      </c>
      <c r="C7011">
        <f>C7010+B7011</f>
        <v/>
      </c>
      <c r="D7011">
        <f>IF(B7011=1,INDEX('Data Entry'!$H$5:$BE$10004,7011-4,'Visual SPC'!$B$3),"")</f>
        <v/>
      </c>
      <c r="E7011">
        <f>IF(B7011=1,D7011,E7010)</f>
        <v/>
      </c>
      <c r="F7011">
        <f>IF(AND(B7011=1,C7011&gt;1,E7010&lt;&gt;""),ABS(D7011-E7010),"")</f>
        <v/>
      </c>
    </row>
    <row r="7012">
      <c r="A7012" t="n">
        <v>7012</v>
      </c>
      <c r="B7012">
        <f>IF(INDEX('Data Entry'!$H$5:$BE$10004,7012-4,'Visual SPC'!$B$3)="",0,IF(AND(OR('Visual SPC'!$C$4="",'Data Entry'!$C7012&gt;='Visual SPC'!$C$4),OR('Visual SPC'!$E$4="",'Data Entry'!$C7012&lt;='Visual SPC'!$E$4),OR('Visual SPC'!$G$4="",'Data Entry'!$D7012='Visual SPC'!$G$4),OR('Visual SPC'!$I$4="",'Data Entry'!$E7012='Visual SPC'!$I$4),OR('Visual SPC'!$K$4="",'Data Entry'!$F7012='Visual SPC'!$K$4)),1,0))</f>
        <v/>
      </c>
      <c r="C7012">
        <f>C7011+B7012</f>
        <v/>
      </c>
      <c r="D7012">
        <f>IF(B7012=1,INDEX('Data Entry'!$H$5:$BE$10004,7012-4,'Visual SPC'!$B$3),"")</f>
        <v/>
      </c>
      <c r="E7012">
        <f>IF(B7012=1,D7012,E7011)</f>
        <v/>
      </c>
      <c r="F7012">
        <f>IF(AND(B7012=1,C7012&gt;1,E7011&lt;&gt;""),ABS(D7012-E7011),"")</f>
        <v/>
      </c>
    </row>
    <row r="7013">
      <c r="A7013" t="n">
        <v>7013</v>
      </c>
      <c r="B7013">
        <f>IF(INDEX('Data Entry'!$H$5:$BE$10004,7013-4,'Visual SPC'!$B$3)="",0,IF(AND(OR('Visual SPC'!$C$4="",'Data Entry'!$C7013&gt;='Visual SPC'!$C$4),OR('Visual SPC'!$E$4="",'Data Entry'!$C7013&lt;='Visual SPC'!$E$4),OR('Visual SPC'!$G$4="",'Data Entry'!$D7013='Visual SPC'!$G$4),OR('Visual SPC'!$I$4="",'Data Entry'!$E7013='Visual SPC'!$I$4),OR('Visual SPC'!$K$4="",'Data Entry'!$F7013='Visual SPC'!$K$4)),1,0))</f>
        <v/>
      </c>
      <c r="C7013">
        <f>C7012+B7013</f>
        <v/>
      </c>
      <c r="D7013">
        <f>IF(B7013=1,INDEX('Data Entry'!$H$5:$BE$10004,7013-4,'Visual SPC'!$B$3),"")</f>
        <v/>
      </c>
      <c r="E7013">
        <f>IF(B7013=1,D7013,E7012)</f>
        <v/>
      </c>
      <c r="F7013">
        <f>IF(AND(B7013=1,C7013&gt;1,E7012&lt;&gt;""),ABS(D7013-E7012),"")</f>
        <v/>
      </c>
    </row>
    <row r="7014">
      <c r="A7014" t="n">
        <v>7014</v>
      </c>
      <c r="B7014">
        <f>IF(INDEX('Data Entry'!$H$5:$BE$10004,7014-4,'Visual SPC'!$B$3)="",0,IF(AND(OR('Visual SPC'!$C$4="",'Data Entry'!$C7014&gt;='Visual SPC'!$C$4),OR('Visual SPC'!$E$4="",'Data Entry'!$C7014&lt;='Visual SPC'!$E$4),OR('Visual SPC'!$G$4="",'Data Entry'!$D7014='Visual SPC'!$G$4),OR('Visual SPC'!$I$4="",'Data Entry'!$E7014='Visual SPC'!$I$4),OR('Visual SPC'!$K$4="",'Data Entry'!$F7014='Visual SPC'!$K$4)),1,0))</f>
        <v/>
      </c>
      <c r="C7014">
        <f>C7013+B7014</f>
        <v/>
      </c>
      <c r="D7014">
        <f>IF(B7014=1,INDEX('Data Entry'!$H$5:$BE$10004,7014-4,'Visual SPC'!$B$3),"")</f>
        <v/>
      </c>
      <c r="E7014">
        <f>IF(B7014=1,D7014,E7013)</f>
        <v/>
      </c>
      <c r="F7014">
        <f>IF(AND(B7014=1,C7014&gt;1,E7013&lt;&gt;""),ABS(D7014-E7013),"")</f>
        <v/>
      </c>
    </row>
    <row r="7015">
      <c r="A7015" t="n">
        <v>7015</v>
      </c>
      <c r="B7015">
        <f>IF(INDEX('Data Entry'!$H$5:$BE$10004,7015-4,'Visual SPC'!$B$3)="",0,IF(AND(OR('Visual SPC'!$C$4="",'Data Entry'!$C7015&gt;='Visual SPC'!$C$4),OR('Visual SPC'!$E$4="",'Data Entry'!$C7015&lt;='Visual SPC'!$E$4),OR('Visual SPC'!$G$4="",'Data Entry'!$D7015='Visual SPC'!$G$4),OR('Visual SPC'!$I$4="",'Data Entry'!$E7015='Visual SPC'!$I$4),OR('Visual SPC'!$K$4="",'Data Entry'!$F7015='Visual SPC'!$K$4)),1,0))</f>
        <v/>
      </c>
      <c r="C7015">
        <f>C7014+B7015</f>
        <v/>
      </c>
      <c r="D7015">
        <f>IF(B7015=1,INDEX('Data Entry'!$H$5:$BE$10004,7015-4,'Visual SPC'!$B$3),"")</f>
        <v/>
      </c>
      <c r="E7015">
        <f>IF(B7015=1,D7015,E7014)</f>
        <v/>
      </c>
      <c r="F7015">
        <f>IF(AND(B7015=1,C7015&gt;1,E7014&lt;&gt;""),ABS(D7015-E7014),"")</f>
        <v/>
      </c>
    </row>
    <row r="7016">
      <c r="A7016" t="n">
        <v>7016</v>
      </c>
      <c r="B7016">
        <f>IF(INDEX('Data Entry'!$H$5:$BE$10004,7016-4,'Visual SPC'!$B$3)="",0,IF(AND(OR('Visual SPC'!$C$4="",'Data Entry'!$C7016&gt;='Visual SPC'!$C$4),OR('Visual SPC'!$E$4="",'Data Entry'!$C7016&lt;='Visual SPC'!$E$4),OR('Visual SPC'!$G$4="",'Data Entry'!$D7016='Visual SPC'!$G$4),OR('Visual SPC'!$I$4="",'Data Entry'!$E7016='Visual SPC'!$I$4),OR('Visual SPC'!$K$4="",'Data Entry'!$F7016='Visual SPC'!$K$4)),1,0))</f>
        <v/>
      </c>
      <c r="C7016">
        <f>C7015+B7016</f>
        <v/>
      </c>
      <c r="D7016">
        <f>IF(B7016=1,INDEX('Data Entry'!$H$5:$BE$10004,7016-4,'Visual SPC'!$B$3),"")</f>
        <v/>
      </c>
      <c r="E7016">
        <f>IF(B7016=1,D7016,E7015)</f>
        <v/>
      </c>
      <c r="F7016">
        <f>IF(AND(B7016=1,C7016&gt;1,E7015&lt;&gt;""),ABS(D7016-E7015),"")</f>
        <v/>
      </c>
    </row>
    <row r="7017">
      <c r="A7017" t="n">
        <v>7017</v>
      </c>
      <c r="B7017">
        <f>IF(INDEX('Data Entry'!$H$5:$BE$10004,7017-4,'Visual SPC'!$B$3)="",0,IF(AND(OR('Visual SPC'!$C$4="",'Data Entry'!$C7017&gt;='Visual SPC'!$C$4),OR('Visual SPC'!$E$4="",'Data Entry'!$C7017&lt;='Visual SPC'!$E$4),OR('Visual SPC'!$G$4="",'Data Entry'!$D7017='Visual SPC'!$G$4),OR('Visual SPC'!$I$4="",'Data Entry'!$E7017='Visual SPC'!$I$4),OR('Visual SPC'!$K$4="",'Data Entry'!$F7017='Visual SPC'!$K$4)),1,0))</f>
        <v/>
      </c>
      <c r="C7017">
        <f>C7016+B7017</f>
        <v/>
      </c>
      <c r="D7017">
        <f>IF(B7017=1,INDEX('Data Entry'!$H$5:$BE$10004,7017-4,'Visual SPC'!$B$3),"")</f>
        <v/>
      </c>
      <c r="E7017">
        <f>IF(B7017=1,D7017,E7016)</f>
        <v/>
      </c>
      <c r="F7017">
        <f>IF(AND(B7017=1,C7017&gt;1,E7016&lt;&gt;""),ABS(D7017-E7016),"")</f>
        <v/>
      </c>
    </row>
    <row r="7018">
      <c r="A7018" t="n">
        <v>7018</v>
      </c>
      <c r="B7018">
        <f>IF(INDEX('Data Entry'!$H$5:$BE$10004,7018-4,'Visual SPC'!$B$3)="",0,IF(AND(OR('Visual SPC'!$C$4="",'Data Entry'!$C7018&gt;='Visual SPC'!$C$4),OR('Visual SPC'!$E$4="",'Data Entry'!$C7018&lt;='Visual SPC'!$E$4),OR('Visual SPC'!$G$4="",'Data Entry'!$D7018='Visual SPC'!$G$4),OR('Visual SPC'!$I$4="",'Data Entry'!$E7018='Visual SPC'!$I$4),OR('Visual SPC'!$K$4="",'Data Entry'!$F7018='Visual SPC'!$K$4)),1,0))</f>
        <v/>
      </c>
      <c r="C7018">
        <f>C7017+B7018</f>
        <v/>
      </c>
      <c r="D7018">
        <f>IF(B7018=1,INDEX('Data Entry'!$H$5:$BE$10004,7018-4,'Visual SPC'!$B$3),"")</f>
        <v/>
      </c>
      <c r="E7018">
        <f>IF(B7018=1,D7018,E7017)</f>
        <v/>
      </c>
      <c r="F7018">
        <f>IF(AND(B7018=1,C7018&gt;1,E7017&lt;&gt;""),ABS(D7018-E7017),"")</f>
        <v/>
      </c>
    </row>
    <row r="7019">
      <c r="A7019" t="n">
        <v>7019</v>
      </c>
      <c r="B7019">
        <f>IF(INDEX('Data Entry'!$H$5:$BE$10004,7019-4,'Visual SPC'!$B$3)="",0,IF(AND(OR('Visual SPC'!$C$4="",'Data Entry'!$C7019&gt;='Visual SPC'!$C$4),OR('Visual SPC'!$E$4="",'Data Entry'!$C7019&lt;='Visual SPC'!$E$4),OR('Visual SPC'!$G$4="",'Data Entry'!$D7019='Visual SPC'!$G$4),OR('Visual SPC'!$I$4="",'Data Entry'!$E7019='Visual SPC'!$I$4),OR('Visual SPC'!$K$4="",'Data Entry'!$F7019='Visual SPC'!$K$4)),1,0))</f>
        <v/>
      </c>
      <c r="C7019">
        <f>C7018+B7019</f>
        <v/>
      </c>
      <c r="D7019">
        <f>IF(B7019=1,INDEX('Data Entry'!$H$5:$BE$10004,7019-4,'Visual SPC'!$B$3),"")</f>
        <v/>
      </c>
      <c r="E7019">
        <f>IF(B7019=1,D7019,E7018)</f>
        <v/>
      </c>
      <c r="F7019">
        <f>IF(AND(B7019=1,C7019&gt;1,E7018&lt;&gt;""),ABS(D7019-E7018),"")</f>
        <v/>
      </c>
    </row>
    <row r="7020">
      <c r="A7020" t="n">
        <v>7020</v>
      </c>
      <c r="B7020">
        <f>IF(INDEX('Data Entry'!$H$5:$BE$10004,7020-4,'Visual SPC'!$B$3)="",0,IF(AND(OR('Visual SPC'!$C$4="",'Data Entry'!$C7020&gt;='Visual SPC'!$C$4),OR('Visual SPC'!$E$4="",'Data Entry'!$C7020&lt;='Visual SPC'!$E$4),OR('Visual SPC'!$G$4="",'Data Entry'!$D7020='Visual SPC'!$G$4),OR('Visual SPC'!$I$4="",'Data Entry'!$E7020='Visual SPC'!$I$4),OR('Visual SPC'!$K$4="",'Data Entry'!$F7020='Visual SPC'!$K$4)),1,0))</f>
        <v/>
      </c>
      <c r="C7020">
        <f>C7019+B7020</f>
        <v/>
      </c>
      <c r="D7020">
        <f>IF(B7020=1,INDEX('Data Entry'!$H$5:$BE$10004,7020-4,'Visual SPC'!$B$3),"")</f>
        <v/>
      </c>
      <c r="E7020">
        <f>IF(B7020=1,D7020,E7019)</f>
        <v/>
      </c>
      <c r="F7020">
        <f>IF(AND(B7020=1,C7020&gt;1,E7019&lt;&gt;""),ABS(D7020-E7019),"")</f>
        <v/>
      </c>
    </row>
    <row r="7021">
      <c r="A7021" t="n">
        <v>7021</v>
      </c>
      <c r="B7021">
        <f>IF(INDEX('Data Entry'!$H$5:$BE$10004,7021-4,'Visual SPC'!$B$3)="",0,IF(AND(OR('Visual SPC'!$C$4="",'Data Entry'!$C7021&gt;='Visual SPC'!$C$4),OR('Visual SPC'!$E$4="",'Data Entry'!$C7021&lt;='Visual SPC'!$E$4),OR('Visual SPC'!$G$4="",'Data Entry'!$D7021='Visual SPC'!$G$4),OR('Visual SPC'!$I$4="",'Data Entry'!$E7021='Visual SPC'!$I$4),OR('Visual SPC'!$K$4="",'Data Entry'!$F7021='Visual SPC'!$K$4)),1,0))</f>
        <v/>
      </c>
      <c r="C7021">
        <f>C7020+B7021</f>
        <v/>
      </c>
      <c r="D7021">
        <f>IF(B7021=1,INDEX('Data Entry'!$H$5:$BE$10004,7021-4,'Visual SPC'!$B$3),"")</f>
        <v/>
      </c>
      <c r="E7021">
        <f>IF(B7021=1,D7021,E7020)</f>
        <v/>
      </c>
      <c r="F7021">
        <f>IF(AND(B7021=1,C7021&gt;1,E7020&lt;&gt;""),ABS(D7021-E7020),"")</f>
        <v/>
      </c>
    </row>
    <row r="7022">
      <c r="A7022" t="n">
        <v>7022</v>
      </c>
      <c r="B7022">
        <f>IF(INDEX('Data Entry'!$H$5:$BE$10004,7022-4,'Visual SPC'!$B$3)="",0,IF(AND(OR('Visual SPC'!$C$4="",'Data Entry'!$C7022&gt;='Visual SPC'!$C$4),OR('Visual SPC'!$E$4="",'Data Entry'!$C7022&lt;='Visual SPC'!$E$4),OR('Visual SPC'!$G$4="",'Data Entry'!$D7022='Visual SPC'!$G$4),OR('Visual SPC'!$I$4="",'Data Entry'!$E7022='Visual SPC'!$I$4),OR('Visual SPC'!$K$4="",'Data Entry'!$F7022='Visual SPC'!$K$4)),1,0))</f>
        <v/>
      </c>
      <c r="C7022">
        <f>C7021+B7022</f>
        <v/>
      </c>
      <c r="D7022">
        <f>IF(B7022=1,INDEX('Data Entry'!$H$5:$BE$10004,7022-4,'Visual SPC'!$B$3),"")</f>
        <v/>
      </c>
      <c r="E7022">
        <f>IF(B7022=1,D7022,E7021)</f>
        <v/>
      </c>
      <c r="F7022">
        <f>IF(AND(B7022=1,C7022&gt;1,E7021&lt;&gt;""),ABS(D7022-E7021),"")</f>
        <v/>
      </c>
    </row>
    <row r="7023">
      <c r="A7023" t="n">
        <v>7023</v>
      </c>
      <c r="B7023">
        <f>IF(INDEX('Data Entry'!$H$5:$BE$10004,7023-4,'Visual SPC'!$B$3)="",0,IF(AND(OR('Visual SPC'!$C$4="",'Data Entry'!$C7023&gt;='Visual SPC'!$C$4),OR('Visual SPC'!$E$4="",'Data Entry'!$C7023&lt;='Visual SPC'!$E$4),OR('Visual SPC'!$G$4="",'Data Entry'!$D7023='Visual SPC'!$G$4),OR('Visual SPC'!$I$4="",'Data Entry'!$E7023='Visual SPC'!$I$4),OR('Visual SPC'!$K$4="",'Data Entry'!$F7023='Visual SPC'!$K$4)),1,0))</f>
        <v/>
      </c>
      <c r="C7023">
        <f>C7022+B7023</f>
        <v/>
      </c>
      <c r="D7023">
        <f>IF(B7023=1,INDEX('Data Entry'!$H$5:$BE$10004,7023-4,'Visual SPC'!$B$3),"")</f>
        <v/>
      </c>
      <c r="E7023">
        <f>IF(B7023=1,D7023,E7022)</f>
        <v/>
      </c>
      <c r="F7023">
        <f>IF(AND(B7023=1,C7023&gt;1,E7022&lt;&gt;""),ABS(D7023-E7022),"")</f>
        <v/>
      </c>
    </row>
    <row r="7024">
      <c r="A7024" t="n">
        <v>7024</v>
      </c>
      <c r="B7024">
        <f>IF(INDEX('Data Entry'!$H$5:$BE$10004,7024-4,'Visual SPC'!$B$3)="",0,IF(AND(OR('Visual SPC'!$C$4="",'Data Entry'!$C7024&gt;='Visual SPC'!$C$4),OR('Visual SPC'!$E$4="",'Data Entry'!$C7024&lt;='Visual SPC'!$E$4),OR('Visual SPC'!$G$4="",'Data Entry'!$D7024='Visual SPC'!$G$4),OR('Visual SPC'!$I$4="",'Data Entry'!$E7024='Visual SPC'!$I$4),OR('Visual SPC'!$K$4="",'Data Entry'!$F7024='Visual SPC'!$K$4)),1,0))</f>
        <v/>
      </c>
      <c r="C7024">
        <f>C7023+B7024</f>
        <v/>
      </c>
      <c r="D7024">
        <f>IF(B7024=1,INDEX('Data Entry'!$H$5:$BE$10004,7024-4,'Visual SPC'!$B$3),"")</f>
        <v/>
      </c>
      <c r="E7024">
        <f>IF(B7024=1,D7024,E7023)</f>
        <v/>
      </c>
      <c r="F7024">
        <f>IF(AND(B7024=1,C7024&gt;1,E7023&lt;&gt;""),ABS(D7024-E7023),"")</f>
        <v/>
      </c>
    </row>
    <row r="7025">
      <c r="A7025" t="n">
        <v>7025</v>
      </c>
      <c r="B7025">
        <f>IF(INDEX('Data Entry'!$H$5:$BE$10004,7025-4,'Visual SPC'!$B$3)="",0,IF(AND(OR('Visual SPC'!$C$4="",'Data Entry'!$C7025&gt;='Visual SPC'!$C$4),OR('Visual SPC'!$E$4="",'Data Entry'!$C7025&lt;='Visual SPC'!$E$4),OR('Visual SPC'!$G$4="",'Data Entry'!$D7025='Visual SPC'!$G$4),OR('Visual SPC'!$I$4="",'Data Entry'!$E7025='Visual SPC'!$I$4),OR('Visual SPC'!$K$4="",'Data Entry'!$F7025='Visual SPC'!$K$4)),1,0))</f>
        <v/>
      </c>
      <c r="C7025">
        <f>C7024+B7025</f>
        <v/>
      </c>
      <c r="D7025">
        <f>IF(B7025=1,INDEX('Data Entry'!$H$5:$BE$10004,7025-4,'Visual SPC'!$B$3),"")</f>
        <v/>
      </c>
      <c r="E7025">
        <f>IF(B7025=1,D7025,E7024)</f>
        <v/>
      </c>
      <c r="F7025">
        <f>IF(AND(B7025=1,C7025&gt;1,E7024&lt;&gt;""),ABS(D7025-E7024),"")</f>
        <v/>
      </c>
    </row>
    <row r="7026">
      <c r="A7026" t="n">
        <v>7026</v>
      </c>
      <c r="B7026">
        <f>IF(INDEX('Data Entry'!$H$5:$BE$10004,7026-4,'Visual SPC'!$B$3)="",0,IF(AND(OR('Visual SPC'!$C$4="",'Data Entry'!$C7026&gt;='Visual SPC'!$C$4),OR('Visual SPC'!$E$4="",'Data Entry'!$C7026&lt;='Visual SPC'!$E$4),OR('Visual SPC'!$G$4="",'Data Entry'!$D7026='Visual SPC'!$G$4),OR('Visual SPC'!$I$4="",'Data Entry'!$E7026='Visual SPC'!$I$4),OR('Visual SPC'!$K$4="",'Data Entry'!$F7026='Visual SPC'!$K$4)),1,0))</f>
        <v/>
      </c>
      <c r="C7026">
        <f>C7025+B7026</f>
        <v/>
      </c>
      <c r="D7026">
        <f>IF(B7026=1,INDEX('Data Entry'!$H$5:$BE$10004,7026-4,'Visual SPC'!$B$3),"")</f>
        <v/>
      </c>
      <c r="E7026">
        <f>IF(B7026=1,D7026,E7025)</f>
        <v/>
      </c>
      <c r="F7026">
        <f>IF(AND(B7026=1,C7026&gt;1,E7025&lt;&gt;""),ABS(D7026-E7025),"")</f>
        <v/>
      </c>
    </row>
    <row r="7027">
      <c r="A7027" t="n">
        <v>7027</v>
      </c>
      <c r="B7027">
        <f>IF(INDEX('Data Entry'!$H$5:$BE$10004,7027-4,'Visual SPC'!$B$3)="",0,IF(AND(OR('Visual SPC'!$C$4="",'Data Entry'!$C7027&gt;='Visual SPC'!$C$4),OR('Visual SPC'!$E$4="",'Data Entry'!$C7027&lt;='Visual SPC'!$E$4),OR('Visual SPC'!$G$4="",'Data Entry'!$D7027='Visual SPC'!$G$4),OR('Visual SPC'!$I$4="",'Data Entry'!$E7027='Visual SPC'!$I$4),OR('Visual SPC'!$K$4="",'Data Entry'!$F7027='Visual SPC'!$K$4)),1,0))</f>
        <v/>
      </c>
      <c r="C7027">
        <f>C7026+B7027</f>
        <v/>
      </c>
      <c r="D7027">
        <f>IF(B7027=1,INDEX('Data Entry'!$H$5:$BE$10004,7027-4,'Visual SPC'!$B$3),"")</f>
        <v/>
      </c>
      <c r="E7027">
        <f>IF(B7027=1,D7027,E7026)</f>
        <v/>
      </c>
      <c r="F7027">
        <f>IF(AND(B7027=1,C7027&gt;1,E7026&lt;&gt;""),ABS(D7027-E7026),"")</f>
        <v/>
      </c>
    </row>
    <row r="7028">
      <c r="A7028" t="n">
        <v>7028</v>
      </c>
      <c r="B7028">
        <f>IF(INDEX('Data Entry'!$H$5:$BE$10004,7028-4,'Visual SPC'!$B$3)="",0,IF(AND(OR('Visual SPC'!$C$4="",'Data Entry'!$C7028&gt;='Visual SPC'!$C$4),OR('Visual SPC'!$E$4="",'Data Entry'!$C7028&lt;='Visual SPC'!$E$4),OR('Visual SPC'!$G$4="",'Data Entry'!$D7028='Visual SPC'!$G$4),OR('Visual SPC'!$I$4="",'Data Entry'!$E7028='Visual SPC'!$I$4),OR('Visual SPC'!$K$4="",'Data Entry'!$F7028='Visual SPC'!$K$4)),1,0))</f>
        <v/>
      </c>
      <c r="C7028">
        <f>C7027+B7028</f>
        <v/>
      </c>
      <c r="D7028">
        <f>IF(B7028=1,INDEX('Data Entry'!$H$5:$BE$10004,7028-4,'Visual SPC'!$B$3),"")</f>
        <v/>
      </c>
      <c r="E7028">
        <f>IF(B7028=1,D7028,E7027)</f>
        <v/>
      </c>
      <c r="F7028">
        <f>IF(AND(B7028=1,C7028&gt;1,E7027&lt;&gt;""),ABS(D7028-E7027),"")</f>
        <v/>
      </c>
    </row>
    <row r="7029">
      <c r="A7029" t="n">
        <v>7029</v>
      </c>
      <c r="B7029">
        <f>IF(INDEX('Data Entry'!$H$5:$BE$10004,7029-4,'Visual SPC'!$B$3)="",0,IF(AND(OR('Visual SPC'!$C$4="",'Data Entry'!$C7029&gt;='Visual SPC'!$C$4),OR('Visual SPC'!$E$4="",'Data Entry'!$C7029&lt;='Visual SPC'!$E$4),OR('Visual SPC'!$G$4="",'Data Entry'!$D7029='Visual SPC'!$G$4),OR('Visual SPC'!$I$4="",'Data Entry'!$E7029='Visual SPC'!$I$4),OR('Visual SPC'!$K$4="",'Data Entry'!$F7029='Visual SPC'!$K$4)),1,0))</f>
        <v/>
      </c>
      <c r="C7029">
        <f>C7028+B7029</f>
        <v/>
      </c>
      <c r="D7029">
        <f>IF(B7029=1,INDEX('Data Entry'!$H$5:$BE$10004,7029-4,'Visual SPC'!$B$3),"")</f>
        <v/>
      </c>
      <c r="E7029">
        <f>IF(B7029=1,D7029,E7028)</f>
        <v/>
      </c>
      <c r="F7029">
        <f>IF(AND(B7029=1,C7029&gt;1,E7028&lt;&gt;""),ABS(D7029-E7028),"")</f>
        <v/>
      </c>
    </row>
    <row r="7030">
      <c r="A7030" t="n">
        <v>7030</v>
      </c>
      <c r="B7030">
        <f>IF(INDEX('Data Entry'!$H$5:$BE$10004,7030-4,'Visual SPC'!$B$3)="",0,IF(AND(OR('Visual SPC'!$C$4="",'Data Entry'!$C7030&gt;='Visual SPC'!$C$4),OR('Visual SPC'!$E$4="",'Data Entry'!$C7030&lt;='Visual SPC'!$E$4),OR('Visual SPC'!$G$4="",'Data Entry'!$D7030='Visual SPC'!$G$4),OR('Visual SPC'!$I$4="",'Data Entry'!$E7030='Visual SPC'!$I$4),OR('Visual SPC'!$K$4="",'Data Entry'!$F7030='Visual SPC'!$K$4)),1,0))</f>
        <v/>
      </c>
      <c r="C7030">
        <f>C7029+B7030</f>
        <v/>
      </c>
      <c r="D7030">
        <f>IF(B7030=1,INDEX('Data Entry'!$H$5:$BE$10004,7030-4,'Visual SPC'!$B$3),"")</f>
        <v/>
      </c>
      <c r="E7030">
        <f>IF(B7030=1,D7030,E7029)</f>
        <v/>
      </c>
      <c r="F7030">
        <f>IF(AND(B7030=1,C7030&gt;1,E7029&lt;&gt;""),ABS(D7030-E7029),"")</f>
        <v/>
      </c>
    </row>
    <row r="7031">
      <c r="A7031" t="n">
        <v>7031</v>
      </c>
      <c r="B7031">
        <f>IF(INDEX('Data Entry'!$H$5:$BE$10004,7031-4,'Visual SPC'!$B$3)="",0,IF(AND(OR('Visual SPC'!$C$4="",'Data Entry'!$C7031&gt;='Visual SPC'!$C$4),OR('Visual SPC'!$E$4="",'Data Entry'!$C7031&lt;='Visual SPC'!$E$4),OR('Visual SPC'!$G$4="",'Data Entry'!$D7031='Visual SPC'!$G$4),OR('Visual SPC'!$I$4="",'Data Entry'!$E7031='Visual SPC'!$I$4),OR('Visual SPC'!$K$4="",'Data Entry'!$F7031='Visual SPC'!$K$4)),1,0))</f>
        <v/>
      </c>
      <c r="C7031">
        <f>C7030+B7031</f>
        <v/>
      </c>
      <c r="D7031">
        <f>IF(B7031=1,INDEX('Data Entry'!$H$5:$BE$10004,7031-4,'Visual SPC'!$B$3),"")</f>
        <v/>
      </c>
      <c r="E7031">
        <f>IF(B7031=1,D7031,E7030)</f>
        <v/>
      </c>
      <c r="F7031">
        <f>IF(AND(B7031=1,C7031&gt;1,E7030&lt;&gt;""),ABS(D7031-E7030),"")</f>
        <v/>
      </c>
    </row>
    <row r="7032">
      <c r="A7032" t="n">
        <v>7032</v>
      </c>
      <c r="B7032">
        <f>IF(INDEX('Data Entry'!$H$5:$BE$10004,7032-4,'Visual SPC'!$B$3)="",0,IF(AND(OR('Visual SPC'!$C$4="",'Data Entry'!$C7032&gt;='Visual SPC'!$C$4),OR('Visual SPC'!$E$4="",'Data Entry'!$C7032&lt;='Visual SPC'!$E$4),OR('Visual SPC'!$G$4="",'Data Entry'!$D7032='Visual SPC'!$G$4),OR('Visual SPC'!$I$4="",'Data Entry'!$E7032='Visual SPC'!$I$4),OR('Visual SPC'!$K$4="",'Data Entry'!$F7032='Visual SPC'!$K$4)),1,0))</f>
        <v/>
      </c>
      <c r="C7032">
        <f>C7031+B7032</f>
        <v/>
      </c>
      <c r="D7032">
        <f>IF(B7032=1,INDEX('Data Entry'!$H$5:$BE$10004,7032-4,'Visual SPC'!$B$3),"")</f>
        <v/>
      </c>
      <c r="E7032">
        <f>IF(B7032=1,D7032,E7031)</f>
        <v/>
      </c>
      <c r="F7032">
        <f>IF(AND(B7032=1,C7032&gt;1,E7031&lt;&gt;""),ABS(D7032-E7031),"")</f>
        <v/>
      </c>
    </row>
    <row r="7033">
      <c r="A7033" t="n">
        <v>7033</v>
      </c>
      <c r="B7033">
        <f>IF(INDEX('Data Entry'!$H$5:$BE$10004,7033-4,'Visual SPC'!$B$3)="",0,IF(AND(OR('Visual SPC'!$C$4="",'Data Entry'!$C7033&gt;='Visual SPC'!$C$4),OR('Visual SPC'!$E$4="",'Data Entry'!$C7033&lt;='Visual SPC'!$E$4),OR('Visual SPC'!$G$4="",'Data Entry'!$D7033='Visual SPC'!$G$4),OR('Visual SPC'!$I$4="",'Data Entry'!$E7033='Visual SPC'!$I$4),OR('Visual SPC'!$K$4="",'Data Entry'!$F7033='Visual SPC'!$K$4)),1,0))</f>
        <v/>
      </c>
      <c r="C7033">
        <f>C7032+B7033</f>
        <v/>
      </c>
      <c r="D7033">
        <f>IF(B7033=1,INDEX('Data Entry'!$H$5:$BE$10004,7033-4,'Visual SPC'!$B$3),"")</f>
        <v/>
      </c>
      <c r="E7033">
        <f>IF(B7033=1,D7033,E7032)</f>
        <v/>
      </c>
      <c r="F7033">
        <f>IF(AND(B7033=1,C7033&gt;1,E7032&lt;&gt;""),ABS(D7033-E7032),"")</f>
        <v/>
      </c>
    </row>
    <row r="7034">
      <c r="A7034" t="n">
        <v>7034</v>
      </c>
      <c r="B7034">
        <f>IF(INDEX('Data Entry'!$H$5:$BE$10004,7034-4,'Visual SPC'!$B$3)="",0,IF(AND(OR('Visual SPC'!$C$4="",'Data Entry'!$C7034&gt;='Visual SPC'!$C$4),OR('Visual SPC'!$E$4="",'Data Entry'!$C7034&lt;='Visual SPC'!$E$4),OR('Visual SPC'!$G$4="",'Data Entry'!$D7034='Visual SPC'!$G$4),OR('Visual SPC'!$I$4="",'Data Entry'!$E7034='Visual SPC'!$I$4),OR('Visual SPC'!$K$4="",'Data Entry'!$F7034='Visual SPC'!$K$4)),1,0))</f>
        <v/>
      </c>
      <c r="C7034">
        <f>C7033+B7034</f>
        <v/>
      </c>
      <c r="D7034">
        <f>IF(B7034=1,INDEX('Data Entry'!$H$5:$BE$10004,7034-4,'Visual SPC'!$B$3),"")</f>
        <v/>
      </c>
      <c r="E7034">
        <f>IF(B7034=1,D7034,E7033)</f>
        <v/>
      </c>
      <c r="F7034">
        <f>IF(AND(B7034=1,C7034&gt;1,E7033&lt;&gt;""),ABS(D7034-E7033),"")</f>
        <v/>
      </c>
    </row>
    <row r="7035">
      <c r="A7035" t="n">
        <v>7035</v>
      </c>
      <c r="B7035">
        <f>IF(INDEX('Data Entry'!$H$5:$BE$10004,7035-4,'Visual SPC'!$B$3)="",0,IF(AND(OR('Visual SPC'!$C$4="",'Data Entry'!$C7035&gt;='Visual SPC'!$C$4),OR('Visual SPC'!$E$4="",'Data Entry'!$C7035&lt;='Visual SPC'!$E$4),OR('Visual SPC'!$G$4="",'Data Entry'!$D7035='Visual SPC'!$G$4),OR('Visual SPC'!$I$4="",'Data Entry'!$E7035='Visual SPC'!$I$4),OR('Visual SPC'!$K$4="",'Data Entry'!$F7035='Visual SPC'!$K$4)),1,0))</f>
        <v/>
      </c>
      <c r="C7035">
        <f>C7034+B7035</f>
        <v/>
      </c>
      <c r="D7035">
        <f>IF(B7035=1,INDEX('Data Entry'!$H$5:$BE$10004,7035-4,'Visual SPC'!$B$3),"")</f>
        <v/>
      </c>
      <c r="E7035">
        <f>IF(B7035=1,D7035,E7034)</f>
        <v/>
      </c>
      <c r="F7035">
        <f>IF(AND(B7035=1,C7035&gt;1,E7034&lt;&gt;""),ABS(D7035-E7034),"")</f>
        <v/>
      </c>
    </row>
    <row r="7036">
      <c r="A7036" t="n">
        <v>7036</v>
      </c>
      <c r="B7036">
        <f>IF(INDEX('Data Entry'!$H$5:$BE$10004,7036-4,'Visual SPC'!$B$3)="",0,IF(AND(OR('Visual SPC'!$C$4="",'Data Entry'!$C7036&gt;='Visual SPC'!$C$4),OR('Visual SPC'!$E$4="",'Data Entry'!$C7036&lt;='Visual SPC'!$E$4),OR('Visual SPC'!$G$4="",'Data Entry'!$D7036='Visual SPC'!$G$4),OR('Visual SPC'!$I$4="",'Data Entry'!$E7036='Visual SPC'!$I$4),OR('Visual SPC'!$K$4="",'Data Entry'!$F7036='Visual SPC'!$K$4)),1,0))</f>
        <v/>
      </c>
      <c r="C7036">
        <f>C7035+B7036</f>
        <v/>
      </c>
      <c r="D7036">
        <f>IF(B7036=1,INDEX('Data Entry'!$H$5:$BE$10004,7036-4,'Visual SPC'!$B$3),"")</f>
        <v/>
      </c>
      <c r="E7036">
        <f>IF(B7036=1,D7036,E7035)</f>
        <v/>
      </c>
      <c r="F7036">
        <f>IF(AND(B7036=1,C7036&gt;1,E7035&lt;&gt;""),ABS(D7036-E7035),"")</f>
        <v/>
      </c>
    </row>
    <row r="7037">
      <c r="A7037" t="n">
        <v>7037</v>
      </c>
      <c r="B7037">
        <f>IF(INDEX('Data Entry'!$H$5:$BE$10004,7037-4,'Visual SPC'!$B$3)="",0,IF(AND(OR('Visual SPC'!$C$4="",'Data Entry'!$C7037&gt;='Visual SPC'!$C$4),OR('Visual SPC'!$E$4="",'Data Entry'!$C7037&lt;='Visual SPC'!$E$4),OR('Visual SPC'!$G$4="",'Data Entry'!$D7037='Visual SPC'!$G$4),OR('Visual SPC'!$I$4="",'Data Entry'!$E7037='Visual SPC'!$I$4),OR('Visual SPC'!$K$4="",'Data Entry'!$F7037='Visual SPC'!$K$4)),1,0))</f>
        <v/>
      </c>
      <c r="C7037">
        <f>C7036+B7037</f>
        <v/>
      </c>
      <c r="D7037">
        <f>IF(B7037=1,INDEX('Data Entry'!$H$5:$BE$10004,7037-4,'Visual SPC'!$B$3),"")</f>
        <v/>
      </c>
      <c r="E7037">
        <f>IF(B7037=1,D7037,E7036)</f>
        <v/>
      </c>
      <c r="F7037">
        <f>IF(AND(B7037=1,C7037&gt;1,E7036&lt;&gt;""),ABS(D7037-E7036),"")</f>
        <v/>
      </c>
    </row>
    <row r="7038">
      <c r="A7038" t="n">
        <v>7038</v>
      </c>
      <c r="B7038">
        <f>IF(INDEX('Data Entry'!$H$5:$BE$10004,7038-4,'Visual SPC'!$B$3)="",0,IF(AND(OR('Visual SPC'!$C$4="",'Data Entry'!$C7038&gt;='Visual SPC'!$C$4),OR('Visual SPC'!$E$4="",'Data Entry'!$C7038&lt;='Visual SPC'!$E$4),OR('Visual SPC'!$G$4="",'Data Entry'!$D7038='Visual SPC'!$G$4),OR('Visual SPC'!$I$4="",'Data Entry'!$E7038='Visual SPC'!$I$4),OR('Visual SPC'!$K$4="",'Data Entry'!$F7038='Visual SPC'!$K$4)),1,0))</f>
        <v/>
      </c>
      <c r="C7038">
        <f>C7037+B7038</f>
        <v/>
      </c>
      <c r="D7038">
        <f>IF(B7038=1,INDEX('Data Entry'!$H$5:$BE$10004,7038-4,'Visual SPC'!$B$3),"")</f>
        <v/>
      </c>
      <c r="E7038">
        <f>IF(B7038=1,D7038,E7037)</f>
        <v/>
      </c>
      <c r="F7038">
        <f>IF(AND(B7038=1,C7038&gt;1,E7037&lt;&gt;""),ABS(D7038-E7037),"")</f>
        <v/>
      </c>
    </row>
    <row r="7039">
      <c r="A7039" t="n">
        <v>7039</v>
      </c>
      <c r="B7039">
        <f>IF(INDEX('Data Entry'!$H$5:$BE$10004,7039-4,'Visual SPC'!$B$3)="",0,IF(AND(OR('Visual SPC'!$C$4="",'Data Entry'!$C7039&gt;='Visual SPC'!$C$4),OR('Visual SPC'!$E$4="",'Data Entry'!$C7039&lt;='Visual SPC'!$E$4),OR('Visual SPC'!$G$4="",'Data Entry'!$D7039='Visual SPC'!$G$4),OR('Visual SPC'!$I$4="",'Data Entry'!$E7039='Visual SPC'!$I$4),OR('Visual SPC'!$K$4="",'Data Entry'!$F7039='Visual SPC'!$K$4)),1,0))</f>
        <v/>
      </c>
      <c r="C7039">
        <f>C7038+B7039</f>
        <v/>
      </c>
      <c r="D7039">
        <f>IF(B7039=1,INDEX('Data Entry'!$H$5:$BE$10004,7039-4,'Visual SPC'!$B$3),"")</f>
        <v/>
      </c>
      <c r="E7039">
        <f>IF(B7039=1,D7039,E7038)</f>
        <v/>
      </c>
      <c r="F7039">
        <f>IF(AND(B7039=1,C7039&gt;1,E7038&lt;&gt;""),ABS(D7039-E7038),"")</f>
        <v/>
      </c>
    </row>
    <row r="7040">
      <c r="A7040" t="n">
        <v>7040</v>
      </c>
      <c r="B7040">
        <f>IF(INDEX('Data Entry'!$H$5:$BE$10004,7040-4,'Visual SPC'!$B$3)="",0,IF(AND(OR('Visual SPC'!$C$4="",'Data Entry'!$C7040&gt;='Visual SPC'!$C$4),OR('Visual SPC'!$E$4="",'Data Entry'!$C7040&lt;='Visual SPC'!$E$4),OR('Visual SPC'!$G$4="",'Data Entry'!$D7040='Visual SPC'!$G$4),OR('Visual SPC'!$I$4="",'Data Entry'!$E7040='Visual SPC'!$I$4),OR('Visual SPC'!$K$4="",'Data Entry'!$F7040='Visual SPC'!$K$4)),1,0))</f>
        <v/>
      </c>
      <c r="C7040">
        <f>C7039+B7040</f>
        <v/>
      </c>
      <c r="D7040">
        <f>IF(B7040=1,INDEX('Data Entry'!$H$5:$BE$10004,7040-4,'Visual SPC'!$B$3),"")</f>
        <v/>
      </c>
      <c r="E7040">
        <f>IF(B7040=1,D7040,E7039)</f>
        <v/>
      </c>
      <c r="F7040">
        <f>IF(AND(B7040=1,C7040&gt;1,E7039&lt;&gt;""),ABS(D7040-E7039),"")</f>
        <v/>
      </c>
    </row>
    <row r="7041">
      <c r="A7041" t="n">
        <v>7041</v>
      </c>
      <c r="B7041">
        <f>IF(INDEX('Data Entry'!$H$5:$BE$10004,7041-4,'Visual SPC'!$B$3)="",0,IF(AND(OR('Visual SPC'!$C$4="",'Data Entry'!$C7041&gt;='Visual SPC'!$C$4),OR('Visual SPC'!$E$4="",'Data Entry'!$C7041&lt;='Visual SPC'!$E$4),OR('Visual SPC'!$G$4="",'Data Entry'!$D7041='Visual SPC'!$G$4),OR('Visual SPC'!$I$4="",'Data Entry'!$E7041='Visual SPC'!$I$4),OR('Visual SPC'!$K$4="",'Data Entry'!$F7041='Visual SPC'!$K$4)),1,0))</f>
        <v/>
      </c>
      <c r="C7041">
        <f>C7040+B7041</f>
        <v/>
      </c>
      <c r="D7041">
        <f>IF(B7041=1,INDEX('Data Entry'!$H$5:$BE$10004,7041-4,'Visual SPC'!$B$3),"")</f>
        <v/>
      </c>
      <c r="E7041">
        <f>IF(B7041=1,D7041,E7040)</f>
        <v/>
      </c>
      <c r="F7041">
        <f>IF(AND(B7041=1,C7041&gt;1,E7040&lt;&gt;""),ABS(D7041-E7040),"")</f>
        <v/>
      </c>
    </row>
    <row r="7042">
      <c r="A7042" t="n">
        <v>7042</v>
      </c>
      <c r="B7042">
        <f>IF(INDEX('Data Entry'!$H$5:$BE$10004,7042-4,'Visual SPC'!$B$3)="",0,IF(AND(OR('Visual SPC'!$C$4="",'Data Entry'!$C7042&gt;='Visual SPC'!$C$4),OR('Visual SPC'!$E$4="",'Data Entry'!$C7042&lt;='Visual SPC'!$E$4),OR('Visual SPC'!$G$4="",'Data Entry'!$D7042='Visual SPC'!$G$4),OR('Visual SPC'!$I$4="",'Data Entry'!$E7042='Visual SPC'!$I$4),OR('Visual SPC'!$K$4="",'Data Entry'!$F7042='Visual SPC'!$K$4)),1,0))</f>
        <v/>
      </c>
      <c r="C7042">
        <f>C7041+B7042</f>
        <v/>
      </c>
      <c r="D7042">
        <f>IF(B7042=1,INDEX('Data Entry'!$H$5:$BE$10004,7042-4,'Visual SPC'!$B$3),"")</f>
        <v/>
      </c>
      <c r="E7042">
        <f>IF(B7042=1,D7042,E7041)</f>
        <v/>
      </c>
      <c r="F7042">
        <f>IF(AND(B7042=1,C7042&gt;1,E7041&lt;&gt;""),ABS(D7042-E7041),"")</f>
        <v/>
      </c>
    </row>
    <row r="7043">
      <c r="A7043" t="n">
        <v>7043</v>
      </c>
      <c r="B7043">
        <f>IF(INDEX('Data Entry'!$H$5:$BE$10004,7043-4,'Visual SPC'!$B$3)="",0,IF(AND(OR('Visual SPC'!$C$4="",'Data Entry'!$C7043&gt;='Visual SPC'!$C$4),OR('Visual SPC'!$E$4="",'Data Entry'!$C7043&lt;='Visual SPC'!$E$4),OR('Visual SPC'!$G$4="",'Data Entry'!$D7043='Visual SPC'!$G$4),OR('Visual SPC'!$I$4="",'Data Entry'!$E7043='Visual SPC'!$I$4),OR('Visual SPC'!$K$4="",'Data Entry'!$F7043='Visual SPC'!$K$4)),1,0))</f>
        <v/>
      </c>
      <c r="C7043">
        <f>C7042+B7043</f>
        <v/>
      </c>
      <c r="D7043">
        <f>IF(B7043=1,INDEX('Data Entry'!$H$5:$BE$10004,7043-4,'Visual SPC'!$B$3),"")</f>
        <v/>
      </c>
      <c r="E7043">
        <f>IF(B7043=1,D7043,E7042)</f>
        <v/>
      </c>
      <c r="F7043">
        <f>IF(AND(B7043=1,C7043&gt;1,E7042&lt;&gt;""),ABS(D7043-E7042),"")</f>
        <v/>
      </c>
    </row>
    <row r="7044">
      <c r="A7044" t="n">
        <v>7044</v>
      </c>
      <c r="B7044">
        <f>IF(INDEX('Data Entry'!$H$5:$BE$10004,7044-4,'Visual SPC'!$B$3)="",0,IF(AND(OR('Visual SPC'!$C$4="",'Data Entry'!$C7044&gt;='Visual SPC'!$C$4),OR('Visual SPC'!$E$4="",'Data Entry'!$C7044&lt;='Visual SPC'!$E$4),OR('Visual SPC'!$G$4="",'Data Entry'!$D7044='Visual SPC'!$G$4),OR('Visual SPC'!$I$4="",'Data Entry'!$E7044='Visual SPC'!$I$4),OR('Visual SPC'!$K$4="",'Data Entry'!$F7044='Visual SPC'!$K$4)),1,0))</f>
        <v/>
      </c>
      <c r="C7044">
        <f>C7043+B7044</f>
        <v/>
      </c>
      <c r="D7044">
        <f>IF(B7044=1,INDEX('Data Entry'!$H$5:$BE$10004,7044-4,'Visual SPC'!$B$3),"")</f>
        <v/>
      </c>
      <c r="E7044">
        <f>IF(B7044=1,D7044,E7043)</f>
        <v/>
      </c>
      <c r="F7044">
        <f>IF(AND(B7044=1,C7044&gt;1,E7043&lt;&gt;""),ABS(D7044-E7043),"")</f>
        <v/>
      </c>
    </row>
    <row r="7045">
      <c r="A7045" t="n">
        <v>7045</v>
      </c>
      <c r="B7045">
        <f>IF(INDEX('Data Entry'!$H$5:$BE$10004,7045-4,'Visual SPC'!$B$3)="",0,IF(AND(OR('Visual SPC'!$C$4="",'Data Entry'!$C7045&gt;='Visual SPC'!$C$4),OR('Visual SPC'!$E$4="",'Data Entry'!$C7045&lt;='Visual SPC'!$E$4),OR('Visual SPC'!$G$4="",'Data Entry'!$D7045='Visual SPC'!$G$4),OR('Visual SPC'!$I$4="",'Data Entry'!$E7045='Visual SPC'!$I$4),OR('Visual SPC'!$K$4="",'Data Entry'!$F7045='Visual SPC'!$K$4)),1,0))</f>
        <v/>
      </c>
      <c r="C7045">
        <f>C7044+B7045</f>
        <v/>
      </c>
      <c r="D7045">
        <f>IF(B7045=1,INDEX('Data Entry'!$H$5:$BE$10004,7045-4,'Visual SPC'!$B$3),"")</f>
        <v/>
      </c>
      <c r="E7045">
        <f>IF(B7045=1,D7045,E7044)</f>
        <v/>
      </c>
      <c r="F7045">
        <f>IF(AND(B7045=1,C7045&gt;1,E7044&lt;&gt;""),ABS(D7045-E7044),"")</f>
        <v/>
      </c>
    </row>
    <row r="7046">
      <c r="A7046" t="n">
        <v>7046</v>
      </c>
      <c r="B7046">
        <f>IF(INDEX('Data Entry'!$H$5:$BE$10004,7046-4,'Visual SPC'!$B$3)="",0,IF(AND(OR('Visual SPC'!$C$4="",'Data Entry'!$C7046&gt;='Visual SPC'!$C$4),OR('Visual SPC'!$E$4="",'Data Entry'!$C7046&lt;='Visual SPC'!$E$4),OR('Visual SPC'!$G$4="",'Data Entry'!$D7046='Visual SPC'!$G$4),OR('Visual SPC'!$I$4="",'Data Entry'!$E7046='Visual SPC'!$I$4),OR('Visual SPC'!$K$4="",'Data Entry'!$F7046='Visual SPC'!$K$4)),1,0))</f>
        <v/>
      </c>
      <c r="C7046">
        <f>C7045+B7046</f>
        <v/>
      </c>
      <c r="D7046">
        <f>IF(B7046=1,INDEX('Data Entry'!$H$5:$BE$10004,7046-4,'Visual SPC'!$B$3),"")</f>
        <v/>
      </c>
      <c r="E7046">
        <f>IF(B7046=1,D7046,E7045)</f>
        <v/>
      </c>
      <c r="F7046">
        <f>IF(AND(B7046=1,C7046&gt;1,E7045&lt;&gt;""),ABS(D7046-E7045),"")</f>
        <v/>
      </c>
    </row>
    <row r="7047">
      <c r="A7047" t="n">
        <v>7047</v>
      </c>
      <c r="B7047">
        <f>IF(INDEX('Data Entry'!$H$5:$BE$10004,7047-4,'Visual SPC'!$B$3)="",0,IF(AND(OR('Visual SPC'!$C$4="",'Data Entry'!$C7047&gt;='Visual SPC'!$C$4),OR('Visual SPC'!$E$4="",'Data Entry'!$C7047&lt;='Visual SPC'!$E$4),OR('Visual SPC'!$G$4="",'Data Entry'!$D7047='Visual SPC'!$G$4),OR('Visual SPC'!$I$4="",'Data Entry'!$E7047='Visual SPC'!$I$4),OR('Visual SPC'!$K$4="",'Data Entry'!$F7047='Visual SPC'!$K$4)),1,0))</f>
        <v/>
      </c>
      <c r="C7047">
        <f>C7046+B7047</f>
        <v/>
      </c>
      <c r="D7047">
        <f>IF(B7047=1,INDEX('Data Entry'!$H$5:$BE$10004,7047-4,'Visual SPC'!$B$3),"")</f>
        <v/>
      </c>
      <c r="E7047">
        <f>IF(B7047=1,D7047,E7046)</f>
        <v/>
      </c>
      <c r="F7047">
        <f>IF(AND(B7047=1,C7047&gt;1,E7046&lt;&gt;""),ABS(D7047-E7046),"")</f>
        <v/>
      </c>
    </row>
    <row r="7048">
      <c r="A7048" t="n">
        <v>7048</v>
      </c>
      <c r="B7048">
        <f>IF(INDEX('Data Entry'!$H$5:$BE$10004,7048-4,'Visual SPC'!$B$3)="",0,IF(AND(OR('Visual SPC'!$C$4="",'Data Entry'!$C7048&gt;='Visual SPC'!$C$4),OR('Visual SPC'!$E$4="",'Data Entry'!$C7048&lt;='Visual SPC'!$E$4),OR('Visual SPC'!$G$4="",'Data Entry'!$D7048='Visual SPC'!$G$4),OR('Visual SPC'!$I$4="",'Data Entry'!$E7048='Visual SPC'!$I$4),OR('Visual SPC'!$K$4="",'Data Entry'!$F7048='Visual SPC'!$K$4)),1,0))</f>
        <v/>
      </c>
      <c r="C7048">
        <f>C7047+B7048</f>
        <v/>
      </c>
      <c r="D7048">
        <f>IF(B7048=1,INDEX('Data Entry'!$H$5:$BE$10004,7048-4,'Visual SPC'!$B$3),"")</f>
        <v/>
      </c>
      <c r="E7048">
        <f>IF(B7048=1,D7048,E7047)</f>
        <v/>
      </c>
      <c r="F7048">
        <f>IF(AND(B7048=1,C7048&gt;1,E7047&lt;&gt;""),ABS(D7048-E7047),"")</f>
        <v/>
      </c>
    </row>
    <row r="7049">
      <c r="A7049" t="n">
        <v>7049</v>
      </c>
      <c r="B7049">
        <f>IF(INDEX('Data Entry'!$H$5:$BE$10004,7049-4,'Visual SPC'!$B$3)="",0,IF(AND(OR('Visual SPC'!$C$4="",'Data Entry'!$C7049&gt;='Visual SPC'!$C$4),OR('Visual SPC'!$E$4="",'Data Entry'!$C7049&lt;='Visual SPC'!$E$4),OR('Visual SPC'!$G$4="",'Data Entry'!$D7049='Visual SPC'!$G$4),OR('Visual SPC'!$I$4="",'Data Entry'!$E7049='Visual SPC'!$I$4),OR('Visual SPC'!$K$4="",'Data Entry'!$F7049='Visual SPC'!$K$4)),1,0))</f>
        <v/>
      </c>
      <c r="C7049">
        <f>C7048+B7049</f>
        <v/>
      </c>
      <c r="D7049">
        <f>IF(B7049=1,INDEX('Data Entry'!$H$5:$BE$10004,7049-4,'Visual SPC'!$B$3),"")</f>
        <v/>
      </c>
      <c r="E7049">
        <f>IF(B7049=1,D7049,E7048)</f>
        <v/>
      </c>
      <c r="F7049">
        <f>IF(AND(B7049=1,C7049&gt;1,E7048&lt;&gt;""),ABS(D7049-E7048),"")</f>
        <v/>
      </c>
    </row>
    <row r="7050">
      <c r="A7050" t="n">
        <v>7050</v>
      </c>
      <c r="B7050">
        <f>IF(INDEX('Data Entry'!$H$5:$BE$10004,7050-4,'Visual SPC'!$B$3)="",0,IF(AND(OR('Visual SPC'!$C$4="",'Data Entry'!$C7050&gt;='Visual SPC'!$C$4),OR('Visual SPC'!$E$4="",'Data Entry'!$C7050&lt;='Visual SPC'!$E$4),OR('Visual SPC'!$G$4="",'Data Entry'!$D7050='Visual SPC'!$G$4),OR('Visual SPC'!$I$4="",'Data Entry'!$E7050='Visual SPC'!$I$4),OR('Visual SPC'!$K$4="",'Data Entry'!$F7050='Visual SPC'!$K$4)),1,0))</f>
        <v/>
      </c>
      <c r="C7050">
        <f>C7049+B7050</f>
        <v/>
      </c>
      <c r="D7050">
        <f>IF(B7050=1,INDEX('Data Entry'!$H$5:$BE$10004,7050-4,'Visual SPC'!$B$3),"")</f>
        <v/>
      </c>
      <c r="E7050">
        <f>IF(B7050=1,D7050,E7049)</f>
        <v/>
      </c>
      <c r="F7050">
        <f>IF(AND(B7050=1,C7050&gt;1,E7049&lt;&gt;""),ABS(D7050-E7049),"")</f>
        <v/>
      </c>
    </row>
    <row r="7051">
      <c r="A7051" t="n">
        <v>7051</v>
      </c>
      <c r="B7051">
        <f>IF(INDEX('Data Entry'!$H$5:$BE$10004,7051-4,'Visual SPC'!$B$3)="",0,IF(AND(OR('Visual SPC'!$C$4="",'Data Entry'!$C7051&gt;='Visual SPC'!$C$4),OR('Visual SPC'!$E$4="",'Data Entry'!$C7051&lt;='Visual SPC'!$E$4),OR('Visual SPC'!$G$4="",'Data Entry'!$D7051='Visual SPC'!$G$4),OR('Visual SPC'!$I$4="",'Data Entry'!$E7051='Visual SPC'!$I$4),OR('Visual SPC'!$K$4="",'Data Entry'!$F7051='Visual SPC'!$K$4)),1,0))</f>
        <v/>
      </c>
      <c r="C7051">
        <f>C7050+B7051</f>
        <v/>
      </c>
      <c r="D7051">
        <f>IF(B7051=1,INDEX('Data Entry'!$H$5:$BE$10004,7051-4,'Visual SPC'!$B$3),"")</f>
        <v/>
      </c>
      <c r="E7051">
        <f>IF(B7051=1,D7051,E7050)</f>
        <v/>
      </c>
      <c r="F7051">
        <f>IF(AND(B7051=1,C7051&gt;1,E7050&lt;&gt;""),ABS(D7051-E7050),"")</f>
        <v/>
      </c>
    </row>
    <row r="7052">
      <c r="A7052" t="n">
        <v>7052</v>
      </c>
      <c r="B7052">
        <f>IF(INDEX('Data Entry'!$H$5:$BE$10004,7052-4,'Visual SPC'!$B$3)="",0,IF(AND(OR('Visual SPC'!$C$4="",'Data Entry'!$C7052&gt;='Visual SPC'!$C$4),OR('Visual SPC'!$E$4="",'Data Entry'!$C7052&lt;='Visual SPC'!$E$4),OR('Visual SPC'!$G$4="",'Data Entry'!$D7052='Visual SPC'!$G$4),OR('Visual SPC'!$I$4="",'Data Entry'!$E7052='Visual SPC'!$I$4),OR('Visual SPC'!$K$4="",'Data Entry'!$F7052='Visual SPC'!$K$4)),1,0))</f>
        <v/>
      </c>
      <c r="C7052">
        <f>C7051+B7052</f>
        <v/>
      </c>
      <c r="D7052">
        <f>IF(B7052=1,INDEX('Data Entry'!$H$5:$BE$10004,7052-4,'Visual SPC'!$B$3),"")</f>
        <v/>
      </c>
      <c r="E7052">
        <f>IF(B7052=1,D7052,E7051)</f>
        <v/>
      </c>
      <c r="F7052">
        <f>IF(AND(B7052=1,C7052&gt;1,E7051&lt;&gt;""),ABS(D7052-E7051),"")</f>
        <v/>
      </c>
    </row>
    <row r="7053">
      <c r="A7053" t="n">
        <v>7053</v>
      </c>
      <c r="B7053">
        <f>IF(INDEX('Data Entry'!$H$5:$BE$10004,7053-4,'Visual SPC'!$B$3)="",0,IF(AND(OR('Visual SPC'!$C$4="",'Data Entry'!$C7053&gt;='Visual SPC'!$C$4),OR('Visual SPC'!$E$4="",'Data Entry'!$C7053&lt;='Visual SPC'!$E$4),OR('Visual SPC'!$G$4="",'Data Entry'!$D7053='Visual SPC'!$G$4),OR('Visual SPC'!$I$4="",'Data Entry'!$E7053='Visual SPC'!$I$4),OR('Visual SPC'!$K$4="",'Data Entry'!$F7053='Visual SPC'!$K$4)),1,0))</f>
        <v/>
      </c>
      <c r="C7053">
        <f>C7052+B7053</f>
        <v/>
      </c>
      <c r="D7053">
        <f>IF(B7053=1,INDEX('Data Entry'!$H$5:$BE$10004,7053-4,'Visual SPC'!$B$3),"")</f>
        <v/>
      </c>
      <c r="E7053">
        <f>IF(B7053=1,D7053,E7052)</f>
        <v/>
      </c>
      <c r="F7053">
        <f>IF(AND(B7053=1,C7053&gt;1,E7052&lt;&gt;""),ABS(D7053-E7052),"")</f>
        <v/>
      </c>
    </row>
    <row r="7054">
      <c r="A7054" t="n">
        <v>7054</v>
      </c>
      <c r="B7054">
        <f>IF(INDEX('Data Entry'!$H$5:$BE$10004,7054-4,'Visual SPC'!$B$3)="",0,IF(AND(OR('Visual SPC'!$C$4="",'Data Entry'!$C7054&gt;='Visual SPC'!$C$4),OR('Visual SPC'!$E$4="",'Data Entry'!$C7054&lt;='Visual SPC'!$E$4),OR('Visual SPC'!$G$4="",'Data Entry'!$D7054='Visual SPC'!$G$4),OR('Visual SPC'!$I$4="",'Data Entry'!$E7054='Visual SPC'!$I$4),OR('Visual SPC'!$K$4="",'Data Entry'!$F7054='Visual SPC'!$K$4)),1,0))</f>
        <v/>
      </c>
      <c r="C7054">
        <f>C7053+B7054</f>
        <v/>
      </c>
      <c r="D7054">
        <f>IF(B7054=1,INDEX('Data Entry'!$H$5:$BE$10004,7054-4,'Visual SPC'!$B$3),"")</f>
        <v/>
      </c>
      <c r="E7054">
        <f>IF(B7054=1,D7054,E7053)</f>
        <v/>
      </c>
      <c r="F7054">
        <f>IF(AND(B7054=1,C7054&gt;1,E7053&lt;&gt;""),ABS(D7054-E7053),"")</f>
        <v/>
      </c>
    </row>
    <row r="7055">
      <c r="A7055" t="n">
        <v>7055</v>
      </c>
      <c r="B7055">
        <f>IF(INDEX('Data Entry'!$H$5:$BE$10004,7055-4,'Visual SPC'!$B$3)="",0,IF(AND(OR('Visual SPC'!$C$4="",'Data Entry'!$C7055&gt;='Visual SPC'!$C$4),OR('Visual SPC'!$E$4="",'Data Entry'!$C7055&lt;='Visual SPC'!$E$4),OR('Visual SPC'!$G$4="",'Data Entry'!$D7055='Visual SPC'!$G$4),OR('Visual SPC'!$I$4="",'Data Entry'!$E7055='Visual SPC'!$I$4),OR('Visual SPC'!$K$4="",'Data Entry'!$F7055='Visual SPC'!$K$4)),1,0))</f>
        <v/>
      </c>
      <c r="C7055">
        <f>C7054+B7055</f>
        <v/>
      </c>
      <c r="D7055">
        <f>IF(B7055=1,INDEX('Data Entry'!$H$5:$BE$10004,7055-4,'Visual SPC'!$B$3),"")</f>
        <v/>
      </c>
      <c r="E7055">
        <f>IF(B7055=1,D7055,E7054)</f>
        <v/>
      </c>
      <c r="F7055">
        <f>IF(AND(B7055=1,C7055&gt;1,E7054&lt;&gt;""),ABS(D7055-E7054),"")</f>
        <v/>
      </c>
    </row>
    <row r="7056">
      <c r="A7056" t="n">
        <v>7056</v>
      </c>
      <c r="B7056">
        <f>IF(INDEX('Data Entry'!$H$5:$BE$10004,7056-4,'Visual SPC'!$B$3)="",0,IF(AND(OR('Visual SPC'!$C$4="",'Data Entry'!$C7056&gt;='Visual SPC'!$C$4),OR('Visual SPC'!$E$4="",'Data Entry'!$C7056&lt;='Visual SPC'!$E$4),OR('Visual SPC'!$G$4="",'Data Entry'!$D7056='Visual SPC'!$G$4),OR('Visual SPC'!$I$4="",'Data Entry'!$E7056='Visual SPC'!$I$4),OR('Visual SPC'!$K$4="",'Data Entry'!$F7056='Visual SPC'!$K$4)),1,0))</f>
        <v/>
      </c>
      <c r="C7056">
        <f>C7055+B7056</f>
        <v/>
      </c>
      <c r="D7056">
        <f>IF(B7056=1,INDEX('Data Entry'!$H$5:$BE$10004,7056-4,'Visual SPC'!$B$3),"")</f>
        <v/>
      </c>
      <c r="E7056">
        <f>IF(B7056=1,D7056,E7055)</f>
        <v/>
      </c>
      <c r="F7056">
        <f>IF(AND(B7056=1,C7056&gt;1,E7055&lt;&gt;""),ABS(D7056-E7055),"")</f>
        <v/>
      </c>
    </row>
    <row r="7057">
      <c r="A7057" t="n">
        <v>7057</v>
      </c>
      <c r="B7057">
        <f>IF(INDEX('Data Entry'!$H$5:$BE$10004,7057-4,'Visual SPC'!$B$3)="",0,IF(AND(OR('Visual SPC'!$C$4="",'Data Entry'!$C7057&gt;='Visual SPC'!$C$4),OR('Visual SPC'!$E$4="",'Data Entry'!$C7057&lt;='Visual SPC'!$E$4),OR('Visual SPC'!$G$4="",'Data Entry'!$D7057='Visual SPC'!$G$4),OR('Visual SPC'!$I$4="",'Data Entry'!$E7057='Visual SPC'!$I$4),OR('Visual SPC'!$K$4="",'Data Entry'!$F7057='Visual SPC'!$K$4)),1,0))</f>
        <v/>
      </c>
      <c r="C7057">
        <f>C7056+B7057</f>
        <v/>
      </c>
      <c r="D7057">
        <f>IF(B7057=1,INDEX('Data Entry'!$H$5:$BE$10004,7057-4,'Visual SPC'!$B$3),"")</f>
        <v/>
      </c>
      <c r="E7057">
        <f>IF(B7057=1,D7057,E7056)</f>
        <v/>
      </c>
      <c r="F7057">
        <f>IF(AND(B7057=1,C7057&gt;1,E7056&lt;&gt;""),ABS(D7057-E7056),"")</f>
        <v/>
      </c>
    </row>
    <row r="7058">
      <c r="A7058" t="n">
        <v>7058</v>
      </c>
      <c r="B7058">
        <f>IF(INDEX('Data Entry'!$H$5:$BE$10004,7058-4,'Visual SPC'!$B$3)="",0,IF(AND(OR('Visual SPC'!$C$4="",'Data Entry'!$C7058&gt;='Visual SPC'!$C$4),OR('Visual SPC'!$E$4="",'Data Entry'!$C7058&lt;='Visual SPC'!$E$4),OR('Visual SPC'!$G$4="",'Data Entry'!$D7058='Visual SPC'!$G$4),OR('Visual SPC'!$I$4="",'Data Entry'!$E7058='Visual SPC'!$I$4),OR('Visual SPC'!$K$4="",'Data Entry'!$F7058='Visual SPC'!$K$4)),1,0))</f>
        <v/>
      </c>
      <c r="C7058">
        <f>C7057+B7058</f>
        <v/>
      </c>
      <c r="D7058">
        <f>IF(B7058=1,INDEX('Data Entry'!$H$5:$BE$10004,7058-4,'Visual SPC'!$B$3),"")</f>
        <v/>
      </c>
      <c r="E7058">
        <f>IF(B7058=1,D7058,E7057)</f>
        <v/>
      </c>
      <c r="F7058">
        <f>IF(AND(B7058=1,C7058&gt;1,E7057&lt;&gt;""),ABS(D7058-E7057),"")</f>
        <v/>
      </c>
    </row>
    <row r="7059">
      <c r="A7059" t="n">
        <v>7059</v>
      </c>
      <c r="B7059">
        <f>IF(INDEX('Data Entry'!$H$5:$BE$10004,7059-4,'Visual SPC'!$B$3)="",0,IF(AND(OR('Visual SPC'!$C$4="",'Data Entry'!$C7059&gt;='Visual SPC'!$C$4),OR('Visual SPC'!$E$4="",'Data Entry'!$C7059&lt;='Visual SPC'!$E$4),OR('Visual SPC'!$G$4="",'Data Entry'!$D7059='Visual SPC'!$G$4),OR('Visual SPC'!$I$4="",'Data Entry'!$E7059='Visual SPC'!$I$4),OR('Visual SPC'!$K$4="",'Data Entry'!$F7059='Visual SPC'!$K$4)),1,0))</f>
        <v/>
      </c>
      <c r="C7059">
        <f>C7058+B7059</f>
        <v/>
      </c>
      <c r="D7059">
        <f>IF(B7059=1,INDEX('Data Entry'!$H$5:$BE$10004,7059-4,'Visual SPC'!$B$3),"")</f>
        <v/>
      </c>
      <c r="E7059">
        <f>IF(B7059=1,D7059,E7058)</f>
        <v/>
      </c>
      <c r="F7059">
        <f>IF(AND(B7059=1,C7059&gt;1,E7058&lt;&gt;""),ABS(D7059-E7058),"")</f>
        <v/>
      </c>
    </row>
    <row r="7060">
      <c r="A7060" t="n">
        <v>7060</v>
      </c>
      <c r="B7060">
        <f>IF(INDEX('Data Entry'!$H$5:$BE$10004,7060-4,'Visual SPC'!$B$3)="",0,IF(AND(OR('Visual SPC'!$C$4="",'Data Entry'!$C7060&gt;='Visual SPC'!$C$4),OR('Visual SPC'!$E$4="",'Data Entry'!$C7060&lt;='Visual SPC'!$E$4),OR('Visual SPC'!$G$4="",'Data Entry'!$D7060='Visual SPC'!$G$4),OR('Visual SPC'!$I$4="",'Data Entry'!$E7060='Visual SPC'!$I$4),OR('Visual SPC'!$K$4="",'Data Entry'!$F7060='Visual SPC'!$K$4)),1,0))</f>
        <v/>
      </c>
      <c r="C7060">
        <f>C7059+B7060</f>
        <v/>
      </c>
      <c r="D7060">
        <f>IF(B7060=1,INDEX('Data Entry'!$H$5:$BE$10004,7060-4,'Visual SPC'!$B$3),"")</f>
        <v/>
      </c>
      <c r="E7060">
        <f>IF(B7060=1,D7060,E7059)</f>
        <v/>
      </c>
      <c r="F7060">
        <f>IF(AND(B7060=1,C7060&gt;1,E7059&lt;&gt;""),ABS(D7060-E7059),"")</f>
        <v/>
      </c>
    </row>
    <row r="7061">
      <c r="A7061" t="n">
        <v>7061</v>
      </c>
      <c r="B7061">
        <f>IF(INDEX('Data Entry'!$H$5:$BE$10004,7061-4,'Visual SPC'!$B$3)="",0,IF(AND(OR('Visual SPC'!$C$4="",'Data Entry'!$C7061&gt;='Visual SPC'!$C$4),OR('Visual SPC'!$E$4="",'Data Entry'!$C7061&lt;='Visual SPC'!$E$4),OR('Visual SPC'!$G$4="",'Data Entry'!$D7061='Visual SPC'!$G$4),OR('Visual SPC'!$I$4="",'Data Entry'!$E7061='Visual SPC'!$I$4),OR('Visual SPC'!$K$4="",'Data Entry'!$F7061='Visual SPC'!$K$4)),1,0))</f>
        <v/>
      </c>
      <c r="C7061">
        <f>C7060+B7061</f>
        <v/>
      </c>
      <c r="D7061">
        <f>IF(B7061=1,INDEX('Data Entry'!$H$5:$BE$10004,7061-4,'Visual SPC'!$B$3),"")</f>
        <v/>
      </c>
      <c r="E7061">
        <f>IF(B7061=1,D7061,E7060)</f>
        <v/>
      </c>
      <c r="F7061">
        <f>IF(AND(B7061=1,C7061&gt;1,E7060&lt;&gt;""),ABS(D7061-E7060),"")</f>
        <v/>
      </c>
    </row>
    <row r="7062">
      <c r="A7062" t="n">
        <v>7062</v>
      </c>
      <c r="B7062">
        <f>IF(INDEX('Data Entry'!$H$5:$BE$10004,7062-4,'Visual SPC'!$B$3)="",0,IF(AND(OR('Visual SPC'!$C$4="",'Data Entry'!$C7062&gt;='Visual SPC'!$C$4),OR('Visual SPC'!$E$4="",'Data Entry'!$C7062&lt;='Visual SPC'!$E$4),OR('Visual SPC'!$G$4="",'Data Entry'!$D7062='Visual SPC'!$G$4),OR('Visual SPC'!$I$4="",'Data Entry'!$E7062='Visual SPC'!$I$4),OR('Visual SPC'!$K$4="",'Data Entry'!$F7062='Visual SPC'!$K$4)),1,0))</f>
        <v/>
      </c>
      <c r="C7062">
        <f>C7061+B7062</f>
        <v/>
      </c>
      <c r="D7062">
        <f>IF(B7062=1,INDEX('Data Entry'!$H$5:$BE$10004,7062-4,'Visual SPC'!$B$3),"")</f>
        <v/>
      </c>
      <c r="E7062">
        <f>IF(B7062=1,D7062,E7061)</f>
        <v/>
      </c>
      <c r="F7062">
        <f>IF(AND(B7062=1,C7062&gt;1,E7061&lt;&gt;""),ABS(D7062-E7061),"")</f>
        <v/>
      </c>
    </row>
    <row r="7063">
      <c r="A7063" t="n">
        <v>7063</v>
      </c>
      <c r="B7063">
        <f>IF(INDEX('Data Entry'!$H$5:$BE$10004,7063-4,'Visual SPC'!$B$3)="",0,IF(AND(OR('Visual SPC'!$C$4="",'Data Entry'!$C7063&gt;='Visual SPC'!$C$4),OR('Visual SPC'!$E$4="",'Data Entry'!$C7063&lt;='Visual SPC'!$E$4),OR('Visual SPC'!$G$4="",'Data Entry'!$D7063='Visual SPC'!$G$4),OR('Visual SPC'!$I$4="",'Data Entry'!$E7063='Visual SPC'!$I$4),OR('Visual SPC'!$K$4="",'Data Entry'!$F7063='Visual SPC'!$K$4)),1,0))</f>
        <v/>
      </c>
      <c r="C7063">
        <f>C7062+B7063</f>
        <v/>
      </c>
      <c r="D7063">
        <f>IF(B7063=1,INDEX('Data Entry'!$H$5:$BE$10004,7063-4,'Visual SPC'!$B$3),"")</f>
        <v/>
      </c>
      <c r="E7063">
        <f>IF(B7063=1,D7063,E7062)</f>
        <v/>
      </c>
      <c r="F7063">
        <f>IF(AND(B7063=1,C7063&gt;1,E7062&lt;&gt;""),ABS(D7063-E7062),"")</f>
        <v/>
      </c>
    </row>
    <row r="7064">
      <c r="A7064" t="n">
        <v>7064</v>
      </c>
      <c r="B7064">
        <f>IF(INDEX('Data Entry'!$H$5:$BE$10004,7064-4,'Visual SPC'!$B$3)="",0,IF(AND(OR('Visual SPC'!$C$4="",'Data Entry'!$C7064&gt;='Visual SPC'!$C$4),OR('Visual SPC'!$E$4="",'Data Entry'!$C7064&lt;='Visual SPC'!$E$4),OR('Visual SPC'!$G$4="",'Data Entry'!$D7064='Visual SPC'!$G$4),OR('Visual SPC'!$I$4="",'Data Entry'!$E7064='Visual SPC'!$I$4),OR('Visual SPC'!$K$4="",'Data Entry'!$F7064='Visual SPC'!$K$4)),1,0))</f>
        <v/>
      </c>
      <c r="C7064">
        <f>C7063+B7064</f>
        <v/>
      </c>
      <c r="D7064">
        <f>IF(B7064=1,INDEX('Data Entry'!$H$5:$BE$10004,7064-4,'Visual SPC'!$B$3),"")</f>
        <v/>
      </c>
      <c r="E7064">
        <f>IF(B7064=1,D7064,E7063)</f>
        <v/>
      </c>
      <c r="F7064">
        <f>IF(AND(B7064=1,C7064&gt;1,E7063&lt;&gt;""),ABS(D7064-E7063),"")</f>
        <v/>
      </c>
    </row>
    <row r="7065">
      <c r="A7065" t="n">
        <v>7065</v>
      </c>
      <c r="B7065">
        <f>IF(INDEX('Data Entry'!$H$5:$BE$10004,7065-4,'Visual SPC'!$B$3)="",0,IF(AND(OR('Visual SPC'!$C$4="",'Data Entry'!$C7065&gt;='Visual SPC'!$C$4),OR('Visual SPC'!$E$4="",'Data Entry'!$C7065&lt;='Visual SPC'!$E$4),OR('Visual SPC'!$G$4="",'Data Entry'!$D7065='Visual SPC'!$G$4),OR('Visual SPC'!$I$4="",'Data Entry'!$E7065='Visual SPC'!$I$4),OR('Visual SPC'!$K$4="",'Data Entry'!$F7065='Visual SPC'!$K$4)),1,0))</f>
        <v/>
      </c>
      <c r="C7065">
        <f>C7064+B7065</f>
        <v/>
      </c>
      <c r="D7065">
        <f>IF(B7065=1,INDEX('Data Entry'!$H$5:$BE$10004,7065-4,'Visual SPC'!$B$3),"")</f>
        <v/>
      </c>
      <c r="E7065">
        <f>IF(B7065=1,D7065,E7064)</f>
        <v/>
      </c>
      <c r="F7065">
        <f>IF(AND(B7065=1,C7065&gt;1,E7064&lt;&gt;""),ABS(D7065-E7064),"")</f>
        <v/>
      </c>
    </row>
    <row r="7066">
      <c r="A7066" t="n">
        <v>7066</v>
      </c>
      <c r="B7066">
        <f>IF(INDEX('Data Entry'!$H$5:$BE$10004,7066-4,'Visual SPC'!$B$3)="",0,IF(AND(OR('Visual SPC'!$C$4="",'Data Entry'!$C7066&gt;='Visual SPC'!$C$4),OR('Visual SPC'!$E$4="",'Data Entry'!$C7066&lt;='Visual SPC'!$E$4),OR('Visual SPC'!$G$4="",'Data Entry'!$D7066='Visual SPC'!$G$4),OR('Visual SPC'!$I$4="",'Data Entry'!$E7066='Visual SPC'!$I$4),OR('Visual SPC'!$K$4="",'Data Entry'!$F7066='Visual SPC'!$K$4)),1,0))</f>
        <v/>
      </c>
      <c r="C7066">
        <f>C7065+B7066</f>
        <v/>
      </c>
      <c r="D7066">
        <f>IF(B7066=1,INDEX('Data Entry'!$H$5:$BE$10004,7066-4,'Visual SPC'!$B$3),"")</f>
        <v/>
      </c>
      <c r="E7066">
        <f>IF(B7066=1,D7066,E7065)</f>
        <v/>
      </c>
      <c r="F7066">
        <f>IF(AND(B7066=1,C7066&gt;1,E7065&lt;&gt;""),ABS(D7066-E7065),"")</f>
        <v/>
      </c>
    </row>
    <row r="7067">
      <c r="A7067" t="n">
        <v>7067</v>
      </c>
      <c r="B7067">
        <f>IF(INDEX('Data Entry'!$H$5:$BE$10004,7067-4,'Visual SPC'!$B$3)="",0,IF(AND(OR('Visual SPC'!$C$4="",'Data Entry'!$C7067&gt;='Visual SPC'!$C$4),OR('Visual SPC'!$E$4="",'Data Entry'!$C7067&lt;='Visual SPC'!$E$4),OR('Visual SPC'!$G$4="",'Data Entry'!$D7067='Visual SPC'!$G$4),OR('Visual SPC'!$I$4="",'Data Entry'!$E7067='Visual SPC'!$I$4),OR('Visual SPC'!$K$4="",'Data Entry'!$F7067='Visual SPC'!$K$4)),1,0))</f>
        <v/>
      </c>
      <c r="C7067">
        <f>C7066+B7067</f>
        <v/>
      </c>
      <c r="D7067">
        <f>IF(B7067=1,INDEX('Data Entry'!$H$5:$BE$10004,7067-4,'Visual SPC'!$B$3),"")</f>
        <v/>
      </c>
      <c r="E7067">
        <f>IF(B7067=1,D7067,E7066)</f>
        <v/>
      </c>
      <c r="F7067">
        <f>IF(AND(B7067=1,C7067&gt;1,E7066&lt;&gt;""),ABS(D7067-E7066),"")</f>
        <v/>
      </c>
    </row>
    <row r="7068">
      <c r="A7068" t="n">
        <v>7068</v>
      </c>
      <c r="B7068">
        <f>IF(INDEX('Data Entry'!$H$5:$BE$10004,7068-4,'Visual SPC'!$B$3)="",0,IF(AND(OR('Visual SPC'!$C$4="",'Data Entry'!$C7068&gt;='Visual SPC'!$C$4),OR('Visual SPC'!$E$4="",'Data Entry'!$C7068&lt;='Visual SPC'!$E$4),OR('Visual SPC'!$G$4="",'Data Entry'!$D7068='Visual SPC'!$G$4),OR('Visual SPC'!$I$4="",'Data Entry'!$E7068='Visual SPC'!$I$4),OR('Visual SPC'!$K$4="",'Data Entry'!$F7068='Visual SPC'!$K$4)),1,0))</f>
        <v/>
      </c>
      <c r="C7068">
        <f>C7067+B7068</f>
        <v/>
      </c>
      <c r="D7068">
        <f>IF(B7068=1,INDEX('Data Entry'!$H$5:$BE$10004,7068-4,'Visual SPC'!$B$3),"")</f>
        <v/>
      </c>
      <c r="E7068">
        <f>IF(B7068=1,D7068,E7067)</f>
        <v/>
      </c>
      <c r="F7068">
        <f>IF(AND(B7068=1,C7068&gt;1,E7067&lt;&gt;""),ABS(D7068-E7067),"")</f>
        <v/>
      </c>
    </row>
    <row r="7069">
      <c r="A7069" t="n">
        <v>7069</v>
      </c>
      <c r="B7069">
        <f>IF(INDEX('Data Entry'!$H$5:$BE$10004,7069-4,'Visual SPC'!$B$3)="",0,IF(AND(OR('Visual SPC'!$C$4="",'Data Entry'!$C7069&gt;='Visual SPC'!$C$4),OR('Visual SPC'!$E$4="",'Data Entry'!$C7069&lt;='Visual SPC'!$E$4),OR('Visual SPC'!$G$4="",'Data Entry'!$D7069='Visual SPC'!$G$4),OR('Visual SPC'!$I$4="",'Data Entry'!$E7069='Visual SPC'!$I$4),OR('Visual SPC'!$K$4="",'Data Entry'!$F7069='Visual SPC'!$K$4)),1,0))</f>
        <v/>
      </c>
      <c r="C7069">
        <f>C7068+B7069</f>
        <v/>
      </c>
      <c r="D7069">
        <f>IF(B7069=1,INDEX('Data Entry'!$H$5:$BE$10004,7069-4,'Visual SPC'!$B$3),"")</f>
        <v/>
      </c>
      <c r="E7069">
        <f>IF(B7069=1,D7069,E7068)</f>
        <v/>
      </c>
      <c r="F7069">
        <f>IF(AND(B7069=1,C7069&gt;1,E7068&lt;&gt;""),ABS(D7069-E7068),"")</f>
        <v/>
      </c>
    </row>
    <row r="7070">
      <c r="A7070" t="n">
        <v>7070</v>
      </c>
      <c r="B7070">
        <f>IF(INDEX('Data Entry'!$H$5:$BE$10004,7070-4,'Visual SPC'!$B$3)="",0,IF(AND(OR('Visual SPC'!$C$4="",'Data Entry'!$C7070&gt;='Visual SPC'!$C$4),OR('Visual SPC'!$E$4="",'Data Entry'!$C7070&lt;='Visual SPC'!$E$4),OR('Visual SPC'!$G$4="",'Data Entry'!$D7070='Visual SPC'!$G$4),OR('Visual SPC'!$I$4="",'Data Entry'!$E7070='Visual SPC'!$I$4),OR('Visual SPC'!$K$4="",'Data Entry'!$F7070='Visual SPC'!$K$4)),1,0))</f>
        <v/>
      </c>
      <c r="C7070">
        <f>C7069+B7070</f>
        <v/>
      </c>
      <c r="D7070">
        <f>IF(B7070=1,INDEX('Data Entry'!$H$5:$BE$10004,7070-4,'Visual SPC'!$B$3),"")</f>
        <v/>
      </c>
      <c r="E7070">
        <f>IF(B7070=1,D7070,E7069)</f>
        <v/>
      </c>
      <c r="F7070">
        <f>IF(AND(B7070=1,C7070&gt;1,E7069&lt;&gt;""),ABS(D7070-E7069),"")</f>
        <v/>
      </c>
    </row>
    <row r="7071">
      <c r="A7071" t="n">
        <v>7071</v>
      </c>
      <c r="B7071">
        <f>IF(INDEX('Data Entry'!$H$5:$BE$10004,7071-4,'Visual SPC'!$B$3)="",0,IF(AND(OR('Visual SPC'!$C$4="",'Data Entry'!$C7071&gt;='Visual SPC'!$C$4),OR('Visual SPC'!$E$4="",'Data Entry'!$C7071&lt;='Visual SPC'!$E$4),OR('Visual SPC'!$G$4="",'Data Entry'!$D7071='Visual SPC'!$G$4),OR('Visual SPC'!$I$4="",'Data Entry'!$E7071='Visual SPC'!$I$4),OR('Visual SPC'!$K$4="",'Data Entry'!$F7071='Visual SPC'!$K$4)),1,0))</f>
        <v/>
      </c>
      <c r="C7071">
        <f>C7070+B7071</f>
        <v/>
      </c>
      <c r="D7071">
        <f>IF(B7071=1,INDEX('Data Entry'!$H$5:$BE$10004,7071-4,'Visual SPC'!$B$3),"")</f>
        <v/>
      </c>
      <c r="E7071">
        <f>IF(B7071=1,D7071,E7070)</f>
        <v/>
      </c>
      <c r="F7071">
        <f>IF(AND(B7071=1,C7071&gt;1,E7070&lt;&gt;""),ABS(D7071-E7070),"")</f>
        <v/>
      </c>
    </row>
    <row r="7072">
      <c r="A7072" t="n">
        <v>7072</v>
      </c>
      <c r="B7072">
        <f>IF(INDEX('Data Entry'!$H$5:$BE$10004,7072-4,'Visual SPC'!$B$3)="",0,IF(AND(OR('Visual SPC'!$C$4="",'Data Entry'!$C7072&gt;='Visual SPC'!$C$4),OR('Visual SPC'!$E$4="",'Data Entry'!$C7072&lt;='Visual SPC'!$E$4),OR('Visual SPC'!$G$4="",'Data Entry'!$D7072='Visual SPC'!$G$4),OR('Visual SPC'!$I$4="",'Data Entry'!$E7072='Visual SPC'!$I$4),OR('Visual SPC'!$K$4="",'Data Entry'!$F7072='Visual SPC'!$K$4)),1,0))</f>
        <v/>
      </c>
      <c r="C7072">
        <f>C7071+B7072</f>
        <v/>
      </c>
      <c r="D7072">
        <f>IF(B7072=1,INDEX('Data Entry'!$H$5:$BE$10004,7072-4,'Visual SPC'!$B$3),"")</f>
        <v/>
      </c>
      <c r="E7072">
        <f>IF(B7072=1,D7072,E7071)</f>
        <v/>
      </c>
      <c r="F7072">
        <f>IF(AND(B7072=1,C7072&gt;1,E7071&lt;&gt;""),ABS(D7072-E7071),"")</f>
        <v/>
      </c>
    </row>
    <row r="7073">
      <c r="A7073" t="n">
        <v>7073</v>
      </c>
      <c r="B7073">
        <f>IF(INDEX('Data Entry'!$H$5:$BE$10004,7073-4,'Visual SPC'!$B$3)="",0,IF(AND(OR('Visual SPC'!$C$4="",'Data Entry'!$C7073&gt;='Visual SPC'!$C$4),OR('Visual SPC'!$E$4="",'Data Entry'!$C7073&lt;='Visual SPC'!$E$4),OR('Visual SPC'!$G$4="",'Data Entry'!$D7073='Visual SPC'!$G$4),OR('Visual SPC'!$I$4="",'Data Entry'!$E7073='Visual SPC'!$I$4),OR('Visual SPC'!$K$4="",'Data Entry'!$F7073='Visual SPC'!$K$4)),1,0))</f>
        <v/>
      </c>
      <c r="C7073">
        <f>C7072+B7073</f>
        <v/>
      </c>
      <c r="D7073">
        <f>IF(B7073=1,INDEX('Data Entry'!$H$5:$BE$10004,7073-4,'Visual SPC'!$B$3),"")</f>
        <v/>
      </c>
      <c r="E7073">
        <f>IF(B7073=1,D7073,E7072)</f>
        <v/>
      </c>
      <c r="F7073">
        <f>IF(AND(B7073=1,C7073&gt;1,E7072&lt;&gt;""),ABS(D7073-E7072),"")</f>
        <v/>
      </c>
    </row>
    <row r="7074">
      <c r="A7074" t="n">
        <v>7074</v>
      </c>
      <c r="B7074">
        <f>IF(INDEX('Data Entry'!$H$5:$BE$10004,7074-4,'Visual SPC'!$B$3)="",0,IF(AND(OR('Visual SPC'!$C$4="",'Data Entry'!$C7074&gt;='Visual SPC'!$C$4),OR('Visual SPC'!$E$4="",'Data Entry'!$C7074&lt;='Visual SPC'!$E$4),OR('Visual SPC'!$G$4="",'Data Entry'!$D7074='Visual SPC'!$G$4),OR('Visual SPC'!$I$4="",'Data Entry'!$E7074='Visual SPC'!$I$4),OR('Visual SPC'!$K$4="",'Data Entry'!$F7074='Visual SPC'!$K$4)),1,0))</f>
        <v/>
      </c>
      <c r="C7074">
        <f>C7073+B7074</f>
        <v/>
      </c>
      <c r="D7074">
        <f>IF(B7074=1,INDEX('Data Entry'!$H$5:$BE$10004,7074-4,'Visual SPC'!$B$3),"")</f>
        <v/>
      </c>
      <c r="E7074">
        <f>IF(B7074=1,D7074,E7073)</f>
        <v/>
      </c>
      <c r="F7074">
        <f>IF(AND(B7074=1,C7074&gt;1,E7073&lt;&gt;""),ABS(D7074-E7073),"")</f>
        <v/>
      </c>
    </row>
    <row r="7075">
      <c r="A7075" t="n">
        <v>7075</v>
      </c>
      <c r="B7075">
        <f>IF(INDEX('Data Entry'!$H$5:$BE$10004,7075-4,'Visual SPC'!$B$3)="",0,IF(AND(OR('Visual SPC'!$C$4="",'Data Entry'!$C7075&gt;='Visual SPC'!$C$4),OR('Visual SPC'!$E$4="",'Data Entry'!$C7075&lt;='Visual SPC'!$E$4),OR('Visual SPC'!$G$4="",'Data Entry'!$D7075='Visual SPC'!$G$4),OR('Visual SPC'!$I$4="",'Data Entry'!$E7075='Visual SPC'!$I$4),OR('Visual SPC'!$K$4="",'Data Entry'!$F7075='Visual SPC'!$K$4)),1,0))</f>
        <v/>
      </c>
      <c r="C7075">
        <f>C7074+B7075</f>
        <v/>
      </c>
      <c r="D7075">
        <f>IF(B7075=1,INDEX('Data Entry'!$H$5:$BE$10004,7075-4,'Visual SPC'!$B$3),"")</f>
        <v/>
      </c>
      <c r="E7075">
        <f>IF(B7075=1,D7075,E7074)</f>
        <v/>
      </c>
      <c r="F7075">
        <f>IF(AND(B7075=1,C7075&gt;1,E7074&lt;&gt;""),ABS(D7075-E7074),"")</f>
        <v/>
      </c>
    </row>
    <row r="7076">
      <c r="A7076" t="n">
        <v>7076</v>
      </c>
      <c r="B7076">
        <f>IF(INDEX('Data Entry'!$H$5:$BE$10004,7076-4,'Visual SPC'!$B$3)="",0,IF(AND(OR('Visual SPC'!$C$4="",'Data Entry'!$C7076&gt;='Visual SPC'!$C$4),OR('Visual SPC'!$E$4="",'Data Entry'!$C7076&lt;='Visual SPC'!$E$4),OR('Visual SPC'!$G$4="",'Data Entry'!$D7076='Visual SPC'!$G$4),OR('Visual SPC'!$I$4="",'Data Entry'!$E7076='Visual SPC'!$I$4),OR('Visual SPC'!$K$4="",'Data Entry'!$F7076='Visual SPC'!$K$4)),1,0))</f>
        <v/>
      </c>
      <c r="C7076">
        <f>C7075+B7076</f>
        <v/>
      </c>
      <c r="D7076">
        <f>IF(B7076=1,INDEX('Data Entry'!$H$5:$BE$10004,7076-4,'Visual SPC'!$B$3),"")</f>
        <v/>
      </c>
      <c r="E7076">
        <f>IF(B7076=1,D7076,E7075)</f>
        <v/>
      </c>
      <c r="F7076">
        <f>IF(AND(B7076=1,C7076&gt;1,E7075&lt;&gt;""),ABS(D7076-E7075),"")</f>
        <v/>
      </c>
    </row>
    <row r="7077">
      <c r="A7077" t="n">
        <v>7077</v>
      </c>
      <c r="B7077">
        <f>IF(INDEX('Data Entry'!$H$5:$BE$10004,7077-4,'Visual SPC'!$B$3)="",0,IF(AND(OR('Visual SPC'!$C$4="",'Data Entry'!$C7077&gt;='Visual SPC'!$C$4),OR('Visual SPC'!$E$4="",'Data Entry'!$C7077&lt;='Visual SPC'!$E$4),OR('Visual SPC'!$G$4="",'Data Entry'!$D7077='Visual SPC'!$G$4),OR('Visual SPC'!$I$4="",'Data Entry'!$E7077='Visual SPC'!$I$4),OR('Visual SPC'!$K$4="",'Data Entry'!$F7077='Visual SPC'!$K$4)),1,0))</f>
        <v/>
      </c>
      <c r="C7077">
        <f>C7076+B7077</f>
        <v/>
      </c>
      <c r="D7077">
        <f>IF(B7077=1,INDEX('Data Entry'!$H$5:$BE$10004,7077-4,'Visual SPC'!$B$3),"")</f>
        <v/>
      </c>
      <c r="E7077">
        <f>IF(B7077=1,D7077,E7076)</f>
        <v/>
      </c>
      <c r="F7077">
        <f>IF(AND(B7077=1,C7077&gt;1,E7076&lt;&gt;""),ABS(D7077-E7076),"")</f>
        <v/>
      </c>
    </row>
    <row r="7078">
      <c r="A7078" t="n">
        <v>7078</v>
      </c>
      <c r="B7078">
        <f>IF(INDEX('Data Entry'!$H$5:$BE$10004,7078-4,'Visual SPC'!$B$3)="",0,IF(AND(OR('Visual SPC'!$C$4="",'Data Entry'!$C7078&gt;='Visual SPC'!$C$4),OR('Visual SPC'!$E$4="",'Data Entry'!$C7078&lt;='Visual SPC'!$E$4),OR('Visual SPC'!$G$4="",'Data Entry'!$D7078='Visual SPC'!$G$4),OR('Visual SPC'!$I$4="",'Data Entry'!$E7078='Visual SPC'!$I$4),OR('Visual SPC'!$K$4="",'Data Entry'!$F7078='Visual SPC'!$K$4)),1,0))</f>
        <v/>
      </c>
      <c r="C7078">
        <f>C7077+B7078</f>
        <v/>
      </c>
      <c r="D7078">
        <f>IF(B7078=1,INDEX('Data Entry'!$H$5:$BE$10004,7078-4,'Visual SPC'!$B$3),"")</f>
        <v/>
      </c>
      <c r="E7078">
        <f>IF(B7078=1,D7078,E7077)</f>
        <v/>
      </c>
      <c r="F7078">
        <f>IF(AND(B7078=1,C7078&gt;1,E7077&lt;&gt;""),ABS(D7078-E7077),"")</f>
        <v/>
      </c>
    </row>
    <row r="7079">
      <c r="A7079" t="n">
        <v>7079</v>
      </c>
      <c r="B7079">
        <f>IF(INDEX('Data Entry'!$H$5:$BE$10004,7079-4,'Visual SPC'!$B$3)="",0,IF(AND(OR('Visual SPC'!$C$4="",'Data Entry'!$C7079&gt;='Visual SPC'!$C$4),OR('Visual SPC'!$E$4="",'Data Entry'!$C7079&lt;='Visual SPC'!$E$4),OR('Visual SPC'!$G$4="",'Data Entry'!$D7079='Visual SPC'!$G$4),OR('Visual SPC'!$I$4="",'Data Entry'!$E7079='Visual SPC'!$I$4),OR('Visual SPC'!$K$4="",'Data Entry'!$F7079='Visual SPC'!$K$4)),1,0))</f>
        <v/>
      </c>
      <c r="C7079">
        <f>C7078+B7079</f>
        <v/>
      </c>
      <c r="D7079">
        <f>IF(B7079=1,INDEX('Data Entry'!$H$5:$BE$10004,7079-4,'Visual SPC'!$B$3),"")</f>
        <v/>
      </c>
      <c r="E7079">
        <f>IF(B7079=1,D7079,E7078)</f>
        <v/>
      </c>
      <c r="F7079">
        <f>IF(AND(B7079=1,C7079&gt;1,E7078&lt;&gt;""),ABS(D7079-E7078),"")</f>
        <v/>
      </c>
    </row>
    <row r="7080">
      <c r="A7080" t="n">
        <v>7080</v>
      </c>
      <c r="B7080">
        <f>IF(INDEX('Data Entry'!$H$5:$BE$10004,7080-4,'Visual SPC'!$B$3)="",0,IF(AND(OR('Visual SPC'!$C$4="",'Data Entry'!$C7080&gt;='Visual SPC'!$C$4),OR('Visual SPC'!$E$4="",'Data Entry'!$C7080&lt;='Visual SPC'!$E$4),OR('Visual SPC'!$G$4="",'Data Entry'!$D7080='Visual SPC'!$G$4),OR('Visual SPC'!$I$4="",'Data Entry'!$E7080='Visual SPC'!$I$4),OR('Visual SPC'!$K$4="",'Data Entry'!$F7080='Visual SPC'!$K$4)),1,0))</f>
        <v/>
      </c>
      <c r="C7080">
        <f>C7079+B7080</f>
        <v/>
      </c>
      <c r="D7080">
        <f>IF(B7080=1,INDEX('Data Entry'!$H$5:$BE$10004,7080-4,'Visual SPC'!$B$3),"")</f>
        <v/>
      </c>
      <c r="E7080">
        <f>IF(B7080=1,D7080,E7079)</f>
        <v/>
      </c>
      <c r="F7080">
        <f>IF(AND(B7080=1,C7080&gt;1,E7079&lt;&gt;""),ABS(D7080-E7079),"")</f>
        <v/>
      </c>
    </row>
    <row r="7081">
      <c r="A7081" t="n">
        <v>7081</v>
      </c>
      <c r="B7081">
        <f>IF(INDEX('Data Entry'!$H$5:$BE$10004,7081-4,'Visual SPC'!$B$3)="",0,IF(AND(OR('Visual SPC'!$C$4="",'Data Entry'!$C7081&gt;='Visual SPC'!$C$4),OR('Visual SPC'!$E$4="",'Data Entry'!$C7081&lt;='Visual SPC'!$E$4),OR('Visual SPC'!$G$4="",'Data Entry'!$D7081='Visual SPC'!$G$4),OR('Visual SPC'!$I$4="",'Data Entry'!$E7081='Visual SPC'!$I$4),OR('Visual SPC'!$K$4="",'Data Entry'!$F7081='Visual SPC'!$K$4)),1,0))</f>
        <v/>
      </c>
      <c r="C7081">
        <f>C7080+B7081</f>
        <v/>
      </c>
      <c r="D7081">
        <f>IF(B7081=1,INDEX('Data Entry'!$H$5:$BE$10004,7081-4,'Visual SPC'!$B$3),"")</f>
        <v/>
      </c>
      <c r="E7081">
        <f>IF(B7081=1,D7081,E7080)</f>
        <v/>
      </c>
      <c r="F7081">
        <f>IF(AND(B7081=1,C7081&gt;1,E7080&lt;&gt;""),ABS(D7081-E7080),"")</f>
        <v/>
      </c>
    </row>
    <row r="7082">
      <c r="A7082" t="n">
        <v>7082</v>
      </c>
      <c r="B7082">
        <f>IF(INDEX('Data Entry'!$H$5:$BE$10004,7082-4,'Visual SPC'!$B$3)="",0,IF(AND(OR('Visual SPC'!$C$4="",'Data Entry'!$C7082&gt;='Visual SPC'!$C$4),OR('Visual SPC'!$E$4="",'Data Entry'!$C7082&lt;='Visual SPC'!$E$4),OR('Visual SPC'!$G$4="",'Data Entry'!$D7082='Visual SPC'!$G$4),OR('Visual SPC'!$I$4="",'Data Entry'!$E7082='Visual SPC'!$I$4),OR('Visual SPC'!$K$4="",'Data Entry'!$F7082='Visual SPC'!$K$4)),1,0))</f>
        <v/>
      </c>
      <c r="C7082">
        <f>C7081+B7082</f>
        <v/>
      </c>
      <c r="D7082">
        <f>IF(B7082=1,INDEX('Data Entry'!$H$5:$BE$10004,7082-4,'Visual SPC'!$B$3),"")</f>
        <v/>
      </c>
      <c r="E7082">
        <f>IF(B7082=1,D7082,E7081)</f>
        <v/>
      </c>
      <c r="F7082">
        <f>IF(AND(B7082=1,C7082&gt;1,E7081&lt;&gt;""),ABS(D7082-E7081),"")</f>
        <v/>
      </c>
    </row>
    <row r="7083">
      <c r="A7083" t="n">
        <v>7083</v>
      </c>
      <c r="B7083">
        <f>IF(INDEX('Data Entry'!$H$5:$BE$10004,7083-4,'Visual SPC'!$B$3)="",0,IF(AND(OR('Visual SPC'!$C$4="",'Data Entry'!$C7083&gt;='Visual SPC'!$C$4),OR('Visual SPC'!$E$4="",'Data Entry'!$C7083&lt;='Visual SPC'!$E$4),OR('Visual SPC'!$G$4="",'Data Entry'!$D7083='Visual SPC'!$G$4),OR('Visual SPC'!$I$4="",'Data Entry'!$E7083='Visual SPC'!$I$4),OR('Visual SPC'!$K$4="",'Data Entry'!$F7083='Visual SPC'!$K$4)),1,0))</f>
        <v/>
      </c>
      <c r="C7083">
        <f>C7082+B7083</f>
        <v/>
      </c>
      <c r="D7083">
        <f>IF(B7083=1,INDEX('Data Entry'!$H$5:$BE$10004,7083-4,'Visual SPC'!$B$3),"")</f>
        <v/>
      </c>
      <c r="E7083">
        <f>IF(B7083=1,D7083,E7082)</f>
        <v/>
      </c>
      <c r="F7083">
        <f>IF(AND(B7083=1,C7083&gt;1,E7082&lt;&gt;""),ABS(D7083-E7082),"")</f>
        <v/>
      </c>
    </row>
    <row r="7084">
      <c r="A7084" t="n">
        <v>7084</v>
      </c>
      <c r="B7084">
        <f>IF(INDEX('Data Entry'!$H$5:$BE$10004,7084-4,'Visual SPC'!$B$3)="",0,IF(AND(OR('Visual SPC'!$C$4="",'Data Entry'!$C7084&gt;='Visual SPC'!$C$4),OR('Visual SPC'!$E$4="",'Data Entry'!$C7084&lt;='Visual SPC'!$E$4),OR('Visual SPC'!$G$4="",'Data Entry'!$D7084='Visual SPC'!$G$4),OR('Visual SPC'!$I$4="",'Data Entry'!$E7084='Visual SPC'!$I$4),OR('Visual SPC'!$K$4="",'Data Entry'!$F7084='Visual SPC'!$K$4)),1,0))</f>
        <v/>
      </c>
      <c r="C7084">
        <f>C7083+B7084</f>
        <v/>
      </c>
      <c r="D7084">
        <f>IF(B7084=1,INDEX('Data Entry'!$H$5:$BE$10004,7084-4,'Visual SPC'!$B$3),"")</f>
        <v/>
      </c>
      <c r="E7084">
        <f>IF(B7084=1,D7084,E7083)</f>
        <v/>
      </c>
      <c r="F7084">
        <f>IF(AND(B7084=1,C7084&gt;1,E7083&lt;&gt;""),ABS(D7084-E7083),"")</f>
        <v/>
      </c>
    </row>
    <row r="7085">
      <c r="A7085" t="n">
        <v>7085</v>
      </c>
      <c r="B7085">
        <f>IF(INDEX('Data Entry'!$H$5:$BE$10004,7085-4,'Visual SPC'!$B$3)="",0,IF(AND(OR('Visual SPC'!$C$4="",'Data Entry'!$C7085&gt;='Visual SPC'!$C$4),OR('Visual SPC'!$E$4="",'Data Entry'!$C7085&lt;='Visual SPC'!$E$4),OR('Visual SPC'!$G$4="",'Data Entry'!$D7085='Visual SPC'!$G$4),OR('Visual SPC'!$I$4="",'Data Entry'!$E7085='Visual SPC'!$I$4),OR('Visual SPC'!$K$4="",'Data Entry'!$F7085='Visual SPC'!$K$4)),1,0))</f>
        <v/>
      </c>
      <c r="C7085">
        <f>C7084+B7085</f>
        <v/>
      </c>
      <c r="D7085">
        <f>IF(B7085=1,INDEX('Data Entry'!$H$5:$BE$10004,7085-4,'Visual SPC'!$B$3),"")</f>
        <v/>
      </c>
      <c r="E7085">
        <f>IF(B7085=1,D7085,E7084)</f>
        <v/>
      </c>
      <c r="F7085">
        <f>IF(AND(B7085=1,C7085&gt;1,E7084&lt;&gt;""),ABS(D7085-E7084),"")</f>
        <v/>
      </c>
    </row>
    <row r="7086">
      <c r="A7086" t="n">
        <v>7086</v>
      </c>
      <c r="B7086">
        <f>IF(INDEX('Data Entry'!$H$5:$BE$10004,7086-4,'Visual SPC'!$B$3)="",0,IF(AND(OR('Visual SPC'!$C$4="",'Data Entry'!$C7086&gt;='Visual SPC'!$C$4),OR('Visual SPC'!$E$4="",'Data Entry'!$C7086&lt;='Visual SPC'!$E$4),OR('Visual SPC'!$G$4="",'Data Entry'!$D7086='Visual SPC'!$G$4),OR('Visual SPC'!$I$4="",'Data Entry'!$E7086='Visual SPC'!$I$4),OR('Visual SPC'!$K$4="",'Data Entry'!$F7086='Visual SPC'!$K$4)),1,0))</f>
        <v/>
      </c>
      <c r="C7086">
        <f>C7085+B7086</f>
        <v/>
      </c>
      <c r="D7086">
        <f>IF(B7086=1,INDEX('Data Entry'!$H$5:$BE$10004,7086-4,'Visual SPC'!$B$3),"")</f>
        <v/>
      </c>
      <c r="E7086">
        <f>IF(B7086=1,D7086,E7085)</f>
        <v/>
      </c>
      <c r="F7086">
        <f>IF(AND(B7086=1,C7086&gt;1,E7085&lt;&gt;""),ABS(D7086-E7085),"")</f>
        <v/>
      </c>
    </row>
    <row r="7087">
      <c r="A7087" t="n">
        <v>7087</v>
      </c>
      <c r="B7087">
        <f>IF(INDEX('Data Entry'!$H$5:$BE$10004,7087-4,'Visual SPC'!$B$3)="",0,IF(AND(OR('Visual SPC'!$C$4="",'Data Entry'!$C7087&gt;='Visual SPC'!$C$4),OR('Visual SPC'!$E$4="",'Data Entry'!$C7087&lt;='Visual SPC'!$E$4),OR('Visual SPC'!$G$4="",'Data Entry'!$D7087='Visual SPC'!$G$4),OR('Visual SPC'!$I$4="",'Data Entry'!$E7087='Visual SPC'!$I$4),OR('Visual SPC'!$K$4="",'Data Entry'!$F7087='Visual SPC'!$K$4)),1,0))</f>
        <v/>
      </c>
      <c r="C7087">
        <f>C7086+B7087</f>
        <v/>
      </c>
      <c r="D7087">
        <f>IF(B7087=1,INDEX('Data Entry'!$H$5:$BE$10004,7087-4,'Visual SPC'!$B$3),"")</f>
        <v/>
      </c>
      <c r="E7087">
        <f>IF(B7087=1,D7087,E7086)</f>
        <v/>
      </c>
      <c r="F7087">
        <f>IF(AND(B7087=1,C7087&gt;1,E7086&lt;&gt;""),ABS(D7087-E7086),"")</f>
        <v/>
      </c>
    </row>
    <row r="7088">
      <c r="A7088" t="n">
        <v>7088</v>
      </c>
      <c r="B7088">
        <f>IF(INDEX('Data Entry'!$H$5:$BE$10004,7088-4,'Visual SPC'!$B$3)="",0,IF(AND(OR('Visual SPC'!$C$4="",'Data Entry'!$C7088&gt;='Visual SPC'!$C$4),OR('Visual SPC'!$E$4="",'Data Entry'!$C7088&lt;='Visual SPC'!$E$4),OR('Visual SPC'!$G$4="",'Data Entry'!$D7088='Visual SPC'!$G$4),OR('Visual SPC'!$I$4="",'Data Entry'!$E7088='Visual SPC'!$I$4),OR('Visual SPC'!$K$4="",'Data Entry'!$F7088='Visual SPC'!$K$4)),1,0))</f>
        <v/>
      </c>
      <c r="C7088">
        <f>C7087+B7088</f>
        <v/>
      </c>
      <c r="D7088">
        <f>IF(B7088=1,INDEX('Data Entry'!$H$5:$BE$10004,7088-4,'Visual SPC'!$B$3),"")</f>
        <v/>
      </c>
      <c r="E7088">
        <f>IF(B7088=1,D7088,E7087)</f>
        <v/>
      </c>
      <c r="F7088">
        <f>IF(AND(B7088=1,C7088&gt;1,E7087&lt;&gt;""),ABS(D7088-E7087),"")</f>
        <v/>
      </c>
    </row>
    <row r="7089">
      <c r="A7089" t="n">
        <v>7089</v>
      </c>
      <c r="B7089">
        <f>IF(INDEX('Data Entry'!$H$5:$BE$10004,7089-4,'Visual SPC'!$B$3)="",0,IF(AND(OR('Visual SPC'!$C$4="",'Data Entry'!$C7089&gt;='Visual SPC'!$C$4),OR('Visual SPC'!$E$4="",'Data Entry'!$C7089&lt;='Visual SPC'!$E$4),OR('Visual SPC'!$G$4="",'Data Entry'!$D7089='Visual SPC'!$G$4),OR('Visual SPC'!$I$4="",'Data Entry'!$E7089='Visual SPC'!$I$4),OR('Visual SPC'!$K$4="",'Data Entry'!$F7089='Visual SPC'!$K$4)),1,0))</f>
        <v/>
      </c>
      <c r="C7089">
        <f>C7088+B7089</f>
        <v/>
      </c>
      <c r="D7089">
        <f>IF(B7089=1,INDEX('Data Entry'!$H$5:$BE$10004,7089-4,'Visual SPC'!$B$3),"")</f>
        <v/>
      </c>
      <c r="E7089">
        <f>IF(B7089=1,D7089,E7088)</f>
        <v/>
      </c>
      <c r="F7089">
        <f>IF(AND(B7089=1,C7089&gt;1,E7088&lt;&gt;""),ABS(D7089-E7088),"")</f>
        <v/>
      </c>
    </row>
    <row r="7090">
      <c r="A7090" t="n">
        <v>7090</v>
      </c>
      <c r="B7090">
        <f>IF(INDEX('Data Entry'!$H$5:$BE$10004,7090-4,'Visual SPC'!$B$3)="",0,IF(AND(OR('Visual SPC'!$C$4="",'Data Entry'!$C7090&gt;='Visual SPC'!$C$4),OR('Visual SPC'!$E$4="",'Data Entry'!$C7090&lt;='Visual SPC'!$E$4),OR('Visual SPC'!$G$4="",'Data Entry'!$D7090='Visual SPC'!$G$4),OR('Visual SPC'!$I$4="",'Data Entry'!$E7090='Visual SPC'!$I$4),OR('Visual SPC'!$K$4="",'Data Entry'!$F7090='Visual SPC'!$K$4)),1,0))</f>
        <v/>
      </c>
      <c r="C7090">
        <f>C7089+B7090</f>
        <v/>
      </c>
      <c r="D7090">
        <f>IF(B7090=1,INDEX('Data Entry'!$H$5:$BE$10004,7090-4,'Visual SPC'!$B$3),"")</f>
        <v/>
      </c>
      <c r="E7090">
        <f>IF(B7090=1,D7090,E7089)</f>
        <v/>
      </c>
      <c r="F7090">
        <f>IF(AND(B7090=1,C7090&gt;1,E7089&lt;&gt;""),ABS(D7090-E7089),"")</f>
        <v/>
      </c>
    </row>
    <row r="7091">
      <c r="A7091" t="n">
        <v>7091</v>
      </c>
      <c r="B7091">
        <f>IF(INDEX('Data Entry'!$H$5:$BE$10004,7091-4,'Visual SPC'!$B$3)="",0,IF(AND(OR('Visual SPC'!$C$4="",'Data Entry'!$C7091&gt;='Visual SPC'!$C$4),OR('Visual SPC'!$E$4="",'Data Entry'!$C7091&lt;='Visual SPC'!$E$4),OR('Visual SPC'!$G$4="",'Data Entry'!$D7091='Visual SPC'!$G$4),OR('Visual SPC'!$I$4="",'Data Entry'!$E7091='Visual SPC'!$I$4),OR('Visual SPC'!$K$4="",'Data Entry'!$F7091='Visual SPC'!$K$4)),1,0))</f>
        <v/>
      </c>
      <c r="C7091">
        <f>C7090+B7091</f>
        <v/>
      </c>
      <c r="D7091">
        <f>IF(B7091=1,INDEX('Data Entry'!$H$5:$BE$10004,7091-4,'Visual SPC'!$B$3),"")</f>
        <v/>
      </c>
      <c r="E7091">
        <f>IF(B7091=1,D7091,E7090)</f>
        <v/>
      </c>
      <c r="F7091">
        <f>IF(AND(B7091=1,C7091&gt;1,E7090&lt;&gt;""),ABS(D7091-E7090),"")</f>
        <v/>
      </c>
    </row>
    <row r="7092">
      <c r="A7092" t="n">
        <v>7092</v>
      </c>
      <c r="B7092">
        <f>IF(INDEX('Data Entry'!$H$5:$BE$10004,7092-4,'Visual SPC'!$B$3)="",0,IF(AND(OR('Visual SPC'!$C$4="",'Data Entry'!$C7092&gt;='Visual SPC'!$C$4),OR('Visual SPC'!$E$4="",'Data Entry'!$C7092&lt;='Visual SPC'!$E$4),OR('Visual SPC'!$G$4="",'Data Entry'!$D7092='Visual SPC'!$G$4),OR('Visual SPC'!$I$4="",'Data Entry'!$E7092='Visual SPC'!$I$4),OR('Visual SPC'!$K$4="",'Data Entry'!$F7092='Visual SPC'!$K$4)),1,0))</f>
        <v/>
      </c>
      <c r="C7092">
        <f>C7091+B7092</f>
        <v/>
      </c>
      <c r="D7092">
        <f>IF(B7092=1,INDEX('Data Entry'!$H$5:$BE$10004,7092-4,'Visual SPC'!$B$3),"")</f>
        <v/>
      </c>
      <c r="E7092">
        <f>IF(B7092=1,D7092,E7091)</f>
        <v/>
      </c>
      <c r="F7092">
        <f>IF(AND(B7092=1,C7092&gt;1,E7091&lt;&gt;""),ABS(D7092-E7091),"")</f>
        <v/>
      </c>
    </row>
    <row r="7093">
      <c r="A7093" t="n">
        <v>7093</v>
      </c>
      <c r="B7093">
        <f>IF(INDEX('Data Entry'!$H$5:$BE$10004,7093-4,'Visual SPC'!$B$3)="",0,IF(AND(OR('Visual SPC'!$C$4="",'Data Entry'!$C7093&gt;='Visual SPC'!$C$4),OR('Visual SPC'!$E$4="",'Data Entry'!$C7093&lt;='Visual SPC'!$E$4),OR('Visual SPC'!$G$4="",'Data Entry'!$D7093='Visual SPC'!$G$4),OR('Visual SPC'!$I$4="",'Data Entry'!$E7093='Visual SPC'!$I$4),OR('Visual SPC'!$K$4="",'Data Entry'!$F7093='Visual SPC'!$K$4)),1,0))</f>
        <v/>
      </c>
      <c r="C7093">
        <f>C7092+B7093</f>
        <v/>
      </c>
      <c r="D7093">
        <f>IF(B7093=1,INDEX('Data Entry'!$H$5:$BE$10004,7093-4,'Visual SPC'!$B$3),"")</f>
        <v/>
      </c>
      <c r="E7093">
        <f>IF(B7093=1,D7093,E7092)</f>
        <v/>
      </c>
      <c r="F7093">
        <f>IF(AND(B7093=1,C7093&gt;1,E7092&lt;&gt;""),ABS(D7093-E7092),"")</f>
        <v/>
      </c>
    </row>
    <row r="7094">
      <c r="A7094" t="n">
        <v>7094</v>
      </c>
      <c r="B7094">
        <f>IF(INDEX('Data Entry'!$H$5:$BE$10004,7094-4,'Visual SPC'!$B$3)="",0,IF(AND(OR('Visual SPC'!$C$4="",'Data Entry'!$C7094&gt;='Visual SPC'!$C$4),OR('Visual SPC'!$E$4="",'Data Entry'!$C7094&lt;='Visual SPC'!$E$4),OR('Visual SPC'!$G$4="",'Data Entry'!$D7094='Visual SPC'!$G$4),OR('Visual SPC'!$I$4="",'Data Entry'!$E7094='Visual SPC'!$I$4),OR('Visual SPC'!$K$4="",'Data Entry'!$F7094='Visual SPC'!$K$4)),1,0))</f>
        <v/>
      </c>
      <c r="C7094">
        <f>C7093+B7094</f>
        <v/>
      </c>
      <c r="D7094">
        <f>IF(B7094=1,INDEX('Data Entry'!$H$5:$BE$10004,7094-4,'Visual SPC'!$B$3),"")</f>
        <v/>
      </c>
      <c r="E7094">
        <f>IF(B7094=1,D7094,E7093)</f>
        <v/>
      </c>
      <c r="F7094">
        <f>IF(AND(B7094=1,C7094&gt;1,E7093&lt;&gt;""),ABS(D7094-E7093),"")</f>
        <v/>
      </c>
    </row>
    <row r="7095">
      <c r="A7095" t="n">
        <v>7095</v>
      </c>
      <c r="B7095">
        <f>IF(INDEX('Data Entry'!$H$5:$BE$10004,7095-4,'Visual SPC'!$B$3)="",0,IF(AND(OR('Visual SPC'!$C$4="",'Data Entry'!$C7095&gt;='Visual SPC'!$C$4),OR('Visual SPC'!$E$4="",'Data Entry'!$C7095&lt;='Visual SPC'!$E$4),OR('Visual SPC'!$G$4="",'Data Entry'!$D7095='Visual SPC'!$G$4),OR('Visual SPC'!$I$4="",'Data Entry'!$E7095='Visual SPC'!$I$4),OR('Visual SPC'!$K$4="",'Data Entry'!$F7095='Visual SPC'!$K$4)),1,0))</f>
        <v/>
      </c>
      <c r="C7095">
        <f>C7094+B7095</f>
        <v/>
      </c>
      <c r="D7095">
        <f>IF(B7095=1,INDEX('Data Entry'!$H$5:$BE$10004,7095-4,'Visual SPC'!$B$3),"")</f>
        <v/>
      </c>
      <c r="E7095">
        <f>IF(B7095=1,D7095,E7094)</f>
        <v/>
      </c>
      <c r="F7095">
        <f>IF(AND(B7095=1,C7095&gt;1,E7094&lt;&gt;""),ABS(D7095-E7094),"")</f>
        <v/>
      </c>
    </row>
    <row r="7096">
      <c r="A7096" t="n">
        <v>7096</v>
      </c>
      <c r="B7096">
        <f>IF(INDEX('Data Entry'!$H$5:$BE$10004,7096-4,'Visual SPC'!$B$3)="",0,IF(AND(OR('Visual SPC'!$C$4="",'Data Entry'!$C7096&gt;='Visual SPC'!$C$4),OR('Visual SPC'!$E$4="",'Data Entry'!$C7096&lt;='Visual SPC'!$E$4),OR('Visual SPC'!$G$4="",'Data Entry'!$D7096='Visual SPC'!$G$4),OR('Visual SPC'!$I$4="",'Data Entry'!$E7096='Visual SPC'!$I$4),OR('Visual SPC'!$K$4="",'Data Entry'!$F7096='Visual SPC'!$K$4)),1,0))</f>
        <v/>
      </c>
      <c r="C7096">
        <f>C7095+B7096</f>
        <v/>
      </c>
      <c r="D7096">
        <f>IF(B7096=1,INDEX('Data Entry'!$H$5:$BE$10004,7096-4,'Visual SPC'!$B$3),"")</f>
        <v/>
      </c>
      <c r="E7096">
        <f>IF(B7096=1,D7096,E7095)</f>
        <v/>
      </c>
      <c r="F7096">
        <f>IF(AND(B7096=1,C7096&gt;1,E7095&lt;&gt;""),ABS(D7096-E7095),"")</f>
        <v/>
      </c>
    </row>
    <row r="7097">
      <c r="A7097" t="n">
        <v>7097</v>
      </c>
      <c r="B7097">
        <f>IF(INDEX('Data Entry'!$H$5:$BE$10004,7097-4,'Visual SPC'!$B$3)="",0,IF(AND(OR('Visual SPC'!$C$4="",'Data Entry'!$C7097&gt;='Visual SPC'!$C$4),OR('Visual SPC'!$E$4="",'Data Entry'!$C7097&lt;='Visual SPC'!$E$4),OR('Visual SPC'!$G$4="",'Data Entry'!$D7097='Visual SPC'!$G$4),OR('Visual SPC'!$I$4="",'Data Entry'!$E7097='Visual SPC'!$I$4),OR('Visual SPC'!$K$4="",'Data Entry'!$F7097='Visual SPC'!$K$4)),1,0))</f>
        <v/>
      </c>
      <c r="C7097">
        <f>C7096+B7097</f>
        <v/>
      </c>
      <c r="D7097">
        <f>IF(B7097=1,INDEX('Data Entry'!$H$5:$BE$10004,7097-4,'Visual SPC'!$B$3),"")</f>
        <v/>
      </c>
      <c r="E7097">
        <f>IF(B7097=1,D7097,E7096)</f>
        <v/>
      </c>
      <c r="F7097">
        <f>IF(AND(B7097=1,C7097&gt;1,E7096&lt;&gt;""),ABS(D7097-E7096),"")</f>
        <v/>
      </c>
    </row>
    <row r="7098">
      <c r="A7098" t="n">
        <v>7098</v>
      </c>
      <c r="B7098">
        <f>IF(INDEX('Data Entry'!$H$5:$BE$10004,7098-4,'Visual SPC'!$B$3)="",0,IF(AND(OR('Visual SPC'!$C$4="",'Data Entry'!$C7098&gt;='Visual SPC'!$C$4),OR('Visual SPC'!$E$4="",'Data Entry'!$C7098&lt;='Visual SPC'!$E$4),OR('Visual SPC'!$G$4="",'Data Entry'!$D7098='Visual SPC'!$G$4),OR('Visual SPC'!$I$4="",'Data Entry'!$E7098='Visual SPC'!$I$4),OR('Visual SPC'!$K$4="",'Data Entry'!$F7098='Visual SPC'!$K$4)),1,0))</f>
        <v/>
      </c>
      <c r="C7098">
        <f>C7097+B7098</f>
        <v/>
      </c>
      <c r="D7098">
        <f>IF(B7098=1,INDEX('Data Entry'!$H$5:$BE$10004,7098-4,'Visual SPC'!$B$3),"")</f>
        <v/>
      </c>
      <c r="E7098">
        <f>IF(B7098=1,D7098,E7097)</f>
        <v/>
      </c>
      <c r="F7098">
        <f>IF(AND(B7098=1,C7098&gt;1,E7097&lt;&gt;""),ABS(D7098-E7097),"")</f>
        <v/>
      </c>
    </row>
    <row r="7099">
      <c r="A7099" t="n">
        <v>7099</v>
      </c>
      <c r="B7099">
        <f>IF(INDEX('Data Entry'!$H$5:$BE$10004,7099-4,'Visual SPC'!$B$3)="",0,IF(AND(OR('Visual SPC'!$C$4="",'Data Entry'!$C7099&gt;='Visual SPC'!$C$4),OR('Visual SPC'!$E$4="",'Data Entry'!$C7099&lt;='Visual SPC'!$E$4),OR('Visual SPC'!$G$4="",'Data Entry'!$D7099='Visual SPC'!$G$4),OR('Visual SPC'!$I$4="",'Data Entry'!$E7099='Visual SPC'!$I$4),OR('Visual SPC'!$K$4="",'Data Entry'!$F7099='Visual SPC'!$K$4)),1,0))</f>
        <v/>
      </c>
      <c r="C7099">
        <f>C7098+B7099</f>
        <v/>
      </c>
      <c r="D7099">
        <f>IF(B7099=1,INDEX('Data Entry'!$H$5:$BE$10004,7099-4,'Visual SPC'!$B$3),"")</f>
        <v/>
      </c>
      <c r="E7099">
        <f>IF(B7099=1,D7099,E7098)</f>
        <v/>
      </c>
      <c r="F7099">
        <f>IF(AND(B7099=1,C7099&gt;1,E7098&lt;&gt;""),ABS(D7099-E7098),"")</f>
        <v/>
      </c>
    </row>
    <row r="7100">
      <c r="A7100" t="n">
        <v>7100</v>
      </c>
      <c r="B7100">
        <f>IF(INDEX('Data Entry'!$H$5:$BE$10004,7100-4,'Visual SPC'!$B$3)="",0,IF(AND(OR('Visual SPC'!$C$4="",'Data Entry'!$C7100&gt;='Visual SPC'!$C$4),OR('Visual SPC'!$E$4="",'Data Entry'!$C7100&lt;='Visual SPC'!$E$4),OR('Visual SPC'!$G$4="",'Data Entry'!$D7100='Visual SPC'!$G$4),OR('Visual SPC'!$I$4="",'Data Entry'!$E7100='Visual SPC'!$I$4),OR('Visual SPC'!$K$4="",'Data Entry'!$F7100='Visual SPC'!$K$4)),1,0))</f>
        <v/>
      </c>
      <c r="C7100">
        <f>C7099+B7100</f>
        <v/>
      </c>
      <c r="D7100">
        <f>IF(B7100=1,INDEX('Data Entry'!$H$5:$BE$10004,7100-4,'Visual SPC'!$B$3),"")</f>
        <v/>
      </c>
      <c r="E7100">
        <f>IF(B7100=1,D7100,E7099)</f>
        <v/>
      </c>
      <c r="F7100">
        <f>IF(AND(B7100=1,C7100&gt;1,E7099&lt;&gt;""),ABS(D7100-E7099),"")</f>
        <v/>
      </c>
    </row>
    <row r="7101">
      <c r="A7101" t="n">
        <v>7101</v>
      </c>
      <c r="B7101">
        <f>IF(INDEX('Data Entry'!$H$5:$BE$10004,7101-4,'Visual SPC'!$B$3)="",0,IF(AND(OR('Visual SPC'!$C$4="",'Data Entry'!$C7101&gt;='Visual SPC'!$C$4),OR('Visual SPC'!$E$4="",'Data Entry'!$C7101&lt;='Visual SPC'!$E$4),OR('Visual SPC'!$G$4="",'Data Entry'!$D7101='Visual SPC'!$G$4),OR('Visual SPC'!$I$4="",'Data Entry'!$E7101='Visual SPC'!$I$4),OR('Visual SPC'!$K$4="",'Data Entry'!$F7101='Visual SPC'!$K$4)),1,0))</f>
        <v/>
      </c>
      <c r="C7101">
        <f>C7100+B7101</f>
        <v/>
      </c>
      <c r="D7101">
        <f>IF(B7101=1,INDEX('Data Entry'!$H$5:$BE$10004,7101-4,'Visual SPC'!$B$3),"")</f>
        <v/>
      </c>
      <c r="E7101">
        <f>IF(B7101=1,D7101,E7100)</f>
        <v/>
      </c>
      <c r="F7101">
        <f>IF(AND(B7101=1,C7101&gt;1,E7100&lt;&gt;""),ABS(D7101-E7100),"")</f>
        <v/>
      </c>
    </row>
    <row r="7102">
      <c r="A7102" t="n">
        <v>7102</v>
      </c>
      <c r="B7102">
        <f>IF(INDEX('Data Entry'!$H$5:$BE$10004,7102-4,'Visual SPC'!$B$3)="",0,IF(AND(OR('Visual SPC'!$C$4="",'Data Entry'!$C7102&gt;='Visual SPC'!$C$4),OR('Visual SPC'!$E$4="",'Data Entry'!$C7102&lt;='Visual SPC'!$E$4),OR('Visual SPC'!$G$4="",'Data Entry'!$D7102='Visual SPC'!$G$4),OR('Visual SPC'!$I$4="",'Data Entry'!$E7102='Visual SPC'!$I$4),OR('Visual SPC'!$K$4="",'Data Entry'!$F7102='Visual SPC'!$K$4)),1,0))</f>
        <v/>
      </c>
      <c r="C7102">
        <f>C7101+B7102</f>
        <v/>
      </c>
      <c r="D7102">
        <f>IF(B7102=1,INDEX('Data Entry'!$H$5:$BE$10004,7102-4,'Visual SPC'!$B$3),"")</f>
        <v/>
      </c>
      <c r="E7102">
        <f>IF(B7102=1,D7102,E7101)</f>
        <v/>
      </c>
      <c r="F7102">
        <f>IF(AND(B7102=1,C7102&gt;1,E7101&lt;&gt;""),ABS(D7102-E7101),"")</f>
        <v/>
      </c>
    </row>
    <row r="7103">
      <c r="A7103" t="n">
        <v>7103</v>
      </c>
      <c r="B7103">
        <f>IF(INDEX('Data Entry'!$H$5:$BE$10004,7103-4,'Visual SPC'!$B$3)="",0,IF(AND(OR('Visual SPC'!$C$4="",'Data Entry'!$C7103&gt;='Visual SPC'!$C$4),OR('Visual SPC'!$E$4="",'Data Entry'!$C7103&lt;='Visual SPC'!$E$4),OR('Visual SPC'!$G$4="",'Data Entry'!$D7103='Visual SPC'!$G$4),OR('Visual SPC'!$I$4="",'Data Entry'!$E7103='Visual SPC'!$I$4),OR('Visual SPC'!$K$4="",'Data Entry'!$F7103='Visual SPC'!$K$4)),1,0))</f>
        <v/>
      </c>
      <c r="C7103">
        <f>C7102+B7103</f>
        <v/>
      </c>
      <c r="D7103">
        <f>IF(B7103=1,INDEX('Data Entry'!$H$5:$BE$10004,7103-4,'Visual SPC'!$B$3),"")</f>
        <v/>
      </c>
      <c r="E7103">
        <f>IF(B7103=1,D7103,E7102)</f>
        <v/>
      </c>
      <c r="F7103">
        <f>IF(AND(B7103=1,C7103&gt;1,E7102&lt;&gt;""),ABS(D7103-E7102),"")</f>
        <v/>
      </c>
    </row>
    <row r="7104">
      <c r="A7104" t="n">
        <v>7104</v>
      </c>
      <c r="B7104">
        <f>IF(INDEX('Data Entry'!$H$5:$BE$10004,7104-4,'Visual SPC'!$B$3)="",0,IF(AND(OR('Visual SPC'!$C$4="",'Data Entry'!$C7104&gt;='Visual SPC'!$C$4),OR('Visual SPC'!$E$4="",'Data Entry'!$C7104&lt;='Visual SPC'!$E$4),OR('Visual SPC'!$G$4="",'Data Entry'!$D7104='Visual SPC'!$G$4),OR('Visual SPC'!$I$4="",'Data Entry'!$E7104='Visual SPC'!$I$4),OR('Visual SPC'!$K$4="",'Data Entry'!$F7104='Visual SPC'!$K$4)),1,0))</f>
        <v/>
      </c>
      <c r="C7104">
        <f>C7103+B7104</f>
        <v/>
      </c>
      <c r="D7104">
        <f>IF(B7104=1,INDEX('Data Entry'!$H$5:$BE$10004,7104-4,'Visual SPC'!$B$3),"")</f>
        <v/>
      </c>
      <c r="E7104">
        <f>IF(B7104=1,D7104,E7103)</f>
        <v/>
      </c>
      <c r="F7104">
        <f>IF(AND(B7104=1,C7104&gt;1,E7103&lt;&gt;""),ABS(D7104-E7103),"")</f>
        <v/>
      </c>
    </row>
    <row r="7105">
      <c r="A7105" t="n">
        <v>7105</v>
      </c>
      <c r="B7105">
        <f>IF(INDEX('Data Entry'!$H$5:$BE$10004,7105-4,'Visual SPC'!$B$3)="",0,IF(AND(OR('Visual SPC'!$C$4="",'Data Entry'!$C7105&gt;='Visual SPC'!$C$4),OR('Visual SPC'!$E$4="",'Data Entry'!$C7105&lt;='Visual SPC'!$E$4),OR('Visual SPC'!$G$4="",'Data Entry'!$D7105='Visual SPC'!$G$4),OR('Visual SPC'!$I$4="",'Data Entry'!$E7105='Visual SPC'!$I$4),OR('Visual SPC'!$K$4="",'Data Entry'!$F7105='Visual SPC'!$K$4)),1,0))</f>
        <v/>
      </c>
      <c r="C7105">
        <f>C7104+B7105</f>
        <v/>
      </c>
      <c r="D7105">
        <f>IF(B7105=1,INDEX('Data Entry'!$H$5:$BE$10004,7105-4,'Visual SPC'!$B$3),"")</f>
        <v/>
      </c>
      <c r="E7105">
        <f>IF(B7105=1,D7105,E7104)</f>
        <v/>
      </c>
      <c r="F7105">
        <f>IF(AND(B7105=1,C7105&gt;1,E7104&lt;&gt;""),ABS(D7105-E7104),"")</f>
        <v/>
      </c>
    </row>
    <row r="7106">
      <c r="A7106" t="n">
        <v>7106</v>
      </c>
      <c r="B7106">
        <f>IF(INDEX('Data Entry'!$H$5:$BE$10004,7106-4,'Visual SPC'!$B$3)="",0,IF(AND(OR('Visual SPC'!$C$4="",'Data Entry'!$C7106&gt;='Visual SPC'!$C$4),OR('Visual SPC'!$E$4="",'Data Entry'!$C7106&lt;='Visual SPC'!$E$4),OR('Visual SPC'!$G$4="",'Data Entry'!$D7106='Visual SPC'!$G$4),OR('Visual SPC'!$I$4="",'Data Entry'!$E7106='Visual SPC'!$I$4),OR('Visual SPC'!$K$4="",'Data Entry'!$F7106='Visual SPC'!$K$4)),1,0))</f>
        <v/>
      </c>
      <c r="C7106">
        <f>C7105+B7106</f>
        <v/>
      </c>
      <c r="D7106">
        <f>IF(B7106=1,INDEX('Data Entry'!$H$5:$BE$10004,7106-4,'Visual SPC'!$B$3),"")</f>
        <v/>
      </c>
      <c r="E7106">
        <f>IF(B7106=1,D7106,E7105)</f>
        <v/>
      </c>
      <c r="F7106">
        <f>IF(AND(B7106=1,C7106&gt;1,E7105&lt;&gt;""),ABS(D7106-E7105),"")</f>
        <v/>
      </c>
    </row>
    <row r="7107">
      <c r="A7107" t="n">
        <v>7107</v>
      </c>
      <c r="B7107">
        <f>IF(INDEX('Data Entry'!$H$5:$BE$10004,7107-4,'Visual SPC'!$B$3)="",0,IF(AND(OR('Visual SPC'!$C$4="",'Data Entry'!$C7107&gt;='Visual SPC'!$C$4),OR('Visual SPC'!$E$4="",'Data Entry'!$C7107&lt;='Visual SPC'!$E$4),OR('Visual SPC'!$G$4="",'Data Entry'!$D7107='Visual SPC'!$G$4),OR('Visual SPC'!$I$4="",'Data Entry'!$E7107='Visual SPC'!$I$4),OR('Visual SPC'!$K$4="",'Data Entry'!$F7107='Visual SPC'!$K$4)),1,0))</f>
        <v/>
      </c>
      <c r="C7107">
        <f>C7106+B7107</f>
        <v/>
      </c>
      <c r="D7107">
        <f>IF(B7107=1,INDEX('Data Entry'!$H$5:$BE$10004,7107-4,'Visual SPC'!$B$3),"")</f>
        <v/>
      </c>
      <c r="E7107">
        <f>IF(B7107=1,D7107,E7106)</f>
        <v/>
      </c>
      <c r="F7107">
        <f>IF(AND(B7107=1,C7107&gt;1,E7106&lt;&gt;""),ABS(D7107-E7106),"")</f>
        <v/>
      </c>
    </row>
    <row r="7108">
      <c r="A7108" t="n">
        <v>7108</v>
      </c>
      <c r="B7108">
        <f>IF(INDEX('Data Entry'!$H$5:$BE$10004,7108-4,'Visual SPC'!$B$3)="",0,IF(AND(OR('Visual SPC'!$C$4="",'Data Entry'!$C7108&gt;='Visual SPC'!$C$4),OR('Visual SPC'!$E$4="",'Data Entry'!$C7108&lt;='Visual SPC'!$E$4),OR('Visual SPC'!$G$4="",'Data Entry'!$D7108='Visual SPC'!$G$4),OR('Visual SPC'!$I$4="",'Data Entry'!$E7108='Visual SPC'!$I$4),OR('Visual SPC'!$K$4="",'Data Entry'!$F7108='Visual SPC'!$K$4)),1,0))</f>
        <v/>
      </c>
      <c r="C7108">
        <f>C7107+B7108</f>
        <v/>
      </c>
      <c r="D7108">
        <f>IF(B7108=1,INDEX('Data Entry'!$H$5:$BE$10004,7108-4,'Visual SPC'!$B$3),"")</f>
        <v/>
      </c>
      <c r="E7108">
        <f>IF(B7108=1,D7108,E7107)</f>
        <v/>
      </c>
      <c r="F7108">
        <f>IF(AND(B7108=1,C7108&gt;1,E7107&lt;&gt;""),ABS(D7108-E7107),"")</f>
        <v/>
      </c>
    </row>
    <row r="7109">
      <c r="A7109" t="n">
        <v>7109</v>
      </c>
      <c r="B7109">
        <f>IF(INDEX('Data Entry'!$H$5:$BE$10004,7109-4,'Visual SPC'!$B$3)="",0,IF(AND(OR('Visual SPC'!$C$4="",'Data Entry'!$C7109&gt;='Visual SPC'!$C$4),OR('Visual SPC'!$E$4="",'Data Entry'!$C7109&lt;='Visual SPC'!$E$4),OR('Visual SPC'!$G$4="",'Data Entry'!$D7109='Visual SPC'!$G$4),OR('Visual SPC'!$I$4="",'Data Entry'!$E7109='Visual SPC'!$I$4),OR('Visual SPC'!$K$4="",'Data Entry'!$F7109='Visual SPC'!$K$4)),1,0))</f>
        <v/>
      </c>
      <c r="C7109">
        <f>C7108+B7109</f>
        <v/>
      </c>
      <c r="D7109">
        <f>IF(B7109=1,INDEX('Data Entry'!$H$5:$BE$10004,7109-4,'Visual SPC'!$B$3),"")</f>
        <v/>
      </c>
      <c r="E7109">
        <f>IF(B7109=1,D7109,E7108)</f>
        <v/>
      </c>
      <c r="F7109">
        <f>IF(AND(B7109=1,C7109&gt;1,E7108&lt;&gt;""),ABS(D7109-E7108),"")</f>
        <v/>
      </c>
    </row>
    <row r="7110">
      <c r="A7110" t="n">
        <v>7110</v>
      </c>
      <c r="B7110">
        <f>IF(INDEX('Data Entry'!$H$5:$BE$10004,7110-4,'Visual SPC'!$B$3)="",0,IF(AND(OR('Visual SPC'!$C$4="",'Data Entry'!$C7110&gt;='Visual SPC'!$C$4),OR('Visual SPC'!$E$4="",'Data Entry'!$C7110&lt;='Visual SPC'!$E$4),OR('Visual SPC'!$G$4="",'Data Entry'!$D7110='Visual SPC'!$G$4),OR('Visual SPC'!$I$4="",'Data Entry'!$E7110='Visual SPC'!$I$4),OR('Visual SPC'!$K$4="",'Data Entry'!$F7110='Visual SPC'!$K$4)),1,0))</f>
        <v/>
      </c>
      <c r="C7110">
        <f>C7109+B7110</f>
        <v/>
      </c>
      <c r="D7110">
        <f>IF(B7110=1,INDEX('Data Entry'!$H$5:$BE$10004,7110-4,'Visual SPC'!$B$3),"")</f>
        <v/>
      </c>
      <c r="E7110">
        <f>IF(B7110=1,D7110,E7109)</f>
        <v/>
      </c>
      <c r="F7110">
        <f>IF(AND(B7110=1,C7110&gt;1,E7109&lt;&gt;""),ABS(D7110-E7109),"")</f>
        <v/>
      </c>
    </row>
    <row r="7111">
      <c r="A7111" t="n">
        <v>7111</v>
      </c>
      <c r="B7111">
        <f>IF(INDEX('Data Entry'!$H$5:$BE$10004,7111-4,'Visual SPC'!$B$3)="",0,IF(AND(OR('Visual SPC'!$C$4="",'Data Entry'!$C7111&gt;='Visual SPC'!$C$4),OR('Visual SPC'!$E$4="",'Data Entry'!$C7111&lt;='Visual SPC'!$E$4),OR('Visual SPC'!$G$4="",'Data Entry'!$D7111='Visual SPC'!$G$4),OR('Visual SPC'!$I$4="",'Data Entry'!$E7111='Visual SPC'!$I$4),OR('Visual SPC'!$K$4="",'Data Entry'!$F7111='Visual SPC'!$K$4)),1,0))</f>
        <v/>
      </c>
      <c r="C7111">
        <f>C7110+B7111</f>
        <v/>
      </c>
      <c r="D7111">
        <f>IF(B7111=1,INDEX('Data Entry'!$H$5:$BE$10004,7111-4,'Visual SPC'!$B$3),"")</f>
        <v/>
      </c>
      <c r="E7111">
        <f>IF(B7111=1,D7111,E7110)</f>
        <v/>
      </c>
      <c r="F7111">
        <f>IF(AND(B7111=1,C7111&gt;1,E7110&lt;&gt;""),ABS(D7111-E7110),"")</f>
        <v/>
      </c>
    </row>
    <row r="7112">
      <c r="A7112" t="n">
        <v>7112</v>
      </c>
      <c r="B7112">
        <f>IF(INDEX('Data Entry'!$H$5:$BE$10004,7112-4,'Visual SPC'!$B$3)="",0,IF(AND(OR('Visual SPC'!$C$4="",'Data Entry'!$C7112&gt;='Visual SPC'!$C$4),OR('Visual SPC'!$E$4="",'Data Entry'!$C7112&lt;='Visual SPC'!$E$4),OR('Visual SPC'!$G$4="",'Data Entry'!$D7112='Visual SPC'!$G$4),OR('Visual SPC'!$I$4="",'Data Entry'!$E7112='Visual SPC'!$I$4),OR('Visual SPC'!$K$4="",'Data Entry'!$F7112='Visual SPC'!$K$4)),1,0))</f>
        <v/>
      </c>
      <c r="C7112">
        <f>C7111+B7112</f>
        <v/>
      </c>
      <c r="D7112">
        <f>IF(B7112=1,INDEX('Data Entry'!$H$5:$BE$10004,7112-4,'Visual SPC'!$B$3),"")</f>
        <v/>
      </c>
      <c r="E7112">
        <f>IF(B7112=1,D7112,E7111)</f>
        <v/>
      </c>
      <c r="F7112">
        <f>IF(AND(B7112=1,C7112&gt;1,E7111&lt;&gt;""),ABS(D7112-E7111),"")</f>
        <v/>
      </c>
    </row>
    <row r="7113">
      <c r="A7113" t="n">
        <v>7113</v>
      </c>
      <c r="B7113">
        <f>IF(INDEX('Data Entry'!$H$5:$BE$10004,7113-4,'Visual SPC'!$B$3)="",0,IF(AND(OR('Visual SPC'!$C$4="",'Data Entry'!$C7113&gt;='Visual SPC'!$C$4),OR('Visual SPC'!$E$4="",'Data Entry'!$C7113&lt;='Visual SPC'!$E$4),OR('Visual SPC'!$G$4="",'Data Entry'!$D7113='Visual SPC'!$G$4),OR('Visual SPC'!$I$4="",'Data Entry'!$E7113='Visual SPC'!$I$4),OR('Visual SPC'!$K$4="",'Data Entry'!$F7113='Visual SPC'!$K$4)),1,0))</f>
        <v/>
      </c>
      <c r="C7113">
        <f>C7112+B7113</f>
        <v/>
      </c>
      <c r="D7113">
        <f>IF(B7113=1,INDEX('Data Entry'!$H$5:$BE$10004,7113-4,'Visual SPC'!$B$3),"")</f>
        <v/>
      </c>
      <c r="E7113">
        <f>IF(B7113=1,D7113,E7112)</f>
        <v/>
      </c>
      <c r="F7113">
        <f>IF(AND(B7113=1,C7113&gt;1,E7112&lt;&gt;""),ABS(D7113-E7112),"")</f>
        <v/>
      </c>
    </row>
    <row r="7114">
      <c r="A7114" t="n">
        <v>7114</v>
      </c>
      <c r="B7114">
        <f>IF(INDEX('Data Entry'!$H$5:$BE$10004,7114-4,'Visual SPC'!$B$3)="",0,IF(AND(OR('Visual SPC'!$C$4="",'Data Entry'!$C7114&gt;='Visual SPC'!$C$4),OR('Visual SPC'!$E$4="",'Data Entry'!$C7114&lt;='Visual SPC'!$E$4),OR('Visual SPC'!$G$4="",'Data Entry'!$D7114='Visual SPC'!$G$4),OR('Visual SPC'!$I$4="",'Data Entry'!$E7114='Visual SPC'!$I$4),OR('Visual SPC'!$K$4="",'Data Entry'!$F7114='Visual SPC'!$K$4)),1,0))</f>
        <v/>
      </c>
      <c r="C7114">
        <f>C7113+B7114</f>
        <v/>
      </c>
      <c r="D7114">
        <f>IF(B7114=1,INDEX('Data Entry'!$H$5:$BE$10004,7114-4,'Visual SPC'!$B$3),"")</f>
        <v/>
      </c>
      <c r="E7114">
        <f>IF(B7114=1,D7114,E7113)</f>
        <v/>
      </c>
      <c r="F7114">
        <f>IF(AND(B7114=1,C7114&gt;1,E7113&lt;&gt;""),ABS(D7114-E7113),"")</f>
        <v/>
      </c>
    </row>
    <row r="7115">
      <c r="A7115" t="n">
        <v>7115</v>
      </c>
      <c r="B7115">
        <f>IF(INDEX('Data Entry'!$H$5:$BE$10004,7115-4,'Visual SPC'!$B$3)="",0,IF(AND(OR('Visual SPC'!$C$4="",'Data Entry'!$C7115&gt;='Visual SPC'!$C$4),OR('Visual SPC'!$E$4="",'Data Entry'!$C7115&lt;='Visual SPC'!$E$4),OR('Visual SPC'!$G$4="",'Data Entry'!$D7115='Visual SPC'!$G$4),OR('Visual SPC'!$I$4="",'Data Entry'!$E7115='Visual SPC'!$I$4),OR('Visual SPC'!$K$4="",'Data Entry'!$F7115='Visual SPC'!$K$4)),1,0))</f>
        <v/>
      </c>
      <c r="C7115">
        <f>C7114+B7115</f>
        <v/>
      </c>
      <c r="D7115">
        <f>IF(B7115=1,INDEX('Data Entry'!$H$5:$BE$10004,7115-4,'Visual SPC'!$B$3),"")</f>
        <v/>
      </c>
      <c r="E7115">
        <f>IF(B7115=1,D7115,E7114)</f>
        <v/>
      </c>
      <c r="F7115">
        <f>IF(AND(B7115=1,C7115&gt;1,E7114&lt;&gt;""),ABS(D7115-E7114),"")</f>
        <v/>
      </c>
    </row>
    <row r="7116">
      <c r="A7116" t="n">
        <v>7116</v>
      </c>
      <c r="B7116">
        <f>IF(INDEX('Data Entry'!$H$5:$BE$10004,7116-4,'Visual SPC'!$B$3)="",0,IF(AND(OR('Visual SPC'!$C$4="",'Data Entry'!$C7116&gt;='Visual SPC'!$C$4),OR('Visual SPC'!$E$4="",'Data Entry'!$C7116&lt;='Visual SPC'!$E$4),OR('Visual SPC'!$G$4="",'Data Entry'!$D7116='Visual SPC'!$G$4),OR('Visual SPC'!$I$4="",'Data Entry'!$E7116='Visual SPC'!$I$4),OR('Visual SPC'!$K$4="",'Data Entry'!$F7116='Visual SPC'!$K$4)),1,0))</f>
        <v/>
      </c>
      <c r="C7116">
        <f>C7115+B7116</f>
        <v/>
      </c>
      <c r="D7116">
        <f>IF(B7116=1,INDEX('Data Entry'!$H$5:$BE$10004,7116-4,'Visual SPC'!$B$3),"")</f>
        <v/>
      </c>
      <c r="E7116">
        <f>IF(B7116=1,D7116,E7115)</f>
        <v/>
      </c>
      <c r="F7116">
        <f>IF(AND(B7116=1,C7116&gt;1,E7115&lt;&gt;""),ABS(D7116-E7115),"")</f>
        <v/>
      </c>
    </row>
    <row r="7117">
      <c r="A7117" t="n">
        <v>7117</v>
      </c>
      <c r="B7117">
        <f>IF(INDEX('Data Entry'!$H$5:$BE$10004,7117-4,'Visual SPC'!$B$3)="",0,IF(AND(OR('Visual SPC'!$C$4="",'Data Entry'!$C7117&gt;='Visual SPC'!$C$4),OR('Visual SPC'!$E$4="",'Data Entry'!$C7117&lt;='Visual SPC'!$E$4),OR('Visual SPC'!$G$4="",'Data Entry'!$D7117='Visual SPC'!$G$4),OR('Visual SPC'!$I$4="",'Data Entry'!$E7117='Visual SPC'!$I$4),OR('Visual SPC'!$K$4="",'Data Entry'!$F7117='Visual SPC'!$K$4)),1,0))</f>
        <v/>
      </c>
      <c r="C7117">
        <f>C7116+B7117</f>
        <v/>
      </c>
      <c r="D7117">
        <f>IF(B7117=1,INDEX('Data Entry'!$H$5:$BE$10004,7117-4,'Visual SPC'!$B$3),"")</f>
        <v/>
      </c>
      <c r="E7117">
        <f>IF(B7117=1,D7117,E7116)</f>
        <v/>
      </c>
      <c r="F7117">
        <f>IF(AND(B7117=1,C7117&gt;1,E7116&lt;&gt;""),ABS(D7117-E7116),"")</f>
        <v/>
      </c>
    </row>
    <row r="7118">
      <c r="A7118" t="n">
        <v>7118</v>
      </c>
      <c r="B7118">
        <f>IF(INDEX('Data Entry'!$H$5:$BE$10004,7118-4,'Visual SPC'!$B$3)="",0,IF(AND(OR('Visual SPC'!$C$4="",'Data Entry'!$C7118&gt;='Visual SPC'!$C$4),OR('Visual SPC'!$E$4="",'Data Entry'!$C7118&lt;='Visual SPC'!$E$4),OR('Visual SPC'!$G$4="",'Data Entry'!$D7118='Visual SPC'!$G$4),OR('Visual SPC'!$I$4="",'Data Entry'!$E7118='Visual SPC'!$I$4),OR('Visual SPC'!$K$4="",'Data Entry'!$F7118='Visual SPC'!$K$4)),1,0))</f>
        <v/>
      </c>
      <c r="C7118">
        <f>C7117+B7118</f>
        <v/>
      </c>
      <c r="D7118">
        <f>IF(B7118=1,INDEX('Data Entry'!$H$5:$BE$10004,7118-4,'Visual SPC'!$B$3),"")</f>
        <v/>
      </c>
      <c r="E7118">
        <f>IF(B7118=1,D7118,E7117)</f>
        <v/>
      </c>
      <c r="F7118">
        <f>IF(AND(B7118=1,C7118&gt;1,E7117&lt;&gt;""),ABS(D7118-E7117),"")</f>
        <v/>
      </c>
    </row>
    <row r="7119">
      <c r="A7119" t="n">
        <v>7119</v>
      </c>
      <c r="B7119">
        <f>IF(INDEX('Data Entry'!$H$5:$BE$10004,7119-4,'Visual SPC'!$B$3)="",0,IF(AND(OR('Visual SPC'!$C$4="",'Data Entry'!$C7119&gt;='Visual SPC'!$C$4),OR('Visual SPC'!$E$4="",'Data Entry'!$C7119&lt;='Visual SPC'!$E$4),OR('Visual SPC'!$G$4="",'Data Entry'!$D7119='Visual SPC'!$G$4),OR('Visual SPC'!$I$4="",'Data Entry'!$E7119='Visual SPC'!$I$4),OR('Visual SPC'!$K$4="",'Data Entry'!$F7119='Visual SPC'!$K$4)),1,0))</f>
        <v/>
      </c>
      <c r="C7119">
        <f>C7118+B7119</f>
        <v/>
      </c>
      <c r="D7119">
        <f>IF(B7119=1,INDEX('Data Entry'!$H$5:$BE$10004,7119-4,'Visual SPC'!$B$3),"")</f>
        <v/>
      </c>
      <c r="E7119">
        <f>IF(B7119=1,D7119,E7118)</f>
        <v/>
      </c>
      <c r="F7119">
        <f>IF(AND(B7119=1,C7119&gt;1,E7118&lt;&gt;""),ABS(D7119-E7118),"")</f>
        <v/>
      </c>
    </row>
    <row r="7120">
      <c r="A7120" t="n">
        <v>7120</v>
      </c>
      <c r="B7120">
        <f>IF(INDEX('Data Entry'!$H$5:$BE$10004,7120-4,'Visual SPC'!$B$3)="",0,IF(AND(OR('Visual SPC'!$C$4="",'Data Entry'!$C7120&gt;='Visual SPC'!$C$4),OR('Visual SPC'!$E$4="",'Data Entry'!$C7120&lt;='Visual SPC'!$E$4),OR('Visual SPC'!$G$4="",'Data Entry'!$D7120='Visual SPC'!$G$4),OR('Visual SPC'!$I$4="",'Data Entry'!$E7120='Visual SPC'!$I$4),OR('Visual SPC'!$K$4="",'Data Entry'!$F7120='Visual SPC'!$K$4)),1,0))</f>
        <v/>
      </c>
      <c r="C7120">
        <f>C7119+B7120</f>
        <v/>
      </c>
      <c r="D7120">
        <f>IF(B7120=1,INDEX('Data Entry'!$H$5:$BE$10004,7120-4,'Visual SPC'!$B$3),"")</f>
        <v/>
      </c>
      <c r="E7120">
        <f>IF(B7120=1,D7120,E7119)</f>
        <v/>
      </c>
      <c r="F7120">
        <f>IF(AND(B7120=1,C7120&gt;1,E7119&lt;&gt;""),ABS(D7120-E7119),"")</f>
        <v/>
      </c>
    </row>
    <row r="7121">
      <c r="A7121" t="n">
        <v>7121</v>
      </c>
      <c r="B7121">
        <f>IF(INDEX('Data Entry'!$H$5:$BE$10004,7121-4,'Visual SPC'!$B$3)="",0,IF(AND(OR('Visual SPC'!$C$4="",'Data Entry'!$C7121&gt;='Visual SPC'!$C$4),OR('Visual SPC'!$E$4="",'Data Entry'!$C7121&lt;='Visual SPC'!$E$4),OR('Visual SPC'!$G$4="",'Data Entry'!$D7121='Visual SPC'!$G$4),OR('Visual SPC'!$I$4="",'Data Entry'!$E7121='Visual SPC'!$I$4),OR('Visual SPC'!$K$4="",'Data Entry'!$F7121='Visual SPC'!$K$4)),1,0))</f>
        <v/>
      </c>
      <c r="C7121">
        <f>C7120+B7121</f>
        <v/>
      </c>
      <c r="D7121">
        <f>IF(B7121=1,INDEX('Data Entry'!$H$5:$BE$10004,7121-4,'Visual SPC'!$B$3),"")</f>
        <v/>
      </c>
      <c r="E7121">
        <f>IF(B7121=1,D7121,E7120)</f>
        <v/>
      </c>
      <c r="F7121">
        <f>IF(AND(B7121=1,C7121&gt;1,E7120&lt;&gt;""),ABS(D7121-E7120),"")</f>
        <v/>
      </c>
    </row>
    <row r="7122">
      <c r="A7122" t="n">
        <v>7122</v>
      </c>
      <c r="B7122">
        <f>IF(INDEX('Data Entry'!$H$5:$BE$10004,7122-4,'Visual SPC'!$B$3)="",0,IF(AND(OR('Visual SPC'!$C$4="",'Data Entry'!$C7122&gt;='Visual SPC'!$C$4),OR('Visual SPC'!$E$4="",'Data Entry'!$C7122&lt;='Visual SPC'!$E$4),OR('Visual SPC'!$G$4="",'Data Entry'!$D7122='Visual SPC'!$G$4),OR('Visual SPC'!$I$4="",'Data Entry'!$E7122='Visual SPC'!$I$4),OR('Visual SPC'!$K$4="",'Data Entry'!$F7122='Visual SPC'!$K$4)),1,0))</f>
        <v/>
      </c>
      <c r="C7122">
        <f>C7121+B7122</f>
        <v/>
      </c>
      <c r="D7122">
        <f>IF(B7122=1,INDEX('Data Entry'!$H$5:$BE$10004,7122-4,'Visual SPC'!$B$3),"")</f>
        <v/>
      </c>
      <c r="E7122">
        <f>IF(B7122=1,D7122,E7121)</f>
        <v/>
      </c>
      <c r="F7122">
        <f>IF(AND(B7122=1,C7122&gt;1,E7121&lt;&gt;""),ABS(D7122-E7121),"")</f>
        <v/>
      </c>
    </row>
    <row r="7123">
      <c r="A7123" t="n">
        <v>7123</v>
      </c>
      <c r="B7123">
        <f>IF(INDEX('Data Entry'!$H$5:$BE$10004,7123-4,'Visual SPC'!$B$3)="",0,IF(AND(OR('Visual SPC'!$C$4="",'Data Entry'!$C7123&gt;='Visual SPC'!$C$4),OR('Visual SPC'!$E$4="",'Data Entry'!$C7123&lt;='Visual SPC'!$E$4),OR('Visual SPC'!$G$4="",'Data Entry'!$D7123='Visual SPC'!$G$4),OR('Visual SPC'!$I$4="",'Data Entry'!$E7123='Visual SPC'!$I$4),OR('Visual SPC'!$K$4="",'Data Entry'!$F7123='Visual SPC'!$K$4)),1,0))</f>
        <v/>
      </c>
      <c r="C7123">
        <f>C7122+B7123</f>
        <v/>
      </c>
      <c r="D7123">
        <f>IF(B7123=1,INDEX('Data Entry'!$H$5:$BE$10004,7123-4,'Visual SPC'!$B$3),"")</f>
        <v/>
      </c>
      <c r="E7123">
        <f>IF(B7123=1,D7123,E7122)</f>
        <v/>
      </c>
      <c r="F7123">
        <f>IF(AND(B7123=1,C7123&gt;1,E7122&lt;&gt;""),ABS(D7123-E7122),"")</f>
        <v/>
      </c>
    </row>
    <row r="7124">
      <c r="A7124" t="n">
        <v>7124</v>
      </c>
      <c r="B7124">
        <f>IF(INDEX('Data Entry'!$H$5:$BE$10004,7124-4,'Visual SPC'!$B$3)="",0,IF(AND(OR('Visual SPC'!$C$4="",'Data Entry'!$C7124&gt;='Visual SPC'!$C$4),OR('Visual SPC'!$E$4="",'Data Entry'!$C7124&lt;='Visual SPC'!$E$4),OR('Visual SPC'!$G$4="",'Data Entry'!$D7124='Visual SPC'!$G$4),OR('Visual SPC'!$I$4="",'Data Entry'!$E7124='Visual SPC'!$I$4),OR('Visual SPC'!$K$4="",'Data Entry'!$F7124='Visual SPC'!$K$4)),1,0))</f>
        <v/>
      </c>
      <c r="C7124">
        <f>C7123+B7124</f>
        <v/>
      </c>
      <c r="D7124">
        <f>IF(B7124=1,INDEX('Data Entry'!$H$5:$BE$10004,7124-4,'Visual SPC'!$B$3),"")</f>
        <v/>
      </c>
      <c r="E7124">
        <f>IF(B7124=1,D7124,E7123)</f>
        <v/>
      </c>
      <c r="F7124">
        <f>IF(AND(B7124=1,C7124&gt;1,E7123&lt;&gt;""),ABS(D7124-E7123),"")</f>
        <v/>
      </c>
    </row>
    <row r="7125">
      <c r="A7125" t="n">
        <v>7125</v>
      </c>
      <c r="B7125">
        <f>IF(INDEX('Data Entry'!$H$5:$BE$10004,7125-4,'Visual SPC'!$B$3)="",0,IF(AND(OR('Visual SPC'!$C$4="",'Data Entry'!$C7125&gt;='Visual SPC'!$C$4),OR('Visual SPC'!$E$4="",'Data Entry'!$C7125&lt;='Visual SPC'!$E$4),OR('Visual SPC'!$G$4="",'Data Entry'!$D7125='Visual SPC'!$G$4),OR('Visual SPC'!$I$4="",'Data Entry'!$E7125='Visual SPC'!$I$4),OR('Visual SPC'!$K$4="",'Data Entry'!$F7125='Visual SPC'!$K$4)),1,0))</f>
        <v/>
      </c>
      <c r="C7125">
        <f>C7124+B7125</f>
        <v/>
      </c>
      <c r="D7125">
        <f>IF(B7125=1,INDEX('Data Entry'!$H$5:$BE$10004,7125-4,'Visual SPC'!$B$3),"")</f>
        <v/>
      </c>
      <c r="E7125">
        <f>IF(B7125=1,D7125,E7124)</f>
        <v/>
      </c>
      <c r="F7125">
        <f>IF(AND(B7125=1,C7125&gt;1,E7124&lt;&gt;""),ABS(D7125-E7124),"")</f>
        <v/>
      </c>
    </row>
    <row r="7126">
      <c r="A7126" t="n">
        <v>7126</v>
      </c>
      <c r="B7126">
        <f>IF(INDEX('Data Entry'!$H$5:$BE$10004,7126-4,'Visual SPC'!$B$3)="",0,IF(AND(OR('Visual SPC'!$C$4="",'Data Entry'!$C7126&gt;='Visual SPC'!$C$4),OR('Visual SPC'!$E$4="",'Data Entry'!$C7126&lt;='Visual SPC'!$E$4),OR('Visual SPC'!$G$4="",'Data Entry'!$D7126='Visual SPC'!$G$4),OR('Visual SPC'!$I$4="",'Data Entry'!$E7126='Visual SPC'!$I$4),OR('Visual SPC'!$K$4="",'Data Entry'!$F7126='Visual SPC'!$K$4)),1,0))</f>
        <v/>
      </c>
      <c r="C7126">
        <f>C7125+B7126</f>
        <v/>
      </c>
      <c r="D7126">
        <f>IF(B7126=1,INDEX('Data Entry'!$H$5:$BE$10004,7126-4,'Visual SPC'!$B$3),"")</f>
        <v/>
      </c>
      <c r="E7126">
        <f>IF(B7126=1,D7126,E7125)</f>
        <v/>
      </c>
      <c r="F7126">
        <f>IF(AND(B7126=1,C7126&gt;1,E7125&lt;&gt;""),ABS(D7126-E7125),"")</f>
        <v/>
      </c>
    </row>
    <row r="7127">
      <c r="A7127" t="n">
        <v>7127</v>
      </c>
      <c r="B7127">
        <f>IF(INDEX('Data Entry'!$H$5:$BE$10004,7127-4,'Visual SPC'!$B$3)="",0,IF(AND(OR('Visual SPC'!$C$4="",'Data Entry'!$C7127&gt;='Visual SPC'!$C$4),OR('Visual SPC'!$E$4="",'Data Entry'!$C7127&lt;='Visual SPC'!$E$4),OR('Visual SPC'!$G$4="",'Data Entry'!$D7127='Visual SPC'!$G$4),OR('Visual SPC'!$I$4="",'Data Entry'!$E7127='Visual SPC'!$I$4),OR('Visual SPC'!$K$4="",'Data Entry'!$F7127='Visual SPC'!$K$4)),1,0))</f>
        <v/>
      </c>
      <c r="C7127">
        <f>C7126+B7127</f>
        <v/>
      </c>
      <c r="D7127">
        <f>IF(B7127=1,INDEX('Data Entry'!$H$5:$BE$10004,7127-4,'Visual SPC'!$B$3),"")</f>
        <v/>
      </c>
      <c r="E7127">
        <f>IF(B7127=1,D7127,E7126)</f>
        <v/>
      </c>
      <c r="F7127">
        <f>IF(AND(B7127=1,C7127&gt;1,E7126&lt;&gt;""),ABS(D7127-E7126),"")</f>
        <v/>
      </c>
    </row>
    <row r="7128">
      <c r="A7128" t="n">
        <v>7128</v>
      </c>
      <c r="B7128">
        <f>IF(INDEX('Data Entry'!$H$5:$BE$10004,7128-4,'Visual SPC'!$B$3)="",0,IF(AND(OR('Visual SPC'!$C$4="",'Data Entry'!$C7128&gt;='Visual SPC'!$C$4),OR('Visual SPC'!$E$4="",'Data Entry'!$C7128&lt;='Visual SPC'!$E$4),OR('Visual SPC'!$G$4="",'Data Entry'!$D7128='Visual SPC'!$G$4),OR('Visual SPC'!$I$4="",'Data Entry'!$E7128='Visual SPC'!$I$4),OR('Visual SPC'!$K$4="",'Data Entry'!$F7128='Visual SPC'!$K$4)),1,0))</f>
        <v/>
      </c>
      <c r="C7128">
        <f>C7127+B7128</f>
        <v/>
      </c>
      <c r="D7128">
        <f>IF(B7128=1,INDEX('Data Entry'!$H$5:$BE$10004,7128-4,'Visual SPC'!$B$3),"")</f>
        <v/>
      </c>
      <c r="E7128">
        <f>IF(B7128=1,D7128,E7127)</f>
        <v/>
      </c>
      <c r="F7128">
        <f>IF(AND(B7128=1,C7128&gt;1,E7127&lt;&gt;""),ABS(D7128-E7127),"")</f>
        <v/>
      </c>
    </row>
    <row r="7129">
      <c r="A7129" t="n">
        <v>7129</v>
      </c>
      <c r="B7129">
        <f>IF(INDEX('Data Entry'!$H$5:$BE$10004,7129-4,'Visual SPC'!$B$3)="",0,IF(AND(OR('Visual SPC'!$C$4="",'Data Entry'!$C7129&gt;='Visual SPC'!$C$4),OR('Visual SPC'!$E$4="",'Data Entry'!$C7129&lt;='Visual SPC'!$E$4),OR('Visual SPC'!$G$4="",'Data Entry'!$D7129='Visual SPC'!$G$4),OR('Visual SPC'!$I$4="",'Data Entry'!$E7129='Visual SPC'!$I$4),OR('Visual SPC'!$K$4="",'Data Entry'!$F7129='Visual SPC'!$K$4)),1,0))</f>
        <v/>
      </c>
      <c r="C7129">
        <f>C7128+B7129</f>
        <v/>
      </c>
      <c r="D7129">
        <f>IF(B7129=1,INDEX('Data Entry'!$H$5:$BE$10004,7129-4,'Visual SPC'!$B$3),"")</f>
        <v/>
      </c>
      <c r="E7129">
        <f>IF(B7129=1,D7129,E7128)</f>
        <v/>
      </c>
      <c r="F7129">
        <f>IF(AND(B7129=1,C7129&gt;1,E7128&lt;&gt;""),ABS(D7129-E7128),"")</f>
        <v/>
      </c>
    </row>
    <row r="7130">
      <c r="A7130" t="n">
        <v>7130</v>
      </c>
      <c r="B7130">
        <f>IF(INDEX('Data Entry'!$H$5:$BE$10004,7130-4,'Visual SPC'!$B$3)="",0,IF(AND(OR('Visual SPC'!$C$4="",'Data Entry'!$C7130&gt;='Visual SPC'!$C$4),OR('Visual SPC'!$E$4="",'Data Entry'!$C7130&lt;='Visual SPC'!$E$4),OR('Visual SPC'!$G$4="",'Data Entry'!$D7130='Visual SPC'!$G$4),OR('Visual SPC'!$I$4="",'Data Entry'!$E7130='Visual SPC'!$I$4),OR('Visual SPC'!$K$4="",'Data Entry'!$F7130='Visual SPC'!$K$4)),1,0))</f>
        <v/>
      </c>
      <c r="C7130">
        <f>C7129+B7130</f>
        <v/>
      </c>
      <c r="D7130">
        <f>IF(B7130=1,INDEX('Data Entry'!$H$5:$BE$10004,7130-4,'Visual SPC'!$B$3),"")</f>
        <v/>
      </c>
      <c r="E7130">
        <f>IF(B7130=1,D7130,E7129)</f>
        <v/>
      </c>
      <c r="F7130">
        <f>IF(AND(B7130=1,C7130&gt;1,E7129&lt;&gt;""),ABS(D7130-E7129),"")</f>
        <v/>
      </c>
    </row>
    <row r="7131">
      <c r="A7131" t="n">
        <v>7131</v>
      </c>
      <c r="B7131">
        <f>IF(INDEX('Data Entry'!$H$5:$BE$10004,7131-4,'Visual SPC'!$B$3)="",0,IF(AND(OR('Visual SPC'!$C$4="",'Data Entry'!$C7131&gt;='Visual SPC'!$C$4),OR('Visual SPC'!$E$4="",'Data Entry'!$C7131&lt;='Visual SPC'!$E$4),OR('Visual SPC'!$G$4="",'Data Entry'!$D7131='Visual SPC'!$G$4),OR('Visual SPC'!$I$4="",'Data Entry'!$E7131='Visual SPC'!$I$4),OR('Visual SPC'!$K$4="",'Data Entry'!$F7131='Visual SPC'!$K$4)),1,0))</f>
        <v/>
      </c>
      <c r="C7131">
        <f>C7130+B7131</f>
        <v/>
      </c>
      <c r="D7131">
        <f>IF(B7131=1,INDEX('Data Entry'!$H$5:$BE$10004,7131-4,'Visual SPC'!$B$3),"")</f>
        <v/>
      </c>
      <c r="E7131">
        <f>IF(B7131=1,D7131,E7130)</f>
        <v/>
      </c>
      <c r="F7131">
        <f>IF(AND(B7131=1,C7131&gt;1,E7130&lt;&gt;""),ABS(D7131-E7130),"")</f>
        <v/>
      </c>
    </row>
    <row r="7132">
      <c r="A7132" t="n">
        <v>7132</v>
      </c>
      <c r="B7132">
        <f>IF(INDEX('Data Entry'!$H$5:$BE$10004,7132-4,'Visual SPC'!$B$3)="",0,IF(AND(OR('Visual SPC'!$C$4="",'Data Entry'!$C7132&gt;='Visual SPC'!$C$4),OR('Visual SPC'!$E$4="",'Data Entry'!$C7132&lt;='Visual SPC'!$E$4),OR('Visual SPC'!$G$4="",'Data Entry'!$D7132='Visual SPC'!$G$4),OR('Visual SPC'!$I$4="",'Data Entry'!$E7132='Visual SPC'!$I$4),OR('Visual SPC'!$K$4="",'Data Entry'!$F7132='Visual SPC'!$K$4)),1,0))</f>
        <v/>
      </c>
      <c r="C7132">
        <f>C7131+B7132</f>
        <v/>
      </c>
      <c r="D7132">
        <f>IF(B7132=1,INDEX('Data Entry'!$H$5:$BE$10004,7132-4,'Visual SPC'!$B$3),"")</f>
        <v/>
      </c>
      <c r="E7132">
        <f>IF(B7132=1,D7132,E7131)</f>
        <v/>
      </c>
      <c r="F7132">
        <f>IF(AND(B7132=1,C7132&gt;1,E7131&lt;&gt;""),ABS(D7132-E7131),"")</f>
        <v/>
      </c>
    </row>
    <row r="7133">
      <c r="A7133" t="n">
        <v>7133</v>
      </c>
      <c r="B7133">
        <f>IF(INDEX('Data Entry'!$H$5:$BE$10004,7133-4,'Visual SPC'!$B$3)="",0,IF(AND(OR('Visual SPC'!$C$4="",'Data Entry'!$C7133&gt;='Visual SPC'!$C$4),OR('Visual SPC'!$E$4="",'Data Entry'!$C7133&lt;='Visual SPC'!$E$4),OR('Visual SPC'!$G$4="",'Data Entry'!$D7133='Visual SPC'!$G$4),OR('Visual SPC'!$I$4="",'Data Entry'!$E7133='Visual SPC'!$I$4),OR('Visual SPC'!$K$4="",'Data Entry'!$F7133='Visual SPC'!$K$4)),1,0))</f>
        <v/>
      </c>
      <c r="C7133">
        <f>C7132+B7133</f>
        <v/>
      </c>
      <c r="D7133">
        <f>IF(B7133=1,INDEX('Data Entry'!$H$5:$BE$10004,7133-4,'Visual SPC'!$B$3),"")</f>
        <v/>
      </c>
      <c r="E7133">
        <f>IF(B7133=1,D7133,E7132)</f>
        <v/>
      </c>
      <c r="F7133">
        <f>IF(AND(B7133=1,C7133&gt;1,E7132&lt;&gt;""),ABS(D7133-E7132),"")</f>
        <v/>
      </c>
    </row>
    <row r="7134">
      <c r="A7134" t="n">
        <v>7134</v>
      </c>
      <c r="B7134">
        <f>IF(INDEX('Data Entry'!$H$5:$BE$10004,7134-4,'Visual SPC'!$B$3)="",0,IF(AND(OR('Visual SPC'!$C$4="",'Data Entry'!$C7134&gt;='Visual SPC'!$C$4),OR('Visual SPC'!$E$4="",'Data Entry'!$C7134&lt;='Visual SPC'!$E$4),OR('Visual SPC'!$G$4="",'Data Entry'!$D7134='Visual SPC'!$G$4),OR('Visual SPC'!$I$4="",'Data Entry'!$E7134='Visual SPC'!$I$4),OR('Visual SPC'!$K$4="",'Data Entry'!$F7134='Visual SPC'!$K$4)),1,0))</f>
        <v/>
      </c>
      <c r="C7134">
        <f>C7133+B7134</f>
        <v/>
      </c>
      <c r="D7134">
        <f>IF(B7134=1,INDEX('Data Entry'!$H$5:$BE$10004,7134-4,'Visual SPC'!$B$3),"")</f>
        <v/>
      </c>
      <c r="E7134">
        <f>IF(B7134=1,D7134,E7133)</f>
        <v/>
      </c>
      <c r="F7134">
        <f>IF(AND(B7134=1,C7134&gt;1,E7133&lt;&gt;""),ABS(D7134-E7133),"")</f>
        <v/>
      </c>
    </row>
    <row r="7135">
      <c r="A7135" t="n">
        <v>7135</v>
      </c>
      <c r="B7135">
        <f>IF(INDEX('Data Entry'!$H$5:$BE$10004,7135-4,'Visual SPC'!$B$3)="",0,IF(AND(OR('Visual SPC'!$C$4="",'Data Entry'!$C7135&gt;='Visual SPC'!$C$4),OR('Visual SPC'!$E$4="",'Data Entry'!$C7135&lt;='Visual SPC'!$E$4),OR('Visual SPC'!$G$4="",'Data Entry'!$D7135='Visual SPC'!$G$4),OR('Visual SPC'!$I$4="",'Data Entry'!$E7135='Visual SPC'!$I$4),OR('Visual SPC'!$K$4="",'Data Entry'!$F7135='Visual SPC'!$K$4)),1,0))</f>
        <v/>
      </c>
      <c r="C7135">
        <f>C7134+B7135</f>
        <v/>
      </c>
      <c r="D7135">
        <f>IF(B7135=1,INDEX('Data Entry'!$H$5:$BE$10004,7135-4,'Visual SPC'!$B$3),"")</f>
        <v/>
      </c>
      <c r="E7135">
        <f>IF(B7135=1,D7135,E7134)</f>
        <v/>
      </c>
      <c r="F7135">
        <f>IF(AND(B7135=1,C7135&gt;1,E7134&lt;&gt;""),ABS(D7135-E7134),"")</f>
        <v/>
      </c>
    </row>
    <row r="7136">
      <c r="A7136" t="n">
        <v>7136</v>
      </c>
      <c r="B7136">
        <f>IF(INDEX('Data Entry'!$H$5:$BE$10004,7136-4,'Visual SPC'!$B$3)="",0,IF(AND(OR('Visual SPC'!$C$4="",'Data Entry'!$C7136&gt;='Visual SPC'!$C$4),OR('Visual SPC'!$E$4="",'Data Entry'!$C7136&lt;='Visual SPC'!$E$4),OR('Visual SPC'!$G$4="",'Data Entry'!$D7136='Visual SPC'!$G$4),OR('Visual SPC'!$I$4="",'Data Entry'!$E7136='Visual SPC'!$I$4),OR('Visual SPC'!$K$4="",'Data Entry'!$F7136='Visual SPC'!$K$4)),1,0))</f>
        <v/>
      </c>
      <c r="C7136">
        <f>C7135+B7136</f>
        <v/>
      </c>
      <c r="D7136">
        <f>IF(B7136=1,INDEX('Data Entry'!$H$5:$BE$10004,7136-4,'Visual SPC'!$B$3),"")</f>
        <v/>
      </c>
      <c r="E7136">
        <f>IF(B7136=1,D7136,E7135)</f>
        <v/>
      </c>
      <c r="F7136">
        <f>IF(AND(B7136=1,C7136&gt;1,E7135&lt;&gt;""),ABS(D7136-E7135),"")</f>
        <v/>
      </c>
    </row>
    <row r="7137">
      <c r="A7137" t="n">
        <v>7137</v>
      </c>
      <c r="B7137">
        <f>IF(INDEX('Data Entry'!$H$5:$BE$10004,7137-4,'Visual SPC'!$B$3)="",0,IF(AND(OR('Visual SPC'!$C$4="",'Data Entry'!$C7137&gt;='Visual SPC'!$C$4),OR('Visual SPC'!$E$4="",'Data Entry'!$C7137&lt;='Visual SPC'!$E$4),OR('Visual SPC'!$G$4="",'Data Entry'!$D7137='Visual SPC'!$G$4),OR('Visual SPC'!$I$4="",'Data Entry'!$E7137='Visual SPC'!$I$4),OR('Visual SPC'!$K$4="",'Data Entry'!$F7137='Visual SPC'!$K$4)),1,0))</f>
        <v/>
      </c>
      <c r="C7137">
        <f>C7136+B7137</f>
        <v/>
      </c>
      <c r="D7137">
        <f>IF(B7137=1,INDEX('Data Entry'!$H$5:$BE$10004,7137-4,'Visual SPC'!$B$3),"")</f>
        <v/>
      </c>
      <c r="E7137">
        <f>IF(B7137=1,D7137,E7136)</f>
        <v/>
      </c>
      <c r="F7137">
        <f>IF(AND(B7137=1,C7137&gt;1,E7136&lt;&gt;""),ABS(D7137-E7136),"")</f>
        <v/>
      </c>
    </row>
    <row r="7138">
      <c r="A7138" t="n">
        <v>7138</v>
      </c>
      <c r="B7138">
        <f>IF(INDEX('Data Entry'!$H$5:$BE$10004,7138-4,'Visual SPC'!$B$3)="",0,IF(AND(OR('Visual SPC'!$C$4="",'Data Entry'!$C7138&gt;='Visual SPC'!$C$4),OR('Visual SPC'!$E$4="",'Data Entry'!$C7138&lt;='Visual SPC'!$E$4),OR('Visual SPC'!$G$4="",'Data Entry'!$D7138='Visual SPC'!$G$4),OR('Visual SPC'!$I$4="",'Data Entry'!$E7138='Visual SPC'!$I$4),OR('Visual SPC'!$K$4="",'Data Entry'!$F7138='Visual SPC'!$K$4)),1,0))</f>
        <v/>
      </c>
      <c r="C7138">
        <f>C7137+B7138</f>
        <v/>
      </c>
      <c r="D7138">
        <f>IF(B7138=1,INDEX('Data Entry'!$H$5:$BE$10004,7138-4,'Visual SPC'!$B$3),"")</f>
        <v/>
      </c>
      <c r="E7138">
        <f>IF(B7138=1,D7138,E7137)</f>
        <v/>
      </c>
      <c r="F7138">
        <f>IF(AND(B7138=1,C7138&gt;1,E7137&lt;&gt;""),ABS(D7138-E7137),"")</f>
        <v/>
      </c>
    </row>
    <row r="7139">
      <c r="A7139" t="n">
        <v>7139</v>
      </c>
      <c r="B7139">
        <f>IF(INDEX('Data Entry'!$H$5:$BE$10004,7139-4,'Visual SPC'!$B$3)="",0,IF(AND(OR('Visual SPC'!$C$4="",'Data Entry'!$C7139&gt;='Visual SPC'!$C$4),OR('Visual SPC'!$E$4="",'Data Entry'!$C7139&lt;='Visual SPC'!$E$4),OR('Visual SPC'!$G$4="",'Data Entry'!$D7139='Visual SPC'!$G$4),OR('Visual SPC'!$I$4="",'Data Entry'!$E7139='Visual SPC'!$I$4),OR('Visual SPC'!$K$4="",'Data Entry'!$F7139='Visual SPC'!$K$4)),1,0))</f>
        <v/>
      </c>
      <c r="C7139">
        <f>C7138+B7139</f>
        <v/>
      </c>
      <c r="D7139">
        <f>IF(B7139=1,INDEX('Data Entry'!$H$5:$BE$10004,7139-4,'Visual SPC'!$B$3),"")</f>
        <v/>
      </c>
      <c r="E7139">
        <f>IF(B7139=1,D7139,E7138)</f>
        <v/>
      </c>
      <c r="F7139">
        <f>IF(AND(B7139=1,C7139&gt;1,E7138&lt;&gt;""),ABS(D7139-E7138),"")</f>
        <v/>
      </c>
    </row>
    <row r="7140">
      <c r="A7140" t="n">
        <v>7140</v>
      </c>
      <c r="B7140">
        <f>IF(INDEX('Data Entry'!$H$5:$BE$10004,7140-4,'Visual SPC'!$B$3)="",0,IF(AND(OR('Visual SPC'!$C$4="",'Data Entry'!$C7140&gt;='Visual SPC'!$C$4),OR('Visual SPC'!$E$4="",'Data Entry'!$C7140&lt;='Visual SPC'!$E$4),OR('Visual SPC'!$G$4="",'Data Entry'!$D7140='Visual SPC'!$G$4),OR('Visual SPC'!$I$4="",'Data Entry'!$E7140='Visual SPC'!$I$4),OR('Visual SPC'!$K$4="",'Data Entry'!$F7140='Visual SPC'!$K$4)),1,0))</f>
        <v/>
      </c>
      <c r="C7140">
        <f>C7139+B7140</f>
        <v/>
      </c>
      <c r="D7140">
        <f>IF(B7140=1,INDEX('Data Entry'!$H$5:$BE$10004,7140-4,'Visual SPC'!$B$3),"")</f>
        <v/>
      </c>
      <c r="E7140">
        <f>IF(B7140=1,D7140,E7139)</f>
        <v/>
      </c>
      <c r="F7140">
        <f>IF(AND(B7140=1,C7140&gt;1,E7139&lt;&gt;""),ABS(D7140-E7139),"")</f>
        <v/>
      </c>
    </row>
    <row r="7141">
      <c r="A7141" t="n">
        <v>7141</v>
      </c>
      <c r="B7141">
        <f>IF(INDEX('Data Entry'!$H$5:$BE$10004,7141-4,'Visual SPC'!$B$3)="",0,IF(AND(OR('Visual SPC'!$C$4="",'Data Entry'!$C7141&gt;='Visual SPC'!$C$4),OR('Visual SPC'!$E$4="",'Data Entry'!$C7141&lt;='Visual SPC'!$E$4),OR('Visual SPC'!$G$4="",'Data Entry'!$D7141='Visual SPC'!$G$4),OR('Visual SPC'!$I$4="",'Data Entry'!$E7141='Visual SPC'!$I$4),OR('Visual SPC'!$K$4="",'Data Entry'!$F7141='Visual SPC'!$K$4)),1,0))</f>
        <v/>
      </c>
      <c r="C7141">
        <f>C7140+B7141</f>
        <v/>
      </c>
      <c r="D7141">
        <f>IF(B7141=1,INDEX('Data Entry'!$H$5:$BE$10004,7141-4,'Visual SPC'!$B$3),"")</f>
        <v/>
      </c>
      <c r="E7141">
        <f>IF(B7141=1,D7141,E7140)</f>
        <v/>
      </c>
      <c r="F7141">
        <f>IF(AND(B7141=1,C7141&gt;1,E7140&lt;&gt;""),ABS(D7141-E7140),"")</f>
        <v/>
      </c>
    </row>
    <row r="7142">
      <c r="A7142" t="n">
        <v>7142</v>
      </c>
      <c r="B7142">
        <f>IF(INDEX('Data Entry'!$H$5:$BE$10004,7142-4,'Visual SPC'!$B$3)="",0,IF(AND(OR('Visual SPC'!$C$4="",'Data Entry'!$C7142&gt;='Visual SPC'!$C$4),OR('Visual SPC'!$E$4="",'Data Entry'!$C7142&lt;='Visual SPC'!$E$4),OR('Visual SPC'!$G$4="",'Data Entry'!$D7142='Visual SPC'!$G$4),OR('Visual SPC'!$I$4="",'Data Entry'!$E7142='Visual SPC'!$I$4),OR('Visual SPC'!$K$4="",'Data Entry'!$F7142='Visual SPC'!$K$4)),1,0))</f>
        <v/>
      </c>
      <c r="C7142">
        <f>C7141+B7142</f>
        <v/>
      </c>
      <c r="D7142">
        <f>IF(B7142=1,INDEX('Data Entry'!$H$5:$BE$10004,7142-4,'Visual SPC'!$B$3),"")</f>
        <v/>
      </c>
      <c r="E7142">
        <f>IF(B7142=1,D7142,E7141)</f>
        <v/>
      </c>
      <c r="F7142">
        <f>IF(AND(B7142=1,C7142&gt;1,E7141&lt;&gt;""),ABS(D7142-E7141),"")</f>
        <v/>
      </c>
    </row>
    <row r="7143">
      <c r="A7143" t="n">
        <v>7143</v>
      </c>
      <c r="B7143">
        <f>IF(INDEX('Data Entry'!$H$5:$BE$10004,7143-4,'Visual SPC'!$B$3)="",0,IF(AND(OR('Visual SPC'!$C$4="",'Data Entry'!$C7143&gt;='Visual SPC'!$C$4),OR('Visual SPC'!$E$4="",'Data Entry'!$C7143&lt;='Visual SPC'!$E$4),OR('Visual SPC'!$G$4="",'Data Entry'!$D7143='Visual SPC'!$G$4),OR('Visual SPC'!$I$4="",'Data Entry'!$E7143='Visual SPC'!$I$4),OR('Visual SPC'!$K$4="",'Data Entry'!$F7143='Visual SPC'!$K$4)),1,0))</f>
        <v/>
      </c>
      <c r="C7143">
        <f>C7142+B7143</f>
        <v/>
      </c>
      <c r="D7143">
        <f>IF(B7143=1,INDEX('Data Entry'!$H$5:$BE$10004,7143-4,'Visual SPC'!$B$3),"")</f>
        <v/>
      </c>
      <c r="E7143">
        <f>IF(B7143=1,D7143,E7142)</f>
        <v/>
      </c>
      <c r="F7143">
        <f>IF(AND(B7143=1,C7143&gt;1,E7142&lt;&gt;""),ABS(D7143-E7142),"")</f>
        <v/>
      </c>
    </row>
    <row r="7144">
      <c r="A7144" t="n">
        <v>7144</v>
      </c>
      <c r="B7144">
        <f>IF(INDEX('Data Entry'!$H$5:$BE$10004,7144-4,'Visual SPC'!$B$3)="",0,IF(AND(OR('Visual SPC'!$C$4="",'Data Entry'!$C7144&gt;='Visual SPC'!$C$4),OR('Visual SPC'!$E$4="",'Data Entry'!$C7144&lt;='Visual SPC'!$E$4),OR('Visual SPC'!$G$4="",'Data Entry'!$D7144='Visual SPC'!$G$4),OR('Visual SPC'!$I$4="",'Data Entry'!$E7144='Visual SPC'!$I$4),OR('Visual SPC'!$K$4="",'Data Entry'!$F7144='Visual SPC'!$K$4)),1,0))</f>
        <v/>
      </c>
      <c r="C7144">
        <f>C7143+B7144</f>
        <v/>
      </c>
      <c r="D7144">
        <f>IF(B7144=1,INDEX('Data Entry'!$H$5:$BE$10004,7144-4,'Visual SPC'!$B$3),"")</f>
        <v/>
      </c>
      <c r="E7144">
        <f>IF(B7144=1,D7144,E7143)</f>
        <v/>
      </c>
      <c r="F7144">
        <f>IF(AND(B7144=1,C7144&gt;1,E7143&lt;&gt;""),ABS(D7144-E7143),"")</f>
        <v/>
      </c>
    </row>
    <row r="7145">
      <c r="A7145" t="n">
        <v>7145</v>
      </c>
      <c r="B7145">
        <f>IF(INDEX('Data Entry'!$H$5:$BE$10004,7145-4,'Visual SPC'!$B$3)="",0,IF(AND(OR('Visual SPC'!$C$4="",'Data Entry'!$C7145&gt;='Visual SPC'!$C$4),OR('Visual SPC'!$E$4="",'Data Entry'!$C7145&lt;='Visual SPC'!$E$4),OR('Visual SPC'!$G$4="",'Data Entry'!$D7145='Visual SPC'!$G$4),OR('Visual SPC'!$I$4="",'Data Entry'!$E7145='Visual SPC'!$I$4),OR('Visual SPC'!$K$4="",'Data Entry'!$F7145='Visual SPC'!$K$4)),1,0))</f>
        <v/>
      </c>
      <c r="C7145">
        <f>C7144+B7145</f>
        <v/>
      </c>
      <c r="D7145">
        <f>IF(B7145=1,INDEX('Data Entry'!$H$5:$BE$10004,7145-4,'Visual SPC'!$B$3),"")</f>
        <v/>
      </c>
      <c r="E7145">
        <f>IF(B7145=1,D7145,E7144)</f>
        <v/>
      </c>
      <c r="F7145">
        <f>IF(AND(B7145=1,C7145&gt;1,E7144&lt;&gt;""),ABS(D7145-E7144),"")</f>
        <v/>
      </c>
    </row>
    <row r="7146">
      <c r="A7146" t="n">
        <v>7146</v>
      </c>
      <c r="B7146">
        <f>IF(INDEX('Data Entry'!$H$5:$BE$10004,7146-4,'Visual SPC'!$B$3)="",0,IF(AND(OR('Visual SPC'!$C$4="",'Data Entry'!$C7146&gt;='Visual SPC'!$C$4),OR('Visual SPC'!$E$4="",'Data Entry'!$C7146&lt;='Visual SPC'!$E$4),OR('Visual SPC'!$G$4="",'Data Entry'!$D7146='Visual SPC'!$G$4),OR('Visual SPC'!$I$4="",'Data Entry'!$E7146='Visual SPC'!$I$4),OR('Visual SPC'!$K$4="",'Data Entry'!$F7146='Visual SPC'!$K$4)),1,0))</f>
        <v/>
      </c>
      <c r="C7146">
        <f>C7145+B7146</f>
        <v/>
      </c>
      <c r="D7146">
        <f>IF(B7146=1,INDEX('Data Entry'!$H$5:$BE$10004,7146-4,'Visual SPC'!$B$3),"")</f>
        <v/>
      </c>
      <c r="E7146">
        <f>IF(B7146=1,D7146,E7145)</f>
        <v/>
      </c>
      <c r="F7146">
        <f>IF(AND(B7146=1,C7146&gt;1,E7145&lt;&gt;""),ABS(D7146-E7145),"")</f>
        <v/>
      </c>
    </row>
    <row r="7147">
      <c r="A7147" t="n">
        <v>7147</v>
      </c>
      <c r="B7147">
        <f>IF(INDEX('Data Entry'!$H$5:$BE$10004,7147-4,'Visual SPC'!$B$3)="",0,IF(AND(OR('Visual SPC'!$C$4="",'Data Entry'!$C7147&gt;='Visual SPC'!$C$4),OR('Visual SPC'!$E$4="",'Data Entry'!$C7147&lt;='Visual SPC'!$E$4),OR('Visual SPC'!$G$4="",'Data Entry'!$D7147='Visual SPC'!$G$4),OR('Visual SPC'!$I$4="",'Data Entry'!$E7147='Visual SPC'!$I$4),OR('Visual SPC'!$K$4="",'Data Entry'!$F7147='Visual SPC'!$K$4)),1,0))</f>
        <v/>
      </c>
      <c r="C7147">
        <f>C7146+B7147</f>
        <v/>
      </c>
      <c r="D7147">
        <f>IF(B7147=1,INDEX('Data Entry'!$H$5:$BE$10004,7147-4,'Visual SPC'!$B$3),"")</f>
        <v/>
      </c>
      <c r="E7147">
        <f>IF(B7147=1,D7147,E7146)</f>
        <v/>
      </c>
      <c r="F7147">
        <f>IF(AND(B7147=1,C7147&gt;1,E7146&lt;&gt;""),ABS(D7147-E7146),"")</f>
        <v/>
      </c>
    </row>
    <row r="7148">
      <c r="A7148" t="n">
        <v>7148</v>
      </c>
      <c r="B7148">
        <f>IF(INDEX('Data Entry'!$H$5:$BE$10004,7148-4,'Visual SPC'!$B$3)="",0,IF(AND(OR('Visual SPC'!$C$4="",'Data Entry'!$C7148&gt;='Visual SPC'!$C$4),OR('Visual SPC'!$E$4="",'Data Entry'!$C7148&lt;='Visual SPC'!$E$4),OR('Visual SPC'!$G$4="",'Data Entry'!$D7148='Visual SPC'!$G$4),OR('Visual SPC'!$I$4="",'Data Entry'!$E7148='Visual SPC'!$I$4),OR('Visual SPC'!$K$4="",'Data Entry'!$F7148='Visual SPC'!$K$4)),1,0))</f>
        <v/>
      </c>
      <c r="C7148">
        <f>C7147+B7148</f>
        <v/>
      </c>
      <c r="D7148">
        <f>IF(B7148=1,INDEX('Data Entry'!$H$5:$BE$10004,7148-4,'Visual SPC'!$B$3),"")</f>
        <v/>
      </c>
      <c r="E7148">
        <f>IF(B7148=1,D7148,E7147)</f>
        <v/>
      </c>
      <c r="F7148">
        <f>IF(AND(B7148=1,C7148&gt;1,E7147&lt;&gt;""),ABS(D7148-E7147),"")</f>
        <v/>
      </c>
    </row>
    <row r="7149">
      <c r="A7149" t="n">
        <v>7149</v>
      </c>
      <c r="B7149">
        <f>IF(INDEX('Data Entry'!$H$5:$BE$10004,7149-4,'Visual SPC'!$B$3)="",0,IF(AND(OR('Visual SPC'!$C$4="",'Data Entry'!$C7149&gt;='Visual SPC'!$C$4),OR('Visual SPC'!$E$4="",'Data Entry'!$C7149&lt;='Visual SPC'!$E$4),OR('Visual SPC'!$G$4="",'Data Entry'!$D7149='Visual SPC'!$G$4),OR('Visual SPC'!$I$4="",'Data Entry'!$E7149='Visual SPC'!$I$4),OR('Visual SPC'!$K$4="",'Data Entry'!$F7149='Visual SPC'!$K$4)),1,0))</f>
        <v/>
      </c>
      <c r="C7149">
        <f>C7148+B7149</f>
        <v/>
      </c>
      <c r="D7149">
        <f>IF(B7149=1,INDEX('Data Entry'!$H$5:$BE$10004,7149-4,'Visual SPC'!$B$3),"")</f>
        <v/>
      </c>
      <c r="E7149">
        <f>IF(B7149=1,D7149,E7148)</f>
        <v/>
      </c>
      <c r="F7149">
        <f>IF(AND(B7149=1,C7149&gt;1,E7148&lt;&gt;""),ABS(D7149-E7148),"")</f>
        <v/>
      </c>
    </row>
    <row r="7150">
      <c r="A7150" t="n">
        <v>7150</v>
      </c>
      <c r="B7150">
        <f>IF(INDEX('Data Entry'!$H$5:$BE$10004,7150-4,'Visual SPC'!$B$3)="",0,IF(AND(OR('Visual SPC'!$C$4="",'Data Entry'!$C7150&gt;='Visual SPC'!$C$4),OR('Visual SPC'!$E$4="",'Data Entry'!$C7150&lt;='Visual SPC'!$E$4),OR('Visual SPC'!$G$4="",'Data Entry'!$D7150='Visual SPC'!$G$4),OR('Visual SPC'!$I$4="",'Data Entry'!$E7150='Visual SPC'!$I$4),OR('Visual SPC'!$K$4="",'Data Entry'!$F7150='Visual SPC'!$K$4)),1,0))</f>
        <v/>
      </c>
      <c r="C7150">
        <f>C7149+B7150</f>
        <v/>
      </c>
      <c r="D7150">
        <f>IF(B7150=1,INDEX('Data Entry'!$H$5:$BE$10004,7150-4,'Visual SPC'!$B$3),"")</f>
        <v/>
      </c>
      <c r="E7150">
        <f>IF(B7150=1,D7150,E7149)</f>
        <v/>
      </c>
      <c r="F7150">
        <f>IF(AND(B7150=1,C7150&gt;1,E7149&lt;&gt;""),ABS(D7150-E7149),"")</f>
        <v/>
      </c>
    </row>
    <row r="7151">
      <c r="A7151" t="n">
        <v>7151</v>
      </c>
      <c r="B7151">
        <f>IF(INDEX('Data Entry'!$H$5:$BE$10004,7151-4,'Visual SPC'!$B$3)="",0,IF(AND(OR('Visual SPC'!$C$4="",'Data Entry'!$C7151&gt;='Visual SPC'!$C$4),OR('Visual SPC'!$E$4="",'Data Entry'!$C7151&lt;='Visual SPC'!$E$4),OR('Visual SPC'!$G$4="",'Data Entry'!$D7151='Visual SPC'!$G$4),OR('Visual SPC'!$I$4="",'Data Entry'!$E7151='Visual SPC'!$I$4),OR('Visual SPC'!$K$4="",'Data Entry'!$F7151='Visual SPC'!$K$4)),1,0))</f>
        <v/>
      </c>
      <c r="C7151">
        <f>C7150+B7151</f>
        <v/>
      </c>
      <c r="D7151">
        <f>IF(B7151=1,INDEX('Data Entry'!$H$5:$BE$10004,7151-4,'Visual SPC'!$B$3),"")</f>
        <v/>
      </c>
      <c r="E7151">
        <f>IF(B7151=1,D7151,E7150)</f>
        <v/>
      </c>
      <c r="F7151">
        <f>IF(AND(B7151=1,C7151&gt;1,E7150&lt;&gt;""),ABS(D7151-E7150),"")</f>
        <v/>
      </c>
    </row>
    <row r="7152">
      <c r="A7152" t="n">
        <v>7152</v>
      </c>
      <c r="B7152">
        <f>IF(INDEX('Data Entry'!$H$5:$BE$10004,7152-4,'Visual SPC'!$B$3)="",0,IF(AND(OR('Visual SPC'!$C$4="",'Data Entry'!$C7152&gt;='Visual SPC'!$C$4),OR('Visual SPC'!$E$4="",'Data Entry'!$C7152&lt;='Visual SPC'!$E$4),OR('Visual SPC'!$G$4="",'Data Entry'!$D7152='Visual SPC'!$G$4),OR('Visual SPC'!$I$4="",'Data Entry'!$E7152='Visual SPC'!$I$4),OR('Visual SPC'!$K$4="",'Data Entry'!$F7152='Visual SPC'!$K$4)),1,0))</f>
        <v/>
      </c>
      <c r="C7152">
        <f>C7151+B7152</f>
        <v/>
      </c>
      <c r="D7152">
        <f>IF(B7152=1,INDEX('Data Entry'!$H$5:$BE$10004,7152-4,'Visual SPC'!$B$3),"")</f>
        <v/>
      </c>
      <c r="E7152">
        <f>IF(B7152=1,D7152,E7151)</f>
        <v/>
      </c>
      <c r="F7152">
        <f>IF(AND(B7152=1,C7152&gt;1,E7151&lt;&gt;""),ABS(D7152-E7151),"")</f>
        <v/>
      </c>
    </row>
    <row r="7153">
      <c r="A7153" t="n">
        <v>7153</v>
      </c>
      <c r="B7153">
        <f>IF(INDEX('Data Entry'!$H$5:$BE$10004,7153-4,'Visual SPC'!$B$3)="",0,IF(AND(OR('Visual SPC'!$C$4="",'Data Entry'!$C7153&gt;='Visual SPC'!$C$4),OR('Visual SPC'!$E$4="",'Data Entry'!$C7153&lt;='Visual SPC'!$E$4),OR('Visual SPC'!$G$4="",'Data Entry'!$D7153='Visual SPC'!$G$4),OR('Visual SPC'!$I$4="",'Data Entry'!$E7153='Visual SPC'!$I$4),OR('Visual SPC'!$K$4="",'Data Entry'!$F7153='Visual SPC'!$K$4)),1,0))</f>
        <v/>
      </c>
      <c r="C7153">
        <f>C7152+B7153</f>
        <v/>
      </c>
      <c r="D7153">
        <f>IF(B7153=1,INDEX('Data Entry'!$H$5:$BE$10004,7153-4,'Visual SPC'!$B$3),"")</f>
        <v/>
      </c>
      <c r="E7153">
        <f>IF(B7153=1,D7153,E7152)</f>
        <v/>
      </c>
      <c r="F7153">
        <f>IF(AND(B7153=1,C7153&gt;1,E7152&lt;&gt;""),ABS(D7153-E7152),"")</f>
        <v/>
      </c>
    </row>
    <row r="7154">
      <c r="A7154" t="n">
        <v>7154</v>
      </c>
      <c r="B7154">
        <f>IF(INDEX('Data Entry'!$H$5:$BE$10004,7154-4,'Visual SPC'!$B$3)="",0,IF(AND(OR('Visual SPC'!$C$4="",'Data Entry'!$C7154&gt;='Visual SPC'!$C$4),OR('Visual SPC'!$E$4="",'Data Entry'!$C7154&lt;='Visual SPC'!$E$4),OR('Visual SPC'!$G$4="",'Data Entry'!$D7154='Visual SPC'!$G$4),OR('Visual SPC'!$I$4="",'Data Entry'!$E7154='Visual SPC'!$I$4),OR('Visual SPC'!$K$4="",'Data Entry'!$F7154='Visual SPC'!$K$4)),1,0))</f>
        <v/>
      </c>
      <c r="C7154">
        <f>C7153+B7154</f>
        <v/>
      </c>
      <c r="D7154">
        <f>IF(B7154=1,INDEX('Data Entry'!$H$5:$BE$10004,7154-4,'Visual SPC'!$B$3),"")</f>
        <v/>
      </c>
      <c r="E7154">
        <f>IF(B7154=1,D7154,E7153)</f>
        <v/>
      </c>
      <c r="F7154">
        <f>IF(AND(B7154=1,C7154&gt;1,E7153&lt;&gt;""),ABS(D7154-E7153),"")</f>
        <v/>
      </c>
    </row>
    <row r="7155">
      <c r="A7155" t="n">
        <v>7155</v>
      </c>
      <c r="B7155">
        <f>IF(INDEX('Data Entry'!$H$5:$BE$10004,7155-4,'Visual SPC'!$B$3)="",0,IF(AND(OR('Visual SPC'!$C$4="",'Data Entry'!$C7155&gt;='Visual SPC'!$C$4),OR('Visual SPC'!$E$4="",'Data Entry'!$C7155&lt;='Visual SPC'!$E$4),OR('Visual SPC'!$G$4="",'Data Entry'!$D7155='Visual SPC'!$G$4),OR('Visual SPC'!$I$4="",'Data Entry'!$E7155='Visual SPC'!$I$4),OR('Visual SPC'!$K$4="",'Data Entry'!$F7155='Visual SPC'!$K$4)),1,0))</f>
        <v/>
      </c>
      <c r="C7155">
        <f>C7154+B7155</f>
        <v/>
      </c>
      <c r="D7155">
        <f>IF(B7155=1,INDEX('Data Entry'!$H$5:$BE$10004,7155-4,'Visual SPC'!$B$3),"")</f>
        <v/>
      </c>
      <c r="E7155">
        <f>IF(B7155=1,D7155,E7154)</f>
        <v/>
      </c>
      <c r="F7155">
        <f>IF(AND(B7155=1,C7155&gt;1,E7154&lt;&gt;""),ABS(D7155-E7154),"")</f>
        <v/>
      </c>
    </row>
    <row r="7156">
      <c r="A7156" t="n">
        <v>7156</v>
      </c>
      <c r="B7156">
        <f>IF(INDEX('Data Entry'!$H$5:$BE$10004,7156-4,'Visual SPC'!$B$3)="",0,IF(AND(OR('Visual SPC'!$C$4="",'Data Entry'!$C7156&gt;='Visual SPC'!$C$4),OR('Visual SPC'!$E$4="",'Data Entry'!$C7156&lt;='Visual SPC'!$E$4),OR('Visual SPC'!$G$4="",'Data Entry'!$D7156='Visual SPC'!$G$4),OR('Visual SPC'!$I$4="",'Data Entry'!$E7156='Visual SPC'!$I$4),OR('Visual SPC'!$K$4="",'Data Entry'!$F7156='Visual SPC'!$K$4)),1,0))</f>
        <v/>
      </c>
      <c r="C7156">
        <f>C7155+B7156</f>
        <v/>
      </c>
      <c r="D7156">
        <f>IF(B7156=1,INDEX('Data Entry'!$H$5:$BE$10004,7156-4,'Visual SPC'!$B$3),"")</f>
        <v/>
      </c>
      <c r="E7156">
        <f>IF(B7156=1,D7156,E7155)</f>
        <v/>
      </c>
      <c r="F7156">
        <f>IF(AND(B7156=1,C7156&gt;1,E7155&lt;&gt;""),ABS(D7156-E7155),"")</f>
        <v/>
      </c>
    </row>
    <row r="7157">
      <c r="A7157" t="n">
        <v>7157</v>
      </c>
      <c r="B7157">
        <f>IF(INDEX('Data Entry'!$H$5:$BE$10004,7157-4,'Visual SPC'!$B$3)="",0,IF(AND(OR('Visual SPC'!$C$4="",'Data Entry'!$C7157&gt;='Visual SPC'!$C$4),OR('Visual SPC'!$E$4="",'Data Entry'!$C7157&lt;='Visual SPC'!$E$4),OR('Visual SPC'!$G$4="",'Data Entry'!$D7157='Visual SPC'!$G$4),OR('Visual SPC'!$I$4="",'Data Entry'!$E7157='Visual SPC'!$I$4),OR('Visual SPC'!$K$4="",'Data Entry'!$F7157='Visual SPC'!$K$4)),1,0))</f>
        <v/>
      </c>
      <c r="C7157">
        <f>C7156+B7157</f>
        <v/>
      </c>
      <c r="D7157">
        <f>IF(B7157=1,INDEX('Data Entry'!$H$5:$BE$10004,7157-4,'Visual SPC'!$B$3),"")</f>
        <v/>
      </c>
      <c r="E7157">
        <f>IF(B7157=1,D7157,E7156)</f>
        <v/>
      </c>
      <c r="F7157">
        <f>IF(AND(B7157=1,C7157&gt;1,E7156&lt;&gt;""),ABS(D7157-E7156),"")</f>
        <v/>
      </c>
    </row>
    <row r="7158">
      <c r="A7158" t="n">
        <v>7158</v>
      </c>
      <c r="B7158">
        <f>IF(INDEX('Data Entry'!$H$5:$BE$10004,7158-4,'Visual SPC'!$B$3)="",0,IF(AND(OR('Visual SPC'!$C$4="",'Data Entry'!$C7158&gt;='Visual SPC'!$C$4),OR('Visual SPC'!$E$4="",'Data Entry'!$C7158&lt;='Visual SPC'!$E$4),OR('Visual SPC'!$G$4="",'Data Entry'!$D7158='Visual SPC'!$G$4),OR('Visual SPC'!$I$4="",'Data Entry'!$E7158='Visual SPC'!$I$4),OR('Visual SPC'!$K$4="",'Data Entry'!$F7158='Visual SPC'!$K$4)),1,0))</f>
        <v/>
      </c>
      <c r="C7158">
        <f>C7157+B7158</f>
        <v/>
      </c>
      <c r="D7158">
        <f>IF(B7158=1,INDEX('Data Entry'!$H$5:$BE$10004,7158-4,'Visual SPC'!$B$3),"")</f>
        <v/>
      </c>
      <c r="E7158">
        <f>IF(B7158=1,D7158,E7157)</f>
        <v/>
      </c>
      <c r="F7158">
        <f>IF(AND(B7158=1,C7158&gt;1,E7157&lt;&gt;""),ABS(D7158-E7157),"")</f>
        <v/>
      </c>
    </row>
    <row r="7159">
      <c r="A7159" t="n">
        <v>7159</v>
      </c>
      <c r="B7159">
        <f>IF(INDEX('Data Entry'!$H$5:$BE$10004,7159-4,'Visual SPC'!$B$3)="",0,IF(AND(OR('Visual SPC'!$C$4="",'Data Entry'!$C7159&gt;='Visual SPC'!$C$4),OR('Visual SPC'!$E$4="",'Data Entry'!$C7159&lt;='Visual SPC'!$E$4),OR('Visual SPC'!$G$4="",'Data Entry'!$D7159='Visual SPC'!$G$4),OR('Visual SPC'!$I$4="",'Data Entry'!$E7159='Visual SPC'!$I$4),OR('Visual SPC'!$K$4="",'Data Entry'!$F7159='Visual SPC'!$K$4)),1,0))</f>
        <v/>
      </c>
      <c r="C7159">
        <f>C7158+B7159</f>
        <v/>
      </c>
      <c r="D7159">
        <f>IF(B7159=1,INDEX('Data Entry'!$H$5:$BE$10004,7159-4,'Visual SPC'!$B$3),"")</f>
        <v/>
      </c>
      <c r="E7159">
        <f>IF(B7159=1,D7159,E7158)</f>
        <v/>
      </c>
      <c r="F7159">
        <f>IF(AND(B7159=1,C7159&gt;1,E7158&lt;&gt;""),ABS(D7159-E7158),"")</f>
        <v/>
      </c>
    </row>
    <row r="7160">
      <c r="A7160" t="n">
        <v>7160</v>
      </c>
      <c r="B7160">
        <f>IF(INDEX('Data Entry'!$H$5:$BE$10004,7160-4,'Visual SPC'!$B$3)="",0,IF(AND(OR('Visual SPC'!$C$4="",'Data Entry'!$C7160&gt;='Visual SPC'!$C$4),OR('Visual SPC'!$E$4="",'Data Entry'!$C7160&lt;='Visual SPC'!$E$4),OR('Visual SPC'!$G$4="",'Data Entry'!$D7160='Visual SPC'!$G$4),OR('Visual SPC'!$I$4="",'Data Entry'!$E7160='Visual SPC'!$I$4),OR('Visual SPC'!$K$4="",'Data Entry'!$F7160='Visual SPC'!$K$4)),1,0))</f>
        <v/>
      </c>
      <c r="C7160">
        <f>C7159+B7160</f>
        <v/>
      </c>
      <c r="D7160">
        <f>IF(B7160=1,INDEX('Data Entry'!$H$5:$BE$10004,7160-4,'Visual SPC'!$B$3),"")</f>
        <v/>
      </c>
      <c r="E7160">
        <f>IF(B7160=1,D7160,E7159)</f>
        <v/>
      </c>
      <c r="F7160">
        <f>IF(AND(B7160=1,C7160&gt;1,E7159&lt;&gt;""),ABS(D7160-E7159),"")</f>
        <v/>
      </c>
    </row>
    <row r="7161">
      <c r="A7161" t="n">
        <v>7161</v>
      </c>
      <c r="B7161">
        <f>IF(INDEX('Data Entry'!$H$5:$BE$10004,7161-4,'Visual SPC'!$B$3)="",0,IF(AND(OR('Visual SPC'!$C$4="",'Data Entry'!$C7161&gt;='Visual SPC'!$C$4),OR('Visual SPC'!$E$4="",'Data Entry'!$C7161&lt;='Visual SPC'!$E$4),OR('Visual SPC'!$G$4="",'Data Entry'!$D7161='Visual SPC'!$G$4),OR('Visual SPC'!$I$4="",'Data Entry'!$E7161='Visual SPC'!$I$4),OR('Visual SPC'!$K$4="",'Data Entry'!$F7161='Visual SPC'!$K$4)),1,0))</f>
        <v/>
      </c>
      <c r="C7161">
        <f>C7160+B7161</f>
        <v/>
      </c>
      <c r="D7161">
        <f>IF(B7161=1,INDEX('Data Entry'!$H$5:$BE$10004,7161-4,'Visual SPC'!$B$3),"")</f>
        <v/>
      </c>
      <c r="E7161">
        <f>IF(B7161=1,D7161,E7160)</f>
        <v/>
      </c>
      <c r="F7161">
        <f>IF(AND(B7161=1,C7161&gt;1,E7160&lt;&gt;""),ABS(D7161-E7160),"")</f>
        <v/>
      </c>
    </row>
    <row r="7162">
      <c r="A7162" t="n">
        <v>7162</v>
      </c>
      <c r="B7162">
        <f>IF(INDEX('Data Entry'!$H$5:$BE$10004,7162-4,'Visual SPC'!$B$3)="",0,IF(AND(OR('Visual SPC'!$C$4="",'Data Entry'!$C7162&gt;='Visual SPC'!$C$4),OR('Visual SPC'!$E$4="",'Data Entry'!$C7162&lt;='Visual SPC'!$E$4),OR('Visual SPC'!$G$4="",'Data Entry'!$D7162='Visual SPC'!$G$4),OR('Visual SPC'!$I$4="",'Data Entry'!$E7162='Visual SPC'!$I$4),OR('Visual SPC'!$K$4="",'Data Entry'!$F7162='Visual SPC'!$K$4)),1,0))</f>
        <v/>
      </c>
      <c r="C7162">
        <f>C7161+B7162</f>
        <v/>
      </c>
      <c r="D7162">
        <f>IF(B7162=1,INDEX('Data Entry'!$H$5:$BE$10004,7162-4,'Visual SPC'!$B$3),"")</f>
        <v/>
      </c>
      <c r="E7162">
        <f>IF(B7162=1,D7162,E7161)</f>
        <v/>
      </c>
      <c r="F7162">
        <f>IF(AND(B7162=1,C7162&gt;1,E7161&lt;&gt;""),ABS(D7162-E7161),"")</f>
        <v/>
      </c>
    </row>
    <row r="7163">
      <c r="A7163" t="n">
        <v>7163</v>
      </c>
      <c r="B7163">
        <f>IF(INDEX('Data Entry'!$H$5:$BE$10004,7163-4,'Visual SPC'!$B$3)="",0,IF(AND(OR('Visual SPC'!$C$4="",'Data Entry'!$C7163&gt;='Visual SPC'!$C$4),OR('Visual SPC'!$E$4="",'Data Entry'!$C7163&lt;='Visual SPC'!$E$4),OR('Visual SPC'!$G$4="",'Data Entry'!$D7163='Visual SPC'!$G$4),OR('Visual SPC'!$I$4="",'Data Entry'!$E7163='Visual SPC'!$I$4),OR('Visual SPC'!$K$4="",'Data Entry'!$F7163='Visual SPC'!$K$4)),1,0))</f>
        <v/>
      </c>
      <c r="C7163">
        <f>C7162+B7163</f>
        <v/>
      </c>
      <c r="D7163">
        <f>IF(B7163=1,INDEX('Data Entry'!$H$5:$BE$10004,7163-4,'Visual SPC'!$B$3),"")</f>
        <v/>
      </c>
      <c r="E7163">
        <f>IF(B7163=1,D7163,E7162)</f>
        <v/>
      </c>
      <c r="F7163">
        <f>IF(AND(B7163=1,C7163&gt;1,E7162&lt;&gt;""),ABS(D7163-E7162),"")</f>
        <v/>
      </c>
    </row>
    <row r="7164">
      <c r="A7164" t="n">
        <v>7164</v>
      </c>
      <c r="B7164">
        <f>IF(INDEX('Data Entry'!$H$5:$BE$10004,7164-4,'Visual SPC'!$B$3)="",0,IF(AND(OR('Visual SPC'!$C$4="",'Data Entry'!$C7164&gt;='Visual SPC'!$C$4),OR('Visual SPC'!$E$4="",'Data Entry'!$C7164&lt;='Visual SPC'!$E$4),OR('Visual SPC'!$G$4="",'Data Entry'!$D7164='Visual SPC'!$G$4),OR('Visual SPC'!$I$4="",'Data Entry'!$E7164='Visual SPC'!$I$4),OR('Visual SPC'!$K$4="",'Data Entry'!$F7164='Visual SPC'!$K$4)),1,0))</f>
        <v/>
      </c>
      <c r="C7164">
        <f>C7163+B7164</f>
        <v/>
      </c>
      <c r="D7164">
        <f>IF(B7164=1,INDEX('Data Entry'!$H$5:$BE$10004,7164-4,'Visual SPC'!$B$3),"")</f>
        <v/>
      </c>
      <c r="E7164">
        <f>IF(B7164=1,D7164,E7163)</f>
        <v/>
      </c>
      <c r="F7164">
        <f>IF(AND(B7164=1,C7164&gt;1,E7163&lt;&gt;""),ABS(D7164-E7163),"")</f>
        <v/>
      </c>
    </row>
    <row r="7165">
      <c r="A7165" t="n">
        <v>7165</v>
      </c>
      <c r="B7165">
        <f>IF(INDEX('Data Entry'!$H$5:$BE$10004,7165-4,'Visual SPC'!$B$3)="",0,IF(AND(OR('Visual SPC'!$C$4="",'Data Entry'!$C7165&gt;='Visual SPC'!$C$4),OR('Visual SPC'!$E$4="",'Data Entry'!$C7165&lt;='Visual SPC'!$E$4),OR('Visual SPC'!$G$4="",'Data Entry'!$D7165='Visual SPC'!$G$4),OR('Visual SPC'!$I$4="",'Data Entry'!$E7165='Visual SPC'!$I$4),OR('Visual SPC'!$K$4="",'Data Entry'!$F7165='Visual SPC'!$K$4)),1,0))</f>
        <v/>
      </c>
      <c r="C7165">
        <f>C7164+B7165</f>
        <v/>
      </c>
      <c r="D7165">
        <f>IF(B7165=1,INDEX('Data Entry'!$H$5:$BE$10004,7165-4,'Visual SPC'!$B$3),"")</f>
        <v/>
      </c>
      <c r="E7165">
        <f>IF(B7165=1,D7165,E7164)</f>
        <v/>
      </c>
      <c r="F7165">
        <f>IF(AND(B7165=1,C7165&gt;1,E7164&lt;&gt;""),ABS(D7165-E7164),"")</f>
        <v/>
      </c>
    </row>
    <row r="7166">
      <c r="A7166" t="n">
        <v>7166</v>
      </c>
      <c r="B7166">
        <f>IF(INDEX('Data Entry'!$H$5:$BE$10004,7166-4,'Visual SPC'!$B$3)="",0,IF(AND(OR('Visual SPC'!$C$4="",'Data Entry'!$C7166&gt;='Visual SPC'!$C$4),OR('Visual SPC'!$E$4="",'Data Entry'!$C7166&lt;='Visual SPC'!$E$4),OR('Visual SPC'!$G$4="",'Data Entry'!$D7166='Visual SPC'!$G$4),OR('Visual SPC'!$I$4="",'Data Entry'!$E7166='Visual SPC'!$I$4),OR('Visual SPC'!$K$4="",'Data Entry'!$F7166='Visual SPC'!$K$4)),1,0))</f>
        <v/>
      </c>
      <c r="C7166">
        <f>C7165+B7166</f>
        <v/>
      </c>
      <c r="D7166">
        <f>IF(B7166=1,INDEX('Data Entry'!$H$5:$BE$10004,7166-4,'Visual SPC'!$B$3),"")</f>
        <v/>
      </c>
      <c r="E7166">
        <f>IF(B7166=1,D7166,E7165)</f>
        <v/>
      </c>
      <c r="F7166">
        <f>IF(AND(B7166=1,C7166&gt;1,E7165&lt;&gt;""),ABS(D7166-E7165),"")</f>
        <v/>
      </c>
    </row>
    <row r="7167">
      <c r="A7167" t="n">
        <v>7167</v>
      </c>
      <c r="B7167">
        <f>IF(INDEX('Data Entry'!$H$5:$BE$10004,7167-4,'Visual SPC'!$B$3)="",0,IF(AND(OR('Visual SPC'!$C$4="",'Data Entry'!$C7167&gt;='Visual SPC'!$C$4),OR('Visual SPC'!$E$4="",'Data Entry'!$C7167&lt;='Visual SPC'!$E$4),OR('Visual SPC'!$G$4="",'Data Entry'!$D7167='Visual SPC'!$G$4),OR('Visual SPC'!$I$4="",'Data Entry'!$E7167='Visual SPC'!$I$4),OR('Visual SPC'!$K$4="",'Data Entry'!$F7167='Visual SPC'!$K$4)),1,0))</f>
        <v/>
      </c>
      <c r="C7167">
        <f>C7166+B7167</f>
        <v/>
      </c>
      <c r="D7167">
        <f>IF(B7167=1,INDEX('Data Entry'!$H$5:$BE$10004,7167-4,'Visual SPC'!$B$3),"")</f>
        <v/>
      </c>
      <c r="E7167">
        <f>IF(B7167=1,D7167,E7166)</f>
        <v/>
      </c>
      <c r="F7167">
        <f>IF(AND(B7167=1,C7167&gt;1,E7166&lt;&gt;""),ABS(D7167-E7166),"")</f>
        <v/>
      </c>
    </row>
    <row r="7168">
      <c r="A7168" t="n">
        <v>7168</v>
      </c>
      <c r="B7168">
        <f>IF(INDEX('Data Entry'!$H$5:$BE$10004,7168-4,'Visual SPC'!$B$3)="",0,IF(AND(OR('Visual SPC'!$C$4="",'Data Entry'!$C7168&gt;='Visual SPC'!$C$4),OR('Visual SPC'!$E$4="",'Data Entry'!$C7168&lt;='Visual SPC'!$E$4),OR('Visual SPC'!$G$4="",'Data Entry'!$D7168='Visual SPC'!$G$4),OR('Visual SPC'!$I$4="",'Data Entry'!$E7168='Visual SPC'!$I$4),OR('Visual SPC'!$K$4="",'Data Entry'!$F7168='Visual SPC'!$K$4)),1,0))</f>
        <v/>
      </c>
      <c r="C7168">
        <f>C7167+B7168</f>
        <v/>
      </c>
      <c r="D7168">
        <f>IF(B7168=1,INDEX('Data Entry'!$H$5:$BE$10004,7168-4,'Visual SPC'!$B$3),"")</f>
        <v/>
      </c>
      <c r="E7168">
        <f>IF(B7168=1,D7168,E7167)</f>
        <v/>
      </c>
      <c r="F7168">
        <f>IF(AND(B7168=1,C7168&gt;1,E7167&lt;&gt;""),ABS(D7168-E7167),"")</f>
        <v/>
      </c>
    </row>
    <row r="7169">
      <c r="A7169" t="n">
        <v>7169</v>
      </c>
      <c r="B7169">
        <f>IF(INDEX('Data Entry'!$H$5:$BE$10004,7169-4,'Visual SPC'!$B$3)="",0,IF(AND(OR('Visual SPC'!$C$4="",'Data Entry'!$C7169&gt;='Visual SPC'!$C$4),OR('Visual SPC'!$E$4="",'Data Entry'!$C7169&lt;='Visual SPC'!$E$4),OR('Visual SPC'!$G$4="",'Data Entry'!$D7169='Visual SPC'!$G$4),OR('Visual SPC'!$I$4="",'Data Entry'!$E7169='Visual SPC'!$I$4),OR('Visual SPC'!$K$4="",'Data Entry'!$F7169='Visual SPC'!$K$4)),1,0))</f>
        <v/>
      </c>
      <c r="C7169">
        <f>C7168+B7169</f>
        <v/>
      </c>
      <c r="D7169">
        <f>IF(B7169=1,INDEX('Data Entry'!$H$5:$BE$10004,7169-4,'Visual SPC'!$B$3),"")</f>
        <v/>
      </c>
      <c r="E7169">
        <f>IF(B7169=1,D7169,E7168)</f>
        <v/>
      </c>
      <c r="F7169">
        <f>IF(AND(B7169=1,C7169&gt;1,E7168&lt;&gt;""),ABS(D7169-E7168),"")</f>
        <v/>
      </c>
    </row>
    <row r="7170">
      <c r="A7170" t="n">
        <v>7170</v>
      </c>
      <c r="B7170">
        <f>IF(INDEX('Data Entry'!$H$5:$BE$10004,7170-4,'Visual SPC'!$B$3)="",0,IF(AND(OR('Visual SPC'!$C$4="",'Data Entry'!$C7170&gt;='Visual SPC'!$C$4),OR('Visual SPC'!$E$4="",'Data Entry'!$C7170&lt;='Visual SPC'!$E$4),OR('Visual SPC'!$G$4="",'Data Entry'!$D7170='Visual SPC'!$G$4),OR('Visual SPC'!$I$4="",'Data Entry'!$E7170='Visual SPC'!$I$4),OR('Visual SPC'!$K$4="",'Data Entry'!$F7170='Visual SPC'!$K$4)),1,0))</f>
        <v/>
      </c>
      <c r="C7170">
        <f>C7169+B7170</f>
        <v/>
      </c>
      <c r="D7170">
        <f>IF(B7170=1,INDEX('Data Entry'!$H$5:$BE$10004,7170-4,'Visual SPC'!$B$3),"")</f>
        <v/>
      </c>
      <c r="E7170">
        <f>IF(B7170=1,D7170,E7169)</f>
        <v/>
      </c>
      <c r="F7170">
        <f>IF(AND(B7170=1,C7170&gt;1,E7169&lt;&gt;""),ABS(D7170-E7169),"")</f>
        <v/>
      </c>
    </row>
    <row r="7171">
      <c r="A7171" t="n">
        <v>7171</v>
      </c>
      <c r="B7171">
        <f>IF(INDEX('Data Entry'!$H$5:$BE$10004,7171-4,'Visual SPC'!$B$3)="",0,IF(AND(OR('Visual SPC'!$C$4="",'Data Entry'!$C7171&gt;='Visual SPC'!$C$4),OR('Visual SPC'!$E$4="",'Data Entry'!$C7171&lt;='Visual SPC'!$E$4),OR('Visual SPC'!$G$4="",'Data Entry'!$D7171='Visual SPC'!$G$4),OR('Visual SPC'!$I$4="",'Data Entry'!$E7171='Visual SPC'!$I$4),OR('Visual SPC'!$K$4="",'Data Entry'!$F7171='Visual SPC'!$K$4)),1,0))</f>
        <v/>
      </c>
      <c r="C7171">
        <f>C7170+B7171</f>
        <v/>
      </c>
      <c r="D7171">
        <f>IF(B7171=1,INDEX('Data Entry'!$H$5:$BE$10004,7171-4,'Visual SPC'!$B$3),"")</f>
        <v/>
      </c>
      <c r="E7171">
        <f>IF(B7171=1,D7171,E7170)</f>
        <v/>
      </c>
      <c r="F7171">
        <f>IF(AND(B7171=1,C7171&gt;1,E7170&lt;&gt;""),ABS(D7171-E7170),"")</f>
        <v/>
      </c>
    </row>
    <row r="7172">
      <c r="A7172" t="n">
        <v>7172</v>
      </c>
      <c r="B7172">
        <f>IF(INDEX('Data Entry'!$H$5:$BE$10004,7172-4,'Visual SPC'!$B$3)="",0,IF(AND(OR('Visual SPC'!$C$4="",'Data Entry'!$C7172&gt;='Visual SPC'!$C$4),OR('Visual SPC'!$E$4="",'Data Entry'!$C7172&lt;='Visual SPC'!$E$4),OR('Visual SPC'!$G$4="",'Data Entry'!$D7172='Visual SPC'!$G$4),OR('Visual SPC'!$I$4="",'Data Entry'!$E7172='Visual SPC'!$I$4),OR('Visual SPC'!$K$4="",'Data Entry'!$F7172='Visual SPC'!$K$4)),1,0))</f>
        <v/>
      </c>
      <c r="C7172">
        <f>C7171+B7172</f>
        <v/>
      </c>
      <c r="D7172">
        <f>IF(B7172=1,INDEX('Data Entry'!$H$5:$BE$10004,7172-4,'Visual SPC'!$B$3),"")</f>
        <v/>
      </c>
      <c r="E7172">
        <f>IF(B7172=1,D7172,E7171)</f>
        <v/>
      </c>
      <c r="F7172">
        <f>IF(AND(B7172=1,C7172&gt;1,E7171&lt;&gt;""),ABS(D7172-E7171),"")</f>
        <v/>
      </c>
    </row>
    <row r="7173">
      <c r="A7173" t="n">
        <v>7173</v>
      </c>
      <c r="B7173">
        <f>IF(INDEX('Data Entry'!$H$5:$BE$10004,7173-4,'Visual SPC'!$B$3)="",0,IF(AND(OR('Visual SPC'!$C$4="",'Data Entry'!$C7173&gt;='Visual SPC'!$C$4),OR('Visual SPC'!$E$4="",'Data Entry'!$C7173&lt;='Visual SPC'!$E$4),OR('Visual SPC'!$G$4="",'Data Entry'!$D7173='Visual SPC'!$G$4),OR('Visual SPC'!$I$4="",'Data Entry'!$E7173='Visual SPC'!$I$4),OR('Visual SPC'!$K$4="",'Data Entry'!$F7173='Visual SPC'!$K$4)),1,0))</f>
        <v/>
      </c>
      <c r="C7173">
        <f>C7172+B7173</f>
        <v/>
      </c>
      <c r="D7173">
        <f>IF(B7173=1,INDEX('Data Entry'!$H$5:$BE$10004,7173-4,'Visual SPC'!$B$3),"")</f>
        <v/>
      </c>
      <c r="E7173">
        <f>IF(B7173=1,D7173,E7172)</f>
        <v/>
      </c>
      <c r="F7173">
        <f>IF(AND(B7173=1,C7173&gt;1,E7172&lt;&gt;""),ABS(D7173-E7172),"")</f>
        <v/>
      </c>
    </row>
    <row r="7174">
      <c r="A7174" t="n">
        <v>7174</v>
      </c>
      <c r="B7174">
        <f>IF(INDEX('Data Entry'!$H$5:$BE$10004,7174-4,'Visual SPC'!$B$3)="",0,IF(AND(OR('Visual SPC'!$C$4="",'Data Entry'!$C7174&gt;='Visual SPC'!$C$4),OR('Visual SPC'!$E$4="",'Data Entry'!$C7174&lt;='Visual SPC'!$E$4),OR('Visual SPC'!$G$4="",'Data Entry'!$D7174='Visual SPC'!$G$4),OR('Visual SPC'!$I$4="",'Data Entry'!$E7174='Visual SPC'!$I$4),OR('Visual SPC'!$K$4="",'Data Entry'!$F7174='Visual SPC'!$K$4)),1,0))</f>
        <v/>
      </c>
      <c r="C7174">
        <f>C7173+B7174</f>
        <v/>
      </c>
      <c r="D7174">
        <f>IF(B7174=1,INDEX('Data Entry'!$H$5:$BE$10004,7174-4,'Visual SPC'!$B$3),"")</f>
        <v/>
      </c>
      <c r="E7174">
        <f>IF(B7174=1,D7174,E7173)</f>
        <v/>
      </c>
      <c r="F7174">
        <f>IF(AND(B7174=1,C7174&gt;1,E7173&lt;&gt;""),ABS(D7174-E7173),"")</f>
        <v/>
      </c>
    </row>
    <row r="7175">
      <c r="A7175" t="n">
        <v>7175</v>
      </c>
      <c r="B7175">
        <f>IF(INDEX('Data Entry'!$H$5:$BE$10004,7175-4,'Visual SPC'!$B$3)="",0,IF(AND(OR('Visual SPC'!$C$4="",'Data Entry'!$C7175&gt;='Visual SPC'!$C$4),OR('Visual SPC'!$E$4="",'Data Entry'!$C7175&lt;='Visual SPC'!$E$4),OR('Visual SPC'!$G$4="",'Data Entry'!$D7175='Visual SPC'!$G$4),OR('Visual SPC'!$I$4="",'Data Entry'!$E7175='Visual SPC'!$I$4),OR('Visual SPC'!$K$4="",'Data Entry'!$F7175='Visual SPC'!$K$4)),1,0))</f>
        <v/>
      </c>
      <c r="C7175">
        <f>C7174+B7175</f>
        <v/>
      </c>
      <c r="D7175">
        <f>IF(B7175=1,INDEX('Data Entry'!$H$5:$BE$10004,7175-4,'Visual SPC'!$B$3),"")</f>
        <v/>
      </c>
      <c r="E7175">
        <f>IF(B7175=1,D7175,E7174)</f>
        <v/>
      </c>
      <c r="F7175">
        <f>IF(AND(B7175=1,C7175&gt;1,E7174&lt;&gt;""),ABS(D7175-E7174),"")</f>
        <v/>
      </c>
    </row>
    <row r="7176">
      <c r="A7176" t="n">
        <v>7176</v>
      </c>
      <c r="B7176">
        <f>IF(INDEX('Data Entry'!$H$5:$BE$10004,7176-4,'Visual SPC'!$B$3)="",0,IF(AND(OR('Visual SPC'!$C$4="",'Data Entry'!$C7176&gt;='Visual SPC'!$C$4),OR('Visual SPC'!$E$4="",'Data Entry'!$C7176&lt;='Visual SPC'!$E$4),OR('Visual SPC'!$G$4="",'Data Entry'!$D7176='Visual SPC'!$G$4),OR('Visual SPC'!$I$4="",'Data Entry'!$E7176='Visual SPC'!$I$4),OR('Visual SPC'!$K$4="",'Data Entry'!$F7176='Visual SPC'!$K$4)),1,0))</f>
        <v/>
      </c>
      <c r="C7176">
        <f>C7175+B7176</f>
        <v/>
      </c>
      <c r="D7176">
        <f>IF(B7176=1,INDEX('Data Entry'!$H$5:$BE$10004,7176-4,'Visual SPC'!$B$3),"")</f>
        <v/>
      </c>
      <c r="E7176">
        <f>IF(B7176=1,D7176,E7175)</f>
        <v/>
      </c>
      <c r="F7176">
        <f>IF(AND(B7176=1,C7176&gt;1,E7175&lt;&gt;""),ABS(D7176-E7175),"")</f>
        <v/>
      </c>
    </row>
    <row r="7177">
      <c r="A7177" t="n">
        <v>7177</v>
      </c>
      <c r="B7177">
        <f>IF(INDEX('Data Entry'!$H$5:$BE$10004,7177-4,'Visual SPC'!$B$3)="",0,IF(AND(OR('Visual SPC'!$C$4="",'Data Entry'!$C7177&gt;='Visual SPC'!$C$4),OR('Visual SPC'!$E$4="",'Data Entry'!$C7177&lt;='Visual SPC'!$E$4),OR('Visual SPC'!$G$4="",'Data Entry'!$D7177='Visual SPC'!$G$4),OR('Visual SPC'!$I$4="",'Data Entry'!$E7177='Visual SPC'!$I$4),OR('Visual SPC'!$K$4="",'Data Entry'!$F7177='Visual SPC'!$K$4)),1,0))</f>
        <v/>
      </c>
      <c r="C7177">
        <f>C7176+B7177</f>
        <v/>
      </c>
      <c r="D7177">
        <f>IF(B7177=1,INDEX('Data Entry'!$H$5:$BE$10004,7177-4,'Visual SPC'!$B$3),"")</f>
        <v/>
      </c>
      <c r="E7177">
        <f>IF(B7177=1,D7177,E7176)</f>
        <v/>
      </c>
      <c r="F7177">
        <f>IF(AND(B7177=1,C7177&gt;1,E7176&lt;&gt;""),ABS(D7177-E7176),"")</f>
        <v/>
      </c>
    </row>
    <row r="7178">
      <c r="A7178" t="n">
        <v>7178</v>
      </c>
      <c r="B7178">
        <f>IF(INDEX('Data Entry'!$H$5:$BE$10004,7178-4,'Visual SPC'!$B$3)="",0,IF(AND(OR('Visual SPC'!$C$4="",'Data Entry'!$C7178&gt;='Visual SPC'!$C$4),OR('Visual SPC'!$E$4="",'Data Entry'!$C7178&lt;='Visual SPC'!$E$4),OR('Visual SPC'!$G$4="",'Data Entry'!$D7178='Visual SPC'!$G$4),OR('Visual SPC'!$I$4="",'Data Entry'!$E7178='Visual SPC'!$I$4),OR('Visual SPC'!$K$4="",'Data Entry'!$F7178='Visual SPC'!$K$4)),1,0))</f>
        <v/>
      </c>
      <c r="C7178">
        <f>C7177+B7178</f>
        <v/>
      </c>
      <c r="D7178">
        <f>IF(B7178=1,INDEX('Data Entry'!$H$5:$BE$10004,7178-4,'Visual SPC'!$B$3),"")</f>
        <v/>
      </c>
      <c r="E7178">
        <f>IF(B7178=1,D7178,E7177)</f>
        <v/>
      </c>
      <c r="F7178">
        <f>IF(AND(B7178=1,C7178&gt;1,E7177&lt;&gt;""),ABS(D7178-E7177),"")</f>
        <v/>
      </c>
    </row>
    <row r="7179">
      <c r="A7179" t="n">
        <v>7179</v>
      </c>
      <c r="B7179">
        <f>IF(INDEX('Data Entry'!$H$5:$BE$10004,7179-4,'Visual SPC'!$B$3)="",0,IF(AND(OR('Visual SPC'!$C$4="",'Data Entry'!$C7179&gt;='Visual SPC'!$C$4),OR('Visual SPC'!$E$4="",'Data Entry'!$C7179&lt;='Visual SPC'!$E$4),OR('Visual SPC'!$G$4="",'Data Entry'!$D7179='Visual SPC'!$G$4),OR('Visual SPC'!$I$4="",'Data Entry'!$E7179='Visual SPC'!$I$4),OR('Visual SPC'!$K$4="",'Data Entry'!$F7179='Visual SPC'!$K$4)),1,0))</f>
        <v/>
      </c>
      <c r="C7179">
        <f>C7178+B7179</f>
        <v/>
      </c>
      <c r="D7179">
        <f>IF(B7179=1,INDEX('Data Entry'!$H$5:$BE$10004,7179-4,'Visual SPC'!$B$3),"")</f>
        <v/>
      </c>
      <c r="E7179">
        <f>IF(B7179=1,D7179,E7178)</f>
        <v/>
      </c>
      <c r="F7179">
        <f>IF(AND(B7179=1,C7179&gt;1,E7178&lt;&gt;""),ABS(D7179-E7178),"")</f>
        <v/>
      </c>
    </row>
    <row r="7180">
      <c r="A7180" t="n">
        <v>7180</v>
      </c>
      <c r="B7180">
        <f>IF(INDEX('Data Entry'!$H$5:$BE$10004,7180-4,'Visual SPC'!$B$3)="",0,IF(AND(OR('Visual SPC'!$C$4="",'Data Entry'!$C7180&gt;='Visual SPC'!$C$4),OR('Visual SPC'!$E$4="",'Data Entry'!$C7180&lt;='Visual SPC'!$E$4),OR('Visual SPC'!$G$4="",'Data Entry'!$D7180='Visual SPC'!$G$4),OR('Visual SPC'!$I$4="",'Data Entry'!$E7180='Visual SPC'!$I$4),OR('Visual SPC'!$K$4="",'Data Entry'!$F7180='Visual SPC'!$K$4)),1,0))</f>
        <v/>
      </c>
      <c r="C7180">
        <f>C7179+B7180</f>
        <v/>
      </c>
      <c r="D7180">
        <f>IF(B7180=1,INDEX('Data Entry'!$H$5:$BE$10004,7180-4,'Visual SPC'!$B$3),"")</f>
        <v/>
      </c>
      <c r="E7180">
        <f>IF(B7180=1,D7180,E7179)</f>
        <v/>
      </c>
      <c r="F7180">
        <f>IF(AND(B7180=1,C7180&gt;1,E7179&lt;&gt;""),ABS(D7180-E7179),"")</f>
        <v/>
      </c>
    </row>
    <row r="7181">
      <c r="A7181" t="n">
        <v>7181</v>
      </c>
      <c r="B7181">
        <f>IF(INDEX('Data Entry'!$H$5:$BE$10004,7181-4,'Visual SPC'!$B$3)="",0,IF(AND(OR('Visual SPC'!$C$4="",'Data Entry'!$C7181&gt;='Visual SPC'!$C$4),OR('Visual SPC'!$E$4="",'Data Entry'!$C7181&lt;='Visual SPC'!$E$4),OR('Visual SPC'!$G$4="",'Data Entry'!$D7181='Visual SPC'!$G$4),OR('Visual SPC'!$I$4="",'Data Entry'!$E7181='Visual SPC'!$I$4),OR('Visual SPC'!$K$4="",'Data Entry'!$F7181='Visual SPC'!$K$4)),1,0))</f>
        <v/>
      </c>
      <c r="C7181">
        <f>C7180+B7181</f>
        <v/>
      </c>
      <c r="D7181">
        <f>IF(B7181=1,INDEX('Data Entry'!$H$5:$BE$10004,7181-4,'Visual SPC'!$B$3),"")</f>
        <v/>
      </c>
      <c r="E7181">
        <f>IF(B7181=1,D7181,E7180)</f>
        <v/>
      </c>
      <c r="F7181">
        <f>IF(AND(B7181=1,C7181&gt;1,E7180&lt;&gt;""),ABS(D7181-E7180),"")</f>
        <v/>
      </c>
    </row>
    <row r="7182">
      <c r="A7182" t="n">
        <v>7182</v>
      </c>
      <c r="B7182">
        <f>IF(INDEX('Data Entry'!$H$5:$BE$10004,7182-4,'Visual SPC'!$B$3)="",0,IF(AND(OR('Visual SPC'!$C$4="",'Data Entry'!$C7182&gt;='Visual SPC'!$C$4),OR('Visual SPC'!$E$4="",'Data Entry'!$C7182&lt;='Visual SPC'!$E$4),OR('Visual SPC'!$G$4="",'Data Entry'!$D7182='Visual SPC'!$G$4),OR('Visual SPC'!$I$4="",'Data Entry'!$E7182='Visual SPC'!$I$4),OR('Visual SPC'!$K$4="",'Data Entry'!$F7182='Visual SPC'!$K$4)),1,0))</f>
        <v/>
      </c>
      <c r="C7182">
        <f>C7181+B7182</f>
        <v/>
      </c>
      <c r="D7182">
        <f>IF(B7182=1,INDEX('Data Entry'!$H$5:$BE$10004,7182-4,'Visual SPC'!$B$3),"")</f>
        <v/>
      </c>
      <c r="E7182">
        <f>IF(B7182=1,D7182,E7181)</f>
        <v/>
      </c>
      <c r="F7182">
        <f>IF(AND(B7182=1,C7182&gt;1,E7181&lt;&gt;""),ABS(D7182-E7181),"")</f>
        <v/>
      </c>
    </row>
    <row r="7183">
      <c r="A7183" t="n">
        <v>7183</v>
      </c>
      <c r="B7183">
        <f>IF(INDEX('Data Entry'!$H$5:$BE$10004,7183-4,'Visual SPC'!$B$3)="",0,IF(AND(OR('Visual SPC'!$C$4="",'Data Entry'!$C7183&gt;='Visual SPC'!$C$4),OR('Visual SPC'!$E$4="",'Data Entry'!$C7183&lt;='Visual SPC'!$E$4),OR('Visual SPC'!$G$4="",'Data Entry'!$D7183='Visual SPC'!$G$4),OR('Visual SPC'!$I$4="",'Data Entry'!$E7183='Visual SPC'!$I$4),OR('Visual SPC'!$K$4="",'Data Entry'!$F7183='Visual SPC'!$K$4)),1,0))</f>
        <v/>
      </c>
      <c r="C7183">
        <f>C7182+B7183</f>
        <v/>
      </c>
      <c r="D7183">
        <f>IF(B7183=1,INDEX('Data Entry'!$H$5:$BE$10004,7183-4,'Visual SPC'!$B$3),"")</f>
        <v/>
      </c>
      <c r="E7183">
        <f>IF(B7183=1,D7183,E7182)</f>
        <v/>
      </c>
      <c r="F7183">
        <f>IF(AND(B7183=1,C7183&gt;1,E7182&lt;&gt;""),ABS(D7183-E7182),"")</f>
        <v/>
      </c>
    </row>
    <row r="7184">
      <c r="A7184" t="n">
        <v>7184</v>
      </c>
      <c r="B7184">
        <f>IF(INDEX('Data Entry'!$H$5:$BE$10004,7184-4,'Visual SPC'!$B$3)="",0,IF(AND(OR('Visual SPC'!$C$4="",'Data Entry'!$C7184&gt;='Visual SPC'!$C$4),OR('Visual SPC'!$E$4="",'Data Entry'!$C7184&lt;='Visual SPC'!$E$4),OR('Visual SPC'!$G$4="",'Data Entry'!$D7184='Visual SPC'!$G$4),OR('Visual SPC'!$I$4="",'Data Entry'!$E7184='Visual SPC'!$I$4),OR('Visual SPC'!$K$4="",'Data Entry'!$F7184='Visual SPC'!$K$4)),1,0))</f>
        <v/>
      </c>
      <c r="C7184">
        <f>C7183+B7184</f>
        <v/>
      </c>
      <c r="D7184">
        <f>IF(B7184=1,INDEX('Data Entry'!$H$5:$BE$10004,7184-4,'Visual SPC'!$B$3),"")</f>
        <v/>
      </c>
      <c r="E7184">
        <f>IF(B7184=1,D7184,E7183)</f>
        <v/>
      </c>
      <c r="F7184">
        <f>IF(AND(B7184=1,C7184&gt;1,E7183&lt;&gt;""),ABS(D7184-E7183),"")</f>
        <v/>
      </c>
    </row>
    <row r="7185">
      <c r="A7185" t="n">
        <v>7185</v>
      </c>
      <c r="B7185">
        <f>IF(INDEX('Data Entry'!$H$5:$BE$10004,7185-4,'Visual SPC'!$B$3)="",0,IF(AND(OR('Visual SPC'!$C$4="",'Data Entry'!$C7185&gt;='Visual SPC'!$C$4),OR('Visual SPC'!$E$4="",'Data Entry'!$C7185&lt;='Visual SPC'!$E$4),OR('Visual SPC'!$G$4="",'Data Entry'!$D7185='Visual SPC'!$G$4),OR('Visual SPC'!$I$4="",'Data Entry'!$E7185='Visual SPC'!$I$4),OR('Visual SPC'!$K$4="",'Data Entry'!$F7185='Visual SPC'!$K$4)),1,0))</f>
        <v/>
      </c>
      <c r="C7185">
        <f>C7184+B7185</f>
        <v/>
      </c>
      <c r="D7185">
        <f>IF(B7185=1,INDEX('Data Entry'!$H$5:$BE$10004,7185-4,'Visual SPC'!$B$3),"")</f>
        <v/>
      </c>
      <c r="E7185">
        <f>IF(B7185=1,D7185,E7184)</f>
        <v/>
      </c>
      <c r="F7185">
        <f>IF(AND(B7185=1,C7185&gt;1,E7184&lt;&gt;""),ABS(D7185-E7184),"")</f>
        <v/>
      </c>
    </row>
    <row r="7186">
      <c r="A7186" t="n">
        <v>7186</v>
      </c>
      <c r="B7186">
        <f>IF(INDEX('Data Entry'!$H$5:$BE$10004,7186-4,'Visual SPC'!$B$3)="",0,IF(AND(OR('Visual SPC'!$C$4="",'Data Entry'!$C7186&gt;='Visual SPC'!$C$4),OR('Visual SPC'!$E$4="",'Data Entry'!$C7186&lt;='Visual SPC'!$E$4),OR('Visual SPC'!$G$4="",'Data Entry'!$D7186='Visual SPC'!$G$4),OR('Visual SPC'!$I$4="",'Data Entry'!$E7186='Visual SPC'!$I$4),OR('Visual SPC'!$K$4="",'Data Entry'!$F7186='Visual SPC'!$K$4)),1,0))</f>
        <v/>
      </c>
      <c r="C7186">
        <f>C7185+B7186</f>
        <v/>
      </c>
      <c r="D7186">
        <f>IF(B7186=1,INDEX('Data Entry'!$H$5:$BE$10004,7186-4,'Visual SPC'!$B$3),"")</f>
        <v/>
      </c>
      <c r="E7186">
        <f>IF(B7186=1,D7186,E7185)</f>
        <v/>
      </c>
      <c r="F7186">
        <f>IF(AND(B7186=1,C7186&gt;1,E7185&lt;&gt;""),ABS(D7186-E7185),"")</f>
        <v/>
      </c>
    </row>
    <row r="7187">
      <c r="A7187" t="n">
        <v>7187</v>
      </c>
      <c r="B7187">
        <f>IF(INDEX('Data Entry'!$H$5:$BE$10004,7187-4,'Visual SPC'!$B$3)="",0,IF(AND(OR('Visual SPC'!$C$4="",'Data Entry'!$C7187&gt;='Visual SPC'!$C$4),OR('Visual SPC'!$E$4="",'Data Entry'!$C7187&lt;='Visual SPC'!$E$4),OR('Visual SPC'!$G$4="",'Data Entry'!$D7187='Visual SPC'!$G$4),OR('Visual SPC'!$I$4="",'Data Entry'!$E7187='Visual SPC'!$I$4),OR('Visual SPC'!$K$4="",'Data Entry'!$F7187='Visual SPC'!$K$4)),1,0))</f>
        <v/>
      </c>
      <c r="C7187">
        <f>C7186+B7187</f>
        <v/>
      </c>
      <c r="D7187">
        <f>IF(B7187=1,INDEX('Data Entry'!$H$5:$BE$10004,7187-4,'Visual SPC'!$B$3),"")</f>
        <v/>
      </c>
      <c r="E7187">
        <f>IF(B7187=1,D7187,E7186)</f>
        <v/>
      </c>
      <c r="F7187">
        <f>IF(AND(B7187=1,C7187&gt;1,E7186&lt;&gt;""),ABS(D7187-E7186),"")</f>
        <v/>
      </c>
    </row>
    <row r="7188">
      <c r="A7188" t="n">
        <v>7188</v>
      </c>
      <c r="B7188">
        <f>IF(INDEX('Data Entry'!$H$5:$BE$10004,7188-4,'Visual SPC'!$B$3)="",0,IF(AND(OR('Visual SPC'!$C$4="",'Data Entry'!$C7188&gt;='Visual SPC'!$C$4),OR('Visual SPC'!$E$4="",'Data Entry'!$C7188&lt;='Visual SPC'!$E$4),OR('Visual SPC'!$G$4="",'Data Entry'!$D7188='Visual SPC'!$G$4),OR('Visual SPC'!$I$4="",'Data Entry'!$E7188='Visual SPC'!$I$4),OR('Visual SPC'!$K$4="",'Data Entry'!$F7188='Visual SPC'!$K$4)),1,0))</f>
        <v/>
      </c>
      <c r="C7188">
        <f>C7187+B7188</f>
        <v/>
      </c>
      <c r="D7188">
        <f>IF(B7188=1,INDEX('Data Entry'!$H$5:$BE$10004,7188-4,'Visual SPC'!$B$3),"")</f>
        <v/>
      </c>
      <c r="E7188">
        <f>IF(B7188=1,D7188,E7187)</f>
        <v/>
      </c>
      <c r="F7188">
        <f>IF(AND(B7188=1,C7188&gt;1,E7187&lt;&gt;""),ABS(D7188-E7187),"")</f>
        <v/>
      </c>
    </row>
    <row r="7189">
      <c r="A7189" t="n">
        <v>7189</v>
      </c>
      <c r="B7189">
        <f>IF(INDEX('Data Entry'!$H$5:$BE$10004,7189-4,'Visual SPC'!$B$3)="",0,IF(AND(OR('Visual SPC'!$C$4="",'Data Entry'!$C7189&gt;='Visual SPC'!$C$4),OR('Visual SPC'!$E$4="",'Data Entry'!$C7189&lt;='Visual SPC'!$E$4),OR('Visual SPC'!$G$4="",'Data Entry'!$D7189='Visual SPC'!$G$4),OR('Visual SPC'!$I$4="",'Data Entry'!$E7189='Visual SPC'!$I$4),OR('Visual SPC'!$K$4="",'Data Entry'!$F7189='Visual SPC'!$K$4)),1,0))</f>
        <v/>
      </c>
      <c r="C7189">
        <f>C7188+B7189</f>
        <v/>
      </c>
      <c r="D7189">
        <f>IF(B7189=1,INDEX('Data Entry'!$H$5:$BE$10004,7189-4,'Visual SPC'!$B$3),"")</f>
        <v/>
      </c>
      <c r="E7189">
        <f>IF(B7189=1,D7189,E7188)</f>
        <v/>
      </c>
      <c r="F7189">
        <f>IF(AND(B7189=1,C7189&gt;1,E7188&lt;&gt;""),ABS(D7189-E7188),"")</f>
        <v/>
      </c>
    </row>
    <row r="7190">
      <c r="A7190" t="n">
        <v>7190</v>
      </c>
      <c r="B7190">
        <f>IF(INDEX('Data Entry'!$H$5:$BE$10004,7190-4,'Visual SPC'!$B$3)="",0,IF(AND(OR('Visual SPC'!$C$4="",'Data Entry'!$C7190&gt;='Visual SPC'!$C$4),OR('Visual SPC'!$E$4="",'Data Entry'!$C7190&lt;='Visual SPC'!$E$4),OR('Visual SPC'!$G$4="",'Data Entry'!$D7190='Visual SPC'!$G$4),OR('Visual SPC'!$I$4="",'Data Entry'!$E7190='Visual SPC'!$I$4),OR('Visual SPC'!$K$4="",'Data Entry'!$F7190='Visual SPC'!$K$4)),1,0))</f>
        <v/>
      </c>
      <c r="C7190">
        <f>C7189+B7190</f>
        <v/>
      </c>
      <c r="D7190">
        <f>IF(B7190=1,INDEX('Data Entry'!$H$5:$BE$10004,7190-4,'Visual SPC'!$B$3),"")</f>
        <v/>
      </c>
      <c r="E7190">
        <f>IF(B7190=1,D7190,E7189)</f>
        <v/>
      </c>
      <c r="F7190">
        <f>IF(AND(B7190=1,C7190&gt;1,E7189&lt;&gt;""),ABS(D7190-E7189),"")</f>
        <v/>
      </c>
    </row>
    <row r="7191">
      <c r="A7191" t="n">
        <v>7191</v>
      </c>
      <c r="B7191">
        <f>IF(INDEX('Data Entry'!$H$5:$BE$10004,7191-4,'Visual SPC'!$B$3)="",0,IF(AND(OR('Visual SPC'!$C$4="",'Data Entry'!$C7191&gt;='Visual SPC'!$C$4),OR('Visual SPC'!$E$4="",'Data Entry'!$C7191&lt;='Visual SPC'!$E$4),OR('Visual SPC'!$G$4="",'Data Entry'!$D7191='Visual SPC'!$G$4),OR('Visual SPC'!$I$4="",'Data Entry'!$E7191='Visual SPC'!$I$4),OR('Visual SPC'!$K$4="",'Data Entry'!$F7191='Visual SPC'!$K$4)),1,0))</f>
        <v/>
      </c>
      <c r="C7191">
        <f>C7190+B7191</f>
        <v/>
      </c>
      <c r="D7191">
        <f>IF(B7191=1,INDEX('Data Entry'!$H$5:$BE$10004,7191-4,'Visual SPC'!$B$3),"")</f>
        <v/>
      </c>
      <c r="E7191">
        <f>IF(B7191=1,D7191,E7190)</f>
        <v/>
      </c>
      <c r="F7191">
        <f>IF(AND(B7191=1,C7191&gt;1,E7190&lt;&gt;""),ABS(D7191-E7190),"")</f>
        <v/>
      </c>
    </row>
    <row r="7192">
      <c r="A7192" t="n">
        <v>7192</v>
      </c>
      <c r="B7192">
        <f>IF(INDEX('Data Entry'!$H$5:$BE$10004,7192-4,'Visual SPC'!$B$3)="",0,IF(AND(OR('Visual SPC'!$C$4="",'Data Entry'!$C7192&gt;='Visual SPC'!$C$4),OR('Visual SPC'!$E$4="",'Data Entry'!$C7192&lt;='Visual SPC'!$E$4),OR('Visual SPC'!$G$4="",'Data Entry'!$D7192='Visual SPC'!$G$4),OR('Visual SPC'!$I$4="",'Data Entry'!$E7192='Visual SPC'!$I$4),OR('Visual SPC'!$K$4="",'Data Entry'!$F7192='Visual SPC'!$K$4)),1,0))</f>
        <v/>
      </c>
      <c r="C7192">
        <f>C7191+B7192</f>
        <v/>
      </c>
      <c r="D7192">
        <f>IF(B7192=1,INDEX('Data Entry'!$H$5:$BE$10004,7192-4,'Visual SPC'!$B$3),"")</f>
        <v/>
      </c>
      <c r="E7192">
        <f>IF(B7192=1,D7192,E7191)</f>
        <v/>
      </c>
      <c r="F7192">
        <f>IF(AND(B7192=1,C7192&gt;1,E7191&lt;&gt;""),ABS(D7192-E7191),"")</f>
        <v/>
      </c>
    </row>
    <row r="7193">
      <c r="A7193" t="n">
        <v>7193</v>
      </c>
      <c r="B7193">
        <f>IF(INDEX('Data Entry'!$H$5:$BE$10004,7193-4,'Visual SPC'!$B$3)="",0,IF(AND(OR('Visual SPC'!$C$4="",'Data Entry'!$C7193&gt;='Visual SPC'!$C$4),OR('Visual SPC'!$E$4="",'Data Entry'!$C7193&lt;='Visual SPC'!$E$4),OR('Visual SPC'!$G$4="",'Data Entry'!$D7193='Visual SPC'!$G$4),OR('Visual SPC'!$I$4="",'Data Entry'!$E7193='Visual SPC'!$I$4),OR('Visual SPC'!$K$4="",'Data Entry'!$F7193='Visual SPC'!$K$4)),1,0))</f>
        <v/>
      </c>
      <c r="C7193">
        <f>C7192+B7193</f>
        <v/>
      </c>
      <c r="D7193">
        <f>IF(B7193=1,INDEX('Data Entry'!$H$5:$BE$10004,7193-4,'Visual SPC'!$B$3),"")</f>
        <v/>
      </c>
      <c r="E7193">
        <f>IF(B7193=1,D7193,E7192)</f>
        <v/>
      </c>
      <c r="F7193">
        <f>IF(AND(B7193=1,C7193&gt;1,E7192&lt;&gt;""),ABS(D7193-E7192),"")</f>
        <v/>
      </c>
    </row>
    <row r="7194">
      <c r="A7194" t="n">
        <v>7194</v>
      </c>
      <c r="B7194">
        <f>IF(INDEX('Data Entry'!$H$5:$BE$10004,7194-4,'Visual SPC'!$B$3)="",0,IF(AND(OR('Visual SPC'!$C$4="",'Data Entry'!$C7194&gt;='Visual SPC'!$C$4),OR('Visual SPC'!$E$4="",'Data Entry'!$C7194&lt;='Visual SPC'!$E$4),OR('Visual SPC'!$G$4="",'Data Entry'!$D7194='Visual SPC'!$G$4),OR('Visual SPC'!$I$4="",'Data Entry'!$E7194='Visual SPC'!$I$4),OR('Visual SPC'!$K$4="",'Data Entry'!$F7194='Visual SPC'!$K$4)),1,0))</f>
        <v/>
      </c>
      <c r="C7194">
        <f>C7193+B7194</f>
        <v/>
      </c>
      <c r="D7194">
        <f>IF(B7194=1,INDEX('Data Entry'!$H$5:$BE$10004,7194-4,'Visual SPC'!$B$3),"")</f>
        <v/>
      </c>
      <c r="E7194">
        <f>IF(B7194=1,D7194,E7193)</f>
        <v/>
      </c>
      <c r="F7194">
        <f>IF(AND(B7194=1,C7194&gt;1,E7193&lt;&gt;""),ABS(D7194-E7193),"")</f>
        <v/>
      </c>
    </row>
    <row r="7195">
      <c r="A7195" t="n">
        <v>7195</v>
      </c>
      <c r="B7195">
        <f>IF(INDEX('Data Entry'!$H$5:$BE$10004,7195-4,'Visual SPC'!$B$3)="",0,IF(AND(OR('Visual SPC'!$C$4="",'Data Entry'!$C7195&gt;='Visual SPC'!$C$4),OR('Visual SPC'!$E$4="",'Data Entry'!$C7195&lt;='Visual SPC'!$E$4),OR('Visual SPC'!$G$4="",'Data Entry'!$D7195='Visual SPC'!$G$4),OR('Visual SPC'!$I$4="",'Data Entry'!$E7195='Visual SPC'!$I$4),OR('Visual SPC'!$K$4="",'Data Entry'!$F7195='Visual SPC'!$K$4)),1,0))</f>
        <v/>
      </c>
      <c r="C7195">
        <f>C7194+B7195</f>
        <v/>
      </c>
      <c r="D7195">
        <f>IF(B7195=1,INDEX('Data Entry'!$H$5:$BE$10004,7195-4,'Visual SPC'!$B$3),"")</f>
        <v/>
      </c>
      <c r="E7195">
        <f>IF(B7195=1,D7195,E7194)</f>
        <v/>
      </c>
      <c r="F7195">
        <f>IF(AND(B7195=1,C7195&gt;1,E7194&lt;&gt;""),ABS(D7195-E7194),"")</f>
        <v/>
      </c>
    </row>
    <row r="7196">
      <c r="A7196" t="n">
        <v>7196</v>
      </c>
      <c r="B7196">
        <f>IF(INDEX('Data Entry'!$H$5:$BE$10004,7196-4,'Visual SPC'!$B$3)="",0,IF(AND(OR('Visual SPC'!$C$4="",'Data Entry'!$C7196&gt;='Visual SPC'!$C$4),OR('Visual SPC'!$E$4="",'Data Entry'!$C7196&lt;='Visual SPC'!$E$4),OR('Visual SPC'!$G$4="",'Data Entry'!$D7196='Visual SPC'!$G$4),OR('Visual SPC'!$I$4="",'Data Entry'!$E7196='Visual SPC'!$I$4),OR('Visual SPC'!$K$4="",'Data Entry'!$F7196='Visual SPC'!$K$4)),1,0))</f>
        <v/>
      </c>
      <c r="C7196">
        <f>C7195+B7196</f>
        <v/>
      </c>
      <c r="D7196">
        <f>IF(B7196=1,INDEX('Data Entry'!$H$5:$BE$10004,7196-4,'Visual SPC'!$B$3),"")</f>
        <v/>
      </c>
      <c r="E7196">
        <f>IF(B7196=1,D7196,E7195)</f>
        <v/>
      </c>
      <c r="F7196">
        <f>IF(AND(B7196=1,C7196&gt;1,E7195&lt;&gt;""),ABS(D7196-E7195),"")</f>
        <v/>
      </c>
    </row>
    <row r="7197">
      <c r="A7197" t="n">
        <v>7197</v>
      </c>
      <c r="B7197">
        <f>IF(INDEX('Data Entry'!$H$5:$BE$10004,7197-4,'Visual SPC'!$B$3)="",0,IF(AND(OR('Visual SPC'!$C$4="",'Data Entry'!$C7197&gt;='Visual SPC'!$C$4),OR('Visual SPC'!$E$4="",'Data Entry'!$C7197&lt;='Visual SPC'!$E$4),OR('Visual SPC'!$G$4="",'Data Entry'!$D7197='Visual SPC'!$G$4),OR('Visual SPC'!$I$4="",'Data Entry'!$E7197='Visual SPC'!$I$4),OR('Visual SPC'!$K$4="",'Data Entry'!$F7197='Visual SPC'!$K$4)),1,0))</f>
        <v/>
      </c>
      <c r="C7197">
        <f>C7196+B7197</f>
        <v/>
      </c>
      <c r="D7197">
        <f>IF(B7197=1,INDEX('Data Entry'!$H$5:$BE$10004,7197-4,'Visual SPC'!$B$3),"")</f>
        <v/>
      </c>
      <c r="E7197">
        <f>IF(B7197=1,D7197,E7196)</f>
        <v/>
      </c>
      <c r="F7197">
        <f>IF(AND(B7197=1,C7197&gt;1,E7196&lt;&gt;""),ABS(D7197-E7196),"")</f>
        <v/>
      </c>
    </row>
    <row r="7198">
      <c r="A7198" t="n">
        <v>7198</v>
      </c>
      <c r="B7198">
        <f>IF(INDEX('Data Entry'!$H$5:$BE$10004,7198-4,'Visual SPC'!$B$3)="",0,IF(AND(OR('Visual SPC'!$C$4="",'Data Entry'!$C7198&gt;='Visual SPC'!$C$4),OR('Visual SPC'!$E$4="",'Data Entry'!$C7198&lt;='Visual SPC'!$E$4),OR('Visual SPC'!$G$4="",'Data Entry'!$D7198='Visual SPC'!$G$4),OR('Visual SPC'!$I$4="",'Data Entry'!$E7198='Visual SPC'!$I$4),OR('Visual SPC'!$K$4="",'Data Entry'!$F7198='Visual SPC'!$K$4)),1,0))</f>
        <v/>
      </c>
      <c r="C7198">
        <f>C7197+B7198</f>
        <v/>
      </c>
      <c r="D7198">
        <f>IF(B7198=1,INDEX('Data Entry'!$H$5:$BE$10004,7198-4,'Visual SPC'!$B$3),"")</f>
        <v/>
      </c>
      <c r="E7198">
        <f>IF(B7198=1,D7198,E7197)</f>
        <v/>
      </c>
      <c r="F7198">
        <f>IF(AND(B7198=1,C7198&gt;1,E7197&lt;&gt;""),ABS(D7198-E7197),"")</f>
        <v/>
      </c>
    </row>
    <row r="7199">
      <c r="A7199" t="n">
        <v>7199</v>
      </c>
      <c r="B7199">
        <f>IF(INDEX('Data Entry'!$H$5:$BE$10004,7199-4,'Visual SPC'!$B$3)="",0,IF(AND(OR('Visual SPC'!$C$4="",'Data Entry'!$C7199&gt;='Visual SPC'!$C$4),OR('Visual SPC'!$E$4="",'Data Entry'!$C7199&lt;='Visual SPC'!$E$4),OR('Visual SPC'!$G$4="",'Data Entry'!$D7199='Visual SPC'!$G$4),OR('Visual SPC'!$I$4="",'Data Entry'!$E7199='Visual SPC'!$I$4),OR('Visual SPC'!$K$4="",'Data Entry'!$F7199='Visual SPC'!$K$4)),1,0))</f>
        <v/>
      </c>
      <c r="C7199">
        <f>C7198+B7199</f>
        <v/>
      </c>
      <c r="D7199">
        <f>IF(B7199=1,INDEX('Data Entry'!$H$5:$BE$10004,7199-4,'Visual SPC'!$B$3),"")</f>
        <v/>
      </c>
      <c r="E7199">
        <f>IF(B7199=1,D7199,E7198)</f>
        <v/>
      </c>
      <c r="F7199">
        <f>IF(AND(B7199=1,C7199&gt;1,E7198&lt;&gt;""),ABS(D7199-E7198),"")</f>
        <v/>
      </c>
    </row>
    <row r="7200">
      <c r="A7200" t="n">
        <v>7200</v>
      </c>
      <c r="B7200">
        <f>IF(INDEX('Data Entry'!$H$5:$BE$10004,7200-4,'Visual SPC'!$B$3)="",0,IF(AND(OR('Visual SPC'!$C$4="",'Data Entry'!$C7200&gt;='Visual SPC'!$C$4),OR('Visual SPC'!$E$4="",'Data Entry'!$C7200&lt;='Visual SPC'!$E$4),OR('Visual SPC'!$G$4="",'Data Entry'!$D7200='Visual SPC'!$G$4),OR('Visual SPC'!$I$4="",'Data Entry'!$E7200='Visual SPC'!$I$4),OR('Visual SPC'!$K$4="",'Data Entry'!$F7200='Visual SPC'!$K$4)),1,0))</f>
        <v/>
      </c>
      <c r="C7200">
        <f>C7199+B7200</f>
        <v/>
      </c>
      <c r="D7200">
        <f>IF(B7200=1,INDEX('Data Entry'!$H$5:$BE$10004,7200-4,'Visual SPC'!$B$3),"")</f>
        <v/>
      </c>
      <c r="E7200">
        <f>IF(B7200=1,D7200,E7199)</f>
        <v/>
      </c>
      <c r="F7200">
        <f>IF(AND(B7200=1,C7200&gt;1,E7199&lt;&gt;""),ABS(D7200-E7199),"")</f>
        <v/>
      </c>
    </row>
    <row r="7201">
      <c r="A7201" t="n">
        <v>7201</v>
      </c>
      <c r="B7201">
        <f>IF(INDEX('Data Entry'!$H$5:$BE$10004,7201-4,'Visual SPC'!$B$3)="",0,IF(AND(OR('Visual SPC'!$C$4="",'Data Entry'!$C7201&gt;='Visual SPC'!$C$4),OR('Visual SPC'!$E$4="",'Data Entry'!$C7201&lt;='Visual SPC'!$E$4),OR('Visual SPC'!$G$4="",'Data Entry'!$D7201='Visual SPC'!$G$4),OR('Visual SPC'!$I$4="",'Data Entry'!$E7201='Visual SPC'!$I$4),OR('Visual SPC'!$K$4="",'Data Entry'!$F7201='Visual SPC'!$K$4)),1,0))</f>
        <v/>
      </c>
      <c r="C7201">
        <f>C7200+B7201</f>
        <v/>
      </c>
      <c r="D7201">
        <f>IF(B7201=1,INDEX('Data Entry'!$H$5:$BE$10004,7201-4,'Visual SPC'!$B$3),"")</f>
        <v/>
      </c>
      <c r="E7201">
        <f>IF(B7201=1,D7201,E7200)</f>
        <v/>
      </c>
      <c r="F7201">
        <f>IF(AND(B7201=1,C7201&gt;1,E7200&lt;&gt;""),ABS(D7201-E7200),"")</f>
        <v/>
      </c>
    </row>
    <row r="7202">
      <c r="A7202" t="n">
        <v>7202</v>
      </c>
      <c r="B7202">
        <f>IF(INDEX('Data Entry'!$H$5:$BE$10004,7202-4,'Visual SPC'!$B$3)="",0,IF(AND(OR('Visual SPC'!$C$4="",'Data Entry'!$C7202&gt;='Visual SPC'!$C$4),OR('Visual SPC'!$E$4="",'Data Entry'!$C7202&lt;='Visual SPC'!$E$4),OR('Visual SPC'!$G$4="",'Data Entry'!$D7202='Visual SPC'!$G$4),OR('Visual SPC'!$I$4="",'Data Entry'!$E7202='Visual SPC'!$I$4),OR('Visual SPC'!$K$4="",'Data Entry'!$F7202='Visual SPC'!$K$4)),1,0))</f>
        <v/>
      </c>
      <c r="C7202">
        <f>C7201+B7202</f>
        <v/>
      </c>
      <c r="D7202">
        <f>IF(B7202=1,INDEX('Data Entry'!$H$5:$BE$10004,7202-4,'Visual SPC'!$B$3),"")</f>
        <v/>
      </c>
      <c r="E7202">
        <f>IF(B7202=1,D7202,E7201)</f>
        <v/>
      </c>
      <c r="F7202">
        <f>IF(AND(B7202=1,C7202&gt;1,E7201&lt;&gt;""),ABS(D7202-E7201),"")</f>
        <v/>
      </c>
    </row>
    <row r="7203">
      <c r="A7203" t="n">
        <v>7203</v>
      </c>
      <c r="B7203">
        <f>IF(INDEX('Data Entry'!$H$5:$BE$10004,7203-4,'Visual SPC'!$B$3)="",0,IF(AND(OR('Visual SPC'!$C$4="",'Data Entry'!$C7203&gt;='Visual SPC'!$C$4),OR('Visual SPC'!$E$4="",'Data Entry'!$C7203&lt;='Visual SPC'!$E$4),OR('Visual SPC'!$G$4="",'Data Entry'!$D7203='Visual SPC'!$G$4),OR('Visual SPC'!$I$4="",'Data Entry'!$E7203='Visual SPC'!$I$4),OR('Visual SPC'!$K$4="",'Data Entry'!$F7203='Visual SPC'!$K$4)),1,0))</f>
        <v/>
      </c>
      <c r="C7203">
        <f>C7202+B7203</f>
        <v/>
      </c>
      <c r="D7203">
        <f>IF(B7203=1,INDEX('Data Entry'!$H$5:$BE$10004,7203-4,'Visual SPC'!$B$3),"")</f>
        <v/>
      </c>
      <c r="E7203">
        <f>IF(B7203=1,D7203,E7202)</f>
        <v/>
      </c>
      <c r="F7203">
        <f>IF(AND(B7203=1,C7203&gt;1,E7202&lt;&gt;""),ABS(D7203-E7202),"")</f>
        <v/>
      </c>
    </row>
    <row r="7204">
      <c r="A7204" t="n">
        <v>7204</v>
      </c>
      <c r="B7204">
        <f>IF(INDEX('Data Entry'!$H$5:$BE$10004,7204-4,'Visual SPC'!$B$3)="",0,IF(AND(OR('Visual SPC'!$C$4="",'Data Entry'!$C7204&gt;='Visual SPC'!$C$4),OR('Visual SPC'!$E$4="",'Data Entry'!$C7204&lt;='Visual SPC'!$E$4),OR('Visual SPC'!$G$4="",'Data Entry'!$D7204='Visual SPC'!$G$4),OR('Visual SPC'!$I$4="",'Data Entry'!$E7204='Visual SPC'!$I$4),OR('Visual SPC'!$K$4="",'Data Entry'!$F7204='Visual SPC'!$K$4)),1,0))</f>
        <v/>
      </c>
      <c r="C7204">
        <f>C7203+B7204</f>
        <v/>
      </c>
      <c r="D7204">
        <f>IF(B7204=1,INDEX('Data Entry'!$H$5:$BE$10004,7204-4,'Visual SPC'!$B$3),"")</f>
        <v/>
      </c>
      <c r="E7204">
        <f>IF(B7204=1,D7204,E7203)</f>
        <v/>
      </c>
      <c r="F7204">
        <f>IF(AND(B7204=1,C7204&gt;1,E7203&lt;&gt;""),ABS(D7204-E7203),"")</f>
        <v/>
      </c>
    </row>
    <row r="7205">
      <c r="A7205" t="n">
        <v>7205</v>
      </c>
      <c r="B7205">
        <f>IF(INDEX('Data Entry'!$H$5:$BE$10004,7205-4,'Visual SPC'!$B$3)="",0,IF(AND(OR('Visual SPC'!$C$4="",'Data Entry'!$C7205&gt;='Visual SPC'!$C$4),OR('Visual SPC'!$E$4="",'Data Entry'!$C7205&lt;='Visual SPC'!$E$4),OR('Visual SPC'!$G$4="",'Data Entry'!$D7205='Visual SPC'!$G$4),OR('Visual SPC'!$I$4="",'Data Entry'!$E7205='Visual SPC'!$I$4),OR('Visual SPC'!$K$4="",'Data Entry'!$F7205='Visual SPC'!$K$4)),1,0))</f>
        <v/>
      </c>
      <c r="C7205">
        <f>C7204+B7205</f>
        <v/>
      </c>
      <c r="D7205">
        <f>IF(B7205=1,INDEX('Data Entry'!$H$5:$BE$10004,7205-4,'Visual SPC'!$B$3),"")</f>
        <v/>
      </c>
      <c r="E7205">
        <f>IF(B7205=1,D7205,E7204)</f>
        <v/>
      </c>
      <c r="F7205">
        <f>IF(AND(B7205=1,C7205&gt;1,E7204&lt;&gt;""),ABS(D7205-E7204),"")</f>
        <v/>
      </c>
    </row>
    <row r="7206">
      <c r="A7206" t="n">
        <v>7206</v>
      </c>
      <c r="B7206">
        <f>IF(INDEX('Data Entry'!$H$5:$BE$10004,7206-4,'Visual SPC'!$B$3)="",0,IF(AND(OR('Visual SPC'!$C$4="",'Data Entry'!$C7206&gt;='Visual SPC'!$C$4),OR('Visual SPC'!$E$4="",'Data Entry'!$C7206&lt;='Visual SPC'!$E$4),OR('Visual SPC'!$G$4="",'Data Entry'!$D7206='Visual SPC'!$G$4),OR('Visual SPC'!$I$4="",'Data Entry'!$E7206='Visual SPC'!$I$4),OR('Visual SPC'!$K$4="",'Data Entry'!$F7206='Visual SPC'!$K$4)),1,0))</f>
        <v/>
      </c>
      <c r="C7206">
        <f>C7205+B7206</f>
        <v/>
      </c>
      <c r="D7206">
        <f>IF(B7206=1,INDEX('Data Entry'!$H$5:$BE$10004,7206-4,'Visual SPC'!$B$3),"")</f>
        <v/>
      </c>
      <c r="E7206">
        <f>IF(B7206=1,D7206,E7205)</f>
        <v/>
      </c>
      <c r="F7206">
        <f>IF(AND(B7206=1,C7206&gt;1,E7205&lt;&gt;""),ABS(D7206-E7205),"")</f>
        <v/>
      </c>
    </row>
    <row r="7207">
      <c r="A7207" t="n">
        <v>7207</v>
      </c>
      <c r="B7207">
        <f>IF(INDEX('Data Entry'!$H$5:$BE$10004,7207-4,'Visual SPC'!$B$3)="",0,IF(AND(OR('Visual SPC'!$C$4="",'Data Entry'!$C7207&gt;='Visual SPC'!$C$4),OR('Visual SPC'!$E$4="",'Data Entry'!$C7207&lt;='Visual SPC'!$E$4),OR('Visual SPC'!$G$4="",'Data Entry'!$D7207='Visual SPC'!$G$4),OR('Visual SPC'!$I$4="",'Data Entry'!$E7207='Visual SPC'!$I$4),OR('Visual SPC'!$K$4="",'Data Entry'!$F7207='Visual SPC'!$K$4)),1,0))</f>
        <v/>
      </c>
      <c r="C7207">
        <f>C7206+B7207</f>
        <v/>
      </c>
      <c r="D7207">
        <f>IF(B7207=1,INDEX('Data Entry'!$H$5:$BE$10004,7207-4,'Visual SPC'!$B$3),"")</f>
        <v/>
      </c>
      <c r="E7207">
        <f>IF(B7207=1,D7207,E7206)</f>
        <v/>
      </c>
      <c r="F7207">
        <f>IF(AND(B7207=1,C7207&gt;1,E7206&lt;&gt;""),ABS(D7207-E7206),"")</f>
        <v/>
      </c>
    </row>
    <row r="7208">
      <c r="A7208" t="n">
        <v>7208</v>
      </c>
      <c r="B7208">
        <f>IF(INDEX('Data Entry'!$H$5:$BE$10004,7208-4,'Visual SPC'!$B$3)="",0,IF(AND(OR('Visual SPC'!$C$4="",'Data Entry'!$C7208&gt;='Visual SPC'!$C$4),OR('Visual SPC'!$E$4="",'Data Entry'!$C7208&lt;='Visual SPC'!$E$4),OR('Visual SPC'!$G$4="",'Data Entry'!$D7208='Visual SPC'!$G$4),OR('Visual SPC'!$I$4="",'Data Entry'!$E7208='Visual SPC'!$I$4),OR('Visual SPC'!$K$4="",'Data Entry'!$F7208='Visual SPC'!$K$4)),1,0))</f>
        <v/>
      </c>
      <c r="C7208">
        <f>C7207+B7208</f>
        <v/>
      </c>
      <c r="D7208">
        <f>IF(B7208=1,INDEX('Data Entry'!$H$5:$BE$10004,7208-4,'Visual SPC'!$B$3),"")</f>
        <v/>
      </c>
      <c r="E7208">
        <f>IF(B7208=1,D7208,E7207)</f>
        <v/>
      </c>
      <c r="F7208">
        <f>IF(AND(B7208=1,C7208&gt;1,E7207&lt;&gt;""),ABS(D7208-E7207),"")</f>
        <v/>
      </c>
    </row>
    <row r="7209">
      <c r="A7209" t="n">
        <v>7209</v>
      </c>
      <c r="B7209">
        <f>IF(INDEX('Data Entry'!$H$5:$BE$10004,7209-4,'Visual SPC'!$B$3)="",0,IF(AND(OR('Visual SPC'!$C$4="",'Data Entry'!$C7209&gt;='Visual SPC'!$C$4),OR('Visual SPC'!$E$4="",'Data Entry'!$C7209&lt;='Visual SPC'!$E$4),OR('Visual SPC'!$G$4="",'Data Entry'!$D7209='Visual SPC'!$G$4),OR('Visual SPC'!$I$4="",'Data Entry'!$E7209='Visual SPC'!$I$4),OR('Visual SPC'!$K$4="",'Data Entry'!$F7209='Visual SPC'!$K$4)),1,0))</f>
        <v/>
      </c>
      <c r="C7209">
        <f>C7208+B7209</f>
        <v/>
      </c>
      <c r="D7209">
        <f>IF(B7209=1,INDEX('Data Entry'!$H$5:$BE$10004,7209-4,'Visual SPC'!$B$3),"")</f>
        <v/>
      </c>
      <c r="E7209">
        <f>IF(B7209=1,D7209,E7208)</f>
        <v/>
      </c>
      <c r="F7209">
        <f>IF(AND(B7209=1,C7209&gt;1,E7208&lt;&gt;""),ABS(D7209-E7208),"")</f>
        <v/>
      </c>
    </row>
    <row r="7210">
      <c r="A7210" t="n">
        <v>7210</v>
      </c>
      <c r="B7210">
        <f>IF(INDEX('Data Entry'!$H$5:$BE$10004,7210-4,'Visual SPC'!$B$3)="",0,IF(AND(OR('Visual SPC'!$C$4="",'Data Entry'!$C7210&gt;='Visual SPC'!$C$4),OR('Visual SPC'!$E$4="",'Data Entry'!$C7210&lt;='Visual SPC'!$E$4),OR('Visual SPC'!$G$4="",'Data Entry'!$D7210='Visual SPC'!$G$4),OR('Visual SPC'!$I$4="",'Data Entry'!$E7210='Visual SPC'!$I$4),OR('Visual SPC'!$K$4="",'Data Entry'!$F7210='Visual SPC'!$K$4)),1,0))</f>
        <v/>
      </c>
      <c r="C7210">
        <f>C7209+B7210</f>
        <v/>
      </c>
      <c r="D7210">
        <f>IF(B7210=1,INDEX('Data Entry'!$H$5:$BE$10004,7210-4,'Visual SPC'!$B$3),"")</f>
        <v/>
      </c>
      <c r="E7210">
        <f>IF(B7210=1,D7210,E7209)</f>
        <v/>
      </c>
      <c r="F7210">
        <f>IF(AND(B7210=1,C7210&gt;1,E7209&lt;&gt;""),ABS(D7210-E7209),"")</f>
        <v/>
      </c>
    </row>
    <row r="7211">
      <c r="A7211" t="n">
        <v>7211</v>
      </c>
      <c r="B7211">
        <f>IF(INDEX('Data Entry'!$H$5:$BE$10004,7211-4,'Visual SPC'!$B$3)="",0,IF(AND(OR('Visual SPC'!$C$4="",'Data Entry'!$C7211&gt;='Visual SPC'!$C$4),OR('Visual SPC'!$E$4="",'Data Entry'!$C7211&lt;='Visual SPC'!$E$4),OR('Visual SPC'!$G$4="",'Data Entry'!$D7211='Visual SPC'!$G$4),OR('Visual SPC'!$I$4="",'Data Entry'!$E7211='Visual SPC'!$I$4),OR('Visual SPC'!$K$4="",'Data Entry'!$F7211='Visual SPC'!$K$4)),1,0))</f>
        <v/>
      </c>
      <c r="C7211">
        <f>C7210+B7211</f>
        <v/>
      </c>
      <c r="D7211">
        <f>IF(B7211=1,INDEX('Data Entry'!$H$5:$BE$10004,7211-4,'Visual SPC'!$B$3),"")</f>
        <v/>
      </c>
      <c r="E7211">
        <f>IF(B7211=1,D7211,E7210)</f>
        <v/>
      </c>
      <c r="F7211">
        <f>IF(AND(B7211=1,C7211&gt;1,E7210&lt;&gt;""),ABS(D7211-E7210),"")</f>
        <v/>
      </c>
    </row>
    <row r="7212">
      <c r="A7212" t="n">
        <v>7212</v>
      </c>
      <c r="B7212">
        <f>IF(INDEX('Data Entry'!$H$5:$BE$10004,7212-4,'Visual SPC'!$B$3)="",0,IF(AND(OR('Visual SPC'!$C$4="",'Data Entry'!$C7212&gt;='Visual SPC'!$C$4),OR('Visual SPC'!$E$4="",'Data Entry'!$C7212&lt;='Visual SPC'!$E$4),OR('Visual SPC'!$G$4="",'Data Entry'!$D7212='Visual SPC'!$G$4),OR('Visual SPC'!$I$4="",'Data Entry'!$E7212='Visual SPC'!$I$4),OR('Visual SPC'!$K$4="",'Data Entry'!$F7212='Visual SPC'!$K$4)),1,0))</f>
        <v/>
      </c>
      <c r="C7212">
        <f>C7211+B7212</f>
        <v/>
      </c>
      <c r="D7212">
        <f>IF(B7212=1,INDEX('Data Entry'!$H$5:$BE$10004,7212-4,'Visual SPC'!$B$3),"")</f>
        <v/>
      </c>
      <c r="E7212">
        <f>IF(B7212=1,D7212,E7211)</f>
        <v/>
      </c>
      <c r="F7212">
        <f>IF(AND(B7212=1,C7212&gt;1,E7211&lt;&gt;""),ABS(D7212-E7211),"")</f>
        <v/>
      </c>
    </row>
    <row r="7213">
      <c r="A7213" t="n">
        <v>7213</v>
      </c>
      <c r="B7213">
        <f>IF(INDEX('Data Entry'!$H$5:$BE$10004,7213-4,'Visual SPC'!$B$3)="",0,IF(AND(OR('Visual SPC'!$C$4="",'Data Entry'!$C7213&gt;='Visual SPC'!$C$4),OR('Visual SPC'!$E$4="",'Data Entry'!$C7213&lt;='Visual SPC'!$E$4),OR('Visual SPC'!$G$4="",'Data Entry'!$D7213='Visual SPC'!$G$4),OR('Visual SPC'!$I$4="",'Data Entry'!$E7213='Visual SPC'!$I$4),OR('Visual SPC'!$K$4="",'Data Entry'!$F7213='Visual SPC'!$K$4)),1,0))</f>
        <v/>
      </c>
      <c r="C7213">
        <f>C7212+B7213</f>
        <v/>
      </c>
      <c r="D7213">
        <f>IF(B7213=1,INDEX('Data Entry'!$H$5:$BE$10004,7213-4,'Visual SPC'!$B$3),"")</f>
        <v/>
      </c>
      <c r="E7213">
        <f>IF(B7213=1,D7213,E7212)</f>
        <v/>
      </c>
      <c r="F7213">
        <f>IF(AND(B7213=1,C7213&gt;1,E7212&lt;&gt;""),ABS(D7213-E7212),"")</f>
        <v/>
      </c>
    </row>
    <row r="7214">
      <c r="A7214" t="n">
        <v>7214</v>
      </c>
      <c r="B7214">
        <f>IF(INDEX('Data Entry'!$H$5:$BE$10004,7214-4,'Visual SPC'!$B$3)="",0,IF(AND(OR('Visual SPC'!$C$4="",'Data Entry'!$C7214&gt;='Visual SPC'!$C$4),OR('Visual SPC'!$E$4="",'Data Entry'!$C7214&lt;='Visual SPC'!$E$4),OR('Visual SPC'!$G$4="",'Data Entry'!$D7214='Visual SPC'!$G$4),OR('Visual SPC'!$I$4="",'Data Entry'!$E7214='Visual SPC'!$I$4),OR('Visual SPC'!$K$4="",'Data Entry'!$F7214='Visual SPC'!$K$4)),1,0))</f>
        <v/>
      </c>
      <c r="C7214">
        <f>C7213+B7214</f>
        <v/>
      </c>
      <c r="D7214">
        <f>IF(B7214=1,INDEX('Data Entry'!$H$5:$BE$10004,7214-4,'Visual SPC'!$B$3),"")</f>
        <v/>
      </c>
      <c r="E7214">
        <f>IF(B7214=1,D7214,E7213)</f>
        <v/>
      </c>
      <c r="F7214">
        <f>IF(AND(B7214=1,C7214&gt;1,E7213&lt;&gt;""),ABS(D7214-E7213),"")</f>
        <v/>
      </c>
    </row>
    <row r="7215">
      <c r="A7215" t="n">
        <v>7215</v>
      </c>
      <c r="B7215">
        <f>IF(INDEX('Data Entry'!$H$5:$BE$10004,7215-4,'Visual SPC'!$B$3)="",0,IF(AND(OR('Visual SPC'!$C$4="",'Data Entry'!$C7215&gt;='Visual SPC'!$C$4),OR('Visual SPC'!$E$4="",'Data Entry'!$C7215&lt;='Visual SPC'!$E$4),OR('Visual SPC'!$G$4="",'Data Entry'!$D7215='Visual SPC'!$G$4),OR('Visual SPC'!$I$4="",'Data Entry'!$E7215='Visual SPC'!$I$4),OR('Visual SPC'!$K$4="",'Data Entry'!$F7215='Visual SPC'!$K$4)),1,0))</f>
        <v/>
      </c>
      <c r="C7215">
        <f>C7214+B7215</f>
        <v/>
      </c>
      <c r="D7215">
        <f>IF(B7215=1,INDEX('Data Entry'!$H$5:$BE$10004,7215-4,'Visual SPC'!$B$3),"")</f>
        <v/>
      </c>
      <c r="E7215">
        <f>IF(B7215=1,D7215,E7214)</f>
        <v/>
      </c>
      <c r="F7215">
        <f>IF(AND(B7215=1,C7215&gt;1,E7214&lt;&gt;""),ABS(D7215-E7214),"")</f>
        <v/>
      </c>
    </row>
    <row r="7216">
      <c r="A7216" t="n">
        <v>7216</v>
      </c>
      <c r="B7216">
        <f>IF(INDEX('Data Entry'!$H$5:$BE$10004,7216-4,'Visual SPC'!$B$3)="",0,IF(AND(OR('Visual SPC'!$C$4="",'Data Entry'!$C7216&gt;='Visual SPC'!$C$4),OR('Visual SPC'!$E$4="",'Data Entry'!$C7216&lt;='Visual SPC'!$E$4),OR('Visual SPC'!$G$4="",'Data Entry'!$D7216='Visual SPC'!$G$4),OR('Visual SPC'!$I$4="",'Data Entry'!$E7216='Visual SPC'!$I$4),OR('Visual SPC'!$K$4="",'Data Entry'!$F7216='Visual SPC'!$K$4)),1,0))</f>
        <v/>
      </c>
      <c r="C7216">
        <f>C7215+B7216</f>
        <v/>
      </c>
      <c r="D7216">
        <f>IF(B7216=1,INDEX('Data Entry'!$H$5:$BE$10004,7216-4,'Visual SPC'!$B$3),"")</f>
        <v/>
      </c>
      <c r="E7216">
        <f>IF(B7216=1,D7216,E7215)</f>
        <v/>
      </c>
      <c r="F7216">
        <f>IF(AND(B7216=1,C7216&gt;1,E7215&lt;&gt;""),ABS(D7216-E7215),"")</f>
        <v/>
      </c>
    </row>
    <row r="7217">
      <c r="A7217" t="n">
        <v>7217</v>
      </c>
      <c r="B7217">
        <f>IF(INDEX('Data Entry'!$H$5:$BE$10004,7217-4,'Visual SPC'!$B$3)="",0,IF(AND(OR('Visual SPC'!$C$4="",'Data Entry'!$C7217&gt;='Visual SPC'!$C$4),OR('Visual SPC'!$E$4="",'Data Entry'!$C7217&lt;='Visual SPC'!$E$4),OR('Visual SPC'!$G$4="",'Data Entry'!$D7217='Visual SPC'!$G$4),OR('Visual SPC'!$I$4="",'Data Entry'!$E7217='Visual SPC'!$I$4),OR('Visual SPC'!$K$4="",'Data Entry'!$F7217='Visual SPC'!$K$4)),1,0))</f>
        <v/>
      </c>
      <c r="C7217">
        <f>C7216+B7217</f>
        <v/>
      </c>
      <c r="D7217">
        <f>IF(B7217=1,INDEX('Data Entry'!$H$5:$BE$10004,7217-4,'Visual SPC'!$B$3),"")</f>
        <v/>
      </c>
      <c r="E7217">
        <f>IF(B7217=1,D7217,E7216)</f>
        <v/>
      </c>
      <c r="F7217">
        <f>IF(AND(B7217=1,C7217&gt;1,E7216&lt;&gt;""),ABS(D7217-E7216),"")</f>
        <v/>
      </c>
    </row>
    <row r="7218">
      <c r="A7218" t="n">
        <v>7218</v>
      </c>
      <c r="B7218">
        <f>IF(INDEX('Data Entry'!$H$5:$BE$10004,7218-4,'Visual SPC'!$B$3)="",0,IF(AND(OR('Visual SPC'!$C$4="",'Data Entry'!$C7218&gt;='Visual SPC'!$C$4),OR('Visual SPC'!$E$4="",'Data Entry'!$C7218&lt;='Visual SPC'!$E$4),OR('Visual SPC'!$G$4="",'Data Entry'!$D7218='Visual SPC'!$G$4),OR('Visual SPC'!$I$4="",'Data Entry'!$E7218='Visual SPC'!$I$4),OR('Visual SPC'!$K$4="",'Data Entry'!$F7218='Visual SPC'!$K$4)),1,0))</f>
        <v/>
      </c>
      <c r="C7218">
        <f>C7217+B7218</f>
        <v/>
      </c>
      <c r="D7218">
        <f>IF(B7218=1,INDEX('Data Entry'!$H$5:$BE$10004,7218-4,'Visual SPC'!$B$3),"")</f>
        <v/>
      </c>
      <c r="E7218">
        <f>IF(B7218=1,D7218,E7217)</f>
        <v/>
      </c>
      <c r="F7218">
        <f>IF(AND(B7218=1,C7218&gt;1,E7217&lt;&gt;""),ABS(D7218-E7217),"")</f>
        <v/>
      </c>
    </row>
    <row r="7219">
      <c r="A7219" t="n">
        <v>7219</v>
      </c>
      <c r="B7219">
        <f>IF(INDEX('Data Entry'!$H$5:$BE$10004,7219-4,'Visual SPC'!$B$3)="",0,IF(AND(OR('Visual SPC'!$C$4="",'Data Entry'!$C7219&gt;='Visual SPC'!$C$4),OR('Visual SPC'!$E$4="",'Data Entry'!$C7219&lt;='Visual SPC'!$E$4),OR('Visual SPC'!$G$4="",'Data Entry'!$D7219='Visual SPC'!$G$4),OR('Visual SPC'!$I$4="",'Data Entry'!$E7219='Visual SPC'!$I$4),OR('Visual SPC'!$K$4="",'Data Entry'!$F7219='Visual SPC'!$K$4)),1,0))</f>
        <v/>
      </c>
      <c r="C7219">
        <f>C7218+B7219</f>
        <v/>
      </c>
      <c r="D7219">
        <f>IF(B7219=1,INDEX('Data Entry'!$H$5:$BE$10004,7219-4,'Visual SPC'!$B$3),"")</f>
        <v/>
      </c>
      <c r="E7219">
        <f>IF(B7219=1,D7219,E7218)</f>
        <v/>
      </c>
      <c r="F7219">
        <f>IF(AND(B7219=1,C7219&gt;1,E7218&lt;&gt;""),ABS(D7219-E7218),"")</f>
        <v/>
      </c>
    </row>
    <row r="7220">
      <c r="A7220" t="n">
        <v>7220</v>
      </c>
      <c r="B7220">
        <f>IF(INDEX('Data Entry'!$H$5:$BE$10004,7220-4,'Visual SPC'!$B$3)="",0,IF(AND(OR('Visual SPC'!$C$4="",'Data Entry'!$C7220&gt;='Visual SPC'!$C$4),OR('Visual SPC'!$E$4="",'Data Entry'!$C7220&lt;='Visual SPC'!$E$4),OR('Visual SPC'!$G$4="",'Data Entry'!$D7220='Visual SPC'!$G$4),OR('Visual SPC'!$I$4="",'Data Entry'!$E7220='Visual SPC'!$I$4),OR('Visual SPC'!$K$4="",'Data Entry'!$F7220='Visual SPC'!$K$4)),1,0))</f>
        <v/>
      </c>
      <c r="C7220">
        <f>C7219+B7220</f>
        <v/>
      </c>
      <c r="D7220">
        <f>IF(B7220=1,INDEX('Data Entry'!$H$5:$BE$10004,7220-4,'Visual SPC'!$B$3),"")</f>
        <v/>
      </c>
      <c r="E7220">
        <f>IF(B7220=1,D7220,E7219)</f>
        <v/>
      </c>
      <c r="F7220">
        <f>IF(AND(B7220=1,C7220&gt;1,E7219&lt;&gt;""),ABS(D7220-E7219),"")</f>
        <v/>
      </c>
    </row>
    <row r="7221">
      <c r="A7221" t="n">
        <v>7221</v>
      </c>
      <c r="B7221">
        <f>IF(INDEX('Data Entry'!$H$5:$BE$10004,7221-4,'Visual SPC'!$B$3)="",0,IF(AND(OR('Visual SPC'!$C$4="",'Data Entry'!$C7221&gt;='Visual SPC'!$C$4),OR('Visual SPC'!$E$4="",'Data Entry'!$C7221&lt;='Visual SPC'!$E$4),OR('Visual SPC'!$G$4="",'Data Entry'!$D7221='Visual SPC'!$G$4),OR('Visual SPC'!$I$4="",'Data Entry'!$E7221='Visual SPC'!$I$4),OR('Visual SPC'!$K$4="",'Data Entry'!$F7221='Visual SPC'!$K$4)),1,0))</f>
        <v/>
      </c>
      <c r="C7221">
        <f>C7220+B7221</f>
        <v/>
      </c>
      <c r="D7221">
        <f>IF(B7221=1,INDEX('Data Entry'!$H$5:$BE$10004,7221-4,'Visual SPC'!$B$3),"")</f>
        <v/>
      </c>
      <c r="E7221">
        <f>IF(B7221=1,D7221,E7220)</f>
        <v/>
      </c>
      <c r="F7221">
        <f>IF(AND(B7221=1,C7221&gt;1,E7220&lt;&gt;""),ABS(D7221-E7220),"")</f>
        <v/>
      </c>
    </row>
    <row r="7222">
      <c r="A7222" t="n">
        <v>7222</v>
      </c>
      <c r="B7222">
        <f>IF(INDEX('Data Entry'!$H$5:$BE$10004,7222-4,'Visual SPC'!$B$3)="",0,IF(AND(OR('Visual SPC'!$C$4="",'Data Entry'!$C7222&gt;='Visual SPC'!$C$4),OR('Visual SPC'!$E$4="",'Data Entry'!$C7222&lt;='Visual SPC'!$E$4),OR('Visual SPC'!$G$4="",'Data Entry'!$D7222='Visual SPC'!$G$4),OR('Visual SPC'!$I$4="",'Data Entry'!$E7222='Visual SPC'!$I$4),OR('Visual SPC'!$K$4="",'Data Entry'!$F7222='Visual SPC'!$K$4)),1,0))</f>
        <v/>
      </c>
      <c r="C7222">
        <f>C7221+B7222</f>
        <v/>
      </c>
      <c r="D7222">
        <f>IF(B7222=1,INDEX('Data Entry'!$H$5:$BE$10004,7222-4,'Visual SPC'!$B$3),"")</f>
        <v/>
      </c>
      <c r="E7222">
        <f>IF(B7222=1,D7222,E7221)</f>
        <v/>
      </c>
      <c r="F7222">
        <f>IF(AND(B7222=1,C7222&gt;1,E7221&lt;&gt;""),ABS(D7222-E7221),"")</f>
        <v/>
      </c>
    </row>
    <row r="7223">
      <c r="A7223" t="n">
        <v>7223</v>
      </c>
      <c r="B7223">
        <f>IF(INDEX('Data Entry'!$H$5:$BE$10004,7223-4,'Visual SPC'!$B$3)="",0,IF(AND(OR('Visual SPC'!$C$4="",'Data Entry'!$C7223&gt;='Visual SPC'!$C$4),OR('Visual SPC'!$E$4="",'Data Entry'!$C7223&lt;='Visual SPC'!$E$4),OR('Visual SPC'!$G$4="",'Data Entry'!$D7223='Visual SPC'!$G$4),OR('Visual SPC'!$I$4="",'Data Entry'!$E7223='Visual SPC'!$I$4),OR('Visual SPC'!$K$4="",'Data Entry'!$F7223='Visual SPC'!$K$4)),1,0))</f>
        <v/>
      </c>
      <c r="C7223">
        <f>C7222+B7223</f>
        <v/>
      </c>
      <c r="D7223">
        <f>IF(B7223=1,INDEX('Data Entry'!$H$5:$BE$10004,7223-4,'Visual SPC'!$B$3),"")</f>
        <v/>
      </c>
      <c r="E7223">
        <f>IF(B7223=1,D7223,E7222)</f>
        <v/>
      </c>
      <c r="F7223">
        <f>IF(AND(B7223=1,C7223&gt;1,E7222&lt;&gt;""),ABS(D7223-E7222),"")</f>
        <v/>
      </c>
    </row>
    <row r="7224">
      <c r="A7224" t="n">
        <v>7224</v>
      </c>
      <c r="B7224">
        <f>IF(INDEX('Data Entry'!$H$5:$BE$10004,7224-4,'Visual SPC'!$B$3)="",0,IF(AND(OR('Visual SPC'!$C$4="",'Data Entry'!$C7224&gt;='Visual SPC'!$C$4),OR('Visual SPC'!$E$4="",'Data Entry'!$C7224&lt;='Visual SPC'!$E$4),OR('Visual SPC'!$G$4="",'Data Entry'!$D7224='Visual SPC'!$G$4),OR('Visual SPC'!$I$4="",'Data Entry'!$E7224='Visual SPC'!$I$4),OR('Visual SPC'!$K$4="",'Data Entry'!$F7224='Visual SPC'!$K$4)),1,0))</f>
        <v/>
      </c>
      <c r="C7224">
        <f>C7223+B7224</f>
        <v/>
      </c>
      <c r="D7224">
        <f>IF(B7224=1,INDEX('Data Entry'!$H$5:$BE$10004,7224-4,'Visual SPC'!$B$3),"")</f>
        <v/>
      </c>
      <c r="E7224">
        <f>IF(B7224=1,D7224,E7223)</f>
        <v/>
      </c>
      <c r="F7224">
        <f>IF(AND(B7224=1,C7224&gt;1,E7223&lt;&gt;""),ABS(D7224-E7223),"")</f>
        <v/>
      </c>
    </row>
    <row r="7225">
      <c r="A7225" t="n">
        <v>7225</v>
      </c>
      <c r="B7225">
        <f>IF(INDEX('Data Entry'!$H$5:$BE$10004,7225-4,'Visual SPC'!$B$3)="",0,IF(AND(OR('Visual SPC'!$C$4="",'Data Entry'!$C7225&gt;='Visual SPC'!$C$4),OR('Visual SPC'!$E$4="",'Data Entry'!$C7225&lt;='Visual SPC'!$E$4),OR('Visual SPC'!$G$4="",'Data Entry'!$D7225='Visual SPC'!$G$4),OR('Visual SPC'!$I$4="",'Data Entry'!$E7225='Visual SPC'!$I$4),OR('Visual SPC'!$K$4="",'Data Entry'!$F7225='Visual SPC'!$K$4)),1,0))</f>
        <v/>
      </c>
      <c r="C7225">
        <f>C7224+B7225</f>
        <v/>
      </c>
      <c r="D7225">
        <f>IF(B7225=1,INDEX('Data Entry'!$H$5:$BE$10004,7225-4,'Visual SPC'!$B$3),"")</f>
        <v/>
      </c>
      <c r="E7225">
        <f>IF(B7225=1,D7225,E7224)</f>
        <v/>
      </c>
      <c r="F7225">
        <f>IF(AND(B7225=1,C7225&gt;1,E7224&lt;&gt;""),ABS(D7225-E7224),"")</f>
        <v/>
      </c>
    </row>
    <row r="7226">
      <c r="A7226" t="n">
        <v>7226</v>
      </c>
      <c r="B7226">
        <f>IF(INDEX('Data Entry'!$H$5:$BE$10004,7226-4,'Visual SPC'!$B$3)="",0,IF(AND(OR('Visual SPC'!$C$4="",'Data Entry'!$C7226&gt;='Visual SPC'!$C$4),OR('Visual SPC'!$E$4="",'Data Entry'!$C7226&lt;='Visual SPC'!$E$4),OR('Visual SPC'!$G$4="",'Data Entry'!$D7226='Visual SPC'!$G$4),OR('Visual SPC'!$I$4="",'Data Entry'!$E7226='Visual SPC'!$I$4),OR('Visual SPC'!$K$4="",'Data Entry'!$F7226='Visual SPC'!$K$4)),1,0))</f>
        <v/>
      </c>
      <c r="C7226">
        <f>C7225+B7226</f>
        <v/>
      </c>
      <c r="D7226">
        <f>IF(B7226=1,INDEX('Data Entry'!$H$5:$BE$10004,7226-4,'Visual SPC'!$B$3),"")</f>
        <v/>
      </c>
      <c r="E7226">
        <f>IF(B7226=1,D7226,E7225)</f>
        <v/>
      </c>
      <c r="F7226">
        <f>IF(AND(B7226=1,C7226&gt;1,E7225&lt;&gt;""),ABS(D7226-E7225),"")</f>
        <v/>
      </c>
    </row>
    <row r="7227">
      <c r="A7227" t="n">
        <v>7227</v>
      </c>
      <c r="B7227">
        <f>IF(INDEX('Data Entry'!$H$5:$BE$10004,7227-4,'Visual SPC'!$B$3)="",0,IF(AND(OR('Visual SPC'!$C$4="",'Data Entry'!$C7227&gt;='Visual SPC'!$C$4),OR('Visual SPC'!$E$4="",'Data Entry'!$C7227&lt;='Visual SPC'!$E$4),OR('Visual SPC'!$G$4="",'Data Entry'!$D7227='Visual SPC'!$G$4),OR('Visual SPC'!$I$4="",'Data Entry'!$E7227='Visual SPC'!$I$4),OR('Visual SPC'!$K$4="",'Data Entry'!$F7227='Visual SPC'!$K$4)),1,0))</f>
        <v/>
      </c>
      <c r="C7227">
        <f>C7226+B7227</f>
        <v/>
      </c>
      <c r="D7227">
        <f>IF(B7227=1,INDEX('Data Entry'!$H$5:$BE$10004,7227-4,'Visual SPC'!$B$3),"")</f>
        <v/>
      </c>
      <c r="E7227">
        <f>IF(B7227=1,D7227,E7226)</f>
        <v/>
      </c>
      <c r="F7227">
        <f>IF(AND(B7227=1,C7227&gt;1,E7226&lt;&gt;""),ABS(D7227-E7226),"")</f>
        <v/>
      </c>
    </row>
    <row r="7228">
      <c r="A7228" t="n">
        <v>7228</v>
      </c>
      <c r="B7228">
        <f>IF(INDEX('Data Entry'!$H$5:$BE$10004,7228-4,'Visual SPC'!$B$3)="",0,IF(AND(OR('Visual SPC'!$C$4="",'Data Entry'!$C7228&gt;='Visual SPC'!$C$4),OR('Visual SPC'!$E$4="",'Data Entry'!$C7228&lt;='Visual SPC'!$E$4),OR('Visual SPC'!$G$4="",'Data Entry'!$D7228='Visual SPC'!$G$4),OR('Visual SPC'!$I$4="",'Data Entry'!$E7228='Visual SPC'!$I$4),OR('Visual SPC'!$K$4="",'Data Entry'!$F7228='Visual SPC'!$K$4)),1,0))</f>
        <v/>
      </c>
      <c r="C7228">
        <f>C7227+B7228</f>
        <v/>
      </c>
      <c r="D7228">
        <f>IF(B7228=1,INDEX('Data Entry'!$H$5:$BE$10004,7228-4,'Visual SPC'!$B$3),"")</f>
        <v/>
      </c>
      <c r="E7228">
        <f>IF(B7228=1,D7228,E7227)</f>
        <v/>
      </c>
      <c r="F7228">
        <f>IF(AND(B7228=1,C7228&gt;1,E7227&lt;&gt;""),ABS(D7228-E7227),"")</f>
        <v/>
      </c>
    </row>
    <row r="7229">
      <c r="A7229" t="n">
        <v>7229</v>
      </c>
      <c r="B7229">
        <f>IF(INDEX('Data Entry'!$H$5:$BE$10004,7229-4,'Visual SPC'!$B$3)="",0,IF(AND(OR('Visual SPC'!$C$4="",'Data Entry'!$C7229&gt;='Visual SPC'!$C$4),OR('Visual SPC'!$E$4="",'Data Entry'!$C7229&lt;='Visual SPC'!$E$4),OR('Visual SPC'!$G$4="",'Data Entry'!$D7229='Visual SPC'!$G$4),OR('Visual SPC'!$I$4="",'Data Entry'!$E7229='Visual SPC'!$I$4),OR('Visual SPC'!$K$4="",'Data Entry'!$F7229='Visual SPC'!$K$4)),1,0))</f>
        <v/>
      </c>
      <c r="C7229">
        <f>C7228+B7229</f>
        <v/>
      </c>
      <c r="D7229">
        <f>IF(B7229=1,INDEX('Data Entry'!$H$5:$BE$10004,7229-4,'Visual SPC'!$B$3),"")</f>
        <v/>
      </c>
      <c r="E7229">
        <f>IF(B7229=1,D7229,E7228)</f>
        <v/>
      </c>
      <c r="F7229">
        <f>IF(AND(B7229=1,C7229&gt;1,E7228&lt;&gt;""),ABS(D7229-E7228),"")</f>
        <v/>
      </c>
    </row>
    <row r="7230">
      <c r="A7230" t="n">
        <v>7230</v>
      </c>
      <c r="B7230">
        <f>IF(INDEX('Data Entry'!$H$5:$BE$10004,7230-4,'Visual SPC'!$B$3)="",0,IF(AND(OR('Visual SPC'!$C$4="",'Data Entry'!$C7230&gt;='Visual SPC'!$C$4),OR('Visual SPC'!$E$4="",'Data Entry'!$C7230&lt;='Visual SPC'!$E$4),OR('Visual SPC'!$G$4="",'Data Entry'!$D7230='Visual SPC'!$G$4),OR('Visual SPC'!$I$4="",'Data Entry'!$E7230='Visual SPC'!$I$4),OR('Visual SPC'!$K$4="",'Data Entry'!$F7230='Visual SPC'!$K$4)),1,0))</f>
        <v/>
      </c>
      <c r="C7230">
        <f>C7229+B7230</f>
        <v/>
      </c>
      <c r="D7230">
        <f>IF(B7230=1,INDEX('Data Entry'!$H$5:$BE$10004,7230-4,'Visual SPC'!$B$3),"")</f>
        <v/>
      </c>
      <c r="E7230">
        <f>IF(B7230=1,D7230,E7229)</f>
        <v/>
      </c>
      <c r="F7230">
        <f>IF(AND(B7230=1,C7230&gt;1,E7229&lt;&gt;""),ABS(D7230-E7229),"")</f>
        <v/>
      </c>
    </row>
    <row r="7231">
      <c r="A7231" t="n">
        <v>7231</v>
      </c>
      <c r="B7231">
        <f>IF(INDEX('Data Entry'!$H$5:$BE$10004,7231-4,'Visual SPC'!$B$3)="",0,IF(AND(OR('Visual SPC'!$C$4="",'Data Entry'!$C7231&gt;='Visual SPC'!$C$4),OR('Visual SPC'!$E$4="",'Data Entry'!$C7231&lt;='Visual SPC'!$E$4),OR('Visual SPC'!$G$4="",'Data Entry'!$D7231='Visual SPC'!$G$4),OR('Visual SPC'!$I$4="",'Data Entry'!$E7231='Visual SPC'!$I$4),OR('Visual SPC'!$K$4="",'Data Entry'!$F7231='Visual SPC'!$K$4)),1,0))</f>
        <v/>
      </c>
      <c r="C7231">
        <f>C7230+B7231</f>
        <v/>
      </c>
      <c r="D7231">
        <f>IF(B7231=1,INDEX('Data Entry'!$H$5:$BE$10004,7231-4,'Visual SPC'!$B$3),"")</f>
        <v/>
      </c>
      <c r="E7231">
        <f>IF(B7231=1,D7231,E7230)</f>
        <v/>
      </c>
      <c r="F7231">
        <f>IF(AND(B7231=1,C7231&gt;1,E7230&lt;&gt;""),ABS(D7231-E7230),"")</f>
        <v/>
      </c>
    </row>
    <row r="7232">
      <c r="A7232" t="n">
        <v>7232</v>
      </c>
      <c r="B7232">
        <f>IF(INDEX('Data Entry'!$H$5:$BE$10004,7232-4,'Visual SPC'!$B$3)="",0,IF(AND(OR('Visual SPC'!$C$4="",'Data Entry'!$C7232&gt;='Visual SPC'!$C$4),OR('Visual SPC'!$E$4="",'Data Entry'!$C7232&lt;='Visual SPC'!$E$4),OR('Visual SPC'!$G$4="",'Data Entry'!$D7232='Visual SPC'!$G$4),OR('Visual SPC'!$I$4="",'Data Entry'!$E7232='Visual SPC'!$I$4),OR('Visual SPC'!$K$4="",'Data Entry'!$F7232='Visual SPC'!$K$4)),1,0))</f>
        <v/>
      </c>
      <c r="C7232">
        <f>C7231+B7232</f>
        <v/>
      </c>
      <c r="D7232">
        <f>IF(B7232=1,INDEX('Data Entry'!$H$5:$BE$10004,7232-4,'Visual SPC'!$B$3),"")</f>
        <v/>
      </c>
      <c r="E7232">
        <f>IF(B7232=1,D7232,E7231)</f>
        <v/>
      </c>
      <c r="F7232">
        <f>IF(AND(B7232=1,C7232&gt;1,E7231&lt;&gt;""),ABS(D7232-E7231),"")</f>
        <v/>
      </c>
    </row>
    <row r="7233">
      <c r="A7233" t="n">
        <v>7233</v>
      </c>
      <c r="B7233">
        <f>IF(INDEX('Data Entry'!$H$5:$BE$10004,7233-4,'Visual SPC'!$B$3)="",0,IF(AND(OR('Visual SPC'!$C$4="",'Data Entry'!$C7233&gt;='Visual SPC'!$C$4),OR('Visual SPC'!$E$4="",'Data Entry'!$C7233&lt;='Visual SPC'!$E$4),OR('Visual SPC'!$G$4="",'Data Entry'!$D7233='Visual SPC'!$G$4),OR('Visual SPC'!$I$4="",'Data Entry'!$E7233='Visual SPC'!$I$4),OR('Visual SPC'!$K$4="",'Data Entry'!$F7233='Visual SPC'!$K$4)),1,0))</f>
        <v/>
      </c>
      <c r="C7233">
        <f>C7232+B7233</f>
        <v/>
      </c>
      <c r="D7233">
        <f>IF(B7233=1,INDEX('Data Entry'!$H$5:$BE$10004,7233-4,'Visual SPC'!$B$3),"")</f>
        <v/>
      </c>
      <c r="E7233">
        <f>IF(B7233=1,D7233,E7232)</f>
        <v/>
      </c>
      <c r="F7233">
        <f>IF(AND(B7233=1,C7233&gt;1,E7232&lt;&gt;""),ABS(D7233-E7232),"")</f>
        <v/>
      </c>
    </row>
    <row r="7234">
      <c r="A7234" t="n">
        <v>7234</v>
      </c>
      <c r="B7234">
        <f>IF(INDEX('Data Entry'!$H$5:$BE$10004,7234-4,'Visual SPC'!$B$3)="",0,IF(AND(OR('Visual SPC'!$C$4="",'Data Entry'!$C7234&gt;='Visual SPC'!$C$4),OR('Visual SPC'!$E$4="",'Data Entry'!$C7234&lt;='Visual SPC'!$E$4),OR('Visual SPC'!$G$4="",'Data Entry'!$D7234='Visual SPC'!$G$4),OR('Visual SPC'!$I$4="",'Data Entry'!$E7234='Visual SPC'!$I$4),OR('Visual SPC'!$K$4="",'Data Entry'!$F7234='Visual SPC'!$K$4)),1,0))</f>
        <v/>
      </c>
      <c r="C7234">
        <f>C7233+B7234</f>
        <v/>
      </c>
      <c r="D7234">
        <f>IF(B7234=1,INDEX('Data Entry'!$H$5:$BE$10004,7234-4,'Visual SPC'!$B$3),"")</f>
        <v/>
      </c>
      <c r="E7234">
        <f>IF(B7234=1,D7234,E7233)</f>
        <v/>
      </c>
      <c r="F7234">
        <f>IF(AND(B7234=1,C7234&gt;1,E7233&lt;&gt;""),ABS(D7234-E7233),"")</f>
        <v/>
      </c>
    </row>
    <row r="7235">
      <c r="A7235" t="n">
        <v>7235</v>
      </c>
      <c r="B7235">
        <f>IF(INDEX('Data Entry'!$H$5:$BE$10004,7235-4,'Visual SPC'!$B$3)="",0,IF(AND(OR('Visual SPC'!$C$4="",'Data Entry'!$C7235&gt;='Visual SPC'!$C$4),OR('Visual SPC'!$E$4="",'Data Entry'!$C7235&lt;='Visual SPC'!$E$4),OR('Visual SPC'!$G$4="",'Data Entry'!$D7235='Visual SPC'!$G$4),OR('Visual SPC'!$I$4="",'Data Entry'!$E7235='Visual SPC'!$I$4),OR('Visual SPC'!$K$4="",'Data Entry'!$F7235='Visual SPC'!$K$4)),1,0))</f>
        <v/>
      </c>
      <c r="C7235">
        <f>C7234+B7235</f>
        <v/>
      </c>
      <c r="D7235">
        <f>IF(B7235=1,INDEX('Data Entry'!$H$5:$BE$10004,7235-4,'Visual SPC'!$B$3),"")</f>
        <v/>
      </c>
      <c r="E7235">
        <f>IF(B7235=1,D7235,E7234)</f>
        <v/>
      </c>
      <c r="F7235">
        <f>IF(AND(B7235=1,C7235&gt;1,E7234&lt;&gt;""),ABS(D7235-E7234),"")</f>
        <v/>
      </c>
    </row>
    <row r="7236">
      <c r="A7236" t="n">
        <v>7236</v>
      </c>
      <c r="B7236">
        <f>IF(INDEX('Data Entry'!$H$5:$BE$10004,7236-4,'Visual SPC'!$B$3)="",0,IF(AND(OR('Visual SPC'!$C$4="",'Data Entry'!$C7236&gt;='Visual SPC'!$C$4),OR('Visual SPC'!$E$4="",'Data Entry'!$C7236&lt;='Visual SPC'!$E$4),OR('Visual SPC'!$G$4="",'Data Entry'!$D7236='Visual SPC'!$G$4),OR('Visual SPC'!$I$4="",'Data Entry'!$E7236='Visual SPC'!$I$4),OR('Visual SPC'!$K$4="",'Data Entry'!$F7236='Visual SPC'!$K$4)),1,0))</f>
        <v/>
      </c>
      <c r="C7236">
        <f>C7235+B7236</f>
        <v/>
      </c>
      <c r="D7236">
        <f>IF(B7236=1,INDEX('Data Entry'!$H$5:$BE$10004,7236-4,'Visual SPC'!$B$3),"")</f>
        <v/>
      </c>
      <c r="E7236">
        <f>IF(B7236=1,D7236,E7235)</f>
        <v/>
      </c>
      <c r="F7236">
        <f>IF(AND(B7236=1,C7236&gt;1,E7235&lt;&gt;""),ABS(D7236-E7235),"")</f>
        <v/>
      </c>
    </row>
    <row r="7237">
      <c r="A7237" t="n">
        <v>7237</v>
      </c>
      <c r="B7237">
        <f>IF(INDEX('Data Entry'!$H$5:$BE$10004,7237-4,'Visual SPC'!$B$3)="",0,IF(AND(OR('Visual SPC'!$C$4="",'Data Entry'!$C7237&gt;='Visual SPC'!$C$4),OR('Visual SPC'!$E$4="",'Data Entry'!$C7237&lt;='Visual SPC'!$E$4),OR('Visual SPC'!$G$4="",'Data Entry'!$D7237='Visual SPC'!$G$4),OR('Visual SPC'!$I$4="",'Data Entry'!$E7237='Visual SPC'!$I$4),OR('Visual SPC'!$K$4="",'Data Entry'!$F7237='Visual SPC'!$K$4)),1,0))</f>
        <v/>
      </c>
      <c r="C7237">
        <f>C7236+B7237</f>
        <v/>
      </c>
      <c r="D7237">
        <f>IF(B7237=1,INDEX('Data Entry'!$H$5:$BE$10004,7237-4,'Visual SPC'!$B$3),"")</f>
        <v/>
      </c>
      <c r="E7237">
        <f>IF(B7237=1,D7237,E7236)</f>
        <v/>
      </c>
      <c r="F7237">
        <f>IF(AND(B7237=1,C7237&gt;1,E7236&lt;&gt;""),ABS(D7237-E7236),"")</f>
        <v/>
      </c>
    </row>
    <row r="7238">
      <c r="A7238" t="n">
        <v>7238</v>
      </c>
      <c r="B7238">
        <f>IF(INDEX('Data Entry'!$H$5:$BE$10004,7238-4,'Visual SPC'!$B$3)="",0,IF(AND(OR('Visual SPC'!$C$4="",'Data Entry'!$C7238&gt;='Visual SPC'!$C$4),OR('Visual SPC'!$E$4="",'Data Entry'!$C7238&lt;='Visual SPC'!$E$4),OR('Visual SPC'!$G$4="",'Data Entry'!$D7238='Visual SPC'!$G$4),OR('Visual SPC'!$I$4="",'Data Entry'!$E7238='Visual SPC'!$I$4),OR('Visual SPC'!$K$4="",'Data Entry'!$F7238='Visual SPC'!$K$4)),1,0))</f>
        <v/>
      </c>
      <c r="C7238">
        <f>C7237+B7238</f>
        <v/>
      </c>
      <c r="D7238">
        <f>IF(B7238=1,INDEX('Data Entry'!$H$5:$BE$10004,7238-4,'Visual SPC'!$B$3),"")</f>
        <v/>
      </c>
      <c r="E7238">
        <f>IF(B7238=1,D7238,E7237)</f>
        <v/>
      </c>
      <c r="F7238">
        <f>IF(AND(B7238=1,C7238&gt;1,E7237&lt;&gt;""),ABS(D7238-E7237),"")</f>
        <v/>
      </c>
    </row>
    <row r="7239">
      <c r="A7239" t="n">
        <v>7239</v>
      </c>
      <c r="B7239">
        <f>IF(INDEX('Data Entry'!$H$5:$BE$10004,7239-4,'Visual SPC'!$B$3)="",0,IF(AND(OR('Visual SPC'!$C$4="",'Data Entry'!$C7239&gt;='Visual SPC'!$C$4),OR('Visual SPC'!$E$4="",'Data Entry'!$C7239&lt;='Visual SPC'!$E$4),OR('Visual SPC'!$G$4="",'Data Entry'!$D7239='Visual SPC'!$G$4),OR('Visual SPC'!$I$4="",'Data Entry'!$E7239='Visual SPC'!$I$4),OR('Visual SPC'!$K$4="",'Data Entry'!$F7239='Visual SPC'!$K$4)),1,0))</f>
        <v/>
      </c>
      <c r="C7239">
        <f>C7238+B7239</f>
        <v/>
      </c>
      <c r="D7239">
        <f>IF(B7239=1,INDEX('Data Entry'!$H$5:$BE$10004,7239-4,'Visual SPC'!$B$3),"")</f>
        <v/>
      </c>
      <c r="E7239">
        <f>IF(B7239=1,D7239,E7238)</f>
        <v/>
      </c>
      <c r="F7239">
        <f>IF(AND(B7239=1,C7239&gt;1,E7238&lt;&gt;""),ABS(D7239-E7238),"")</f>
        <v/>
      </c>
    </row>
    <row r="7240">
      <c r="A7240" t="n">
        <v>7240</v>
      </c>
      <c r="B7240">
        <f>IF(INDEX('Data Entry'!$H$5:$BE$10004,7240-4,'Visual SPC'!$B$3)="",0,IF(AND(OR('Visual SPC'!$C$4="",'Data Entry'!$C7240&gt;='Visual SPC'!$C$4),OR('Visual SPC'!$E$4="",'Data Entry'!$C7240&lt;='Visual SPC'!$E$4),OR('Visual SPC'!$G$4="",'Data Entry'!$D7240='Visual SPC'!$G$4),OR('Visual SPC'!$I$4="",'Data Entry'!$E7240='Visual SPC'!$I$4),OR('Visual SPC'!$K$4="",'Data Entry'!$F7240='Visual SPC'!$K$4)),1,0))</f>
        <v/>
      </c>
      <c r="C7240">
        <f>C7239+B7240</f>
        <v/>
      </c>
      <c r="D7240">
        <f>IF(B7240=1,INDEX('Data Entry'!$H$5:$BE$10004,7240-4,'Visual SPC'!$B$3),"")</f>
        <v/>
      </c>
      <c r="E7240">
        <f>IF(B7240=1,D7240,E7239)</f>
        <v/>
      </c>
      <c r="F7240">
        <f>IF(AND(B7240=1,C7240&gt;1,E7239&lt;&gt;""),ABS(D7240-E7239),"")</f>
        <v/>
      </c>
    </row>
    <row r="7241">
      <c r="A7241" t="n">
        <v>7241</v>
      </c>
      <c r="B7241">
        <f>IF(INDEX('Data Entry'!$H$5:$BE$10004,7241-4,'Visual SPC'!$B$3)="",0,IF(AND(OR('Visual SPC'!$C$4="",'Data Entry'!$C7241&gt;='Visual SPC'!$C$4),OR('Visual SPC'!$E$4="",'Data Entry'!$C7241&lt;='Visual SPC'!$E$4),OR('Visual SPC'!$G$4="",'Data Entry'!$D7241='Visual SPC'!$G$4),OR('Visual SPC'!$I$4="",'Data Entry'!$E7241='Visual SPC'!$I$4),OR('Visual SPC'!$K$4="",'Data Entry'!$F7241='Visual SPC'!$K$4)),1,0))</f>
        <v/>
      </c>
      <c r="C7241">
        <f>C7240+B7241</f>
        <v/>
      </c>
      <c r="D7241">
        <f>IF(B7241=1,INDEX('Data Entry'!$H$5:$BE$10004,7241-4,'Visual SPC'!$B$3),"")</f>
        <v/>
      </c>
      <c r="E7241">
        <f>IF(B7241=1,D7241,E7240)</f>
        <v/>
      </c>
      <c r="F7241">
        <f>IF(AND(B7241=1,C7241&gt;1,E7240&lt;&gt;""),ABS(D7241-E7240),"")</f>
        <v/>
      </c>
    </row>
    <row r="7242">
      <c r="A7242" t="n">
        <v>7242</v>
      </c>
      <c r="B7242">
        <f>IF(INDEX('Data Entry'!$H$5:$BE$10004,7242-4,'Visual SPC'!$B$3)="",0,IF(AND(OR('Visual SPC'!$C$4="",'Data Entry'!$C7242&gt;='Visual SPC'!$C$4),OR('Visual SPC'!$E$4="",'Data Entry'!$C7242&lt;='Visual SPC'!$E$4),OR('Visual SPC'!$G$4="",'Data Entry'!$D7242='Visual SPC'!$G$4),OR('Visual SPC'!$I$4="",'Data Entry'!$E7242='Visual SPC'!$I$4),OR('Visual SPC'!$K$4="",'Data Entry'!$F7242='Visual SPC'!$K$4)),1,0))</f>
        <v/>
      </c>
      <c r="C7242">
        <f>C7241+B7242</f>
        <v/>
      </c>
      <c r="D7242">
        <f>IF(B7242=1,INDEX('Data Entry'!$H$5:$BE$10004,7242-4,'Visual SPC'!$B$3),"")</f>
        <v/>
      </c>
      <c r="E7242">
        <f>IF(B7242=1,D7242,E7241)</f>
        <v/>
      </c>
      <c r="F7242">
        <f>IF(AND(B7242=1,C7242&gt;1,E7241&lt;&gt;""),ABS(D7242-E7241),"")</f>
        <v/>
      </c>
    </row>
    <row r="7243">
      <c r="A7243" t="n">
        <v>7243</v>
      </c>
      <c r="B7243">
        <f>IF(INDEX('Data Entry'!$H$5:$BE$10004,7243-4,'Visual SPC'!$B$3)="",0,IF(AND(OR('Visual SPC'!$C$4="",'Data Entry'!$C7243&gt;='Visual SPC'!$C$4),OR('Visual SPC'!$E$4="",'Data Entry'!$C7243&lt;='Visual SPC'!$E$4),OR('Visual SPC'!$G$4="",'Data Entry'!$D7243='Visual SPC'!$G$4),OR('Visual SPC'!$I$4="",'Data Entry'!$E7243='Visual SPC'!$I$4),OR('Visual SPC'!$K$4="",'Data Entry'!$F7243='Visual SPC'!$K$4)),1,0))</f>
        <v/>
      </c>
      <c r="C7243">
        <f>C7242+B7243</f>
        <v/>
      </c>
      <c r="D7243">
        <f>IF(B7243=1,INDEX('Data Entry'!$H$5:$BE$10004,7243-4,'Visual SPC'!$B$3),"")</f>
        <v/>
      </c>
      <c r="E7243">
        <f>IF(B7243=1,D7243,E7242)</f>
        <v/>
      </c>
      <c r="F7243">
        <f>IF(AND(B7243=1,C7243&gt;1,E7242&lt;&gt;""),ABS(D7243-E7242),"")</f>
        <v/>
      </c>
    </row>
    <row r="7244">
      <c r="A7244" t="n">
        <v>7244</v>
      </c>
      <c r="B7244">
        <f>IF(INDEX('Data Entry'!$H$5:$BE$10004,7244-4,'Visual SPC'!$B$3)="",0,IF(AND(OR('Visual SPC'!$C$4="",'Data Entry'!$C7244&gt;='Visual SPC'!$C$4),OR('Visual SPC'!$E$4="",'Data Entry'!$C7244&lt;='Visual SPC'!$E$4),OR('Visual SPC'!$G$4="",'Data Entry'!$D7244='Visual SPC'!$G$4),OR('Visual SPC'!$I$4="",'Data Entry'!$E7244='Visual SPC'!$I$4),OR('Visual SPC'!$K$4="",'Data Entry'!$F7244='Visual SPC'!$K$4)),1,0))</f>
        <v/>
      </c>
      <c r="C7244">
        <f>C7243+B7244</f>
        <v/>
      </c>
      <c r="D7244">
        <f>IF(B7244=1,INDEX('Data Entry'!$H$5:$BE$10004,7244-4,'Visual SPC'!$B$3),"")</f>
        <v/>
      </c>
      <c r="E7244">
        <f>IF(B7244=1,D7244,E7243)</f>
        <v/>
      </c>
      <c r="F7244">
        <f>IF(AND(B7244=1,C7244&gt;1,E7243&lt;&gt;""),ABS(D7244-E7243),"")</f>
        <v/>
      </c>
    </row>
    <row r="7245">
      <c r="A7245" t="n">
        <v>7245</v>
      </c>
      <c r="B7245">
        <f>IF(INDEX('Data Entry'!$H$5:$BE$10004,7245-4,'Visual SPC'!$B$3)="",0,IF(AND(OR('Visual SPC'!$C$4="",'Data Entry'!$C7245&gt;='Visual SPC'!$C$4),OR('Visual SPC'!$E$4="",'Data Entry'!$C7245&lt;='Visual SPC'!$E$4),OR('Visual SPC'!$G$4="",'Data Entry'!$D7245='Visual SPC'!$G$4),OR('Visual SPC'!$I$4="",'Data Entry'!$E7245='Visual SPC'!$I$4),OR('Visual SPC'!$K$4="",'Data Entry'!$F7245='Visual SPC'!$K$4)),1,0))</f>
        <v/>
      </c>
      <c r="C7245">
        <f>C7244+B7245</f>
        <v/>
      </c>
      <c r="D7245">
        <f>IF(B7245=1,INDEX('Data Entry'!$H$5:$BE$10004,7245-4,'Visual SPC'!$B$3),"")</f>
        <v/>
      </c>
      <c r="E7245">
        <f>IF(B7245=1,D7245,E7244)</f>
        <v/>
      </c>
      <c r="F7245">
        <f>IF(AND(B7245=1,C7245&gt;1,E7244&lt;&gt;""),ABS(D7245-E7244),"")</f>
        <v/>
      </c>
    </row>
    <row r="7246">
      <c r="A7246" t="n">
        <v>7246</v>
      </c>
      <c r="B7246">
        <f>IF(INDEX('Data Entry'!$H$5:$BE$10004,7246-4,'Visual SPC'!$B$3)="",0,IF(AND(OR('Visual SPC'!$C$4="",'Data Entry'!$C7246&gt;='Visual SPC'!$C$4),OR('Visual SPC'!$E$4="",'Data Entry'!$C7246&lt;='Visual SPC'!$E$4),OR('Visual SPC'!$G$4="",'Data Entry'!$D7246='Visual SPC'!$G$4),OR('Visual SPC'!$I$4="",'Data Entry'!$E7246='Visual SPC'!$I$4),OR('Visual SPC'!$K$4="",'Data Entry'!$F7246='Visual SPC'!$K$4)),1,0))</f>
        <v/>
      </c>
      <c r="C7246">
        <f>C7245+B7246</f>
        <v/>
      </c>
      <c r="D7246">
        <f>IF(B7246=1,INDEX('Data Entry'!$H$5:$BE$10004,7246-4,'Visual SPC'!$B$3),"")</f>
        <v/>
      </c>
      <c r="E7246">
        <f>IF(B7246=1,D7246,E7245)</f>
        <v/>
      </c>
      <c r="F7246">
        <f>IF(AND(B7246=1,C7246&gt;1,E7245&lt;&gt;""),ABS(D7246-E7245),"")</f>
        <v/>
      </c>
    </row>
    <row r="7247">
      <c r="A7247" t="n">
        <v>7247</v>
      </c>
      <c r="B7247">
        <f>IF(INDEX('Data Entry'!$H$5:$BE$10004,7247-4,'Visual SPC'!$B$3)="",0,IF(AND(OR('Visual SPC'!$C$4="",'Data Entry'!$C7247&gt;='Visual SPC'!$C$4),OR('Visual SPC'!$E$4="",'Data Entry'!$C7247&lt;='Visual SPC'!$E$4),OR('Visual SPC'!$G$4="",'Data Entry'!$D7247='Visual SPC'!$G$4),OR('Visual SPC'!$I$4="",'Data Entry'!$E7247='Visual SPC'!$I$4),OR('Visual SPC'!$K$4="",'Data Entry'!$F7247='Visual SPC'!$K$4)),1,0))</f>
        <v/>
      </c>
      <c r="C7247">
        <f>C7246+B7247</f>
        <v/>
      </c>
      <c r="D7247">
        <f>IF(B7247=1,INDEX('Data Entry'!$H$5:$BE$10004,7247-4,'Visual SPC'!$B$3),"")</f>
        <v/>
      </c>
      <c r="E7247">
        <f>IF(B7247=1,D7247,E7246)</f>
        <v/>
      </c>
      <c r="F7247">
        <f>IF(AND(B7247=1,C7247&gt;1,E7246&lt;&gt;""),ABS(D7247-E7246),"")</f>
        <v/>
      </c>
    </row>
    <row r="7248">
      <c r="A7248" t="n">
        <v>7248</v>
      </c>
      <c r="B7248">
        <f>IF(INDEX('Data Entry'!$H$5:$BE$10004,7248-4,'Visual SPC'!$B$3)="",0,IF(AND(OR('Visual SPC'!$C$4="",'Data Entry'!$C7248&gt;='Visual SPC'!$C$4),OR('Visual SPC'!$E$4="",'Data Entry'!$C7248&lt;='Visual SPC'!$E$4),OR('Visual SPC'!$G$4="",'Data Entry'!$D7248='Visual SPC'!$G$4),OR('Visual SPC'!$I$4="",'Data Entry'!$E7248='Visual SPC'!$I$4),OR('Visual SPC'!$K$4="",'Data Entry'!$F7248='Visual SPC'!$K$4)),1,0))</f>
        <v/>
      </c>
      <c r="C7248">
        <f>C7247+B7248</f>
        <v/>
      </c>
      <c r="D7248">
        <f>IF(B7248=1,INDEX('Data Entry'!$H$5:$BE$10004,7248-4,'Visual SPC'!$B$3),"")</f>
        <v/>
      </c>
      <c r="E7248">
        <f>IF(B7248=1,D7248,E7247)</f>
        <v/>
      </c>
      <c r="F7248">
        <f>IF(AND(B7248=1,C7248&gt;1,E7247&lt;&gt;""),ABS(D7248-E7247),"")</f>
        <v/>
      </c>
    </row>
    <row r="7249">
      <c r="A7249" t="n">
        <v>7249</v>
      </c>
      <c r="B7249">
        <f>IF(INDEX('Data Entry'!$H$5:$BE$10004,7249-4,'Visual SPC'!$B$3)="",0,IF(AND(OR('Visual SPC'!$C$4="",'Data Entry'!$C7249&gt;='Visual SPC'!$C$4),OR('Visual SPC'!$E$4="",'Data Entry'!$C7249&lt;='Visual SPC'!$E$4),OR('Visual SPC'!$G$4="",'Data Entry'!$D7249='Visual SPC'!$G$4),OR('Visual SPC'!$I$4="",'Data Entry'!$E7249='Visual SPC'!$I$4),OR('Visual SPC'!$K$4="",'Data Entry'!$F7249='Visual SPC'!$K$4)),1,0))</f>
        <v/>
      </c>
      <c r="C7249">
        <f>C7248+B7249</f>
        <v/>
      </c>
      <c r="D7249">
        <f>IF(B7249=1,INDEX('Data Entry'!$H$5:$BE$10004,7249-4,'Visual SPC'!$B$3),"")</f>
        <v/>
      </c>
      <c r="E7249">
        <f>IF(B7249=1,D7249,E7248)</f>
        <v/>
      </c>
      <c r="F7249">
        <f>IF(AND(B7249=1,C7249&gt;1,E7248&lt;&gt;""),ABS(D7249-E7248),"")</f>
        <v/>
      </c>
    </row>
    <row r="7250">
      <c r="A7250" t="n">
        <v>7250</v>
      </c>
      <c r="B7250">
        <f>IF(INDEX('Data Entry'!$H$5:$BE$10004,7250-4,'Visual SPC'!$B$3)="",0,IF(AND(OR('Visual SPC'!$C$4="",'Data Entry'!$C7250&gt;='Visual SPC'!$C$4),OR('Visual SPC'!$E$4="",'Data Entry'!$C7250&lt;='Visual SPC'!$E$4),OR('Visual SPC'!$G$4="",'Data Entry'!$D7250='Visual SPC'!$G$4),OR('Visual SPC'!$I$4="",'Data Entry'!$E7250='Visual SPC'!$I$4),OR('Visual SPC'!$K$4="",'Data Entry'!$F7250='Visual SPC'!$K$4)),1,0))</f>
        <v/>
      </c>
      <c r="C7250">
        <f>C7249+B7250</f>
        <v/>
      </c>
      <c r="D7250">
        <f>IF(B7250=1,INDEX('Data Entry'!$H$5:$BE$10004,7250-4,'Visual SPC'!$B$3),"")</f>
        <v/>
      </c>
      <c r="E7250">
        <f>IF(B7250=1,D7250,E7249)</f>
        <v/>
      </c>
      <c r="F7250">
        <f>IF(AND(B7250=1,C7250&gt;1,E7249&lt;&gt;""),ABS(D7250-E7249),"")</f>
        <v/>
      </c>
    </row>
    <row r="7251">
      <c r="A7251" t="n">
        <v>7251</v>
      </c>
      <c r="B7251">
        <f>IF(INDEX('Data Entry'!$H$5:$BE$10004,7251-4,'Visual SPC'!$B$3)="",0,IF(AND(OR('Visual SPC'!$C$4="",'Data Entry'!$C7251&gt;='Visual SPC'!$C$4),OR('Visual SPC'!$E$4="",'Data Entry'!$C7251&lt;='Visual SPC'!$E$4),OR('Visual SPC'!$G$4="",'Data Entry'!$D7251='Visual SPC'!$G$4),OR('Visual SPC'!$I$4="",'Data Entry'!$E7251='Visual SPC'!$I$4),OR('Visual SPC'!$K$4="",'Data Entry'!$F7251='Visual SPC'!$K$4)),1,0))</f>
        <v/>
      </c>
      <c r="C7251">
        <f>C7250+B7251</f>
        <v/>
      </c>
      <c r="D7251">
        <f>IF(B7251=1,INDEX('Data Entry'!$H$5:$BE$10004,7251-4,'Visual SPC'!$B$3),"")</f>
        <v/>
      </c>
      <c r="E7251">
        <f>IF(B7251=1,D7251,E7250)</f>
        <v/>
      </c>
      <c r="F7251">
        <f>IF(AND(B7251=1,C7251&gt;1,E7250&lt;&gt;""),ABS(D7251-E7250),"")</f>
        <v/>
      </c>
    </row>
    <row r="7252">
      <c r="A7252" t="n">
        <v>7252</v>
      </c>
      <c r="B7252">
        <f>IF(INDEX('Data Entry'!$H$5:$BE$10004,7252-4,'Visual SPC'!$B$3)="",0,IF(AND(OR('Visual SPC'!$C$4="",'Data Entry'!$C7252&gt;='Visual SPC'!$C$4),OR('Visual SPC'!$E$4="",'Data Entry'!$C7252&lt;='Visual SPC'!$E$4),OR('Visual SPC'!$G$4="",'Data Entry'!$D7252='Visual SPC'!$G$4),OR('Visual SPC'!$I$4="",'Data Entry'!$E7252='Visual SPC'!$I$4),OR('Visual SPC'!$K$4="",'Data Entry'!$F7252='Visual SPC'!$K$4)),1,0))</f>
        <v/>
      </c>
      <c r="C7252">
        <f>C7251+B7252</f>
        <v/>
      </c>
      <c r="D7252">
        <f>IF(B7252=1,INDEX('Data Entry'!$H$5:$BE$10004,7252-4,'Visual SPC'!$B$3),"")</f>
        <v/>
      </c>
      <c r="E7252">
        <f>IF(B7252=1,D7252,E7251)</f>
        <v/>
      </c>
      <c r="F7252">
        <f>IF(AND(B7252=1,C7252&gt;1,E7251&lt;&gt;""),ABS(D7252-E7251),"")</f>
        <v/>
      </c>
    </row>
    <row r="7253">
      <c r="A7253" t="n">
        <v>7253</v>
      </c>
      <c r="B7253">
        <f>IF(INDEX('Data Entry'!$H$5:$BE$10004,7253-4,'Visual SPC'!$B$3)="",0,IF(AND(OR('Visual SPC'!$C$4="",'Data Entry'!$C7253&gt;='Visual SPC'!$C$4),OR('Visual SPC'!$E$4="",'Data Entry'!$C7253&lt;='Visual SPC'!$E$4),OR('Visual SPC'!$G$4="",'Data Entry'!$D7253='Visual SPC'!$G$4),OR('Visual SPC'!$I$4="",'Data Entry'!$E7253='Visual SPC'!$I$4),OR('Visual SPC'!$K$4="",'Data Entry'!$F7253='Visual SPC'!$K$4)),1,0))</f>
        <v/>
      </c>
      <c r="C7253">
        <f>C7252+B7253</f>
        <v/>
      </c>
      <c r="D7253">
        <f>IF(B7253=1,INDEX('Data Entry'!$H$5:$BE$10004,7253-4,'Visual SPC'!$B$3),"")</f>
        <v/>
      </c>
      <c r="E7253">
        <f>IF(B7253=1,D7253,E7252)</f>
        <v/>
      </c>
      <c r="F7253">
        <f>IF(AND(B7253=1,C7253&gt;1,E7252&lt;&gt;""),ABS(D7253-E7252),"")</f>
        <v/>
      </c>
    </row>
    <row r="7254">
      <c r="A7254" t="n">
        <v>7254</v>
      </c>
      <c r="B7254">
        <f>IF(INDEX('Data Entry'!$H$5:$BE$10004,7254-4,'Visual SPC'!$B$3)="",0,IF(AND(OR('Visual SPC'!$C$4="",'Data Entry'!$C7254&gt;='Visual SPC'!$C$4),OR('Visual SPC'!$E$4="",'Data Entry'!$C7254&lt;='Visual SPC'!$E$4),OR('Visual SPC'!$G$4="",'Data Entry'!$D7254='Visual SPC'!$G$4),OR('Visual SPC'!$I$4="",'Data Entry'!$E7254='Visual SPC'!$I$4),OR('Visual SPC'!$K$4="",'Data Entry'!$F7254='Visual SPC'!$K$4)),1,0))</f>
        <v/>
      </c>
      <c r="C7254">
        <f>C7253+B7254</f>
        <v/>
      </c>
      <c r="D7254">
        <f>IF(B7254=1,INDEX('Data Entry'!$H$5:$BE$10004,7254-4,'Visual SPC'!$B$3),"")</f>
        <v/>
      </c>
      <c r="E7254">
        <f>IF(B7254=1,D7254,E7253)</f>
        <v/>
      </c>
      <c r="F7254">
        <f>IF(AND(B7254=1,C7254&gt;1,E7253&lt;&gt;""),ABS(D7254-E7253),"")</f>
        <v/>
      </c>
    </row>
    <row r="7255">
      <c r="A7255" t="n">
        <v>7255</v>
      </c>
      <c r="B7255">
        <f>IF(INDEX('Data Entry'!$H$5:$BE$10004,7255-4,'Visual SPC'!$B$3)="",0,IF(AND(OR('Visual SPC'!$C$4="",'Data Entry'!$C7255&gt;='Visual SPC'!$C$4),OR('Visual SPC'!$E$4="",'Data Entry'!$C7255&lt;='Visual SPC'!$E$4),OR('Visual SPC'!$G$4="",'Data Entry'!$D7255='Visual SPC'!$G$4),OR('Visual SPC'!$I$4="",'Data Entry'!$E7255='Visual SPC'!$I$4),OR('Visual SPC'!$K$4="",'Data Entry'!$F7255='Visual SPC'!$K$4)),1,0))</f>
        <v/>
      </c>
      <c r="C7255">
        <f>C7254+B7255</f>
        <v/>
      </c>
      <c r="D7255">
        <f>IF(B7255=1,INDEX('Data Entry'!$H$5:$BE$10004,7255-4,'Visual SPC'!$B$3),"")</f>
        <v/>
      </c>
      <c r="E7255">
        <f>IF(B7255=1,D7255,E7254)</f>
        <v/>
      </c>
      <c r="F7255">
        <f>IF(AND(B7255=1,C7255&gt;1,E7254&lt;&gt;""),ABS(D7255-E7254),"")</f>
        <v/>
      </c>
    </row>
    <row r="7256">
      <c r="A7256" t="n">
        <v>7256</v>
      </c>
      <c r="B7256">
        <f>IF(INDEX('Data Entry'!$H$5:$BE$10004,7256-4,'Visual SPC'!$B$3)="",0,IF(AND(OR('Visual SPC'!$C$4="",'Data Entry'!$C7256&gt;='Visual SPC'!$C$4),OR('Visual SPC'!$E$4="",'Data Entry'!$C7256&lt;='Visual SPC'!$E$4),OR('Visual SPC'!$G$4="",'Data Entry'!$D7256='Visual SPC'!$G$4),OR('Visual SPC'!$I$4="",'Data Entry'!$E7256='Visual SPC'!$I$4),OR('Visual SPC'!$K$4="",'Data Entry'!$F7256='Visual SPC'!$K$4)),1,0))</f>
        <v/>
      </c>
      <c r="C7256">
        <f>C7255+B7256</f>
        <v/>
      </c>
      <c r="D7256">
        <f>IF(B7256=1,INDEX('Data Entry'!$H$5:$BE$10004,7256-4,'Visual SPC'!$B$3),"")</f>
        <v/>
      </c>
      <c r="E7256">
        <f>IF(B7256=1,D7256,E7255)</f>
        <v/>
      </c>
      <c r="F7256">
        <f>IF(AND(B7256=1,C7256&gt;1,E7255&lt;&gt;""),ABS(D7256-E7255),"")</f>
        <v/>
      </c>
    </row>
    <row r="7257">
      <c r="A7257" t="n">
        <v>7257</v>
      </c>
      <c r="B7257">
        <f>IF(INDEX('Data Entry'!$H$5:$BE$10004,7257-4,'Visual SPC'!$B$3)="",0,IF(AND(OR('Visual SPC'!$C$4="",'Data Entry'!$C7257&gt;='Visual SPC'!$C$4),OR('Visual SPC'!$E$4="",'Data Entry'!$C7257&lt;='Visual SPC'!$E$4),OR('Visual SPC'!$G$4="",'Data Entry'!$D7257='Visual SPC'!$G$4),OR('Visual SPC'!$I$4="",'Data Entry'!$E7257='Visual SPC'!$I$4),OR('Visual SPC'!$K$4="",'Data Entry'!$F7257='Visual SPC'!$K$4)),1,0))</f>
        <v/>
      </c>
      <c r="C7257">
        <f>C7256+B7257</f>
        <v/>
      </c>
      <c r="D7257">
        <f>IF(B7257=1,INDEX('Data Entry'!$H$5:$BE$10004,7257-4,'Visual SPC'!$B$3),"")</f>
        <v/>
      </c>
      <c r="E7257">
        <f>IF(B7257=1,D7257,E7256)</f>
        <v/>
      </c>
      <c r="F7257">
        <f>IF(AND(B7257=1,C7257&gt;1,E7256&lt;&gt;""),ABS(D7257-E7256),"")</f>
        <v/>
      </c>
    </row>
    <row r="7258">
      <c r="A7258" t="n">
        <v>7258</v>
      </c>
      <c r="B7258">
        <f>IF(INDEX('Data Entry'!$H$5:$BE$10004,7258-4,'Visual SPC'!$B$3)="",0,IF(AND(OR('Visual SPC'!$C$4="",'Data Entry'!$C7258&gt;='Visual SPC'!$C$4),OR('Visual SPC'!$E$4="",'Data Entry'!$C7258&lt;='Visual SPC'!$E$4),OR('Visual SPC'!$G$4="",'Data Entry'!$D7258='Visual SPC'!$G$4),OR('Visual SPC'!$I$4="",'Data Entry'!$E7258='Visual SPC'!$I$4),OR('Visual SPC'!$K$4="",'Data Entry'!$F7258='Visual SPC'!$K$4)),1,0))</f>
        <v/>
      </c>
      <c r="C7258">
        <f>C7257+B7258</f>
        <v/>
      </c>
      <c r="D7258">
        <f>IF(B7258=1,INDEX('Data Entry'!$H$5:$BE$10004,7258-4,'Visual SPC'!$B$3),"")</f>
        <v/>
      </c>
      <c r="E7258">
        <f>IF(B7258=1,D7258,E7257)</f>
        <v/>
      </c>
      <c r="F7258">
        <f>IF(AND(B7258=1,C7258&gt;1,E7257&lt;&gt;""),ABS(D7258-E7257),"")</f>
        <v/>
      </c>
    </row>
    <row r="7259">
      <c r="A7259" t="n">
        <v>7259</v>
      </c>
      <c r="B7259">
        <f>IF(INDEX('Data Entry'!$H$5:$BE$10004,7259-4,'Visual SPC'!$B$3)="",0,IF(AND(OR('Visual SPC'!$C$4="",'Data Entry'!$C7259&gt;='Visual SPC'!$C$4),OR('Visual SPC'!$E$4="",'Data Entry'!$C7259&lt;='Visual SPC'!$E$4),OR('Visual SPC'!$G$4="",'Data Entry'!$D7259='Visual SPC'!$G$4),OR('Visual SPC'!$I$4="",'Data Entry'!$E7259='Visual SPC'!$I$4),OR('Visual SPC'!$K$4="",'Data Entry'!$F7259='Visual SPC'!$K$4)),1,0))</f>
        <v/>
      </c>
      <c r="C7259">
        <f>C7258+B7259</f>
        <v/>
      </c>
      <c r="D7259">
        <f>IF(B7259=1,INDEX('Data Entry'!$H$5:$BE$10004,7259-4,'Visual SPC'!$B$3),"")</f>
        <v/>
      </c>
      <c r="E7259">
        <f>IF(B7259=1,D7259,E7258)</f>
        <v/>
      </c>
      <c r="F7259">
        <f>IF(AND(B7259=1,C7259&gt;1,E7258&lt;&gt;""),ABS(D7259-E7258),"")</f>
        <v/>
      </c>
    </row>
    <row r="7260">
      <c r="A7260" t="n">
        <v>7260</v>
      </c>
      <c r="B7260">
        <f>IF(INDEX('Data Entry'!$H$5:$BE$10004,7260-4,'Visual SPC'!$B$3)="",0,IF(AND(OR('Visual SPC'!$C$4="",'Data Entry'!$C7260&gt;='Visual SPC'!$C$4),OR('Visual SPC'!$E$4="",'Data Entry'!$C7260&lt;='Visual SPC'!$E$4),OR('Visual SPC'!$G$4="",'Data Entry'!$D7260='Visual SPC'!$G$4),OR('Visual SPC'!$I$4="",'Data Entry'!$E7260='Visual SPC'!$I$4),OR('Visual SPC'!$K$4="",'Data Entry'!$F7260='Visual SPC'!$K$4)),1,0))</f>
        <v/>
      </c>
      <c r="C7260">
        <f>C7259+B7260</f>
        <v/>
      </c>
      <c r="D7260">
        <f>IF(B7260=1,INDEX('Data Entry'!$H$5:$BE$10004,7260-4,'Visual SPC'!$B$3),"")</f>
        <v/>
      </c>
      <c r="E7260">
        <f>IF(B7260=1,D7260,E7259)</f>
        <v/>
      </c>
      <c r="F7260">
        <f>IF(AND(B7260=1,C7260&gt;1,E7259&lt;&gt;""),ABS(D7260-E7259),"")</f>
        <v/>
      </c>
    </row>
    <row r="7261">
      <c r="A7261" t="n">
        <v>7261</v>
      </c>
      <c r="B7261">
        <f>IF(INDEX('Data Entry'!$H$5:$BE$10004,7261-4,'Visual SPC'!$B$3)="",0,IF(AND(OR('Visual SPC'!$C$4="",'Data Entry'!$C7261&gt;='Visual SPC'!$C$4),OR('Visual SPC'!$E$4="",'Data Entry'!$C7261&lt;='Visual SPC'!$E$4),OR('Visual SPC'!$G$4="",'Data Entry'!$D7261='Visual SPC'!$G$4),OR('Visual SPC'!$I$4="",'Data Entry'!$E7261='Visual SPC'!$I$4),OR('Visual SPC'!$K$4="",'Data Entry'!$F7261='Visual SPC'!$K$4)),1,0))</f>
        <v/>
      </c>
      <c r="C7261">
        <f>C7260+B7261</f>
        <v/>
      </c>
      <c r="D7261">
        <f>IF(B7261=1,INDEX('Data Entry'!$H$5:$BE$10004,7261-4,'Visual SPC'!$B$3),"")</f>
        <v/>
      </c>
      <c r="E7261">
        <f>IF(B7261=1,D7261,E7260)</f>
        <v/>
      </c>
      <c r="F7261">
        <f>IF(AND(B7261=1,C7261&gt;1,E7260&lt;&gt;""),ABS(D7261-E7260),"")</f>
        <v/>
      </c>
    </row>
    <row r="7262">
      <c r="A7262" t="n">
        <v>7262</v>
      </c>
      <c r="B7262">
        <f>IF(INDEX('Data Entry'!$H$5:$BE$10004,7262-4,'Visual SPC'!$B$3)="",0,IF(AND(OR('Visual SPC'!$C$4="",'Data Entry'!$C7262&gt;='Visual SPC'!$C$4),OR('Visual SPC'!$E$4="",'Data Entry'!$C7262&lt;='Visual SPC'!$E$4),OR('Visual SPC'!$G$4="",'Data Entry'!$D7262='Visual SPC'!$G$4),OR('Visual SPC'!$I$4="",'Data Entry'!$E7262='Visual SPC'!$I$4),OR('Visual SPC'!$K$4="",'Data Entry'!$F7262='Visual SPC'!$K$4)),1,0))</f>
        <v/>
      </c>
      <c r="C7262">
        <f>C7261+B7262</f>
        <v/>
      </c>
      <c r="D7262">
        <f>IF(B7262=1,INDEX('Data Entry'!$H$5:$BE$10004,7262-4,'Visual SPC'!$B$3),"")</f>
        <v/>
      </c>
      <c r="E7262">
        <f>IF(B7262=1,D7262,E7261)</f>
        <v/>
      </c>
      <c r="F7262">
        <f>IF(AND(B7262=1,C7262&gt;1,E7261&lt;&gt;""),ABS(D7262-E7261),"")</f>
        <v/>
      </c>
    </row>
    <row r="7263">
      <c r="A7263" t="n">
        <v>7263</v>
      </c>
      <c r="B7263">
        <f>IF(INDEX('Data Entry'!$H$5:$BE$10004,7263-4,'Visual SPC'!$B$3)="",0,IF(AND(OR('Visual SPC'!$C$4="",'Data Entry'!$C7263&gt;='Visual SPC'!$C$4),OR('Visual SPC'!$E$4="",'Data Entry'!$C7263&lt;='Visual SPC'!$E$4),OR('Visual SPC'!$G$4="",'Data Entry'!$D7263='Visual SPC'!$G$4),OR('Visual SPC'!$I$4="",'Data Entry'!$E7263='Visual SPC'!$I$4),OR('Visual SPC'!$K$4="",'Data Entry'!$F7263='Visual SPC'!$K$4)),1,0))</f>
        <v/>
      </c>
      <c r="C7263">
        <f>C7262+B7263</f>
        <v/>
      </c>
      <c r="D7263">
        <f>IF(B7263=1,INDEX('Data Entry'!$H$5:$BE$10004,7263-4,'Visual SPC'!$B$3),"")</f>
        <v/>
      </c>
      <c r="E7263">
        <f>IF(B7263=1,D7263,E7262)</f>
        <v/>
      </c>
      <c r="F7263">
        <f>IF(AND(B7263=1,C7263&gt;1,E7262&lt;&gt;""),ABS(D7263-E7262),"")</f>
        <v/>
      </c>
    </row>
    <row r="7264">
      <c r="A7264" t="n">
        <v>7264</v>
      </c>
      <c r="B7264">
        <f>IF(INDEX('Data Entry'!$H$5:$BE$10004,7264-4,'Visual SPC'!$B$3)="",0,IF(AND(OR('Visual SPC'!$C$4="",'Data Entry'!$C7264&gt;='Visual SPC'!$C$4),OR('Visual SPC'!$E$4="",'Data Entry'!$C7264&lt;='Visual SPC'!$E$4),OR('Visual SPC'!$G$4="",'Data Entry'!$D7264='Visual SPC'!$G$4),OR('Visual SPC'!$I$4="",'Data Entry'!$E7264='Visual SPC'!$I$4),OR('Visual SPC'!$K$4="",'Data Entry'!$F7264='Visual SPC'!$K$4)),1,0))</f>
        <v/>
      </c>
      <c r="C7264">
        <f>C7263+B7264</f>
        <v/>
      </c>
      <c r="D7264">
        <f>IF(B7264=1,INDEX('Data Entry'!$H$5:$BE$10004,7264-4,'Visual SPC'!$B$3),"")</f>
        <v/>
      </c>
      <c r="E7264">
        <f>IF(B7264=1,D7264,E7263)</f>
        <v/>
      </c>
      <c r="F7264">
        <f>IF(AND(B7264=1,C7264&gt;1,E7263&lt;&gt;""),ABS(D7264-E7263),"")</f>
        <v/>
      </c>
    </row>
    <row r="7265">
      <c r="A7265" t="n">
        <v>7265</v>
      </c>
      <c r="B7265">
        <f>IF(INDEX('Data Entry'!$H$5:$BE$10004,7265-4,'Visual SPC'!$B$3)="",0,IF(AND(OR('Visual SPC'!$C$4="",'Data Entry'!$C7265&gt;='Visual SPC'!$C$4),OR('Visual SPC'!$E$4="",'Data Entry'!$C7265&lt;='Visual SPC'!$E$4),OR('Visual SPC'!$G$4="",'Data Entry'!$D7265='Visual SPC'!$G$4),OR('Visual SPC'!$I$4="",'Data Entry'!$E7265='Visual SPC'!$I$4),OR('Visual SPC'!$K$4="",'Data Entry'!$F7265='Visual SPC'!$K$4)),1,0))</f>
        <v/>
      </c>
      <c r="C7265">
        <f>C7264+B7265</f>
        <v/>
      </c>
      <c r="D7265">
        <f>IF(B7265=1,INDEX('Data Entry'!$H$5:$BE$10004,7265-4,'Visual SPC'!$B$3),"")</f>
        <v/>
      </c>
      <c r="E7265">
        <f>IF(B7265=1,D7265,E7264)</f>
        <v/>
      </c>
      <c r="F7265">
        <f>IF(AND(B7265=1,C7265&gt;1,E7264&lt;&gt;""),ABS(D7265-E7264),"")</f>
        <v/>
      </c>
    </row>
    <row r="7266">
      <c r="A7266" t="n">
        <v>7266</v>
      </c>
      <c r="B7266">
        <f>IF(INDEX('Data Entry'!$H$5:$BE$10004,7266-4,'Visual SPC'!$B$3)="",0,IF(AND(OR('Visual SPC'!$C$4="",'Data Entry'!$C7266&gt;='Visual SPC'!$C$4),OR('Visual SPC'!$E$4="",'Data Entry'!$C7266&lt;='Visual SPC'!$E$4),OR('Visual SPC'!$G$4="",'Data Entry'!$D7266='Visual SPC'!$G$4),OR('Visual SPC'!$I$4="",'Data Entry'!$E7266='Visual SPC'!$I$4),OR('Visual SPC'!$K$4="",'Data Entry'!$F7266='Visual SPC'!$K$4)),1,0))</f>
        <v/>
      </c>
      <c r="C7266">
        <f>C7265+B7266</f>
        <v/>
      </c>
      <c r="D7266">
        <f>IF(B7266=1,INDEX('Data Entry'!$H$5:$BE$10004,7266-4,'Visual SPC'!$B$3),"")</f>
        <v/>
      </c>
      <c r="E7266">
        <f>IF(B7266=1,D7266,E7265)</f>
        <v/>
      </c>
      <c r="F7266">
        <f>IF(AND(B7266=1,C7266&gt;1,E7265&lt;&gt;""),ABS(D7266-E7265),"")</f>
        <v/>
      </c>
    </row>
    <row r="7267">
      <c r="A7267" t="n">
        <v>7267</v>
      </c>
      <c r="B7267">
        <f>IF(INDEX('Data Entry'!$H$5:$BE$10004,7267-4,'Visual SPC'!$B$3)="",0,IF(AND(OR('Visual SPC'!$C$4="",'Data Entry'!$C7267&gt;='Visual SPC'!$C$4),OR('Visual SPC'!$E$4="",'Data Entry'!$C7267&lt;='Visual SPC'!$E$4),OR('Visual SPC'!$G$4="",'Data Entry'!$D7267='Visual SPC'!$G$4),OR('Visual SPC'!$I$4="",'Data Entry'!$E7267='Visual SPC'!$I$4),OR('Visual SPC'!$K$4="",'Data Entry'!$F7267='Visual SPC'!$K$4)),1,0))</f>
        <v/>
      </c>
      <c r="C7267">
        <f>C7266+B7267</f>
        <v/>
      </c>
      <c r="D7267">
        <f>IF(B7267=1,INDEX('Data Entry'!$H$5:$BE$10004,7267-4,'Visual SPC'!$B$3),"")</f>
        <v/>
      </c>
      <c r="E7267">
        <f>IF(B7267=1,D7267,E7266)</f>
        <v/>
      </c>
      <c r="F7267">
        <f>IF(AND(B7267=1,C7267&gt;1,E7266&lt;&gt;""),ABS(D7267-E7266),"")</f>
        <v/>
      </c>
    </row>
    <row r="7268">
      <c r="A7268" t="n">
        <v>7268</v>
      </c>
      <c r="B7268">
        <f>IF(INDEX('Data Entry'!$H$5:$BE$10004,7268-4,'Visual SPC'!$B$3)="",0,IF(AND(OR('Visual SPC'!$C$4="",'Data Entry'!$C7268&gt;='Visual SPC'!$C$4),OR('Visual SPC'!$E$4="",'Data Entry'!$C7268&lt;='Visual SPC'!$E$4),OR('Visual SPC'!$G$4="",'Data Entry'!$D7268='Visual SPC'!$G$4),OR('Visual SPC'!$I$4="",'Data Entry'!$E7268='Visual SPC'!$I$4),OR('Visual SPC'!$K$4="",'Data Entry'!$F7268='Visual SPC'!$K$4)),1,0))</f>
        <v/>
      </c>
      <c r="C7268">
        <f>C7267+B7268</f>
        <v/>
      </c>
      <c r="D7268">
        <f>IF(B7268=1,INDEX('Data Entry'!$H$5:$BE$10004,7268-4,'Visual SPC'!$B$3),"")</f>
        <v/>
      </c>
      <c r="E7268">
        <f>IF(B7268=1,D7268,E7267)</f>
        <v/>
      </c>
      <c r="F7268">
        <f>IF(AND(B7268=1,C7268&gt;1,E7267&lt;&gt;""),ABS(D7268-E7267),"")</f>
        <v/>
      </c>
    </row>
    <row r="7269">
      <c r="A7269" t="n">
        <v>7269</v>
      </c>
      <c r="B7269">
        <f>IF(INDEX('Data Entry'!$H$5:$BE$10004,7269-4,'Visual SPC'!$B$3)="",0,IF(AND(OR('Visual SPC'!$C$4="",'Data Entry'!$C7269&gt;='Visual SPC'!$C$4),OR('Visual SPC'!$E$4="",'Data Entry'!$C7269&lt;='Visual SPC'!$E$4),OR('Visual SPC'!$G$4="",'Data Entry'!$D7269='Visual SPC'!$G$4),OR('Visual SPC'!$I$4="",'Data Entry'!$E7269='Visual SPC'!$I$4),OR('Visual SPC'!$K$4="",'Data Entry'!$F7269='Visual SPC'!$K$4)),1,0))</f>
        <v/>
      </c>
      <c r="C7269">
        <f>C7268+B7269</f>
        <v/>
      </c>
      <c r="D7269">
        <f>IF(B7269=1,INDEX('Data Entry'!$H$5:$BE$10004,7269-4,'Visual SPC'!$B$3),"")</f>
        <v/>
      </c>
      <c r="E7269">
        <f>IF(B7269=1,D7269,E7268)</f>
        <v/>
      </c>
      <c r="F7269">
        <f>IF(AND(B7269=1,C7269&gt;1,E7268&lt;&gt;""),ABS(D7269-E7268),"")</f>
        <v/>
      </c>
    </row>
    <row r="7270">
      <c r="A7270" t="n">
        <v>7270</v>
      </c>
      <c r="B7270">
        <f>IF(INDEX('Data Entry'!$H$5:$BE$10004,7270-4,'Visual SPC'!$B$3)="",0,IF(AND(OR('Visual SPC'!$C$4="",'Data Entry'!$C7270&gt;='Visual SPC'!$C$4),OR('Visual SPC'!$E$4="",'Data Entry'!$C7270&lt;='Visual SPC'!$E$4),OR('Visual SPC'!$G$4="",'Data Entry'!$D7270='Visual SPC'!$G$4),OR('Visual SPC'!$I$4="",'Data Entry'!$E7270='Visual SPC'!$I$4),OR('Visual SPC'!$K$4="",'Data Entry'!$F7270='Visual SPC'!$K$4)),1,0))</f>
        <v/>
      </c>
      <c r="C7270">
        <f>C7269+B7270</f>
        <v/>
      </c>
      <c r="D7270">
        <f>IF(B7270=1,INDEX('Data Entry'!$H$5:$BE$10004,7270-4,'Visual SPC'!$B$3),"")</f>
        <v/>
      </c>
      <c r="E7270">
        <f>IF(B7270=1,D7270,E7269)</f>
        <v/>
      </c>
      <c r="F7270">
        <f>IF(AND(B7270=1,C7270&gt;1,E7269&lt;&gt;""),ABS(D7270-E7269),"")</f>
        <v/>
      </c>
    </row>
    <row r="7271">
      <c r="A7271" t="n">
        <v>7271</v>
      </c>
      <c r="B7271">
        <f>IF(INDEX('Data Entry'!$H$5:$BE$10004,7271-4,'Visual SPC'!$B$3)="",0,IF(AND(OR('Visual SPC'!$C$4="",'Data Entry'!$C7271&gt;='Visual SPC'!$C$4),OR('Visual SPC'!$E$4="",'Data Entry'!$C7271&lt;='Visual SPC'!$E$4),OR('Visual SPC'!$G$4="",'Data Entry'!$D7271='Visual SPC'!$G$4),OR('Visual SPC'!$I$4="",'Data Entry'!$E7271='Visual SPC'!$I$4),OR('Visual SPC'!$K$4="",'Data Entry'!$F7271='Visual SPC'!$K$4)),1,0))</f>
        <v/>
      </c>
      <c r="C7271">
        <f>C7270+B7271</f>
        <v/>
      </c>
      <c r="D7271">
        <f>IF(B7271=1,INDEX('Data Entry'!$H$5:$BE$10004,7271-4,'Visual SPC'!$B$3),"")</f>
        <v/>
      </c>
      <c r="E7271">
        <f>IF(B7271=1,D7271,E7270)</f>
        <v/>
      </c>
      <c r="F7271">
        <f>IF(AND(B7271=1,C7271&gt;1,E7270&lt;&gt;""),ABS(D7271-E7270),"")</f>
        <v/>
      </c>
    </row>
    <row r="7272">
      <c r="A7272" t="n">
        <v>7272</v>
      </c>
      <c r="B7272">
        <f>IF(INDEX('Data Entry'!$H$5:$BE$10004,7272-4,'Visual SPC'!$B$3)="",0,IF(AND(OR('Visual SPC'!$C$4="",'Data Entry'!$C7272&gt;='Visual SPC'!$C$4),OR('Visual SPC'!$E$4="",'Data Entry'!$C7272&lt;='Visual SPC'!$E$4),OR('Visual SPC'!$G$4="",'Data Entry'!$D7272='Visual SPC'!$G$4),OR('Visual SPC'!$I$4="",'Data Entry'!$E7272='Visual SPC'!$I$4),OR('Visual SPC'!$K$4="",'Data Entry'!$F7272='Visual SPC'!$K$4)),1,0))</f>
        <v/>
      </c>
      <c r="C7272">
        <f>C7271+B7272</f>
        <v/>
      </c>
      <c r="D7272">
        <f>IF(B7272=1,INDEX('Data Entry'!$H$5:$BE$10004,7272-4,'Visual SPC'!$B$3),"")</f>
        <v/>
      </c>
      <c r="E7272">
        <f>IF(B7272=1,D7272,E7271)</f>
        <v/>
      </c>
      <c r="F7272">
        <f>IF(AND(B7272=1,C7272&gt;1,E7271&lt;&gt;""),ABS(D7272-E7271),"")</f>
        <v/>
      </c>
    </row>
    <row r="7273">
      <c r="A7273" t="n">
        <v>7273</v>
      </c>
      <c r="B7273">
        <f>IF(INDEX('Data Entry'!$H$5:$BE$10004,7273-4,'Visual SPC'!$B$3)="",0,IF(AND(OR('Visual SPC'!$C$4="",'Data Entry'!$C7273&gt;='Visual SPC'!$C$4),OR('Visual SPC'!$E$4="",'Data Entry'!$C7273&lt;='Visual SPC'!$E$4),OR('Visual SPC'!$G$4="",'Data Entry'!$D7273='Visual SPC'!$G$4),OR('Visual SPC'!$I$4="",'Data Entry'!$E7273='Visual SPC'!$I$4),OR('Visual SPC'!$K$4="",'Data Entry'!$F7273='Visual SPC'!$K$4)),1,0))</f>
        <v/>
      </c>
      <c r="C7273">
        <f>C7272+B7273</f>
        <v/>
      </c>
      <c r="D7273">
        <f>IF(B7273=1,INDEX('Data Entry'!$H$5:$BE$10004,7273-4,'Visual SPC'!$B$3),"")</f>
        <v/>
      </c>
      <c r="E7273">
        <f>IF(B7273=1,D7273,E7272)</f>
        <v/>
      </c>
      <c r="F7273">
        <f>IF(AND(B7273=1,C7273&gt;1,E7272&lt;&gt;""),ABS(D7273-E7272),"")</f>
        <v/>
      </c>
    </row>
    <row r="7274">
      <c r="A7274" t="n">
        <v>7274</v>
      </c>
      <c r="B7274">
        <f>IF(INDEX('Data Entry'!$H$5:$BE$10004,7274-4,'Visual SPC'!$B$3)="",0,IF(AND(OR('Visual SPC'!$C$4="",'Data Entry'!$C7274&gt;='Visual SPC'!$C$4),OR('Visual SPC'!$E$4="",'Data Entry'!$C7274&lt;='Visual SPC'!$E$4),OR('Visual SPC'!$G$4="",'Data Entry'!$D7274='Visual SPC'!$G$4),OR('Visual SPC'!$I$4="",'Data Entry'!$E7274='Visual SPC'!$I$4),OR('Visual SPC'!$K$4="",'Data Entry'!$F7274='Visual SPC'!$K$4)),1,0))</f>
        <v/>
      </c>
      <c r="C7274">
        <f>C7273+B7274</f>
        <v/>
      </c>
      <c r="D7274">
        <f>IF(B7274=1,INDEX('Data Entry'!$H$5:$BE$10004,7274-4,'Visual SPC'!$B$3),"")</f>
        <v/>
      </c>
      <c r="E7274">
        <f>IF(B7274=1,D7274,E7273)</f>
        <v/>
      </c>
      <c r="F7274">
        <f>IF(AND(B7274=1,C7274&gt;1,E7273&lt;&gt;""),ABS(D7274-E7273),"")</f>
        <v/>
      </c>
    </row>
    <row r="7275">
      <c r="A7275" t="n">
        <v>7275</v>
      </c>
      <c r="B7275">
        <f>IF(INDEX('Data Entry'!$H$5:$BE$10004,7275-4,'Visual SPC'!$B$3)="",0,IF(AND(OR('Visual SPC'!$C$4="",'Data Entry'!$C7275&gt;='Visual SPC'!$C$4),OR('Visual SPC'!$E$4="",'Data Entry'!$C7275&lt;='Visual SPC'!$E$4),OR('Visual SPC'!$G$4="",'Data Entry'!$D7275='Visual SPC'!$G$4),OR('Visual SPC'!$I$4="",'Data Entry'!$E7275='Visual SPC'!$I$4),OR('Visual SPC'!$K$4="",'Data Entry'!$F7275='Visual SPC'!$K$4)),1,0))</f>
        <v/>
      </c>
      <c r="C7275">
        <f>C7274+B7275</f>
        <v/>
      </c>
      <c r="D7275">
        <f>IF(B7275=1,INDEX('Data Entry'!$H$5:$BE$10004,7275-4,'Visual SPC'!$B$3),"")</f>
        <v/>
      </c>
      <c r="E7275">
        <f>IF(B7275=1,D7275,E7274)</f>
        <v/>
      </c>
      <c r="F7275">
        <f>IF(AND(B7275=1,C7275&gt;1,E7274&lt;&gt;""),ABS(D7275-E7274),"")</f>
        <v/>
      </c>
    </row>
    <row r="7276">
      <c r="A7276" t="n">
        <v>7276</v>
      </c>
      <c r="B7276">
        <f>IF(INDEX('Data Entry'!$H$5:$BE$10004,7276-4,'Visual SPC'!$B$3)="",0,IF(AND(OR('Visual SPC'!$C$4="",'Data Entry'!$C7276&gt;='Visual SPC'!$C$4),OR('Visual SPC'!$E$4="",'Data Entry'!$C7276&lt;='Visual SPC'!$E$4),OR('Visual SPC'!$G$4="",'Data Entry'!$D7276='Visual SPC'!$G$4),OR('Visual SPC'!$I$4="",'Data Entry'!$E7276='Visual SPC'!$I$4),OR('Visual SPC'!$K$4="",'Data Entry'!$F7276='Visual SPC'!$K$4)),1,0))</f>
        <v/>
      </c>
      <c r="C7276">
        <f>C7275+B7276</f>
        <v/>
      </c>
      <c r="D7276">
        <f>IF(B7276=1,INDEX('Data Entry'!$H$5:$BE$10004,7276-4,'Visual SPC'!$B$3),"")</f>
        <v/>
      </c>
      <c r="E7276">
        <f>IF(B7276=1,D7276,E7275)</f>
        <v/>
      </c>
      <c r="F7276">
        <f>IF(AND(B7276=1,C7276&gt;1,E7275&lt;&gt;""),ABS(D7276-E7275),"")</f>
        <v/>
      </c>
    </row>
    <row r="7277">
      <c r="A7277" t="n">
        <v>7277</v>
      </c>
      <c r="B7277">
        <f>IF(INDEX('Data Entry'!$H$5:$BE$10004,7277-4,'Visual SPC'!$B$3)="",0,IF(AND(OR('Visual SPC'!$C$4="",'Data Entry'!$C7277&gt;='Visual SPC'!$C$4),OR('Visual SPC'!$E$4="",'Data Entry'!$C7277&lt;='Visual SPC'!$E$4),OR('Visual SPC'!$G$4="",'Data Entry'!$D7277='Visual SPC'!$G$4),OR('Visual SPC'!$I$4="",'Data Entry'!$E7277='Visual SPC'!$I$4),OR('Visual SPC'!$K$4="",'Data Entry'!$F7277='Visual SPC'!$K$4)),1,0))</f>
        <v/>
      </c>
      <c r="C7277">
        <f>C7276+B7277</f>
        <v/>
      </c>
      <c r="D7277">
        <f>IF(B7277=1,INDEX('Data Entry'!$H$5:$BE$10004,7277-4,'Visual SPC'!$B$3),"")</f>
        <v/>
      </c>
      <c r="E7277">
        <f>IF(B7277=1,D7277,E7276)</f>
        <v/>
      </c>
      <c r="F7277">
        <f>IF(AND(B7277=1,C7277&gt;1,E7276&lt;&gt;""),ABS(D7277-E7276),"")</f>
        <v/>
      </c>
    </row>
    <row r="7278">
      <c r="A7278" t="n">
        <v>7278</v>
      </c>
      <c r="B7278">
        <f>IF(INDEX('Data Entry'!$H$5:$BE$10004,7278-4,'Visual SPC'!$B$3)="",0,IF(AND(OR('Visual SPC'!$C$4="",'Data Entry'!$C7278&gt;='Visual SPC'!$C$4),OR('Visual SPC'!$E$4="",'Data Entry'!$C7278&lt;='Visual SPC'!$E$4),OR('Visual SPC'!$G$4="",'Data Entry'!$D7278='Visual SPC'!$G$4),OR('Visual SPC'!$I$4="",'Data Entry'!$E7278='Visual SPC'!$I$4),OR('Visual SPC'!$K$4="",'Data Entry'!$F7278='Visual SPC'!$K$4)),1,0))</f>
        <v/>
      </c>
      <c r="C7278">
        <f>C7277+B7278</f>
        <v/>
      </c>
      <c r="D7278">
        <f>IF(B7278=1,INDEX('Data Entry'!$H$5:$BE$10004,7278-4,'Visual SPC'!$B$3),"")</f>
        <v/>
      </c>
      <c r="E7278">
        <f>IF(B7278=1,D7278,E7277)</f>
        <v/>
      </c>
      <c r="F7278">
        <f>IF(AND(B7278=1,C7278&gt;1,E7277&lt;&gt;""),ABS(D7278-E7277),"")</f>
        <v/>
      </c>
    </row>
    <row r="7279">
      <c r="A7279" t="n">
        <v>7279</v>
      </c>
      <c r="B7279">
        <f>IF(INDEX('Data Entry'!$H$5:$BE$10004,7279-4,'Visual SPC'!$B$3)="",0,IF(AND(OR('Visual SPC'!$C$4="",'Data Entry'!$C7279&gt;='Visual SPC'!$C$4),OR('Visual SPC'!$E$4="",'Data Entry'!$C7279&lt;='Visual SPC'!$E$4),OR('Visual SPC'!$G$4="",'Data Entry'!$D7279='Visual SPC'!$G$4),OR('Visual SPC'!$I$4="",'Data Entry'!$E7279='Visual SPC'!$I$4),OR('Visual SPC'!$K$4="",'Data Entry'!$F7279='Visual SPC'!$K$4)),1,0))</f>
        <v/>
      </c>
      <c r="C7279">
        <f>C7278+B7279</f>
        <v/>
      </c>
      <c r="D7279">
        <f>IF(B7279=1,INDEX('Data Entry'!$H$5:$BE$10004,7279-4,'Visual SPC'!$B$3),"")</f>
        <v/>
      </c>
      <c r="E7279">
        <f>IF(B7279=1,D7279,E7278)</f>
        <v/>
      </c>
      <c r="F7279">
        <f>IF(AND(B7279=1,C7279&gt;1,E7278&lt;&gt;""),ABS(D7279-E7278),"")</f>
        <v/>
      </c>
    </row>
    <row r="7280">
      <c r="A7280" t="n">
        <v>7280</v>
      </c>
      <c r="B7280">
        <f>IF(INDEX('Data Entry'!$H$5:$BE$10004,7280-4,'Visual SPC'!$B$3)="",0,IF(AND(OR('Visual SPC'!$C$4="",'Data Entry'!$C7280&gt;='Visual SPC'!$C$4),OR('Visual SPC'!$E$4="",'Data Entry'!$C7280&lt;='Visual SPC'!$E$4),OR('Visual SPC'!$G$4="",'Data Entry'!$D7280='Visual SPC'!$G$4),OR('Visual SPC'!$I$4="",'Data Entry'!$E7280='Visual SPC'!$I$4),OR('Visual SPC'!$K$4="",'Data Entry'!$F7280='Visual SPC'!$K$4)),1,0))</f>
        <v/>
      </c>
      <c r="C7280">
        <f>C7279+B7280</f>
        <v/>
      </c>
      <c r="D7280">
        <f>IF(B7280=1,INDEX('Data Entry'!$H$5:$BE$10004,7280-4,'Visual SPC'!$B$3),"")</f>
        <v/>
      </c>
      <c r="E7280">
        <f>IF(B7280=1,D7280,E7279)</f>
        <v/>
      </c>
      <c r="F7280">
        <f>IF(AND(B7280=1,C7280&gt;1,E7279&lt;&gt;""),ABS(D7280-E7279),"")</f>
        <v/>
      </c>
    </row>
    <row r="7281">
      <c r="A7281" t="n">
        <v>7281</v>
      </c>
      <c r="B7281">
        <f>IF(INDEX('Data Entry'!$H$5:$BE$10004,7281-4,'Visual SPC'!$B$3)="",0,IF(AND(OR('Visual SPC'!$C$4="",'Data Entry'!$C7281&gt;='Visual SPC'!$C$4),OR('Visual SPC'!$E$4="",'Data Entry'!$C7281&lt;='Visual SPC'!$E$4),OR('Visual SPC'!$G$4="",'Data Entry'!$D7281='Visual SPC'!$G$4),OR('Visual SPC'!$I$4="",'Data Entry'!$E7281='Visual SPC'!$I$4),OR('Visual SPC'!$K$4="",'Data Entry'!$F7281='Visual SPC'!$K$4)),1,0))</f>
        <v/>
      </c>
      <c r="C7281">
        <f>C7280+B7281</f>
        <v/>
      </c>
      <c r="D7281">
        <f>IF(B7281=1,INDEX('Data Entry'!$H$5:$BE$10004,7281-4,'Visual SPC'!$B$3),"")</f>
        <v/>
      </c>
      <c r="E7281">
        <f>IF(B7281=1,D7281,E7280)</f>
        <v/>
      </c>
      <c r="F7281">
        <f>IF(AND(B7281=1,C7281&gt;1,E7280&lt;&gt;""),ABS(D7281-E7280),"")</f>
        <v/>
      </c>
    </row>
    <row r="7282">
      <c r="A7282" t="n">
        <v>7282</v>
      </c>
      <c r="B7282">
        <f>IF(INDEX('Data Entry'!$H$5:$BE$10004,7282-4,'Visual SPC'!$B$3)="",0,IF(AND(OR('Visual SPC'!$C$4="",'Data Entry'!$C7282&gt;='Visual SPC'!$C$4),OR('Visual SPC'!$E$4="",'Data Entry'!$C7282&lt;='Visual SPC'!$E$4),OR('Visual SPC'!$G$4="",'Data Entry'!$D7282='Visual SPC'!$G$4),OR('Visual SPC'!$I$4="",'Data Entry'!$E7282='Visual SPC'!$I$4),OR('Visual SPC'!$K$4="",'Data Entry'!$F7282='Visual SPC'!$K$4)),1,0))</f>
        <v/>
      </c>
      <c r="C7282">
        <f>C7281+B7282</f>
        <v/>
      </c>
      <c r="D7282">
        <f>IF(B7282=1,INDEX('Data Entry'!$H$5:$BE$10004,7282-4,'Visual SPC'!$B$3),"")</f>
        <v/>
      </c>
      <c r="E7282">
        <f>IF(B7282=1,D7282,E7281)</f>
        <v/>
      </c>
      <c r="F7282">
        <f>IF(AND(B7282=1,C7282&gt;1,E7281&lt;&gt;""),ABS(D7282-E7281),"")</f>
        <v/>
      </c>
    </row>
    <row r="7283">
      <c r="A7283" t="n">
        <v>7283</v>
      </c>
      <c r="B7283">
        <f>IF(INDEX('Data Entry'!$H$5:$BE$10004,7283-4,'Visual SPC'!$B$3)="",0,IF(AND(OR('Visual SPC'!$C$4="",'Data Entry'!$C7283&gt;='Visual SPC'!$C$4),OR('Visual SPC'!$E$4="",'Data Entry'!$C7283&lt;='Visual SPC'!$E$4),OR('Visual SPC'!$G$4="",'Data Entry'!$D7283='Visual SPC'!$G$4),OR('Visual SPC'!$I$4="",'Data Entry'!$E7283='Visual SPC'!$I$4),OR('Visual SPC'!$K$4="",'Data Entry'!$F7283='Visual SPC'!$K$4)),1,0))</f>
        <v/>
      </c>
      <c r="C7283">
        <f>C7282+B7283</f>
        <v/>
      </c>
      <c r="D7283">
        <f>IF(B7283=1,INDEX('Data Entry'!$H$5:$BE$10004,7283-4,'Visual SPC'!$B$3),"")</f>
        <v/>
      </c>
      <c r="E7283">
        <f>IF(B7283=1,D7283,E7282)</f>
        <v/>
      </c>
      <c r="F7283">
        <f>IF(AND(B7283=1,C7283&gt;1,E7282&lt;&gt;""),ABS(D7283-E7282),"")</f>
        <v/>
      </c>
    </row>
    <row r="7284">
      <c r="A7284" t="n">
        <v>7284</v>
      </c>
      <c r="B7284">
        <f>IF(INDEX('Data Entry'!$H$5:$BE$10004,7284-4,'Visual SPC'!$B$3)="",0,IF(AND(OR('Visual SPC'!$C$4="",'Data Entry'!$C7284&gt;='Visual SPC'!$C$4),OR('Visual SPC'!$E$4="",'Data Entry'!$C7284&lt;='Visual SPC'!$E$4),OR('Visual SPC'!$G$4="",'Data Entry'!$D7284='Visual SPC'!$G$4),OR('Visual SPC'!$I$4="",'Data Entry'!$E7284='Visual SPC'!$I$4),OR('Visual SPC'!$K$4="",'Data Entry'!$F7284='Visual SPC'!$K$4)),1,0))</f>
        <v/>
      </c>
      <c r="C7284">
        <f>C7283+B7284</f>
        <v/>
      </c>
      <c r="D7284">
        <f>IF(B7284=1,INDEX('Data Entry'!$H$5:$BE$10004,7284-4,'Visual SPC'!$B$3),"")</f>
        <v/>
      </c>
      <c r="E7284">
        <f>IF(B7284=1,D7284,E7283)</f>
        <v/>
      </c>
      <c r="F7284">
        <f>IF(AND(B7284=1,C7284&gt;1,E7283&lt;&gt;""),ABS(D7284-E7283),"")</f>
        <v/>
      </c>
    </row>
    <row r="7285">
      <c r="A7285" t="n">
        <v>7285</v>
      </c>
      <c r="B7285">
        <f>IF(INDEX('Data Entry'!$H$5:$BE$10004,7285-4,'Visual SPC'!$B$3)="",0,IF(AND(OR('Visual SPC'!$C$4="",'Data Entry'!$C7285&gt;='Visual SPC'!$C$4),OR('Visual SPC'!$E$4="",'Data Entry'!$C7285&lt;='Visual SPC'!$E$4),OR('Visual SPC'!$G$4="",'Data Entry'!$D7285='Visual SPC'!$G$4),OR('Visual SPC'!$I$4="",'Data Entry'!$E7285='Visual SPC'!$I$4),OR('Visual SPC'!$K$4="",'Data Entry'!$F7285='Visual SPC'!$K$4)),1,0))</f>
        <v/>
      </c>
      <c r="C7285">
        <f>C7284+B7285</f>
        <v/>
      </c>
      <c r="D7285">
        <f>IF(B7285=1,INDEX('Data Entry'!$H$5:$BE$10004,7285-4,'Visual SPC'!$B$3),"")</f>
        <v/>
      </c>
      <c r="E7285">
        <f>IF(B7285=1,D7285,E7284)</f>
        <v/>
      </c>
      <c r="F7285">
        <f>IF(AND(B7285=1,C7285&gt;1,E7284&lt;&gt;""),ABS(D7285-E7284),"")</f>
        <v/>
      </c>
    </row>
    <row r="7286">
      <c r="A7286" t="n">
        <v>7286</v>
      </c>
      <c r="B7286">
        <f>IF(INDEX('Data Entry'!$H$5:$BE$10004,7286-4,'Visual SPC'!$B$3)="",0,IF(AND(OR('Visual SPC'!$C$4="",'Data Entry'!$C7286&gt;='Visual SPC'!$C$4),OR('Visual SPC'!$E$4="",'Data Entry'!$C7286&lt;='Visual SPC'!$E$4),OR('Visual SPC'!$G$4="",'Data Entry'!$D7286='Visual SPC'!$G$4),OR('Visual SPC'!$I$4="",'Data Entry'!$E7286='Visual SPC'!$I$4),OR('Visual SPC'!$K$4="",'Data Entry'!$F7286='Visual SPC'!$K$4)),1,0))</f>
        <v/>
      </c>
      <c r="C7286">
        <f>C7285+B7286</f>
        <v/>
      </c>
      <c r="D7286">
        <f>IF(B7286=1,INDEX('Data Entry'!$H$5:$BE$10004,7286-4,'Visual SPC'!$B$3),"")</f>
        <v/>
      </c>
      <c r="E7286">
        <f>IF(B7286=1,D7286,E7285)</f>
        <v/>
      </c>
      <c r="F7286">
        <f>IF(AND(B7286=1,C7286&gt;1,E7285&lt;&gt;""),ABS(D7286-E7285),"")</f>
        <v/>
      </c>
    </row>
    <row r="7287">
      <c r="A7287" t="n">
        <v>7287</v>
      </c>
      <c r="B7287">
        <f>IF(INDEX('Data Entry'!$H$5:$BE$10004,7287-4,'Visual SPC'!$B$3)="",0,IF(AND(OR('Visual SPC'!$C$4="",'Data Entry'!$C7287&gt;='Visual SPC'!$C$4),OR('Visual SPC'!$E$4="",'Data Entry'!$C7287&lt;='Visual SPC'!$E$4),OR('Visual SPC'!$G$4="",'Data Entry'!$D7287='Visual SPC'!$G$4),OR('Visual SPC'!$I$4="",'Data Entry'!$E7287='Visual SPC'!$I$4),OR('Visual SPC'!$K$4="",'Data Entry'!$F7287='Visual SPC'!$K$4)),1,0))</f>
        <v/>
      </c>
      <c r="C7287">
        <f>C7286+B7287</f>
        <v/>
      </c>
      <c r="D7287">
        <f>IF(B7287=1,INDEX('Data Entry'!$H$5:$BE$10004,7287-4,'Visual SPC'!$B$3),"")</f>
        <v/>
      </c>
      <c r="E7287">
        <f>IF(B7287=1,D7287,E7286)</f>
        <v/>
      </c>
      <c r="F7287">
        <f>IF(AND(B7287=1,C7287&gt;1,E7286&lt;&gt;""),ABS(D7287-E7286),"")</f>
        <v/>
      </c>
    </row>
    <row r="7288">
      <c r="A7288" t="n">
        <v>7288</v>
      </c>
      <c r="B7288">
        <f>IF(INDEX('Data Entry'!$H$5:$BE$10004,7288-4,'Visual SPC'!$B$3)="",0,IF(AND(OR('Visual SPC'!$C$4="",'Data Entry'!$C7288&gt;='Visual SPC'!$C$4),OR('Visual SPC'!$E$4="",'Data Entry'!$C7288&lt;='Visual SPC'!$E$4),OR('Visual SPC'!$G$4="",'Data Entry'!$D7288='Visual SPC'!$G$4),OR('Visual SPC'!$I$4="",'Data Entry'!$E7288='Visual SPC'!$I$4),OR('Visual SPC'!$K$4="",'Data Entry'!$F7288='Visual SPC'!$K$4)),1,0))</f>
        <v/>
      </c>
      <c r="C7288">
        <f>C7287+B7288</f>
        <v/>
      </c>
      <c r="D7288">
        <f>IF(B7288=1,INDEX('Data Entry'!$H$5:$BE$10004,7288-4,'Visual SPC'!$B$3),"")</f>
        <v/>
      </c>
      <c r="E7288">
        <f>IF(B7288=1,D7288,E7287)</f>
        <v/>
      </c>
      <c r="F7288">
        <f>IF(AND(B7288=1,C7288&gt;1,E7287&lt;&gt;""),ABS(D7288-E7287),"")</f>
        <v/>
      </c>
    </row>
    <row r="7289">
      <c r="A7289" t="n">
        <v>7289</v>
      </c>
      <c r="B7289">
        <f>IF(INDEX('Data Entry'!$H$5:$BE$10004,7289-4,'Visual SPC'!$B$3)="",0,IF(AND(OR('Visual SPC'!$C$4="",'Data Entry'!$C7289&gt;='Visual SPC'!$C$4),OR('Visual SPC'!$E$4="",'Data Entry'!$C7289&lt;='Visual SPC'!$E$4),OR('Visual SPC'!$G$4="",'Data Entry'!$D7289='Visual SPC'!$G$4),OR('Visual SPC'!$I$4="",'Data Entry'!$E7289='Visual SPC'!$I$4),OR('Visual SPC'!$K$4="",'Data Entry'!$F7289='Visual SPC'!$K$4)),1,0))</f>
        <v/>
      </c>
      <c r="C7289">
        <f>C7288+B7289</f>
        <v/>
      </c>
      <c r="D7289">
        <f>IF(B7289=1,INDEX('Data Entry'!$H$5:$BE$10004,7289-4,'Visual SPC'!$B$3),"")</f>
        <v/>
      </c>
      <c r="E7289">
        <f>IF(B7289=1,D7289,E7288)</f>
        <v/>
      </c>
      <c r="F7289">
        <f>IF(AND(B7289=1,C7289&gt;1,E7288&lt;&gt;""),ABS(D7289-E7288),"")</f>
        <v/>
      </c>
    </row>
    <row r="7290">
      <c r="A7290" t="n">
        <v>7290</v>
      </c>
      <c r="B7290">
        <f>IF(INDEX('Data Entry'!$H$5:$BE$10004,7290-4,'Visual SPC'!$B$3)="",0,IF(AND(OR('Visual SPC'!$C$4="",'Data Entry'!$C7290&gt;='Visual SPC'!$C$4),OR('Visual SPC'!$E$4="",'Data Entry'!$C7290&lt;='Visual SPC'!$E$4),OR('Visual SPC'!$G$4="",'Data Entry'!$D7290='Visual SPC'!$G$4),OR('Visual SPC'!$I$4="",'Data Entry'!$E7290='Visual SPC'!$I$4),OR('Visual SPC'!$K$4="",'Data Entry'!$F7290='Visual SPC'!$K$4)),1,0))</f>
        <v/>
      </c>
      <c r="C7290">
        <f>C7289+B7290</f>
        <v/>
      </c>
      <c r="D7290">
        <f>IF(B7290=1,INDEX('Data Entry'!$H$5:$BE$10004,7290-4,'Visual SPC'!$B$3),"")</f>
        <v/>
      </c>
      <c r="E7290">
        <f>IF(B7290=1,D7290,E7289)</f>
        <v/>
      </c>
      <c r="F7290">
        <f>IF(AND(B7290=1,C7290&gt;1,E7289&lt;&gt;""),ABS(D7290-E7289),"")</f>
        <v/>
      </c>
    </row>
    <row r="7291">
      <c r="A7291" t="n">
        <v>7291</v>
      </c>
      <c r="B7291">
        <f>IF(INDEX('Data Entry'!$H$5:$BE$10004,7291-4,'Visual SPC'!$B$3)="",0,IF(AND(OR('Visual SPC'!$C$4="",'Data Entry'!$C7291&gt;='Visual SPC'!$C$4),OR('Visual SPC'!$E$4="",'Data Entry'!$C7291&lt;='Visual SPC'!$E$4),OR('Visual SPC'!$G$4="",'Data Entry'!$D7291='Visual SPC'!$G$4),OR('Visual SPC'!$I$4="",'Data Entry'!$E7291='Visual SPC'!$I$4),OR('Visual SPC'!$K$4="",'Data Entry'!$F7291='Visual SPC'!$K$4)),1,0))</f>
        <v/>
      </c>
      <c r="C7291">
        <f>C7290+B7291</f>
        <v/>
      </c>
      <c r="D7291">
        <f>IF(B7291=1,INDEX('Data Entry'!$H$5:$BE$10004,7291-4,'Visual SPC'!$B$3),"")</f>
        <v/>
      </c>
      <c r="E7291">
        <f>IF(B7291=1,D7291,E7290)</f>
        <v/>
      </c>
      <c r="F7291">
        <f>IF(AND(B7291=1,C7291&gt;1,E7290&lt;&gt;""),ABS(D7291-E7290),"")</f>
        <v/>
      </c>
    </row>
    <row r="7292">
      <c r="A7292" t="n">
        <v>7292</v>
      </c>
      <c r="B7292">
        <f>IF(INDEX('Data Entry'!$H$5:$BE$10004,7292-4,'Visual SPC'!$B$3)="",0,IF(AND(OR('Visual SPC'!$C$4="",'Data Entry'!$C7292&gt;='Visual SPC'!$C$4),OR('Visual SPC'!$E$4="",'Data Entry'!$C7292&lt;='Visual SPC'!$E$4),OR('Visual SPC'!$G$4="",'Data Entry'!$D7292='Visual SPC'!$G$4),OR('Visual SPC'!$I$4="",'Data Entry'!$E7292='Visual SPC'!$I$4),OR('Visual SPC'!$K$4="",'Data Entry'!$F7292='Visual SPC'!$K$4)),1,0))</f>
        <v/>
      </c>
      <c r="C7292">
        <f>C7291+B7292</f>
        <v/>
      </c>
      <c r="D7292">
        <f>IF(B7292=1,INDEX('Data Entry'!$H$5:$BE$10004,7292-4,'Visual SPC'!$B$3),"")</f>
        <v/>
      </c>
      <c r="E7292">
        <f>IF(B7292=1,D7292,E7291)</f>
        <v/>
      </c>
      <c r="F7292">
        <f>IF(AND(B7292=1,C7292&gt;1,E7291&lt;&gt;""),ABS(D7292-E7291),"")</f>
        <v/>
      </c>
    </row>
    <row r="7293">
      <c r="A7293" t="n">
        <v>7293</v>
      </c>
      <c r="B7293">
        <f>IF(INDEX('Data Entry'!$H$5:$BE$10004,7293-4,'Visual SPC'!$B$3)="",0,IF(AND(OR('Visual SPC'!$C$4="",'Data Entry'!$C7293&gt;='Visual SPC'!$C$4),OR('Visual SPC'!$E$4="",'Data Entry'!$C7293&lt;='Visual SPC'!$E$4),OR('Visual SPC'!$G$4="",'Data Entry'!$D7293='Visual SPC'!$G$4),OR('Visual SPC'!$I$4="",'Data Entry'!$E7293='Visual SPC'!$I$4),OR('Visual SPC'!$K$4="",'Data Entry'!$F7293='Visual SPC'!$K$4)),1,0))</f>
        <v/>
      </c>
      <c r="C7293">
        <f>C7292+B7293</f>
        <v/>
      </c>
      <c r="D7293">
        <f>IF(B7293=1,INDEX('Data Entry'!$H$5:$BE$10004,7293-4,'Visual SPC'!$B$3),"")</f>
        <v/>
      </c>
      <c r="E7293">
        <f>IF(B7293=1,D7293,E7292)</f>
        <v/>
      </c>
      <c r="F7293">
        <f>IF(AND(B7293=1,C7293&gt;1,E7292&lt;&gt;""),ABS(D7293-E7292),"")</f>
        <v/>
      </c>
    </row>
    <row r="7294">
      <c r="A7294" t="n">
        <v>7294</v>
      </c>
      <c r="B7294">
        <f>IF(INDEX('Data Entry'!$H$5:$BE$10004,7294-4,'Visual SPC'!$B$3)="",0,IF(AND(OR('Visual SPC'!$C$4="",'Data Entry'!$C7294&gt;='Visual SPC'!$C$4),OR('Visual SPC'!$E$4="",'Data Entry'!$C7294&lt;='Visual SPC'!$E$4),OR('Visual SPC'!$G$4="",'Data Entry'!$D7294='Visual SPC'!$G$4),OR('Visual SPC'!$I$4="",'Data Entry'!$E7294='Visual SPC'!$I$4),OR('Visual SPC'!$K$4="",'Data Entry'!$F7294='Visual SPC'!$K$4)),1,0))</f>
        <v/>
      </c>
      <c r="C7294">
        <f>C7293+B7294</f>
        <v/>
      </c>
      <c r="D7294">
        <f>IF(B7294=1,INDEX('Data Entry'!$H$5:$BE$10004,7294-4,'Visual SPC'!$B$3),"")</f>
        <v/>
      </c>
      <c r="E7294">
        <f>IF(B7294=1,D7294,E7293)</f>
        <v/>
      </c>
      <c r="F7294">
        <f>IF(AND(B7294=1,C7294&gt;1,E7293&lt;&gt;""),ABS(D7294-E7293),"")</f>
        <v/>
      </c>
    </row>
    <row r="7295">
      <c r="A7295" t="n">
        <v>7295</v>
      </c>
      <c r="B7295">
        <f>IF(INDEX('Data Entry'!$H$5:$BE$10004,7295-4,'Visual SPC'!$B$3)="",0,IF(AND(OR('Visual SPC'!$C$4="",'Data Entry'!$C7295&gt;='Visual SPC'!$C$4),OR('Visual SPC'!$E$4="",'Data Entry'!$C7295&lt;='Visual SPC'!$E$4),OR('Visual SPC'!$G$4="",'Data Entry'!$D7295='Visual SPC'!$G$4),OR('Visual SPC'!$I$4="",'Data Entry'!$E7295='Visual SPC'!$I$4),OR('Visual SPC'!$K$4="",'Data Entry'!$F7295='Visual SPC'!$K$4)),1,0))</f>
        <v/>
      </c>
      <c r="C7295">
        <f>C7294+B7295</f>
        <v/>
      </c>
      <c r="D7295">
        <f>IF(B7295=1,INDEX('Data Entry'!$H$5:$BE$10004,7295-4,'Visual SPC'!$B$3),"")</f>
        <v/>
      </c>
      <c r="E7295">
        <f>IF(B7295=1,D7295,E7294)</f>
        <v/>
      </c>
      <c r="F7295">
        <f>IF(AND(B7295=1,C7295&gt;1,E7294&lt;&gt;""),ABS(D7295-E7294),"")</f>
        <v/>
      </c>
    </row>
    <row r="7296">
      <c r="A7296" t="n">
        <v>7296</v>
      </c>
      <c r="B7296">
        <f>IF(INDEX('Data Entry'!$H$5:$BE$10004,7296-4,'Visual SPC'!$B$3)="",0,IF(AND(OR('Visual SPC'!$C$4="",'Data Entry'!$C7296&gt;='Visual SPC'!$C$4),OR('Visual SPC'!$E$4="",'Data Entry'!$C7296&lt;='Visual SPC'!$E$4),OR('Visual SPC'!$G$4="",'Data Entry'!$D7296='Visual SPC'!$G$4),OR('Visual SPC'!$I$4="",'Data Entry'!$E7296='Visual SPC'!$I$4),OR('Visual SPC'!$K$4="",'Data Entry'!$F7296='Visual SPC'!$K$4)),1,0))</f>
        <v/>
      </c>
      <c r="C7296">
        <f>C7295+B7296</f>
        <v/>
      </c>
      <c r="D7296">
        <f>IF(B7296=1,INDEX('Data Entry'!$H$5:$BE$10004,7296-4,'Visual SPC'!$B$3),"")</f>
        <v/>
      </c>
      <c r="E7296">
        <f>IF(B7296=1,D7296,E7295)</f>
        <v/>
      </c>
      <c r="F7296">
        <f>IF(AND(B7296=1,C7296&gt;1,E7295&lt;&gt;""),ABS(D7296-E7295),"")</f>
        <v/>
      </c>
    </row>
    <row r="7297">
      <c r="A7297" t="n">
        <v>7297</v>
      </c>
      <c r="B7297">
        <f>IF(INDEX('Data Entry'!$H$5:$BE$10004,7297-4,'Visual SPC'!$B$3)="",0,IF(AND(OR('Visual SPC'!$C$4="",'Data Entry'!$C7297&gt;='Visual SPC'!$C$4),OR('Visual SPC'!$E$4="",'Data Entry'!$C7297&lt;='Visual SPC'!$E$4),OR('Visual SPC'!$G$4="",'Data Entry'!$D7297='Visual SPC'!$G$4),OR('Visual SPC'!$I$4="",'Data Entry'!$E7297='Visual SPC'!$I$4),OR('Visual SPC'!$K$4="",'Data Entry'!$F7297='Visual SPC'!$K$4)),1,0))</f>
        <v/>
      </c>
      <c r="C7297">
        <f>C7296+B7297</f>
        <v/>
      </c>
      <c r="D7297">
        <f>IF(B7297=1,INDEX('Data Entry'!$H$5:$BE$10004,7297-4,'Visual SPC'!$B$3),"")</f>
        <v/>
      </c>
      <c r="E7297">
        <f>IF(B7297=1,D7297,E7296)</f>
        <v/>
      </c>
      <c r="F7297">
        <f>IF(AND(B7297=1,C7297&gt;1,E7296&lt;&gt;""),ABS(D7297-E7296),"")</f>
        <v/>
      </c>
    </row>
    <row r="7298">
      <c r="A7298" t="n">
        <v>7298</v>
      </c>
      <c r="B7298">
        <f>IF(INDEX('Data Entry'!$H$5:$BE$10004,7298-4,'Visual SPC'!$B$3)="",0,IF(AND(OR('Visual SPC'!$C$4="",'Data Entry'!$C7298&gt;='Visual SPC'!$C$4),OR('Visual SPC'!$E$4="",'Data Entry'!$C7298&lt;='Visual SPC'!$E$4),OR('Visual SPC'!$G$4="",'Data Entry'!$D7298='Visual SPC'!$G$4),OR('Visual SPC'!$I$4="",'Data Entry'!$E7298='Visual SPC'!$I$4),OR('Visual SPC'!$K$4="",'Data Entry'!$F7298='Visual SPC'!$K$4)),1,0))</f>
        <v/>
      </c>
      <c r="C7298">
        <f>C7297+B7298</f>
        <v/>
      </c>
      <c r="D7298">
        <f>IF(B7298=1,INDEX('Data Entry'!$H$5:$BE$10004,7298-4,'Visual SPC'!$B$3),"")</f>
        <v/>
      </c>
      <c r="E7298">
        <f>IF(B7298=1,D7298,E7297)</f>
        <v/>
      </c>
      <c r="F7298">
        <f>IF(AND(B7298=1,C7298&gt;1,E7297&lt;&gt;""),ABS(D7298-E7297),"")</f>
        <v/>
      </c>
    </row>
    <row r="7299">
      <c r="A7299" t="n">
        <v>7299</v>
      </c>
      <c r="B7299">
        <f>IF(INDEX('Data Entry'!$H$5:$BE$10004,7299-4,'Visual SPC'!$B$3)="",0,IF(AND(OR('Visual SPC'!$C$4="",'Data Entry'!$C7299&gt;='Visual SPC'!$C$4),OR('Visual SPC'!$E$4="",'Data Entry'!$C7299&lt;='Visual SPC'!$E$4),OR('Visual SPC'!$G$4="",'Data Entry'!$D7299='Visual SPC'!$G$4),OR('Visual SPC'!$I$4="",'Data Entry'!$E7299='Visual SPC'!$I$4),OR('Visual SPC'!$K$4="",'Data Entry'!$F7299='Visual SPC'!$K$4)),1,0))</f>
        <v/>
      </c>
      <c r="C7299">
        <f>C7298+B7299</f>
        <v/>
      </c>
      <c r="D7299">
        <f>IF(B7299=1,INDEX('Data Entry'!$H$5:$BE$10004,7299-4,'Visual SPC'!$B$3),"")</f>
        <v/>
      </c>
      <c r="E7299">
        <f>IF(B7299=1,D7299,E7298)</f>
        <v/>
      </c>
      <c r="F7299">
        <f>IF(AND(B7299=1,C7299&gt;1,E7298&lt;&gt;""),ABS(D7299-E7298),"")</f>
        <v/>
      </c>
    </row>
    <row r="7300">
      <c r="A7300" t="n">
        <v>7300</v>
      </c>
      <c r="B7300">
        <f>IF(INDEX('Data Entry'!$H$5:$BE$10004,7300-4,'Visual SPC'!$B$3)="",0,IF(AND(OR('Visual SPC'!$C$4="",'Data Entry'!$C7300&gt;='Visual SPC'!$C$4),OR('Visual SPC'!$E$4="",'Data Entry'!$C7300&lt;='Visual SPC'!$E$4),OR('Visual SPC'!$G$4="",'Data Entry'!$D7300='Visual SPC'!$G$4),OR('Visual SPC'!$I$4="",'Data Entry'!$E7300='Visual SPC'!$I$4),OR('Visual SPC'!$K$4="",'Data Entry'!$F7300='Visual SPC'!$K$4)),1,0))</f>
        <v/>
      </c>
      <c r="C7300">
        <f>C7299+B7300</f>
        <v/>
      </c>
      <c r="D7300">
        <f>IF(B7300=1,INDEX('Data Entry'!$H$5:$BE$10004,7300-4,'Visual SPC'!$B$3),"")</f>
        <v/>
      </c>
      <c r="E7300">
        <f>IF(B7300=1,D7300,E7299)</f>
        <v/>
      </c>
      <c r="F7300">
        <f>IF(AND(B7300=1,C7300&gt;1,E7299&lt;&gt;""),ABS(D7300-E7299),"")</f>
        <v/>
      </c>
    </row>
    <row r="7301">
      <c r="A7301" t="n">
        <v>7301</v>
      </c>
      <c r="B7301">
        <f>IF(INDEX('Data Entry'!$H$5:$BE$10004,7301-4,'Visual SPC'!$B$3)="",0,IF(AND(OR('Visual SPC'!$C$4="",'Data Entry'!$C7301&gt;='Visual SPC'!$C$4),OR('Visual SPC'!$E$4="",'Data Entry'!$C7301&lt;='Visual SPC'!$E$4),OR('Visual SPC'!$G$4="",'Data Entry'!$D7301='Visual SPC'!$G$4),OR('Visual SPC'!$I$4="",'Data Entry'!$E7301='Visual SPC'!$I$4),OR('Visual SPC'!$K$4="",'Data Entry'!$F7301='Visual SPC'!$K$4)),1,0))</f>
        <v/>
      </c>
      <c r="C7301">
        <f>C7300+B7301</f>
        <v/>
      </c>
      <c r="D7301">
        <f>IF(B7301=1,INDEX('Data Entry'!$H$5:$BE$10004,7301-4,'Visual SPC'!$B$3),"")</f>
        <v/>
      </c>
      <c r="E7301">
        <f>IF(B7301=1,D7301,E7300)</f>
        <v/>
      </c>
      <c r="F7301">
        <f>IF(AND(B7301=1,C7301&gt;1,E7300&lt;&gt;""),ABS(D7301-E7300),"")</f>
        <v/>
      </c>
    </row>
    <row r="7302">
      <c r="A7302" t="n">
        <v>7302</v>
      </c>
      <c r="B7302">
        <f>IF(INDEX('Data Entry'!$H$5:$BE$10004,7302-4,'Visual SPC'!$B$3)="",0,IF(AND(OR('Visual SPC'!$C$4="",'Data Entry'!$C7302&gt;='Visual SPC'!$C$4),OR('Visual SPC'!$E$4="",'Data Entry'!$C7302&lt;='Visual SPC'!$E$4),OR('Visual SPC'!$G$4="",'Data Entry'!$D7302='Visual SPC'!$G$4),OR('Visual SPC'!$I$4="",'Data Entry'!$E7302='Visual SPC'!$I$4),OR('Visual SPC'!$K$4="",'Data Entry'!$F7302='Visual SPC'!$K$4)),1,0))</f>
        <v/>
      </c>
      <c r="C7302">
        <f>C7301+B7302</f>
        <v/>
      </c>
      <c r="D7302">
        <f>IF(B7302=1,INDEX('Data Entry'!$H$5:$BE$10004,7302-4,'Visual SPC'!$B$3),"")</f>
        <v/>
      </c>
      <c r="E7302">
        <f>IF(B7302=1,D7302,E7301)</f>
        <v/>
      </c>
      <c r="F7302">
        <f>IF(AND(B7302=1,C7302&gt;1,E7301&lt;&gt;""),ABS(D7302-E7301),"")</f>
        <v/>
      </c>
    </row>
    <row r="7303">
      <c r="A7303" t="n">
        <v>7303</v>
      </c>
      <c r="B7303">
        <f>IF(INDEX('Data Entry'!$H$5:$BE$10004,7303-4,'Visual SPC'!$B$3)="",0,IF(AND(OR('Visual SPC'!$C$4="",'Data Entry'!$C7303&gt;='Visual SPC'!$C$4),OR('Visual SPC'!$E$4="",'Data Entry'!$C7303&lt;='Visual SPC'!$E$4),OR('Visual SPC'!$G$4="",'Data Entry'!$D7303='Visual SPC'!$G$4),OR('Visual SPC'!$I$4="",'Data Entry'!$E7303='Visual SPC'!$I$4),OR('Visual SPC'!$K$4="",'Data Entry'!$F7303='Visual SPC'!$K$4)),1,0))</f>
        <v/>
      </c>
      <c r="C7303">
        <f>C7302+B7303</f>
        <v/>
      </c>
      <c r="D7303">
        <f>IF(B7303=1,INDEX('Data Entry'!$H$5:$BE$10004,7303-4,'Visual SPC'!$B$3),"")</f>
        <v/>
      </c>
      <c r="E7303">
        <f>IF(B7303=1,D7303,E7302)</f>
        <v/>
      </c>
      <c r="F7303">
        <f>IF(AND(B7303=1,C7303&gt;1,E7302&lt;&gt;""),ABS(D7303-E7302),"")</f>
        <v/>
      </c>
    </row>
    <row r="7304">
      <c r="A7304" t="n">
        <v>7304</v>
      </c>
      <c r="B7304">
        <f>IF(INDEX('Data Entry'!$H$5:$BE$10004,7304-4,'Visual SPC'!$B$3)="",0,IF(AND(OR('Visual SPC'!$C$4="",'Data Entry'!$C7304&gt;='Visual SPC'!$C$4),OR('Visual SPC'!$E$4="",'Data Entry'!$C7304&lt;='Visual SPC'!$E$4),OR('Visual SPC'!$G$4="",'Data Entry'!$D7304='Visual SPC'!$G$4),OR('Visual SPC'!$I$4="",'Data Entry'!$E7304='Visual SPC'!$I$4),OR('Visual SPC'!$K$4="",'Data Entry'!$F7304='Visual SPC'!$K$4)),1,0))</f>
        <v/>
      </c>
      <c r="C7304">
        <f>C7303+B7304</f>
        <v/>
      </c>
      <c r="D7304">
        <f>IF(B7304=1,INDEX('Data Entry'!$H$5:$BE$10004,7304-4,'Visual SPC'!$B$3),"")</f>
        <v/>
      </c>
      <c r="E7304">
        <f>IF(B7304=1,D7304,E7303)</f>
        <v/>
      </c>
      <c r="F7304">
        <f>IF(AND(B7304=1,C7304&gt;1,E7303&lt;&gt;""),ABS(D7304-E7303),"")</f>
        <v/>
      </c>
    </row>
    <row r="7305">
      <c r="A7305" t="n">
        <v>7305</v>
      </c>
      <c r="B7305">
        <f>IF(INDEX('Data Entry'!$H$5:$BE$10004,7305-4,'Visual SPC'!$B$3)="",0,IF(AND(OR('Visual SPC'!$C$4="",'Data Entry'!$C7305&gt;='Visual SPC'!$C$4),OR('Visual SPC'!$E$4="",'Data Entry'!$C7305&lt;='Visual SPC'!$E$4),OR('Visual SPC'!$G$4="",'Data Entry'!$D7305='Visual SPC'!$G$4),OR('Visual SPC'!$I$4="",'Data Entry'!$E7305='Visual SPC'!$I$4),OR('Visual SPC'!$K$4="",'Data Entry'!$F7305='Visual SPC'!$K$4)),1,0))</f>
        <v/>
      </c>
      <c r="C7305">
        <f>C7304+B7305</f>
        <v/>
      </c>
      <c r="D7305">
        <f>IF(B7305=1,INDEX('Data Entry'!$H$5:$BE$10004,7305-4,'Visual SPC'!$B$3),"")</f>
        <v/>
      </c>
      <c r="E7305">
        <f>IF(B7305=1,D7305,E7304)</f>
        <v/>
      </c>
      <c r="F7305">
        <f>IF(AND(B7305=1,C7305&gt;1,E7304&lt;&gt;""),ABS(D7305-E7304),"")</f>
        <v/>
      </c>
    </row>
    <row r="7306">
      <c r="A7306" t="n">
        <v>7306</v>
      </c>
      <c r="B7306">
        <f>IF(INDEX('Data Entry'!$H$5:$BE$10004,7306-4,'Visual SPC'!$B$3)="",0,IF(AND(OR('Visual SPC'!$C$4="",'Data Entry'!$C7306&gt;='Visual SPC'!$C$4),OR('Visual SPC'!$E$4="",'Data Entry'!$C7306&lt;='Visual SPC'!$E$4),OR('Visual SPC'!$G$4="",'Data Entry'!$D7306='Visual SPC'!$G$4),OR('Visual SPC'!$I$4="",'Data Entry'!$E7306='Visual SPC'!$I$4),OR('Visual SPC'!$K$4="",'Data Entry'!$F7306='Visual SPC'!$K$4)),1,0))</f>
        <v/>
      </c>
      <c r="C7306">
        <f>C7305+B7306</f>
        <v/>
      </c>
      <c r="D7306">
        <f>IF(B7306=1,INDEX('Data Entry'!$H$5:$BE$10004,7306-4,'Visual SPC'!$B$3),"")</f>
        <v/>
      </c>
      <c r="E7306">
        <f>IF(B7306=1,D7306,E7305)</f>
        <v/>
      </c>
      <c r="F7306">
        <f>IF(AND(B7306=1,C7306&gt;1,E7305&lt;&gt;""),ABS(D7306-E7305),"")</f>
        <v/>
      </c>
    </row>
    <row r="7307">
      <c r="A7307" t="n">
        <v>7307</v>
      </c>
      <c r="B7307">
        <f>IF(INDEX('Data Entry'!$H$5:$BE$10004,7307-4,'Visual SPC'!$B$3)="",0,IF(AND(OR('Visual SPC'!$C$4="",'Data Entry'!$C7307&gt;='Visual SPC'!$C$4),OR('Visual SPC'!$E$4="",'Data Entry'!$C7307&lt;='Visual SPC'!$E$4),OR('Visual SPC'!$G$4="",'Data Entry'!$D7307='Visual SPC'!$G$4),OR('Visual SPC'!$I$4="",'Data Entry'!$E7307='Visual SPC'!$I$4),OR('Visual SPC'!$K$4="",'Data Entry'!$F7307='Visual SPC'!$K$4)),1,0))</f>
        <v/>
      </c>
      <c r="C7307">
        <f>C7306+B7307</f>
        <v/>
      </c>
      <c r="D7307">
        <f>IF(B7307=1,INDEX('Data Entry'!$H$5:$BE$10004,7307-4,'Visual SPC'!$B$3),"")</f>
        <v/>
      </c>
      <c r="E7307">
        <f>IF(B7307=1,D7307,E7306)</f>
        <v/>
      </c>
      <c r="F7307">
        <f>IF(AND(B7307=1,C7307&gt;1,E7306&lt;&gt;""),ABS(D7307-E7306),"")</f>
        <v/>
      </c>
    </row>
    <row r="7308">
      <c r="A7308" t="n">
        <v>7308</v>
      </c>
      <c r="B7308">
        <f>IF(INDEX('Data Entry'!$H$5:$BE$10004,7308-4,'Visual SPC'!$B$3)="",0,IF(AND(OR('Visual SPC'!$C$4="",'Data Entry'!$C7308&gt;='Visual SPC'!$C$4),OR('Visual SPC'!$E$4="",'Data Entry'!$C7308&lt;='Visual SPC'!$E$4),OR('Visual SPC'!$G$4="",'Data Entry'!$D7308='Visual SPC'!$G$4),OR('Visual SPC'!$I$4="",'Data Entry'!$E7308='Visual SPC'!$I$4),OR('Visual SPC'!$K$4="",'Data Entry'!$F7308='Visual SPC'!$K$4)),1,0))</f>
        <v/>
      </c>
      <c r="C7308">
        <f>C7307+B7308</f>
        <v/>
      </c>
      <c r="D7308">
        <f>IF(B7308=1,INDEX('Data Entry'!$H$5:$BE$10004,7308-4,'Visual SPC'!$B$3),"")</f>
        <v/>
      </c>
      <c r="E7308">
        <f>IF(B7308=1,D7308,E7307)</f>
        <v/>
      </c>
      <c r="F7308">
        <f>IF(AND(B7308=1,C7308&gt;1,E7307&lt;&gt;""),ABS(D7308-E7307),"")</f>
        <v/>
      </c>
    </row>
    <row r="7309">
      <c r="A7309" t="n">
        <v>7309</v>
      </c>
      <c r="B7309">
        <f>IF(INDEX('Data Entry'!$H$5:$BE$10004,7309-4,'Visual SPC'!$B$3)="",0,IF(AND(OR('Visual SPC'!$C$4="",'Data Entry'!$C7309&gt;='Visual SPC'!$C$4),OR('Visual SPC'!$E$4="",'Data Entry'!$C7309&lt;='Visual SPC'!$E$4),OR('Visual SPC'!$G$4="",'Data Entry'!$D7309='Visual SPC'!$G$4),OR('Visual SPC'!$I$4="",'Data Entry'!$E7309='Visual SPC'!$I$4),OR('Visual SPC'!$K$4="",'Data Entry'!$F7309='Visual SPC'!$K$4)),1,0))</f>
        <v/>
      </c>
      <c r="C7309">
        <f>C7308+B7309</f>
        <v/>
      </c>
      <c r="D7309">
        <f>IF(B7309=1,INDEX('Data Entry'!$H$5:$BE$10004,7309-4,'Visual SPC'!$B$3),"")</f>
        <v/>
      </c>
      <c r="E7309">
        <f>IF(B7309=1,D7309,E7308)</f>
        <v/>
      </c>
      <c r="F7309">
        <f>IF(AND(B7309=1,C7309&gt;1,E7308&lt;&gt;""),ABS(D7309-E7308),"")</f>
        <v/>
      </c>
    </row>
    <row r="7310">
      <c r="A7310" t="n">
        <v>7310</v>
      </c>
      <c r="B7310">
        <f>IF(INDEX('Data Entry'!$H$5:$BE$10004,7310-4,'Visual SPC'!$B$3)="",0,IF(AND(OR('Visual SPC'!$C$4="",'Data Entry'!$C7310&gt;='Visual SPC'!$C$4),OR('Visual SPC'!$E$4="",'Data Entry'!$C7310&lt;='Visual SPC'!$E$4),OR('Visual SPC'!$G$4="",'Data Entry'!$D7310='Visual SPC'!$G$4),OR('Visual SPC'!$I$4="",'Data Entry'!$E7310='Visual SPC'!$I$4),OR('Visual SPC'!$K$4="",'Data Entry'!$F7310='Visual SPC'!$K$4)),1,0))</f>
        <v/>
      </c>
      <c r="C7310">
        <f>C7309+B7310</f>
        <v/>
      </c>
      <c r="D7310">
        <f>IF(B7310=1,INDEX('Data Entry'!$H$5:$BE$10004,7310-4,'Visual SPC'!$B$3),"")</f>
        <v/>
      </c>
      <c r="E7310">
        <f>IF(B7310=1,D7310,E7309)</f>
        <v/>
      </c>
      <c r="F7310">
        <f>IF(AND(B7310=1,C7310&gt;1,E7309&lt;&gt;""),ABS(D7310-E7309),"")</f>
        <v/>
      </c>
    </row>
    <row r="7311">
      <c r="A7311" t="n">
        <v>7311</v>
      </c>
      <c r="B7311">
        <f>IF(INDEX('Data Entry'!$H$5:$BE$10004,7311-4,'Visual SPC'!$B$3)="",0,IF(AND(OR('Visual SPC'!$C$4="",'Data Entry'!$C7311&gt;='Visual SPC'!$C$4),OR('Visual SPC'!$E$4="",'Data Entry'!$C7311&lt;='Visual SPC'!$E$4),OR('Visual SPC'!$G$4="",'Data Entry'!$D7311='Visual SPC'!$G$4),OR('Visual SPC'!$I$4="",'Data Entry'!$E7311='Visual SPC'!$I$4),OR('Visual SPC'!$K$4="",'Data Entry'!$F7311='Visual SPC'!$K$4)),1,0))</f>
        <v/>
      </c>
      <c r="C7311">
        <f>C7310+B7311</f>
        <v/>
      </c>
      <c r="D7311">
        <f>IF(B7311=1,INDEX('Data Entry'!$H$5:$BE$10004,7311-4,'Visual SPC'!$B$3),"")</f>
        <v/>
      </c>
      <c r="E7311">
        <f>IF(B7311=1,D7311,E7310)</f>
        <v/>
      </c>
      <c r="F7311">
        <f>IF(AND(B7311=1,C7311&gt;1,E7310&lt;&gt;""),ABS(D7311-E7310),"")</f>
        <v/>
      </c>
    </row>
    <row r="7312">
      <c r="A7312" t="n">
        <v>7312</v>
      </c>
      <c r="B7312">
        <f>IF(INDEX('Data Entry'!$H$5:$BE$10004,7312-4,'Visual SPC'!$B$3)="",0,IF(AND(OR('Visual SPC'!$C$4="",'Data Entry'!$C7312&gt;='Visual SPC'!$C$4),OR('Visual SPC'!$E$4="",'Data Entry'!$C7312&lt;='Visual SPC'!$E$4),OR('Visual SPC'!$G$4="",'Data Entry'!$D7312='Visual SPC'!$G$4),OR('Visual SPC'!$I$4="",'Data Entry'!$E7312='Visual SPC'!$I$4),OR('Visual SPC'!$K$4="",'Data Entry'!$F7312='Visual SPC'!$K$4)),1,0))</f>
        <v/>
      </c>
      <c r="C7312">
        <f>C7311+B7312</f>
        <v/>
      </c>
      <c r="D7312">
        <f>IF(B7312=1,INDEX('Data Entry'!$H$5:$BE$10004,7312-4,'Visual SPC'!$B$3),"")</f>
        <v/>
      </c>
      <c r="E7312">
        <f>IF(B7312=1,D7312,E7311)</f>
        <v/>
      </c>
      <c r="F7312">
        <f>IF(AND(B7312=1,C7312&gt;1,E7311&lt;&gt;""),ABS(D7312-E7311),"")</f>
        <v/>
      </c>
    </row>
    <row r="7313">
      <c r="A7313" t="n">
        <v>7313</v>
      </c>
      <c r="B7313">
        <f>IF(INDEX('Data Entry'!$H$5:$BE$10004,7313-4,'Visual SPC'!$B$3)="",0,IF(AND(OR('Visual SPC'!$C$4="",'Data Entry'!$C7313&gt;='Visual SPC'!$C$4),OR('Visual SPC'!$E$4="",'Data Entry'!$C7313&lt;='Visual SPC'!$E$4),OR('Visual SPC'!$G$4="",'Data Entry'!$D7313='Visual SPC'!$G$4),OR('Visual SPC'!$I$4="",'Data Entry'!$E7313='Visual SPC'!$I$4),OR('Visual SPC'!$K$4="",'Data Entry'!$F7313='Visual SPC'!$K$4)),1,0))</f>
        <v/>
      </c>
      <c r="C7313">
        <f>C7312+B7313</f>
        <v/>
      </c>
      <c r="D7313">
        <f>IF(B7313=1,INDEX('Data Entry'!$H$5:$BE$10004,7313-4,'Visual SPC'!$B$3),"")</f>
        <v/>
      </c>
      <c r="E7313">
        <f>IF(B7313=1,D7313,E7312)</f>
        <v/>
      </c>
      <c r="F7313">
        <f>IF(AND(B7313=1,C7313&gt;1,E7312&lt;&gt;""),ABS(D7313-E7312),"")</f>
        <v/>
      </c>
    </row>
    <row r="7314">
      <c r="A7314" t="n">
        <v>7314</v>
      </c>
      <c r="B7314">
        <f>IF(INDEX('Data Entry'!$H$5:$BE$10004,7314-4,'Visual SPC'!$B$3)="",0,IF(AND(OR('Visual SPC'!$C$4="",'Data Entry'!$C7314&gt;='Visual SPC'!$C$4),OR('Visual SPC'!$E$4="",'Data Entry'!$C7314&lt;='Visual SPC'!$E$4),OR('Visual SPC'!$G$4="",'Data Entry'!$D7314='Visual SPC'!$G$4),OR('Visual SPC'!$I$4="",'Data Entry'!$E7314='Visual SPC'!$I$4),OR('Visual SPC'!$K$4="",'Data Entry'!$F7314='Visual SPC'!$K$4)),1,0))</f>
        <v/>
      </c>
      <c r="C7314">
        <f>C7313+B7314</f>
        <v/>
      </c>
      <c r="D7314">
        <f>IF(B7314=1,INDEX('Data Entry'!$H$5:$BE$10004,7314-4,'Visual SPC'!$B$3),"")</f>
        <v/>
      </c>
      <c r="E7314">
        <f>IF(B7314=1,D7314,E7313)</f>
        <v/>
      </c>
      <c r="F7314">
        <f>IF(AND(B7314=1,C7314&gt;1,E7313&lt;&gt;""),ABS(D7314-E7313),"")</f>
        <v/>
      </c>
    </row>
    <row r="7315">
      <c r="A7315" t="n">
        <v>7315</v>
      </c>
      <c r="B7315">
        <f>IF(INDEX('Data Entry'!$H$5:$BE$10004,7315-4,'Visual SPC'!$B$3)="",0,IF(AND(OR('Visual SPC'!$C$4="",'Data Entry'!$C7315&gt;='Visual SPC'!$C$4),OR('Visual SPC'!$E$4="",'Data Entry'!$C7315&lt;='Visual SPC'!$E$4),OR('Visual SPC'!$G$4="",'Data Entry'!$D7315='Visual SPC'!$G$4),OR('Visual SPC'!$I$4="",'Data Entry'!$E7315='Visual SPC'!$I$4),OR('Visual SPC'!$K$4="",'Data Entry'!$F7315='Visual SPC'!$K$4)),1,0))</f>
        <v/>
      </c>
      <c r="C7315">
        <f>C7314+B7315</f>
        <v/>
      </c>
      <c r="D7315">
        <f>IF(B7315=1,INDEX('Data Entry'!$H$5:$BE$10004,7315-4,'Visual SPC'!$B$3),"")</f>
        <v/>
      </c>
      <c r="E7315">
        <f>IF(B7315=1,D7315,E7314)</f>
        <v/>
      </c>
      <c r="F7315">
        <f>IF(AND(B7315=1,C7315&gt;1,E7314&lt;&gt;""),ABS(D7315-E7314),"")</f>
        <v/>
      </c>
    </row>
    <row r="7316">
      <c r="A7316" t="n">
        <v>7316</v>
      </c>
      <c r="B7316">
        <f>IF(INDEX('Data Entry'!$H$5:$BE$10004,7316-4,'Visual SPC'!$B$3)="",0,IF(AND(OR('Visual SPC'!$C$4="",'Data Entry'!$C7316&gt;='Visual SPC'!$C$4),OR('Visual SPC'!$E$4="",'Data Entry'!$C7316&lt;='Visual SPC'!$E$4),OR('Visual SPC'!$G$4="",'Data Entry'!$D7316='Visual SPC'!$G$4),OR('Visual SPC'!$I$4="",'Data Entry'!$E7316='Visual SPC'!$I$4),OR('Visual SPC'!$K$4="",'Data Entry'!$F7316='Visual SPC'!$K$4)),1,0))</f>
        <v/>
      </c>
      <c r="C7316">
        <f>C7315+B7316</f>
        <v/>
      </c>
      <c r="D7316">
        <f>IF(B7316=1,INDEX('Data Entry'!$H$5:$BE$10004,7316-4,'Visual SPC'!$B$3),"")</f>
        <v/>
      </c>
      <c r="E7316">
        <f>IF(B7316=1,D7316,E7315)</f>
        <v/>
      </c>
      <c r="F7316">
        <f>IF(AND(B7316=1,C7316&gt;1,E7315&lt;&gt;""),ABS(D7316-E7315),"")</f>
        <v/>
      </c>
    </row>
    <row r="7317">
      <c r="A7317" t="n">
        <v>7317</v>
      </c>
      <c r="B7317">
        <f>IF(INDEX('Data Entry'!$H$5:$BE$10004,7317-4,'Visual SPC'!$B$3)="",0,IF(AND(OR('Visual SPC'!$C$4="",'Data Entry'!$C7317&gt;='Visual SPC'!$C$4),OR('Visual SPC'!$E$4="",'Data Entry'!$C7317&lt;='Visual SPC'!$E$4),OR('Visual SPC'!$G$4="",'Data Entry'!$D7317='Visual SPC'!$G$4),OR('Visual SPC'!$I$4="",'Data Entry'!$E7317='Visual SPC'!$I$4),OR('Visual SPC'!$K$4="",'Data Entry'!$F7317='Visual SPC'!$K$4)),1,0))</f>
        <v/>
      </c>
      <c r="C7317">
        <f>C7316+B7317</f>
        <v/>
      </c>
      <c r="D7317">
        <f>IF(B7317=1,INDEX('Data Entry'!$H$5:$BE$10004,7317-4,'Visual SPC'!$B$3),"")</f>
        <v/>
      </c>
      <c r="E7317">
        <f>IF(B7317=1,D7317,E7316)</f>
        <v/>
      </c>
      <c r="F7317">
        <f>IF(AND(B7317=1,C7317&gt;1,E7316&lt;&gt;""),ABS(D7317-E7316),"")</f>
        <v/>
      </c>
    </row>
    <row r="7318">
      <c r="A7318" t="n">
        <v>7318</v>
      </c>
      <c r="B7318">
        <f>IF(INDEX('Data Entry'!$H$5:$BE$10004,7318-4,'Visual SPC'!$B$3)="",0,IF(AND(OR('Visual SPC'!$C$4="",'Data Entry'!$C7318&gt;='Visual SPC'!$C$4),OR('Visual SPC'!$E$4="",'Data Entry'!$C7318&lt;='Visual SPC'!$E$4),OR('Visual SPC'!$G$4="",'Data Entry'!$D7318='Visual SPC'!$G$4),OR('Visual SPC'!$I$4="",'Data Entry'!$E7318='Visual SPC'!$I$4),OR('Visual SPC'!$K$4="",'Data Entry'!$F7318='Visual SPC'!$K$4)),1,0))</f>
        <v/>
      </c>
      <c r="C7318">
        <f>C7317+B7318</f>
        <v/>
      </c>
      <c r="D7318">
        <f>IF(B7318=1,INDEX('Data Entry'!$H$5:$BE$10004,7318-4,'Visual SPC'!$B$3),"")</f>
        <v/>
      </c>
      <c r="E7318">
        <f>IF(B7318=1,D7318,E7317)</f>
        <v/>
      </c>
      <c r="F7318">
        <f>IF(AND(B7318=1,C7318&gt;1,E7317&lt;&gt;""),ABS(D7318-E7317),"")</f>
        <v/>
      </c>
    </row>
    <row r="7319">
      <c r="A7319" t="n">
        <v>7319</v>
      </c>
      <c r="B7319">
        <f>IF(INDEX('Data Entry'!$H$5:$BE$10004,7319-4,'Visual SPC'!$B$3)="",0,IF(AND(OR('Visual SPC'!$C$4="",'Data Entry'!$C7319&gt;='Visual SPC'!$C$4),OR('Visual SPC'!$E$4="",'Data Entry'!$C7319&lt;='Visual SPC'!$E$4),OR('Visual SPC'!$G$4="",'Data Entry'!$D7319='Visual SPC'!$G$4),OR('Visual SPC'!$I$4="",'Data Entry'!$E7319='Visual SPC'!$I$4),OR('Visual SPC'!$K$4="",'Data Entry'!$F7319='Visual SPC'!$K$4)),1,0))</f>
        <v/>
      </c>
      <c r="C7319">
        <f>C7318+B7319</f>
        <v/>
      </c>
      <c r="D7319">
        <f>IF(B7319=1,INDEX('Data Entry'!$H$5:$BE$10004,7319-4,'Visual SPC'!$B$3),"")</f>
        <v/>
      </c>
      <c r="E7319">
        <f>IF(B7319=1,D7319,E7318)</f>
        <v/>
      </c>
      <c r="F7319">
        <f>IF(AND(B7319=1,C7319&gt;1,E7318&lt;&gt;""),ABS(D7319-E7318),"")</f>
        <v/>
      </c>
    </row>
    <row r="7320">
      <c r="A7320" t="n">
        <v>7320</v>
      </c>
      <c r="B7320">
        <f>IF(INDEX('Data Entry'!$H$5:$BE$10004,7320-4,'Visual SPC'!$B$3)="",0,IF(AND(OR('Visual SPC'!$C$4="",'Data Entry'!$C7320&gt;='Visual SPC'!$C$4),OR('Visual SPC'!$E$4="",'Data Entry'!$C7320&lt;='Visual SPC'!$E$4),OR('Visual SPC'!$G$4="",'Data Entry'!$D7320='Visual SPC'!$G$4),OR('Visual SPC'!$I$4="",'Data Entry'!$E7320='Visual SPC'!$I$4),OR('Visual SPC'!$K$4="",'Data Entry'!$F7320='Visual SPC'!$K$4)),1,0))</f>
        <v/>
      </c>
      <c r="C7320">
        <f>C7319+B7320</f>
        <v/>
      </c>
      <c r="D7320">
        <f>IF(B7320=1,INDEX('Data Entry'!$H$5:$BE$10004,7320-4,'Visual SPC'!$B$3),"")</f>
        <v/>
      </c>
      <c r="E7320">
        <f>IF(B7320=1,D7320,E7319)</f>
        <v/>
      </c>
      <c r="F7320">
        <f>IF(AND(B7320=1,C7320&gt;1,E7319&lt;&gt;""),ABS(D7320-E7319),"")</f>
        <v/>
      </c>
    </row>
    <row r="7321">
      <c r="A7321" t="n">
        <v>7321</v>
      </c>
      <c r="B7321">
        <f>IF(INDEX('Data Entry'!$H$5:$BE$10004,7321-4,'Visual SPC'!$B$3)="",0,IF(AND(OR('Visual SPC'!$C$4="",'Data Entry'!$C7321&gt;='Visual SPC'!$C$4),OR('Visual SPC'!$E$4="",'Data Entry'!$C7321&lt;='Visual SPC'!$E$4),OR('Visual SPC'!$G$4="",'Data Entry'!$D7321='Visual SPC'!$G$4),OR('Visual SPC'!$I$4="",'Data Entry'!$E7321='Visual SPC'!$I$4),OR('Visual SPC'!$K$4="",'Data Entry'!$F7321='Visual SPC'!$K$4)),1,0))</f>
        <v/>
      </c>
      <c r="C7321">
        <f>C7320+B7321</f>
        <v/>
      </c>
      <c r="D7321">
        <f>IF(B7321=1,INDEX('Data Entry'!$H$5:$BE$10004,7321-4,'Visual SPC'!$B$3),"")</f>
        <v/>
      </c>
      <c r="E7321">
        <f>IF(B7321=1,D7321,E7320)</f>
        <v/>
      </c>
      <c r="F7321">
        <f>IF(AND(B7321=1,C7321&gt;1,E7320&lt;&gt;""),ABS(D7321-E7320),"")</f>
        <v/>
      </c>
    </row>
    <row r="7322">
      <c r="A7322" t="n">
        <v>7322</v>
      </c>
      <c r="B7322">
        <f>IF(INDEX('Data Entry'!$H$5:$BE$10004,7322-4,'Visual SPC'!$B$3)="",0,IF(AND(OR('Visual SPC'!$C$4="",'Data Entry'!$C7322&gt;='Visual SPC'!$C$4),OR('Visual SPC'!$E$4="",'Data Entry'!$C7322&lt;='Visual SPC'!$E$4),OR('Visual SPC'!$G$4="",'Data Entry'!$D7322='Visual SPC'!$G$4),OR('Visual SPC'!$I$4="",'Data Entry'!$E7322='Visual SPC'!$I$4),OR('Visual SPC'!$K$4="",'Data Entry'!$F7322='Visual SPC'!$K$4)),1,0))</f>
        <v/>
      </c>
      <c r="C7322">
        <f>C7321+B7322</f>
        <v/>
      </c>
      <c r="D7322">
        <f>IF(B7322=1,INDEX('Data Entry'!$H$5:$BE$10004,7322-4,'Visual SPC'!$B$3),"")</f>
        <v/>
      </c>
      <c r="E7322">
        <f>IF(B7322=1,D7322,E7321)</f>
        <v/>
      </c>
      <c r="F7322">
        <f>IF(AND(B7322=1,C7322&gt;1,E7321&lt;&gt;""),ABS(D7322-E7321),"")</f>
        <v/>
      </c>
    </row>
    <row r="7323">
      <c r="A7323" t="n">
        <v>7323</v>
      </c>
      <c r="B7323">
        <f>IF(INDEX('Data Entry'!$H$5:$BE$10004,7323-4,'Visual SPC'!$B$3)="",0,IF(AND(OR('Visual SPC'!$C$4="",'Data Entry'!$C7323&gt;='Visual SPC'!$C$4),OR('Visual SPC'!$E$4="",'Data Entry'!$C7323&lt;='Visual SPC'!$E$4),OR('Visual SPC'!$G$4="",'Data Entry'!$D7323='Visual SPC'!$G$4),OR('Visual SPC'!$I$4="",'Data Entry'!$E7323='Visual SPC'!$I$4),OR('Visual SPC'!$K$4="",'Data Entry'!$F7323='Visual SPC'!$K$4)),1,0))</f>
        <v/>
      </c>
      <c r="C7323">
        <f>C7322+B7323</f>
        <v/>
      </c>
      <c r="D7323">
        <f>IF(B7323=1,INDEX('Data Entry'!$H$5:$BE$10004,7323-4,'Visual SPC'!$B$3),"")</f>
        <v/>
      </c>
      <c r="E7323">
        <f>IF(B7323=1,D7323,E7322)</f>
        <v/>
      </c>
      <c r="F7323">
        <f>IF(AND(B7323=1,C7323&gt;1,E7322&lt;&gt;""),ABS(D7323-E7322),"")</f>
        <v/>
      </c>
    </row>
    <row r="7324">
      <c r="A7324" t="n">
        <v>7324</v>
      </c>
      <c r="B7324">
        <f>IF(INDEX('Data Entry'!$H$5:$BE$10004,7324-4,'Visual SPC'!$B$3)="",0,IF(AND(OR('Visual SPC'!$C$4="",'Data Entry'!$C7324&gt;='Visual SPC'!$C$4),OR('Visual SPC'!$E$4="",'Data Entry'!$C7324&lt;='Visual SPC'!$E$4),OR('Visual SPC'!$G$4="",'Data Entry'!$D7324='Visual SPC'!$G$4),OR('Visual SPC'!$I$4="",'Data Entry'!$E7324='Visual SPC'!$I$4),OR('Visual SPC'!$K$4="",'Data Entry'!$F7324='Visual SPC'!$K$4)),1,0))</f>
        <v/>
      </c>
      <c r="C7324">
        <f>C7323+B7324</f>
        <v/>
      </c>
      <c r="D7324">
        <f>IF(B7324=1,INDEX('Data Entry'!$H$5:$BE$10004,7324-4,'Visual SPC'!$B$3),"")</f>
        <v/>
      </c>
      <c r="E7324">
        <f>IF(B7324=1,D7324,E7323)</f>
        <v/>
      </c>
      <c r="F7324">
        <f>IF(AND(B7324=1,C7324&gt;1,E7323&lt;&gt;""),ABS(D7324-E7323),"")</f>
        <v/>
      </c>
    </row>
    <row r="7325">
      <c r="A7325" t="n">
        <v>7325</v>
      </c>
      <c r="B7325">
        <f>IF(INDEX('Data Entry'!$H$5:$BE$10004,7325-4,'Visual SPC'!$B$3)="",0,IF(AND(OR('Visual SPC'!$C$4="",'Data Entry'!$C7325&gt;='Visual SPC'!$C$4),OR('Visual SPC'!$E$4="",'Data Entry'!$C7325&lt;='Visual SPC'!$E$4),OR('Visual SPC'!$G$4="",'Data Entry'!$D7325='Visual SPC'!$G$4),OR('Visual SPC'!$I$4="",'Data Entry'!$E7325='Visual SPC'!$I$4),OR('Visual SPC'!$K$4="",'Data Entry'!$F7325='Visual SPC'!$K$4)),1,0))</f>
        <v/>
      </c>
      <c r="C7325">
        <f>C7324+B7325</f>
        <v/>
      </c>
      <c r="D7325">
        <f>IF(B7325=1,INDEX('Data Entry'!$H$5:$BE$10004,7325-4,'Visual SPC'!$B$3),"")</f>
        <v/>
      </c>
      <c r="E7325">
        <f>IF(B7325=1,D7325,E7324)</f>
        <v/>
      </c>
      <c r="F7325">
        <f>IF(AND(B7325=1,C7325&gt;1,E7324&lt;&gt;""),ABS(D7325-E7324),"")</f>
        <v/>
      </c>
    </row>
    <row r="7326">
      <c r="A7326" t="n">
        <v>7326</v>
      </c>
      <c r="B7326">
        <f>IF(INDEX('Data Entry'!$H$5:$BE$10004,7326-4,'Visual SPC'!$B$3)="",0,IF(AND(OR('Visual SPC'!$C$4="",'Data Entry'!$C7326&gt;='Visual SPC'!$C$4),OR('Visual SPC'!$E$4="",'Data Entry'!$C7326&lt;='Visual SPC'!$E$4),OR('Visual SPC'!$G$4="",'Data Entry'!$D7326='Visual SPC'!$G$4),OR('Visual SPC'!$I$4="",'Data Entry'!$E7326='Visual SPC'!$I$4),OR('Visual SPC'!$K$4="",'Data Entry'!$F7326='Visual SPC'!$K$4)),1,0))</f>
        <v/>
      </c>
      <c r="C7326">
        <f>C7325+B7326</f>
        <v/>
      </c>
      <c r="D7326">
        <f>IF(B7326=1,INDEX('Data Entry'!$H$5:$BE$10004,7326-4,'Visual SPC'!$B$3),"")</f>
        <v/>
      </c>
      <c r="E7326">
        <f>IF(B7326=1,D7326,E7325)</f>
        <v/>
      </c>
      <c r="F7326">
        <f>IF(AND(B7326=1,C7326&gt;1,E7325&lt;&gt;""),ABS(D7326-E7325),"")</f>
        <v/>
      </c>
    </row>
    <row r="7327">
      <c r="A7327" t="n">
        <v>7327</v>
      </c>
      <c r="B7327">
        <f>IF(INDEX('Data Entry'!$H$5:$BE$10004,7327-4,'Visual SPC'!$B$3)="",0,IF(AND(OR('Visual SPC'!$C$4="",'Data Entry'!$C7327&gt;='Visual SPC'!$C$4),OR('Visual SPC'!$E$4="",'Data Entry'!$C7327&lt;='Visual SPC'!$E$4),OR('Visual SPC'!$G$4="",'Data Entry'!$D7327='Visual SPC'!$G$4),OR('Visual SPC'!$I$4="",'Data Entry'!$E7327='Visual SPC'!$I$4),OR('Visual SPC'!$K$4="",'Data Entry'!$F7327='Visual SPC'!$K$4)),1,0))</f>
        <v/>
      </c>
      <c r="C7327">
        <f>C7326+B7327</f>
        <v/>
      </c>
      <c r="D7327">
        <f>IF(B7327=1,INDEX('Data Entry'!$H$5:$BE$10004,7327-4,'Visual SPC'!$B$3),"")</f>
        <v/>
      </c>
      <c r="E7327">
        <f>IF(B7327=1,D7327,E7326)</f>
        <v/>
      </c>
      <c r="F7327">
        <f>IF(AND(B7327=1,C7327&gt;1,E7326&lt;&gt;""),ABS(D7327-E7326),"")</f>
        <v/>
      </c>
    </row>
    <row r="7328">
      <c r="A7328" t="n">
        <v>7328</v>
      </c>
      <c r="B7328">
        <f>IF(INDEX('Data Entry'!$H$5:$BE$10004,7328-4,'Visual SPC'!$B$3)="",0,IF(AND(OR('Visual SPC'!$C$4="",'Data Entry'!$C7328&gt;='Visual SPC'!$C$4),OR('Visual SPC'!$E$4="",'Data Entry'!$C7328&lt;='Visual SPC'!$E$4),OR('Visual SPC'!$G$4="",'Data Entry'!$D7328='Visual SPC'!$G$4),OR('Visual SPC'!$I$4="",'Data Entry'!$E7328='Visual SPC'!$I$4),OR('Visual SPC'!$K$4="",'Data Entry'!$F7328='Visual SPC'!$K$4)),1,0))</f>
        <v/>
      </c>
      <c r="C7328">
        <f>C7327+B7328</f>
        <v/>
      </c>
      <c r="D7328">
        <f>IF(B7328=1,INDEX('Data Entry'!$H$5:$BE$10004,7328-4,'Visual SPC'!$B$3),"")</f>
        <v/>
      </c>
      <c r="E7328">
        <f>IF(B7328=1,D7328,E7327)</f>
        <v/>
      </c>
      <c r="F7328">
        <f>IF(AND(B7328=1,C7328&gt;1,E7327&lt;&gt;""),ABS(D7328-E7327),"")</f>
        <v/>
      </c>
    </row>
    <row r="7329">
      <c r="A7329" t="n">
        <v>7329</v>
      </c>
      <c r="B7329">
        <f>IF(INDEX('Data Entry'!$H$5:$BE$10004,7329-4,'Visual SPC'!$B$3)="",0,IF(AND(OR('Visual SPC'!$C$4="",'Data Entry'!$C7329&gt;='Visual SPC'!$C$4),OR('Visual SPC'!$E$4="",'Data Entry'!$C7329&lt;='Visual SPC'!$E$4),OR('Visual SPC'!$G$4="",'Data Entry'!$D7329='Visual SPC'!$G$4),OR('Visual SPC'!$I$4="",'Data Entry'!$E7329='Visual SPC'!$I$4),OR('Visual SPC'!$K$4="",'Data Entry'!$F7329='Visual SPC'!$K$4)),1,0))</f>
        <v/>
      </c>
      <c r="C7329">
        <f>C7328+B7329</f>
        <v/>
      </c>
      <c r="D7329">
        <f>IF(B7329=1,INDEX('Data Entry'!$H$5:$BE$10004,7329-4,'Visual SPC'!$B$3),"")</f>
        <v/>
      </c>
      <c r="E7329">
        <f>IF(B7329=1,D7329,E7328)</f>
        <v/>
      </c>
      <c r="F7329">
        <f>IF(AND(B7329=1,C7329&gt;1,E7328&lt;&gt;""),ABS(D7329-E7328),"")</f>
        <v/>
      </c>
    </row>
    <row r="7330">
      <c r="A7330" t="n">
        <v>7330</v>
      </c>
      <c r="B7330">
        <f>IF(INDEX('Data Entry'!$H$5:$BE$10004,7330-4,'Visual SPC'!$B$3)="",0,IF(AND(OR('Visual SPC'!$C$4="",'Data Entry'!$C7330&gt;='Visual SPC'!$C$4),OR('Visual SPC'!$E$4="",'Data Entry'!$C7330&lt;='Visual SPC'!$E$4),OR('Visual SPC'!$G$4="",'Data Entry'!$D7330='Visual SPC'!$G$4),OR('Visual SPC'!$I$4="",'Data Entry'!$E7330='Visual SPC'!$I$4),OR('Visual SPC'!$K$4="",'Data Entry'!$F7330='Visual SPC'!$K$4)),1,0))</f>
        <v/>
      </c>
      <c r="C7330">
        <f>C7329+B7330</f>
        <v/>
      </c>
      <c r="D7330">
        <f>IF(B7330=1,INDEX('Data Entry'!$H$5:$BE$10004,7330-4,'Visual SPC'!$B$3),"")</f>
        <v/>
      </c>
      <c r="E7330">
        <f>IF(B7330=1,D7330,E7329)</f>
        <v/>
      </c>
      <c r="F7330">
        <f>IF(AND(B7330=1,C7330&gt;1,E7329&lt;&gt;""),ABS(D7330-E7329),"")</f>
        <v/>
      </c>
    </row>
    <row r="7331">
      <c r="A7331" t="n">
        <v>7331</v>
      </c>
      <c r="B7331">
        <f>IF(INDEX('Data Entry'!$H$5:$BE$10004,7331-4,'Visual SPC'!$B$3)="",0,IF(AND(OR('Visual SPC'!$C$4="",'Data Entry'!$C7331&gt;='Visual SPC'!$C$4),OR('Visual SPC'!$E$4="",'Data Entry'!$C7331&lt;='Visual SPC'!$E$4),OR('Visual SPC'!$G$4="",'Data Entry'!$D7331='Visual SPC'!$G$4),OR('Visual SPC'!$I$4="",'Data Entry'!$E7331='Visual SPC'!$I$4),OR('Visual SPC'!$K$4="",'Data Entry'!$F7331='Visual SPC'!$K$4)),1,0))</f>
        <v/>
      </c>
      <c r="C7331">
        <f>C7330+B7331</f>
        <v/>
      </c>
      <c r="D7331">
        <f>IF(B7331=1,INDEX('Data Entry'!$H$5:$BE$10004,7331-4,'Visual SPC'!$B$3),"")</f>
        <v/>
      </c>
      <c r="E7331">
        <f>IF(B7331=1,D7331,E7330)</f>
        <v/>
      </c>
      <c r="F7331">
        <f>IF(AND(B7331=1,C7331&gt;1,E7330&lt;&gt;""),ABS(D7331-E7330),"")</f>
        <v/>
      </c>
    </row>
    <row r="7332">
      <c r="A7332" t="n">
        <v>7332</v>
      </c>
      <c r="B7332">
        <f>IF(INDEX('Data Entry'!$H$5:$BE$10004,7332-4,'Visual SPC'!$B$3)="",0,IF(AND(OR('Visual SPC'!$C$4="",'Data Entry'!$C7332&gt;='Visual SPC'!$C$4),OR('Visual SPC'!$E$4="",'Data Entry'!$C7332&lt;='Visual SPC'!$E$4),OR('Visual SPC'!$G$4="",'Data Entry'!$D7332='Visual SPC'!$G$4),OR('Visual SPC'!$I$4="",'Data Entry'!$E7332='Visual SPC'!$I$4),OR('Visual SPC'!$K$4="",'Data Entry'!$F7332='Visual SPC'!$K$4)),1,0))</f>
        <v/>
      </c>
      <c r="C7332">
        <f>C7331+B7332</f>
        <v/>
      </c>
      <c r="D7332">
        <f>IF(B7332=1,INDEX('Data Entry'!$H$5:$BE$10004,7332-4,'Visual SPC'!$B$3),"")</f>
        <v/>
      </c>
      <c r="E7332">
        <f>IF(B7332=1,D7332,E7331)</f>
        <v/>
      </c>
      <c r="F7332">
        <f>IF(AND(B7332=1,C7332&gt;1,E7331&lt;&gt;""),ABS(D7332-E7331),"")</f>
        <v/>
      </c>
    </row>
    <row r="7333">
      <c r="A7333" t="n">
        <v>7333</v>
      </c>
      <c r="B7333">
        <f>IF(INDEX('Data Entry'!$H$5:$BE$10004,7333-4,'Visual SPC'!$B$3)="",0,IF(AND(OR('Visual SPC'!$C$4="",'Data Entry'!$C7333&gt;='Visual SPC'!$C$4),OR('Visual SPC'!$E$4="",'Data Entry'!$C7333&lt;='Visual SPC'!$E$4),OR('Visual SPC'!$G$4="",'Data Entry'!$D7333='Visual SPC'!$G$4),OR('Visual SPC'!$I$4="",'Data Entry'!$E7333='Visual SPC'!$I$4),OR('Visual SPC'!$K$4="",'Data Entry'!$F7333='Visual SPC'!$K$4)),1,0))</f>
        <v/>
      </c>
      <c r="C7333">
        <f>C7332+B7333</f>
        <v/>
      </c>
      <c r="D7333">
        <f>IF(B7333=1,INDEX('Data Entry'!$H$5:$BE$10004,7333-4,'Visual SPC'!$B$3),"")</f>
        <v/>
      </c>
      <c r="E7333">
        <f>IF(B7333=1,D7333,E7332)</f>
        <v/>
      </c>
      <c r="F7333">
        <f>IF(AND(B7333=1,C7333&gt;1,E7332&lt;&gt;""),ABS(D7333-E7332),"")</f>
        <v/>
      </c>
    </row>
    <row r="7334">
      <c r="A7334" t="n">
        <v>7334</v>
      </c>
      <c r="B7334">
        <f>IF(INDEX('Data Entry'!$H$5:$BE$10004,7334-4,'Visual SPC'!$B$3)="",0,IF(AND(OR('Visual SPC'!$C$4="",'Data Entry'!$C7334&gt;='Visual SPC'!$C$4),OR('Visual SPC'!$E$4="",'Data Entry'!$C7334&lt;='Visual SPC'!$E$4),OR('Visual SPC'!$G$4="",'Data Entry'!$D7334='Visual SPC'!$G$4),OR('Visual SPC'!$I$4="",'Data Entry'!$E7334='Visual SPC'!$I$4),OR('Visual SPC'!$K$4="",'Data Entry'!$F7334='Visual SPC'!$K$4)),1,0))</f>
        <v/>
      </c>
      <c r="C7334">
        <f>C7333+B7334</f>
        <v/>
      </c>
      <c r="D7334">
        <f>IF(B7334=1,INDEX('Data Entry'!$H$5:$BE$10004,7334-4,'Visual SPC'!$B$3),"")</f>
        <v/>
      </c>
      <c r="E7334">
        <f>IF(B7334=1,D7334,E7333)</f>
        <v/>
      </c>
      <c r="F7334">
        <f>IF(AND(B7334=1,C7334&gt;1,E7333&lt;&gt;""),ABS(D7334-E7333),"")</f>
        <v/>
      </c>
    </row>
    <row r="7335">
      <c r="A7335" t="n">
        <v>7335</v>
      </c>
      <c r="B7335">
        <f>IF(INDEX('Data Entry'!$H$5:$BE$10004,7335-4,'Visual SPC'!$B$3)="",0,IF(AND(OR('Visual SPC'!$C$4="",'Data Entry'!$C7335&gt;='Visual SPC'!$C$4),OR('Visual SPC'!$E$4="",'Data Entry'!$C7335&lt;='Visual SPC'!$E$4),OR('Visual SPC'!$G$4="",'Data Entry'!$D7335='Visual SPC'!$G$4),OR('Visual SPC'!$I$4="",'Data Entry'!$E7335='Visual SPC'!$I$4),OR('Visual SPC'!$K$4="",'Data Entry'!$F7335='Visual SPC'!$K$4)),1,0))</f>
        <v/>
      </c>
      <c r="C7335">
        <f>C7334+B7335</f>
        <v/>
      </c>
      <c r="D7335">
        <f>IF(B7335=1,INDEX('Data Entry'!$H$5:$BE$10004,7335-4,'Visual SPC'!$B$3),"")</f>
        <v/>
      </c>
      <c r="E7335">
        <f>IF(B7335=1,D7335,E7334)</f>
        <v/>
      </c>
      <c r="F7335">
        <f>IF(AND(B7335=1,C7335&gt;1,E7334&lt;&gt;""),ABS(D7335-E7334),"")</f>
        <v/>
      </c>
    </row>
    <row r="7336">
      <c r="A7336" t="n">
        <v>7336</v>
      </c>
      <c r="B7336">
        <f>IF(INDEX('Data Entry'!$H$5:$BE$10004,7336-4,'Visual SPC'!$B$3)="",0,IF(AND(OR('Visual SPC'!$C$4="",'Data Entry'!$C7336&gt;='Visual SPC'!$C$4),OR('Visual SPC'!$E$4="",'Data Entry'!$C7336&lt;='Visual SPC'!$E$4),OR('Visual SPC'!$G$4="",'Data Entry'!$D7336='Visual SPC'!$G$4),OR('Visual SPC'!$I$4="",'Data Entry'!$E7336='Visual SPC'!$I$4),OR('Visual SPC'!$K$4="",'Data Entry'!$F7336='Visual SPC'!$K$4)),1,0))</f>
        <v/>
      </c>
      <c r="C7336">
        <f>C7335+B7336</f>
        <v/>
      </c>
      <c r="D7336">
        <f>IF(B7336=1,INDEX('Data Entry'!$H$5:$BE$10004,7336-4,'Visual SPC'!$B$3),"")</f>
        <v/>
      </c>
      <c r="E7336">
        <f>IF(B7336=1,D7336,E7335)</f>
        <v/>
      </c>
      <c r="F7336">
        <f>IF(AND(B7336=1,C7336&gt;1,E7335&lt;&gt;""),ABS(D7336-E7335),"")</f>
        <v/>
      </c>
    </row>
    <row r="7337">
      <c r="A7337" t="n">
        <v>7337</v>
      </c>
      <c r="B7337">
        <f>IF(INDEX('Data Entry'!$H$5:$BE$10004,7337-4,'Visual SPC'!$B$3)="",0,IF(AND(OR('Visual SPC'!$C$4="",'Data Entry'!$C7337&gt;='Visual SPC'!$C$4),OR('Visual SPC'!$E$4="",'Data Entry'!$C7337&lt;='Visual SPC'!$E$4),OR('Visual SPC'!$G$4="",'Data Entry'!$D7337='Visual SPC'!$G$4),OR('Visual SPC'!$I$4="",'Data Entry'!$E7337='Visual SPC'!$I$4),OR('Visual SPC'!$K$4="",'Data Entry'!$F7337='Visual SPC'!$K$4)),1,0))</f>
        <v/>
      </c>
      <c r="C7337">
        <f>C7336+B7337</f>
        <v/>
      </c>
      <c r="D7337">
        <f>IF(B7337=1,INDEX('Data Entry'!$H$5:$BE$10004,7337-4,'Visual SPC'!$B$3),"")</f>
        <v/>
      </c>
      <c r="E7337">
        <f>IF(B7337=1,D7337,E7336)</f>
        <v/>
      </c>
      <c r="F7337">
        <f>IF(AND(B7337=1,C7337&gt;1,E7336&lt;&gt;""),ABS(D7337-E7336),"")</f>
        <v/>
      </c>
    </row>
    <row r="7338">
      <c r="A7338" t="n">
        <v>7338</v>
      </c>
      <c r="B7338">
        <f>IF(INDEX('Data Entry'!$H$5:$BE$10004,7338-4,'Visual SPC'!$B$3)="",0,IF(AND(OR('Visual SPC'!$C$4="",'Data Entry'!$C7338&gt;='Visual SPC'!$C$4),OR('Visual SPC'!$E$4="",'Data Entry'!$C7338&lt;='Visual SPC'!$E$4),OR('Visual SPC'!$G$4="",'Data Entry'!$D7338='Visual SPC'!$G$4),OR('Visual SPC'!$I$4="",'Data Entry'!$E7338='Visual SPC'!$I$4),OR('Visual SPC'!$K$4="",'Data Entry'!$F7338='Visual SPC'!$K$4)),1,0))</f>
        <v/>
      </c>
      <c r="C7338">
        <f>C7337+B7338</f>
        <v/>
      </c>
      <c r="D7338">
        <f>IF(B7338=1,INDEX('Data Entry'!$H$5:$BE$10004,7338-4,'Visual SPC'!$B$3),"")</f>
        <v/>
      </c>
      <c r="E7338">
        <f>IF(B7338=1,D7338,E7337)</f>
        <v/>
      </c>
      <c r="F7338">
        <f>IF(AND(B7338=1,C7338&gt;1,E7337&lt;&gt;""),ABS(D7338-E7337),"")</f>
        <v/>
      </c>
    </row>
    <row r="7339">
      <c r="A7339" t="n">
        <v>7339</v>
      </c>
      <c r="B7339">
        <f>IF(INDEX('Data Entry'!$H$5:$BE$10004,7339-4,'Visual SPC'!$B$3)="",0,IF(AND(OR('Visual SPC'!$C$4="",'Data Entry'!$C7339&gt;='Visual SPC'!$C$4),OR('Visual SPC'!$E$4="",'Data Entry'!$C7339&lt;='Visual SPC'!$E$4),OR('Visual SPC'!$G$4="",'Data Entry'!$D7339='Visual SPC'!$G$4),OR('Visual SPC'!$I$4="",'Data Entry'!$E7339='Visual SPC'!$I$4),OR('Visual SPC'!$K$4="",'Data Entry'!$F7339='Visual SPC'!$K$4)),1,0))</f>
        <v/>
      </c>
      <c r="C7339">
        <f>C7338+B7339</f>
        <v/>
      </c>
      <c r="D7339">
        <f>IF(B7339=1,INDEX('Data Entry'!$H$5:$BE$10004,7339-4,'Visual SPC'!$B$3),"")</f>
        <v/>
      </c>
      <c r="E7339">
        <f>IF(B7339=1,D7339,E7338)</f>
        <v/>
      </c>
      <c r="F7339">
        <f>IF(AND(B7339=1,C7339&gt;1,E7338&lt;&gt;""),ABS(D7339-E7338),"")</f>
        <v/>
      </c>
    </row>
    <row r="7340">
      <c r="A7340" t="n">
        <v>7340</v>
      </c>
      <c r="B7340">
        <f>IF(INDEX('Data Entry'!$H$5:$BE$10004,7340-4,'Visual SPC'!$B$3)="",0,IF(AND(OR('Visual SPC'!$C$4="",'Data Entry'!$C7340&gt;='Visual SPC'!$C$4),OR('Visual SPC'!$E$4="",'Data Entry'!$C7340&lt;='Visual SPC'!$E$4),OR('Visual SPC'!$G$4="",'Data Entry'!$D7340='Visual SPC'!$G$4),OR('Visual SPC'!$I$4="",'Data Entry'!$E7340='Visual SPC'!$I$4),OR('Visual SPC'!$K$4="",'Data Entry'!$F7340='Visual SPC'!$K$4)),1,0))</f>
        <v/>
      </c>
      <c r="C7340">
        <f>C7339+B7340</f>
        <v/>
      </c>
      <c r="D7340">
        <f>IF(B7340=1,INDEX('Data Entry'!$H$5:$BE$10004,7340-4,'Visual SPC'!$B$3),"")</f>
        <v/>
      </c>
      <c r="E7340">
        <f>IF(B7340=1,D7340,E7339)</f>
        <v/>
      </c>
      <c r="F7340">
        <f>IF(AND(B7340=1,C7340&gt;1,E7339&lt;&gt;""),ABS(D7340-E7339),"")</f>
        <v/>
      </c>
    </row>
    <row r="7341">
      <c r="A7341" t="n">
        <v>7341</v>
      </c>
      <c r="B7341">
        <f>IF(INDEX('Data Entry'!$H$5:$BE$10004,7341-4,'Visual SPC'!$B$3)="",0,IF(AND(OR('Visual SPC'!$C$4="",'Data Entry'!$C7341&gt;='Visual SPC'!$C$4),OR('Visual SPC'!$E$4="",'Data Entry'!$C7341&lt;='Visual SPC'!$E$4),OR('Visual SPC'!$G$4="",'Data Entry'!$D7341='Visual SPC'!$G$4),OR('Visual SPC'!$I$4="",'Data Entry'!$E7341='Visual SPC'!$I$4),OR('Visual SPC'!$K$4="",'Data Entry'!$F7341='Visual SPC'!$K$4)),1,0))</f>
        <v/>
      </c>
      <c r="C7341">
        <f>C7340+B7341</f>
        <v/>
      </c>
      <c r="D7341">
        <f>IF(B7341=1,INDEX('Data Entry'!$H$5:$BE$10004,7341-4,'Visual SPC'!$B$3),"")</f>
        <v/>
      </c>
      <c r="E7341">
        <f>IF(B7341=1,D7341,E7340)</f>
        <v/>
      </c>
      <c r="F7341">
        <f>IF(AND(B7341=1,C7341&gt;1,E7340&lt;&gt;""),ABS(D7341-E7340),"")</f>
        <v/>
      </c>
    </row>
    <row r="7342">
      <c r="A7342" t="n">
        <v>7342</v>
      </c>
      <c r="B7342">
        <f>IF(INDEX('Data Entry'!$H$5:$BE$10004,7342-4,'Visual SPC'!$B$3)="",0,IF(AND(OR('Visual SPC'!$C$4="",'Data Entry'!$C7342&gt;='Visual SPC'!$C$4),OR('Visual SPC'!$E$4="",'Data Entry'!$C7342&lt;='Visual SPC'!$E$4),OR('Visual SPC'!$G$4="",'Data Entry'!$D7342='Visual SPC'!$G$4),OR('Visual SPC'!$I$4="",'Data Entry'!$E7342='Visual SPC'!$I$4),OR('Visual SPC'!$K$4="",'Data Entry'!$F7342='Visual SPC'!$K$4)),1,0))</f>
        <v/>
      </c>
      <c r="C7342">
        <f>C7341+B7342</f>
        <v/>
      </c>
      <c r="D7342">
        <f>IF(B7342=1,INDEX('Data Entry'!$H$5:$BE$10004,7342-4,'Visual SPC'!$B$3),"")</f>
        <v/>
      </c>
      <c r="E7342">
        <f>IF(B7342=1,D7342,E7341)</f>
        <v/>
      </c>
      <c r="F7342">
        <f>IF(AND(B7342=1,C7342&gt;1,E7341&lt;&gt;""),ABS(D7342-E7341),"")</f>
        <v/>
      </c>
    </row>
    <row r="7343">
      <c r="A7343" t="n">
        <v>7343</v>
      </c>
      <c r="B7343">
        <f>IF(INDEX('Data Entry'!$H$5:$BE$10004,7343-4,'Visual SPC'!$B$3)="",0,IF(AND(OR('Visual SPC'!$C$4="",'Data Entry'!$C7343&gt;='Visual SPC'!$C$4),OR('Visual SPC'!$E$4="",'Data Entry'!$C7343&lt;='Visual SPC'!$E$4),OR('Visual SPC'!$G$4="",'Data Entry'!$D7343='Visual SPC'!$G$4),OR('Visual SPC'!$I$4="",'Data Entry'!$E7343='Visual SPC'!$I$4),OR('Visual SPC'!$K$4="",'Data Entry'!$F7343='Visual SPC'!$K$4)),1,0))</f>
        <v/>
      </c>
      <c r="C7343">
        <f>C7342+B7343</f>
        <v/>
      </c>
      <c r="D7343">
        <f>IF(B7343=1,INDEX('Data Entry'!$H$5:$BE$10004,7343-4,'Visual SPC'!$B$3),"")</f>
        <v/>
      </c>
      <c r="E7343">
        <f>IF(B7343=1,D7343,E7342)</f>
        <v/>
      </c>
      <c r="F7343">
        <f>IF(AND(B7343=1,C7343&gt;1,E7342&lt;&gt;""),ABS(D7343-E7342),"")</f>
        <v/>
      </c>
    </row>
    <row r="7344">
      <c r="A7344" t="n">
        <v>7344</v>
      </c>
      <c r="B7344">
        <f>IF(INDEX('Data Entry'!$H$5:$BE$10004,7344-4,'Visual SPC'!$B$3)="",0,IF(AND(OR('Visual SPC'!$C$4="",'Data Entry'!$C7344&gt;='Visual SPC'!$C$4),OR('Visual SPC'!$E$4="",'Data Entry'!$C7344&lt;='Visual SPC'!$E$4),OR('Visual SPC'!$G$4="",'Data Entry'!$D7344='Visual SPC'!$G$4),OR('Visual SPC'!$I$4="",'Data Entry'!$E7344='Visual SPC'!$I$4),OR('Visual SPC'!$K$4="",'Data Entry'!$F7344='Visual SPC'!$K$4)),1,0))</f>
        <v/>
      </c>
      <c r="C7344">
        <f>C7343+B7344</f>
        <v/>
      </c>
      <c r="D7344">
        <f>IF(B7344=1,INDEX('Data Entry'!$H$5:$BE$10004,7344-4,'Visual SPC'!$B$3),"")</f>
        <v/>
      </c>
      <c r="E7344">
        <f>IF(B7344=1,D7344,E7343)</f>
        <v/>
      </c>
      <c r="F7344">
        <f>IF(AND(B7344=1,C7344&gt;1,E7343&lt;&gt;""),ABS(D7344-E7343),"")</f>
        <v/>
      </c>
    </row>
    <row r="7345">
      <c r="A7345" t="n">
        <v>7345</v>
      </c>
      <c r="B7345">
        <f>IF(INDEX('Data Entry'!$H$5:$BE$10004,7345-4,'Visual SPC'!$B$3)="",0,IF(AND(OR('Visual SPC'!$C$4="",'Data Entry'!$C7345&gt;='Visual SPC'!$C$4),OR('Visual SPC'!$E$4="",'Data Entry'!$C7345&lt;='Visual SPC'!$E$4),OR('Visual SPC'!$G$4="",'Data Entry'!$D7345='Visual SPC'!$G$4),OR('Visual SPC'!$I$4="",'Data Entry'!$E7345='Visual SPC'!$I$4),OR('Visual SPC'!$K$4="",'Data Entry'!$F7345='Visual SPC'!$K$4)),1,0))</f>
        <v/>
      </c>
      <c r="C7345">
        <f>C7344+B7345</f>
        <v/>
      </c>
      <c r="D7345">
        <f>IF(B7345=1,INDEX('Data Entry'!$H$5:$BE$10004,7345-4,'Visual SPC'!$B$3),"")</f>
        <v/>
      </c>
      <c r="E7345">
        <f>IF(B7345=1,D7345,E7344)</f>
        <v/>
      </c>
      <c r="F7345">
        <f>IF(AND(B7345=1,C7345&gt;1,E7344&lt;&gt;""),ABS(D7345-E7344),"")</f>
        <v/>
      </c>
    </row>
    <row r="7346">
      <c r="A7346" t="n">
        <v>7346</v>
      </c>
      <c r="B7346">
        <f>IF(INDEX('Data Entry'!$H$5:$BE$10004,7346-4,'Visual SPC'!$B$3)="",0,IF(AND(OR('Visual SPC'!$C$4="",'Data Entry'!$C7346&gt;='Visual SPC'!$C$4),OR('Visual SPC'!$E$4="",'Data Entry'!$C7346&lt;='Visual SPC'!$E$4),OR('Visual SPC'!$G$4="",'Data Entry'!$D7346='Visual SPC'!$G$4),OR('Visual SPC'!$I$4="",'Data Entry'!$E7346='Visual SPC'!$I$4),OR('Visual SPC'!$K$4="",'Data Entry'!$F7346='Visual SPC'!$K$4)),1,0))</f>
        <v/>
      </c>
      <c r="C7346">
        <f>C7345+B7346</f>
        <v/>
      </c>
      <c r="D7346">
        <f>IF(B7346=1,INDEX('Data Entry'!$H$5:$BE$10004,7346-4,'Visual SPC'!$B$3),"")</f>
        <v/>
      </c>
      <c r="E7346">
        <f>IF(B7346=1,D7346,E7345)</f>
        <v/>
      </c>
      <c r="F7346">
        <f>IF(AND(B7346=1,C7346&gt;1,E7345&lt;&gt;""),ABS(D7346-E7345),"")</f>
        <v/>
      </c>
    </row>
    <row r="7347">
      <c r="A7347" t="n">
        <v>7347</v>
      </c>
      <c r="B7347">
        <f>IF(INDEX('Data Entry'!$H$5:$BE$10004,7347-4,'Visual SPC'!$B$3)="",0,IF(AND(OR('Visual SPC'!$C$4="",'Data Entry'!$C7347&gt;='Visual SPC'!$C$4),OR('Visual SPC'!$E$4="",'Data Entry'!$C7347&lt;='Visual SPC'!$E$4),OR('Visual SPC'!$G$4="",'Data Entry'!$D7347='Visual SPC'!$G$4),OR('Visual SPC'!$I$4="",'Data Entry'!$E7347='Visual SPC'!$I$4),OR('Visual SPC'!$K$4="",'Data Entry'!$F7347='Visual SPC'!$K$4)),1,0))</f>
        <v/>
      </c>
      <c r="C7347">
        <f>C7346+B7347</f>
        <v/>
      </c>
      <c r="D7347">
        <f>IF(B7347=1,INDEX('Data Entry'!$H$5:$BE$10004,7347-4,'Visual SPC'!$B$3),"")</f>
        <v/>
      </c>
      <c r="E7347">
        <f>IF(B7347=1,D7347,E7346)</f>
        <v/>
      </c>
      <c r="F7347">
        <f>IF(AND(B7347=1,C7347&gt;1,E7346&lt;&gt;""),ABS(D7347-E7346),"")</f>
        <v/>
      </c>
    </row>
    <row r="7348">
      <c r="A7348" t="n">
        <v>7348</v>
      </c>
      <c r="B7348">
        <f>IF(INDEX('Data Entry'!$H$5:$BE$10004,7348-4,'Visual SPC'!$B$3)="",0,IF(AND(OR('Visual SPC'!$C$4="",'Data Entry'!$C7348&gt;='Visual SPC'!$C$4),OR('Visual SPC'!$E$4="",'Data Entry'!$C7348&lt;='Visual SPC'!$E$4),OR('Visual SPC'!$G$4="",'Data Entry'!$D7348='Visual SPC'!$G$4),OR('Visual SPC'!$I$4="",'Data Entry'!$E7348='Visual SPC'!$I$4),OR('Visual SPC'!$K$4="",'Data Entry'!$F7348='Visual SPC'!$K$4)),1,0))</f>
        <v/>
      </c>
      <c r="C7348">
        <f>C7347+B7348</f>
        <v/>
      </c>
      <c r="D7348">
        <f>IF(B7348=1,INDEX('Data Entry'!$H$5:$BE$10004,7348-4,'Visual SPC'!$B$3),"")</f>
        <v/>
      </c>
      <c r="E7348">
        <f>IF(B7348=1,D7348,E7347)</f>
        <v/>
      </c>
      <c r="F7348">
        <f>IF(AND(B7348=1,C7348&gt;1,E7347&lt;&gt;""),ABS(D7348-E7347),"")</f>
        <v/>
      </c>
    </row>
    <row r="7349">
      <c r="A7349" t="n">
        <v>7349</v>
      </c>
      <c r="B7349">
        <f>IF(INDEX('Data Entry'!$H$5:$BE$10004,7349-4,'Visual SPC'!$B$3)="",0,IF(AND(OR('Visual SPC'!$C$4="",'Data Entry'!$C7349&gt;='Visual SPC'!$C$4),OR('Visual SPC'!$E$4="",'Data Entry'!$C7349&lt;='Visual SPC'!$E$4),OR('Visual SPC'!$G$4="",'Data Entry'!$D7349='Visual SPC'!$G$4),OR('Visual SPC'!$I$4="",'Data Entry'!$E7349='Visual SPC'!$I$4),OR('Visual SPC'!$K$4="",'Data Entry'!$F7349='Visual SPC'!$K$4)),1,0))</f>
        <v/>
      </c>
      <c r="C7349">
        <f>C7348+B7349</f>
        <v/>
      </c>
      <c r="D7349">
        <f>IF(B7349=1,INDEX('Data Entry'!$H$5:$BE$10004,7349-4,'Visual SPC'!$B$3),"")</f>
        <v/>
      </c>
      <c r="E7349">
        <f>IF(B7349=1,D7349,E7348)</f>
        <v/>
      </c>
      <c r="F7349">
        <f>IF(AND(B7349=1,C7349&gt;1,E7348&lt;&gt;""),ABS(D7349-E7348),"")</f>
        <v/>
      </c>
    </row>
    <row r="7350">
      <c r="A7350" t="n">
        <v>7350</v>
      </c>
      <c r="B7350">
        <f>IF(INDEX('Data Entry'!$H$5:$BE$10004,7350-4,'Visual SPC'!$B$3)="",0,IF(AND(OR('Visual SPC'!$C$4="",'Data Entry'!$C7350&gt;='Visual SPC'!$C$4),OR('Visual SPC'!$E$4="",'Data Entry'!$C7350&lt;='Visual SPC'!$E$4),OR('Visual SPC'!$G$4="",'Data Entry'!$D7350='Visual SPC'!$G$4),OR('Visual SPC'!$I$4="",'Data Entry'!$E7350='Visual SPC'!$I$4),OR('Visual SPC'!$K$4="",'Data Entry'!$F7350='Visual SPC'!$K$4)),1,0))</f>
        <v/>
      </c>
      <c r="C7350">
        <f>C7349+B7350</f>
        <v/>
      </c>
      <c r="D7350">
        <f>IF(B7350=1,INDEX('Data Entry'!$H$5:$BE$10004,7350-4,'Visual SPC'!$B$3),"")</f>
        <v/>
      </c>
      <c r="E7350">
        <f>IF(B7350=1,D7350,E7349)</f>
        <v/>
      </c>
      <c r="F7350">
        <f>IF(AND(B7350=1,C7350&gt;1,E7349&lt;&gt;""),ABS(D7350-E7349),"")</f>
        <v/>
      </c>
    </row>
    <row r="7351">
      <c r="A7351" t="n">
        <v>7351</v>
      </c>
      <c r="B7351">
        <f>IF(INDEX('Data Entry'!$H$5:$BE$10004,7351-4,'Visual SPC'!$B$3)="",0,IF(AND(OR('Visual SPC'!$C$4="",'Data Entry'!$C7351&gt;='Visual SPC'!$C$4),OR('Visual SPC'!$E$4="",'Data Entry'!$C7351&lt;='Visual SPC'!$E$4),OR('Visual SPC'!$G$4="",'Data Entry'!$D7351='Visual SPC'!$G$4),OR('Visual SPC'!$I$4="",'Data Entry'!$E7351='Visual SPC'!$I$4),OR('Visual SPC'!$K$4="",'Data Entry'!$F7351='Visual SPC'!$K$4)),1,0))</f>
        <v/>
      </c>
      <c r="C7351">
        <f>C7350+B7351</f>
        <v/>
      </c>
      <c r="D7351">
        <f>IF(B7351=1,INDEX('Data Entry'!$H$5:$BE$10004,7351-4,'Visual SPC'!$B$3),"")</f>
        <v/>
      </c>
      <c r="E7351">
        <f>IF(B7351=1,D7351,E7350)</f>
        <v/>
      </c>
      <c r="F7351">
        <f>IF(AND(B7351=1,C7351&gt;1,E7350&lt;&gt;""),ABS(D7351-E7350),"")</f>
        <v/>
      </c>
    </row>
    <row r="7352">
      <c r="A7352" t="n">
        <v>7352</v>
      </c>
      <c r="B7352">
        <f>IF(INDEX('Data Entry'!$H$5:$BE$10004,7352-4,'Visual SPC'!$B$3)="",0,IF(AND(OR('Visual SPC'!$C$4="",'Data Entry'!$C7352&gt;='Visual SPC'!$C$4),OR('Visual SPC'!$E$4="",'Data Entry'!$C7352&lt;='Visual SPC'!$E$4),OR('Visual SPC'!$G$4="",'Data Entry'!$D7352='Visual SPC'!$G$4),OR('Visual SPC'!$I$4="",'Data Entry'!$E7352='Visual SPC'!$I$4),OR('Visual SPC'!$K$4="",'Data Entry'!$F7352='Visual SPC'!$K$4)),1,0))</f>
        <v/>
      </c>
      <c r="C7352">
        <f>C7351+B7352</f>
        <v/>
      </c>
      <c r="D7352">
        <f>IF(B7352=1,INDEX('Data Entry'!$H$5:$BE$10004,7352-4,'Visual SPC'!$B$3),"")</f>
        <v/>
      </c>
      <c r="E7352">
        <f>IF(B7352=1,D7352,E7351)</f>
        <v/>
      </c>
      <c r="F7352">
        <f>IF(AND(B7352=1,C7352&gt;1,E7351&lt;&gt;""),ABS(D7352-E7351),"")</f>
        <v/>
      </c>
    </row>
    <row r="7353">
      <c r="A7353" t="n">
        <v>7353</v>
      </c>
      <c r="B7353">
        <f>IF(INDEX('Data Entry'!$H$5:$BE$10004,7353-4,'Visual SPC'!$B$3)="",0,IF(AND(OR('Visual SPC'!$C$4="",'Data Entry'!$C7353&gt;='Visual SPC'!$C$4),OR('Visual SPC'!$E$4="",'Data Entry'!$C7353&lt;='Visual SPC'!$E$4),OR('Visual SPC'!$G$4="",'Data Entry'!$D7353='Visual SPC'!$G$4),OR('Visual SPC'!$I$4="",'Data Entry'!$E7353='Visual SPC'!$I$4),OR('Visual SPC'!$K$4="",'Data Entry'!$F7353='Visual SPC'!$K$4)),1,0))</f>
        <v/>
      </c>
      <c r="C7353">
        <f>C7352+B7353</f>
        <v/>
      </c>
      <c r="D7353">
        <f>IF(B7353=1,INDEX('Data Entry'!$H$5:$BE$10004,7353-4,'Visual SPC'!$B$3),"")</f>
        <v/>
      </c>
      <c r="E7353">
        <f>IF(B7353=1,D7353,E7352)</f>
        <v/>
      </c>
      <c r="F7353">
        <f>IF(AND(B7353=1,C7353&gt;1,E7352&lt;&gt;""),ABS(D7353-E7352),"")</f>
        <v/>
      </c>
    </row>
    <row r="7354">
      <c r="A7354" t="n">
        <v>7354</v>
      </c>
      <c r="B7354">
        <f>IF(INDEX('Data Entry'!$H$5:$BE$10004,7354-4,'Visual SPC'!$B$3)="",0,IF(AND(OR('Visual SPC'!$C$4="",'Data Entry'!$C7354&gt;='Visual SPC'!$C$4),OR('Visual SPC'!$E$4="",'Data Entry'!$C7354&lt;='Visual SPC'!$E$4),OR('Visual SPC'!$G$4="",'Data Entry'!$D7354='Visual SPC'!$G$4),OR('Visual SPC'!$I$4="",'Data Entry'!$E7354='Visual SPC'!$I$4),OR('Visual SPC'!$K$4="",'Data Entry'!$F7354='Visual SPC'!$K$4)),1,0))</f>
        <v/>
      </c>
      <c r="C7354">
        <f>C7353+B7354</f>
        <v/>
      </c>
      <c r="D7354">
        <f>IF(B7354=1,INDEX('Data Entry'!$H$5:$BE$10004,7354-4,'Visual SPC'!$B$3),"")</f>
        <v/>
      </c>
      <c r="E7354">
        <f>IF(B7354=1,D7354,E7353)</f>
        <v/>
      </c>
      <c r="F7354">
        <f>IF(AND(B7354=1,C7354&gt;1,E7353&lt;&gt;""),ABS(D7354-E7353),"")</f>
        <v/>
      </c>
    </row>
    <row r="7355">
      <c r="A7355" t="n">
        <v>7355</v>
      </c>
      <c r="B7355">
        <f>IF(INDEX('Data Entry'!$H$5:$BE$10004,7355-4,'Visual SPC'!$B$3)="",0,IF(AND(OR('Visual SPC'!$C$4="",'Data Entry'!$C7355&gt;='Visual SPC'!$C$4),OR('Visual SPC'!$E$4="",'Data Entry'!$C7355&lt;='Visual SPC'!$E$4),OR('Visual SPC'!$G$4="",'Data Entry'!$D7355='Visual SPC'!$G$4),OR('Visual SPC'!$I$4="",'Data Entry'!$E7355='Visual SPC'!$I$4),OR('Visual SPC'!$K$4="",'Data Entry'!$F7355='Visual SPC'!$K$4)),1,0))</f>
        <v/>
      </c>
      <c r="C7355">
        <f>C7354+B7355</f>
        <v/>
      </c>
      <c r="D7355">
        <f>IF(B7355=1,INDEX('Data Entry'!$H$5:$BE$10004,7355-4,'Visual SPC'!$B$3),"")</f>
        <v/>
      </c>
      <c r="E7355">
        <f>IF(B7355=1,D7355,E7354)</f>
        <v/>
      </c>
      <c r="F7355">
        <f>IF(AND(B7355=1,C7355&gt;1,E7354&lt;&gt;""),ABS(D7355-E7354),"")</f>
        <v/>
      </c>
    </row>
    <row r="7356">
      <c r="A7356" t="n">
        <v>7356</v>
      </c>
      <c r="B7356">
        <f>IF(INDEX('Data Entry'!$H$5:$BE$10004,7356-4,'Visual SPC'!$B$3)="",0,IF(AND(OR('Visual SPC'!$C$4="",'Data Entry'!$C7356&gt;='Visual SPC'!$C$4),OR('Visual SPC'!$E$4="",'Data Entry'!$C7356&lt;='Visual SPC'!$E$4),OR('Visual SPC'!$G$4="",'Data Entry'!$D7356='Visual SPC'!$G$4),OR('Visual SPC'!$I$4="",'Data Entry'!$E7356='Visual SPC'!$I$4),OR('Visual SPC'!$K$4="",'Data Entry'!$F7356='Visual SPC'!$K$4)),1,0))</f>
        <v/>
      </c>
      <c r="C7356">
        <f>C7355+B7356</f>
        <v/>
      </c>
      <c r="D7356">
        <f>IF(B7356=1,INDEX('Data Entry'!$H$5:$BE$10004,7356-4,'Visual SPC'!$B$3),"")</f>
        <v/>
      </c>
      <c r="E7356">
        <f>IF(B7356=1,D7356,E7355)</f>
        <v/>
      </c>
      <c r="F7356">
        <f>IF(AND(B7356=1,C7356&gt;1,E7355&lt;&gt;""),ABS(D7356-E7355),"")</f>
        <v/>
      </c>
    </row>
    <row r="7357">
      <c r="A7357" t="n">
        <v>7357</v>
      </c>
      <c r="B7357">
        <f>IF(INDEX('Data Entry'!$H$5:$BE$10004,7357-4,'Visual SPC'!$B$3)="",0,IF(AND(OR('Visual SPC'!$C$4="",'Data Entry'!$C7357&gt;='Visual SPC'!$C$4),OR('Visual SPC'!$E$4="",'Data Entry'!$C7357&lt;='Visual SPC'!$E$4),OR('Visual SPC'!$G$4="",'Data Entry'!$D7357='Visual SPC'!$G$4),OR('Visual SPC'!$I$4="",'Data Entry'!$E7357='Visual SPC'!$I$4),OR('Visual SPC'!$K$4="",'Data Entry'!$F7357='Visual SPC'!$K$4)),1,0))</f>
        <v/>
      </c>
      <c r="C7357">
        <f>C7356+B7357</f>
        <v/>
      </c>
      <c r="D7357">
        <f>IF(B7357=1,INDEX('Data Entry'!$H$5:$BE$10004,7357-4,'Visual SPC'!$B$3),"")</f>
        <v/>
      </c>
      <c r="E7357">
        <f>IF(B7357=1,D7357,E7356)</f>
        <v/>
      </c>
      <c r="F7357">
        <f>IF(AND(B7357=1,C7357&gt;1,E7356&lt;&gt;""),ABS(D7357-E7356),"")</f>
        <v/>
      </c>
    </row>
    <row r="7358">
      <c r="A7358" t="n">
        <v>7358</v>
      </c>
      <c r="B7358">
        <f>IF(INDEX('Data Entry'!$H$5:$BE$10004,7358-4,'Visual SPC'!$B$3)="",0,IF(AND(OR('Visual SPC'!$C$4="",'Data Entry'!$C7358&gt;='Visual SPC'!$C$4),OR('Visual SPC'!$E$4="",'Data Entry'!$C7358&lt;='Visual SPC'!$E$4),OR('Visual SPC'!$G$4="",'Data Entry'!$D7358='Visual SPC'!$G$4),OR('Visual SPC'!$I$4="",'Data Entry'!$E7358='Visual SPC'!$I$4),OR('Visual SPC'!$K$4="",'Data Entry'!$F7358='Visual SPC'!$K$4)),1,0))</f>
        <v/>
      </c>
      <c r="C7358">
        <f>C7357+B7358</f>
        <v/>
      </c>
      <c r="D7358">
        <f>IF(B7358=1,INDEX('Data Entry'!$H$5:$BE$10004,7358-4,'Visual SPC'!$B$3),"")</f>
        <v/>
      </c>
      <c r="E7358">
        <f>IF(B7358=1,D7358,E7357)</f>
        <v/>
      </c>
      <c r="F7358">
        <f>IF(AND(B7358=1,C7358&gt;1,E7357&lt;&gt;""),ABS(D7358-E7357),"")</f>
        <v/>
      </c>
    </row>
    <row r="7359">
      <c r="A7359" t="n">
        <v>7359</v>
      </c>
      <c r="B7359">
        <f>IF(INDEX('Data Entry'!$H$5:$BE$10004,7359-4,'Visual SPC'!$B$3)="",0,IF(AND(OR('Visual SPC'!$C$4="",'Data Entry'!$C7359&gt;='Visual SPC'!$C$4),OR('Visual SPC'!$E$4="",'Data Entry'!$C7359&lt;='Visual SPC'!$E$4),OR('Visual SPC'!$G$4="",'Data Entry'!$D7359='Visual SPC'!$G$4),OR('Visual SPC'!$I$4="",'Data Entry'!$E7359='Visual SPC'!$I$4),OR('Visual SPC'!$K$4="",'Data Entry'!$F7359='Visual SPC'!$K$4)),1,0))</f>
        <v/>
      </c>
      <c r="C7359">
        <f>C7358+B7359</f>
        <v/>
      </c>
      <c r="D7359">
        <f>IF(B7359=1,INDEX('Data Entry'!$H$5:$BE$10004,7359-4,'Visual SPC'!$B$3),"")</f>
        <v/>
      </c>
      <c r="E7359">
        <f>IF(B7359=1,D7359,E7358)</f>
        <v/>
      </c>
      <c r="F7359">
        <f>IF(AND(B7359=1,C7359&gt;1,E7358&lt;&gt;""),ABS(D7359-E7358),"")</f>
        <v/>
      </c>
    </row>
    <row r="7360">
      <c r="A7360" t="n">
        <v>7360</v>
      </c>
      <c r="B7360">
        <f>IF(INDEX('Data Entry'!$H$5:$BE$10004,7360-4,'Visual SPC'!$B$3)="",0,IF(AND(OR('Visual SPC'!$C$4="",'Data Entry'!$C7360&gt;='Visual SPC'!$C$4),OR('Visual SPC'!$E$4="",'Data Entry'!$C7360&lt;='Visual SPC'!$E$4),OR('Visual SPC'!$G$4="",'Data Entry'!$D7360='Visual SPC'!$G$4),OR('Visual SPC'!$I$4="",'Data Entry'!$E7360='Visual SPC'!$I$4),OR('Visual SPC'!$K$4="",'Data Entry'!$F7360='Visual SPC'!$K$4)),1,0))</f>
        <v/>
      </c>
      <c r="C7360">
        <f>C7359+B7360</f>
        <v/>
      </c>
      <c r="D7360">
        <f>IF(B7360=1,INDEX('Data Entry'!$H$5:$BE$10004,7360-4,'Visual SPC'!$B$3),"")</f>
        <v/>
      </c>
      <c r="E7360">
        <f>IF(B7360=1,D7360,E7359)</f>
        <v/>
      </c>
      <c r="F7360">
        <f>IF(AND(B7360=1,C7360&gt;1,E7359&lt;&gt;""),ABS(D7360-E7359),"")</f>
        <v/>
      </c>
    </row>
    <row r="7361">
      <c r="A7361" t="n">
        <v>7361</v>
      </c>
      <c r="B7361">
        <f>IF(INDEX('Data Entry'!$H$5:$BE$10004,7361-4,'Visual SPC'!$B$3)="",0,IF(AND(OR('Visual SPC'!$C$4="",'Data Entry'!$C7361&gt;='Visual SPC'!$C$4),OR('Visual SPC'!$E$4="",'Data Entry'!$C7361&lt;='Visual SPC'!$E$4),OR('Visual SPC'!$G$4="",'Data Entry'!$D7361='Visual SPC'!$G$4),OR('Visual SPC'!$I$4="",'Data Entry'!$E7361='Visual SPC'!$I$4),OR('Visual SPC'!$K$4="",'Data Entry'!$F7361='Visual SPC'!$K$4)),1,0))</f>
        <v/>
      </c>
      <c r="C7361">
        <f>C7360+B7361</f>
        <v/>
      </c>
      <c r="D7361">
        <f>IF(B7361=1,INDEX('Data Entry'!$H$5:$BE$10004,7361-4,'Visual SPC'!$B$3),"")</f>
        <v/>
      </c>
      <c r="E7361">
        <f>IF(B7361=1,D7361,E7360)</f>
        <v/>
      </c>
      <c r="F7361">
        <f>IF(AND(B7361=1,C7361&gt;1,E7360&lt;&gt;""),ABS(D7361-E7360),"")</f>
        <v/>
      </c>
    </row>
    <row r="7362">
      <c r="A7362" t="n">
        <v>7362</v>
      </c>
      <c r="B7362">
        <f>IF(INDEX('Data Entry'!$H$5:$BE$10004,7362-4,'Visual SPC'!$B$3)="",0,IF(AND(OR('Visual SPC'!$C$4="",'Data Entry'!$C7362&gt;='Visual SPC'!$C$4),OR('Visual SPC'!$E$4="",'Data Entry'!$C7362&lt;='Visual SPC'!$E$4),OR('Visual SPC'!$G$4="",'Data Entry'!$D7362='Visual SPC'!$G$4),OR('Visual SPC'!$I$4="",'Data Entry'!$E7362='Visual SPC'!$I$4),OR('Visual SPC'!$K$4="",'Data Entry'!$F7362='Visual SPC'!$K$4)),1,0))</f>
        <v/>
      </c>
      <c r="C7362">
        <f>C7361+B7362</f>
        <v/>
      </c>
      <c r="D7362">
        <f>IF(B7362=1,INDEX('Data Entry'!$H$5:$BE$10004,7362-4,'Visual SPC'!$B$3),"")</f>
        <v/>
      </c>
      <c r="E7362">
        <f>IF(B7362=1,D7362,E7361)</f>
        <v/>
      </c>
      <c r="F7362">
        <f>IF(AND(B7362=1,C7362&gt;1,E7361&lt;&gt;""),ABS(D7362-E7361),"")</f>
        <v/>
      </c>
    </row>
    <row r="7363">
      <c r="A7363" t="n">
        <v>7363</v>
      </c>
      <c r="B7363">
        <f>IF(INDEX('Data Entry'!$H$5:$BE$10004,7363-4,'Visual SPC'!$B$3)="",0,IF(AND(OR('Visual SPC'!$C$4="",'Data Entry'!$C7363&gt;='Visual SPC'!$C$4),OR('Visual SPC'!$E$4="",'Data Entry'!$C7363&lt;='Visual SPC'!$E$4),OR('Visual SPC'!$G$4="",'Data Entry'!$D7363='Visual SPC'!$G$4),OR('Visual SPC'!$I$4="",'Data Entry'!$E7363='Visual SPC'!$I$4),OR('Visual SPC'!$K$4="",'Data Entry'!$F7363='Visual SPC'!$K$4)),1,0))</f>
        <v/>
      </c>
      <c r="C7363">
        <f>C7362+B7363</f>
        <v/>
      </c>
      <c r="D7363">
        <f>IF(B7363=1,INDEX('Data Entry'!$H$5:$BE$10004,7363-4,'Visual SPC'!$B$3),"")</f>
        <v/>
      </c>
      <c r="E7363">
        <f>IF(B7363=1,D7363,E7362)</f>
        <v/>
      </c>
      <c r="F7363">
        <f>IF(AND(B7363=1,C7363&gt;1,E7362&lt;&gt;""),ABS(D7363-E7362),"")</f>
        <v/>
      </c>
    </row>
    <row r="7364">
      <c r="A7364" t="n">
        <v>7364</v>
      </c>
      <c r="B7364">
        <f>IF(INDEX('Data Entry'!$H$5:$BE$10004,7364-4,'Visual SPC'!$B$3)="",0,IF(AND(OR('Visual SPC'!$C$4="",'Data Entry'!$C7364&gt;='Visual SPC'!$C$4),OR('Visual SPC'!$E$4="",'Data Entry'!$C7364&lt;='Visual SPC'!$E$4),OR('Visual SPC'!$G$4="",'Data Entry'!$D7364='Visual SPC'!$G$4),OR('Visual SPC'!$I$4="",'Data Entry'!$E7364='Visual SPC'!$I$4),OR('Visual SPC'!$K$4="",'Data Entry'!$F7364='Visual SPC'!$K$4)),1,0))</f>
        <v/>
      </c>
      <c r="C7364">
        <f>C7363+B7364</f>
        <v/>
      </c>
      <c r="D7364">
        <f>IF(B7364=1,INDEX('Data Entry'!$H$5:$BE$10004,7364-4,'Visual SPC'!$B$3),"")</f>
        <v/>
      </c>
      <c r="E7364">
        <f>IF(B7364=1,D7364,E7363)</f>
        <v/>
      </c>
      <c r="F7364">
        <f>IF(AND(B7364=1,C7364&gt;1,E7363&lt;&gt;""),ABS(D7364-E7363),"")</f>
        <v/>
      </c>
    </row>
    <row r="7365">
      <c r="A7365" t="n">
        <v>7365</v>
      </c>
      <c r="B7365">
        <f>IF(INDEX('Data Entry'!$H$5:$BE$10004,7365-4,'Visual SPC'!$B$3)="",0,IF(AND(OR('Visual SPC'!$C$4="",'Data Entry'!$C7365&gt;='Visual SPC'!$C$4),OR('Visual SPC'!$E$4="",'Data Entry'!$C7365&lt;='Visual SPC'!$E$4),OR('Visual SPC'!$G$4="",'Data Entry'!$D7365='Visual SPC'!$G$4),OR('Visual SPC'!$I$4="",'Data Entry'!$E7365='Visual SPC'!$I$4),OR('Visual SPC'!$K$4="",'Data Entry'!$F7365='Visual SPC'!$K$4)),1,0))</f>
        <v/>
      </c>
      <c r="C7365">
        <f>C7364+B7365</f>
        <v/>
      </c>
      <c r="D7365">
        <f>IF(B7365=1,INDEX('Data Entry'!$H$5:$BE$10004,7365-4,'Visual SPC'!$B$3),"")</f>
        <v/>
      </c>
      <c r="E7365">
        <f>IF(B7365=1,D7365,E7364)</f>
        <v/>
      </c>
      <c r="F7365">
        <f>IF(AND(B7365=1,C7365&gt;1,E7364&lt;&gt;""),ABS(D7365-E7364),"")</f>
        <v/>
      </c>
    </row>
    <row r="7366">
      <c r="A7366" t="n">
        <v>7366</v>
      </c>
      <c r="B7366">
        <f>IF(INDEX('Data Entry'!$H$5:$BE$10004,7366-4,'Visual SPC'!$B$3)="",0,IF(AND(OR('Visual SPC'!$C$4="",'Data Entry'!$C7366&gt;='Visual SPC'!$C$4),OR('Visual SPC'!$E$4="",'Data Entry'!$C7366&lt;='Visual SPC'!$E$4),OR('Visual SPC'!$G$4="",'Data Entry'!$D7366='Visual SPC'!$G$4),OR('Visual SPC'!$I$4="",'Data Entry'!$E7366='Visual SPC'!$I$4),OR('Visual SPC'!$K$4="",'Data Entry'!$F7366='Visual SPC'!$K$4)),1,0))</f>
        <v/>
      </c>
      <c r="C7366">
        <f>C7365+B7366</f>
        <v/>
      </c>
      <c r="D7366">
        <f>IF(B7366=1,INDEX('Data Entry'!$H$5:$BE$10004,7366-4,'Visual SPC'!$B$3),"")</f>
        <v/>
      </c>
      <c r="E7366">
        <f>IF(B7366=1,D7366,E7365)</f>
        <v/>
      </c>
      <c r="F7366">
        <f>IF(AND(B7366=1,C7366&gt;1,E7365&lt;&gt;""),ABS(D7366-E7365),"")</f>
        <v/>
      </c>
    </row>
    <row r="7367">
      <c r="A7367" t="n">
        <v>7367</v>
      </c>
      <c r="B7367">
        <f>IF(INDEX('Data Entry'!$H$5:$BE$10004,7367-4,'Visual SPC'!$B$3)="",0,IF(AND(OR('Visual SPC'!$C$4="",'Data Entry'!$C7367&gt;='Visual SPC'!$C$4),OR('Visual SPC'!$E$4="",'Data Entry'!$C7367&lt;='Visual SPC'!$E$4),OR('Visual SPC'!$G$4="",'Data Entry'!$D7367='Visual SPC'!$G$4),OR('Visual SPC'!$I$4="",'Data Entry'!$E7367='Visual SPC'!$I$4),OR('Visual SPC'!$K$4="",'Data Entry'!$F7367='Visual SPC'!$K$4)),1,0))</f>
        <v/>
      </c>
      <c r="C7367">
        <f>C7366+B7367</f>
        <v/>
      </c>
      <c r="D7367">
        <f>IF(B7367=1,INDEX('Data Entry'!$H$5:$BE$10004,7367-4,'Visual SPC'!$B$3),"")</f>
        <v/>
      </c>
      <c r="E7367">
        <f>IF(B7367=1,D7367,E7366)</f>
        <v/>
      </c>
      <c r="F7367">
        <f>IF(AND(B7367=1,C7367&gt;1,E7366&lt;&gt;""),ABS(D7367-E7366),"")</f>
        <v/>
      </c>
    </row>
    <row r="7368">
      <c r="A7368" t="n">
        <v>7368</v>
      </c>
      <c r="B7368">
        <f>IF(INDEX('Data Entry'!$H$5:$BE$10004,7368-4,'Visual SPC'!$B$3)="",0,IF(AND(OR('Visual SPC'!$C$4="",'Data Entry'!$C7368&gt;='Visual SPC'!$C$4),OR('Visual SPC'!$E$4="",'Data Entry'!$C7368&lt;='Visual SPC'!$E$4),OR('Visual SPC'!$G$4="",'Data Entry'!$D7368='Visual SPC'!$G$4),OR('Visual SPC'!$I$4="",'Data Entry'!$E7368='Visual SPC'!$I$4),OR('Visual SPC'!$K$4="",'Data Entry'!$F7368='Visual SPC'!$K$4)),1,0))</f>
        <v/>
      </c>
      <c r="C7368">
        <f>C7367+B7368</f>
        <v/>
      </c>
      <c r="D7368">
        <f>IF(B7368=1,INDEX('Data Entry'!$H$5:$BE$10004,7368-4,'Visual SPC'!$B$3),"")</f>
        <v/>
      </c>
      <c r="E7368">
        <f>IF(B7368=1,D7368,E7367)</f>
        <v/>
      </c>
      <c r="F7368">
        <f>IF(AND(B7368=1,C7368&gt;1,E7367&lt;&gt;""),ABS(D7368-E7367),"")</f>
        <v/>
      </c>
    </row>
    <row r="7369">
      <c r="A7369" t="n">
        <v>7369</v>
      </c>
      <c r="B7369">
        <f>IF(INDEX('Data Entry'!$H$5:$BE$10004,7369-4,'Visual SPC'!$B$3)="",0,IF(AND(OR('Visual SPC'!$C$4="",'Data Entry'!$C7369&gt;='Visual SPC'!$C$4),OR('Visual SPC'!$E$4="",'Data Entry'!$C7369&lt;='Visual SPC'!$E$4),OR('Visual SPC'!$G$4="",'Data Entry'!$D7369='Visual SPC'!$G$4),OR('Visual SPC'!$I$4="",'Data Entry'!$E7369='Visual SPC'!$I$4),OR('Visual SPC'!$K$4="",'Data Entry'!$F7369='Visual SPC'!$K$4)),1,0))</f>
        <v/>
      </c>
      <c r="C7369">
        <f>C7368+B7369</f>
        <v/>
      </c>
      <c r="D7369">
        <f>IF(B7369=1,INDEX('Data Entry'!$H$5:$BE$10004,7369-4,'Visual SPC'!$B$3),"")</f>
        <v/>
      </c>
      <c r="E7369">
        <f>IF(B7369=1,D7369,E7368)</f>
        <v/>
      </c>
      <c r="F7369">
        <f>IF(AND(B7369=1,C7369&gt;1,E7368&lt;&gt;""),ABS(D7369-E7368),"")</f>
        <v/>
      </c>
    </row>
    <row r="7370">
      <c r="A7370" t="n">
        <v>7370</v>
      </c>
      <c r="B7370">
        <f>IF(INDEX('Data Entry'!$H$5:$BE$10004,7370-4,'Visual SPC'!$B$3)="",0,IF(AND(OR('Visual SPC'!$C$4="",'Data Entry'!$C7370&gt;='Visual SPC'!$C$4),OR('Visual SPC'!$E$4="",'Data Entry'!$C7370&lt;='Visual SPC'!$E$4),OR('Visual SPC'!$G$4="",'Data Entry'!$D7370='Visual SPC'!$G$4),OR('Visual SPC'!$I$4="",'Data Entry'!$E7370='Visual SPC'!$I$4),OR('Visual SPC'!$K$4="",'Data Entry'!$F7370='Visual SPC'!$K$4)),1,0))</f>
        <v/>
      </c>
      <c r="C7370">
        <f>C7369+B7370</f>
        <v/>
      </c>
      <c r="D7370">
        <f>IF(B7370=1,INDEX('Data Entry'!$H$5:$BE$10004,7370-4,'Visual SPC'!$B$3),"")</f>
        <v/>
      </c>
      <c r="E7370">
        <f>IF(B7370=1,D7370,E7369)</f>
        <v/>
      </c>
      <c r="F7370">
        <f>IF(AND(B7370=1,C7370&gt;1,E7369&lt;&gt;""),ABS(D7370-E7369),"")</f>
        <v/>
      </c>
    </row>
    <row r="7371">
      <c r="A7371" t="n">
        <v>7371</v>
      </c>
      <c r="B7371">
        <f>IF(INDEX('Data Entry'!$H$5:$BE$10004,7371-4,'Visual SPC'!$B$3)="",0,IF(AND(OR('Visual SPC'!$C$4="",'Data Entry'!$C7371&gt;='Visual SPC'!$C$4),OR('Visual SPC'!$E$4="",'Data Entry'!$C7371&lt;='Visual SPC'!$E$4),OR('Visual SPC'!$G$4="",'Data Entry'!$D7371='Visual SPC'!$G$4),OR('Visual SPC'!$I$4="",'Data Entry'!$E7371='Visual SPC'!$I$4),OR('Visual SPC'!$K$4="",'Data Entry'!$F7371='Visual SPC'!$K$4)),1,0))</f>
        <v/>
      </c>
      <c r="C7371">
        <f>C7370+B7371</f>
        <v/>
      </c>
      <c r="D7371">
        <f>IF(B7371=1,INDEX('Data Entry'!$H$5:$BE$10004,7371-4,'Visual SPC'!$B$3),"")</f>
        <v/>
      </c>
      <c r="E7371">
        <f>IF(B7371=1,D7371,E7370)</f>
        <v/>
      </c>
      <c r="F7371">
        <f>IF(AND(B7371=1,C7371&gt;1,E7370&lt;&gt;""),ABS(D7371-E7370),"")</f>
        <v/>
      </c>
    </row>
    <row r="7372">
      <c r="A7372" t="n">
        <v>7372</v>
      </c>
      <c r="B7372">
        <f>IF(INDEX('Data Entry'!$H$5:$BE$10004,7372-4,'Visual SPC'!$B$3)="",0,IF(AND(OR('Visual SPC'!$C$4="",'Data Entry'!$C7372&gt;='Visual SPC'!$C$4),OR('Visual SPC'!$E$4="",'Data Entry'!$C7372&lt;='Visual SPC'!$E$4),OR('Visual SPC'!$G$4="",'Data Entry'!$D7372='Visual SPC'!$G$4),OR('Visual SPC'!$I$4="",'Data Entry'!$E7372='Visual SPC'!$I$4),OR('Visual SPC'!$K$4="",'Data Entry'!$F7372='Visual SPC'!$K$4)),1,0))</f>
        <v/>
      </c>
      <c r="C7372">
        <f>C7371+B7372</f>
        <v/>
      </c>
      <c r="D7372">
        <f>IF(B7372=1,INDEX('Data Entry'!$H$5:$BE$10004,7372-4,'Visual SPC'!$B$3),"")</f>
        <v/>
      </c>
      <c r="E7372">
        <f>IF(B7372=1,D7372,E7371)</f>
        <v/>
      </c>
      <c r="F7372">
        <f>IF(AND(B7372=1,C7372&gt;1,E7371&lt;&gt;""),ABS(D7372-E7371),"")</f>
        <v/>
      </c>
    </row>
    <row r="7373">
      <c r="A7373" t="n">
        <v>7373</v>
      </c>
      <c r="B7373">
        <f>IF(INDEX('Data Entry'!$H$5:$BE$10004,7373-4,'Visual SPC'!$B$3)="",0,IF(AND(OR('Visual SPC'!$C$4="",'Data Entry'!$C7373&gt;='Visual SPC'!$C$4),OR('Visual SPC'!$E$4="",'Data Entry'!$C7373&lt;='Visual SPC'!$E$4),OR('Visual SPC'!$G$4="",'Data Entry'!$D7373='Visual SPC'!$G$4),OR('Visual SPC'!$I$4="",'Data Entry'!$E7373='Visual SPC'!$I$4),OR('Visual SPC'!$K$4="",'Data Entry'!$F7373='Visual SPC'!$K$4)),1,0))</f>
        <v/>
      </c>
      <c r="C7373">
        <f>C7372+B7373</f>
        <v/>
      </c>
      <c r="D7373">
        <f>IF(B7373=1,INDEX('Data Entry'!$H$5:$BE$10004,7373-4,'Visual SPC'!$B$3),"")</f>
        <v/>
      </c>
      <c r="E7373">
        <f>IF(B7373=1,D7373,E7372)</f>
        <v/>
      </c>
      <c r="F7373">
        <f>IF(AND(B7373=1,C7373&gt;1,E7372&lt;&gt;""),ABS(D7373-E7372),"")</f>
        <v/>
      </c>
    </row>
    <row r="7374">
      <c r="A7374" t="n">
        <v>7374</v>
      </c>
      <c r="B7374">
        <f>IF(INDEX('Data Entry'!$H$5:$BE$10004,7374-4,'Visual SPC'!$B$3)="",0,IF(AND(OR('Visual SPC'!$C$4="",'Data Entry'!$C7374&gt;='Visual SPC'!$C$4),OR('Visual SPC'!$E$4="",'Data Entry'!$C7374&lt;='Visual SPC'!$E$4),OR('Visual SPC'!$G$4="",'Data Entry'!$D7374='Visual SPC'!$G$4),OR('Visual SPC'!$I$4="",'Data Entry'!$E7374='Visual SPC'!$I$4),OR('Visual SPC'!$K$4="",'Data Entry'!$F7374='Visual SPC'!$K$4)),1,0))</f>
        <v/>
      </c>
      <c r="C7374">
        <f>C7373+B7374</f>
        <v/>
      </c>
      <c r="D7374">
        <f>IF(B7374=1,INDEX('Data Entry'!$H$5:$BE$10004,7374-4,'Visual SPC'!$B$3),"")</f>
        <v/>
      </c>
      <c r="E7374">
        <f>IF(B7374=1,D7374,E7373)</f>
        <v/>
      </c>
      <c r="F7374">
        <f>IF(AND(B7374=1,C7374&gt;1,E7373&lt;&gt;""),ABS(D7374-E7373),"")</f>
        <v/>
      </c>
    </row>
    <row r="7375">
      <c r="A7375" t="n">
        <v>7375</v>
      </c>
      <c r="B7375">
        <f>IF(INDEX('Data Entry'!$H$5:$BE$10004,7375-4,'Visual SPC'!$B$3)="",0,IF(AND(OR('Visual SPC'!$C$4="",'Data Entry'!$C7375&gt;='Visual SPC'!$C$4),OR('Visual SPC'!$E$4="",'Data Entry'!$C7375&lt;='Visual SPC'!$E$4),OR('Visual SPC'!$G$4="",'Data Entry'!$D7375='Visual SPC'!$G$4),OR('Visual SPC'!$I$4="",'Data Entry'!$E7375='Visual SPC'!$I$4),OR('Visual SPC'!$K$4="",'Data Entry'!$F7375='Visual SPC'!$K$4)),1,0))</f>
        <v/>
      </c>
      <c r="C7375">
        <f>C7374+B7375</f>
        <v/>
      </c>
      <c r="D7375">
        <f>IF(B7375=1,INDEX('Data Entry'!$H$5:$BE$10004,7375-4,'Visual SPC'!$B$3),"")</f>
        <v/>
      </c>
      <c r="E7375">
        <f>IF(B7375=1,D7375,E7374)</f>
        <v/>
      </c>
      <c r="F7375">
        <f>IF(AND(B7375=1,C7375&gt;1,E7374&lt;&gt;""),ABS(D7375-E7374),"")</f>
        <v/>
      </c>
    </row>
    <row r="7376">
      <c r="A7376" t="n">
        <v>7376</v>
      </c>
      <c r="B7376">
        <f>IF(INDEX('Data Entry'!$H$5:$BE$10004,7376-4,'Visual SPC'!$B$3)="",0,IF(AND(OR('Visual SPC'!$C$4="",'Data Entry'!$C7376&gt;='Visual SPC'!$C$4),OR('Visual SPC'!$E$4="",'Data Entry'!$C7376&lt;='Visual SPC'!$E$4),OR('Visual SPC'!$G$4="",'Data Entry'!$D7376='Visual SPC'!$G$4),OR('Visual SPC'!$I$4="",'Data Entry'!$E7376='Visual SPC'!$I$4),OR('Visual SPC'!$K$4="",'Data Entry'!$F7376='Visual SPC'!$K$4)),1,0))</f>
        <v/>
      </c>
      <c r="C7376">
        <f>C7375+B7376</f>
        <v/>
      </c>
      <c r="D7376">
        <f>IF(B7376=1,INDEX('Data Entry'!$H$5:$BE$10004,7376-4,'Visual SPC'!$B$3),"")</f>
        <v/>
      </c>
      <c r="E7376">
        <f>IF(B7376=1,D7376,E7375)</f>
        <v/>
      </c>
      <c r="F7376">
        <f>IF(AND(B7376=1,C7376&gt;1,E7375&lt;&gt;""),ABS(D7376-E7375),"")</f>
        <v/>
      </c>
    </row>
    <row r="7377">
      <c r="A7377" t="n">
        <v>7377</v>
      </c>
      <c r="B7377">
        <f>IF(INDEX('Data Entry'!$H$5:$BE$10004,7377-4,'Visual SPC'!$B$3)="",0,IF(AND(OR('Visual SPC'!$C$4="",'Data Entry'!$C7377&gt;='Visual SPC'!$C$4),OR('Visual SPC'!$E$4="",'Data Entry'!$C7377&lt;='Visual SPC'!$E$4),OR('Visual SPC'!$G$4="",'Data Entry'!$D7377='Visual SPC'!$G$4),OR('Visual SPC'!$I$4="",'Data Entry'!$E7377='Visual SPC'!$I$4),OR('Visual SPC'!$K$4="",'Data Entry'!$F7377='Visual SPC'!$K$4)),1,0))</f>
        <v/>
      </c>
      <c r="C7377">
        <f>C7376+B7377</f>
        <v/>
      </c>
      <c r="D7377">
        <f>IF(B7377=1,INDEX('Data Entry'!$H$5:$BE$10004,7377-4,'Visual SPC'!$B$3),"")</f>
        <v/>
      </c>
      <c r="E7377">
        <f>IF(B7377=1,D7377,E7376)</f>
        <v/>
      </c>
      <c r="F7377">
        <f>IF(AND(B7377=1,C7377&gt;1,E7376&lt;&gt;""),ABS(D7377-E7376),"")</f>
        <v/>
      </c>
    </row>
    <row r="7378">
      <c r="A7378" t="n">
        <v>7378</v>
      </c>
      <c r="B7378">
        <f>IF(INDEX('Data Entry'!$H$5:$BE$10004,7378-4,'Visual SPC'!$B$3)="",0,IF(AND(OR('Visual SPC'!$C$4="",'Data Entry'!$C7378&gt;='Visual SPC'!$C$4),OR('Visual SPC'!$E$4="",'Data Entry'!$C7378&lt;='Visual SPC'!$E$4),OR('Visual SPC'!$G$4="",'Data Entry'!$D7378='Visual SPC'!$G$4),OR('Visual SPC'!$I$4="",'Data Entry'!$E7378='Visual SPC'!$I$4),OR('Visual SPC'!$K$4="",'Data Entry'!$F7378='Visual SPC'!$K$4)),1,0))</f>
        <v/>
      </c>
      <c r="C7378">
        <f>C7377+B7378</f>
        <v/>
      </c>
      <c r="D7378">
        <f>IF(B7378=1,INDEX('Data Entry'!$H$5:$BE$10004,7378-4,'Visual SPC'!$B$3),"")</f>
        <v/>
      </c>
      <c r="E7378">
        <f>IF(B7378=1,D7378,E7377)</f>
        <v/>
      </c>
      <c r="F7378">
        <f>IF(AND(B7378=1,C7378&gt;1,E7377&lt;&gt;""),ABS(D7378-E7377),"")</f>
        <v/>
      </c>
    </row>
    <row r="7379">
      <c r="A7379" t="n">
        <v>7379</v>
      </c>
      <c r="B7379">
        <f>IF(INDEX('Data Entry'!$H$5:$BE$10004,7379-4,'Visual SPC'!$B$3)="",0,IF(AND(OR('Visual SPC'!$C$4="",'Data Entry'!$C7379&gt;='Visual SPC'!$C$4),OR('Visual SPC'!$E$4="",'Data Entry'!$C7379&lt;='Visual SPC'!$E$4),OR('Visual SPC'!$G$4="",'Data Entry'!$D7379='Visual SPC'!$G$4),OR('Visual SPC'!$I$4="",'Data Entry'!$E7379='Visual SPC'!$I$4),OR('Visual SPC'!$K$4="",'Data Entry'!$F7379='Visual SPC'!$K$4)),1,0))</f>
        <v/>
      </c>
      <c r="C7379">
        <f>C7378+B7379</f>
        <v/>
      </c>
      <c r="D7379">
        <f>IF(B7379=1,INDEX('Data Entry'!$H$5:$BE$10004,7379-4,'Visual SPC'!$B$3),"")</f>
        <v/>
      </c>
      <c r="E7379">
        <f>IF(B7379=1,D7379,E7378)</f>
        <v/>
      </c>
      <c r="F7379">
        <f>IF(AND(B7379=1,C7379&gt;1,E7378&lt;&gt;""),ABS(D7379-E7378),"")</f>
        <v/>
      </c>
    </row>
    <row r="7380">
      <c r="A7380" t="n">
        <v>7380</v>
      </c>
      <c r="B7380">
        <f>IF(INDEX('Data Entry'!$H$5:$BE$10004,7380-4,'Visual SPC'!$B$3)="",0,IF(AND(OR('Visual SPC'!$C$4="",'Data Entry'!$C7380&gt;='Visual SPC'!$C$4),OR('Visual SPC'!$E$4="",'Data Entry'!$C7380&lt;='Visual SPC'!$E$4),OR('Visual SPC'!$G$4="",'Data Entry'!$D7380='Visual SPC'!$G$4),OR('Visual SPC'!$I$4="",'Data Entry'!$E7380='Visual SPC'!$I$4),OR('Visual SPC'!$K$4="",'Data Entry'!$F7380='Visual SPC'!$K$4)),1,0))</f>
        <v/>
      </c>
      <c r="C7380">
        <f>C7379+B7380</f>
        <v/>
      </c>
      <c r="D7380">
        <f>IF(B7380=1,INDEX('Data Entry'!$H$5:$BE$10004,7380-4,'Visual SPC'!$B$3),"")</f>
        <v/>
      </c>
      <c r="E7380">
        <f>IF(B7380=1,D7380,E7379)</f>
        <v/>
      </c>
      <c r="F7380">
        <f>IF(AND(B7380=1,C7380&gt;1,E7379&lt;&gt;""),ABS(D7380-E7379),"")</f>
        <v/>
      </c>
    </row>
    <row r="7381">
      <c r="A7381" t="n">
        <v>7381</v>
      </c>
      <c r="B7381">
        <f>IF(INDEX('Data Entry'!$H$5:$BE$10004,7381-4,'Visual SPC'!$B$3)="",0,IF(AND(OR('Visual SPC'!$C$4="",'Data Entry'!$C7381&gt;='Visual SPC'!$C$4),OR('Visual SPC'!$E$4="",'Data Entry'!$C7381&lt;='Visual SPC'!$E$4),OR('Visual SPC'!$G$4="",'Data Entry'!$D7381='Visual SPC'!$G$4),OR('Visual SPC'!$I$4="",'Data Entry'!$E7381='Visual SPC'!$I$4),OR('Visual SPC'!$K$4="",'Data Entry'!$F7381='Visual SPC'!$K$4)),1,0))</f>
        <v/>
      </c>
      <c r="C7381">
        <f>C7380+B7381</f>
        <v/>
      </c>
      <c r="D7381">
        <f>IF(B7381=1,INDEX('Data Entry'!$H$5:$BE$10004,7381-4,'Visual SPC'!$B$3),"")</f>
        <v/>
      </c>
      <c r="E7381">
        <f>IF(B7381=1,D7381,E7380)</f>
        <v/>
      </c>
      <c r="F7381">
        <f>IF(AND(B7381=1,C7381&gt;1,E7380&lt;&gt;""),ABS(D7381-E7380),"")</f>
        <v/>
      </c>
    </row>
    <row r="7382">
      <c r="A7382" t="n">
        <v>7382</v>
      </c>
      <c r="B7382">
        <f>IF(INDEX('Data Entry'!$H$5:$BE$10004,7382-4,'Visual SPC'!$B$3)="",0,IF(AND(OR('Visual SPC'!$C$4="",'Data Entry'!$C7382&gt;='Visual SPC'!$C$4),OR('Visual SPC'!$E$4="",'Data Entry'!$C7382&lt;='Visual SPC'!$E$4),OR('Visual SPC'!$G$4="",'Data Entry'!$D7382='Visual SPC'!$G$4),OR('Visual SPC'!$I$4="",'Data Entry'!$E7382='Visual SPC'!$I$4),OR('Visual SPC'!$K$4="",'Data Entry'!$F7382='Visual SPC'!$K$4)),1,0))</f>
        <v/>
      </c>
      <c r="C7382">
        <f>C7381+B7382</f>
        <v/>
      </c>
      <c r="D7382">
        <f>IF(B7382=1,INDEX('Data Entry'!$H$5:$BE$10004,7382-4,'Visual SPC'!$B$3),"")</f>
        <v/>
      </c>
      <c r="E7382">
        <f>IF(B7382=1,D7382,E7381)</f>
        <v/>
      </c>
      <c r="F7382">
        <f>IF(AND(B7382=1,C7382&gt;1,E7381&lt;&gt;""),ABS(D7382-E7381),"")</f>
        <v/>
      </c>
    </row>
    <row r="7383">
      <c r="A7383" t="n">
        <v>7383</v>
      </c>
      <c r="B7383">
        <f>IF(INDEX('Data Entry'!$H$5:$BE$10004,7383-4,'Visual SPC'!$B$3)="",0,IF(AND(OR('Visual SPC'!$C$4="",'Data Entry'!$C7383&gt;='Visual SPC'!$C$4),OR('Visual SPC'!$E$4="",'Data Entry'!$C7383&lt;='Visual SPC'!$E$4),OR('Visual SPC'!$G$4="",'Data Entry'!$D7383='Visual SPC'!$G$4),OR('Visual SPC'!$I$4="",'Data Entry'!$E7383='Visual SPC'!$I$4),OR('Visual SPC'!$K$4="",'Data Entry'!$F7383='Visual SPC'!$K$4)),1,0))</f>
        <v/>
      </c>
      <c r="C7383">
        <f>C7382+B7383</f>
        <v/>
      </c>
      <c r="D7383">
        <f>IF(B7383=1,INDEX('Data Entry'!$H$5:$BE$10004,7383-4,'Visual SPC'!$B$3),"")</f>
        <v/>
      </c>
      <c r="E7383">
        <f>IF(B7383=1,D7383,E7382)</f>
        <v/>
      </c>
      <c r="F7383">
        <f>IF(AND(B7383=1,C7383&gt;1,E7382&lt;&gt;""),ABS(D7383-E7382),"")</f>
        <v/>
      </c>
    </row>
    <row r="7384">
      <c r="A7384" t="n">
        <v>7384</v>
      </c>
      <c r="B7384">
        <f>IF(INDEX('Data Entry'!$H$5:$BE$10004,7384-4,'Visual SPC'!$B$3)="",0,IF(AND(OR('Visual SPC'!$C$4="",'Data Entry'!$C7384&gt;='Visual SPC'!$C$4),OR('Visual SPC'!$E$4="",'Data Entry'!$C7384&lt;='Visual SPC'!$E$4),OR('Visual SPC'!$G$4="",'Data Entry'!$D7384='Visual SPC'!$G$4),OR('Visual SPC'!$I$4="",'Data Entry'!$E7384='Visual SPC'!$I$4),OR('Visual SPC'!$K$4="",'Data Entry'!$F7384='Visual SPC'!$K$4)),1,0))</f>
        <v/>
      </c>
      <c r="C7384">
        <f>C7383+B7384</f>
        <v/>
      </c>
      <c r="D7384">
        <f>IF(B7384=1,INDEX('Data Entry'!$H$5:$BE$10004,7384-4,'Visual SPC'!$B$3),"")</f>
        <v/>
      </c>
      <c r="E7384">
        <f>IF(B7384=1,D7384,E7383)</f>
        <v/>
      </c>
      <c r="F7384">
        <f>IF(AND(B7384=1,C7384&gt;1,E7383&lt;&gt;""),ABS(D7384-E7383),"")</f>
        <v/>
      </c>
    </row>
    <row r="7385">
      <c r="A7385" t="n">
        <v>7385</v>
      </c>
      <c r="B7385">
        <f>IF(INDEX('Data Entry'!$H$5:$BE$10004,7385-4,'Visual SPC'!$B$3)="",0,IF(AND(OR('Visual SPC'!$C$4="",'Data Entry'!$C7385&gt;='Visual SPC'!$C$4),OR('Visual SPC'!$E$4="",'Data Entry'!$C7385&lt;='Visual SPC'!$E$4),OR('Visual SPC'!$G$4="",'Data Entry'!$D7385='Visual SPC'!$G$4),OR('Visual SPC'!$I$4="",'Data Entry'!$E7385='Visual SPC'!$I$4),OR('Visual SPC'!$K$4="",'Data Entry'!$F7385='Visual SPC'!$K$4)),1,0))</f>
        <v/>
      </c>
      <c r="C7385">
        <f>C7384+B7385</f>
        <v/>
      </c>
      <c r="D7385">
        <f>IF(B7385=1,INDEX('Data Entry'!$H$5:$BE$10004,7385-4,'Visual SPC'!$B$3),"")</f>
        <v/>
      </c>
      <c r="E7385">
        <f>IF(B7385=1,D7385,E7384)</f>
        <v/>
      </c>
      <c r="F7385">
        <f>IF(AND(B7385=1,C7385&gt;1,E7384&lt;&gt;""),ABS(D7385-E7384),"")</f>
        <v/>
      </c>
    </row>
    <row r="7386">
      <c r="A7386" t="n">
        <v>7386</v>
      </c>
      <c r="B7386">
        <f>IF(INDEX('Data Entry'!$H$5:$BE$10004,7386-4,'Visual SPC'!$B$3)="",0,IF(AND(OR('Visual SPC'!$C$4="",'Data Entry'!$C7386&gt;='Visual SPC'!$C$4),OR('Visual SPC'!$E$4="",'Data Entry'!$C7386&lt;='Visual SPC'!$E$4),OR('Visual SPC'!$G$4="",'Data Entry'!$D7386='Visual SPC'!$G$4),OR('Visual SPC'!$I$4="",'Data Entry'!$E7386='Visual SPC'!$I$4),OR('Visual SPC'!$K$4="",'Data Entry'!$F7386='Visual SPC'!$K$4)),1,0))</f>
        <v/>
      </c>
      <c r="C7386">
        <f>C7385+B7386</f>
        <v/>
      </c>
      <c r="D7386">
        <f>IF(B7386=1,INDEX('Data Entry'!$H$5:$BE$10004,7386-4,'Visual SPC'!$B$3),"")</f>
        <v/>
      </c>
      <c r="E7386">
        <f>IF(B7386=1,D7386,E7385)</f>
        <v/>
      </c>
      <c r="F7386">
        <f>IF(AND(B7386=1,C7386&gt;1,E7385&lt;&gt;""),ABS(D7386-E7385),"")</f>
        <v/>
      </c>
    </row>
    <row r="7387">
      <c r="A7387" t="n">
        <v>7387</v>
      </c>
      <c r="B7387">
        <f>IF(INDEX('Data Entry'!$H$5:$BE$10004,7387-4,'Visual SPC'!$B$3)="",0,IF(AND(OR('Visual SPC'!$C$4="",'Data Entry'!$C7387&gt;='Visual SPC'!$C$4),OR('Visual SPC'!$E$4="",'Data Entry'!$C7387&lt;='Visual SPC'!$E$4),OR('Visual SPC'!$G$4="",'Data Entry'!$D7387='Visual SPC'!$G$4),OR('Visual SPC'!$I$4="",'Data Entry'!$E7387='Visual SPC'!$I$4),OR('Visual SPC'!$K$4="",'Data Entry'!$F7387='Visual SPC'!$K$4)),1,0))</f>
        <v/>
      </c>
      <c r="C7387">
        <f>C7386+B7387</f>
        <v/>
      </c>
      <c r="D7387">
        <f>IF(B7387=1,INDEX('Data Entry'!$H$5:$BE$10004,7387-4,'Visual SPC'!$B$3),"")</f>
        <v/>
      </c>
      <c r="E7387">
        <f>IF(B7387=1,D7387,E7386)</f>
        <v/>
      </c>
      <c r="F7387">
        <f>IF(AND(B7387=1,C7387&gt;1,E7386&lt;&gt;""),ABS(D7387-E7386),"")</f>
        <v/>
      </c>
    </row>
    <row r="7388">
      <c r="A7388" t="n">
        <v>7388</v>
      </c>
      <c r="B7388">
        <f>IF(INDEX('Data Entry'!$H$5:$BE$10004,7388-4,'Visual SPC'!$B$3)="",0,IF(AND(OR('Visual SPC'!$C$4="",'Data Entry'!$C7388&gt;='Visual SPC'!$C$4),OR('Visual SPC'!$E$4="",'Data Entry'!$C7388&lt;='Visual SPC'!$E$4),OR('Visual SPC'!$G$4="",'Data Entry'!$D7388='Visual SPC'!$G$4),OR('Visual SPC'!$I$4="",'Data Entry'!$E7388='Visual SPC'!$I$4),OR('Visual SPC'!$K$4="",'Data Entry'!$F7388='Visual SPC'!$K$4)),1,0))</f>
        <v/>
      </c>
      <c r="C7388">
        <f>C7387+B7388</f>
        <v/>
      </c>
      <c r="D7388">
        <f>IF(B7388=1,INDEX('Data Entry'!$H$5:$BE$10004,7388-4,'Visual SPC'!$B$3),"")</f>
        <v/>
      </c>
      <c r="E7388">
        <f>IF(B7388=1,D7388,E7387)</f>
        <v/>
      </c>
      <c r="F7388">
        <f>IF(AND(B7388=1,C7388&gt;1,E7387&lt;&gt;""),ABS(D7388-E7387),"")</f>
        <v/>
      </c>
    </row>
    <row r="7389">
      <c r="A7389" t="n">
        <v>7389</v>
      </c>
      <c r="B7389">
        <f>IF(INDEX('Data Entry'!$H$5:$BE$10004,7389-4,'Visual SPC'!$B$3)="",0,IF(AND(OR('Visual SPC'!$C$4="",'Data Entry'!$C7389&gt;='Visual SPC'!$C$4),OR('Visual SPC'!$E$4="",'Data Entry'!$C7389&lt;='Visual SPC'!$E$4),OR('Visual SPC'!$G$4="",'Data Entry'!$D7389='Visual SPC'!$G$4),OR('Visual SPC'!$I$4="",'Data Entry'!$E7389='Visual SPC'!$I$4),OR('Visual SPC'!$K$4="",'Data Entry'!$F7389='Visual SPC'!$K$4)),1,0))</f>
        <v/>
      </c>
      <c r="C7389">
        <f>C7388+B7389</f>
        <v/>
      </c>
      <c r="D7389">
        <f>IF(B7389=1,INDEX('Data Entry'!$H$5:$BE$10004,7389-4,'Visual SPC'!$B$3),"")</f>
        <v/>
      </c>
      <c r="E7389">
        <f>IF(B7389=1,D7389,E7388)</f>
        <v/>
      </c>
      <c r="F7389">
        <f>IF(AND(B7389=1,C7389&gt;1,E7388&lt;&gt;""),ABS(D7389-E7388),"")</f>
        <v/>
      </c>
    </row>
    <row r="7390">
      <c r="A7390" t="n">
        <v>7390</v>
      </c>
      <c r="B7390">
        <f>IF(INDEX('Data Entry'!$H$5:$BE$10004,7390-4,'Visual SPC'!$B$3)="",0,IF(AND(OR('Visual SPC'!$C$4="",'Data Entry'!$C7390&gt;='Visual SPC'!$C$4),OR('Visual SPC'!$E$4="",'Data Entry'!$C7390&lt;='Visual SPC'!$E$4),OR('Visual SPC'!$G$4="",'Data Entry'!$D7390='Visual SPC'!$G$4),OR('Visual SPC'!$I$4="",'Data Entry'!$E7390='Visual SPC'!$I$4),OR('Visual SPC'!$K$4="",'Data Entry'!$F7390='Visual SPC'!$K$4)),1,0))</f>
        <v/>
      </c>
      <c r="C7390">
        <f>C7389+B7390</f>
        <v/>
      </c>
      <c r="D7390">
        <f>IF(B7390=1,INDEX('Data Entry'!$H$5:$BE$10004,7390-4,'Visual SPC'!$B$3),"")</f>
        <v/>
      </c>
      <c r="E7390">
        <f>IF(B7390=1,D7390,E7389)</f>
        <v/>
      </c>
      <c r="F7390">
        <f>IF(AND(B7390=1,C7390&gt;1,E7389&lt;&gt;""),ABS(D7390-E7389),"")</f>
        <v/>
      </c>
    </row>
    <row r="7391">
      <c r="A7391" t="n">
        <v>7391</v>
      </c>
      <c r="B7391">
        <f>IF(INDEX('Data Entry'!$H$5:$BE$10004,7391-4,'Visual SPC'!$B$3)="",0,IF(AND(OR('Visual SPC'!$C$4="",'Data Entry'!$C7391&gt;='Visual SPC'!$C$4),OR('Visual SPC'!$E$4="",'Data Entry'!$C7391&lt;='Visual SPC'!$E$4),OR('Visual SPC'!$G$4="",'Data Entry'!$D7391='Visual SPC'!$G$4),OR('Visual SPC'!$I$4="",'Data Entry'!$E7391='Visual SPC'!$I$4),OR('Visual SPC'!$K$4="",'Data Entry'!$F7391='Visual SPC'!$K$4)),1,0))</f>
        <v/>
      </c>
      <c r="C7391">
        <f>C7390+B7391</f>
        <v/>
      </c>
      <c r="D7391">
        <f>IF(B7391=1,INDEX('Data Entry'!$H$5:$BE$10004,7391-4,'Visual SPC'!$B$3),"")</f>
        <v/>
      </c>
      <c r="E7391">
        <f>IF(B7391=1,D7391,E7390)</f>
        <v/>
      </c>
      <c r="F7391">
        <f>IF(AND(B7391=1,C7391&gt;1,E7390&lt;&gt;""),ABS(D7391-E7390),"")</f>
        <v/>
      </c>
    </row>
    <row r="7392">
      <c r="A7392" t="n">
        <v>7392</v>
      </c>
      <c r="B7392">
        <f>IF(INDEX('Data Entry'!$H$5:$BE$10004,7392-4,'Visual SPC'!$B$3)="",0,IF(AND(OR('Visual SPC'!$C$4="",'Data Entry'!$C7392&gt;='Visual SPC'!$C$4),OR('Visual SPC'!$E$4="",'Data Entry'!$C7392&lt;='Visual SPC'!$E$4),OR('Visual SPC'!$G$4="",'Data Entry'!$D7392='Visual SPC'!$G$4),OR('Visual SPC'!$I$4="",'Data Entry'!$E7392='Visual SPC'!$I$4),OR('Visual SPC'!$K$4="",'Data Entry'!$F7392='Visual SPC'!$K$4)),1,0))</f>
        <v/>
      </c>
      <c r="C7392">
        <f>C7391+B7392</f>
        <v/>
      </c>
      <c r="D7392">
        <f>IF(B7392=1,INDEX('Data Entry'!$H$5:$BE$10004,7392-4,'Visual SPC'!$B$3),"")</f>
        <v/>
      </c>
      <c r="E7392">
        <f>IF(B7392=1,D7392,E7391)</f>
        <v/>
      </c>
      <c r="F7392">
        <f>IF(AND(B7392=1,C7392&gt;1,E7391&lt;&gt;""),ABS(D7392-E7391),"")</f>
        <v/>
      </c>
    </row>
    <row r="7393">
      <c r="A7393" t="n">
        <v>7393</v>
      </c>
      <c r="B7393">
        <f>IF(INDEX('Data Entry'!$H$5:$BE$10004,7393-4,'Visual SPC'!$B$3)="",0,IF(AND(OR('Visual SPC'!$C$4="",'Data Entry'!$C7393&gt;='Visual SPC'!$C$4),OR('Visual SPC'!$E$4="",'Data Entry'!$C7393&lt;='Visual SPC'!$E$4),OR('Visual SPC'!$G$4="",'Data Entry'!$D7393='Visual SPC'!$G$4),OR('Visual SPC'!$I$4="",'Data Entry'!$E7393='Visual SPC'!$I$4),OR('Visual SPC'!$K$4="",'Data Entry'!$F7393='Visual SPC'!$K$4)),1,0))</f>
        <v/>
      </c>
      <c r="C7393">
        <f>C7392+B7393</f>
        <v/>
      </c>
      <c r="D7393">
        <f>IF(B7393=1,INDEX('Data Entry'!$H$5:$BE$10004,7393-4,'Visual SPC'!$B$3),"")</f>
        <v/>
      </c>
      <c r="E7393">
        <f>IF(B7393=1,D7393,E7392)</f>
        <v/>
      </c>
      <c r="F7393">
        <f>IF(AND(B7393=1,C7393&gt;1,E7392&lt;&gt;""),ABS(D7393-E7392),"")</f>
        <v/>
      </c>
    </row>
    <row r="7394">
      <c r="A7394" t="n">
        <v>7394</v>
      </c>
      <c r="B7394">
        <f>IF(INDEX('Data Entry'!$H$5:$BE$10004,7394-4,'Visual SPC'!$B$3)="",0,IF(AND(OR('Visual SPC'!$C$4="",'Data Entry'!$C7394&gt;='Visual SPC'!$C$4),OR('Visual SPC'!$E$4="",'Data Entry'!$C7394&lt;='Visual SPC'!$E$4),OR('Visual SPC'!$G$4="",'Data Entry'!$D7394='Visual SPC'!$G$4),OR('Visual SPC'!$I$4="",'Data Entry'!$E7394='Visual SPC'!$I$4),OR('Visual SPC'!$K$4="",'Data Entry'!$F7394='Visual SPC'!$K$4)),1,0))</f>
        <v/>
      </c>
      <c r="C7394">
        <f>C7393+B7394</f>
        <v/>
      </c>
      <c r="D7394">
        <f>IF(B7394=1,INDEX('Data Entry'!$H$5:$BE$10004,7394-4,'Visual SPC'!$B$3),"")</f>
        <v/>
      </c>
      <c r="E7394">
        <f>IF(B7394=1,D7394,E7393)</f>
        <v/>
      </c>
      <c r="F7394">
        <f>IF(AND(B7394=1,C7394&gt;1,E7393&lt;&gt;""),ABS(D7394-E7393),"")</f>
        <v/>
      </c>
    </row>
    <row r="7395">
      <c r="A7395" t="n">
        <v>7395</v>
      </c>
      <c r="B7395">
        <f>IF(INDEX('Data Entry'!$H$5:$BE$10004,7395-4,'Visual SPC'!$B$3)="",0,IF(AND(OR('Visual SPC'!$C$4="",'Data Entry'!$C7395&gt;='Visual SPC'!$C$4),OR('Visual SPC'!$E$4="",'Data Entry'!$C7395&lt;='Visual SPC'!$E$4),OR('Visual SPC'!$G$4="",'Data Entry'!$D7395='Visual SPC'!$G$4),OR('Visual SPC'!$I$4="",'Data Entry'!$E7395='Visual SPC'!$I$4),OR('Visual SPC'!$K$4="",'Data Entry'!$F7395='Visual SPC'!$K$4)),1,0))</f>
        <v/>
      </c>
      <c r="C7395">
        <f>C7394+B7395</f>
        <v/>
      </c>
      <c r="D7395">
        <f>IF(B7395=1,INDEX('Data Entry'!$H$5:$BE$10004,7395-4,'Visual SPC'!$B$3),"")</f>
        <v/>
      </c>
      <c r="E7395">
        <f>IF(B7395=1,D7395,E7394)</f>
        <v/>
      </c>
      <c r="F7395">
        <f>IF(AND(B7395=1,C7395&gt;1,E7394&lt;&gt;""),ABS(D7395-E7394),"")</f>
        <v/>
      </c>
    </row>
    <row r="7396">
      <c r="A7396" t="n">
        <v>7396</v>
      </c>
      <c r="B7396">
        <f>IF(INDEX('Data Entry'!$H$5:$BE$10004,7396-4,'Visual SPC'!$B$3)="",0,IF(AND(OR('Visual SPC'!$C$4="",'Data Entry'!$C7396&gt;='Visual SPC'!$C$4),OR('Visual SPC'!$E$4="",'Data Entry'!$C7396&lt;='Visual SPC'!$E$4),OR('Visual SPC'!$G$4="",'Data Entry'!$D7396='Visual SPC'!$G$4),OR('Visual SPC'!$I$4="",'Data Entry'!$E7396='Visual SPC'!$I$4),OR('Visual SPC'!$K$4="",'Data Entry'!$F7396='Visual SPC'!$K$4)),1,0))</f>
        <v/>
      </c>
      <c r="C7396">
        <f>C7395+B7396</f>
        <v/>
      </c>
      <c r="D7396">
        <f>IF(B7396=1,INDEX('Data Entry'!$H$5:$BE$10004,7396-4,'Visual SPC'!$B$3),"")</f>
        <v/>
      </c>
      <c r="E7396">
        <f>IF(B7396=1,D7396,E7395)</f>
        <v/>
      </c>
      <c r="F7396">
        <f>IF(AND(B7396=1,C7396&gt;1,E7395&lt;&gt;""),ABS(D7396-E7395),"")</f>
        <v/>
      </c>
    </row>
    <row r="7397">
      <c r="A7397" t="n">
        <v>7397</v>
      </c>
      <c r="B7397">
        <f>IF(INDEX('Data Entry'!$H$5:$BE$10004,7397-4,'Visual SPC'!$B$3)="",0,IF(AND(OR('Visual SPC'!$C$4="",'Data Entry'!$C7397&gt;='Visual SPC'!$C$4),OR('Visual SPC'!$E$4="",'Data Entry'!$C7397&lt;='Visual SPC'!$E$4),OR('Visual SPC'!$G$4="",'Data Entry'!$D7397='Visual SPC'!$G$4),OR('Visual SPC'!$I$4="",'Data Entry'!$E7397='Visual SPC'!$I$4),OR('Visual SPC'!$K$4="",'Data Entry'!$F7397='Visual SPC'!$K$4)),1,0))</f>
        <v/>
      </c>
      <c r="C7397">
        <f>C7396+B7397</f>
        <v/>
      </c>
      <c r="D7397">
        <f>IF(B7397=1,INDEX('Data Entry'!$H$5:$BE$10004,7397-4,'Visual SPC'!$B$3),"")</f>
        <v/>
      </c>
      <c r="E7397">
        <f>IF(B7397=1,D7397,E7396)</f>
        <v/>
      </c>
      <c r="F7397">
        <f>IF(AND(B7397=1,C7397&gt;1,E7396&lt;&gt;""),ABS(D7397-E7396),"")</f>
        <v/>
      </c>
    </row>
    <row r="7398">
      <c r="A7398" t="n">
        <v>7398</v>
      </c>
      <c r="B7398">
        <f>IF(INDEX('Data Entry'!$H$5:$BE$10004,7398-4,'Visual SPC'!$B$3)="",0,IF(AND(OR('Visual SPC'!$C$4="",'Data Entry'!$C7398&gt;='Visual SPC'!$C$4),OR('Visual SPC'!$E$4="",'Data Entry'!$C7398&lt;='Visual SPC'!$E$4),OR('Visual SPC'!$G$4="",'Data Entry'!$D7398='Visual SPC'!$G$4),OR('Visual SPC'!$I$4="",'Data Entry'!$E7398='Visual SPC'!$I$4),OR('Visual SPC'!$K$4="",'Data Entry'!$F7398='Visual SPC'!$K$4)),1,0))</f>
        <v/>
      </c>
      <c r="C7398">
        <f>C7397+B7398</f>
        <v/>
      </c>
      <c r="D7398">
        <f>IF(B7398=1,INDEX('Data Entry'!$H$5:$BE$10004,7398-4,'Visual SPC'!$B$3),"")</f>
        <v/>
      </c>
      <c r="E7398">
        <f>IF(B7398=1,D7398,E7397)</f>
        <v/>
      </c>
      <c r="F7398">
        <f>IF(AND(B7398=1,C7398&gt;1,E7397&lt;&gt;""),ABS(D7398-E7397),"")</f>
        <v/>
      </c>
    </row>
    <row r="7399">
      <c r="A7399" t="n">
        <v>7399</v>
      </c>
      <c r="B7399">
        <f>IF(INDEX('Data Entry'!$H$5:$BE$10004,7399-4,'Visual SPC'!$B$3)="",0,IF(AND(OR('Visual SPC'!$C$4="",'Data Entry'!$C7399&gt;='Visual SPC'!$C$4),OR('Visual SPC'!$E$4="",'Data Entry'!$C7399&lt;='Visual SPC'!$E$4),OR('Visual SPC'!$G$4="",'Data Entry'!$D7399='Visual SPC'!$G$4),OR('Visual SPC'!$I$4="",'Data Entry'!$E7399='Visual SPC'!$I$4),OR('Visual SPC'!$K$4="",'Data Entry'!$F7399='Visual SPC'!$K$4)),1,0))</f>
        <v/>
      </c>
      <c r="C7399">
        <f>C7398+B7399</f>
        <v/>
      </c>
      <c r="D7399">
        <f>IF(B7399=1,INDEX('Data Entry'!$H$5:$BE$10004,7399-4,'Visual SPC'!$B$3),"")</f>
        <v/>
      </c>
      <c r="E7399">
        <f>IF(B7399=1,D7399,E7398)</f>
        <v/>
      </c>
      <c r="F7399">
        <f>IF(AND(B7399=1,C7399&gt;1,E7398&lt;&gt;""),ABS(D7399-E7398),"")</f>
        <v/>
      </c>
    </row>
    <row r="7400">
      <c r="A7400" t="n">
        <v>7400</v>
      </c>
      <c r="B7400">
        <f>IF(INDEX('Data Entry'!$H$5:$BE$10004,7400-4,'Visual SPC'!$B$3)="",0,IF(AND(OR('Visual SPC'!$C$4="",'Data Entry'!$C7400&gt;='Visual SPC'!$C$4),OR('Visual SPC'!$E$4="",'Data Entry'!$C7400&lt;='Visual SPC'!$E$4),OR('Visual SPC'!$G$4="",'Data Entry'!$D7400='Visual SPC'!$G$4),OR('Visual SPC'!$I$4="",'Data Entry'!$E7400='Visual SPC'!$I$4),OR('Visual SPC'!$K$4="",'Data Entry'!$F7400='Visual SPC'!$K$4)),1,0))</f>
        <v/>
      </c>
      <c r="C7400">
        <f>C7399+B7400</f>
        <v/>
      </c>
      <c r="D7400">
        <f>IF(B7400=1,INDEX('Data Entry'!$H$5:$BE$10004,7400-4,'Visual SPC'!$B$3),"")</f>
        <v/>
      </c>
      <c r="E7400">
        <f>IF(B7400=1,D7400,E7399)</f>
        <v/>
      </c>
      <c r="F7400">
        <f>IF(AND(B7400=1,C7400&gt;1,E7399&lt;&gt;""),ABS(D7400-E7399),"")</f>
        <v/>
      </c>
    </row>
    <row r="7401">
      <c r="A7401" t="n">
        <v>7401</v>
      </c>
      <c r="B7401">
        <f>IF(INDEX('Data Entry'!$H$5:$BE$10004,7401-4,'Visual SPC'!$B$3)="",0,IF(AND(OR('Visual SPC'!$C$4="",'Data Entry'!$C7401&gt;='Visual SPC'!$C$4),OR('Visual SPC'!$E$4="",'Data Entry'!$C7401&lt;='Visual SPC'!$E$4),OR('Visual SPC'!$G$4="",'Data Entry'!$D7401='Visual SPC'!$G$4),OR('Visual SPC'!$I$4="",'Data Entry'!$E7401='Visual SPC'!$I$4),OR('Visual SPC'!$K$4="",'Data Entry'!$F7401='Visual SPC'!$K$4)),1,0))</f>
        <v/>
      </c>
      <c r="C7401">
        <f>C7400+B7401</f>
        <v/>
      </c>
      <c r="D7401">
        <f>IF(B7401=1,INDEX('Data Entry'!$H$5:$BE$10004,7401-4,'Visual SPC'!$B$3),"")</f>
        <v/>
      </c>
      <c r="E7401">
        <f>IF(B7401=1,D7401,E7400)</f>
        <v/>
      </c>
      <c r="F7401">
        <f>IF(AND(B7401=1,C7401&gt;1,E7400&lt;&gt;""),ABS(D7401-E7400),"")</f>
        <v/>
      </c>
    </row>
    <row r="7402">
      <c r="A7402" t="n">
        <v>7402</v>
      </c>
      <c r="B7402">
        <f>IF(INDEX('Data Entry'!$H$5:$BE$10004,7402-4,'Visual SPC'!$B$3)="",0,IF(AND(OR('Visual SPC'!$C$4="",'Data Entry'!$C7402&gt;='Visual SPC'!$C$4),OR('Visual SPC'!$E$4="",'Data Entry'!$C7402&lt;='Visual SPC'!$E$4),OR('Visual SPC'!$G$4="",'Data Entry'!$D7402='Visual SPC'!$G$4),OR('Visual SPC'!$I$4="",'Data Entry'!$E7402='Visual SPC'!$I$4),OR('Visual SPC'!$K$4="",'Data Entry'!$F7402='Visual SPC'!$K$4)),1,0))</f>
        <v/>
      </c>
      <c r="C7402">
        <f>C7401+B7402</f>
        <v/>
      </c>
      <c r="D7402">
        <f>IF(B7402=1,INDEX('Data Entry'!$H$5:$BE$10004,7402-4,'Visual SPC'!$B$3),"")</f>
        <v/>
      </c>
      <c r="E7402">
        <f>IF(B7402=1,D7402,E7401)</f>
        <v/>
      </c>
      <c r="F7402">
        <f>IF(AND(B7402=1,C7402&gt;1,E7401&lt;&gt;""),ABS(D7402-E7401),"")</f>
        <v/>
      </c>
    </row>
    <row r="7403">
      <c r="A7403" t="n">
        <v>7403</v>
      </c>
      <c r="B7403">
        <f>IF(INDEX('Data Entry'!$H$5:$BE$10004,7403-4,'Visual SPC'!$B$3)="",0,IF(AND(OR('Visual SPC'!$C$4="",'Data Entry'!$C7403&gt;='Visual SPC'!$C$4),OR('Visual SPC'!$E$4="",'Data Entry'!$C7403&lt;='Visual SPC'!$E$4),OR('Visual SPC'!$G$4="",'Data Entry'!$D7403='Visual SPC'!$G$4),OR('Visual SPC'!$I$4="",'Data Entry'!$E7403='Visual SPC'!$I$4),OR('Visual SPC'!$K$4="",'Data Entry'!$F7403='Visual SPC'!$K$4)),1,0))</f>
        <v/>
      </c>
      <c r="C7403">
        <f>C7402+B7403</f>
        <v/>
      </c>
      <c r="D7403">
        <f>IF(B7403=1,INDEX('Data Entry'!$H$5:$BE$10004,7403-4,'Visual SPC'!$B$3),"")</f>
        <v/>
      </c>
      <c r="E7403">
        <f>IF(B7403=1,D7403,E7402)</f>
        <v/>
      </c>
      <c r="F7403">
        <f>IF(AND(B7403=1,C7403&gt;1,E7402&lt;&gt;""),ABS(D7403-E7402),"")</f>
        <v/>
      </c>
    </row>
    <row r="7404">
      <c r="A7404" t="n">
        <v>7404</v>
      </c>
      <c r="B7404">
        <f>IF(INDEX('Data Entry'!$H$5:$BE$10004,7404-4,'Visual SPC'!$B$3)="",0,IF(AND(OR('Visual SPC'!$C$4="",'Data Entry'!$C7404&gt;='Visual SPC'!$C$4),OR('Visual SPC'!$E$4="",'Data Entry'!$C7404&lt;='Visual SPC'!$E$4),OR('Visual SPC'!$G$4="",'Data Entry'!$D7404='Visual SPC'!$G$4),OR('Visual SPC'!$I$4="",'Data Entry'!$E7404='Visual SPC'!$I$4),OR('Visual SPC'!$K$4="",'Data Entry'!$F7404='Visual SPC'!$K$4)),1,0))</f>
        <v/>
      </c>
      <c r="C7404">
        <f>C7403+B7404</f>
        <v/>
      </c>
      <c r="D7404">
        <f>IF(B7404=1,INDEX('Data Entry'!$H$5:$BE$10004,7404-4,'Visual SPC'!$B$3),"")</f>
        <v/>
      </c>
      <c r="E7404">
        <f>IF(B7404=1,D7404,E7403)</f>
        <v/>
      </c>
      <c r="F7404">
        <f>IF(AND(B7404=1,C7404&gt;1,E7403&lt;&gt;""),ABS(D7404-E7403),"")</f>
        <v/>
      </c>
    </row>
    <row r="7405">
      <c r="A7405" t="n">
        <v>7405</v>
      </c>
      <c r="B7405">
        <f>IF(INDEX('Data Entry'!$H$5:$BE$10004,7405-4,'Visual SPC'!$B$3)="",0,IF(AND(OR('Visual SPC'!$C$4="",'Data Entry'!$C7405&gt;='Visual SPC'!$C$4),OR('Visual SPC'!$E$4="",'Data Entry'!$C7405&lt;='Visual SPC'!$E$4),OR('Visual SPC'!$G$4="",'Data Entry'!$D7405='Visual SPC'!$G$4),OR('Visual SPC'!$I$4="",'Data Entry'!$E7405='Visual SPC'!$I$4),OR('Visual SPC'!$K$4="",'Data Entry'!$F7405='Visual SPC'!$K$4)),1,0))</f>
        <v/>
      </c>
      <c r="C7405">
        <f>C7404+B7405</f>
        <v/>
      </c>
      <c r="D7405">
        <f>IF(B7405=1,INDEX('Data Entry'!$H$5:$BE$10004,7405-4,'Visual SPC'!$B$3),"")</f>
        <v/>
      </c>
      <c r="E7405">
        <f>IF(B7405=1,D7405,E7404)</f>
        <v/>
      </c>
      <c r="F7405">
        <f>IF(AND(B7405=1,C7405&gt;1,E7404&lt;&gt;""),ABS(D7405-E7404),"")</f>
        <v/>
      </c>
    </row>
    <row r="7406">
      <c r="A7406" t="n">
        <v>7406</v>
      </c>
      <c r="B7406">
        <f>IF(INDEX('Data Entry'!$H$5:$BE$10004,7406-4,'Visual SPC'!$B$3)="",0,IF(AND(OR('Visual SPC'!$C$4="",'Data Entry'!$C7406&gt;='Visual SPC'!$C$4),OR('Visual SPC'!$E$4="",'Data Entry'!$C7406&lt;='Visual SPC'!$E$4),OR('Visual SPC'!$G$4="",'Data Entry'!$D7406='Visual SPC'!$G$4),OR('Visual SPC'!$I$4="",'Data Entry'!$E7406='Visual SPC'!$I$4),OR('Visual SPC'!$K$4="",'Data Entry'!$F7406='Visual SPC'!$K$4)),1,0))</f>
        <v/>
      </c>
      <c r="C7406">
        <f>C7405+B7406</f>
        <v/>
      </c>
      <c r="D7406">
        <f>IF(B7406=1,INDEX('Data Entry'!$H$5:$BE$10004,7406-4,'Visual SPC'!$B$3),"")</f>
        <v/>
      </c>
      <c r="E7406">
        <f>IF(B7406=1,D7406,E7405)</f>
        <v/>
      </c>
      <c r="F7406">
        <f>IF(AND(B7406=1,C7406&gt;1,E7405&lt;&gt;""),ABS(D7406-E7405),"")</f>
        <v/>
      </c>
    </row>
    <row r="7407">
      <c r="A7407" t="n">
        <v>7407</v>
      </c>
      <c r="B7407">
        <f>IF(INDEX('Data Entry'!$H$5:$BE$10004,7407-4,'Visual SPC'!$B$3)="",0,IF(AND(OR('Visual SPC'!$C$4="",'Data Entry'!$C7407&gt;='Visual SPC'!$C$4),OR('Visual SPC'!$E$4="",'Data Entry'!$C7407&lt;='Visual SPC'!$E$4),OR('Visual SPC'!$G$4="",'Data Entry'!$D7407='Visual SPC'!$G$4),OR('Visual SPC'!$I$4="",'Data Entry'!$E7407='Visual SPC'!$I$4),OR('Visual SPC'!$K$4="",'Data Entry'!$F7407='Visual SPC'!$K$4)),1,0))</f>
        <v/>
      </c>
      <c r="C7407">
        <f>C7406+B7407</f>
        <v/>
      </c>
      <c r="D7407">
        <f>IF(B7407=1,INDEX('Data Entry'!$H$5:$BE$10004,7407-4,'Visual SPC'!$B$3),"")</f>
        <v/>
      </c>
      <c r="E7407">
        <f>IF(B7407=1,D7407,E7406)</f>
        <v/>
      </c>
      <c r="F7407">
        <f>IF(AND(B7407=1,C7407&gt;1,E7406&lt;&gt;""),ABS(D7407-E7406),"")</f>
        <v/>
      </c>
    </row>
    <row r="7408">
      <c r="A7408" t="n">
        <v>7408</v>
      </c>
      <c r="B7408">
        <f>IF(INDEX('Data Entry'!$H$5:$BE$10004,7408-4,'Visual SPC'!$B$3)="",0,IF(AND(OR('Visual SPC'!$C$4="",'Data Entry'!$C7408&gt;='Visual SPC'!$C$4),OR('Visual SPC'!$E$4="",'Data Entry'!$C7408&lt;='Visual SPC'!$E$4),OR('Visual SPC'!$G$4="",'Data Entry'!$D7408='Visual SPC'!$G$4),OR('Visual SPC'!$I$4="",'Data Entry'!$E7408='Visual SPC'!$I$4),OR('Visual SPC'!$K$4="",'Data Entry'!$F7408='Visual SPC'!$K$4)),1,0))</f>
        <v/>
      </c>
      <c r="C7408">
        <f>C7407+B7408</f>
        <v/>
      </c>
      <c r="D7408">
        <f>IF(B7408=1,INDEX('Data Entry'!$H$5:$BE$10004,7408-4,'Visual SPC'!$B$3),"")</f>
        <v/>
      </c>
      <c r="E7408">
        <f>IF(B7408=1,D7408,E7407)</f>
        <v/>
      </c>
      <c r="F7408">
        <f>IF(AND(B7408=1,C7408&gt;1,E7407&lt;&gt;""),ABS(D7408-E7407),"")</f>
        <v/>
      </c>
    </row>
    <row r="7409">
      <c r="A7409" t="n">
        <v>7409</v>
      </c>
      <c r="B7409">
        <f>IF(INDEX('Data Entry'!$H$5:$BE$10004,7409-4,'Visual SPC'!$B$3)="",0,IF(AND(OR('Visual SPC'!$C$4="",'Data Entry'!$C7409&gt;='Visual SPC'!$C$4),OR('Visual SPC'!$E$4="",'Data Entry'!$C7409&lt;='Visual SPC'!$E$4),OR('Visual SPC'!$G$4="",'Data Entry'!$D7409='Visual SPC'!$G$4),OR('Visual SPC'!$I$4="",'Data Entry'!$E7409='Visual SPC'!$I$4),OR('Visual SPC'!$K$4="",'Data Entry'!$F7409='Visual SPC'!$K$4)),1,0))</f>
        <v/>
      </c>
      <c r="C7409">
        <f>C7408+B7409</f>
        <v/>
      </c>
      <c r="D7409">
        <f>IF(B7409=1,INDEX('Data Entry'!$H$5:$BE$10004,7409-4,'Visual SPC'!$B$3),"")</f>
        <v/>
      </c>
      <c r="E7409">
        <f>IF(B7409=1,D7409,E7408)</f>
        <v/>
      </c>
      <c r="F7409">
        <f>IF(AND(B7409=1,C7409&gt;1,E7408&lt;&gt;""),ABS(D7409-E7408),"")</f>
        <v/>
      </c>
    </row>
    <row r="7410">
      <c r="A7410" t="n">
        <v>7410</v>
      </c>
      <c r="B7410">
        <f>IF(INDEX('Data Entry'!$H$5:$BE$10004,7410-4,'Visual SPC'!$B$3)="",0,IF(AND(OR('Visual SPC'!$C$4="",'Data Entry'!$C7410&gt;='Visual SPC'!$C$4),OR('Visual SPC'!$E$4="",'Data Entry'!$C7410&lt;='Visual SPC'!$E$4),OR('Visual SPC'!$G$4="",'Data Entry'!$D7410='Visual SPC'!$G$4),OR('Visual SPC'!$I$4="",'Data Entry'!$E7410='Visual SPC'!$I$4),OR('Visual SPC'!$K$4="",'Data Entry'!$F7410='Visual SPC'!$K$4)),1,0))</f>
        <v/>
      </c>
      <c r="C7410">
        <f>C7409+B7410</f>
        <v/>
      </c>
      <c r="D7410">
        <f>IF(B7410=1,INDEX('Data Entry'!$H$5:$BE$10004,7410-4,'Visual SPC'!$B$3),"")</f>
        <v/>
      </c>
      <c r="E7410">
        <f>IF(B7410=1,D7410,E7409)</f>
        <v/>
      </c>
      <c r="F7410">
        <f>IF(AND(B7410=1,C7410&gt;1,E7409&lt;&gt;""),ABS(D7410-E7409),"")</f>
        <v/>
      </c>
    </row>
    <row r="7411">
      <c r="A7411" t="n">
        <v>7411</v>
      </c>
      <c r="B7411">
        <f>IF(INDEX('Data Entry'!$H$5:$BE$10004,7411-4,'Visual SPC'!$B$3)="",0,IF(AND(OR('Visual SPC'!$C$4="",'Data Entry'!$C7411&gt;='Visual SPC'!$C$4),OR('Visual SPC'!$E$4="",'Data Entry'!$C7411&lt;='Visual SPC'!$E$4),OR('Visual SPC'!$G$4="",'Data Entry'!$D7411='Visual SPC'!$G$4),OR('Visual SPC'!$I$4="",'Data Entry'!$E7411='Visual SPC'!$I$4),OR('Visual SPC'!$K$4="",'Data Entry'!$F7411='Visual SPC'!$K$4)),1,0))</f>
        <v/>
      </c>
      <c r="C7411">
        <f>C7410+B7411</f>
        <v/>
      </c>
      <c r="D7411">
        <f>IF(B7411=1,INDEX('Data Entry'!$H$5:$BE$10004,7411-4,'Visual SPC'!$B$3),"")</f>
        <v/>
      </c>
      <c r="E7411">
        <f>IF(B7411=1,D7411,E7410)</f>
        <v/>
      </c>
      <c r="F7411">
        <f>IF(AND(B7411=1,C7411&gt;1,E7410&lt;&gt;""),ABS(D7411-E7410),"")</f>
        <v/>
      </c>
    </row>
    <row r="7412">
      <c r="A7412" t="n">
        <v>7412</v>
      </c>
      <c r="B7412">
        <f>IF(INDEX('Data Entry'!$H$5:$BE$10004,7412-4,'Visual SPC'!$B$3)="",0,IF(AND(OR('Visual SPC'!$C$4="",'Data Entry'!$C7412&gt;='Visual SPC'!$C$4),OR('Visual SPC'!$E$4="",'Data Entry'!$C7412&lt;='Visual SPC'!$E$4),OR('Visual SPC'!$G$4="",'Data Entry'!$D7412='Visual SPC'!$G$4),OR('Visual SPC'!$I$4="",'Data Entry'!$E7412='Visual SPC'!$I$4),OR('Visual SPC'!$K$4="",'Data Entry'!$F7412='Visual SPC'!$K$4)),1,0))</f>
        <v/>
      </c>
      <c r="C7412">
        <f>C7411+B7412</f>
        <v/>
      </c>
      <c r="D7412">
        <f>IF(B7412=1,INDEX('Data Entry'!$H$5:$BE$10004,7412-4,'Visual SPC'!$B$3),"")</f>
        <v/>
      </c>
      <c r="E7412">
        <f>IF(B7412=1,D7412,E7411)</f>
        <v/>
      </c>
      <c r="F7412">
        <f>IF(AND(B7412=1,C7412&gt;1,E7411&lt;&gt;""),ABS(D7412-E7411),"")</f>
        <v/>
      </c>
    </row>
    <row r="7413">
      <c r="A7413" t="n">
        <v>7413</v>
      </c>
      <c r="B7413">
        <f>IF(INDEX('Data Entry'!$H$5:$BE$10004,7413-4,'Visual SPC'!$B$3)="",0,IF(AND(OR('Visual SPC'!$C$4="",'Data Entry'!$C7413&gt;='Visual SPC'!$C$4),OR('Visual SPC'!$E$4="",'Data Entry'!$C7413&lt;='Visual SPC'!$E$4),OR('Visual SPC'!$G$4="",'Data Entry'!$D7413='Visual SPC'!$G$4),OR('Visual SPC'!$I$4="",'Data Entry'!$E7413='Visual SPC'!$I$4),OR('Visual SPC'!$K$4="",'Data Entry'!$F7413='Visual SPC'!$K$4)),1,0))</f>
        <v/>
      </c>
      <c r="C7413">
        <f>C7412+B7413</f>
        <v/>
      </c>
      <c r="D7413">
        <f>IF(B7413=1,INDEX('Data Entry'!$H$5:$BE$10004,7413-4,'Visual SPC'!$B$3),"")</f>
        <v/>
      </c>
      <c r="E7413">
        <f>IF(B7413=1,D7413,E7412)</f>
        <v/>
      </c>
      <c r="F7413">
        <f>IF(AND(B7413=1,C7413&gt;1,E7412&lt;&gt;""),ABS(D7413-E7412),"")</f>
        <v/>
      </c>
    </row>
    <row r="7414">
      <c r="A7414" t="n">
        <v>7414</v>
      </c>
      <c r="B7414">
        <f>IF(INDEX('Data Entry'!$H$5:$BE$10004,7414-4,'Visual SPC'!$B$3)="",0,IF(AND(OR('Visual SPC'!$C$4="",'Data Entry'!$C7414&gt;='Visual SPC'!$C$4),OR('Visual SPC'!$E$4="",'Data Entry'!$C7414&lt;='Visual SPC'!$E$4),OR('Visual SPC'!$G$4="",'Data Entry'!$D7414='Visual SPC'!$G$4),OR('Visual SPC'!$I$4="",'Data Entry'!$E7414='Visual SPC'!$I$4),OR('Visual SPC'!$K$4="",'Data Entry'!$F7414='Visual SPC'!$K$4)),1,0))</f>
        <v/>
      </c>
      <c r="C7414">
        <f>C7413+B7414</f>
        <v/>
      </c>
      <c r="D7414">
        <f>IF(B7414=1,INDEX('Data Entry'!$H$5:$BE$10004,7414-4,'Visual SPC'!$B$3),"")</f>
        <v/>
      </c>
      <c r="E7414">
        <f>IF(B7414=1,D7414,E7413)</f>
        <v/>
      </c>
      <c r="F7414">
        <f>IF(AND(B7414=1,C7414&gt;1,E7413&lt;&gt;""),ABS(D7414-E7413),"")</f>
        <v/>
      </c>
    </row>
    <row r="7415">
      <c r="A7415" t="n">
        <v>7415</v>
      </c>
      <c r="B7415">
        <f>IF(INDEX('Data Entry'!$H$5:$BE$10004,7415-4,'Visual SPC'!$B$3)="",0,IF(AND(OR('Visual SPC'!$C$4="",'Data Entry'!$C7415&gt;='Visual SPC'!$C$4),OR('Visual SPC'!$E$4="",'Data Entry'!$C7415&lt;='Visual SPC'!$E$4),OR('Visual SPC'!$G$4="",'Data Entry'!$D7415='Visual SPC'!$G$4),OR('Visual SPC'!$I$4="",'Data Entry'!$E7415='Visual SPC'!$I$4),OR('Visual SPC'!$K$4="",'Data Entry'!$F7415='Visual SPC'!$K$4)),1,0))</f>
        <v/>
      </c>
      <c r="C7415">
        <f>C7414+B7415</f>
        <v/>
      </c>
      <c r="D7415">
        <f>IF(B7415=1,INDEX('Data Entry'!$H$5:$BE$10004,7415-4,'Visual SPC'!$B$3),"")</f>
        <v/>
      </c>
      <c r="E7415">
        <f>IF(B7415=1,D7415,E7414)</f>
        <v/>
      </c>
      <c r="F7415">
        <f>IF(AND(B7415=1,C7415&gt;1,E7414&lt;&gt;""),ABS(D7415-E7414),"")</f>
        <v/>
      </c>
    </row>
    <row r="7416">
      <c r="A7416" t="n">
        <v>7416</v>
      </c>
      <c r="B7416">
        <f>IF(INDEX('Data Entry'!$H$5:$BE$10004,7416-4,'Visual SPC'!$B$3)="",0,IF(AND(OR('Visual SPC'!$C$4="",'Data Entry'!$C7416&gt;='Visual SPC'!$C$4),OR('Visual SPC'!$E$4="",'Data Entry'!$C7416&lt;='Visual SPC'!$E$4),OR('Visual SPC'!$G$4="",'Data Entry'!$D7416='Visual SPC'!$G$4),OR('Visual SPC'!$I$4="",'Data Entry'!$E7416='Visual SPC'!$I$4),OR('Visual SPC'!$K$4="",'Data Entry'!$F7416='Visual SPC'!$K$4)),1,0))</f>
        <v/>
      </c>
      <c r="C7416">
        <f>C7415+B7416</f>
        <v/>
      </c>
      <c r="D7416">
        <f>IF(B7416=1,INDEX('Data Entry'!$H$5:$BE$10004,7416-4,'Visual SPC'!$B$3),"")</f>
        <v/>
      </c>
      <c r="E7416">
        <f>IF(B7416=1,D7416,E7415)</f>
        <v/>
      </c>
      <c r="F7416">
        <f>IF(AND(B7416=1,C7416&gt;1,E7415&lt;&gt;""),ABS(D7416-E7415),"")</f>
        <v/>
      </c>
    </row>
    <row r="7417">
      <c r="A7417" t="n">
        <v>7417</v>
      </c>
      <c r="B7417">
        <f>IF(INDEX('Data Entry'!$H$5:$BE$10004,7417-4,'Visual SPC'!$B$3)="",0,IF(AND(OR('Visual SPC'!$C$4="",'Data Entry'!$C7417&gt;='Visual SPC'!$C$4),OR('Visual SPC'!$E$4="",'Data Entry'!$C7417&lt;='Visual SPC'!$E$4),OR('Visual SPC'!$G$4="",'Data Entry'!$D7417='Visual SPC'!$G$4),OR('Visual SPC'!$I$4="",'Data Entry'!$E7417='Visual SPC'!$I$4),OR('Visual SPC'!$K$4="",'Data Entry'!$F7417='Visual SPC'!$K$4)),1,0))</f>
        <v/>
      </c>
      <c r="C7417">
        <f>C7416+B7417</f>
        <v/>
      </c>
      <c r="D7417">
        <f>IF(B7417=1,INDEX('Data Entry'!$H$5:$BE$10004,7417-4,'Visual SPC'!$B$3),"")</f>
        <v/>
      </c>
      <c r="E7417">
        <f>IF(B7417=1,D7417,E7416)</f>
        <v/>
      </c>
      <c r="F7417">
        <f>IF(AND(B7417=1,C7417&gt;1,E7416&lt;&gt;""),ABS(D7417-E7416),"")</f>
        <v/>
      </c>
    </row>
    <row r="7418">
      <c r="A7418" t="n">
        <v>7418</v>
      </c>
      <c r="B7418">
        <f>IF(INDEX('Data Entry'!$H$5:$BE$10004,7418-4,'Visual SPC'!$B$3)="",0,IF(AND(OR('Visual SPC'!$C$4="",'Data Entry'!$C7418&gt;='Visual SPC'!$C$4),OR('Visual SPC'!$E$4="",'Data Entry'!$C7418&lt;='Visual SPC'!$E$4),OR('Visual SPC'!$G$4="",'Data Entry'!$D7418='Visual SPC'!$G$4),OR('Visual SPC'!$I$4="",'Data Entry'!$E7418='Visual SPC'!$I$4),OR('Visual SPC'!$K$4="",'Data Entry'!$F7418='Visual SPC'!$K$4)),1,0))</f>
        <v/>
      </c>
      <c r="C7418">
        <f>C7417+B7418</f>
        <v/>
      </c>
      <c r="D7418">
        <f>IF(B7418=1,INDEX('Data Entry'!$H$5:$BE$10004,7418-4,'Visual SPC'!$B$3),"")</f>
        <v/>
      </c>
      <c r="E7418">
        <f>IF(B7418=1,D7418,E7417)</f>
        <v/>
      </c>
      <c r="F7418">
        <f>IF(AND(B7418=1,C7418&gt;1,E7417&lt;&gt;""),ABS(D7418-E7417),"")</f>
        <v/>
      </c>
    </row>
    <row r="7419">
      <c r="A7419" t="n">
        <v>7419</v>
      </c>
      <c r="B7419">
        <f>IF(INDEX('Data Entry'!$H$5:$BE$10004,7419-4,'Visual SPC'!$B$3)="",0,IF(AND(OR('Visual SPC'!$C$4="",'Data Entry'!$C7419&gt;='Visual SPC'!$C$4),OR('Visual SPC'!$E$4="",'Data Entry'!$C7419&lt;='Visual SPC'!$E$4),OR('Visual SPC'!$G$4="",'Data Entry'!$D7419='Visual SPC'!$G$4),OR('Visual SPC'!$I$4="",'Data Entry'!$E7419='Visual SPC'!$I$4),OR('Visual SPC'!$K$4="",'Data Entry'!$F7419='Visual SPC'!$K$4)),1,0))</f>
        <v/>
      </c>
      <c r="C7419">
        <f>C7418+B7419</f>
        <v/>
      </c>
      <c r="D7419">
        <f>IF(B7419=1,INDEX('Data Entry'!$H$5:$BE$10004,7419-4,'Visual SPC'!$B$3),"")</f>
        <v/>
      </c>
      <c r="E7419">
        <f>IF(B7419=1,D7419,E7418)</f>
        <v/>
      </c>
      <c r="F7419">
        <f>IF(AND(B7419=1,C7419&gt;1,E7418&lt;&gt;""),ABS(D7419-E7418),"")</f>
        <v/>
      </c>
    </row>
    <row r="7420">
      <c r="A7420" t="n">
        <v>7420</v>
      </c>
      <c r="B7420">
        <f>IF(INDEX('Data Entry'!$H$5:$BE$10004,7420-4,'Visual SPC'!$B$3)="",0,IF(AND(OR('Visual SPC'!$C$4="",'Data Entry'!$C7420&gt;='Visual SPC'!$C$4),OR('Visual SPC'!$E$4="",'Data Entry'!$C7420&lt;='Visual SPC'!$E$4),OR('Visual SPC'!$G$4="",'Data Entry'!$D7420='Visual SPC'!$G$4),OR('Visual SPC'!$I$4="",'Data Entry'!$E7420='Visual SPC'!$I$4),OR('Visual SPC'!$K$4="",'Data Entry'!$F7420='Visual SPC'!$K$4)),1,0))</f>
        <v/>
      </c>
      <c r="C7420">
        <f>C7419+B7420</f>
        <v/>
      </c>
      <c r="D7420">
        <f>IF(B7420=1,INDEX('Data Entry'!$H$5:$BE$10004,7420-4,'Visual SPC'!$B$3),"")</f>
        <v/>
      </c>
      <c r="E7420">
        <f>IF(B7420=1,D7420,E7419)</f>
        <v/>
      </c>
      <c r="F7420">
        <f>IF(AND(B7420=1,C7420&gt;1,E7419&lt;&gt;""),ABS(D7420-E7419),"")</f>
        <v/>
      </c>
    </row>
    <row r="7421">
      <c r="A7421" t="n">
        <v>7421</v>
      </c>
      <c r="B7421">
        <f>IF(INDEX('Data Entry'!$H$5:$BE$10004,7421-4,'Visual SPC'!$B$3)="",0,IF(AND(OR('Visual SPC'!$C$4="",'Data Entry'!$C7421&gt;='Visual SPC'!$C$4),OR('Visual SPC'!$E$4="",'Data Entry'!$C7421&lt;='Visual SPC'!$E$4),OR('Visual SPC'!$G$4="",'Data Entry'!$D7421='Visual SPC'!$G$4),OR('Visual SPC'!$I$4="",'Data Entry'!$E7421='Visual SPC'!$I$4),OR('Visual SPC'!$K$4="",'Data Entry'!$F7421='Visual SPC'!$K$4)),1,0))</f>
        <v/>
      </c>
      <c r="C7421">
        <f>C7420+B7421</f>
        <v/>
      </c>
      <c r="D7421">
        <f>IF(B7421=1,INDEX('Data Entry'!$H$5:$BE$10004,7421-4,'Visual SPC'!$B$3),"")</f>
        <v/>
      </c>
      <c r="E7421">
        <f>IF(B7421=1,D7421,E7420)</f>
        <v/>
      </c>
      <c r="F7421">
        <f>IF(AND(B7421=1,C7421&gt;1,E7420&lt;&gt;""),ABS(D7421-E7420),"")</f>
        <v/>
      </c>
    </row>
    <row r="7422">
      <c r="A7422" t="n">
        <v>7422</v>
      </c>
      <c r="B7422">
        <f>IF(INDEX('Data Entry'!$H$5:$BE$10004,7422-4,'Visual SPC'!$B$3)="",0,IF(AND(OR('Visual SPC'!$C$4="",'Data Entry'!$C7422&gt;='Visual SPC'!$C$4),OR('Visual SPC'!$E$4="",'Data Entry'!$C7422&lt;='Visual SPC'!$E$4),OR('Visual SPC'!$G$4="",'Data Entry'!$D7422='Visual SPC'!$G$4),OR('Visual SPC'!$I$4="",'Data Entry'!$E7422='Visual SPC'!$I$4),OR('Visual SPC'!$K$4="",'Data Entry'!$F7422='Visual SPC'!$K$4)),1,0))</f>
        <v/>
      </c>
      <c r="C7422">
        <f>C7421+B7422</f>
        <v/>
      </c>
      <c r="D7422">
        <f>IF(B7422=1,INDEX('Data Entry'!$H$5:$BE$10004,7422-4,'Visual SPC'!$B$3),"")</f>
        <v/>
      </c>
      <c r="E7422">
        <f>IF(B7422=1,D7422,E7421)</f>
        <v/>
      </c>
      <c r="F7422">
        <f>IF(AND(B7422=1,C7422&gt;1,E7421&lt;&gt;""),ABS(D7422-E7421),"")</f>
        <v/>
      </c>
    </row>
    <row r="7423">
      <c r="A7423" t="n">
        <v>7423</v>
      </c>
      <c r="B7423">
        <f>IF(INDEX('Data Entry'!$H$5:$BE$10004,7423-4,'Visual SPC'!$B$3)="",0,IF(AND(OR('Visual SPC'!$C$4="",'Data Entry'!$C7423&gt;='Visual SPC'!$C$4),OR('Visual SPC'!$E$4="",'Data Entry'!$C7423&lt;='Visual SPC'!$E$4),OR('Visual SPC'!$G$4="",'Data Entry'!$D7423='Visual SPC'!$G$4),OR('Visual SPC'!$I$4="",'Data Entry'!$E7423='Visual SPC'!$I$4),OR('Visual SPC'!$K$4="",'Data Entry'!$F7423='Visual SPC'!$K$4)),1,0))</f>
        <v/>
      </c>
      <c r="C7423">
        <f>C7422+B7423</f>
        <v/>
      </c>
      <c r="D7423">
        <f>IF(B7423=1,INDEX('Data Entry'!$H$5:$BE$10004,7423-4,'Visual SPC'!$B$3),"")</f>
        <v/>
      </c>
      <c r="E7423">
        <f>IF(B7423=1,D7423,E7422)</f>
        <v/>
      </c>
      <c r="F7423">
        <f>IF(AND(B7423=1,C7423&gt;1,E7422&lt;&gt;""),ABS(D7423-E7422),"")</f>
        <v/>
      </c>
    </row>
    <row r="7424">
      <c r="A7424" t="n">
        <v>7424</v>
      </c>
      <c r="B7424">
        <f>IF(INDEX('Data Entry'!$H$5:$BE$10004,7424-4,'Visual SPC'!$B$3)="",0,IF(AND(OR('Visual SPC'!$C$4="",'Data Entry'!$C7424&gt;='Visual SPC'!$C$4),OR('Visual SPC'!$E$4="",'Data Entry'!$C7424&lt;='Visual SPC'!$E$4),OR('Visual SPC'!$G$4="",'Data Entry'!$D7424='Visual SPC'!$G$4),OR('Visual SPC'!$I$4="",'Data Entry'!$E7424='Visual SPC'!$I$4),OR('Visual SPC'!$K$4="",'Data Entry'!$F7424='Visual SPC'!$K$4)),1,0))</f>
        <v/>
      </c>
      <c r="C7424">
        <f>C7423+B7424</f>
        <v/>
      </c>
      <c r="D7424">
        <f>IF(B7424=1,INDEX('Data Entry'!$H$5:$BE$10004,7424-4,'Visual SPC'!$B$3),"")</f>
        <v/>
      </c>
      <c r="E7424">
        <f>IF(B7424=1,D7424,E7423)</f>
        <v/>
      </c>
      <c r="F7424">
        <f>IF(AND(B7424=1,C7424&gt;1,E7423&lt;&gt;""),ABS(D7424-E7423),"")</f>
        <v/>
      </c>
    </row>
    <row r="7425">
      <c r="A7425" t="n">
        <v>7425</v>
      </c>
      <c r="B7425">
        <f>IF(INDEX('Data Entry'!$H$5:$BE$10004,7425-4,'Visual SPC'!$B$3)="",0,IF(AND(OR('Visual SPC'!$C$4="",'Data Entry'!$C7425&gt;='Visual SPC'!$C$4),OR('Visual SPC'!$E$4="",'Data Entry'!$C7425&lt;='Visual SPC'!$E$4),OR('Visual SPC'!$G$4="",'Data Entry'!$D7425='Visual SPC'!$G$4),OR('Visual SPC'!$I$4="",'Data Entry'!$E7425='Visual SPC'!$I$4),OR('Visual SPC'!$K$4="",'Data Entry'!$F7425='Visual SPC'!$K$4)),1,0))</f>
        <v/>
      </c>
      <c r="C7425">
        <f>C7424+B7425</f>
        <v/>
      </c>
      <c r="D7425">
        <f>IF(B7425=1,INDEX('Data Entry'!$H$5:$BE$10004,7425-4,'Visual SPC'!$B$3),"")</f>
        <v/>
      </c>
      <c r="E7425">
        <f>IF(B7425=1,D7425,E7424)</f>
        <v/>
      </c>
      <c r="F7425">
        <f>IF(AND(B7425=1,C7425&gt;1,E7424&lt;&gt;""),ABS(D7425-E7424),"")</f>
        <v/>
      </c>
    </row>
    <row r="7426">
      <c r="A7426" t="n">
        <v>7426</v>
      </c>
      <c r="B7426">
        <f>IF(INDEX('Data Entry'!$H$5:$BE$10004,7426-4,'Visual SPC'!$B$3)="",0,IF(AND(OR('Visual SPC'!$C$4="",'Data Entry'!$C7426&gt;='Visual SPC'!$C$4),OR('Visual SPC'!$E$4="",'Data Entry'!$C7426&lt;='Visual SPC'!$E$4),OR('Visual SPC'!$G$4="",'Data Entry'!$D7426='Visual SPC'!$G$4),OR('Visual SPC'!$I$4="",'Data Entry'!$E7426='Visual SPC'!$I$4),OR('Visual SPC'!$K$4="",'Data Entry'!$F7426='Visual SPC'!$K$4)),1,0))</f>
        <v/>
      </c>
      <c r="C7426">
        <f>C7425+B7426</f>
        <v/>
      </c>
      <c r="D7426">
        <f>IF(B7426=1,INDEX('Data Entry'!$H$5:$BE$10004,7426-4,'Visual SPC'!$B$3),"")</f>
        <v/>
      </c>
      <c r="E7426">
        <f>IF(B7426=1,D7426,E7425)</f>
        <v/>
      </c>
      <c r="F7426">
        <f>IF(AND(B7426=1,C7426&gt;1,E7425&lt;&gt;""),ABS(D7426-E7425),"")</f>
        <v/>
      </c>
    </row>
    <row r="7427">
      <c r="A7427" t="n">
        <v>7427</v>
      </c>
      <c r="B7427">
        <f>IF(INDEX('Data Entry'!$H$5:$BE$10004,7427-4,'Visual SPC'!$B$3)="",0,IF(AND(OR('Visual SPC'!$C$4="",'Data Entry'!$C7427&gt;='Visual SPC'!$C$4),OR('Visual SPC'!$E$4="",'Data Entry'!$C7427&lt;='Visual SPC'!$E$4),OR('Visual SPC'!$G$4="",'Data Entry'!$D7427='Visual SPC'!$G$4),OR('Visual SPC'!$I$4="",'Data Entry'!$E7427='Visual SPC'!$I$4),OR('Visual SPC'!$K$4="",'Data Entry'!$F7427='Visual SPC'!$K$4)),1,0))</f>
        <v/>
      </c>
      <c r="C7427">
        <f>C7426+B7427</f>
        <v/>
      </c>
      <c r="D7427">
        <f>IF(B7427=1,INDEX('Data Entry'!$H$5:$BE$10004,7427-4,'Visual SPC'!$B$3),"")</f>
        <v/>
      </c>
      <c r="E7427">
        <f>IF(B7427=1,D7427,E7426)</f>
        <v/>
      </c>
      <c r="F7427">
        <f>IF(AND(B7427=1,C7427&gt;1,E7426&lt;&gt;""),ABS(D7427-E7426),"")</f>
        <v/>
      </c>
    </row>
    <row r="7428">
      <c r="A7428" t="n">
        <v>7428</v>
      </c>
      <c r="B7428">
        <f>IF(INDEX('Data Entry'!$H$5:$BE$10004,7428-4,'Visual SPC'!$B$3)="",0,IF(AND(OR('Visual SPC'!$C$4="",'Data Entry'!$C7428&gt;='Visual SPC'!$C$4),OR('Visual SPC'!$E$4="",'Data Entry'!$C7428&lt;='Visual SPC'!$E$4),OR('Visual SPC'!$G$4="",'Data Entry'!$D7428='Visual SPC'!$G$4),OR('Visual SPC'!$I$4="",'Data Entry'!$E7428='Visual SPC'!$I$4),OR('Visual SPC'!$K$4="",'Data Entry'!$F7428='Visual SPC'!$K$4)),1,0))</f>
        <v/>
      </c>
      <c r="C7428">
        <f>C7427+B7428</f>
        <v/>
      </c>
      <c r="D7428">
        <f>IF(B7428=1,INDEX('Data Entry'!$H$5:$BE$10004,7428-4,'Visual SPC'!$B$3),"")</f>
        <v/>
      </c>
      <c r="E7428">
        <f>IF(B7428=1,D7428,E7427)</f>
        <v/>
      </c>
      <c r="F7428">
        <f>IF(AND(B7428=1,C7428&gt;1,E7427&lt;&gt;""),ABS(D7428-E7427),"")</f>
        <v/>
      </c>
    </row>
    <row r="7429">
      <c r="A7429" t="n">
        <v>7429</v>
      </c>
      <c r="B7429">
        <f>IF(INDEX('Data Entry'!$H$5:$BE$10004,7429-4,'Visual SPC'!$B$3)="",0,IF(AND(OR('Visual SPC'!$C$4="",'Data Entry'!$C7429&gt;='Visual SPC'!$C$4),OR('Visual SPC'!$E$4="",'Data Entry'!$C7429&lt;='Visual SPC'!$E$4),OR('Visual SPC'!$G$4="",'Data Entry'!$D7429='Visual SPC'!$G$4),OR('Visual SPC'!$I$4="",'Data Entry'!$E7429='Visual SPC'!$I$4),OR('Visual SPC'!$K$4="",'Data Entry'!$F7429='Visual SPC'!$K$4)),1,0))</f>
        <v/>
      </c>
      <c r="C7429">
        <f>C7428+B7429</f>
        <v/>
      </c>
      <c r="D7429">
        <f>IF(B7429=1,INDEX('Data Entry'!$H$5:$BE$10004,7429-4,'Visual SPC'!$B$3),"")</f>
        <v/>
      </c>
      <c r="E7429">
        <f>IF(B7429=1,D7429,E7428)</f>
        <v/>
      </c>
      <c r="F7429">
        <f>IF(AND(B7429=1,C7429&gt;1,E7428&lt;&gt;""),ABS(D7429-E7428),"")</f>
        <v/>
      </c>
    </row>
    <row r="7430">
      <c r="A7430" t="n">
        <v>7430</v>
      </c>
      <c r="B7430">
        <f>IF(INDEX('Data Entry'!$H$5:$BE$10004,7430-4,'Visual SPC'!$B$3)="",0,IF(AND(OR('Visual SPC'!$C$4="",'Data Entry'!$C7430&gt;='Visual SPC'!$C$4),OR('Visual SPC'!$E$4="",'Data Entry'!$C7430&lt;='Visual SPC'!$E$4),OR('Visual SPC'!$G$4="",'Data Entry'!$D7430='Visual SPC'!$G$4),OR('Visual SPC'!$I$4="",'Data Entry'!$E7430='Visual SPC'!$I$4),OR('Visual SPC'!$K$4="",'Data Entry'!$F7430='Visual SPC'!$K$4)),1,0))</f>
        <v/>
      </c>
      <c r="C7430">
        <f>C7429+B7430</f>
        <v/>
      </c>
      <c r="D7430">
        <f>IF(B7430=1,INDEX('Data Entry'!$H$5:$BE$10004,7430-4,'Visual SPC'!$B$3),"")</f>
        <v/>
      </c>
      <c r="E7430">
        <f>IF(B7430=1,D7430,E7429)</f>
        <v/>
      </c>
      <c r="F7430">
        <f>IF(AND(B7430=1,C7430&gt;1,E7429&lt;&gt;""),ABS(D7430-E7429),"")</f>
        <v/>
      </c>
    </row>
    <row r="7431">
      <c r="A7431" t="n">
        <v>7431</v>
      </c>
      <c r="B7431">
        <f>IF(INDEX('Data Entry'!$H$5:$BE$10004,7431-4,'Visual SPC'!$B$3)="",0,IF(AND(OR('Visual SPC'!$C$4="",'Data Entry'!$C7431&gt;='Visual SPC'!$C$4),OR('Visual SPC'!$E$4="",'Data Entry'!$C7431&lt;='Visual SPC'!$E$4),OR('Visual SPC'!$G$4="",'Data Entry'!$D7431='Visual SPC'!$G$4),OR('Visual SPC'!$I$4="",'Data Entry'!$E7431='Visual SPC'!$I$4),OR('Visual SPC'!$K$4="",'Data Entry'!$F7431='Visual SPC'!$K$4)),1,0))</f>
        <v/>
      </c>
      <c r="C7431">
        <f>C7430+B7431</f>
        <v/>
      </c>
      <c r="D7431">
        <f>IF(B7431=1,INDEX('Data Entry'!$H$5:$BE$10004,7431-4,'Visual SPC'!$B$3),"")</f>
        <v/>
      </c>
      <c r="E7431">
        <f>IF(B7431=1,D7431,E7430)</f>
        <v/>
      </c>
      <c r="F7431">
        <f>IF(AND(B7431=1,C7431&gt;1,E7430&lt;&gt;""),ABS(D7431-E7430),"")</f>
        <v/>
      </c>
    </row>
    <row r="7432">
      <c r="A7432" t="n">
        <v>7432</v>
      </c>
      <c r="B7432">
        <f>IF(INDEX('Data Entry'!$H$5:$BE$10004,7432-4,'Visual SPC'!$B$3)="",0,IF(AND(OR('Visual SPC'!$C$4="",'Data Entry'!$C7432&gt;='Visual SPC'!$C$4),OR('Visual SPC'!$E$4="",'Data Entry'!$C7432&lt;='Visual SPC'!$E$4),OR('Visual SPC'!$G$4="",'Data Entry'!$D7432='Visual SPC'!$G$4),OR('Visual SPC'!$I$4="",'Data Entry'!$E7432='Visual SPC'!$I$4),OR('Visual SPC'!$K$4="",'Data Entry'!$F7432='Visual SPC'!$K$4)),1,0))</f>
        <v/>
      </c>
      <c r="C7432">
        <f>C7431+B7432</f>
        <v/>
      </c>
      <c r="D7432">
        <f>IF(B7432=1,INDEX('Data Entry'!$H$5:$BE$10004,7432-4,'Visual SPC'!$B$3),"")</f>
        <v/>
      </c>
      <c r="E7432">
        <f>IF(B7432=1,D7432,E7431)</f>
        <v/>
      </c>
      <c r="F7432">
        <f>IF(AND(B7432=1,C7432&gt;1,E7431&lt;&gt;""),ABS(D7432-E7431),"")</f>
        <v/>
      </c>
    </row>
    <row r="7433">
      <c r="A7433" t="n">
        <v>7433</v>
      </c>
      <c r="B7433">
        <f>IF(INDEX('Data Entry'!$H$5:$BE$10004,7433-4,'Visual SPC'!$B$3)="",0,IF(AND(OR('Visual SPC'!$C$4="",'Data Entry'!$C7433&gt;='Visual SPC'!$C$4),OR('Visual SPC'!$E$4="",'Data Entry'!$C7433&lt;='Visual SPC'!$E$4),OR('Visual SPC'!$G$4="",'Data Entry'!$D7433='Visual SPC'!$G$4),OR('Visual SPC'!$I$4="",'Data Entry'!$E7433='Visual SPC'!$I$4),OR('Visual SPC'!$K$4="",'Data Entry'!$F7433='Visual SPC'!$K$4)),1,0))</f>
        <v/>
      </c>
      <c r="C7433">
        <f>C7432+B7433</f>
        <v/>
      </c>
      <c r="D7433">
        <f>IF(B7433=1,INDEX('Data Entry'!$H$5:$BE$10004,7433-4,'Visual SPC'!$B$3),"")</f>
        <v/>
      </c>
      <c r="E7433">
        <f>IF(B7433=1,D7433,E7432)</f>
        <v/>
      </c>
      <c r="F7433">
        <f>IF(AND(B7433=1,C7433&gt;1,E7432&lt;&gt;""),ABS(D7433-E7432),"")</f>
        <v/>
      </c>
    </row>
    <row r="7434">
      <c r="A7434" t="n">
        <v>7434</v>
      </c>
      <c r="B7434">
        <f>IF(INDEX('Data Entry'!$H$5:$BE$10004,7434-4,'Visual SPC'!$B$3)="",0,IF(AND(OR('Visual SPC'!$C$4="",'Data Entry'!$C7434&gt;='Visual SPC'!$C$4),OR('Visual SPC'!$E$4="",'Data Entry'!$C7434&lt;='Visual SPC'!$E$4),OR('Visual SPC'!$G$4="",'Data Entry'!$D7434='Visual SPC'!$G$4),OR('Visual SPC'!$I$4="",'Data Entry'!$E7434='Visual SPC'!$I$4),OR('Visual SPC'!$K$4="",'Data Entry'!$F7434='Visual SPC'!$K$4)),1,0))</f>
        <v/>
      </c>
      <c r="C7434">
        <f>C7433+B7434</f>
        <v/>
      </c>
      <c r="D7434">
        <f>IF(B7434=1,INDEX('Data Entry'!$H$5:$BE$10004,7434-4,'Visual SPC'!$B$3),"")</f>
        <v/>
      </c>
      <c r="E7434">
        <f>IF(B7434=1,D7434,E7433)</f>
        <v/>
      </c>
      <c r="F7434">
        <f>IF(AND(B7434=1,C7434&gt;1,E7433&lt;&gt;""),ABS(D7434-E7433),"")</f>
        <v/>
      </c>
    </row>
    <row r="7435">
      <c r="A7435" t="n">
        <v>7435</v>
      </c>
      <c r="B7435">
        <f>IF(INDEX('Data Entry'!$H$5:$BE$10004,7435-4,'Visual SPC'!$B$3)="",0,IF(AND(OR('Visual SPC'!$C$4="",'Data Entry'!$C7435&gt;='Visual SPC'!$C$4),OR('Visual SPC'!$E$4="",'Data Entry'!$C7435&lt;='Visual SPC'!$E$4),OR('Visual SPC'!$G$4="",'Data Entry'!$D7435='Visual SPC'!$G$4),OR('Visual SPC'!$I$4="",'Data Entry'!$E7435='Visual SPC'!$I$4),OR('Visual SPC'!$K$4="",'Data Entry'!$F7435='Visual SPC'!$K$4)),1,0))</f>
        <v/>
      </c>
      <c r="C7435">
        <f>C7434+B7435</f>
        <v/>
      </c>
      <c r="D7435">
        <f>IF(B7435=1,INDEX('Data Entry'!$H$5:$BE$10004,7435-4,'Visual SPC'!$B$3),"")</f>
        <v/>
      </c>
      <c r="E7435">
        <f>IF(B7435=1,D7435,E7434)</f>
        <v/>
      </c>
      <c r="F7435">
        <f>IF(AND(B7435=1,C7435&gt;1,E7434&lt;&gt;""),ABS(D7435-E7434),"")</f>
        <v/>
      </c>
    </row>
    <row r="7436">
      <c r="A7436" t="n">
        <v>7436</v>
      </c>
      <c r="B7436">
        <f>IF(INDEX('Data Entry'!$H$5:$BE$10004,7436-4,'Visual SPC'!$B$3)="",0,IF(AND(OR('Visual SPC'!$C$4="",'Data Entry'!$C7436&gt;='Visual SPC'!$C$4),OR('Visual SPC'!$E$4="",'Data Entry'!$C7436&lt;='Visual SPC'!$E$4),OR('Visual SPC'!$G$4="",'Data Entry'!$D7436='Visual SPC'!$G$4),OR('Visual SPC'!$I$4="",'Data Entry'!$E7436='Visual SPC'!$I$4),OR('Visual SPC'!$K$4="",'Data Entry'!$F7436='Visual SPC'!$K$4)),1,0))</f>
        <v/>
      </c>
      <c r="C7436">
        <f>C7435+B7436</f>
        <v/>
      </c>
      <c r="D7436">
        <f>IF(B7436=1,INDEX('Data Entry'!$H$5:$BE$10004,7436-4,'Visual SPC'!$B$3),"")</f>
        <v/>
      </c>
      <c r="E7436">
        <f>IF(B7436=1,D7436,E7435)</f>
        <v/>
      </c>
      <c r="F7436">
        <f>IF(AND(B7436=1,C7436&gt;1,E7435&lt;&gt;""),ABS(D7436-E7435),"")</f>
        <v/>
      </c>
    </row>
    <row r="7437">
      <c r="A7437" t="n">
        <v>7437</v>
      </c>
      <c r="B7437">
        <f>IF(INDEX('Data Entry'!$H$5:$BE$10004,7437-4,'Visual SPC'!$B$3)="",0,IF(AND(OR('Visual SPC'!$C$4="",'Data Entry'!$C7437&gt;='Visual SPC'!$C$4),OR('Visual SPC'!$E$4="",'Data Entry'!$C7437&lt;='Visual SPC'!$E$4),OR('Visual SPC'!$G$4="",'Data Entry'!$D7437='Visual SPC'!$G$4),OR('Visual SPC'!$I$4="",'Data Entry'!$E7437='Visual SPC'!$I$4),OR('Visual SPC'!$K$4="",'Data Entry'!$F7437='Visual SPC'!$K$4)),1,0))</f>
        <v/>
      </c>
      <c r="C7437">
        <f>C7436+B7437</f>
        <v/>
      </c>
      <c r="D7437">
        <f>IF(B7437=1,INDEX('Data Entry'!$H$5:$BE$10004,7437-4,'Visual SPC'!$B$3),"")</f>
        <v/>
      </c>
      <c r="E7437">
        <f>IF(B7437=1,D7437,E7436)</f>
        <v/>
      </c>
      <c r="F7437">
        <f>IF(AND(B7437=1,C7437&gt;1,E7436&lt;&gt;""),ABS(D7437-E7436),"")</f>
        <v/>
      </c>
    </row>
    <row r="7438">
      <c r="A7438" t="n">
        <v>7438</v>
      </c>
      <c r="B7438">
        <f>IF(INDEX('Data Entry'!$H$5:$BE$10004,7438-4,'Visual SPC'!$B$3)="",0,IF(AND(OR('Visual SPC'!$C$4="",'Data Entry'!$C7438&gt;='Visual SPC'!$C$4),OR('Visual SPC'!$E$4="",'Data Entry'!$C7438&lt;='Visual SPC'!$E$4),OR('Visual SPC'!$G$4="",'Data Entry'!$D7438='Visual SPC'!$G$4),OR('Visual SPC'!$I$4="",'Data Entry'!$E7438='Visual SPC'!$I$4),OR('Visual SPC'!$K$4="",'Data Entry'!$F7438='Visual SPC'!$K$4)),1,0))</f>
        <v/>
      </c>
      <c r="C7438">
        <f>C7437+B7438</f>
        <v/>
      </c>
      <c r="D7438">
        <f>IF(B7438=1,INDEX('Data Entry'!$H$5:$BE$10004,7438-4,'Visual SPC'!$B$3),"")</f>
        <v/>
      </c>
      <c r="E7438">
        <f>IF(B7438=1,D7438,E7437)</f>
        <v/>
      </c>
      <c r="F7438">
        <f>IF(AND(B7438=1,C7438&gt;1,E7437&lt;&gt;""),ABS(D7438-E7437),"")</f>
        <v/>
      </c>
    </row>
    <row r="7439">
      <c r="A7439" t="n">
        <v>7439</v>
      </c>
      <c r="B7439">
        <f>IF(INDEX('Data Entry'!$H$5:$BE$10004,7439-4,'Visual SPC'!$B$3)="",0,IF(AND(OR('Visual SPC'!$C$4="",'Data Entry'!$C7439&gt;='Visual SPC'!$C$4),OR('Visual SPC'!$E$4="",'Data Entry'!$C7439&lt;='Visual SPC'!$E$4),OR('Visual SPC'!$G$4="",'Data Entry'!$D7439='Visual SPC'!$G$4),OR('Visual SPC'!$I$4="",'Data Entry'!$E7439='Visual SPC'!$I$4),OR('Visual SPC'!$K$4="",'Data Entry'!$F7439='Visual SPC'!$K$4)),1,0))</f>
        <v/>
      </c>
      <c r="C7439">
        <f>C7438+B7439</f>
        <v/>
      </c>
      <c r="D7439">
        <f>IF(B7439=1,INDEX('Data Entry'!$H$5:$BE$10004,7439-4,'Visual SPC'!$B$3),"")</f>
        <v/>
      </c>
      <c r="E7439">
        <f>IF(B7439=1,D7439,E7438)</f>
        <v/>
      </c>
      <c r="F7439">
        <f>IF(AND(B7439=1,C7439&gt;1,E7438&lt;&gt;""),ABS(D7439-E7438),"")</f>
        <v/>
      </c>
    </row>
    <row r="7440">
      <c r="A7440" t="n">
        <v>7440</v>
      </c>
      <c r="B7440">
        <f>IF(INDEX('Data Entry'!$H$5:$BE$10004,7440-4,'Visual SPC'!$B$3)="",0,IF(AND(OR('Visual SPC'!$C$4="",'Data Entry'!$C7440&gt;='Visual SPC'!$C$4),OR('Visual SPC'!$E$4="",'Data Entry'!$C7440&lt;='Visual SPC'!$E$4),OR('Visual SPC'!$G$4="",'Data Entry'!$D7440='Visual SPC'!$G$4),OR('Visual SPC'!$I$4="",'Data Entry'!$E7440='Visual SPC'!$I$4),OR('Visual SPC'!$K$4="",'Data Entry'!$F7440='Visual SPC'!$K$4)),1,0))</f>
        <v/>
      </c>
      <c r="C7440">
        <f>C7439+B7440</f>
        <v/>
      </c>
      <c r="D7440">
        <f>IF(B7440=1,INDEX('Data Entry'!$H$5:$BE$10004,7440-4,'Visual SPC'!$B$3),"")</f>
        <v/>
      </c>
      <c r="E7440">
        <f>IF(B7440=1,D7440,E7439)</f>
        <v/>
      </c>
      <c r="F7440">
        <f>IF(AND(B7440=1,C7440&gt;1,E7439&lt;&gt;""),ABS(D7440-E7439),"")</f>
        <v/>
      </c>
    </row>
    <row r="7441">
      <c r="A7441" t="n">
        <v>7441</v>
      </c>
      <c r="B7441">
        <f>IF(INDEX('Data Entry'!$H$5:$BE$10004,7441-4,'Visual SPC'!$B$3)="",0,IF(AND(OR('Visual SPC'!$C$4="",'Data Entry'!$C7441&gt;='Visual SPC'!$C$4),OR('Visual SPC'!$E$4="",'Data Entry'!$C7441&lt;='Visual SPC'!$E$4),OR('Visual SPC'!$G$4="",'Data Entry'!$D7441='Visual SPC'!$G$4),OR('Visual SPC'!$I$4="",'Data Entry'!$E7441='Visual SPC'!$I$4),OR('Visual SPC'!$K$4="",'Data Entry'!$F7441='Visual SPC'!$K$4)),1,0))</f>
        <v/>
      </c>
      <c r="C7441">
        <f>C7440+B7441</f>
        <v/>
      </c>
      <c r="D7441">
        <f>IF(B7441=1,INDEX('Data Entry'!$H$5:$BE$10004,7441-4,'Visual SPC'!$B$3),"")</f>
        <v/>
      </c>
      <c r="E7441">
        <f>IF(B7441=1,D7441,E7440)</f>
        <v/>
      </c>
      <c r="F7441">
        <f>IF(AND(B7441=1,C7441&gt;1,E7440&lt;&gt;""),ABS(D7441-E7440),"")</f>
        <v/>
      </c>
    </row>
    <row r="7442">
      <c r="A7442" t="n">
        <v>7442</v>
      </c>
      <c r="B7442">
        <f>IF(INDEX('Data Entry'!$H$5:$BE$10004,7442-4,'Visual SPC'!$B$3)="",0,IF(AND(OR('Visual SPC'!$C$4="",'Data Entry'!$C7442&gt;='Visual SPC'!$C$4),OR('Visual SPC'!$E$4="",'Data Entry'!$C7442&lt;='Visual SPC'!$E$4),OR('Visual SPC'!$G$4="",'Data Entry'!$D7442='Visual SPC'!$G$4),OR('Visual SPC'!$I$4="",'Data Entry'!$E7442='Visual SPC'!$I$4),OR('Visual SPC'!$K$4="",'Data Entry'!$F7442='Visual SPC'!$K$4)),1,0))</f>
        <v/>
      </c>
      <c r="C7442">
        <f>C7441+B7442</f>
        <v/>
      </c>
      <c r="D7442">
        <f>IF(B7442=1,INDEX('Data Entry'!$H$5:$BE$10004,7442-4,'Visual SPC'!$B$3),"")</f>
        <v/>
      </c>
      <c r="E7442">
        <f>IF(B7442=1,D7442,E7441)</f>
        <v/>
      </c>
      <c r="F7442">
        <f>IF(AND(B7442=1,C7442&gt;1,E7441&lt;&gt;""),ABS(D7442-E7441),"")</f>
        <v/>
      </c>
    </row>
    <row r="7443">
      <c r="A7443" t="n">
        <v>7443</v>
      </c>
      <c r="B7443">
        <f>IF(INDEX('Data Entry'!$H$5:$BE$10004,7443-4,'Visual SPC'!$B$3)="",0,IF(AND(OR('Visual SPC'!$C$4="",'Data Entry'!$C7443&gt;='Visual SPC'!$C$4),OR('Visual SPC'!$E$4="",'Data Entry'!$C7443&lt;='Visual SPC'!$E$4),OR('Visual SPC'!$G$4="",'Data Entry'!$D7443='Visual SPC'!$G$4),OR('Visual SPC'!$I$4="",'Data Entry'!$E7443='Visual SPC'!$I$4),OR('Visual SPC'!$K$4="",'Data Entry'!$F7443='Visual SPC'!$K$4)),1,0))</f>
        <v/>
      </c>
      <c r="C7443">
        <f>C7442+B7443</f>
        <v/>
      </c>
      <c r="D7443">
        <f>IF(B7443=1,INDEX('Data Entry'!$H$5:$BE$10004,7443-4,'Visual SPC'!$B$3),"")</f>
        <v/>
      </c>
      <c r="E7443">
        <f>IF(B7443=1,D7443,E7442)</f>
        <v/>
      </c>
      <c r="F7443">
        <f>IF(AND(B7443=1,C7443&gt;1,E7442&lt;&gt;""),ABS(D7443-E7442),"")</f>
        <v/>
      </c>
    </row>
    <row r="7444">
      <c r="A7444" t="n">
        <v>7444</v>
      </c>
      <c r="B7444">
        <f>IF(INDEX('Data Entry'!$H$5:$BE$10004,7444-4,'Visual SPC'!$B$3)="",0,IF(AND(OR('Visual SPC'!$C$4="",'Data Entry'!$C7444&gt;='Visual SPC'!$C$4),OR('Visual SPC'!$E$4="",'Data Entry'!$C7444&lt;='Visual SPC'!$E$4),OR('Visual SPC'!$G$4="",'Data Entry'!$D7444='Visual SPC'!$G$4),OR('Visual SPC'!$I$4="",'Data Entry'!$E7444='Visual SPC'!$I$4),OR('Visual SPC'!$K$4="",'Data Entry'!$F7444='Visual SPC'!$K$4)),1,0))</f>
        <v/>
      </c>
      <c r="C7444">
        <f>C7443+B7444</f>
        <v/>
      </c>
      <c r="D7444">
        <f>IF(B7444=1,INDEX('Data Entry'!$H$5:$BE$10004,7444-4,'Visual SPC'!$B$3),"")</f>
        <v/>
      </c>
      <c r="E7444">
        <f>IF(B7444=1,D7444,E7443)</f>
        <v/>
      </c>
      <c r="F7444">
        <f>IF(AND(B7444=1,C7444&gt;1,E7443&lt;&gt;""),ABS(D7444-E7443),"")</f>
        <v/>
      </c>
    </row>
    <row r="7445">
      <c r="A7445" t="n">
        <v>7445</v>
      </c>
      <c r="B7445">
        <f>IF(INDEX('Data Entry'!$H$5:$BE$10004,7445-4,'Visual SPC'!$B$3)="",0,IF(AND(OR('Visual SPC'!$C$4="",'Data Entry'!$C7445&gt;='Visual SPC'!$C$4),OR('Visual SPC'!$E$4="",'Data Entry'!$C7445&lt;='Visual SPC'!$E$4),OR('Visual SPC'!$G$4="",'Data Entry'!$D7445='Visual SPC'!$G$4),OR('Visual SPC'!$I$4="",'Data Entry'!$E7445='Visual SPC'!$I$4),OR('Visual SPC'!$K$4="",'Data Entry'!$F7445='Visual SPC'!$K$4)),1,0))</f>
        <v/>
      </c>
      <c r="C7445">
        <f>C7444+B7445</f>
        <v/>
      </c>
      <c r="D7445">
        <f>IF(B7445=1,INDEX('Data Entry'!$H$5:$BE$10004,7445-4,'Visual SPC'!$B$3),"")</f>
        <v/>
      </c>
      <c r="E7445">
        <f>IF(B7445=1,D7445,E7444)</f>
        <v/>
      </c>
      <c r="F7445">
        <f>IF(AND(B7445=1,C7445&gt;1,E7444&lt;&gt;""),ABS(D7445-E7444),"")</f>
        <v/>
      </c>
    </row>
    <row r="7446">
      <c r="A7446" t="n">
        <v>7446</v>
      </c>
      <c r="B7446">
        <f>IF(INDEX('Data Entry'!$H$5:$BE$10004,7446-4,'Visual SPC'!$B$3)="",0,IF(AND(OR('Visual SPC'!$C$4="",'Data Entry'!$C7446&gt;='Visual SPC'!$C$4),OR('Visual SPC'!$E$4="",'Data Entry'!$C7446&lt;='Visual SPC'!$E$4),OR('Visual SPC'!$G$4="",'Data Entry'!$D7446='Visual SPC'!$G$4),OR('Visual SPC'!$I$4="",'Data Entry'!$E7446='Visual SPC'!$I$4),OR('Visual SPC'!$K$4="",'Data Entry'!$F7446='Visual SPC'!$K$4)),1,0))</f>
        <v/>
      </c>
      <c r="C7446">
        <f>C7445+B7446</f>
        <v/>
      </c>
      <c r="D7446">
        <f>IF(B7446=1,INDEX('Data Entry'!$H$5:$BE$10004,7446-4,'Visual SPC'!$B$3),"")</f>
        <v/>
      </c>
      <c r="E7446">
        <f>IF(B7446=1,D7446,E7445)</f>
        <v/>
      </c>
      <c r="F7446">
        <f>IF(AND(B7446=1,C7446&gt;1,E7445&lt;&gt;""),ABS(D7446-E7445),"")</f>
        <v/>
      </c>
    </row>
    <row r="7447">
      <c r="A7447" t="n">
        <v>7447</v>
      </c>
      <c r="B7447">
        <f>IF(INDEX('Data Entry'!$H$5:$BE$10004,7447-4,'Visual SPC'!$B$3)="",0,IF(AND(OR('Visual SPC'!$C$4="",'Data Entry'!$C7447&gt;='Visual SPC'!$C$4),OR('Visual SPC'!$E$4="",'Data Entry'!$C7447&lt;='Visual SPC'!$E$4),OR('Visual SPC'!$G$4="",'Data Entry'!$D7447='Visual SPC'!$G$4),OR('Visual SPC'!$I$4="",'Data Entry'!$E7447='Visual SPC'!$I$4),OR('Visual SPC'!$K$4="",'Data Entry'!$F7447='Visual SPC'!$K$4)),1,0))</f>
        <v/>
      </c>
      <c r="C7447">
        <f>C7446+B7447</f>
        <v/>
      </c>
      <c r="D7447">
        <f>IF(B7447=1,INDEX('Data Entry'!$H$5:$BE$10004,7447-4,'Visual SPC'!$B$3),"")</f>
        <v/>
      </c>
      <c r="E7447">
        <f>IF(B7447=1,D7447,E7446)</f>
        <v/>
      </c>
      <c r="F7447">
        <f>IF(AND(B7447=1,C7447&gt;1,E7446&lt;&gt;""),ABS(D7447-E7446),"")</f>
        <v/>
      </c>
    </row>
    <row r="7448">
      <c r="A7448" t="n">
        <v>7448</v>
      </c>
      <c r="B7448">
        <f>IF(INDEX('Data Entry'!$H$5:$BE$10004,7448-4,'Visual SPC'!$B$3)="",0,IF(AND(OR('Visual SPC'!$C$4="",'Data Entry'!$C7448&gt;='Visual SPC'!$C$4),OR('Visual SPC'!$E$4="",'Data Entry'!$C7448&lt;='Visual SPC'!$E$4),OR('Visual SPC'!$G$4="",'Data Entry'!$D7448='Visual SPC'!$G$4),OR('Visual SPC'!$I$4="",'Data Entry'!$E7448='Visual SPC'!$I$4),OR('Visual SPC'!$K$4="",'Data Entry'!$F7448='Visual SPC'!$K$4)),1,0))</f>
        <v/>
      </c>
      <c r="C7448">
        <f>C7447+B7448</f>
        <v/>
      </c>
      <c r="D7448">
        <f>IF(B7448=1,INDEX('Data Entry'!$H$5:$BE$10004,7448-4,'Visual SPC'!$B$3),"")</f>
        <v/>
      </c>
      <c r="E7448">
        <f>IF(B7448=1,D7448,E7447)</f>
        <v/>
      </c>
      <c r="F7448">
        <f>IF(AND(B7448=1,C7448&gt;1,E7447&lt;&gt;""),ABS(D7448-E7447),"")</f>
        <v/>
      </c>
    </row>
    <row r="7449">
      <c r="A7449" t="n">
        <v>7449</v>
      </c>
      <c r="B7449">
        <f>IF(INDEX('Data Entry'!$H$5:$BE$10004,7449-4,'Visual SPC'!$B$3)="",0,IF(AND(OR('Visual SPC'!$C$4="",'Data Entry'!$C7449&gt;='Visual SPC'!$C$4),OR('Visual SPC'!$E$4="",'Data Entry'!$C7449&lt;='Visual SPC'!$E$4),OR('Visual SPC'!$G$4="",'Data Entry'!$D7449='Visual SPC'!$G$4),OR('Visual SPC'!$I$4="",'Data Entry'!$E7449='Visual SPC'!$I$4),OR('Visual SPC'!$K$4="",'Data Entry'!$F7449='Visual SPC'!$K$4)),1,0))</f>
        <v/>
      </c>
      <c r="C7449">
        <f>C7448+B7449</f>
        <v/>
      </c>
      <c r="D7449">
        <f>IF(B7449=1,INDEX('Data Entry'!$H$5:$BE$10004,7449-4,'Visual SPC'!$B$3),"")</f>
        <v/>
      </c>
      <c r="E7449">
        <f>IF(B7449=1,D7449,E7448)</f>
        <v/>
      </c>
      <c r="F7449">
        <f>IF(AND(B7449=1,C7449&gt;1,E7448&lt;&gt;""),ABS(D7449-E7448),"")</f>
        <v/>
      </c>
    </row>
    <row r="7450">
      <c r="A7450" t="n">
        <v>7450</v>
      </c>
      <c r="B7450">
        <f>IF(INDEX('Data Entry'!$H$5:$BE$10004,7450-4,'Visual SPC'!$B$3)="",0,IF(AND(OR('Visual SPC'!$C$4="",'Data Entry'!$C7450&gt;='Visual SPC'!$C$4),OR('Visual SPC'!$E$4="",'Data Entry'!$C7450&lt;='Visual SPC'!$E$4),OR('Visual SPC'!$G$4="",'Data Entry'!$D7450='Visual SPC'!$G$4),OR('Visual SPC'!$I$4="",'Data Entry'!$E7450='Visual SPC'!$I$4),OR('Visual SPC'!$K$4="",'Data Entry'!$F7450='Visual SPC'!$K$4)),1,0))</f>
        <v/>
      </c>
      <c r="C7450">
        <f>C7449+B7450</f>
        <v/>
      </c>
      <c r="D7450">
        <f>IF(B7450=1,INDEX('Data Entry'!$H$5:$BE$10004,7450-4,'Visual SPC'!$B$3),"")</f>
        <v/>
      </c>
      <c r="E7450">
        <f>IF(B7450=1,D7450,E7449)</f>
        <v/>
      </c>
      <c r="F7450">
        <f>IF(AND(B7450=1,C7450&gt;1,E7449&lt;&gt;""),ABS(D7450-E7449),"")</f>
        <v/>
      </c>
    </row>
    <row r="7451">
      <c r="A7451" t="n">
        <v>7451</v>
      </c>
      <c r="B7451">
        <f>IF(INDEX('Data Entry'!$H$5:$BE$10004,7451-4,'Visual SPC'!$B$3)="",0,IF(AND(OR('Visual SPC'!$C$4="",'Data Entry'!$C7451&gt;='Visual SPC'!$C$4),OR('Visual SPC'!$E$4="",'Data Entry'!$C7451&lt;='Visual SPC'!$E$4),OR('Visual SPC'!$G$4="",'Data Entry'!$D7451='Visual SPC'!$G$4),OR('Visual SPC'!$I$4="",'Data Entry'!$E7451='Visual SPC'!$I$4),OR('Visual SPC'!$K$4="",'Data Entry'!$F7451='Visual SPC'!$K$4)),1,0))</f>
        <v/>
      </c>
      <c r="C7451">
        <f>C7450+B7451</f>
        <v/>
      </c>
      <c r="D7451">
        <f>IF(B7451=1,INDEX('Data Entry'!$H$5:$BE$10004,7451-4,'Visual SPC'!$B$3),"")</f>
        <v/>
      </c>
      <c r="E7451">
        <f>IF(B7451=1,D7451,E7450)</f>
        <v/>
      </c>
      <c r="F7451">
        <f>IF(AND(B7451=1,C7451&gt;1,E7450&lt;&gt;""),ABS(D7451-E7450),"")</f>
        <v/>
      </c>
    </row>
    <row r="7452">
      <c r="A7452" t="n">
        <v>7452</v>
      </c>
      <c r="B7452">
        <f>IF(INDEX('Data Entry'!$H$5:$BE$10004,7452-4,'Visual SPC'!$B$3)="",0,IF(AND(OR('Visual SPC'!$C$4="",'Data Entry'!$C7452&gt;='Visual SPC'!$C$4),OR('Visual SPC'!$E$4="",'Data Entry'!$C7452&lt;='Visual SPC'!$E$4),OR('Visual SPC'!$G$4="",'Data Entry'!$D7452='Visual SPC'!$G$4),OR('Visual SPC'!$I$4="",'Data Entry'!$E7452='Visual SPC'!$I$4),OR('Visual SPC'!$K$4="",'Data Entry'!$F7452='Visual SPC'!$K$4)),1,0))</f>
        <v/>
      </c>
      <c r="C7452">
        <f>C7451+B7452</f>
        <v/>
      </c>
      <c r="D7452">
        <f>IF(B7452=1,INDEX('Data Entry'!$H$5:$BE$10004,7452-4,'Visual SPC'!$B$3),"")</f>
        <v/>
      </c>
      <c r="E7452">
        <f>IF(B7452=1,D7452,E7451)</f>
        <v/>
      </c>
      <c r="F7452">
        <f>IF(AND(B7452=1,C7452&gt;1,E7451&lt;&gt;""),ABS(D7452-E7451),"")</f>
        <v/>
      </c>
    </row>
    <row r="7453">
      <c r="A7453" t="n">
        <v>7453</v>
      </c>
      <c r="B7453">
        <f>IF(INDEX('Data Entry'!$H$5:$BE$10004,7453-4,'Visual SPC'!$B$3)="",0,IF(AND(OR('Visual SPC'!$C$4="",'Data Entry'!$C7453&gt;='Visual SPC'!$C$4),OR('Visual SPC'!$E$4="",'Data Entry'!$C7453&lt;='Visual SPC'!$E$4),OR('Visual SPC'!$G$4="",'Data Entry'!$D7453='Visual SPC'!$G$4),OR('Visual SPC'!$I$4="",'Data Entry'!$E7453='Visual SPC'!$I$4),OR('Visual SPC'!$K$4="",'Data Entry'!$F7453='Visual SPC'!$K$4)),1,0))</f>
        <v/>
      </c>
      <c r="C7453">
        <f>C7452+B7453</f>
        <v/>
      </c>
      <c r="D7453">
        <f>IF(B7453=1,INDEX('Data Entry'!$H$5:$BE$10004,7453-4,'Visual SPC'!$B$3),"")</f>
        <v/>
      </c>
      <c r="E7453">
        <f>IF(B7453=1,D7453,E7452)</f>
        <v/>
      </c>
      <c r="F7453">
        <f>IF(AND(B7453=1,C7453&gt;1,E7452&lt;&gt;""),ABS(D7453-E7452),"")</f>
        <v/>
      </c>
    </row>
    <row r="7454">
      <c r="A7454" t="n">
        <v>7454</v>
      </c>
      <c r="B7454">
        <f>IF(INDEX('Data Entry'!$H$5:$BE$10004,7454-4,'Visual SPC'!$B$3)="",0,IF(AND(OR('Visual SPC'!$C$4="",'Data Entry'!$C7454&gt;='Visual SPC'!$C$4),OR('Visual SPC'!$E$4="",'Data Entry'!$C7454&lt;='Visual SPC'!$E$4),OR('Visual SPC'!$G$4="",'Data Entry'!$D7454='Visual SPC'!$G$4),OR('Visual SPC'!$I$4="",'Data Entry'!$E7454='Visual SPC'!$I$4),OR('Visual SPC'!$K$4="",'Data Entry'!$F7454='Visual SPC'!$K$4)),1,0))</f>
        <v/>
      </c>
      <c r="C7454">
        <f>C7453+B7454</f>
        <v/>
      </c>
      <c r="D7454">
        <f>IF(B7454=1,INDEX('Data Entry'!$H$5:$BE$10004,7454-4,'Visual SPC'!$B$3),"")</f>
        <v/>
      </c>
      <c r="E7454">
        <f>IF(B7454=1,D7454,E7453)</f>
        <v/>
      </c>
      <c r="F7454">
        <f>IF(AND(B7454=1,C7454&gt;1,E7453&lt;&gt;""),ABS(D7454-E7453),"")</f>
        <v/>
      </c>
    </row>
    <row r="7455">
      <c r="A7455" t="n">
        <v>7455</v>
      </c>
      <c r="B7455">
        <f>IF(INDEX('Data Entry'!$H$5:$BE$10004,7455-4,'Visual SPC'!$B$3)="",0,IF(AND(OR('Visual SPC'!$C$4="",'Data Entry'!$C7455&gt;='Visual SPC'!$C$4),OR('Visual SPC'!$E$4="",'Data Entry'!$C7455&lt;='Visual SPC'!$E$4),OR('Visual SPC'!$G$4="",'Data Entry'!$D7455='Visual SPC'!$G$4),OR('Visual SPC'!$I$4="",'Data Entry'!$E7455='Visual SPC'!$I$4),OR('Visual SPC'!$K$4="",'Data Entry'!$F7455='Visual SPC'!$K$4)),1,0))</f>
        <v/>
      </c>
      <c r="C7455">
        <f>C7454+B7455</f>
        <v/>
      </c>
      <c r="D7455">
        <f>IF(B7455=1,INDEX('Data Entry'!$H$5:$BE$10004,7455-4,'Visual SPC'!$B$3),"")</f>
        <v/>
      </c>
      <c r="E7455">
        <f>IF(B7455=1,D7455,E7454)</f>
        <v/>
      </c>
      <c r="F7455">
        <f>IF(AND(B7455=1,C7455&gt;1,E7454&lt;&gt;""),ABS(D7455-E7454),"")</f>
        <v/>
      </c>
    </row>
    <row r="7456">
      <c r="A7456" t="n">
        <v>7456</v>
      </c>
      <c r="B7456">
        <f>IF(INDEX('Data Entry'!$H$5:$BE$10004,7456-4,'Visual SPC'!$B$3)="",0,IF(AND(OR('Visual SPC'!$C$4="",'Data Entry'!$C7456&gt;='Visual SPC'!$C$4),OR('Visual SPC'!$E$4="",'Data Entry'!$C7456&lt;='Visual SPC'!$E$4),OR('Visual SPC'!$G$4="",'Data Entry'!$D7456='Visual SPC'!$G$4),OR('Visual SPC'!$I$4="",'Data Entry'!$E7456='Visual SPC'!$I$4),OR('Visual SPC'!$K$4="",'Data Entry'!$F7456='Visual SPC'!$K$4)),1,0))</f>
        <v/>
      </c>
      <c r="C7456">
        <f>C7455+B7456</f>
        <v/>
      </c>
      <c r="D7456">
        <f>IF(B7456=1,INDEX('Data Entry'!$H$5:$BE$10004,7456-4,'Visual SPC'!$B$3),"")</f>
        <v/>
      </c>
      <c r="E7456">
        <f>IF(B7456=1,D7456,E7455)</f>
        <v/>
      </c>
      <c r="F7456">
        <f>IF(AND(B7456=1,C7456&gt;1,E7455&lt;&gt;""),ABS(D7456-E7455),"")</f>
        <v/>
      </c>
    </row>
    <row r="7457">
      <c r="A7457" t="n">
        <v>7457</v>
      </c>
      <c r="B7457">
        <f>IF(INDEX('Data Entry'!$H$5:$BE$10004,7457-4,'Visual SPC'!$B$3)="",0,IF(AND(OR('Visual SPC'!$C$4="",'Data Entry'!$C7457&gt;='Visual SPC'!$C$4),OR('Visual SPC'!$E$4="",'Data Entry'!$C7457&lt;='Visual SPC'!$E$4),OR('Visual SPC'!$G$4="",'Data Entry'!$D7457='Visual SPC'!$G$4),OR('Visual SPC'!$I$4="",'Data Entry'!$E7457='Visual SPC'!$I$4),OR('Visual SPC'!$K$4="",'Data Entry'!$F7457='Visual SPC'!$K$4)),1,0))</f>
        <v/>
      </c>
      <c r="C7457">
        <f>C7456+B7457</f>
        <v/>
      </c>
      <c r="D7457">
        <f>IF(B7457=1,INDEX('Data Entry'!$H$5:$BE$10004,7457-4,'Visual SPC'!$B$3),"")</f>
        <v/>
      </c>
      <c r="E7457">
        <f>IF(B7457=1,D7457,E7456)</f>
        <v/>
      </c>
      <c r="F7457">
        <f>IF(AND(B7457=1,C7457&gt;1,E7456&lt;&gt;""),ABS(D7457-E7456),"")</f>
        <v/>
      </c>
    </row>
    <row r="7458">
      <c r="A7458" t="n">
        <v>7458</v>
      </c>
      <c r="B7458">
        <f>IF(INDEX('Data Entry'!$H$5:$BE$10004,7458-4,'Visual SPC'!$B$3)="",0,IF(AND(OR('Visual SPC'!$C$4="",'Data Entry'!$C7458&gt;='Visual SPC'!$C$4),OR('Visual SPC'!$E$4="",'Data Entry'!$C7458&lt;='Visual SPC'!$E$4),OR('Visual SPC'!$G$4="",'Data Entry'!$D7458='Visual SPC'!$G$4),OR('Visual SPC'!$I$4="",'Data Entry'!$E7458='Visual SPC'!$I$4),OR('Visual SPC'!$K$4="",'Data Entry'!$F7458='Visual SPC'!$K$4)),1,0))</f>
        <v/>
      </c>
      <c r="C7458">
        <f>C7457+B7458</f>
        <v/>
      </c>
      <c r="D7458">
        <f>IF(B7458=1,INDEX('Data Entry'!$H$5:$BE$10004,7458-4,'Visual SPC'!$B$3),"")</f>
        <v/>
      </c>
      <c r="E7458">
        <f>IF(B7458=1,D7458,E7457)</f>
        <v/>
      </c>
      <c r="F7458">
        <f>IF(AND(B7458=1,C7458&gt;1,E7457&lt;&gt;""),ABS(D7458-E7457),"")</f>
        <v/>
      </c>
    </row>
    <row r="7459">
      <c r="A7459" t="n">
        <v>7459</v>
      </c>
      <c r="B7459">
        <f>IF(INDEX('Data Entry'!$H$5:$BE$10004,7459-4,'Visual SPC'!$B$3)="",0,IF(AND(OR('Visual SPC'!$C$4="",'Data Entry'!$C7459&gt;='Visual SPC'!$C$4),OR('Visual SPC'!$E$4="",'Data Entry'!$C7459&lt;='Visual SPC'!$E$4),OR('Visual SPC'!$G$4="",'Data Entry'!$D7459='Visual SPC'!$G$4),OR('Visual SPC'!$I$4="",'Data Entry'!$E7459='Visual SPC'!$I$4),OR('Visual SPC'!$K$4="",'Data Entry'!$F7459='Visual SPC'!$K$4)),1,0))</f>
        <v/>
      </c>
      <c r="C7459">
        <f>C7458+B7459</f>
        <v/>
      </c>
      <c r="D7459">
        <f>IF(B7459=1,INDEX('Data Entry'!$H$5:$BE$10004,7459-4,'Visual SPC'!$B$3),"")</f>
        <v/>
      </c>
      <c r="E7459">
        <f>IF(B7459=1,D7459,E7458)</f>
        <v/>
      </c>
      <c r="F7459">
        <f>IF(AND(B7459=1,C7459&gt;1,E7458&lt;&gt;""),ABS(D7459-E7458),"")</f>
        <v/>
      </c>
    </row>
    <row r="7460">
      <c r="A7460" t="n">
        <v>7460</v>
      </c>
      <c r="B7460">
        <f>IF(INDEX('Data Entry'!$H$5:$BE$10004,7460-4,'Visual SPC'!$B$3)="",0,IF(AND(OR('Visual SPC'!$C$4="",'Data Entry'!$C7460&gt;='Visual SPC'!$C$4),OR('Visual SPC'!$E$4="",'Data Entry'!$C7460&lt;='Visual SPC'!$E$4),OR('Visual SPC'!$G$4="",'Data Entry'!$D7460='Visual SPC'!$G$4),OR('Visual SPC'!$I$4="",'Data Entry'!$E7460='Visual SPC'!$I$4),OR('Visual SPC'!$K$4="",'Data Entry'!$F7460='Visual SPC'!$K$4)),1,0))</f>
        <v/>
      </c>
      <c r="C7460">
        <f>C7459+B7460</f>
        <v/>
      </c>
      <c r="D7460">
        <f>IF(B7460=1,INDEX('Data Entry'!$H$5:$BE$10004,7460-4,'Visual SPC'!$B$3),"")</f>
        <v/>
      </c>
      <c r="E7460">
        <f>IF(B7460=1,D7460,E7459)</f>
        <v/>
      </c>
      <c r="F7460">
        <f>IF(AND(B7460=1,C7460&gt;1,E7459&lt;&gt;""),ABS(D7460-E7459),"")</f>
        <v/>
      </c>
    </row>
    <row r="7461">
      <c r="A7461" t="n">
        <v>7461</v>
      </c>
      <c r="B7461">
        <f>IF(INDEX('Data Entry'!$H$5:$BE$10004,7461-4,'Visual SPC'!$B$3)="",0,IF(AND(OR('Visual SPC'!$C$4="",'Data Entry'!$C7461&gt;='Visual SPC'!$C$4),OR('Visual SPC'!$E$4="",'Data Entry'!$C7461&lt;='Visual SPC'!$E$4),OR('Visual SPC'!$G$4="",'Data Entry'!$D7461='Visual SPC'!$G$4),OR('Visual SPC'!$I$4="",'Data Entry'!$E7461='Visual SPC'!$I$4),OR('Visual SPC'!$K$4="",'Data Entry'!$F7461='Visual SPC'!$K$4)),1,0))</f>
        <v/>
      </c>
      <c r="C7461">
        <f>C7460+B7461</f>
        <v/>
      </c>
      <c r="D7461">
        <f>IF(B7461=1,INDEX('Data Entry'!$H$5:$BE$10004,7461-4,'Visual SPC'!$B$3),"")</f>
        <v/>
      </c>
      <c r="E7461">
        <f>IF(B7461=1,D7461,E7460)</f>
        <v/>
      </c>
      <c r="F7461">
        <f>IF(AND(B7461=1,C7461&gt;1,E7460&lt;&gt;""),ABS(D7461-E7460),"")</f>
        <v/>
      </c>
    </row>
    <row r="7462">
      <c r="A7462" t="n">
        <v>7462</v>
      </c>
      <c r="B7462">
        <f>IF(INDEX('Data Entry'!$H$5:$BE$10004,7462-4,'Visual SPC'!$B$3)="",0,IF(AND(OR('Visual SPC'!$C$4="",'Data Entry'!$C7462&gt;='Visual SPC'!$C$4),OR('Visual SPC'!$E$4="",'Data Entry'!$C7462&lt;='Visual SPC'!$E$4),OR('Visual SPC'!$G$4="",'Data Entry'!$D7462='Visual SPC'!$G$4),OR('Visual SPC'!$I$4="",'Data Entry'!$E7462='Visual SPC'!$I$4),OR('Visual SPC'!$K$4="",'Data Entry'!$F7462='Visual SPC'!$K$4)),1,0))</f>
        <v/>
      </c>
      <c r="C7462">
        <f>C7461+B7462</f>
        <v/>
      </c>
      <c r="D7462">
        <f>IF(B7462=1,INDEX('Data Entry'!$H$5:$BE$10004,7462-4,'Visual SPC'!$B$3),"")</f>
        <v/>
      </c>
      <c r="E7462">
        <f>IF(B7462=1,D7462,E7461)</f>
        <v/>
      </c>
      <c r="F7462">
        <f>IF(AND(B7462=1,C7462&gt;1,E7461&lt;&gt;""),ABS(D7462-E7461),"")</f>
        <v/>
      </c>
    </row>
    <row r="7463">
      <c r="A7463" t="n">
        <v>7463</v>
      </c>
      <c r="B7463">
        <f>IF(INDEX('Data Entry'!$H$5:$BE$10004,7463-4,'Visual SPC'!$B$3)="",0,IF(AND(OR('Visual SPC'!$C$4="",'Data Entry'!$C7463&gt;='Visual SPC'!$C$4),OR('Visual SPC'!$E$4="",'Data Entry'!$C7463&lt;='Visual SPC'!$E$4),OR('Visual SPC'!$G$4="",'Data Entry'!$D7463='Visual SPC'!$G$4),OR('Visual SPC'!$I$4="",'Data Entry'!$E7463='Visual SPC'!$I$4),OR('Visual SPC'!$K$4="",'Data Entry'!$F7463='Visual SPC'!$K$4)),1,0))</f>
        <v/>
      </c>
      <c r="C7463">
        <f>C7462+B7463</f>
        <v/>
      </c>
      <c r="D7463">
        <f>IF(B7463=1,INDEX('Data Entry'!$H$5:$BE$10004,7463-4,'Visual SPC'!$B$3),"")</f>
        <v/>
      </c>
      <c r="E7463">
        <f>IF(B7463=1,D7463,E7462)</f>
        <v/>
      </c>
      <c r="F7463">
        <f>IF(AND(B7463=1,C7463&gt;1,E7462&lt;&gt;""),ABS(D7463-E7462),"")</f>
        <v/>
      </c>
    </row>
    <row r="7464">
      <c r="A7464" t="n">
        <v>7464</v>
      </c>
      <c r="B7464">
        <f>IF(INDEX('Data Entry'!$H$5:$BE$10004,7464-4,'Visual SPC'!$B$3)="",0,IF(AND(OR('Visual SPC'!$C$4="",'Data Entry'!$C7464&gt;='Visual SPC'!$C$4),OR('Visual SPC'!$E$4="",'Data Entry'!$C7464&lt;='Visual SPC'!$E$4),OR('Visual SPC'!$G$4="",'Data Entry'!$D7464='Visual SPC'!$G$4),OR('Visual SPC'!$I$4="",'Data Entry'!$E7464='Visual SPC'!$I$4),OR('Visual SPC'!$K$4="",'Data Entry'!$F7464='Visual SPC'!$K$4)),1,0))</f>
        <v/>
      </c>
      <c r="C7464">
        <f>C7463+B7464</f>
        <v/>
      </c>
      <c r="D7464">
        <f>IF(B7464=1,INDEX('Data Entry'!$H$5:$BE$10004,7464-4,'Visual SPC'!$B$3),"")</f>
        <v/>
      </c>
      <c r="E7464">
        <f>IF(B7464=1,D7464,E7463)</f>
        <v/>
      </c>
      <c r="F7464">
        <f>IF(AND(B7464=1,C7464&gt;1,E7463&lt;&gt;""),ABS(D7464-E7463),"")</f>
        <v/>
      </c>
    </row>
    <row r="7465">
      <c r="A7465" t="n">
        <v>7465</v>
      </c>
      <c r="B7465">
        <f>IF(INDEX('Data Entry'!$H$5:$BE$10004,7465-4,'Visual SPC'!$B$3)="",0,IF(AND(OR('Visual SPC'!$C$4="",'Data Entry'!$C7465&gt;='Visual SPC'!$C$4),OR('Visual SPC'!$E$4="",'Data Entry'!$C7465&lt;='Visual SPC'!$E$4),OR('Visual SPC'!$G$4="",'Data Entry'!$D7465='Visual SPC'!$G$4),OR('Visual SPC'!$I$4="",'Data Entry'!$E7465='Visual SPC'!$I$4),OR('Visual SPC'!$K$4="",'Data Entry'!$F7465='Visual SPC'!$K$4)),1,0))</f>
        <v/>
      </c>
      <c r="C7465">
        <f>C7464+B7465</f>
        <v/>
      </c>
      <c r="D7465">
        <f>IF(B7465=1,INDEX('Data Entry'!$H$5:$BE$10004,7465-4,'Visual SPC'!$B$3),"")</f>
        <v/>
      </c>
      <c r="E7465">
        <f>IF(B7465=1,D7465,E7464)</f>
        <v/>
      </c>
      <c r="F7465">
        <f>IF(AND(B7465=1,C7465&gt;1,E7464&lt;&gt;""),ABS(D7465-E7464),"")</f>
        <v/>
      </c>
    </row>
    <row r="7466">
      <c r="A7466" t="n">
        <v>7466</v>
      </c>
      <c r="B7466">
        <f>IF(INDEX('Data Entry'!$H$5:$BE$10004,7466-4,'Visual SPC'!$B$3)="",0,IF(AND(OR('Visual SPC'!$C$4="",'Data Entry'!$C7466&gt;='Visual SPC'!$C$4),OR('Visual SPC'!$E$4="",'Data Entry'!$C7466&lt;='Visual SPC'!$E$4),OR('Visual SPC'!$G$4="",'Data Entry'!$D7466='Visual SPC'!$G$4),OR('Visual SPC'!$I$4="",'Data Entry'!$E7466='Visual SPC'!$I$4),OR('Visual SPC'!$K$4="",'Data Entry'!$F7466='Visual SPC'!$K$4)),1,0))</f>
        <v/>
      </c>
      <c r="C7466">
        <f>C7465+B7466</f>
        <v/>
      </c>
      <c r="D7466">
        <f>IF(B7466=1,INDEX('Data Entry'!$H$5:$BE$10004,7466-4,'Visual SPC'!$B$3),"")</f>
        <v/>
      </c>
      <c r="E7466">
        <f>IF(B7466=1,D7466,E7465)</f>
        <v/>
      </c>
      <c r="F7466">
        <f>IF(AND(B7466=1,C7466&gt;1,E7465&lt;&gt;""),ABS(D7466-E7465),"")</f>
        <v/>
      </c>
    </row>
    <row r="7467">
      <c r="A7467" t="n">
        <v>7467</v>
      </c>
      <c r="B7467">
        <f>IF(INDEX('Data Entry'!$H$5:$BE$10004,7467-4,'Visual SPC'!$B$3)="",0,IF(AND(OR('Visual SPC'!$C$4="",'Data Entry'!$C7467&gt;='Visual SPC'!$C$4),OR('Visual SPC'!$E$4="",'Data Entry'!$C7467&lt;='Visual SPC'!$E$4),OR('Visual SPC'!$G$4="",'Data Entry'!$D7467='Visual SPC'!$G$4),OR('Visual SPC'!$I$4="",'Data Entry'!$E7467='Visual SPC'!$I$4),OR('Visual SPC'!$K$4="",'Data Entry'!$F7467='Visual SPC'!$K$4)),1,0))</f>
        <v/>
      </c>
      <c r="C7467">
        <f>C7466+B7467</f>
        <v/>
      </c>
      <c r="D7467">
        <f>IF(B7467=1,INDEX('Data Entry'!$H$5:$BE$10004,7467-4,'Visual SPC'!$B$3),"")</f>
        <v/>
      </c>
      <c r="E7467">
        <f>IF(B7467=1,D7467,E7466)</f>
        <v/>
      </c>
      <c r="F7467">
        <f>IF(AND(B7467=1,C7467&gt;1,E7466&lt;&gt;""),ABS(D7467-E7466),"")</f>
        <v/>
      </c>
    </row>
    <row r="7468">
      <c r="A7468" t="n">
        <v>7468</v>
      </c>
      <c r="B7468">
        <f>IF(INDEX('Data Entry'!$H$5:$BE$10004,7468-4,'Visual SPC'!$B$3)="",0,IF(AND(OR('Visual SPC'!$C$4="",'Data Entry'!$C7468&gt;='Visual SPC'!$C$4),OR('Visual SPC'!$E$4="",'Data Entry'!$C7468&lt;='Visual SPC'!$E$4),OR('Visual SPC'!$G$4="",'Data Entry'!$D7468='Visual SPC'!$G$4),OR('Visual SPC'!$I$4="",'Data Entry'!$E7468='Visual SPC'!$I$4),OR('Visual SPC'!$K$4="",'Data Entry'!$F7468='Visual SPC'!$K$4)),1,0))</f>
        <v/>
      </c>
      <c r="C7468">
        <f>C7467+B7468</f>
        <v/>
      </c>
      <c r="D7468">
        <f>IF(B7468=1,INDEX('Data Entry'!$H$5:$BE$10004,7468-4,'Visual SPC'!$B$3),"")</f>
        <v/>
      </c>
      <c r="E7468">
        <f>IF(B7468=1,D7468,E7467)</f>
        <v/>
      </c>
      <c r="F7468">
        <f>IF(AND(B7468=1,C7468&gt;1,E7467&lt;&gt;""),ABS(D7468-E7467),"")</f>
        <v/>
      </c>
    </row>
    <row r="7469">
      <c r="A7469" t="n">
        <v>7469</v>
      </c>
      <c r="B7469">
        <f>IF(INDEX('Data Entry'!$H$5:$BE$10004,7469-4,'Visual SPC'!$B$3)="",0,IF(AND(OR('Visual SPC'!$C$4="",'Data Entry'!$C7469&gt;='Visual SPC'!$C$4),OR('Visual SPC'!$E$4="",'Data Entry'!$C7469&lt;='Visual SPC'!$E$4),OR('Visual SPC'!$G$4="",'Data Entry'!$D7469='Visual SPC'!$G$4),OR('Visual SPC'!$I$4="",'Data Entry'!$E7469='Visual SPC'!$I$4),OR('Visual SPC'!$K$4="",'Data Entry'!$F7469='Visual SPC'!$K$4)),1,0))</f>
        <v/>
      </c>
      <c r="C7469">
        <f>C7468+B7469</f>
        <v/>
      </c>
      <c r="D7469">
        <f>IF(B7469=1,INDEX('Data Entry'!$H$5:$BE$10004,7469-4,'Visual SPC'!$B$3),"")</f>
        <v/>
      </c>
      <c r="E7469">
        <f>IF(B7469=1,D7469,E7468)</f>
        <v/>
      </c>
      <c r="F7469">
        <f>IF(AND(B7469=1,C7469&gt;1,E7468&lt;&gt;""),ABS(D7469-E7468),"")</f>
        <v/>
      </c>
    </row>
    <row r="7470">
      <c r="A7470" t="n">
        <v>7470</v>
      </c>
      <c r="B7470">
        <f>IF(INDEX('Data Entry'!$H$5:$BE$10004,7470-4,'Visual SPC'!$B$3)="",0,IF(AND(OR('Visual SPC'!$C$4="",'Data Entry'!$C7470&gt;='Visual SPC'!$C$4),OR('Visual SPC'!$E$4="",'Data Entry'!$C7470&lt;='Visual SPC'!$E$4),OR('Visual SPC'!$G$4="",'Data Entry'!$D7470='Visual SPC'!$G$4),OR('Visual SPC'!$I$4="",'Data Entry'!$E7470='Visual SPC'!$I$4),OR('Visual SPC'!$K$4="",'Data Entry'!$F7470='Visual SPC'!$K$4)),1,0))</f>
        <v/>
      </c>
      <c r="C7470">
        <f>C7469+B7470</f>
        <v/>
      </c>
      <c r="D7470">
        <f>IF(B7470=1,INDEX('Data Entry'!$H$5:$BE$10004,7470-4,'Visual SPC'!$B$3),"")</f>
        <v/>
      </c>
      <c r="E7470">
        <f>IF(B7470=1,D7470,E7469)</f>
        <v/>
      </c>
      <c r="F7470">
        <f>IF(AND(B7470=1,C7470&gt;1,E7469&lt;&gt;""),ABS(D7470-E7469),"")</f>
        <v/>
      </c>
    </row>
    <row r="7471">
      <c r="A7471" t="n">
        <v>7471</v>
      </c>
      <c r="B7471">
        <f>IF(INDEX('Data Entry'!$H$5:$BE$10004,7471-4,'Visual SPC'!$B$3)="",0,IF(AND(OR('Visual SPC'!$C$4="",'Data Entry'!$C7471&gt;='Visual SPC'!$C$4),OR('Visual SPC'!$E$4="",'Data Entry'!$C7471&lt;='Visual SPC'!$E$4),OR('Visual SPC'!$G$4="",'Data Entry'!$D7471='Visual SPC'!$G$4),OR('Visual SPC'!$I$4="",'Data Entry'!$E7471='Visual SPC'!$I$4),OR('Visual SPC'!$K$4="",'Data Entry'!$F7471='Visual SPC'!$K$4)),1,0))</f>
        <v/>
      </c>
      <c r="C7471">
        <f>C7470+B7471</f>
        <v/>
      </c>
      <c r="D7471">
        <f>IF(B7471=1,INDEX('Data Entry'!$H$5:$BE$10004,7471-4,'Visual SPC'!$B$3),"")</f>
        <v/>
      </c>
      <c r="E7471">
        <f>IF(B7471=1,D7471,E7470)</f>
        <v/>
      </c>
      <c r="F7471">
        <f>IF(AND(B7471=1,C7471&gt;1,E7470&lt;&gt;""),ABS(D7471-E7470),"")</f>
        <v/>
      </c>
    </row>
    <row r="7472">
      <c r="A7472" t="n">
        <v>7472</v>
      </c>
      <c r="B7472">
        <f>IF(INDEX('Data Entry'!$H$5:$BE$10004,7472-4,'Visual SPC'!$B$3)="",0,IF(AND(OR('Visual SPC'!$C$4="",'Data Entry'!$C7472&gt;='Visual SPC'!$C$4),OR('Visual SPC'!$E$4="",'Data Entry'!$C7472&lt;='Visual SPC'!$E$4),OR('Visual SPC'!$G$4="",'Data Entry'!$D7472='Visual SPC'!$G$4),OR('Visual SPC'!$I$4="",'Data Entry'!$E7472='Visual SPC'!$I$4),OR('Visual SPC'!$K$4="",'Data Entry'!$F7472='Visual SPC'!$K$4)),1,0))</f>
        <v/>
      </c>
      <c r="C7472">
        <f>C7471+B7472</f>
        <v/>
      </c>
      <c r="D7472">
        <f>IF(B7472=1,INDEX('Data Entry'!$H$5:$BE$10004,7472-4,'Visual SPC'!$B$3),"")</f>
        <v/>
      </c>
      <c r="E7472">
        <f>IF(B7472=1,D7472,E7471)</f>
        <v/>
      </c>
      <c r="F7472">
        <f>IF(AND(B7472=1,C7472&gt;1,E7471&lt;&gt;""),ABS(D7472-E7471),"")</f>
        <v/>
      </c>
    </row>
    <row r="7473">
      <c r="A7473" t="n">
        <v>7473</v>
      </c>
      <c r="B7473">
        <f>IF(INDEX('Data Entry'!$H$5:$BE$10004,7473-4,'Visual SPC'!$B$3)="",0,IF(AND(OR('Visual SPC'!$C$4="",'Data Entry'!$C7473&gt;='Visual SPC'!$C$4),OR('Visual SPC'!$E$4="",'Data Entry'!$C7473&lt;='Visual SPC'!$E$4),OR('Visual SPC'!$G$4="",'Data Entry'!$D7473='Visual SPC'!$G$4),OR('Visual SPC'!$I$4="",'Data Entry'!$E7473='Visual SPC'!$I$4),OR('Visual SPC'!$K$4="",'Data Entry'!$F7473='Visual SPC'!$K$4)),1,0))</f>
        <v/>
      </c>
      <c r="C7473">
        <f>C7472+B7473</f>
        <v/>
      </c>
      <c r="D7473">
        <f>IF(B7473=1,INDEX('Data Entry'!$H$5:$BE$10004,7473-4,'Visual SPC'!$B$3),"")</f>
        <v/>
      </c>
      <c r="E7473">
        <f>IF(B7473=1,D7473,E7472)</f>
        <v/>
      </c>
      <c r="F7473">
        <f>IF(AND(B7473=1,C7473&gt;1,E7472&lt;&gt;""),ABS(D7473-E7472),"")</f>
        <v/>
      </c>
    </row>
    <row r="7474">
      <c r="A7474" t="n">
        <v>7474</v>
      </c>
      <c r="B7474">
        <f>IF(INDEX('Data Entry'!$H$5:$BE$10004,7474-4,'Visual SPC'!$B$3)="",0,IF(AND(OR('Visual SPC'!$C$4="",'Data Entry'!$C7474&gt;='Visual SPC'!$C$4),OR('Visual SPC'!$E$4="",'Data Entry'!$C7474&lt;='Visual SPC'!$E$4),OR('Visual SPC'!$G$4="",'Data Entry'!$D7474='Visual SPC'!$G$4),OR('Visual SPC'!$I$4="",'Data Entry'!$E7474='Visual SPC'!$I$4),OR('Visual SPC'!$K$4="",'Data Entry'!$F7474='Visual SPC'!$K$4)),1,0))</f>
        <v/>
      </c>
      <c r="C7474">
        <f>C7473+B7474</f>
        <v/>
      </c>
      <c r="D7474">
        <f>IF(B7474=1,INDEX('Data Entry'!$H$5:$BE$10004,7474-4,'Visual SPC'!$B$3),"")</f>
        <v/>
      </c>
      <c r="E7474">
        <f>IF(B7474=1,D7474,E7473)</f>
        <v/>
      </c>
      <c r="F7474">
        <f>IF(AND(B7474=1,C7474&gt;1,E7473&lt;&gt;""),ABS(D7474-E7473),"")</f>
        <v/>
      </c>
    </row>
    <row r="7475">
      <c r="A7475" t="n">
        <v>7475</v>
      </c>
      <c r="B7475">
        <f>IF(INDEX('Data Entry'!$H$5:$BE$10004,7475-4,'Visual SPC'!$B$3)="",0,IF(AND(OR('Visual SPC'!$C$4="",'Data Entry'!$C7475&gt;='Visual SPC'!$C$4),OR('Visual SPC'!$E$4="",'Data Entry'!$C7475&lt;='Visual SPC'!$E$4),OR('Visual SPC'!$G$4="",'Data Entry'!$D7475='Visual SPC'!$G$4),OR('Visual SPC'!$I$4="",'Data Entry'!$E7475='Visual SPC'!$I$4),OR('Visual SPC'!$K$4="",'Data Entry'!$F7475='Visual SPC'!$K$4)),1,0))</f>
        <v/>
      </c>
      <c r="C7475">
        <f>C7474+B7475</f>
        <v/>
      </c>
      <c r="D7475">
        <f>IF(B7475=1,INDEX('Data Entry'!$H$5:$BE$10004,7475-4,'Visual SPC'!$B$3),"")</f>
        <v/>
      </c>
      <c r="E7475">
        <f>IF(B7475=1,D7475,E7474)</f>
        <v/>
      </c>
      <c r="F7475">
        <f>IF(AND(B7475=1,C7475&gt;1,E7474&lt;&gt;""),ABS(D7475-E7474),"")</f>
        <v/>
      </c>
    </row>
    <row r="7476">
      <c r="A7476" t="n">
        <v>7476</v>
      </c>
      <c r="B7476">
        <f>IF(INDEX('Data Entry'!$H$5:$BE$10004,7476-4,'Visual SPC'!$B$3)="",0,IF(AND(OR('Visual SPC'!$C$4="",'Data Entry'!$C7476&gt;='Visual SPC'!$C$4),OR('Visual SPC'!$E$4="",'Data Entry'!$C7476&lt;='Visual SPC'!$E$4),OR('Visual SPC'!$G$4="",'Data Entry'!$D7476='Visual SPC'!$G$4),OR('Visual SPC'!$I$4="",'Data Entry'!$E7476='Visual SPC'!$I$4),OR('Visual SPC'!$K$4="",'Data Entry'!$F7476='Visual SPC'!$K$4)),1,0))</f>
        <v/>
      </c>
      <c r="C7476">
        <f>C7475+B7476</f>
        <v/>
      </c>
      <c r="D7476">
        <f>IF(B7476=1,INDEX('Data Entry'!$H$5:$BE$10004,7476-4,'Visual SPC'!$B$3),"")</f>
        <v/>
      </c>
      <c r="E7476">
        <f>IF(B7476=1,D7476,E7475)</f>
        <v/>
      </c>
      <c r="F7476">
        <f>IF(AND(B7476=1,C7476&gt;1,E7475&lt;&gt;""),ABS(D7476-E7475),"")</f>
        <v/>
      </c>
    </row>
    <row r="7477">
      <c r="A7477" t="n">
        <v>7477</v>
      </c>
      <c r="B7477">
        <f>IF(INDEX('Data Entry'!$H$5:$BE$10004,7477-4,'Visual SPC'!$B$3)="",0,IF(AND(OR('Visual SPC'!$C$4="",'Data Entry'!$C7477&gt;='Visual SPC'!$C$4),OR('Visual SPC'!$E$4="",'Data Entry'!$C7477&lt;='Visual SPC'!$E$4),OR('Visual SPC'!$G$4="",'Data Entry'!$D7477='Visual SPC'!$G$4),OR('Visual SPC'!$I$4="",'Data Entry'!$E7477='Visual SPC'!$I$4),OR('Visual SPC'!$K$4="",'Data Entry'!$F7477='Visual SPC'!$K$4)),1,0))</f>
        <v/>
      </c>
      <c r="C7477">
        <f>C7476+B7477</f>
        <v/>
      </c>
      <c r="D7477">
        <f>IF(B7477=1,INDEX('Data Entry'!$H$5:$BE$10004,7477-4,'Visual SPC'!$B$3),"")</f>
        <v/>
      </c>
      <c r="E7477">
        <f>IF(B7477=1,D7477,E7476)</f>
        <v/>
      </c>
      <c r="F7477">
        <f>IF(AND(B7477=1,C7477&gt;1,E7476&lt;&gt;""),ABS(D7477-E7476),"")</f>
        <v/>
      </c>
    </row>
    <row r="7478">
      <c r="A7478" t="n">
        <v>7478</v>
      </c>
      <c r="B7478">
        <f>IF(INDEX('Data Entry'!$H$5:$BE$10004,7478-4,'Visual SPC'!$B$3)="",0,IF(AND(OR('Visual SPC'!$C$4="",'Data Entry'!$C7478&gt;='Visual SPC'!$C$4),OR('Visual SPC'!$E$4="",'Data Entry'!$C7478&lt;='Visual SPC'!$E$4),OR('Visual SPC'!$G$4="",'Data Entry'!$D7478='Visual SPC'!$G$4),OR('Visual SPC'!$I$4="",'Data Entry'!$E7478='Visual SPC'!$I$4),OR('Visual SPC'!$K$4="",'Data Entry'!$F7478='Visual SPC'!$K$4)),1,0))</f>
        <v/>
      </c>
      <c r="C7478">
        <f>C7477+B7478</f>
        <v/>
      </c>
      <c r="D7478">
        <f>IF(B7478=1,INDEX('Data Entry'!$H$5:$BE$10004,7478-4,'Visual SPC'!$B$3),"")</f>
        <v/>
      </c>
      <c r="E7478">
        <f>IF(B7478=1,D7478,E7477)</f>
        <v/>
      </c>
      <c r="F7478">
        <f>IF(AND(B7478=1,C7478&gt;1,E7477&lt;&gt;""),ABS(D7478-E7477),"")</f>
        <v/>
      </c>
    </row>
    <row r="7479">
      <c r="A7479" t="n">
        <v>7479</v>
      </c>
      <c r="B7479">
        <f>IF(INDEX('Data Entry'!$H$5:$BE$10004,7479-4,'Visual SPC'!$B$3)="",0,IF(AND(OR('Visual SPC'!$C$4="",'Data Entry'!$C7479&gt;='Visual SPC'!$C$4),OR('Visual SPC'!$E$4="",'Data Entry'!$C7479&lt;='Visual SPC'!$E$4),OR('Visual SPC'!$G$4="",'Data Entry'!$D7479='Visual SPC'!$G$4),OR('Visual SPC'!$I$4="",'Data Entry'!$E7479='Visual SPC'!$I$4),OR('Visual SPC'!$K$4="",'Data Entry'!$F7479='Visual SPC'!$K$4)),1,0))</f>
        <v/>
      </c>
      <c r="C7479">
        <f>C7478+B7479</f>
        <v/>
      </c>
      <c r="D7479">
        <f>IF(B7479=1,INDEX('Data Entry'!$H$5:$BE$10004,7479-4,'Visual SPC'!$B$3),"")</f>
        <v/>
      </c>
      <c r="E7479">
        <f>IF(B7479=1,D7479,E7478)</f>
        <v/>
      </c>
      <c r="F7479">
        <f>IF(AND(B7479=1,C7479&gt;1,E7478&lt;&gt;""),ABS(D7479-E7478),"")</f>
        <v/>
      </c>
    </row>
    <row r="7480">
      <c r="A7480" t="n">
        <v>7480</v>
      </c>
      <c r="B7480">
        <f>IF(INDEX('Data Entry'!$H$5:$BE$10004,7480-4,'Visual SPC'!$B$3)="",0,IF(AND(OR('Visual SPC'!$C$4="",'Data Entry'!$C7480&gt;='Visual SPC'!$C$4),OR('Visual SPC'!$E$4="",'Data Entry'!$C7480&lt;='Visual SPC'!$E$4),OR('Visual SPC'!$G$4="",'Data Entry'!$D7480='Visual SPC'!$G$4),OR('Visual SPC'!$I$4="",'Data Entry'!$E7480='Visual SPC'!$I$4),OR('Visual SPC'!$K$4="",'Data Entry'!$F7480='Visual SPC'!$K$4)),1,0))</f>
        <v/>
      </c>
      <c r="C7480">
        <f>C7479+B7480</f>
        <v/>
      </c>
      <c r="D7480">
        <f>IF(B7480=1,INDEX('Data Entry'!$H$5:$BE$10004,7480-4,'Visual SPC'!$B$3),"")</f>
        <v/>
      </c>
      <c r="E7480">
        <f>IF(B7480=1,D7480,E7479)</f>
        <v/>
      </c>
      <c r="F7480">
        <f>IF(AND(B7480=1,C7480&gt;1,E7479&lt;&gt;""),ABS(D7480-E7479),"")</f>
        <v/>
      </c>
    </row>
    <row r="7481">
      <c r="A7481" t="n">
        <v>7481</v>
      </c>
      <c r="B7481">
        <f>IF(INDEX('Data Entry'!$H$5:$BE$10004,7481-4,'Visual SPC'!$B$3)="",0,IF(AND(OR('Visual SPC'!$C$4="",'Data Entry'!$C7481&gt;='Visual SPC'!$C$4),OR('Visual SPC'!$E$4="",'Data Entry'!$C7481&lt;='Visual SPC'!$E$4),OR('Visual SPC'!$G$4="",'Data Entry'!$D7481='Visual SPC'!$G$4),OR('Visual SPC'!$I$4="",'Data Entry'!$E7481='Visual SPC'!$I$4),OR('Visual SPC'!$K$4="",'Data Entry'!$F7481='Visual SPC'!$K$4)),1,0))</f>
        <v/>
      </c>
      <c r="C7481">
        <f>C7480+B7481</f>
        <v/>
      </c>
      <c r="D7481">
        <f>IF(B7481=1,INDEX('Data Entry'!$H$5:$BE$10004,7481-4,'Visual SPC'!$B$3),"")</f>
        <v/>
      </c>
      <c r="E7481">
        <f>IF(B7481=1,D7481,E7480)</f>
        <v/>
      </c>
      <c r="F7481">
        <f>IF(AND(B7481=1,C7481&gt;1,E7480&lt;&gt;""),ABS(D7481-E7480),"")</f>
        <v/>
      </c>
    </row>
    <row r="7482">
      <c r="A7482" t="n">
        <v>7482</v>
      </c>
      <c r="B7482">
        <f>IF(INDEX('Data Entry'!$H$5:$BE$10004,7482-4,'Visual SPC'!$B$3)="",0,IF(AND(OR('Visual SPC'!$C$4="",'Data Entry'!$C7482&gt;='Visual SPC'!$C$4),OR('Visual SPC'!$E$4="",'Data Entry'!$C7482&lt;='Visual SPC'!$E$4),OR('Visual SPC'!$G$4="",'Data Entry'!$D7482='Visual SPC'!$G$4),OR('Visual SPC'!$I$4="",'Data Entry'!$E7482='Visual SPC'!$I$4),OR('Visual SPC'!$K$4="",'Data Entry'!$F7482='Visual SPC'!$K$4)),1,0))</f>
        <v/>
      </c>
      <c r="C7482">
        <f>C7481+B7482</f>
        <v/>
      </c>
      <c r="D7482">
        <f>IF(B7482=1,INDEX('Data Entry'!$H$5:$BE$10004,7482-4,'Visual SPC'!$B$3),"")</f>
        <v/>
      </c>
      <c r="E7482">
        <f>IF(B7482=1,D7482,E7481)</f>
        <v/>
      </c>
      <c r="F7482">
        <f>IF(AND(B7482=1,C7482&gt;1,E7481&lt;&gt;""),ABS(D7482-E7481),"")</f>
        <v/>
      </c>
    </row>
    <row r="7483">
      <c r="A7483" t="n">
        <v>7483</v>
      </c>
      <c r="B7483">
        <f>IF(INDEX('Data Entry'!$H$5:$BE$10004,7483-4,'Visual SPC'!$B$3)="",0,IF(AND(OR('Visual SPC'!$C$4="",'Data Entry'!$C7483&gt;='Visual SPC'!$C$4),OR('Visual SPC'!$E$4="",'Data Entry'!$C7483&lt;='Visual SPC'!$E$4),OR('Visual SPC'!$G$4="",'Data Entry'!$D7483='Visual SPC'!$G$4),OR('Visual SPC'!$I$4="",'Data Entry'!$E7483='Visual SPC'!$I$4),OR('Visual SPC'!$K$4="",'Data Entry'!$F7483='Visual SPC'!$K$4)),1,0))</f>
        <v/>
      </c>
      <c r="C7483">
        <f>C7482+B7483</f>
        <v/>
      </c>
      <c r="D7483">
        <f>IF(B7483=1,INDEX('Data Entry'!$H$5:$BE$10004,7483-4,'Visual SPC'!$B$3),"")</f>
        <v/>
      </c>
      <c r="E7483">
        <f>IF(B7483=1,D7483,E7482)</f>
        <v/>
      </c>
      <c r="F7483">
        <f>IF(AND(B7483=1,C7483&gt;1,E7482&lt;&gt;""),ABS(D7483-E7482),"")</f>
        <v/>
      </c>
    </row>
    <row r="7484">
      <c r="A7484" t="n">
        <v>7484</v>
      </c>
      <c r="B7484">
        <f>IF(INDEX('Data Entry'!$H$5:$BE$10004,7484-4,'Visual SPC'!$B$3)="",0,IF(AND(OR('Visual SPC'!$C$4="",'Data Entry'!$C7484&gt;='Visual SPC'!$C$4),OR('Visual SPC'!$E$4="",'Data Entry'!$C7484&lt;='Visual SPC'!$E$4),OR('Visual SPC'!$G$4="",'Data Entry'!$D7484='Visual SPC'!$G$4),OR('Visual SPC'!$I$4="",'Data Entry'!$E7484='Visual SPC'!$I$4),OR('Visual SPC'!$K$4="",'Data Entry'!$F7484='Visual SPC'!$K$4)),1,0))</f>
        <v/>
      </c>
      <c r="C7484">
        <f>C7483+B7484</f>
        <v/>
      </c>
      <c r="D7484">
        <f>IF(B7484=1,INDEX('Data Entry'!$H$5:$BE$10004,7484-4,'Visual SPC'!$B$3),"")</f>
        <v/>
      </c>
      <c r="E7484">
        <f>IF(B7484=1,D7484,E7483)</f>
        <v/>
      </c>
      <c r="F7484">
        <f>IF(AND(B7484=1,C7484&gt;1,E7483&lt;&gt;""),ABS(D7484-E7483),"")</f>
        <v/>
      </c>
    </row>
    <row r="7485">
      <c r="A7485" t="n">
        <v>7485</v>
      </c>
      <c r="B7485">
        <f>IF(INDEX('Data Entry'!$H$5:$BE$10004,7485-4,'Visual SPC'!$B$3)="",0,IF(AND(OR('Visual SPC'!$C$4="",'Data Entry'!$C7485&gt;='Visual SPC'!$C$4),OR('Visual SPC'!$E$4="",'Data Entry'!$C7485&lt;='Visual SPC'!$E$4),OR('Visual SPC'!$G$4="",'Data Entry'!$D7485='Visual SPC'!$G$4),OR('Visual SPC'!$I$4="",'Data Entry'!$E7485='Visual SPC'!$I$4),OR('Visual SPC'!$K$4="",'Data Entry'!$F7485='Visual SPC'!$K$4)),1,0))</f>
        <v/>
      </c>
      <c r="C7485">
        <f>C7484+B7485</f>
        <v/>
      </c>
      <c r="D7485">
        <f>IF(B7485=1,INDEX('Data Entry'!$H$5:$BE$10004,7485-4,'Visual SPC'!$B$3),"")</f>
        <v/>
      </c>
      <c r="E7485">
        <f>IF(B7485=1,D7485,E7484)</f>
        <v/>
      </c>
      <c r="F7485">
        <f>IF(AND(B7485=1,C7485&gt;1,E7484&lt;&gt;""),ABS(D7485-E7484),"")</f>
        <v/>
      </c>
    </row>
    <row r="7486">
      <c r="A7486" t="n">
        <v>7486</v>
      </c>
      <c r="B7486">
        <f>IF(INDEX('Data Entry'!$H$5:$BE$10004,7486-4,'Visual SPC'!$B$3)="",0,IF(AND(OR('Visual SPC'!$C$4="",'Data Entry'!$C7486&gt;='Visual SPC'!$C$4),OR('Visual SPC'!$E$4="",'Data Entry'!$C7486&lt;='Visual SPC'!$E$4),OR('Visual SPC'!$G$4="",'Data Entry'!$D7486='Visual SPC'!$G$4),OR('Visual SPC'!$I$4="",'Data Entry'!$E7486='Visual SPC'!$I$4),OR('Visual SPC'!$K$4="",'Data Entry'!$F7486='Visual SPC'!$K$4)),1,0))</f>
        <v/>
      </c>
      <c r="C7486">
        <f>C7485+B7486</f>
        <v/>
      </c>
      <c r="D7486">
        <f>IF(B7486=1,INDEX('Data Entry'!$H$5:$BE$10004,7486-4,'Visual SPC'!$B$3),"")</f>
        <v/>
      </c>
      <c r="E7486">
        <f>IF(B7486=1,D7486,E7485)</f>
        <v/>
      </c>
      <c r="F7486">
        <f>IF(AND(B7486=1,C7486&gt;1,E7485&lt;&gt;""),ABS(D7486-E7485),"")</f>
        <v/>
      </c>
    </row>
    <row r="7487">
      <c r="A7487" t="n">
        <v>7487</v>
      </c>
      <c r="B7487">
        <f>IF(INDEX('Data Entry'!$H$5:$BE$10004,7487-4,'Visual SPC'!$B$3)="",0,IF(AND(OR('Visual SPC'!$C$4="",'Data Entry'!$C7487&gt;='Visual SPC'!$C$4),OR('Visual SPC'!$E$4="",'Data Entry'!$C7487&lt;='Visual SPC'!$E$4),OR('Visual SPC'!$G$4="",'Data Entry'!$D7487='Visual SPC'!$G$4),OR('Visual SPC'!$I$4="",'Data Entry'!$E7487='Visual SPC'!$I$4),OR('Visual SPC'!$K$4="",'Data Entry'!$F7487='Visual SPC'!$K$4)),1,0))</f>
        <v/>
      </c>
      <c r="C7487">
        <f>C7486+B7487</f>
        <v/>
      </c>
      <c r="D7487">
        <f>IF(B7487=1,INDEX('Data Entry'!$H$5:$BE$10004,7487-4,'Visual SPC'!$B$3),"")</f>
        <v/>
      </c>
      <c r="E7487">
        <f>IF(B7487=1,D7487,E7486)</f>
        <v/>
      </c>
      <c r="F7487">
        <f>IF(AND(B7487=1,C7487&gt;1,E7486&lt;&gt;""),ABS(D7487-E7486),"")</f>
        <v/>
      </c>
    </row>
    <row r="7488">
      <c r="A7488" t="n">
        <v>7488</v>
      </c>
      <c r="B7488">
        <f>IF(INDEX('Data Entry'!$H$5:$BE$10004,7488-4,'Visual SPC'!$B$3)="",0,IF(AND(OR('Visual SPC'!$C$4="",'Data Entry'!$C7488&gt;='Visual SPC'!$C$4),OR('Visual SPC'!$E$4="",'Data Entry'!$C7488&lt;='Visual SPC'!$E$4),OR('Visual SPC'!$G$4="",'Data Entry'!$D7488='Visual SPC'!$G$4),OR('Visual SPC'!$I$4="",'Data Entry'!$E7488='Visual SPC'!$I$4),OR('Visual SPC'!$K$4="",'Data Entry'!$F7488='Visual SPC'!$K$4)),1,0))</f>
        <v/>
      </c>
      <c r="C7488">
        <f>C7487+B7488</f>
        <v/>
      </c>
      <c r="D7488">
        <f>IF(B7488=1,INDEX('Data Entry'!$H$5:$BE$10004,7488-4,'Visual SPC'!$B$3),"")</f>
        <v/>
      </c>
      <c r="E7488">
        <f>IF(B7488=1,D7488,E7487)</f>
        <v/>
      </c>
      <c r="F7488">
        <f>IF(AND(B7488=1,C7488&gt;1,E7487&lt;&gt;""),ABS(D7488-E7487),"")</f>
        <v/>
      </c>
    </row>
    <row r="7489">
      <c r="A7489" t="n">
        <v>7489</v>
      </c>
      <c r="B7489">
        <f>IF(INDEX('Data Entry'!$H$5:$BE$10004,7489-4,'Visual SPC'!$B$3)="",0,IF(AND(OR('Visual SPC'!$C$4="",'Data Entry'!$C7489&gt;='Visual SPC'!$C$4),OR('Visual SPC'!$E$4="",'Data Entry'!$C7489&lt;='Visual SPC'!$E$4),OR('Visual SPC'!$G$4="",'Data Entry'!$D7489='Visual SPC'!$G$4),OR('Visual SPC'!$I$4="",'Data Entry'!$E7489='Visual SPC'!$I$4),OR('Visual SPC'!$K$4="",'Data Entry'!$F7489='Visual SPC'!$K$4)),1,0))</f>
        <v/>
      </c>
      <c r="C7489">
        <f>C7488+B7489</f>
        <v/>
      </c>
      <c r="D7489">
        <f>IF(B7489=1,INDEX('Data Entry'!$H$5:$BE$10004,7489-4,'Visual SPC'!$B$3),"")</f>
        <v/>
      </c>
      <c r="E7489">
        <f>IF(B7489=1,D7489,E7488)</f>
        <v/>
      </c>
      <c r="F7489">
        <f>IF(AND(B7489=1,C7489&gt;1,E7488&lt;&gt;""),ABS(D7489-E7488),"")</f>
        <v/>
      </c>
    </row>
    <row r="7490">
      <c r="A7490" t="n">
        <v>7490</v>
      </c>
      <c r="B7490">
        <f>IF(INDEX('Data Entry'!$H$5:$BE$10004,7490-4,'Visual SPC'!$B$3)="",0,IF(AND(OR('Visual SPC'!$C$4="",'Data Entry'!$C7490&gt;='Visual SPC'!$C$4),OR('Visual SPC'!$E$4="",'Data Entry'!$C7490&lt;='Visual SPC'!$E$4),OR('Visual SPC'!$G$4="",'Data Entry'!$D7490='Visual SPC'!$G$4),OR('Visual SPC'!$I$4="",'Data Entry'!$E7490='Visual SPC'!$I$4),OR('Visual SPC'!$K$4="",'Data Entry'!$F7490='Visual SPC'!$K$4)),1,0))</f>
        <v/>
      </c>
      <c r="C7490">
        <f>C7489+B7490</f>
        <v/>
      </c>
      <c r="D7490">
        <f>IF(B7490=1,INDEX('Data Entry'!$H$5:$BE$10004,7490-4,'Visual SPC'!$B$3),"")</f>
        <v/>
      </c>
      <c r="E7490">
        <f>IF(B7490=1,D7490,E7489)</f>
        <v/>
      </c>
      <c r="F7490">
        <f>IF(AND(B7490=1,C7490&gt;1,E7489&lt;&gt;""),ABS(D7490-E7489),"")</f>
        <v/>
      </c>
    </row>
    <row r="7491">
      <c r="A7491" t="n">
        <v>7491</v>
      </c>
      <c r="B7491">
        <f>IF(INDEX('Data Entry'!$H$5:$BE$10004,7491-4,'Visual SPC'!$B$3)="",0,IF(AND(OR('Visual SPC'!$C$4="",'Data Entry'!$C7491&gt;='Visual SPC'!$C$4),OR('Visual SPC'!$E$4="",'Data Entry'!$C7491&lt;='Visual SPC'!$E$4),OR('Visual SPC'!$G$4="",'Data Entry'!$D7491='Visual SPC'!$G$4),OR('Visual SPC'!$I$4="",'Data Entry'!$E7491='Visual SPC'!$I$4),OR('Visual SPC'!$K$4="",'Data Entry'!$F7491='Visual SPC'!$K$4)),1,0))</f>
        <v/>
      </c>
      <c r="C7491">
        <f>C7490+B7491</f>
        <v/>
      </c>
      <c r="D7491">
        <f>IF(B7491=1,INDEX('Data Entry'!$H$5:$BE$10004,7491-4,'Visual SPC'!$B$3),"")</f>
        <v/>
      </c>
      <c r="E7491">
        <f>IF(B7491=1,D7491,E7490)</f>
        <v/>
      </c>
      <c r="F7491">
        <f>IF(AND(B7491=1,C7491&gt;1,E7490&lt;&gt;""),ABS(D7491-E7490),"")</f>
        <v/>
      </c>
    </row>
    <row r="7492">
      <c r="A7492" t="n">
        <v>7492</v>
      </c>
      <c r="B7492">
        <f>IF(INDEX('Data Entry'!$H$5:$BE$10004,7492-4,'Visual SPC'!$B$3)="",0,IF(AND(OR('Visual SPC'!$C$4="",'Data Entry'!$C7492&gt;='Visual SPC'!$C$4),OR('Visual SPC'!$E$4="",'Data Entry'!$C7492&lt;='Visual SPC'!$E$4),OR('Visual SPC'!$G$4="",'Data Entry'!$D7492='Visual SPC'!$G$4),OR('Visual SPC'!$I$4="",'Data Entry'!$E7492='Visual SPC'!$I$4),OR('Visual SPC'!$K$4="",'Data Entry'!$F7492='Visual SPC'!$K$4)),1,0))</f>
        <v/>
      </c>
      <c r="C7492">
        <f>C7491+B7492</f>
        <v/>
      </c>
      <c r="D7492">
        <f>IF(B7492=1,INDEX('Data Entry'!$H$5:$BE$10004,7492-4,'Visual SPC'!$B$3),"")</f>
        <v/>
      </c>
      <c r="E7492">
        <f>IF(B7492=1,D7492,E7491)</f>
        <v/>
      </c>
      <c r="F7492">
        <f>IF(AND(B7492=1,C7492&gt;1,E7491&lt;&gt;""),ABS(D7492-E7491),"")</f>
        <v/>
      </c>
    </row>
    <row r="7493">
      <c r="A7493" t="n">
        <v>7493</v>
      </c>
      <c r="B7493">
        <f>IF(INDEX('Data Entry'!$H$5:$BE$10004,7493-4,'Visual SPC'!$B$3)="",0,IF(AND(OR('Visual SPC'!$C$4="",'Data Entry'!$C7493&gt;='Visual SPC'!$C$4),OR('Visual SPC'!$E$4="",'Data Entry'!$C7493&lt;='Visual SPC'!$E$4),OR('Visual SPC'!$G$4="",'Data Entry'!$D7493='Visual SPC'!$G$4),OR('Visual SPC'!$I$4="",'Data Entry'!$E7493='Visual SPC'!$I$4),OR('Visual SPC'!$K$4="",'Data Entry'!$F7493='Visual SPC'!$K$4)),1,0))</f>
        <v/>
      </c>
      <c r="C7493">
        <f>C7492+B7493</f>
        <v/>
      </c>
      <c r="D7493">
        <f>IF(B7493=1,INDEX('Data Entry'!$H$5:$BE$10004,7493-4,'Visual SPC'!$B$3),"")</f>
        <v/>
      </c>
      <c r="E7493">
        <f>IF(B7493=1,D7493,E7492)</f>
        <v/>
      </c>
      <c r="F7493">
        <f>IF(AND(B7493=1,C7493&gt;1,E7492&lt;&gt;""),ABS(D7493-E7492),"")</f>
        <v/>
      </c>
    </row>
    <row r="7494">
      <c r="A7494" t="n">
        <v>7494</v>
      </c>
      <c r="B7494">
        <f>IF(INDEX('Data Entry'!$H$5:$BE$10004,7494-4,'Visual SPC'!$B$3)="",0,IF(AND(OR('Visual SPC'!$C$4="",'Data Entry'!$C7494&gt;='Visual SPC'!$C$4),OR('Visual SPC'!$E$4="",'Data Entry'!$C7494&lt;='Visual SPC'!$E$4),OR('Visual SPC'!$G$4="",'Data Entry'!$D7494='Visual SPC'!$G$4),OR('Visual SPC'!$I$4="",'Data Entry'!$E7494='Visual SPC'!$I$4),OR('Visual SPC'!$K$4="",'Data Entry'!$F7494='Visual SPC'!$K$4)),1,0))</f>
        <v/>
      </c>
      <c r="C7494">
        <f>C7493+B7494</f>
        <v/>
      </c>
      <c r="D7494">
        <f>IF(B7494=1,INDEX('Data Entry'!$H$5:$BE$10004,7494-4,'Visual SPC'!$B$3),"")</f>
        <v/>
      </c>
      <c r="E7494">
        <f>IF(B7494=1,D7494,E7493)</f>
        <v/>
      </c>
      <c r="F7494">
        <f>IF(AND(B7494=1,C7494&gt;1,E7493&lt;&gt;""),ABS(D7494-E7493),"")</f>
        <v/>
      </c>
    </row>
    <row r="7495">
      <c r="A7495" t="n">
        <v>7495</v>
      </c>
      <c r="B7495">
        <f>IF(INDEX('Data Entry'!$H$5:$BE$10004,7495-4,'Visual SPC'!$B$3)="",0,IF(AND(OR('Visual SPC'!$C$4="",'Data Entry'!$C7495&gt;='Visual SPC'!$C$4),OR('Visual SPC'!$E$4="",'Data Entry'!$C7495&lt;='Visual SPC'!$E$4),OR('Visual SPC'!$G$4="",'Data Entry'!$D7495='Visual SPC'!$G$4),OR('Visual SPC'!$I$4="",'Data Entry'!$E7495='Visual SPC'!$I$4),OR('Visual SPC'!$K$4="",'Data Entry'!$F7495='Visual SPC'!$K$4)),1,0))</f>
        <v/>
      </c>
      <c r="C7495">
        <f>C7494+B7495</f>
        <v/>
      </c>
      <c r="D7495">
        <f>IF(B7495=1,INDEX('Data Entry'!$H$5:$BE$10004,7495-4,'Visual SPC'!$B$3),"")</f>
        <v/>
      </c>
      <c r="E7495">
        <f>IF(B7495=1,D7495,E7494)</f>
        <v/>
      </c>
      <c r="F7495">
        <f>IF(AND(B7495=1,C7495&gt;1,E7494&lt;&gt;""),ABS(D7495-E7494),"")</f>
        <v/>
      </c>
    </row>
    <row r="7496">
      <c r="A7496" t="n">
        <v>7496</v>
      </c>
      <c r="B7496">
        <f>IF(INDEX('Data Entry'!$H$5:$BE$10004,7496-4,'Visual SPC'!$B$3)="",0,IF(AND(OR('Visual SPC'!$C$4="",'Data Entry'!$C7496&gt;='Visual SPC'!$C$4),OR('Visual SPC'!$E$4="",'Data Entry'!$C7496&lt;='Visual SPC'!$E$4),OR('Visual SPC'!$G$4="",'Data Entry'!$D7496='Visual SPC'!$G$4),OR('Visual SPC'!$I$4="",'Data Entry'!$E7496='Visual SPC'!$I$4),OR('Visual SPC'!$K$4="",'Data Entry'!$F7496='Visual SPC'!$K$4)),1,0))</f>
        <v/>
      </c>
      <c r="C7496">
        <f>C7495+B7496</f>
        <v/>
      </c>
      <c r="D7496">
        <f>IF(B7496=1,INDEX('Data Entry'!$H$5:$BE$10004,7496-4,'Visual SPC'!$B$3),"")</f>
        <v/>
      </c>
      <c r="E7496">
        <f>IF(B7496=1,D7496,E7495)</f>
        <v/>
      </c>
      <c r="F7496">
        <f>IF(AND(B7496=1,C7496&gt;1,E7495&lt;&gt;""),ABS(D7496-E7495),"")</f>
        <v/>
      </c>
    </row>
    <row r="7497">
      <c r="A7497" t="n">
        <v>7497</v>
      </c>
      <c r="B7497">
        <f>IF(INDEX('Data Entry'!$H$5:$BE$10004,7497-4,'Visual SPC'!$B$3)="",0,IF(AND(OR('Visual SPC'!$C$4="",'Data Entry'!$C7497&gt;='Visual SPC'!$C$4),OR('Visual SPC'!$E$4="",'Data Entry'!$C7497&lt;='Visual SPC'!$E$4),OR('Visual SPC'!$G$4="",'Data Entry'!$D7497='Visual SPC'!$G$4),OR('Visual SPC'!$I$4="",'Data Entry'!$E7497='Visual SPC'!$I$4),OR('Visual SPC'!$K$4="",'Data Entry'!$F7497='Visual SPC'!$K$4)),1,0))</f>
        <v/>
      </c>
      <c r="C7497">
        <f>C7496+B7497</f>
        <v/>
      </c>
      <c r="D7497">
        <f>IF(B7497=1,INDEX('Data Entry'!$H$5:$BE$10004,7497-4,'Visual SPC'!$B$3),"")</f>
        <v/>
      </c>
      <c r="E7497">
        <f>IF(B7497=1,D7497,E7496)</f>
        <v/>
      </c>
      <c r="F7497">
        <f>IF(AND(B7497=1,C7497&gt;1,E7496&lt;&gt;""),ABS(D7497-E7496),"")</f>
        <v/>
      </c>
    </row>
    <row r="7498">
      <c r="A7498" t="n">
        <v>7498</v>
      </c>
      <c r="B7498">
        <f>IF(INDEX('Data Entry'!$H$5:$BE$10004,7498-4,'Visual SPC'!$B$3)="",0,IF(AND(OR('Visual SPC'!$C$4="",'Data Entry'!$C7498&gt;='Visual SPC'!$C$4),OR('Visual SPC'!$E$4="",'Data Entry'!$C7498&lt;='Visual SPC'!$E$4),OR('Visual SPC'!$G$4="",'Data Entry'!$D7498='Visual SPC'!$G$4),OR('Visual SPC'!$I$4="",'Data Entry'!$E7498='Visual SPC'!$I$4),OR('Visual SPC'!$K$4="",'Data Entry'!$F7498='Visual SPC'!$K$4)),1,0))</f>
        <v/>
      </c>
      <c r="C7498">
        <f>C7497+B7498</f>
        <v/>
      </c>
      <c r="D7498">
        <f>IF(B7498=1,INDEX('Data Entry'!$H$5:$BE$10004,7498-4,'Visual SPC'!$B$3),"")</f>
        <v/>
      </c>
      <c r="E7498">
        <f>IF(B7498=1,D7498,E7497)</f>
        <v/>
      </c>
      <c r="F7498">
        <f>IF(AND(B7498=1,C7498&gt;1,E7497&lt;&gt;""),ABS(D7498-E7497),"")</f>
        <v/>
      </c>
    </row>
    <row r="7499">
      <c r="A7499" t="n">
        <v>7499</v>
      </c>
      <c r="B7499">
        <f>IF(INDEX('Data Entry'!$H$5:$BE$10004,7499-4,'Visual SPC'!$B$3)="",0,IF(AND(OR('Visual SPC'!$C$4="",'Data Entry'!$C7499&gt;='Visual SPC'!$C$4),OR('Visual SPC'!$E$4="",'Data Entry'!$C7499&lt;='Visual SPC'!$E$4),OR('Visual SPC'!$G$4="",'Data Entry'!$D7499='Visual SPC'!$G$4),OR('Visual SPC'!$I$4="",'Data Entry'!$E7499='Visual SPC'!$I$4),OR('Visual SPC'!$K$4="",'Data Entry'!$F7499='Visual SPC'!$K$4)),1,0))</f>
        <v/>
      </c>
      <c r="C7499">
        <f>C7498+B7499</f>
        <v/>
      </c>
      <c r="D7499">
        <f>IF(B7499=1,INDEX('Data Entry'!$H$5:$BE$10004,7499-4,'Visual SPC'!$B$3),"")</f>
        <v/>
      </c>
      <c r="E7499">
        <f>IF(B7499=1,D7499,E7498)</f>
        <v/>
      </c>
      <c r="F7499">
        <f>IF(AND(B7499=1,C7499&gt;1,E7498&lt;&gt;""),ABS(D7499-E7498),"")</f>
        <v/>
      </c>
    </row>
    <row r="7500">
      <c r="A7500" t="n">
        <v>7500</v>
      </c>
      <c r="B7500">
        <f>IF(INDEX('Data Entry'!$H$5:$BE$10004,7500-4,'Visual SPC'!$B$3)="",0,IF(AND(OR('Visual SPC'!$C$4="",'Data Entry'!$C7500&gt;='Visual SPC'!$C$4),OR('Visual SPC'!$E$4="",'Data Entry'!$C7500&lt;='Visual SPC'!$E$4),OR('Visual SPC'!$G$4="",'Data Entry'!$D7500='Visual SPC'!$G$4),OR('Visual SPC'!$I$4="",'Data Entry'!$E7500='Visual SPC'!$I$4),OR('Visual SPC'!$K$4="",'Data Entry'!$F7500='Visual SPC'!$K$4)),1,0))</f>
        <v/>
      </c>
      <c r="C7500">
        <f>C7499+B7500</f>
        <v/>
      </c>
      <c r="D7500">
        <f>IF(B7500=1,INDEX('Data Entry'!$H$5:$BE$10004,7500-4,'Visual SPC'!$B$3),"")</f>
        <v/>
      </c>
      <c r="E7500">
        <f>IF(B7500=1,D7500,E7499)</f>
        <v/>
      </c>
      <c r="F7500">
        <f>IF(AND(B7500=1,C7500&gt;1,E7499&lt;&gt;""),ABS(D7500-E7499),"")</f>
        <v/>
      </c>
    </row>
    <row r="7501">
      <c r="A7501" t="n">
        <v>7501</v>
      </c>
      <c r="B7501">
        <f>IF(INDEX('Data Entry'!$H$5:$BE$10004,7501-4,'Visual SPC'!$B$3)="",0,IF(AND(OR('Visual SPC'!$C$4="",'Data Entry'!$C7501&gt;='Visual SPC'!$C$4),OR('Visual SPC'!$E$4="",'Data Entry'!$C7501&lt;='Visual SPC'!$E$4),OR('Visual SPC'!$G$4="",'Data Entry'!$D7501='Visual SPC'!$G$4),OR('Visual SPC'!$I$4="",'Data Entry'!$E7501='Visual SPC'!$I$4),OR('Visual SPC'!$K$4="",'Data Entry'!$F7501='Visual SPC'!$K$4)),1,0))</f>
        <v/>
      </c>
      <c r="C7501">
        <f>C7500+B7501</f>
        <v/>
      </c>
      <c r="D7501">
        <f>IF(B7501=1,INDEX('Data Entry'!$H$5:$BE$10004,7501-4,'Visual SPC'!$B$3),"")</f>
        <v/>
      </c>
      <c r="E7501">
        <f>IF(B7501=1,D7501,E7500)</f>
        <v/>
      </c>
      <c r="F7501">
        <f>IF(AND(B7501=1,C7501&gt;1,E7500&lt;&gt;""),ABS(D7501-E7500),"")</f>
        <v/>
      </c>
    </row>
    <row r="7502">
      <c r="A7502" t="n">
        <v>7502</v>
      </c>
      <c r="B7502">
        <f>IF(INDEX('Data Entry'!$H$5:$BE$10004,7502-4,'Visual SPC'!$B$3)="",0,IF(AND(OR('Visual SPC'!$C$4="",'Data Entry'!$C7502&gt;='Visual SPC'!$C$4),OR('Visual SPC'!$E$4="",'Data Entry'!$C7502&lt;='Visual SPC'!$E$4),OR('Visual SPC'!$G$4="",'Data Entry'!$D7502='Visual SPC'!$G$4),OR('Visual SPC'!$I$4="",'Data Entry'!$E7502='Visual SPC'!$I$4),OR('Visual SPC'!$K$4="",'Data Entry'!$F7502='Visual SPC'!$K$4)),1,0))</f>
        <v/>
      </c>
      <c r="C7502">
        <f>C7501+B7502</f>
        <v/>
      </c>
      <c r="D7502">
        <f>IF(B7502=1,INDEX('Data Entry'!$H$5:$BE$10004,7502-4,'Visual SPC'!$B$3),"")</f>
        <v/>
      </c>
      <c r="E7502">
        <f>IF(B7502=1,D7502,E7501)</f>
        <v/>
      </c>
      <c r="F7502">
        <f>IF(AND(B7502=1,C7502&gt;1,E7501&lt;&gt;""),ABS(D7502-E7501),"")</f>
        <v/>
      </c>
    </row>
    <row r="7503">
      <c r="A7503" t="n">
        <v>7503</v>
      </c>
      <c r="B7503">
        <f>IF(INDEX('Data Entry'!$H$5:$BE$10004,7503-4,'Visual SPC'!$B$3)="",0,IF(AND(OR('Visual SPC'!$C$4="",'Data Entry'!$C7503&gt;='Visual SPC'!$C$4),OR('Visual SPC'!$E$4="",'Data Entry'!$C7503&lt;='Visual SPC'!$E$4),OR('Visual SPC'!$G$4="",'Data Entry'!$D7503='Visual SPC'!$G$4),OR('Visual SPC'!$I$4="",'Data Entry'!$E7503='Visual SPC'!$I$4),OR('Visual SPC'!$K$4="",'Data Entry'!$F7503='Visual SPC'!$K$4)),1,0))</f>
        <v/>
      </c>
      <c r="C7503">
        <f>C7502+B7503</f>
        <v/>
      </c>
      <c r="D7503">
        <f>IF(B7503=1,INDEX('Data Entry'!$H$5:$BE$10004,7503-4,'Visual SPC'!$B$3),"")</f>
        <v/>
      </c>
      <c r="E7503">
        <f>IF(B7503=1,D7503,E7502)</f>
        <v/>
      </c>
      <c r="F7503">
        <f>IF(AND(B7503=1,C7503&gt;1,E7502&lt;&gt;""),ABS(D7503-E7502),"")</f>
        <v/>
      </c>
    </row>
    <row r="7504">
      <c r="A7504" t="n">
        <v>7504</v>
      </c>
      <c r="B7504">
        <f>IF(INDEX('Data Entry'!$H$5:$BE$10004,7504-4,'Visual SPC'!$B$3)="",0,IF(AND(OR('Visual SPC'!$C$4="",'Data Entry'!$C7504&gt;='Visual SPC'!$C$4),OR('Visual SPC'!$E$4="",'Data Entry'!$C7504&lt;='Visual SPC'!$E$4),OR('Visual SPC'!$G$4="",'Data Entry'!$D7504='Visual SPC'!$G$4),OR('Visual SPC'!$I$4="",'Data Entry'!$E7504='Visual SPC'!$I$4),OR('Visual SPC'!$K$4="",'Data Entry'!$F7504='Visual SPC'!$K$4)),1,0))</f>
        <v/>
      </c>
      <c r="C7504">
        <f>C7503+B7504</f>
        <v/>
      </c>
      <c r="D7504">
        <f>IF(B7504=1,INDEX('Data Entry'!$H$5:$BE$10004,7504-4,'Visual SPC'!$B$3),"")</f>
        <v/>
      </c>
      <c r="E7504">
        <f>IF(B7504=1,D7504,E7503)</f>
        <v/>
      </c>
      <c r="F7504">
        <f>IF(AND(B7504=1,C7504&gt;1,E7503&lt;&gt;""),ABS(D7504-E7503),"")</f>
        <v/>
      </c>
    </row>
    <row r="7505">
      <c r="A7505" t="n">
        <v>7505</v>
      </c>
      <c r="B7505">
        <f>IF(INDEX('Data Entry'!$H$5:$BE$10004,7505-4,'Visual SPC'!$B$3)="",0,IF(AND(OR('Visual SPC'!$C$4="",'Data Entry'!$C7505&gt;='Visual SPC'!$C$4),OR('Visual SPC'!$E$4="",'Data Entry'!$C7505&lt;='Visual SPC'!$E$4),OR('Visual SPC'!$G$4="",'Data Entry'!$D7505='Visual SPC'!$G$4),OR('Visual SPC'!$I$4="",'Data Entry'!$E7505='Visual SPC'!$I$4),OR('Visual SPC'!$K$4="",'Data Entry'!$F7505='Visual SPC'!$K$4)),1,0))</f>
        <v/>
      </c>
      <c r="C7505">
        <f>C7504+B7505</f>
        <v/>
      </c>
      <c r="D7505">
        <f>IF(B7505=1,INDEX('Data Entry'!$H$5:$BE$10004,7505-4,'Visual SPC'!$B$3),"")</f>
        <v/>
      </c>
      <c r="E7505">
        <f>IF(B7505=1,D7505,E7504)</f>
        <v/>
      </c>
      <c r="F7505">
        <f>IF(AND(B7505=1,C7505&gt;1,E7504&lt;&gt;""),ABS(D7505-E7504),"")</f>
        <v/>
      </c>
    </row>
    <row r="7506">
      <c r="A7506" t="n">
        <v>7506</v>
      </c>
      <c r="B7506">
        <f>IF(INDEX('Data Entry'!$H$5:$BE$10004,7506-4,'Visual SPC'!$B$3)="",0,IF(AND(OR('Visual SPC'!$C$4="",'Data Entry'!$C7506&gt;='Visual SPC'!$C$4),OR('Visual SPC'!$E$4="",'Data Entry'!$C7506&lt;='Visual SPC'!$E$4),OR('Visual SPC'!$G$4="",'Data Entry'!$D7506='Visual SPC'!$G$4),OR('Visual SPC'!$I$4="",'Data Entry'!$E7506='Visual SPC'!$I$4),OR('Visual SPC'!$K$4="",'Data Entry'!$F7506='Visual SPC'!$K$4)),1,0))</f>
        <v/>
      </c>
      <c r="C7506">
        <f>C7505+B7506</f>
        <v/>
      </c>
      <c r="D7506">
        <f>IF(B7506=1,INDEX('Data Entry'!$H$5:$BE$10004,7506-4,'Visual SPC'!$B$3),"")</f>
        <v/>
      </c>
      <c r="E7506">
        <f>IF(B7506=1,D7506,E7505)</f>
        <v/>
      </c>
      <c r="F7506">
        <f>IF(AND(B7506=1,C7506&gt;1,E7505&lt;&gt;""),ABS(D7506-E7505),"")</f>
        <v/>
      </c>
    </row>
    <row r="7507">
      <c r="A7507" t="n">
        <v>7507</v>
      </c>
      <c r="B7507">
        <f>IF(INDEX('Data Entry'!$H$5:$BE$10004,7507-4,'Visual SPC'!$B$3)="",0,IF(AND(OR('Visual SPC'!$C$4="",'Data Entry'!$C7507&gt;='Visual SPC'!$C$4),OR('Visual SPC'!$E$4="",'Data Entry'!$C7507&lt;='Visual SPC'!$E$4),OR('Visual SPC'!$G$4="",'Data Entry'!$D7507='Visual SPC'!$G$4),OR('Visual SPC'!$I$4="",'Data Entry'!$E7507='Visual SPC'!$I$4),OR('Visual SPC'!$K$4="",'Data Entry'!$F7507='Visual SPC'!$K$4)),1,0))</f>
        <v/>
      </c>
      <c r="C7507">
        <f>C7506+B7507</f>
        <v/>
      </c>
      <c r="D7507">
        <f>IF(B7507=1,INDEX('Data Entry'!$H$5:$BE$10004,7507-4,'Visual SPC'!$B$3),"")</f>
        <v/>
      </c>
      <c r="E7507">
        <f>IF(B7507=1,D7507,E7506)</f>
        <v/>
      </c>
      <c r="F7507">
        <f>IF(AND(B7507=1,C7507&gt;1,E7506&lt;&gt;""),ABS(D7507-E7506),"")</f>
        <v/>
      </c>
    </row>
    <row r="7508">
      <c r="A7508" t="n">
        <v>7508</v>
      </c>
      <c r="B7508">
        <f>IF(INDEX('Data Entry'!$H$5:$BE$10004,7508-4,'Visual SPC'!$B$3)="",0,IF(AND(OR('Visual SPC'!$C$4="",'Data Entry'!$C7508&gt;='Visual SPC'!$C$4),OR('Visual SPC'!$E$4="",'Data Entry'!$C7508&lt;='Visual SPC'!$E$4),OR('Visual SPC'!$G$4="",'Data Entry'!$D7508='Visual SPC'!$G$4),OR('Visual SPC'!$I$4="",'Data Entry'!$E7508='Visual SPC'!$I$4),OR('Visual SPC'!$K$4="",'Data Entry'!$F7508='Visual SPC'!$K$4)),1,0))</f>
        <v/>
      </c>
      <c r="C7508">
        <f>C7507+B7508</f>
        <v/>
      </c>
      <c r="D7508">
        <f>IF(B7508=1,INDEX('Data Entry'!$H$5:$BE$10004,7508-4,'Visual SPC'!$B$3),"")</f>
        <v/>
      </c>
      <c r="E7508">
        <f>IF(B7508=1,D7508,E7507)</f>
        <v/>
      </c>
      <c r="F7508">
        <f>IF(AND(B7508=1,C7508&gt;1,E7507&lt;&gt;""),ABS(D7508-E7507),"")</f>
        <v/>
      </c>
    </row>
    <row r="7509">
      <c r="A7509" t="n">
        <v>7509</v>
      </c>
      <c r="B7509">
        <f>IF(INDEX('Data Entry'!$H$5:$BE$10004,7509-4,'Visual SPC'!$B$3)="",0,IF(AND(OR('Visual SPC'!$C$4="",'Data Entry'!$C7509&gt;='Visual SPC'!$C$4),OR('Visual SPC'!$E$4="",'Data Entry'!$C7509&lt;='Visual SPC'!$E$4),OR('Visual SPC'!$G$4="",'Data Entry'!$D7509='Visual SPC'!$G$4),OR('Visual SPC'!$I$4="",'Data Entry'!$E7509='Visual SPC'!$I$4),OR('Visual SPC'!$K$4="",'Data Entry'!$F7509='Visual SPC'!$K$4)),1,0))</f>
        <v/>
      </c>
      <c r="C7509">
        <f>C7508+B7509</f>
        <v/>
      </c>
      <c r="D7509">
        <f>IF(B7509=1,INDEX('Data Entry'!$H$5:$BE$10004,7509-4,'Visual SPC'!$B$3),"")</f>
        <v/>
      </c>
      <c r="E7509">
        <f>IF(B7509=1,D7509,E7508)</f>
        <v/>
      </c>
      <c r="F7509">
        <f>IF(AND(B7509=1,C7509&gt;1,E7508&lt;&gt;""),ABS(D7509-E7508),"")</f>
        <v/>
      </c>
    </row>
    <row r="7510">
      <c r="A7510" t="n">
        <v>7510</v>
      </c>
      <c r="B7510">
        <f>IF(INDEX('Data Entry'!$H$5:$BE$10004,7510-4,'Visual SPC'!$B$3)="",0,IF(AND(OR('Visual SPC'!$C$4="",'Data Entry'!$C7510&gt;='Visual SPC'!$C$4),OR('Visual SPC'!$E$4="",'Data Entry'!$C7510&lt;='Visual SPC'!$E$4),OR('Visual SPC'!$G$4="",'Data Entry'!$D7510='Visual SPC'!$G$4),OR('Visual SPC'!$I$4="",'Data Entry'!$E7510='Visual SPC'!$I$4),OR('Visual SPC'!$K$4="",'Data Entry'!$F7510='Visual SPC'!$K$4)),1,0))</f>
        <v/>
      </c>
      <c r="C7510">
        <f>C7509+B7510</f>
        <v/>
      </c>
      <c r="D7510">
        <f>IF(B7510=1,INDEX('Data Entry'!$H$5:$BE$10004,7510-4,'Visual SPC'!$B$3),"")</f>
        <v/>
      </c>
      <c r="E7510">
        <f>IF(B7510=1,D7510,E7509)</f>
        <v/>
      </c>
      <c r="F7510">
        <f>IF(AND(B7510=1,C7510&gt;1,E7509&lt;&gt;""),ABS(D7510-E7509),"")</f>
        <v/>
      </c>
    </row>
    <row r="7511">
      <c r="A7511" t="n">
        <v>7511</v>
      </c>
      <c r="B7511">
        <f>IF(INDEX('Data Entry'!$H$5:$BE$10004,7511-4,'Visual SPC'!$B$3)="",0,IF(AND(OR('Visual SPC'!$C$4="",'Data Entry'!$C7511&gt;='Visual SPC'!$C$4),OR('Visual SPC'!$E$4="",'Data Entry'!$C7511&lt;='Visual SPC'!$E$4),OR('Visual SPC'!$G$4="",'Data Entry'!$D7511='Visual SPC'!$G$4),OR('Visual SPC'!$I$4="",'Data Entry'!$E7511='Visual SPC'!$I$4),OR('Visual SPC'!$K$4="",'Data Entry'!$F7511='Visual SPC'!$K$4)),1,0))</f>
        <v/>
      </c>
      <c r="C7511">
        <f>C7510+B7511</f>
        <v/>
      </c>
      <c r="D7511">
        <f>IF(B7511=1,INDEX('Data Entry'!$H$5:$BE$10004,7511-4,'Visual SPC'!$B$3),"")</f>
        <v/>
      </c>
      <c r="E7511">
        <f>IF(B7511=1,D7511,E7510)</f>
        <v/>
      </c>
      <c r="F7511">
        <f>IF(AND(B7511=1,C7511&gt;1,E7510&lt;&gt;""),ABS(D7511-E7510),"")</f>
        <v/>
      </c>
    </row>
    <row r="7512">
      <c r="A7512" t="n">
        <v>7512</v>
      </c>
      <c r="B7512">
        <f>IF(INDEX('Data Entry'!$H$5:$BE$10004,7512-4,'Visual SPC'!$B$3)="",0,IF(AND(OR('Visual SPC'!$C$4="",'Data Entry'!$C7512&gt;='Visual SPC'!$C$4),OR('Visual SPC'!$E$4="",'Data Entry'!$C7512&lt;='Visual SPC'!$E$4),OR('Visual SPC'!$G$4="",'Data Entry'!$D7512='Visual SPC'!$G$4),OR('Visual SPC'!$I$4="",'Data Entry'!$E7512='Visual SPC'!$I$4),OR('Visual SPC'!$K$4="",'Data Entry'!$F7512='Visual SPC'!$K$4)),1,0))</f>
        <v/>
      </c>
      <c r="C7512">
        <f>C7511+B7512</f>
        <v/>
      </c>
      <c r="D7512">
        <f>IF(B7512=1,INDEX('Data Entry'!$H$5:$BE$10004,7512-4,'Visual SPC'!$B$3),"")</f>
        <v/>
      </c>
      <c r="E7512">
        <f>IF(B7512=1,D7512,E7511)</f>
        <v/>
      </c>
      <c r="F7512">
        <f>IF(AND(B7512=1,C7512&gt;1,E7511&lt;&gt;""),ABS(D7512-E7511),"")</f>
        <v/>
      </c>
    </row>
    <row r="7513">
      <c r="A7513" t="n">
        <v>7513</v>
      </c>
      <c r="B7513">
        <f>IF(INDEX('Data Entry'!$H$5:$BE$10004,7513-4,'Visual SPC'!$B$3)="",0,IF(AND(OR('Visual SPC'!$C$4="",'Data Entry'!$C7513&gt;='Visual SPC'!$C$4),OR('Visual SPC'!$E$4="",'Data Entry'!$C7513&lt;='Visual SPC'!$E$4),OR('Visual SPC'!$G$4="",'Data Entry'!$D7513='Visual SPC'!$G$4),OR('Visual SPC'!$I$4="",'Data Entry'!$E7513='Visual SPC'!$I$4),OR('Visual SPC'!$K$4="",'Data Entry'!$F7513='Visual SPC'!$K$4)),1,0))</f>
        <v/>
      </c>
      <c r="C7513">
        <f>C7512+B7513</f>
        <v/>
      </c>
      <c r="D7513">
        <f>IF(B7513=1,INDEX('Data Entry'!$H$5:$BE$10004,7513-4,'Visual SPC'!$B$3),"")</f>
        <v/>
      </c>
      <c r="E7513">
        <f>IF(B7513=1,D7513,E7512)</f>
        <v/>
      </c>
      <c r="F7513">
        <f>IF(AND(B7513=1,C7513&gt;1,E7512&lt;&gt;""),ABS(D7513-E7512),"")</f>
        <v/>
      </c>
    </row>
    <row r="7514">
      <c r="A7514" t="n">
        <v>7514</v>
      </c>
      <c r="B7514">
        <f>IF(INDEX('Data Entry'!$H$5:$BE$10004,7514-4,'Visual SPC'!$B$3)="",0,IF(AND(OR('Visual SPC'!$C$4="",'Data Entry'!$C7514&gt;='Visual SPC'!$C$4),OR('Visual SPC'!$E$4="",'Data Entry'!$C7514&lt;='Visual SPC'!$E$4),OR('Visual SPC'!$G$4="",'Data Entry'!$D7514='Visual SPC'!$G$4),OR('Visual SPC'!$I$4="",'Data Entry'!$E7514='Visual SPC'!$I$4),OR('Visual SPC'!$K$4="",'Data Entry'!$F7514='Visual SPC'!$K$4)),1,0))</f>
        <v/>
      </c>
      <c r="C7514">
        <f>C7513+B7514</f>
        <v/>
      </c>
      <c r="D7514">
        <f>IF(B7514=1,INDEX('Data Entry'!$H$5:$BE$10004,7514-4,'Visual SPC'!$B$3),"")</f>
        <v/>
      </c>
      <c r="E7514">
        <f>IF(B7514=1,D7514,E7513)</f>
        <v/>
      </c>
      <c r="F7514">
        <f>IF(AND(B7514=1,C7514&gt;1,E7513&lt;&gt;""),ABS(D7514-E7513),"")</f>
        <v/>
      </c>
    </row>
    <row r="7515">
      <c r="A7515" t="n">
        <v>7515</v>
      </c>
      <c r="B7515">
        <f>IF(INDEX('Data Entry'!$H$5:$BE$10004,7515-4,'Visual SPC'!$B$3)="",0,IF(AND(OR('Visual SPC'!$C$4="",'Data Entry'!$C7515&gt;='Visual SPC'!$C$4),OR('Visual SPC'!$E$4="",'Data Entry'!$C7515&lt;='Visual SPC'!$E$4),OR('Visual SPC'!$G$4="",'Data Entry'!$D7515='Visual SPC'!$G$4),OR('Visual SPC'!$I$4="",'Data Entry'!$E7515='Visual SPC'!$I$4),OR('Visual SPC'!$K$4="",'Data Entry'!$F7515='Visual SPC'!$K$4)),1,0))</f>
        <v/>
      </c>
      <c r="C7515">
        <f>C7514+B7515</f>
        <v/>
      </c>
      <c r="D7515">
        <f>IF(B7515=1,INDEX('Data Entry'!$H$5:$BE$10004,7515-4,'Visual SPC'!$B$3),"")</f>
        <v/>
      </c>
      <c r="E7515">
        <f>IF(B7515=1,D7515,E7514)</f>
        <v/>
      </c>
      <c r="F7515">
        <f>IF(AND(B7515=1,C7515&gt;1,E7514&lt;&gt;""),ABS(D7515-E7514),"")</f>
        <v/>
      </c>
    </row>
    <row r="7516">
      <c r="A7516" t="n">
        <v>7516</v>
      </c>
      <c r="B7516">
        <f>IF(INDEX('Data Entry'!$H$5:$BE$10004,7516-4,'Visual SPC'!$B$3)="",0,IF(AND(OR('Visual SPC'!$C$4="",'Data Entry'!$C7516&gt;='Visual SPC'!$C$4),OR('Visual SPC'!$E$4="",'Data Entry'!$C7516&lt;='Visual SPC'!$E$4),OR('Visual SPC'!$G$4="",'Data Entry'!$D7516='Visual SPC'!$G$4),OR('Visual SPC'!$I$4="",'Data Entry'!$E7516='Visual SPC'!$I$4),OR('Visual SPC'!$K$4="",'Data Entry'!$F7516='Visual SPC'!$K$4)),1,0))</f>
        <v/>
      </c>
      <c r="C7516">
        <f>C7515+B7516</f>
        <v/>
      </c>
      <c r="D7516">
        <f>IF(B7516=1,INDEX('Data Entry'!$H$5:$BE$10004,7516-4,'Visual SPC'!$B$3),"")</f>
        <v/>
      </c>
      <c r="E7516">
        <f>IF(B7516=1,D7516,E7515)</f>
        <v/>
      </c>
      <c r="F7516">
        <f>IF(AND(B7516=1,C7516&gt;1,E7515&lt;&gt;""),ABS(D7516-E7515),"")</f>
        <v/>
      </c>
    </row>
    <row r="7517">
      <c r="A7517" t="n">
        <v>7517</v>
      </c>
      <c r="B7517">
        <f>IF(INDEX('Data Entry'!$H$5:$BE$10004,7517-4,'Visual SPC'!$B$3)="",0,IF(AND(OR('Visual SPC'!$C$4="",'Data Entry'!$C7517&gt;='Visual SPC'!$C$4),OR('Visual SPC'!$E$4="",'Data Entry'!$C7517&lt;='Visual SPC'!$E$4),OR('Visual SPC'!$G$4="",'Data Entry'!$D7517='Visual SPC'!$G$4),OR('Visual SPC'!$I$4="",'Data Entry'!$E7517='Visual SPC'!$I$4),OR('Visual SPC'!$K$4="",'Data Entry'!$F7517='Visual SPC'!$K$4)),1,0))</f>
        <v/>
      </c>
      <c r="C7517">
        <f>C7516+B7517</f>
        <v/>
      </c>
      <c r="D7517">
        <f>IF(B7517=1,INDEX('Data Entry'!$H$5:$BE$10004,7517-4,'Visual SPC'!$B$3),"")</f>
        <v/>
      </c>
      <c r="E7517">
        <f>IF(B7517=1,D7517,E7516)</f>
        <v/>
      </c>
      <c r="F7517">
        <f>IF(AND(B7517=1,C7517&gt;1,E7516&lt;&gt;""),ABS(D7517-E7516),"")</f>
        <v/>
      </c>
    </row>
    <row r="7518">
      <c r="A7518" t="n">
        <v>7518</v>
      </c>
      <c r="B7518">
        <f>IF(INDEX('Data Entry'!$H$5:$BE$10004,7518-4,'Visual SPC'!$B$3)="",0,IF(AND(OR('Visual SPC'!$C$4="",'Data Entry'!$C7518&gt;='Visual SPC'!$C$4),OR('Visual SPC'!$E$4="",'Data Entry'!$C7518&lt;='Visual SPC'!$E$4),OR('Visual SPC'!$G$4="",'Data Entry'!$D7518='Visual SPC'!$G$4),OR('Visual SPC'!$I$4="",'Data Entry'!$E7518='Visual SPC'!$I$4),OR('Visual SPC'!$K$4="",'Data Entry'!$F7518='Visual SPC'!$K$4)),1,0))</f>
        <v/>
      </c>
      <c r="C7518">
        <f>C7517+B7518</f>
        <v/>
      </c>
      <c r="D7518">
        <f>IF(B7518=1,INDEX('Data Entry'!$H$5:$BE$10004,7518-4,'Visual SPC'!$B$3),"")</f>
        <v/>
      </c>
      <c r="E7518">
        <f>IF(B7518=1,D7518,E7517)</f>
        <v/>
      </c>
      <c r="F7518">
        <f>IF(AND(B7518=1,C7518&gt;1,E7517&lt;&gt;""),ABS(D7518-E7517),"")</f>
        <v/>
      </c>
    </row>
    <row r="7519">
      <c r="A7519" t="n">
        <v>7519</v>
      </c>
      <c r="B7519">
        <f>IF(INDEX('Data Entry'!$H$5:$BE$10004,7519-4,'Visual SPC'!$B$3)="",0,IF(AND(OR('Visual SPC'!$C$4="",'Data Entry'!$C7519&gt;='Visual SPC'!$C$4),OR('Visual SPC'!$E$4="",'Data Entry'!$C7519&lt;='Visual SPC'!$E$4),OR('Visual SPC'!$G$4="",'Data Entry'!$D7519='Visual SPC'!$G$4),OR('Visual SPC'!$I$4="",'Data Entry'!$E7519='Visual SPC'!$I$4),OR('Visual SPC'!$K$4="",'Data Entry'!$F7519='Visual SPC'!$K$4)),1,0))</f>
        <v/>
      </c>
      <c r="C7519">
        <f>C7518+B7519</f>
        <v/>
      </c>
      <c r="D7519">
        <f>IF(B7519=1,INDEX('Data Entry'!$H$5:$BE$10004,7519-4,'Visual SPC'!$B$3),"")</f>
        <v/>
      </c>
      <c r="E7519">
        <f>IF(B7519=1,D7519,E7518)</f>
        <v/>
      </c>
      <c r="F7519">
        <f>IF(AND(B7519=1,C7519&gt;1,E7518&lt;&gt;""),ABS(D7519-E7518),"")</f>
        <v/>
      </c>
    </row>
    <row r="7520">
      <c r="A7520" t="n">
        <v>7520</v>
      </c>
      <c r="B7520">
        <f>IF(INDEX('Data Entry'!$H$5:$BE$10004,7520-4,'Visual SPC'!$B$3)="",0,IF(AND(OR('Visual SPC'!$C$4="",'Data Entry'!$C7520&gt;='Visual SPC'!$C$4),OR('Visual SPC'!$E$4="",'Data Entry'!$C7520&lt;='Visual SPC'!$E$4),OR('Visual SPC'!$G$4="",'Data Entry'!$D7520='Visual SPC'!$G$4),OR('Visual SPC'!$I$4="",'Data Entry'!$E7520='Visual SPC'!$I$4),OR('Visual SPC'!$K$4="",'Data Entry'!$F7520='Visual SPC'!$K$4)),1,0))</f>
        <v/>
      </c>
      <c r="C7520">
        <f>C7519+B7520</f>
        <v/>
      </c>
      <c r="D7520">
        <f>IF(B7520=1,INDEX('Data Entry'!$H$5:$BE$10004,7520-4,'Visual SPC'!$B$3),"")</f>
        <v/>
      </c>
      <c r="E7520">
        <f>IF(B7520=1,D7520,E7519)</f>
        <v/>
      </c>
      <c r="F7520">
        <f>IF(AND(B7520=1,C7520&gt;1,E7519&lt;&gt;""),ABS(D7520-E7519),"")</f>
        <v/>
      </c>
    </row>
    <row r="7521">
      <c r="A7521" t="n">
        <v>7521</v>
      </c>
      <c r="B7521">
        <f>IF(INDEX('Data Entry'!$H$5:$BE$10004,7521-4,'Visual SPC'!$B$3)="",0,IF(AND(OR('Visual SPC'!$C$4="",'Data Entry'!$C7521&gt;='Visual SPC'!$C$4),OR('Visual SPC'!$E$4="",'Data Entry'!$C7521&lt;='Visual SPC'!$E$4),OR('Visual SPC'!$G$4="",'Data Entry'!$D7521='Visual SPC'!$G$4),OR('Visual SPC'!$I$4="",'Data Entry'!$E7521='Visual SPC'!$I$4),OR('Visual SPC'!$K$4="",'Data Entry'!$F7521='Visual SPC'!$K$4)),1,0))</f>
        <v/>
      </c>
      <c r="C7521">
        <f>C7520+B7521</f>
        <v/>
      </c>
      <c r="D7521">
        <f>IF(B7521=1,INDEX('Data Entry'!$H$5:$BE$10004,7521-4,'Visual SPC'!$B$3),"")</f>
        <v/>
      </c>
      <c r="E7521">
        <f>IF(B7521=1,D7521,E7520)</f>
        <v/>
      </c>
      <c r="F7521">
        <f>IF(AND(B7521=1,C7521&gt;1,E7520&lt;&gt;""),ABS(D7521-E7520),"")</f>
        <v/>
      </c>
    </row>
    <row r="7522">
      <c r="A7522" t="n">
        <v>7522</v>
      </c>
      <c r="B7522">
        <f>IF(INDEX('Data Entry'!$H$5:$BE$10004,7522-4,'Visual SPC'!$B$3)="",0,IF(AND(OR('Visual SPC'!$C$4="",'Data Entry'!$C7522&gt;='Visual SPC'!$C$4),OR('Visual SPC'!$E$4="",'Data Entry'!$C7522&lt;='Visual SPC'!$E$4),OR('Visual SPC'!$G$4="",'Data Entry'!$D7522='Visual SPC'!$G$4),OR('Visual SPC'!$I$4="",'Data Entry'!$E7522='Visual SPC'!$I$4),OR('Visual SPC'!$K$4="",'Data Entry'!$F7522='Visual SPC'!$K$4)),1,0))</f>
        <v/>
      </c>
      <c r="C7522">
        <f>C7521+B7522</f>
        <v/>
      </c>
      <c r="D7522">
        <f>IF(B7522=1,INDEX('Data Entry'!$H$5:$BE$10004,7522-4,'Visual SPC'!$B$3),"")</f>
        <v/>
      </c>
      <c r="E7522">
        <f>IF(B7522=1,D7522,E7521)</f>
        <v/>
      </c>
      <c r="F7522">
        <f>IF(AND(B7522=1,C7522&gt;1,E7521&lt;&gt;""),ABS(D7522-E7521),"")</f>
        <v/>
      </c>
    </row>
    <row r="7523">
      <c r="A7523" t="n">
        <v>7523</v>
      </c>
      <c r="B7523">
        <f>IF(INDEX('Data Entry'!$H$5:$BE$10004,7523-4,'Visual SPC'!$B$3)="",0,IF(AND(OR('Visual SPC'!$C$4="",'Data Entry'!$C7523&gt;='Visual SPC'!$C$4),OR('Visual SPC'!$E$4="",'Data Entry'!$C7523&lt;='Visual SPC'!$E$4),OR('Visual SPC'!$G$4="",'Data Entry'!$D7523='Visual SPC'!$G$4),OR('Visual SPC'!$I$4="",'Data Entry'!$E7523='Visual SPC'!$I$4),OR('Visual SPC'!$K$4="",'Data Entry'!$F7523='Visual SPC'!$K$4)),1,0))</f>
        <v/>
      </c>
      <c r="C7523">
        <f>C7522+B7523</f>
        <v/>
      </c>
      <c r="D7523">
        <f>IF(B7523=1,INDEX('Data Entry'!$H$5:$BE$10004,7523-4,'Visual SPC'!$B$3),"")</f>
        <v/>
      </c>
      <c r="E7523">
        <f>IF(B7523=1,D7523,E7522)</f>
        <v/>
      </c>
      <c r="F7523">
        <f>IF(AND(B7523=1,C7523&gt;1,E7522&lt;&gt;""),ABS(D7523-E7522),"")</f>
        <v/>
      </c>
    </row>
    <row r="7524">
      <c r="A7524" t="n">
        <v>7524</v>
      </c>
      <c r="B7524">
        <f>IF(INDEX('Data Entry'!$H$5:$BE$10004,7524-4,'Visual SPC'!$B$3)="",0,IF(AND(OR('Visual SPC'!$C$4="",'Data Entry'!$C7524&gt;='Visual SPC'!$C$4),OR('Visual SPC'!$E$4="",'Data Entry'!$C7524&lt;='Visual SPC'!$E$4),OR('Visual SPC'!$G$4="",'Data Entry'!$D7524='Visual SPC'!$G$4),OR('Visual SPC'!$I$4="",'Data Entry'!$E7524='Visual SPC'!$I$4),OR('Visual SPC'!$K$4="",'Data Entry'!$F7524='Visual SPC'!$K$4)),1,0))</f>
        <v/>
      </c>
      <c r="C7524">
        <f>C7523+B7524</f>
        <v/>
      </c>
      <c r="D7524">
        <f>IF(B7524=1,INDEX('Data Entry'!$H$5:$BE$10004,7524-4,'Visual SPC'!$B$3),"")</f>
        <v/>
      </c>
      <c r="E7524">
        <f>IF(B7524=1,D7524,E7523)</f>
        <v/>
      </c>
      <c r="F7524">
        <f>IF(AND(B7524=1,C7524&gt;1,E7523&lt;&gt;""),ABS(D7524-E7523),"")</f>
        <v/>
      </c>
    </row>
    <row r="7525">
      <c r="A7525" t="n">
        <v>7525</v>
      </c>
      <c r="B7525">
        <f>IF(INDEX('Data Entry'!$H$5:$BE$10004,7525-4,'Visual SPC'!$B$3)="",0,IF(AND(OR('Visual SPC'!$C$4="",'Data Entry'!$C7525&gt;='Visual SPC'!$C$4),OR('Visual SPC'!$E$4="",'Data Entry'!$C7525&lt;='Visual SPC'!$E$4),OR('Visual SPC'!$G$4="",'Data Entry'!$D7525='Visual SPC'!$G$4),OR('Visual SPC'!$I$4="",'Data Entry'!$E7525='Visual SPC'!$I$4),OR('Visual SPC'!$K$4="",'Data Entry'!$F7525='Visual SPC'!$K$4)),1,0))</f>
        <v/>
      </c>
      <c r="C7525">
        <f>C7524+B7525</f>
        <v/>
      </c>
      <c r="D7525">
        <f>IF(B7525=1,INDEX('Data Entry'!$H$5:$BE$10004,7525-4,'Visual SPC'!$B$3),"")</f>
        <v/>
      </c>
      <c r="E7525">
        <f>IF(B7525=1,D7525,E7524)</f>
        <v/>
      </c>
      <c r="F7525">
        <f>IF(AND(B7525=1,C7525&gt;1,E7524&lt;&gt;""),ABS(D7525-E7524),"")</f>
        <v/>
      </c>
    </row>
    <row r="7526">
      <c r="A7526" t="n">
        <v>7526</v>
      </c>
      <c r="B7526">
        <f>IF(INDEX('Data Entry'!$H$5:$BE$10004,7526-4,'Visual SPC'!$B$3)="",0,IF(AND(OR('Visual SPC'!$C$4="",'Data Entry'!$C7526&gt;='Visual SPC'!$C$4),OR('Visual SPC'!$E$4="",'Data Entry'!$C7526&lt;='Visual SPC'!$E$4),OR('Visual SPC'!$G$4="",'Data Entry'!$D7526='Visual SPC'!$G$4),OR('Visual SPC'!$I$4="",'Data Entry'!$E7526='Visual SPC'!$I$4),OR('Visual SPC'!$K$4="",'Data Entry'!$F7526='Visual SPC'!$K$4)),1,0))</f>
        <v/>
      </c>
      <c r="C7526">
        <f>C7525+B7526</f>
        <v/>
      </c>
      <c r="D7526">
        <f>IF(B7526=1,INDEX('Data Entry'!$H$5:$BE$10004,7526-4,'Visual SPC'!$B$3),"")</f>
        <v/>
      </c>
      <c r="E7526">
        <f>IF(B7526=1,D7526,E7525)</f>
        <v/>
      </c>
      <c r="F7526">
        <f>IF(AND(B7526=1,C7526&gt;1,E7525&lt;&gt;""),ABS(D7526-E7525),"")</f>
        <v/>
      </c>
    </row>
    <row r="7527">
      <c r="A7527" t="n">
        <v>7527</v>
      </c>
      <c r="B7527">
        <f>IF(INDEX('Data Entry'!$H$5:$BE$10004,7527-4,'Visual SPC'!$B$3)="",0,IF(AND(OR('Visual SPC'!$C$4="",'Data Entry'!$C7527&gt;='Visual SPC'!$C$4),OR('Visual SPC'!$E$4="",'Data Entry'!$C7527&lt;='Visual SPC'!$E$4),OR('Visual SPC'!$G$4="",'Data Entry'!$D7527='Visual SPC'!$G$4),OR('Visual SPC'!$I$4="",'Data Entry'!$E7527='Visual SPC'!$I$4),OR('Visual SPC'!$K$4="",'Data Entry'!$F7527='Visual SPC'!$K$4)),1,0))</f>
        <v/>
      </c>
      <c r="C7527">
        <f>C7526+B7527</f>
        <v/>
      </c>
      <c r="D7527">
        <f>IF(B7527=1,INDEX('Data Entry'!$H$5:$BE$10004,7527-4,'Visual SPC'!$B$3),"")</f>
        <v/>
      </c>
      <c r="E7527">
        <f>IF(B7527=1,D7527,E7526)</f>
        <v/>
      </c>
      <c r="F7527">
        <f>IF(AND(B7527=1,C7527&gt;1,E7526&lt;&gt;""),ABS(D7527-E7526),"")</f>
        <v/>
      </c>
    </row>
    <row r="7528">
      <c r="A7528" t="n">
        <v>7528</v>
      </c>
      <c r="B7528">
        <f>IF(INDEX('Data Entry'!$H$5:$BE$10004,7528-4,'Visual SPC'!$B$3)="",0,IF(AND(OR('Visual SPC'!$C$4="",'Data Entry'!$C7528&gt;='Visual SPC'!$C$4),OR('Visual SPC'!$E$4="",'Data Entry'!$C7528&lt;='Visual SPC'!$E$4),OR('Visual SPC'!$G$4="",'Data Entry'!$D7528='Visual SPC'!$G$4),OR('Visual SPC'!$I$4="",'Data Entry'!$E7528='Visual SPC'!$I$4),OR('Visual SPC'!$K$4="",'Data Entry'!$F7528='Visual SPC'!$K$4)),1,0))</f>
        <v/>
      </c>
      <c r="C7528">
        <f>C7527+B7528</f>
        <v/>
      </c>
      <c r="D7528">
        <f>IF(B7528=1,INDEX('Data Entry'!$H$5:$BE$10004,7528-4,'Visual SPC'!$B$3),"")</f>
        <v/>
      </c>
      <c r="E7528">
        <f>IF(B7528=1,D7528,E7527)</f>
        <v/>
      </c>
      <c r="F7528">
        <f>IF(AND(B7528=1,C7528&gt;1,E7527&lt;&gt;""),ABS(D7528-E7527),"")</f>
        <v/>
      </c>
    </row>
    <row r="7529">
      <c r="A7529" t="n">
        <v>7529</v>
      </c>
      <c r="B7529">
        <f>IF(INDEX('Data Entry'!$H$5:$BE$10004,7529-4,'Visual SPC'!$B$3)="",0,IF(AND(OR('Visual SPC'!$C$4="",'Data Entry'!$C7529&gt;='Visual SPC'!$C$4),OR('Visual SPC'!$E$4="",'Data Entry'!$C7529&lt;='Visual SPC'!$E$4),OR('Visual SPC'!$G$4="",'Data Entry'!$D7529='Visual SPC'!$G$4),OR('Visual SPC'!$I$4="",'Data Entry'!$E7529='Visual SPC'!$I$4),OR('Visual SPC'!$K$4="",'Data Entry'!$F7529='Visual SPC'!$K$4)),1,0))</f>
        <v/>
      </c>
      <c r="C7529">
        <f>C7528+B7529</f>
        <v/>
      </c>
      <c r="D7529">
        <f>IF(B7529=1,INDEX('Data Entry'!$H$5:$BE$10004,7529-4,'Visual SPC'!$B$3),"")</f>
        <v/>
      </c>
      <c r="E7529">
        <f>IF(B7529=1,D7529,E7528)</f>
        <v/>
      </c>
      <c r="F7529">
        <f>IF(AND(B7529=1,C7529&gt;1,E7528&lt;&gt;""),ABS(D7529-E7528),"")</f>
        <v/>
      </c>
    </row>
    <row r="7530">
      <c r="A7530" t="n">
        <v>7530</v>
      </c>
      <c r="B7530">
        <f>IF(INDEX('Data Entry'!$H$5:$BE$10004,7530-4,'Visual SPC'!$B$3)="",0,IF(AND(OR('Visual SPC'!$C$4="",'Data Entry'!$C7530&gt;='Visual SPC'!$C$4),OR('Visual SPC'!$E$4="",'Data Entry'!$C7530&lt;='Visual SPC'!$E$4),OR('Visual SPC'!$G$4="",'Data Entry'!$D7530='Visual SPC'!$G$4),OR('Visual SPC'!$I$4="",'Data Entry'!$E7530='Visual SPC'!$I$4),OR('Visual SPC'!$K$4="",'Data Entry'!$F7530='Visual SPC'!$K$4)),1,0))</f>
        <v/>
      </c>
      <c r="C7530">
        <f>C7529+B7530</f>
        <v/>
      </c>
      <c r="D7530">
        <f>IF(B7530=1,INDEX('Data Entry'!$H$5:$BE$10004,7530-4,'Visual SPC'!$B$3),"")</f>
        <v/>
      </c>
      <c r="E7530">
        <f>IF(B7530=1,D7530,E7529)</f>
        <v/>
      </c>
      <c r="F7530">
        <f>IF(AND(B7530=1,C7530&gt;1,E7529&lt;&gt;""),ABS(D7530-E7529),"")</f>
        <v/>
      </c>
    </row>
    <row r="7531">
      <c r="A7531" t="n">
        <v>7531</v>
      </c>
      <c r="B7531">
        <f>IF(INDEX('Data Entry'!$H$5:$BE$10004,7531-4,'Visual SPC'!$B$3)="",0,IF(AND(OR('Visual SPC'!$C$4="",'Data Entry'!$C7531&gt;='Visual SPC'!$C$4),OR('Visual SPC'!$E$4="",'Data Entry'!$C7531&lt;='Visual SPC'!$E$4),OR('Visual SPC'!$G$4="",'Data Entry'!$D7531='Visual SPC'!$G$4),OR('Visual SPC'!$I$4="",'Data Entry'!$E7531='Visual SPC'!$I$4),OR('Visual SPC'!$K$4="",'Data Entry'!$F7531='Visual SPC'!$K$4)),1,0))</f>
        <v/>
      </c>
      <c r="C7531">
        <f>C7530+B7531</f>
        <v/>
      </c>
      <c r="D7531">
        <f>IF(B7531=1,INDEX('Data Entry'!$H$5:$BE$10004,7531-4,'Visual SPC'!$B$3),"")</f>
        <v/>
      </c>
      <c r="E7531">
        <f>IF(B7531=1,D7531,E7530)</f>
        <v/>
      </c>
      <c r="F7531">
        <f>IF(AND(B7531=1,C7531&gt;1,E7530&lt;&gt;""),ABS(D7531-E7530),"")</f>
        <v/>
      </c>
    </row>
    <row r="7532">
      <c r="A7532" t="n">
        <v>7532</v>
      </c>
      <c r="B7532">
        <f>IF(INDEX('Data Entry'!$H$5:$BE$10004,7532-4,'Visual SPC'!$B$3)="",0,IF(AND(OR('Visual SPC'!$C$4="",'Data Entry'!$C7532&gt;='Visual SPC'!$C$4),OR('Visual SPC'!$E$4="",'Data Entry'!$C7532&lt;='Visual SPC'!$E$4),OR('Visual SPC'!$G$4="",'Data Entry'!$D7532='Visual SPC'!$G$4),OR('Visual SPC'!$I$4="",'Data Entry'!$E7532='Visual SPC'!$I$4),OR('Visual SPC'!$K$4="",'Data Entry'!$F7532='Visual SPC'!$K$4)),1,0))</f>
        <v/>
      </c>
      <c r="C7532">
        <f>C7531+B7532</f>
        <v/>
      </c>
      <c r="D7532">
        <f>IF(B7532=1,INDEX('Data Entry'!$H$5:$BE$10004,7532-4,'Visual SPC'!$B$3),"")</f>
        <v/>
      </c>
      <c r="E7532">
        <f>IF(B7532=1,D7532,E7531)</f>
        <v/>
      </c>
      <c r="F7532">
        <f>IF(AND(B7532=1,C7532&gt;1,E7531&lt;&gt;""),ABS(D7532-E7531),"")</f>
        <v/>
      </c>
    </row>
    <row r="7533">
      <c r="A7533" t="n">
        <v>7533</v>
      </c>
      <c r="B7533">
        <f>IF(INDEX('Data Entry'!$H$5:$BE$10004,7533-4,'Visual SPC'!$B$3)="",0,IF(AND(OR('Visual SPC'!$C$4="",'Data Entry'!$C7533&gt;='Visual SPC'!$C$4),OR('Visual SPC'!$E$4="",'Data Entry'!$C7533&lt;='Visual SPC'!$E$4),OR('Visual SPC'!$G$4="",'Data Entry'!$D7533='Visual SPC'!$G$4),OR('Visual SPC'!$I$4="",'Data Entry'!$E7533='Visual SPC'!$I$4),OR('Visual SPC'!$K$4="",'Data Entry'!$F7533='Visual SPC'!$K$4)),1,0))</f>
        <v/>
      </c>
      <c r="C7533">
        <f>C7532+B7533</f>
        <v/>
      </c>
      <c r="D7533">
        <f>IF(B7533=1,INDEX('Data Entry'!$H$5:$BE$10004,7533-4,'Visual SPC'!$B$3),"")</f>
        <v/>
      </c>
      <c r="E7533">
        <f>IF(B7533=1,D7533,E7532)</f>
        <v/>
      </c>
      <c r="F7533">
        <f>IF(AND(B7533=1,C7533&gt;1,E7532&lt;&gt;""),ABS(D7533-E7532),"")</f>
        <v/>
      </c>
    </row>
    <row r="7534">
      <c r="A7534" t="n">
        <v>7534</v>
      </c>
      <c r="B7534">
        <f>IF(INDEX('Data Entry'!$H$5:$BE$10004,7534-4,'Visual SPC'!$B$3)="",0,IF(AND(OR('Visual SPC'!$C$4="",'Data Entry'!$C7534&gt;='Visual SPC'!$C$4),OR('Visual SPC'!$E$4="",'Data Entry'!$C7534&lt;='Visual SPC'!$E$4),OR('Visual SPC'!$G$4="",'Data Entry'!$D7534='Visual SPC'!$G$4),OR('Visual SPC'!$I$4="",'Data Entry'!$E7534='Visual SPC'!$I$4),OR('Visual SPC'!$K$4="",'Data Entry'!$F7534='Visual SPC'!$K$4)),1,0))</f>
        <v/>
      </c>
      <c r="C7534">
        <f>C7533+B7534</f>
        <v/>
      </c>
      <c r="D7534">
        <f>IF(B7534=1,INDEX('Data Entry'!$H$5:$BE$10004,7534-4,'Visual SPC'!$B$3),"")</f>
        <v/>
      </c>
      <c r="E7534">
        <f>IF(B7534=1,D7534,E7533)</f>
        <v/>
      </c>
      <c r="F7534">
        <f>IF(AND(B7534=1,C7534&gt;1,E7533&lt;&gt;""),ABS(D7534-E7533),"")</f>
        <v/>
      </c>
    </row>
    <row r="7535">
      <c r="A7535" t="n">
        <v>7535</v>
      </c>
      <c r="B7535">
        <f>IF(INDEX('Data Entry'!$H$5:$BE$10004,7535-4,'Visual SPC'!$B$3)="",0,IF(AND(OR('Visual SPC'!$C$4="",'Data Entry'!$C7535&gt;='Visual SPC'!$C$4),OR('Visual SPC'!$E$4="",'Data Entry'!$C7535&lt;='Visual SPC'!$E$4),OR('Visual SPC'!$G$4="",'Data Entry'!$D7535='Visual SPC'!$G$4),OR('Visual SPC'!$I$4="",'Data Entry'!$E7535='Visual SPC'!$I$4),OR('Visual SPC'!$K$4="",'Data Entry'!$F7535='Visual SPC'!$K$4)),1,0))</f>
        <v/>
      </c>
      <c r="C7535">
        <f>C7534+B7535</f>
        <v/>
      </c>
      <c r="D7535">
        <f>IF(B7535=1,INDEX('Data Entry'!$H$5:$BE$10004,7535-4,'Visual SPC'!$B$3),"")</f>
        <v/>
      </c>
      <c r="E7535">
        <f>IF(B7535=1,D7535,E7534)</f>
        <v/>
      </c>
      <c r="F7535">
        <f>IF(AND(B7535=1,C7535&gt;1,E7534&lt;&gt;""),ABS(D7535-E7534),"")</f>
        <v/>
      </c>
    </row>
    <row r="7536">
      <c r="A7536" t="n">
        <v>7536</v>
      </c>
      <c r="B7536">
        <f>IF(INDEX('Data Entry'!$H$5:$BE$10004,7536-4,'Visual SPC'!$B$3)="",0,IF(AND(OR('Visual SPC'!$C$4="",'Data Entry'!$C7536&gt;='Visual SPC'!$C$4),OR('Visual SPC'!$E$4="",'Data Entry'!$C7536&lt;='Visual SPC'!$E$4),OR('Visual SPC'!$G$4="",'Data Entry'!$D7536='Visual SPC'!$G$4),OR('Visual SPC'!$I$4="",'Data Entry'!$E7536='Visual SPC'!$I$4),OR('Visual SPC'!$K$4="",'Data Entry'!$F7536='Visual SPC'!$K$4)),1,0))</f>
        <v/>
      </c>
      <c r="C7536">
        <f>C7535+B7536</f>
        <v/>
      </c>
      <c r="D7536">
        <f>IF(B7536=1,INDEX('Data Entry'!$H$5:$BE$10004,7536-4,'Visual SPC'!$B$3),"")</f>
        <v/>
      </c>
      <c r="E7536">
        <f>IF(B7536=1,D7536,E7535)</f>
        <v/>
      </c>
      <c r="F7536">
        <f>IF(AND(B7536=1,C7536&gt;1,E7535&lt;&gt;""),ABS(D7536-E7535),"")</f>
        <v/>
      </c>
    </row>
    <row r="7537">
      <c r="A7537" t="n">
        <v>7537</v>
      </c>
      <c r="B7537">
        <f>IF(INDEX('Data Entry'!$H$5:$BE$10004,7537-4,'Visual SPC'!$B$3)="",0,IF(AND(OR('Visual SPC'!$C$4="",'Data Entry'!$C7537&gt;='Visual SPC'!$C$4),OR('Visual SPC'!$E$4="",'Data Entry'!$C7537&lt;='Visual SPC'!$E$4),OR('Visual SPC'!$G$4="",'Data Entry'!$D7537='Visual SPC'!$G$4),OR('Visual SPC'!$I$4="",'Data Entry'!$E7537='Visual SPC'!$I$4),OR('Visual SPC'!$K$4="",'Data Entry'!$F7537='Visual SPC'!$K$4)),1,0))</f>
        <v/>
      </c>
      <c r="C7537">
        <f>C7536+B7537</f>
        <v/>
      </c>
      <c r="D7537">
        <f>IF(B7537=1,INDEX('Data Entry'!$H$5:$BE$10004,7537-4,'Visual SPC'!$B$3),"")</f>
        <v/>
      </c>
      <c r="E7537">
        <f>IF(B7537=1,D7537,E7536)</f>
        <v/>
      </c>
      <c r="F7537">
        <f>IF(AND(B7537=1,C7537&gt;1,E7536&lt;&gt;""),ABS(D7537-E7536),"")</f>
        <v/>
      </c>
    </row>
    <row r="7538">
      <c r="A7538" t="n">
        <v>7538</v>
      </c>
      <c r="B7538">
        <f>IF(INDEX('Data Entry'!$H$5:$BE$10004,7538-4,'Visual SPC'!$B$3)="",0,IF(AND(OR('Visual SPC'!$C$4="",'Data Entry'!$C7538&gt;='Visual SPC'!$C$4),OR('Visual SPC'!$E$4="",'Data Entry'!$C7538&lt;='Visual SPC'!$E$4),OR('Visual SPC'!$G$4="",'Data Entry'!$D7538='Visual SPC'!$G$4),OR('Visual SPC'!$I$4="",'Data Entry'!$E7538='Visual SPC'!$I$4),OR('Visual SPC'!$K$4="",'Data Entry'!$F7538='Visual SPC'!$K$4)),1,0))</f>
        <v/>
      </c>
      <c r="C7538">
        <f>C7537+B7538</f>
        <v/>
      </c>
      <c r="D7538">
        <f>IF(B7538=1,INDEX('Data Entry'!$H$5:$BE$10004,7538-4,'Visual SPC'!$B$3),"")</f>
        <v/>
      </c>
      <c r="E7538">
        <f>IF(B7538=1,D7538,E7537)</f>
        <v/>
      </c>
      <c r="F7538">
        <f>IF(AND(B7538=1,C7538&gt;1,E7537&lt;&gt;""),ABS(D7538-E7537),"")</f>
        <v/>
      </c>
    </row>
    <row r="7539">
      <c r="A7539" t="n">
        <v>7539</v>
      </c>
      <c r="B7539">
        <f>IF(INDEX('Data Entry'!$H$5:$BE$10004,7539-4,'Visual SPC'!$B$3)="",0,IF(AND(OR('Visual SPC'!$C$4="",'Data Entry'!$C7539&gt;='Visual SPC'!$C$4),OR('Visual SPC'!$E$4="",'Data Entry'!$C7539&lt;='Visual SPC'!$E$4),OR('Visual SPC'!$G$4="",'Data Entry'!$D7539='Visual SPC'!$G$4),OR('Visual SPC'!$I$4="",'Data Entry'!$E7539='Visual SPC'!$I$4),OR('Visual SPC'!$K$4="",'Data Entry'!$F7539='Visual SPC'!$K$4)),1,0))</f>
        <v/>
      </c>
      <c r="C7539">
        <f>C7538+B7539</f>
        <v/>
      </c>
      <c r="D7539">
        <f>IF(B7539=1,INDEX('Data Entry'!$H$5:$BE$10004,7539-4,'Visual SPC'!$B$3),"")</f>
        <v/>
      </c>
      <c r="E7539">
        <f>IF(B7539=1,D7539,E7538)</f>
        <v/>
      </c>
      <c r="F7539">
        <f>IF(AND(B7539=1,C7539&gt;1,E7538&lt;&gt;""),ABS(D7539-E7538),"")</f>
        <v/>
      </c>
    </row>
    <row r="7540">
      <c r="A7540" t="n">
        <v>7540</v>
      </c>
      <c r="B7540">
        <f>IF(INDEX('Data Entry'!$H$5:$BE$10004,7540-4,'Visual SPC'!$B$3)="",0,IF(AND(OR('Visual SPC'!$C$4="",'Data Entry'!$C7540&gt;='Visual SPC'!$C$4),OR('Visual SPC'!$E$4="",'Data Entry'!$C7540&lt;='Visual SPC'!$E$4),OR('Visual SPC'!$G$4="",'Data Entry'!$D7540='Visual SPC'!$G$4),OR('Visual SPC'!$I$4="",'Data Entry'!$E7540='Visual SPC'!$I$4),OR('Visual SPC'!$K$4="",'Data Entry'!$F7540='Visual SPC'!$K$4)),1,0))</f>
        <v/>
      </c>
      <c r="C7540">
        <f>C7539+B7540</f>
        <v/>
      </c>
      <c r="D7540">
        <f>IF(B7540=1,INDEX('Data Entry'!$H$5:$BE$10004,7540-4,'Visual SPC'!$B$3),"")</f>
        <v/>
      </c>
      <c r="E7540">
        <f>IF(B7540=1,D7540,E7539)</f>
        <v/>
      </c>
      <c r="F7540">
        <f>IF(AND(B7540=1,C7540&gt;1,E7539&lt;&gt;""),ABS(D7540-E7539),"")</f>
        <v/>
      </c>
    </row>
    <row r="7541">
      <c r="A7541" t="n">
        <v>7541</v>
      </c>
      <c r="B7541">
        <f>IF(INDEX('Data Entry'!$H$5:$BE$10004,7541-4,'Visual SPC'!$B$3)="",0,IF(AND(OR('Visual SPC'!$C$4="",'Data Entry'!$C7541&gt;='Visual SPC'!$C$4),OR('Visual SPC'!$E$4="",'Data Entry'!$C7541&lt;='Visual SPC'!$E$4),OR('Visual SPC'!$G$4="",'Data Entry'!$D7541='Visual SPC'!$G$4),OR('Visual SPC'!$I$4="",'Data Entry'!$E7541='Visual SPC'!$I$4),OR('Visual SPC'!$K$4="",'Data Entry'!$F7541='Visual SPC'!$K$4)),1,0))</f>
        <v/>
      </c>
      <c r="C7541">
        <f>C7540+B7541</f>
        <v/>
      </c>
      <c r="D7541">
        <f>IF(B7541=1,INDEX('Data Entry'!$H$5:$BE$10004,7541-4,'Visual SPC'!$B$3),"")</f>
        <v/>
      </c>
      <c r="E7541">
        <f>IF(B7541=1,D7541,E7540)</f>
        <v/>
      </c>
      <c r="F7541">
        <f>IF(AND(B7541=1,C7541&gt;1,E7540&lt;&gt;""),ABS(D7541-E7540),"")</f>
        <v/>
      </c>
    </row>
    <row r="7542">
      <c r="A7542" t="n">
        <v>7542</v>
      </c>
      <c r="B7542">
        <f>IF(INDEX('Data Entry'!$H$5:$BE$10004,7542-4,'Visual SPC'!$B$3)="",0,IF(AND(OR('Visual SPC'!$C$4="",'Data Entry'!$C7542&gt;='Visual SPC'!$C$4),OR('Visual SPC'!$E$4="",'Data Entry'!$C7542&lt;='Visual SPC'!$E$4),OR('Visual SPC'!$G$4="",'Data Entry'!$D7542='Visual SPC'!$G$4),OR('Visual SPC'!$I$4="",'Data Entry'!$E7542='Visual SPC'!$I$4),OR('Visual SPC'!$K$4="",'Data Entry'!$F7542='Visual SPC'!$K$4)),1,0))</f>
        <v/>
      </c>
      <c r="C7542">
        <f>C7541+B7542</f>
        <v/>
      </c>
      <c r="D7542">
        <f>IF(B7542=1,INDEX('Data Entry'!$H$5:$BE$10004,7542-4,'Visual SPC'!$B$3),"")</f>
        <v/>
      </c>
      <c r="E7542">
        <f>IF(B7542=1,D7542,E7541)</f>
        <v/>
      </c>
      <c r="F7542">
        <f>IF(AND(B7542=1,C7542&gt;1,E7541&lt;&gt;""),ABS(D7542-E7541),"")</f>
        <v/>
      </c>
    </row>
    <row r="7543">
      <c r="A7543" t="n">
        <v>7543</v>
      </c>
      <c r="B7543">
        <f>IF(INDEX('Data Entry'!$H$5:$BE$10004,7543-4,'Visual SPC'!$B$3)="",0,IF(AND(OR('Visual SPC'!$C$4="",'Data Entry'!$C7543&gt;='Visual SPC'!$C$4),OR('Visual SPC'!$E$4="",'Data Entry'!$C7543&lt;='Visual SPC'!$E$4),OR('Visual SPC'!$G$4="",'Data Entry'!$D7543='Visual SPC'!$G$4),OR('Visual SPC'!$I$4="",'Data Entry'!$E7543='Visual SPC'!$I$4),OR('Visual SPC'!$K$4="",'Data Entry'!$F7543='Visual SPC'!$K$4)),1,0))</f>
        <v/>
      </c>
      <c r="C7543">
        <f>C7542+B7543</f>
        <v/>
      </c>
      <c r="D7543">
        <f>IF(B7543=1,INDEX('Data Entry'!$H$5:$BE$10004,7543-4,'Visual SPC'!$B$3),"")</f>
        <v/>
      </c>
      <c r="E7543">
        <f>IF(B7543=1,D7543,E7542)</f>
        <v/>
      </c>
      <c r="F7543">
        <f>IF(AND(B7543=1,C7543&gt;1,E7542&lt;&gt;""),ABS(D7543-E7542),"")</f>
        <v/>
      </c>
    </row>
    <row r="7544">
      <c r="A7544" t="n">
        <v>7544</v>
      </c>
      <c r="B7544">
        <f>IF(INDEX('Data Entry'!$H$5:$BE$10004,7544-4,'Visual SPC'!$B$3)="",0,IF(AND(OR('Visual SPC'!$C$4="",'Data Entry'!$C7544&gt;='Visual SPC'!$C$4),OR('Visual SPC'!$E$4="",'Data Entry'!$C7544&lt;='Visual SPC'!$E$4),OR('Visual SPC'!$G$4="",'Data Entry'!$D7544='Visual SPC'!$G$4),OR('Visual SPC'!$I$4="",'Data Entry'!$E7544='Visual SPC'!$I$4),OR('Visual SPC'!$K$4="",'Data Entry'!$F7544='Visual SPC'!$K$4)),1,0))</f>
        <v/>
      </c>
      <c r="C7544">
        <f>C7543+B7544</f>
        <v/>
      </c>
      <c r="D7544">
        <f>IF(B7544=1,INDEX('Data Entry'!$H$5:$BE$10004,7544-4,'Visual SPC'!$B$3),"")</f>
        <v/>
      </c>
      <c r="E7544">
        <f>IF(B7544=1,D7544,E7543)</f>
        <v/>
      </c>
      <c r="F7544">
        <f>IF(AND(B7544=1,C7544&gt;1,E7543&lt;&gt;""),ABS(D7544-E7543),"")</f>
        <v/>
      </c>
    </row>
    <row r="7545">
      <c r="A7545" t="n">
        <v>7545</v>
      </c>
      <c r="B7545">
        <f>IF(INDEX('Data Entry'!$H$5:$BE$10004,7545-4,'Visual SPC'!$B$3)="",0,IF(AND(OR('Visual SPC'!$C$4="",'Data Entry'!$C7545&gt;='Visual SPC'!$C$4),OR('Visual SPC'!$E$4="",'Data Entry'!$C7545&lt;='Visual SPC'!$E$4),OR('Visual SPC'!$G$4="",'Data Entry'!$D7545='Visual SPC'!$G$4),OR('Visual SPC'!$I$4="",'Data Entry'!$E7545='Visual SPC'!$I$4),OR('Visual SPC'!$K$4="",'Data Entry'!$F7545='Visual SPC'!$K$4)),1,0))</f>
        <v/>
      </c>
      <c r="C7545">
        <f>C7544+B7545</f>
        <v/>
      </c>
      <c r="D7545">
        <f>IF(B7545=1,INDEX('Data Entry'!$H$5:$BE$10004,7545-4,'Visual SPC'!$B$3),"")</f>
        <v/>
      </c>
      <c r="E7545">
        <f>IF(B7545=1,D7545,E7544)</f>
        <v/>
      </c>
      <c r="F7545">
        <f>IF(AND(B7545=1,C7545&gt;1,E7544&lt;&gt;""),ABS(D7545-E7544),"")</f>
        <v/>
      </c>
    </row>
    <row r="7546">
      <c r="A7546" t="n">
        <v>7546</v>
      </c>
      <c r="B7546">
        <f>IF(INDEX('Data Entry'!$H$5:$BE$10004,7546-4,'Visual SPC'!$B$3)="",0,IF(AND(OR('Visual SPC'!$C$4="",'Data Entry'!$C7546&gt;='Visual SPC'!$C$4),OR('Visual SPC'!$E$4="",'Data Entry'!$C7546&lt;='Visual SPC'!$E$4),OR('Visual SPC'!$G$4="",'Data Entry'!$D7546='Visual SPC'!$G$4),OR('Visual SPC'!$I$4="",'Data Entry'!$E7546='Visual SPC'!$I$4),OR('Visual SPC'!$K$4="",'Data Entry'!$F7546='Visual SPC'!$K$4)),1,0))</f>
        <v/>
      </c>
      <c r="C7546">
        <f>C7545+B7546</f>
        <v/>
      </c>
      <c r="D7546">
        <f>IF(B7546=1,INDEX('Data Entry'!$H$5:$BE$10004,7546-4,'Visual SPC'!$B$3),"")</f>
        <v/>
      </c>
      <c r="E7546">
        <f>IF(B7546=1,D7546,E7545)</f>
        <v/>
      </c>
      <c r="F7546">
        <f>IF(AND(B7546=1,C7546&gt;1,E7545&lt;&gt;""),ABS(D7546-E7545),"")</f>
        <v/>
      </c>
    </row>
    <row r="7547">
      <c r="A7547" t="n">
        <v>7547</v>
      </c>
      <c r="B7547">
        <f>IF(INDEX('Data Entry'!$H$5:$BE$10004,7547-4,'Visual SPC'!$B$3)="",0,IF(AND(OR('Visual SPC'!$C$4="",'Data Entry'!$C7547&gt;='Visual SPC'!$C$4),OR('Visual SPC'!$E$4="",'Data Entry'!$C7547&lt;='Visual SPC'!$E$4),OR('Visual SPC'!$G$4="",'Data Entry'!$D7547='Visual SPC'!$G$4),OR('Visual SPC'!$I$4="",'Data Entry'!$E7547='Visual SPC'!$I$4),OR('Visual SPC'!$K$4="",'Data Entry'!$F7547='Visual SPC'!$K$4)),1,0))</f>
        <v/>
      </c>
      <c r="C7547">
        <f>C7546+B7547</f>
        <v/>
      </c>
      <c r="D7547">
        <f>IF(B7547=1,INDEX('Data Entry'!$H$5:$BE$10004,7547-4,'Visual SPC'!$B$3),"")</f>
        <v/>
      </c>
      <c r="E7547">
        <f>IF(B7547=1,D7547,E7546)</f>
        <v/>
      </c>
      <c r="F7547">
        <f>IF(AND(B7547=1,C7547&gt;1,E7546&lt;&gt;""),ABS(D7547-E7546),"")</f>
        <v/>
      </c>
    </row>
    <row r="7548">
      <c r="A7548" t="n">
        <v>7548</v>
      </c>
      <c r="B7548">
        <f>IF(INDEX('Data Entry'!$H$5:$BE$10004,7548-4,'Visual SPC'!$B$3)="",0,IF(AND(OR('Visual SPC'!$C$4="",'Data Entry'!$C7548&gt;='Visual SPC'!$C$4),OR('Visual SPC'!$E$4="",'Data Entry'!$C7548&lt;='Visual SPC'!$E$4),OR('Visual SPC'!$G$4="",'Data Entry'!$D7548='Visual SPC'!$G$4),OR('Visual SPC'!$I$4="",'Data Entry'!$E7548='Visual SPC'!$I$4),OR('Visual SPC'!$K$4="",'Data Entry'!$F7548='Visual SPC'!$K$4)),1,0))</f>
        <v/>
      </c>
      <c r="C7548">
        <f>C7547+B7548</f>
        <v/>
      </c>
      <c r="D7548">
        <f>IF(B7548=1,INDEX('Data Entry'!$H$5:$BE$10004,7548-4,'Visual SPC'!$B$3),"")</f>
        <v/>
      </c>
      <c r="E7548">
        <f>IF(B7548=1,D7548,E7547)</f>
        <v/>
      </c>
      <c r="F7548">
        <f>IF(AND(B7548=1,C7548&gt;1,E7547&lt;&gt;""),ABS(D7548-E7547),"")</f>
        <v/>
      </c>
    </row>
    <row r="7549">
      <c r="A7549" t="n">
        <v>7549</v>
      </c>
      <c r="B7549">
        <f>IF(INDEX('Data Entry'!$H$5:$BE$10004,7549-4,'Visual SPC'!$B$3)="",0,IF(AND(OR('Visual SPC'!$C$4="",'Data Entry'!$C7549&gt;='Visual SPC'!$C$4),OR('Visual SPC'!$E$4="",'Data Entry'!$C7549&lt;='Visual SPC'!$E$4),OR('Visual SPC'!$G$4="",'Data Entry'!$D7549='Visual SPC'!$G$4),OR('Visual SPC'!$I$4="",'Data Entry'!$E7549='Visual SPC'!$I$4),OR('Visual SPC'!$K$4="",'Data Entry'!$F7549='Visual SPC'!$K$4)),1,0))</f>
        <v/>
      </c>
      <c r="C7549">
        <f>C7548+B7549</f>
        <v/>
      </c>
      <c r="D7549">
        <f>IF(B7549=1,INDEX('Data Entry'!$H$5:$BE$10004,7549-4,'Visual SPC'!$B$3),"")</f>
        <v/>
      </c>
      <c r="E7549">
        <f>IF(B7549=1,D7549,E7548)</f>
        <v/>
      </c>
      <c r="F7549">
        <f>IF(AND(B7549=1,C7549&gt;1,E7548&lt;&gt;""),ABS(D7549-E7548),"")</f>
        <v/>
      </c>
    </row>
    <row r="7550">
      <c r="A7550" t="n">
        <v>7550</v>
      </c>
      <c r="B7550">
        <f>IF(INDEX('Data Entry'!$H$5:$BE$10004,7550-4,'Visual SPC'!$B$3)="",0,IF(AND(OR('Visual SPC'!$C$4="",'Data Entry'!$C7550&gt;='Visual SPC'!$C$4),OR('Visual SPC'!$E$4="",'Data Entry'!$C7550&lt;='Visual SPC'!$E$4),OR('Visual SPC'!$G$4="",'Data Entry'!$D7550='Visual SPC'!$G$4),OR('Visual SPC'!$I$4="",'Data Entry'!$E7550='Visual SPC'!$I$4),OR('Visual SPC'!$K$4="",'Data Entry'!$F7550='Visual SPC'!$K$4)),1,0))</f>
        <v/>
      </c>
      <c r="C7550">
        <f>C7549+B7550</f>
        <v/>
      </c>
      <c r="D7550">
        <f>IF(B7550=1,INDEX('Data Entry'!$H$5:$BE$10004,7550-4,'Visual SPC'!$B$3),"")</f>
        <v/>
      </c>
      <c r="E7550">
        <f>IF(B7550=1,D7550,E7549)</f>
        <v/>
      </c>
      <c r="F7550">
        <f>IF(AND(B7550=1,C7550&gt;1,E7549&lt;&gt;""),ABS(D7550-E7549),"")</f>
        <v/>
      </c>
    </row>
    <row r="7551">
      <c r="A7551" t="n">
        <v>7551</v>
      </c>
      <c r="B7551">
        <f>IF(INDEX('Data Entry'!$H$5:$BE$10004,7551-4,'Visual SPC'!$B$3)="",0,IF(AND(OR('Visual SPC'!$C$4="",'Data Entry'!$C7551&gt;='Visual SPC'!$C$4),OR('Visual SPC'!$E$4="",'Data Entry'!$C7551&lt;='Visual SPC'!$E$4),OR('Visual SPC'!$G$4="",'Data Entry'!$D7551='Visual SPC'!$G$4),OR('Visual SPC'!$I$4="",'Data Entry'!$E7551='Visual SPC'!$I$4),OR('Visual SPC'!$K$4="",'Data Entry'!$F7551='Visual SPC'!$K$4)),1,0))</f>
        <v/>
      </c>
      <c r="C7551">
        <f>C7550+B7551</f>
        <v/>
      </c>
      <c r="D7551">
        <f>IF(B7551=1,INDEX('Data Entry'!$H$5:$BE$10004,7551-4,'Visual SPC'!$B$3),"")</f>
        <v/>
      </c>
      <c r="E7551">
        <f>IF(B7551=1,D7551,E7550)</f>
        <v/>
      </c>
      <c r="F7551">
        <f>IF(AND(B7551=1,C7551&gt;1,E7550&lt;&gt;""),ABS(D7551-E7550),"")</f>
        <v/>
      </c>
    </row>
    <row r="7552">
      <c r="A7552" t="n">
        <v>7552</v>
      </c>
      <c r="B7552">
        <f>IF(INDEX('Data Entry'!$H$5:$BE$10004,7552-4,'Visual SPC'!$B$3)="",0,IF(AND(OR('Visual SPC'!$C$4="",'Data Entry'!$C7552&gt;='Visual SPC'!$C$4),OR('Visual SPC'!$E$4="",'Data Entry'!$C7552&lt;='Visual SPC'!$E$4),OR('Visual SPC'!$G$4="",'Data Entry'!$D7552='Visual SPC'!$G$4),OR('Visual SPC'!$I$4="",'Data Entry'!$E7552='Visual SPC'!$I$4),OR('Visual SPC'!$K$4="",'Data Entry'!$F7552='Visual SPC'!$K$4)),1,0))</f>
        <v/>
      </c>
      <c r="C7552">
        <f>C7551+B7552</f>
        <v/>
      </c>
      <c r="D7552">
        <f>IF(B7552=1,INDEX('Data Entry'!$H$5:$BE$10004,7552-4,'Visual SPC'!$B$3),"")</f>
        <v/>
      </c>
      <c r="E7552">
        <f>IF(B7552=1,D7552,E7551)</f>
        <v/>
      </c>
      <c r="F7552">
        <f>IF(AND(B7552=1,C7552&gt;1,E7551&lt;&gt;""),ABS(D7552-E7551),"")</f>
        <v/>
      </c>
    </row>
    <row r="7553">
      <c r="A7553" t="n">
        <v>7553</v>
      </c>
      <c r="B7553">
        <f>IF(INDEX('Data Entry'!$H$5:$BE$10004,7553-4,'Visual SPC'!$B$3)="",0,IF(AND(OR('Visual SPC'!$C$4="",'Data Entry'!$C7553&gt;='Visual SPC'!$C$4),OR('Visual SPC'!$E$4="",'Data Entry'!$C7553&lt;='Visual SPC'!$E$4),OR('Visual SPC'!$G$4="",'Data Entry'!$D7553='Visual SPC'!$G$4),OR('Visual SPC'!$I$4="",'Data Entry'!$E7553='Visual SPC'!$I$4),OR('Visual SPC'!$K$4="",'Data Entry'!$F7553='Visual SPC'!$K$4)),1,0))</f>
        <v/>
      </c>
      <c r="C7553">
        <f>C7552+B7553</f>
        <v/>
      </c>
      <c r="D7553">
        <f>IF(B7553=1,INDEX('Data Entry'!$H$5:$BE$10004,7553-4,'Visual SPC'!$B$3),"")</f>
        <v/>
      </c>
      <c r="E7553">
        <f>IF(B7553=1,D7553,E7552)</f>
        <v/>
      </c>
      <c r="F7553">
        <f>IF(AND(B7553=1,C7553&gt;1,E7552&lt;&gt;""),ABS(D7553-E7552),"")</f>
        <v/>
      </c>
    </row>
    <row r="7554">
      <c r="A7554" t="n">
        <v>7554</v>
      </c>
      <c r="B7554">
        <f>IF(INDEX('Data Entry'!$H$5:$BE$10004,7554-4,'Visual SPC'!$B$3)="",0,IF(AND(OR('Visual SPC'!$C$4="",'Data Entry'!$C7554&gt;='Visual SPC'!$C$4),OR('Visual SPC'!$E$4="",'Data Entry'!$C7554&lt;='Visual SPC'!$E$4),OR('Visual SPC'!$G$4="",'Data Entry'!$D7554='Visual SPC'!$G$4),OR('Visual SPC'!$I$4="",'Data Entry'!$E7554='Visual SPC'!$I$4),OR('Visual SPC'!$K$4="",'Data Entry'!$F7554='Visual SPC'!$K$4)),1,0))</f>
        <v/>
      </c>
      <c r="C7554">
        <f>C7553+B7554</f>
        <v/>
      </c>
      <c r="D7554">
        <f>IF(B7554=1,INDEX('Data Entry'!$H$5:$BE$10004,7554-4,'Visual SPC'!$B$3),"")</f>
        <v/>
      </c>
      <c r="E7554">
        <f>IF(B7554=1,D7554,E7553)</f>
        <v/>
      </c>
      <c r="F7554">
        <f>IF(AND(B7554=1,C7554&gt;1,E7553&lt;&gt;""),ABS(D7554-E7553),"")</f>
        <v/>
      </c>
    </row>
    <row r="7555">
      <c r="A7555" t="n">
        <v>7555</v>
      </c>
      <c r="B7555">
        <f>IF(INDEX('Data Entry'!$H$5:$BE$10004,7555-4,'Visual SPC'!$B$3)="",0,IF(AND(OR('Visual SPC'!$C$4="",'Data Entry'!$C7555&gt;='Visual SPC'!$C$4),OR('Visual SPC'!$E$4="",'Data Entry'!$C7555&lt;='Visual SPC'!$E$4),OR('Visual SPC'!$G$4="",'Data Entry'!$D7555='Visual SPC'!$G$4),OR('Visual SPC'!$I$4="",'Data Entry'!$E7555='Visual SPC'!$I$4),OR('Visual SPC'!$K$4="",'Data Entry'!$F7555='Visual SPC'!$K$4)),1,0))</f>
        <v/>
      </c>
      <c r="C7555">
        <f>C7554+B7555</f>
        <v/>
      </c>
      <c r="D7555">
        <f>IF(B7555=1,INDEX('Data Entry'!$H$5:$BE$10004,7555-4,'Visual SPC'!$B$3),"")</f>
        <v/>
      </c>
      <c r="E7555">
        <f>IF(B7555=1,D7555,E7554)</f>
        <v/>
      </c>
      <c r="F7555">
        <f>IF(AND(B7555=1,C7555&gt;1,E7554&lt;&gt;""),ABS(D7555-E7554),"")</f>
        <v/>
      </c>
    </row>
    <row r="7556">
      <c r="A7556" t="n">
        <v>7556</v>
      </c>
      <c r="B7556">
        <f>IF(INDEX('Data Entry'!$H$5:$BE$10004,7556-4,'Visual SPC'!$B$3)="",0,IF(AND(OR('Visual SPC'!$C$4="",'Data Entry'!$C7556&gt;='Visual SPC'!$C$4),OR('Visual SPC'!$E$4="",'Data Entry'!$C7556&lt;='Visual SPC'!$E$4),OR('Visual SPC'!$G$4="",'Data Entry'!$D7556='Visual SPC'!$G$4),OR('Visual SPC'!$I$4="",'Data Entry'!$E7556='Visual SPC'!$I$4),OR('Visual SPC'!$K$4="",'Data Entry'!$F7556='Visual SPC'!$K$4)),1,0))</f>
        <v/>
      </c>
      <c r="C7556">
        <f>C7555+B7556</f>
        <v/>
      </c>
      <c r="D7556">
        <f>IF(B7556=1,INDEX('Data Entry'!$H$5:$BE$10004,7556-4,'Visual SPC'!$B$3),"")</f>
        <v/>
      </c>
      <c r="E7556">
        <f>IF(B7556=1,D7556,E7555)</f>
        <v/>
      </c>
      <c r="F7556">
        <f>IF(AND(B7556=1,C7556&gt;1,E7555&lt;&gt;""),ABS(D7556-E7555),"")</f>
        <v/>
      </c>
    </row>
    <row r="7557">
      <c r="A7557" t="n">
        <v>7557</v>
      </c>
      <c r="B7557">
        <f>IF(INDEX('Data Entry'!$H$5:$BE$10004,7557-4,'Visual SPC'!$B$3)="",0,IF(AND(OR('Visual SPC'!$C$4="",'Data Entry'!$C7557&gt;='Visual SPC'!$C$4),OR('Visual SPC'!$E$4="",'Data Entry'!$C7557&lt;='Visual SPC'!$E$4),OR('Visual SPC'!$G$4="",'Data Entry'!$D7557='Visual SPC'!$G$4),OR('Visual SPC'!$I$4="",'Data Entry'!$E7557='Visual SPC'!$I$4),OR('Visual SPC'!$K$4="",'Data Entry'!$F7557='Visual SPC'!$K$4)),1,0))</f>
        <v/>
      </c>
      <c r="C7557">
        <f>C7556+B7557</f>
        <v/>
      </c>
      <c r="D7557">
        <f>IF(B7557=1,INDEX('Data Entry'!$H$5:$BE$10004,7557-4,'Visual SPC'!$B$3),"")</f>
        <v/>
      </c>
      <c r="E7557">
        <f>IF(B7557=1,D7557,E7556)</f>
        <v/>
      </c>
      <c r="F7557">
        <f>IF(AND(B7557=1,C7557&gt;1,E7556&lt;&gt;""),ABS(D7557-E7556),"")</f>
        <v/>
      </c>
    </row>
    <row r="7558">
      <c r="A7558" t="n">
        <v>7558</v>
      </c>
      <c r="B7558">
        <f>IF(INDEX('Data Entry'!$H$5:$BE$10004,7558-4,'Visual SPC'!$B$3)="",0,IF(AND(OR('Visual SPC'!$C$4="",'Data Entry'!$C7558&gt;='Visual SPC'!$C$4),OR('Visual SPC'!$E$4="",'Data Entry'!$C7558&lt;='Visual SPC'!$E$4),OR('Visual SPC'!$G$4="",'Data Entry'!$D7558='Visual SPC'!$G$4),OR('Visual SPC'!$I$4="",'Data Entry'!$E7558='Visual SPC'!$I$4),OR('Visual SPC'!$K$4="",'Data Entry'!$F7558='Visual SPC'!$K$4)),1,0))</f>
        <v/>
      </c>
      <c r="C7558">
        <f>C7557+B7558</f>
        <v/>
      </c>
      <c r="D7558">
        <f>IF(B7558=1,INDEX('Data Entry'!$H$5:$BE$10004,7558-4,'Visual SPC'!$B$3),"")</f>
        <v/>
      </c>
      <c r="E7558">
        <f>IF(B7558=1,D7558,E7557)</f>
        <v/>
      </c>
      <c r="F7558">
        <f>IF(AND(B7558=1,C7558&gt;1,E7557&lt;&gt;""),ABS(D7558-E7557),"")</f>
        <v/>
      </c>
    </row>
    <row r="7559">
      <c r="A7559" t="n">
        <v>7559</v>
      </c>
      <c r="B7559">
        <f>IF(INDEX('Data Entry'!$H$5:$BE$10004,7559-4,'Visual SPC'!$B$3)="",0,IF(AND(OR('Visual SPC'!$C$4="",'Data Entry'!$C7559&gt;='Visual SPC'!$C$4),OR('Visual SPC'!$E$4="",'Data Entry'!$C7559&lt;='Visual SPC'!$E$4),OR('Visual SPC'!$G$4="",'Data Entry'!$D7559='Visual SPC'!$G$4),OR('Visual SPC'!$I$4="",'Data Entry'!$E7559='Visual SPC'!$I$4),OR('Visual SPC'!$K$4="",'Data Entry'!$F7559='Visual SPC'!$K$4)),1,0))</f>
        <v/>
      </c>
      <c r="C7559">
        <f>C7558+B7559</f>
        <v/>
      </c>
      <c r="D7559">
        <f>IF(B7559=1,INDEX('Data Entry'!$H$5:$BE$10004,7559-4,'Visual SPC'!$B$3),"")</f>
        <v/>
      </c>
      <c r="E7559">
        <f>IF(B7559=1,D7559,E7558)</f>
        <v/>
      </c>
      <c r="F7559">
        <f>IF(AND(B7559=1,C7559&gt;1,E7558&lt;&gt;""),ABS(D7559-E7558),"")</f>
        <v/>
      </c>
    </row>
    <row r="7560">
      <c r="A7560" t="n">
        <v>7560</v>
      </c>
      <c r="B7560">
        <f>IF(INDEX('Data Entry'!$H$5:$BE$10004,7560-4,'Visual SPC'!$B$3)="",0,IF(AND(OR('Visual SPC'!$C$4="",'Data Entry'!$C7560&gt;='Visual SPC'!$C$4),OR('Visual SPC'!$E$4="",'Data Entry'!$C7560&lt;='Visual SPC'!$E$4),OR('Visual SPC'!$G$4="",'Data Entry'!$D7560='Visual SPC'!$G$4),OR('Visual SPC'!$I$4="",'Data Entry'!$E7560='Visual SPC'!$I$4),OR('Visual SPC'!$K$4="",'Data Entry'!$F7560='Visual SPC'!$K$4)),1,0))</f>
        <v/>
      </c>
      <c r="C7560">
        <f>C7559+B7560</f>
        <v/>
      </c>
      <c r="D7560">
        <f>IF(B7560=1,INDEX('Data Entry'!$H$5:$BE$10004,7560-4,'Visual SPC'!$B$3),"")</f>
        <v/>
      </c>
      <c r="E7560">
        <f>IF(B7560=1,D7560,E7559)</f>
        <v/>
      </c>
      <c r="F7560">
        <f>IF(AND(B7560=1,C7560&gt;1,E7559&lt;&gt;""),ABS(D7560-E7559),"")</f>
        <v/>
      </c>
    </row>
    <row r="7561">
      <c r="A7561" t="n">
        <v>7561</v>
      </c>
      <c r="B7561">
        <f>IF(INDEX('Data Entry'!$H$5:$BE$10004,7561-4,'Visual SPC'!$B$3)="",0,IF(AND(OR('Visual SPC'!$C$4="",'Data Entry'!$C7561&gt;='Visual SPC'!$C$4),OR('Visual SPC'!$E$4="",'Data Entry'!$C7561&lt;='Visual SPC'!$E$4),OR('Visual SPC'!$G$4="",'Data Entry'!$D7561='Visual SPC'!$G$4),OR('Visual SPC'!$I$4="",'Data Entry'!$E7561='Visual SPC'!$I$4),OR('Visual SPC'!$K$4="",'Data Entry'!$F7561='Visual SPC'!$K$4)),1,0))</f>
        <v/>
      </c>
      <c r="C7561">
        <f>C7560+B7561</f>
        <v/>
      </c>
      <c r="D7561">
        <f>IF(B7561=1,INDEX('Data Entry'!$H$5:$BE$10004,7561-4,'Visual SPC'!$B$3),"")</f>
        <v/>
      </c>
      <c r="E7561">
        <f>IF(B7561=1,D7561,E7560)</f>
        <v/>
      </c>
      <c r="F7561">
        <f>IF(AND(B7561=1,C7561&gt;1,E7560&lt;&gt;""),ABS(D7561-E7560),"")</f>
        <v/>
      </c>
    </row>
    <row r="7562">
      <c r="A7562" t="n">
        <v>7562</v>
      </c>
      <c r="B7562">
        <f>IF(INDEX('Data Entry'!$H$5:$BE$10004,7562-4,'Visual SPC'!$B$3)="",0,IF(AND(OR('Visual SPC'!$C$4="",'Data Entry'!$C7562&gt;='Visual SPC'!$C$4),OR('Visual SPC'!$E$4="",'Data Entry'!$C7562&lt;='Visual SPC'!$E$4),OR('Visual SPC'!$G$4="",'Data Entry'!$D7562='Visual SPC'!$G$4),OR('Visual SPC'!$I$4="",'Data Entry'!$E7562='Visual SPC'!$I$4),OR('Visual SPC'!$K$4="",'Data Entry'!$F7562='Visual SPC'!$K$4)),1,0))</f>
        <v/>
      </c>
      <c r="C7562">
        <f>C7561+B7562</f>
        <v/>
      </c>
      <c r="D7562">
        <f>IF(B7562=1,INDEX('Data Entry'!$H$5:$BE$10004,7562-4,'Visual SPC'!$B$3),"")</f>
        <v/>
      </c>
      <c r="E7562">
        <f>IF(B7562=1,D7562,E7561)</f>
        <v/>
      </c>
      <c r="F7562">
        <f>IF(AND(B7562=1,C7562&gt;1,E7561&lt;&gt;""),ABS(D7562-E7561),"")</f>
        <v/>
      </c>
    </row>
    <row r="7563">
      <c r="A7563" t="n">
        <v>7563</v>
      </c>
      <c r="B7563">
        <f>IF(INDEX('Data Entry'!$H$5:$BE$10004,7563-4,'Visual SPC'!$B$3)="",0,IF(AND(OR('Visual SPC'!$C$4="",'Data Entry'!$C7563&gt;='Visual SPC'!$C$4),OR('Visual SPC'!$E$4="",'Data Entry'!$C7563&lt;='Visual SPC'!$E$4),OR('Visual SPC'!$G$4="",'Data Entry'!$D7563='Visual SPC'!$G$4),OR('Visual SPC'!$I$4="",'Data Entry'!$E7563='Visual SPC'!$I$4),OR('Visual SPC'!$K$4="",'Data Entry'!$F7563='Visual SPC'!$K$4)),1,0))</f>
        <v/>
      </c>
      <c r="C7563">
        <f>C7562+B7563</f>
        <v/>
      </c>
      <c r="D7563">
        <f>IF(B7563=1,INDEX('Data Entry'!$H$5:$BE$10004,7563-4,'Visual SPC'!$B$3),"")</f>
        <v/>
      </c>
      <c r="E7563">
        <f>IF(B7563=1,D7563,E7562)</f>
        <v/>
      </c>
      <c r="F7563">
        <f>IF(AND(B7563=1,C7563&gt;1,E7562&lt;&gt;""),ABS(D7563-E7562),"")</f>
        <v/>
      </c>
    </row>
    <row r="7564">
      <c r="A7564" t="n">
        <v>7564</v>
      </c>
      <c r="B7564">
        <f>IF(INDEX('Data Entry'!$H$5:$BE$10004,7564-4,'Visual SPC'!$B$3)="",0,IF(AND(OR('Visual SPC'!$C$4="",'Data Entry'!$C7564&gt;='Visual SPC'!$C$4),OR('Visual SPC'!$E$4="",'Data Entry'!$C7564&lt;='Visual SPC'!$E$4),OR('Visual SPC'!$G$4="",'Data Entry'!$D7564='Visual SPC'!$G$4),OR('Visual SPC'!$I$4="",'Data Entry'!$E7564='Visual SPC'!$I$4),OR('Visual SPC'!$K$4="",'Data Entry'!$F7564='Visual SPC'!$K$4)),1,0))</f>
        <v/>
      </c>
      <c r="C7564">
        <f>C7563+B7564</f>
        <v/>
      </c>
      <c r="D7564">
        <f>IF(B7564=1,INDEX('Data Entry'!$H$5:$BE$10004,7564-4,'Visual SPC'!$B$3),"")</f>
        <v/>
      </c>
      <c r="E7564">
        <f>IF(B7564=1,D7564,E7563)</f>
        <v/>
      </c>
      <c r="F7564">
        <f>IF(AND(B7564=1,C7564&gt;1,E7563&lt;&gt;""),ABS(D7564-E7563),"")</f>
        <v/>
      </c>
    </row>
    <row r="7565">
      <c r="A7565" t="n">
        <v>7565</v>
      </c>
      <c r="B7565">
        <f>IF(INDEX('Data Entry'!$H$5:$BE$10004,7565-4,'Visual SPC'!$B$3)="",0,IF(AND(OR('Visual SPC'!$C$4="",'Data Entry'!$C7565&gt;='Visual SPC'!$C$4),OR('Visual SPC'!$E$4="",'Data Entry'!$C7565&lt;='Visual SPC'!$E$4),OR('Visual SPC'!$G$4="",'Data Entry'!$D7565='Visual SPC'!$G$4),OR('Visual SPC'!$I$4="",'Data Entry'!$E7565='Visual SPC'!$I$4),OR('Visual SPC'!$K$4="",'Data Entry'!$F7565='Visual SPC'!$K$4)),1,0))</f>
        <v/>
      </c>
      <c r="C7565">
        <f>C7564+B7565</f>
        <v/>
      </c>
      <c r="D7565">
        <f>IF(B7565=1,INDEX('Data Entry'!$H$5:$BE$10004,7565-4,'Visual SPC'!$B$3),"")</f>
        <v/>
      </c>
      <c r="E7565">
        <f>IF(B7565=1,D7565,E7564)</f>
        <v/>
      </c>
      <c r="F7565">
        <f>IF(AND(B7565=1,C7565&gt;1,E7564&lt;&gt;""),ABS(D7565-E7564),"")</f>
        <v/>
      </c>
    </row>
    <row r="7566">
      <c r="A7566" t="n">
        <v>7566</v>
      </c>
      <c r="B7566">
        <f>IF(INDEX('Data Entry'!$H$5:$BE$10004,7566-4,'Visual SPC'!$B$3)="",0,IF(AND(OR('Visual SPC'!$C$4="",'Data Entry'!$C7566&gt;='Visual SPC'!$C$4),OR('Visual SPC'!$E$4="",'Data Entry'!$C7566&lt;='Visual SPC'!$E$4),OR('Visual SPC'!$G$4="",'Data Entry'!$D7566='Visual SPC'!$G$4),OR('Visual SPC'!$I$4="",'Data Entry'!$E7566='Visual SPC'!$I$4),OR('Visual SPC'!$K$4="",'Data Entry'!$F7566='Visual SPC'!$K$4)),1,0))</f>
        <v/>
      </c>
      <c r="C7566">
        <f>C7565+B7566</f>
        <v/>
      </c>
      <c r="D7566">
        <f>IF(B7566=1,INDEX('Data Entry'!$H$5:$BE$10004,7566-4,'Visual SPC'!$B$3),"")</f>
        <v/>
      </c>
      <c r="E7566">
        <f>IF(B7566=1,D7566,E7565)</f>
        <v/>
      </c>
      <c r="F7566">
        <f>IF(AND(B7566=1,C7566&gt;1,E7565&lt;&gt;""),ABS(D7566-E7565),"")</f>
        <v/>
      </c>
    </row>
    <row r="7567">
      <c r="A7567" t="n">
        <v>7567</v>
      </c>
      <c r="B7567">
        <f>IF(INDEX('Data Entry'!$H$5:$BE$10004,7567-4,'Visual SPC'!$B$3)="",0,IF(AND(OR('Visual SPC'!$C$4="",'Data Entry'!$C7567&gt;='Visual SPC'!$C$4),OR('Visual SPC'!$E$4="",'Data Entry'!$C7567&lt;='Visual SPC'!$E$4),OR('Visual SPC'!$G$4="",'Data Entry'!$D7567='Visual SPC'!$G$4),OR('Visual SPC'!$I$4="",'Data Entry'!$E7567='Visual SPC'!$I$4),OR('Visual SPC'!$K$4="",'Data Entry'!$F7567='Visual SPC'!$K$4)),1,0))</f>
        <v/>
      </c>
      <c r="C7567">
        <f>C7566+B7567</f>
        <v/>
      </c>
      <c r="D7567">
        <f>IF(B7567=1,INDEX('Data Entry'!$H$5:$BE$10004,7567-4,'Visual SPC'!$B$3),"")</f>
        <v/>
      </c>
      <c r="E7567">
        <f>IF(B7567=1,D7567,E7566)</f>
        <v/>
      </c>
      <c r="F7567">
        <f>IF(AND(B7567=1,C7567&gt;1,E7566&lt;&gt;""),ABS(D7567-E7566),"")</f>
        <v/>
      </c>
    </row>
    <row r="7568">
      <c r="A7568" t="n">
        <v>7568</v>
      </c>
      <c r="B7568">
        <f>IF(INDEX('Data Entry'!$H$5:$BE$10004,7568-4,'Visual SPC'!$B$3)="",0,IF(AND(OR('Visual SPC'!$C$4="",'Data Entry'!$C7568&gt;='Visual SPC'!$C$4),OR('Visual SPC'!$E$4="",'Data Entry'!$C7568&lt;='Visual SPC'!$E$4),OR('Visual SPC'!$G$4="",'Data Entry'!$D7568='Visual SPC'!$G$4),OR('Visual SPC'!$I$4="",'Data Entry'!$E7568='Visual SPC'!$I$4),OR('Visual SPC'!$K$4="",'Data Entry'!$F7568='Visual SPC'!$K$4)),1,0))</f>
        <v/>
      </c>
      <c r="C7568">
        <f>C7567+B7568</f>
        <v/>
      </c>
      <c r="D7568">
        <f>IF(B7568=1,INDEX('Data Entry'!$H$5:$BE$10004,7568-4,'Visual SPC'!$B$3),"")</f>
        <v/>
      </c>
      <c r="E7568">
        <f>IF(B7568=1,D7568,E7567)</f>
        <v/>
      </c>
      <c r="F7568">
        <f>IF(AND(B7568=1,C7568&gt;1,E7567&lt;&gt;""),ABS(D7568-E7567),"")</f>
        <v/>
      </c>
    </row>
    <row r="7569">
      <c r="A7569" t="n">
        <v>7569</v>
      </c>
      <c r="B7569">
        <f>IF(INDEX('Data Entry'!$H$5:$BE$10004,7569-4,'Visual SPC'!$B$3)="",0,IF(AND(OR('Visual SPC'!$C$4="",'Data Entry'!$C7569&gt;='Visual SPC'!$C$4),OR('Visual SPC'!$E$4="",'Data Entry'!$C7569&lt;='Visual SPC'!$E$4),OR('Visual SPC'!$G$4="",'Data Entry'!$D7569='Visual SPC'!$G$4),OR('Visual SPC'!$I$4="",'Data Entry'!$E7569='Visual SPC'!$I$4),OR('Visual SPC'!$K$4="",'Data Entry'!$F7569='Visual SPC'!$K$4)),1,0))</f>
        <v/>
      </c>
      <c r="C7569">
        <f>C7568+B7569</f>
        <v/>
      </c>
      <c r="D7569">
        <f>IF(B7569=1,INDEX('Data Entry'!$H$5:$BE$10004,7569-4,'Visual SPC'!$B$3),"")</f>
        <v/>
      </c>
      <c r="E7569">
        <f>IF(B7569=1,D7569,E7568)</f>
        <v/>
      </c>
      <c r="F7569">
        <f>IF(AND(B7569=1,C7569&gt;1,E7568&lt;&gt;""),ABS(D7569-E7568),"")</f>
        <v/>
      </c>
    </row>
    <row r="7570">
      <c r="A7570" t="n">
        <v>7570</v>
      </c>
      <c r="B7570">
        <f>IF(INDEX('Data Entry'!$H$5:$BE$10004,7570-4,'Visual SPC'!$B$3)="",0,IF(AND(OR('Visual SPC'!$C$4="",'Data Entry'!$C7570&gt;='Visual SPC'!$C$4),OR('Visual SPC'!$E$4="",'Data Entry'!$C7570&lt;='Visual SPC'!$E$4),OR('Visual SPC'!$G$4="",'Data Entry'!$D7570='Visual SPC'!$G$4),OR('Visual SPC'!$I$4="",'Data Entry'!$E7570='Visual SPC'!$I$4),OR('Visual SPC'!$K$4="",'Data Entry'!$F7570='Visual SPC'!$K$4)),1,0))</f>
        <v/>
      </c>
      <c r="C7570">
        <f>C7569+B7570</f>
        <v/>
      </c>
      <c r="D7570">
        <f>IF(B7570=1,INDEX('Data Entry'!$H$5:$BE$10004,7570-4,'Visual SPC'!$B$3),"")</f>
        <v/>
      </c>
      <c r="E7570">
        <f>IF(B7570=1,D7570,E7569)</f>
        <v/>
      </c>
      <c r="F7570">
        <f>IF(AND(B7570=1,C7570&gt;1,E7569&lt;&gt;""),ABS(D7570-E7569),"")</f>
        <v/>
      </c>
    </row>
    <row r="7571">
      <c r="A7571" t="n">
        <v>7571</v>
      </c>
      <c r="B7571">
        <f>IF(INDEX('Data Entry'!$H$5:$BE$10004,7571-4,'Visual SPC'!$B$3)="",0,IF(AND(OR('Visual SPC'!$C$4="",'Data Entry'!$C7571&gt;='Visual SPC'!$C$4),OR('Visual SPC'!$E$4="",'Data Entry'!$C7571&lt;='Visual SPC'!$E$4),OR('Visual SPC'!$G$4="",'Data Entry'!$D7571='Visual SPC'!$G$4),OR('Visual SPC'!$I$4="",'Data Entry'!$E7571='Visual SPC'!$I$4),OR('Visual SPC'!$K$4="",'Data Entry'!$F7571='Visual SPC'!$K$4)),1,0))</f>
        <v/>
      </c>
      <c r="C7571">
        <f>C7570+B7571</f>
        <v/>
      </c>
      <c r="D7571">
        <f>IF(B7571=1,INDEX('Data Entry'!$H$5:$BE$10004,7571-4,'Visual SPC'!$B$3),"")</f>
        <v/>
      </c>
      <c r="E7571">
        <f>IF(B7571=1,D7571,E7570)</f>
        <v/>
      </c>
      <c r="F7571">
        <f>IF(AND(B7571=1,C7571&gt;1,E7570&lt;&gt;""),ABS(D7571-E7570),"")</f>
        <v/>
      </c>
    </row>
    <row r="7572">
      <c r="A7572" t="n">
        <v>7572</v>
      </c>
      <c r="B7572">
        <f>IF(INDEX('Data Entry'!$H$5:$BE$10004,7572-4,'Visual SPC'!$B$3)="",0,IF(AND(OR('Visual SPC'!$C$4="",'Data Entry'!$C7572&gt;='Visual SPC'!$C$4),OR('Visual SPC'!$E$4="",'Data Entry'!$C7572&lt;='Visual SPC'!$E$4),OR('Visual SPC'!$G$4="",'Data Entry'!$D7572='Visual SPC'!$G$4),OR('Visual SPC'!$I$4="",'Data Entry'!$E7572='Visual SPC'!$I$4),OR('Visual SPC'!$K$4="",'Data Entry'!$F7572='Visual SPC'!$K$4)),1,0))</f>
        <v/>
      </c>
      <c r="C7572">
        <f>C7571+B7572</f>
        <v/>
      </c>
      <c r="D7572">
        <f>IF(B7572=1,INDEX('Data Entry'!$H$5:$BE$10004,7572-4,'Visual SPC'!$B$3),"")</f>
        <v/>
      </c>
      <c r="E7572">
        <f>IF(B7572=1,D7572,E7571)</f>
        <v/>
      </c>
      <c r="F7572">
        <f>IF(AND(B7572=1,C7572&gt;1,E7571&lt;&gt;""),ABS(D7572-E7571),"")</f>
        <v/>
      </c>
    </row>
    <row r="7573">
      <c r="A7573" t="n">
        <v>7573</v>
      </c>
      <c r="B7573">
        <f>IF(INDEX('Data Entry'!$H$5:$BE$10004,7573-4,'Visual SPC'!$B$3)="",0,IF(AND(OR('Visual SPC'!$C$4="",'Data Entry'!$C7573&gt;='Visual SPC'!$C$4),OR('Visual SPC'!$E$4="",'Data Entry'!$C7573&lt;='Visual SPC'!$E$4),OR('Visual SPC'!$G$4="",'Data Entry'!$D7573='Visual SPC'!$G$4),OR('Visual SPC'!$I$4="",'Data Entry'!$E7573='Visual SPC'!$I$4),OR('Visual SPC'!$K$4="",'Data Entry'!$F7573='Visual SPC'!$K$4)),1,0))</f>
        <v/>
      </c>
      <c r="C7573">
        <f>C7572+B7573</f>
        <v/>
      </c>
      <c r="D7573">
        <f>IF(B7573=1,INDEX('Data Entry'!$H$5:$BE$10004,7573-4,'Visual SPC'!$B$3),"")</f>
        <v/>
      </c>
      <c r="E7573">
        <f>IF(B7573=1,D7573,E7572)</f>
        <v/>
      </c>
      <c r="F7573">
        <f>IF(AND(B7573=1,C7573&gt;1,E7572&lt;&gt;""),ABS(D7573-E7572),"")</f>
        <v/>
      </c>
    </row>
    <row r="7574">
      <c r="A7574" t="n">
        <v>7574</v>
      </c>
      <c r="B7574">
        <f>IF(INDEX('Data Entry'!$H$5:$BE$10004,7574-4,'Visual SPC'!$B$3)="",0,IF(AND(OR('Visual SPC'!$C$4="",'Data Entry'!$C7574&gt;='Visual SPC'!$C$4),OR('Visual SPC'!$E$4="",'Data Entry'!$C7574&lt;='Visual SPC'!$E$4),OR('Visual SPC'!$G$4="",'Data Entry'!$D7574='Visual SPC'!$G$4),OR('Visual SPC'!$I$4="",'Data Entry'!$E7574='Visual SPC'!$I$4),OR('Visual SPC'!$K$4="",'Data Entry'!$F7574='Visual SPC'!$K$4)),1,0))</f>
        <v/>
      </c>
      <c r="C7574">
        <f>C7573+B7574</f>
        <v/>
      </c>
      <c r="D7574">
        <f>IF(B7574=1,INDEX('Data Entry'!$H$5:$BE$10004,7574-4,'Visual SPC'!$B$3),"")</f>
        <v/>
      </c>
      <c r="E7574">
        <f>IF(B7574=1,D7574,E7573)</f>
        <v/>
      </c>
      <c r="F7574">
        <f>IF(AND(B7574=1,C7574&gt;1,E7573&lt;&gt;""),ABS(D7574-E7573),"")</f>
        <v/>
      </c>
    </row>
    <row r="7575">
      <c r="A7575" t="n">
        <v>7575</v>
      </c>
      <c r="B7575">
        <f>IF(INDEX('Data Entry'!$H$5:$BE$10004,7575-4,'Visual SPC'!$B$3)="",0,IF(AND(OR('Visual SPC'!$C$4="",'Data Entry'!$C7575&gt;='Visual SPC'!$C$4),OR('Visual SPC'!$E$4="",'Data Entry'!$C7575&lt;='Visual SPC'!$E$4),OR('Visual SPC'!$G$4="",'Data Entry'!$D7575='Visual SPC'!$G$4),OR('Visual SPC'!$I$4="",'Data Entry'!$E7575='Visual SPC'!$I$4),OR('Visual SPC'!$K$4="",'Data Entry'!$F7575='Visual SPC'!$K$4)),1,0))</f>
        <v/>
      </c>
      <c r="C7575">
        <f>C7574+B7575</f>
        <v/>
      </c>
      <c r="D7575">
        <f>IF(B7575=1,INDEX('Data Entry'!$H$5:$BE$10004,7575-4,'Visual SPC'!$B$3),"")</f>
        <v/>
      </c>
      <c r="E7575">
        <f>IF(B7575=1,D7575,E7574)</f>
        <v/>
      </c>
      <c r="F7575">
        <f>IF(AND(B7575=1,C7575&gt;1,E7574&lt;&gt;""),ABS(D7575-E7574),"")</f>
        <v/>
      </c>
    </row>
    <row r="7576">
      <c r="A7576" t="n">
        <v>7576</v>
      </c>
      <c r="B7576">
        <f>IF(INDEX('Data Entry'!$H$5:$BE$10004,7576-4,'Visual SPC'!$B$3)="",0,IF(AND(OR('Visual SPC'!$C$4="",'Data Entry'!$C7576&gt;='Visual SPC'!$C$4),OR('Visual SPC'!$E$4="",'Data Entry'!$C7576&lt;='Visual SPC'!$E$4),OR('Visual SPC'!$G$4="",'Data Entry'!$D7576='Visual SPC'!$G$4),OR('Visual SPC'!$I$4="",'Data Entry'!$E7576='Visual SPC'!$I$4),OR('Visual SPC'!$K$4="",'Data Entry'!$F7576='Visual SPC'!$K$4)),1,0))</f>
        <v/>
      </c>
      <c r="C7576">
        <f>C7575+B7576</f>
        <v/>
      </c>
      <c r="D7576">
        <f>IF(B7576=1,INDEX('Data Entry'!$H$5:$BE$10004,7576-4,'Visual SPC'!$B$3),"")</f>
        <v/>
      </c>
      <c r="E7576">
        <f>IF(B7576=1,D7576,E7575)</f>
        <v/>
      </c>
      <c r="F7576">
        <f>IF(AND(B7576=1,C7576&gt;1,E7575&lt;&gt;""),ABS(D7576-E7575),"")</f>
        <v/>
      </c>
    </row>
    <row r="7577">
      <c r="A7577" t="n">
        <v>7577</v>
      </c>
      <c r="B7577">
        <f>IF(INDEX('Data Entry'!$H$5:$BE$10004,7577-4,'Visual SPC'!$B$3)="",0,IF(AND(OR('Visual SPC'!$C$4="",'Data Entry'!$C7577&gt;='Visual SPC'!$C$4),OR('Visual SPC'!$E$4="",'Data Entry'!$C7577&lt;='Visual SPC'!$E$4),OR('Visual SPC'!$G$4="",'Data Entry'!$D7577='Visual SPC'!$G$4),OR('Visual SPC'!$I$4="",'Data Entry'!$E7577='Visual SPC'!$I$4),OR('Visual SPC'!$K$4="",'Data Entry'!$F7577='Visual SPC'!$K$4)),1,0))</f>
        <v/>
      </c>
      <c r="C7577">
        <f>C7576+B7577</f>
        <v/>
      </c>
      <c r="D7577">
        <f>IF(B7577=1,INDEX('Data Entry'!$H$5:$BE$10004,7577-4,'Visual SPC'!$B$3),"")</f>
        <v/>
      </c>
      <c r="E7577">
        <f>IF(B7577=1,D7577,E7576)</f>
        <v/>
      </c>
      <c r="F7577">
        <f>IF(AND(B7577=1,C7577&gt;1,E7576&lt;&gt;""),ABS(D7577-E7576),"")</f>
        <v/>
      </c>
    </row>
    <row r="7578">
      <c r="A7578" t="n">
        <v>7578</v>
      </c>
      <c r="B7578">
        <f>IF(INDEX('Data Entry'!$H$5:$BE$10004,7578-4,'Visual SPC'!$B$3)="",0,IF(AND(OR('Visual SPC'!$C$4="",'Data Entry'!$C7578&gt;='Visual SPC'!$C$4),OR('Visual SPC'!$E$4="",'Data Entry'!$C7578&lt;='Visual SPC'!$E$4),OR('Visual SPC'!$G$4="",'Data Entry'!$D7578='Visual SPC'!$G$4),OR('Visual SPC'!$I$4="",'Data Entry'!$E7578='Visual SPC'!$I$4),OR('Visual SPC'!$K$4="",'Data Entry'!$F7578='Visual SPC'!$K$4)),1,0))</f>
        <v/>
      </c>
      <c r="C7578">
        <f>C7577+B7578</f>
        <v/>
      </c>
      <c r="D7578">
        <f>IF(B7578=1,INDEX('Data Entry'!$H$5:$BE$10004,7578-4,'Visual SPC'!$B$3),"")</f>
        <v/>
      </c>
      <c r="E7578">
        <f>IF(B7578=1,D7578,E7577)</f>
        <v/>
      </c>
      <c r="F7578">
        <f>IF(AND(B7578=1,C7578&gt;1,E7577&lt;&gt;""),ABS(D7578-E7577),"")</f>
        <v/>
      </c>
    </row>
    <row r="7579">
      <c r="A7579" t="n">
        <v>7579</v>
      </c>
      <c r="B7579">
        <f>IF(INDEX('Data Entry'!$H$5:$BE$10004,7579-4,'Visual SPC'!$B$3)="",0,IF(AND(OR('Visual SPC'!$C$4="",'Data Entry'!$C7579&gt;='Visual SPC'!$C$4),OR('Visual SPC'!$E$4="",'Data Entry'!$C7579&lt;='Visual SPC'!$E$4),OR('Visual SPC'!$G$4="",'Data Entry'!$D7579='Visual SPC'!$G$4),OR('Visual SPC'!$I$4="",'Data Entry'!$E7579='Visual SPC'!$I$4),OR('Visual SPC'!$K$4="",'Data Entry'!$F7579='Visual SPC'!$K$4)),1,0))</f>
        <v/>
      </c>
      <c r="C7579">
        <f>C7578+B7579</f>
        <v/>
      </c>
      <c r="D7579">
        <f>IF(B7579=1,INDEX('Data Entry'!$H$5:$BE$10004,7579-4,'Visual SPC'!$B$3),"")</f>
        <v/>
      </c>
      <c r="E7579">
        <f>IF(B7579=1,D7579,E7578)</f>
        <v/>
      </c>
      <c r="F7579">
        <f>IF(AND(B7579=1,C7579&gt;1,E7578&lt;&gt;""),ABS(D7579-E7578),"")</f>
        <v/>
      </c>
    </row>
    <row r="7580">
      <c r="A7580" t="n">
        <v>7580</v>
      </c>
      <c r="B7580">
        <f>IF(INDEX('Data Entry'!$H$5:$BE$10004,7580-4,'Visual SPC'!$B$3)="",0,IF(AND(OR('Visual SPC'!$C$4="",'Data Entry'!$C7580&gt;='Visual SPC'!$C$4),OR('Visual SPC'!$E$4="",'Data Entry'!$C7580&lt;='Visual SPC'!$E$4),OR('Visual SPC'!$G$4="",'Data Entry'!$D7580='Visual SPC'!$G$4),OR('Visual SPC'!$I$4="",'Data Entry'!$E7580='Visual SPC'!$I$4),OR('Visual SPC'!$K$4="",'Data Entry'!$F7580='Visual SPC'!$K$4)),1,0))</f>
        <v/>
      </c>
      <c r="C7580">
        <f>C7579+B7580</f>
        <v/>
      </c>
      <c r="D7580">
        <f>IF(B7580=1,INDEX('Data Entry'!$H$5:$BE$10004,7580-4,'Visual SPC'!$B$3),"")</f>
        <v/>
      </c>
      <c r="E7580">
        <f>IF(B7580=1,D7580,E7579)</f>
        <v/>
      </c>
      <c r="F7580">
        <f>IF(AND(B7580=1,C7580&gt;1,E7579&lt;&gt;""),ABS(D7580-E7579),"")</f>
        <v/>
      </c>
    </row>
    <row r="7581">
      <c r="A7581" t="n">
        <v>7581</v>
      </c>
      <c r="B7581">
        <f>IF(INDEX('Data Entry'!$H$5:$BE$10004,7581-4,'Visual SPC'!$B$3)="",0,IF(AND(OR('Visual SPC'!$C$4="",'Data Entry'!$C7581&gt;='Visual SPC'!$C$4),OR('Visual SPC'!$E$4="",'Data Entry'!$C7581&lt;='Visual SPC'!$E$4),OR('Visual SPC'!$G$4="",'Data Entry'!$D7581='Visual SPC'!$G$4),OR('Visual SPC'!$I$4="",'Data Entry'!$E7581='Visual SPC'!$I$4),OR('Visual SPC'!$K$4="",'Data Entry'!$F7581='Visual SPC'!$K$4)),1,0))</f>
        <v/>
      </c>
      <c r="C7581">
        <f>C7580+B7581</f>
        <v/>
      </c>
      <c r="D7581">
        <f>IF(B7581=1,INDEX('Data Entry'!$H$5:$BE$10004,7581-4,'Visual SPC'!$B$3),"")</f>
        <v/>
      </c>
      <c r="E7581">
        <f>IF(B7581=1,D7581,E7580)</f>
        <v/>
      </c>
      <c r="F7581">
        <f>IF(AND(B7581=1,C7581&gt;1,E7580&lt;&gt;""),ABS(D7581-E7580),"")</f>
        <v/>
      </c>
    </row>
    <row r="7582">
      <c r="A7582" t="n">
        <v>7582</v>
      </c>
      <c r="B7582">
        <f>IF(INDEX('Data Entry'!$H$5:$BE$10004,7582-4,'Visual SPC'!$B$3)="",0,IF(AND(OR('Visual SPC'!$C$4="",'Data Entry'!$C7582&gt;='Visual SPC'!$C$4),OR('Visual SPC'!$E$4="",'Data Entry'!$C7582&lt;='Visual SPC'!$E$4),OR('Visual SPC'!$G$4="",'Data Entry'!$D7582='Visual SPC'!$G$4),OR('Visual SPC'!$I$4="",'Data Entry'!$E7582='Visual SPC'!$I$4),OR('Visual SPC'!$K$4="",'Data Entry'!$F7582='Visual SPC'!$K$4)),1,0))</f>
        <v/>
      </c>
      <c r="C7582">
        <f>C7581+B7582</f>
        <v/>
      </c>
      <c r="D7582">
        <f>IF(B7582=1,INDEX('Data Entry'!$H$5:$BE$10004,7582-4,'Visual SPC'!$B$3),"")</f>
        <v/>
      </c>
      <c r="E7582">
        <f>IF(B7582=1,D7582,E7581)</f>
        <v/>
      </c>
      <c r="F7582">
        <f>IF(AND(B7582=1,C7582&gt;1,E7581&lt;&gt;""),ABS(D7582-E7581),"")</f>
        <v/>
      </c>
    </row>
    <row r="7583">
      <c r="A7583" t="n">
        <v>7583</v>
      </c>
      <c r="B7583">
        <f>IF(INDEX('Data Entry'!$H$5:$BE$10004,7583-4,'Visual SPC'!$B$3)="",0,IF(AND(OR('Visual SPC'!$C$4="",'Data Entry'!$C7583&gt;='Visual SPC'!$C$4),OR('Visual SPC'!$E$4="",'Data Entry'!$C7583&lt;='Visual SPC'!$E$4),OR('Visual SPC'!$G$4="",'Data Entry'!$D7583='Visual SPC'!$G$4),OR('Visual SPC'!$I$4="",'Data Entry'!$E7583='Visual SPC'!$I$4),OR('Visual SPC'!$K$4="",'Data Entry'!$F7583='Visual SPC'!$K$4)),1,0))</f>
        <v/>
      </c>
      <c r="C7583">
        <f>C7582+B7583</f>
        <v/>
      </c>
      <c r="D7583">
        <f>IF(B7583=1,INDEX('Data Entry'!$H$5:$BE$10004,7583-4,'Visual SPC'!$B$3),"")</f>
        <v/>
      </c>
      <c r="E7583">
        <f>IF(B7583=1,D7583,E7582)</f>
        <v/>
      </c>
      <c r="F7583">
        <f>IF(AND(B7583=1,C7583&gt;1,E7582&lt;&gt;""),ABS(D7583-E7582),"")</f>
        <v/>
      </c>
    </row>
    <row r="7584">
      <c r="A7584" t="n">
        <v>7584</v>
      </c>
      <c r="B7584">
        <f>IF(INDEX('Data Entry'!$H$5:$BE$10004,7584-4,'Visual SPC'!$B$3)="",0,IF(AND(OR('Visual SPC'!$C$4="",'Data Entry'!$C7584&gt;='Visual SPC'!$C$4),OR('Visual SPC'!$E$4="",'Data Entry'!$C7584&lt;='Visual SPC'!$E$4),OR('Visual SPC'!$G$4="",'Data Entry'!$D7584='Visual SPC'!$G$4),OR('Visual SPC'!$I$4="",'Data Entry'!$E7584='Visual SPC'!$I$4),OR('Visual SPC'!$K$4="",'Data Entry'!$F7584='Visual SPC'!$K$4)),1,0))</f>
        <v/>
      </c>
      <c r="C7584">
        <f>C7583+B7584</f>
        <v/>
      </c>
      <c r="D7584">
        <f>IF(B7584=1,INDEX('Data Entry'!$H$5:$BE$10004,7584-4,'Visual SPC'!$B$3),"")</f>
        <v/>
      </c>
      <c r="E7584">
        <f>IF(B7584=1,D7584,E7583)</f>
        <v/>
      </c>
      <c r="F7584">
        <f>IF(AND(B7584=1,C7584&gt;1,E7583&lt;&gt;""),ABS(D7584-E7583),"")</f>
        <v/>
      </c>
    </row>
    <row r="7585">
      <c r="A7585" t="n">
        <v>7585</v>
      </c>
      <c r="B7585">
        <f>IF(INDEX('Data Entry'!$H$5:$BE$10004,7585-4,'Visual SPC'!$B$3)="",0,IF(AND(OR('Visual SPC'!$C$4="",'Data Entry'!$C7585&gt;='Visual SPC'!$C$4),OR('Visual SPC'!$E$4="",'Data Entry'!$C7585&lt;='Visual SPC'!$E$4),OR('Visual SPC'!$G$4="",'Data Entry'!$D7585='Visual SPC'!$G$4),OR('Visual SPC'!$I$4="",'Data Entry'!$E7585='Visual SPC'!$I$4),OR('Visual SPC'!$K$4="",'Data Entry'!$F7585='Visual SPC'!$K$4)),1,0))</f>
        <v/>
      </c>
      <c r="C7585">
        <f>C7584+B7585</f>
        <v/>
      </c>
      <c r="D7585">
        <f>IF(B7585=1,INDEX('Data Entry'!$H$5:$BE$10004,7585-4,'Visual SPC'!$B$3),"")</f>
        <v/>
      </c>
      <c r="E7585">
        <f>IF(B7585=1,D7585,E7584)</f>
        <v/>
      </c>
      <c r="F7585">
        <f>IF(AND(B7585=1,C7585&gt;1,E7584&lt;&gt;""),ABS(D7585-E7584),"")</f>
        <v/>
      </c>
    </row>
    <row r="7586">
      <c r="A7586" t="n">
        <v>7586</v>
      </c>
      <c r="B7586">
        <f>IF(INDEX('Data Entry'!$H$5:$BE$10004,7586-4,'Visual SPC'!$B$3)="",0,IF(AND(OR('Visual SPC'!$C$4="",'Data Entry'!$C7586&gt;='Visual SPC'!$C$4),OR('Visual SPC'!$E$4="",'Data Entry'!$C7586&lt;='Visual SPC'!$E$4),OR('Visual SPC'!$G$4="",'Data Entry'!$D7586='Visual SPC'!$G$4),OR('Visual SPC'!$I$4="",'Data Entry'!$E7586='Visual SPC'!$I$4),OR('Visual SPC'!$K$4="",'Data Entry'!$F7586='Visual SPC'!$K$4)),1,0))</f>
        <v/>
      </c>
      <c r="C7586">
        <f>C7585+B7586</f>
        <v/>
      </c>
      <c r="D7586">
        <f>IF(B7586=1,INDEX('Data Entry'!$H$5:$BE$10004,7586-4,'Visual SPC'!$B$3),"")</f>
        <v/>
      </c>
      <c r="E7586">
        <f>IF(B7586=1,D7586,E7585)</f>
        <v/>
      </c>
      <c r="F7586">
        <f>IF(AND(B7586=1,C7586&gt;1,E7585&lt;&gt;""),ABS(D7586-E7585),"")</f>
        <v/>
      </c>
    </row>
    <row r="7587">
      <c r="A7587" t="n">
        <v>7587</v>
      </c>
      <c r="B7587">
        <f>IF(INDEX('Data Entry'!$H$5:$BE$10004,7587-4,'Visual SPC'!$B$3)="",0,IF(AND(OR('Visual SPC'!$C$4="",'Data Entry'!$C7587&gt;='Visual SPC'!$C$4),OR('Visual SPC'!$E$4="",'Data Entry'!$C7587&lt;='Visual SPC'!$E$4),OR('Visual SPC'!$G$4="",'Data Entry'!$D7587='Visual SPC'!$G$4),OR('Visual SPC'!$I$4="",'Data Entry'!$E7587='Visual SPC'!$I$4),OR('Visual SPC'!$K$4="",'Data Entry'!$F7587='Visual SPC'!$K$4)),1,0))</f>
        <v/>
      </c>
      <c r="C7587">
        <f>C7586+B7587</f>
        <v/>
      </c>
      <c r="D7587">
        <f>IF(B7587=1,INDEX('Data Entry'!$H$5:$BE$10004,7587-4,'Visual SPC'!$B$3),"")</f>
        <v/>
      </c>
      <c r="E7587">
        <f>IF(B7587=1,D7587,E7586)</f>
        <v/>
      </c>
      <c r="F7587">
        <f>IF(AND(B7587=1,C7587&gt;1,E7586&lt;&gt;""),ABS(D7587-E7586),"")</f>
        <v/>
      </c>
    </row>
    <row r="7588">
      <c r="A7588" t="n">
        <v>7588</v>
      </c>
      <c r="B7588">
        <f>IF(INDEX('Data Entry'!$H$5:$BE$10004,7588-4,'Visual SPC'!$B$3)="",0,IF(AND(OR('Visual SPC'!$C$4="",'Data Entry'!$C7588&gt;='Visual SPC'!$C$4),OR('Visual SPC'!$E$4="",'Data Entry'!$C7588&lt;='Visual SPC'!$E$4),OR('Visual SPC'!$G$4="",'Data Entry'!$D7588='Visual SPC'!$G$4),OR('Visual SPC'!$I$4="",'Data Entry'!$E7588='Visual SPC'!$I$4),OR('Visual SPC'!$K$4="",'Data Entry'!$F7588='Visual SPC'!$K$4)),1,0))</f>
        <v/>
      </c>
      <c r="C7588">
        <f>C7587+B7588</f>
        <v/>
      </c>
      <c r="D7588">
        <f>IF(B7588=1,INDEX('Data Entry'!$H$5:$BE$10004,7588-4,'Visual SPC'!$B$3),"")</f>
        <v/>
      </c>
      <c r="E7588">
        <f>IF(B7588=1,D7588,E7587)</f>
        <v/>
      </c>
      <c r="F7588">
        <f>IF(AND(B7588=1,C7588&gt;1,E7587&lt;&gt;""),ABS(D7588-E7587),"")</f>
        <v/>
      </c>
    </row>
    <row r="7589">
      <c r="A7589" t="n">
        <v>7589</v>
      </c>
      <c r="B7589">
        <f>IF(INDEX('Data Entry'!$H$5:$BE$10004,7589-4,'Visual SPC'!$B$3)="",0,IF(AND(OR('Visual SPC'!$C$4="",'Data Entry'!$C7589&gt;='Visual SPC'!$C$4),OR('Visual SPC'!$E$4="",'Data Entry'!$C7589&lt;='Visual SPC'!$E$4),OR('Visual SPC'!$G$4="",'Data Entry'!$D7589='Visual SPC'!$G$4),OR('Visual SPC'!$I$4="",'Data Entry'!$E7589='Visual SPC'!$I$4),OR('Visual SPC'!$K$4="",'Data Entry'!$F7589='Visual SPC'!$K$4)),1,0))</f>
        <v/>
      </c>
      <c r="C7589">
        <f>C7588+B7589</f>
        <v/>
      </c>
      <c r="D7589">
        <f>IF(B7589=1,INDEX('Data Entry'!$H$5:$BE$10004,7589-4,'Visual SPC'!$B$3),"")</f>
        <v/>
      </c>
      <c r="E7589">
        <f>IF(B7589=1,D7589,E7588)</f>
        <v/>
      </c>
      <c r="F7589">
        <f>IF(AND(B7589=1,C7589&gt;1,E7588&lt;&gt;""),ABS(D7589-E7588),"")</f>
        <v/>
      </c>
    </row>
    <row r="7590">
      <c r="A7590" t="n">
        <v>7590</v>
      </c>
      <c r="B7590">
        <f>IF(INDEX('Data Entry'!$H$5:$BE$10004,7590-4,'Visual SPC'!$B$3)="",0,IF(AND(OR('Visual SPC'!$C$4="",'Data Entry'!$C7590&gt;='Visual SPC'!$C$4),OR('Visual SPC'!$E$4="",'Data Entry'!$C7590&lt;='Visual SPC'!$E$4),OR('Visual SPC'!$G$4="",'Data Entry'!$D7590='Visual SPC'!$G$4),OR('Visual SPC'!$I$4="",'Data Entry'!$E7590='Visual SPC'!$I$4),OR('Visual SPC'!$K$4="",'Data Entry'!$F7590='Visual SPC'!$K$4)),1,0))</f>
        <v/>
      </c>
      <c r="C7590">
        <f>C7589+B7590</f>
        <v/>
      </c>
      <c r="D7590">
        <f>IF(B7590=1,INDEX('Data Entry'!$H$5:$BE$10004,7590-4,'Visual SPC'!$B$3),"")</f>
        <v/>
      </c>
      <c r="E7590">
        <f>IF(B7590=1,D7590,E7589)</f>
        <v/>
      </c>
      <c r="F7590">
        <f>IF(AND(B7590=1,C7590&gt;1,E7589&lt;&gt;""),ABS(D7590-E7589),"")</f>
        <v/>
      </c>
    </row>
    <row r="7591">
      <c r="A7591" t="n">
        <v>7591</v>
      </c>
      <c r="B7591">
        <f>IF(INDEX('Data Entry'!$H$5:$BE$10004,7591-4,'Visual SPC'!$B$3)="",0,IF(AND(OR('Visual SPC'!$C$4="",'Data Entry'!$C7591&gt;='Visual SPC'!$C$4),OR('Visual SPC'!$E$4="",'Data Entry'!$C7591&lt;='Visual SPC'!$E$4),OR('Visual SPC'!$G$4="",'Data Entry'!$D7591='Visual SPC'!$G$4),OR('Visual SPC'!$I$4="",'Data Entry'!$E7591='Visual SPC'!$I$4),OR('Visual SPC'!$K$4="",'Data Entry'!$F7591='Visual SPC'!$K$4)),1,0))</f>
        <v/>
      </c>
      <c r="C7591">
        <f>C7590+B7591</f>
        <v/>
      </c>
      <c r="D7591">
        <f>IF(B7591=1,INDEX('Data Entry'!$H$5:$BE$10004,7591-4,'Visual SPC'!$B$3),"")</f>
        <v/>
      </c>
      <c r="E7591">
        <f>IF(B7591=1,D7591,E7590)</f>
        <v/>
      </c>
      <c r="F7591">
        <f>IF(AND(B7591=1,C7591&gt;1,E7590&lt;&gt;""),ABS(D7591-E7590),"")</f>
        <v/>
      </c>
    </row>
    <row r="7592">
      <c r="A7592" t="n">
        <v>7592</v>
      </c>
      <c r="B7592">
        <f>IF(INDEX('Data Entry'!$H$5:$BE$10004,7592-4,'Visual SPC'!$B$3)="",0,IF(AND(OR('Visual SPC'!$C$4="",'Data Entry'!$C7592&gt;='Visual SPC'!$C$4),OR('Visual SPC'!$E$4="",'Data Entry'!$C7592&lt;='Visual SPC'!$E$4),OR('Visual SPC'!$G$4="",'Data Entry'!$D7592='Visual SPC'!$G$4),OR('Visual SPC'!$I$4="",'Data Entry'!$E7592='Visual SPC'!$I$4),OR('Visual SPC'!$K$4="",'Data Entry'!$F7592='Visual SPC'!$K$4)),1,0))</f>
        <v/>
      </c>
      <c r="C7592">
        <f>C7591+B7592</f>
        <v/>
      </c>
      <c r="D7592">
        <f>IF(B7592=1,INDEX('Data Entry'!$H$5:$BE$10004,7592-4,'Visual SPC'!$B$3),"")</f>
        <v/>
      </c>
      <c r="E7592">
        <f>IF(B7592=1,D7592,E7591)</f>
        <v/>
      </c>
      <c r="F7592">
        <f>IF(AND(B7592=1,C7592&gt;1,E7591&lt;&gt;""),ABS(D7592-E7591),"")</f>
        <v/>
      </c>
    </row>
    <row r="7593">
      <c r="A7593" t="n">
        <v>7593</v>
      </c>
      <c r="B7593">
        <f>IF(INDEX('Data Entry'!$H$5:$BE$10004,7593-4,'Visual SPC'!$B$3)="",0,IF(AND(OR('Visual SPC'!$C$4="",'Data Entry'!$C7593&gt;='Visual SPC'!$C$4),OR('Visual SPC'!$E$4="",'Data Entry'!$C7593&lt;='Visual SPC'!$E$4),OR('Visual SPC'!$G$4="",'Data Entry'!$D7593='Visual SPC'!$G$4),OR('Visual SPC'!$I$4="",'Data Entry'!$E7593='Visual SPC'!$I$4),OR('Visual SPC'!$K$4="",'Data Entry'!$F7593='Visual SPC'!$K$4)),1,0))</f>
        <v/>
      </c>
      <c r="C7593">
        <f>C7592+B7593</f>
        <v/>
      </c>
      <c r="D7593">
        <f>IF(B7593=1,INDEX('Data Entry'!$H$5:$BE$10004,7593-4,'Visual SPC'!$B$3),"")</f>
        <v/>
      </c>
      <c r="E7593">
        <f>IF(B7593=1,D7593,E7592)</f>
        <v/>
      </c>
      <c r="F7593">
        <f>IF(AND(B7593=1,C7593&gt;1,E7592&lt;&gt;""),ABS(D7593-E7592),"")</f>
        <v/>
      </c>
    </row>
    <row r="7594">
      <c r="A7594" t="n">
        <v>7594</v>
      </c>
      <c r="B7594">
        <f>IF(INDEX('Data Entry'!$H$5:$BE$10004,7594-4,'Visual SPC'!$B$3)="",0,IF(AND(OR('Visual SPC'!$C$4="",'Data Entry'!$C7594&gt;='Visual SPC'!$C$4),OR('Visual SPC'!$E$4="",'Data Entry'!$C7594&lt;='Visual SPC'!$E$4),OR('Visual SPC'!$G$4="",'Data Entry'!$D7594='Visual SPC'!$G$4),OR('Visual SPC'!$I$4="",'Data Entry'!$E7594='Visual SPC'!$I$4),OR('Visual SPC'!$K$4="",'Data Entry'!$F7594='Visual SPC'!$K$4)),1,0))</f>
        <v/>
      </c>
      <c r="C7594">
        <f>C7593+B7594</f>
        <v/>
      </c>
      <c r="D7594">
        <f>IF(B7594=1,INDEX('Data Entry'!$H$5:$BE$10004,7594-4,'Visual SPC'!$B$3),"")</f>
        <v/>
      </c>
      <c r="E7594">
        <f>IF(B7594=1,D7594,E7593)</f>
        <v/>
      </c>
      <c r="F7594">
        <f>IF(AND(B7594=1,C7594&gt;1,E7593&lt;&gt;""),ABS(D7594-E7593),"")</f>
        <v/>
      </c>
    </row>
    <row r="7595">
      <c r="A7595" t="n">
        <v>7595</v>
      </c>
      <c r="B7595">
        <f>IF(INDEX('Data Entry'!$H$5:$BE$10004,7595-4,'Visual SPC'!$B$3)="",0,IF(AND(OR('Visual SPC'!$C$4="",'Data Entry'!$C7595&gt;='Visual SPC'!$C$4),OR('Visual SPC'!$E$4="",'Data Entry'!$C7595&lt;='Visual SPC'!$E$4),OR('Visual SPC'!$G$4="",'Data Entry'!$D7595='Visual SPC'!$G$4),OR('Visual SPC'!$I$4="",'Data Entry'!$E7595='Visual SPC'!$I$4),OR('Visual SPC'!$K$4="",'Data Entry'!$F7595='Visual SPC'!$K$4)),1,0))</f>
        <v/>
      </c>
      <c r="C7595">
        <f>C7594+B7595</f>
        <v/>
      </c>
      <c r="D7595">
        <f>IF(B7595=1,INDEX('Data Entry'!$H$5:$BE$10004,7595-4,'Visual SPC'!$B$3),"")</f>
        <v/>
      </c>
      <c r="E7595">
        <f>IF(B7595=1,D7595,E7594)</f>
        <v/>
      </c>
      <c r="F7595">
        <f>IF(AND(B7595=1,C7595&gt;1,E7594&lt;&gt;""),ABS(D7595-E7594),"")</f>
        <v/>
      </c>
    </row>
    <row r="7596">
      <c r="A7596" t="n">
        <v>7596</v>
      </c>
      <c r="B7596">
        <f>IF(INDEX('Data Entry'!$H$5:$BE$10004,7596-4,'Visual SPC'!$B$3)="",0,IF(AND(OR('Visual SPC'!$C$4="",'Data Entry'!$C7596&gt;='Visual SPC'!$C$4),OR('Visual SPC'!$E$4="",'Data Entry'!$C7596&lt;='Visual SPC'!$E$4),OR('Visual SPC'!$G$4="",'Data Entry'!$D7596='Visual SPC'!$G$4),OR('Visual SPC'!$I$4="",'Data Entry'!$E7596='Visual SPC'!$I$4),OR('Visual SPC'!$K$4="",'Data Entry'!$F7596='Visual SPC'!$K$4)),1,0))</f>
        <v/>
      </c>
      <c r="C7596">
        <f>C7595+B7596</f>
        <v/>
      </c>
      <c r="D7596">
        <f>IF(B7596=1,INDEX('Data Entry'!$H$5:$BE$10004,7596-4,'Visual SPC'!$B$3),"")</f>
        <v/>
      </c>
      <c r="E7596">
        <f>IF(B7596=1,D7596,E7595)</f>
        <v/>
      </c>
      <c r="F7596">
        <f>IF(AND(B7596=1,C7596&gt;1,E7595&lt;&gt;""),ABS(D7596-E7595),"")</f>
        <v/>
      </c>
    </row>
    <row r="7597">
      <c r="A7597" t="n">
        <v>7597</v>
      </c>
      <c r="B7597">
        <f>IF(INDEX('Data Entry'!$H$5:$BE$10004,7597-4,'Visual SPC'!$B$3)="",0,IF(AND(OR('Visual SPC'!$C$4="",'Data Entry'!$C7597&gt;='Visual SPC'!$C$4),OR('Visual SPC'!$E$4="",'Data Entry'!$C7597&lt;='Visual SPC'!$E$4),OR('Visual SPC'!$G$4="",'Data Entry'!$D7597='Visual SPC'!$G$4),OR('Visual SPC'!$I$4="",'Data Entry'!$E7597='Visual SPC'!$I$4),OR('Visual SPC'!$K$4="",'Data Entry'!$F7597='Visual SPC'!$K$4)),1,0))</f>
        <v/>
      </c>
      <c r="C7597">
        <f>C7596+B7597</f>
        <v/>
      </c>
      <c r="D7597">
        <f>IF(B7597=1,INDEX('Data Entry'!$H$5:$BE$10004,7597-4,'Visual SPC'!$B$3),"")</f>
        <v/>
      </c>
      <c r="E7597">
        <f>IF(B7597=1,D7597,E7596)</f>
        <v/>
      </c>
      <c r="F7597">
        <f>IF(AND(B7597=1,C7597&gt;1,E7596&lt;&gt;""),ABS(D7597-E7596),"")</f>
        <v/>
      </c>
    </row>
    <row r="7598">
      <c r="A7598" t="n">
        <v>7598</v>
      </c>
      <c r="B7598">
        <f>IF(INDEX('Data Entry'!$H$5:$BE$10004,7598-4,'Visual SPC'!$B$3)="",0,IF(AND(OR('Visual SPC'!$C$4="",'Data Entry'!$C7598&gt;='Visual SPC'!$C$4),OR('Visual SPC'!$E$4="",'Data Entry'!$C7598&lt;='Visual SPC'!$E$4),OR('Visual SPC'!$G$4="",'Data Entry'!$D7598='Visual SPC'!$G$4),OR('Visual SPC'!$I$4="",'Data Entry'!$E7598='Visual SPC'!$I$4),OR('Visual SPC'!$K$4="",'Data Entry'!$F7598='Visual SPC'!$K$4)),1,0))</f>
        <v/>
      </c>
      <c r="C7598">
        <f>C7597+B7598</f>
        <v/>
      </c>
      <c r="D7598">
        <f>IF(B7598=1,INDEX('Data Entry'!$H$5:$BE$10004,7598-4,'Visual SPC'!$B$3),"")</f>
        <v/>
      </c>
      <c r="E7598">
        <f>IF(B7598=1,D7598,E7597)</f>
        <v/>
      </c>
      <c r="F7598">
        <f>IF(AND(B7598=1,C7598&gt;1,E7597&lt;&gt;""),ABS(D7598-E7597),"")</f>
        <v/>
      </c>
    </row>
    <row r="7599">
      <c r="A7599" t="n">
        <v>7599</v>
      </c>
      <c r="B7599">
        <f>IF(INDEX('Data Entry'!$H$5:$BE$10004,7599-4,'Visual SPC'!$B$3)="",0,IF(AND(OR('Visual SPC'!$C$4="",'Data Entry'!$C7599&gt;='Visual SPC'!$C$4),OR('Visual SPC'!$E$4="",'Data Entry'!$C7599&lt;='Visual SPC'!$E$4),OR('Visual SPC'!$G$4="",'Data Entry'!$D7599='Visual SPC'!$G$4),OR('Visual SPC'!$I$4="",'Data Entry'!$E7599='Visual SPC'!$I$4),OR('Visual SPC'!$K$4="",'Data Entry'!$F7599='Visual SPC'!$K$4)),1,0))</f>
        <v/>
      </c>
      <c r="C7599">
        <f>C7598+B7599</f>
        <v/>
      </c>
      <c r="D7599">
        <f>IF(B7599=1,INDEX('Data Entry'!$H$5:$BE$10004,7599-4,'Visual SPC'!$B$3),"")</f>
        <v/>
      </c>
      <c r="E7599">
        <f>IF(B7599=1,D7599,E7598)</f>
        <v/>
      </c>
      <c r="F7599">
        <f>IF(AND(B7599=1,C7599&gt;1,E7598&lt;&gt;""),ABS(D7599-E7598),"")</f>
        <v/>
      </c>
    </row>
    <row r="7600">
      <c r="A7600" t="n">
        <v>7600</v>
      </c>
      <c r="B7600">
        <f>IF(INDEX('Data Entry'!$H$5:$BE$10004,7600-4,'Visual SPC'!$B$3)="",0,IF(AND(OR('Visual SPC'!$C$4="",'Data Entry'!$C7600&gt;='Visual SPC'!$C$4),OR('Visual SPC'!$E$4="",'Data Entry'!$C7600&lt;='Visual SPC'!$E$4),OR('Visual SPC'!$G$4="",'Data Entry'!$D7600='Visual SPC'!$G$4),OR('Visual SPC'!$I$4="",'Data Entry'!$E7600='Visual SPC'!$I$4),OR('Visual SPC'!$K$4="",'Data Entry'!$F7600='Visual SPC'!$K$4)),1,0))</f>
        <v/>
      </c>
      <c r="C7600">
        <f>C7599+B7600</f>
        <v/>
      </c>
      <c r="D7600">
        <f>IF(B7600=1,INDEX('Data Entry'!$H$5:$BE$10004,7600-4,'Visual SPC'!$B$3),"")</f>
        <v/>
      </c>
      <c r="E7600">
        <f>IF(B7600=1,D7600,E7599)</f>
        <v/>
      </c>
      <c r="F7600">
        <f>IF(AND(B7600=1,C7600&gt;1,E7599&lt;&gt;""),ABS(D7600-E7599),"")</f>
        <v/>
      </c>
    </row>
    <row r="7601">
      <c r="A7601" t="n">
        <v>7601</v>
      </c>
      <c r="B7601">
        <f>IF(INDEX('Data Entry'!$H$5:$BE$10004,7601-4,'Visual SPC'!$B$3)="",0,IF(AND(OR('Visual SPC'!$C$4="",'Data Entry'!$C7601&gt;='Visual SPC'!$C$4),OR('Visual SPC'!$E$4="",'Data Entry'!$C7601&lt;='Visual SPC'!$E$4),OR('Visual SPC'!$G$4="",'Data Entry'!$D7601='Visual SPC'!$G$4),OR('Visual SPC'!$I$4="",'Data Entry'!$E7601='Visual SPC'!$I$4),OR('Visual SPC'!$K$4="",'Data Entry'!$F7601='Visual SPC'!$K$4)),1,0))</f>
        <v/>
      </c>
      <c r="C7601">
        <f>C7600+B7601</f>
        <v/>
      </c>
      <c r="D7601">
        <f>IF(B7601=1,INDEX('Data Entry'!$H$5:$BE$10004,7601-4,'Visual SPC'!$B$3),"")</f>
        <v/>
      </c>
      <c r="E7601">
        <f>IF(B7601=1,D7601,E7600)</f>
        <v/>
      </c>
      <c r="F7601">
        <f>IF(AND(B7601=1,C7601&gt;1,E7600&lt;&gt;""),ABS(D7601-E7600),"")</f>
        <v/>
      </c>
    </row>
    <row r="7602">
      <c r="A7602" t="n">
        <v>7602</v>
      </c>
      <c r="B7602">
        <f>IF(INDEX('Data Entry'!$H$5:$BE$10004,7602-4,'Visual SPC'!$B$3)="",0,IF(AND(OR('Visual SPC'!$C$4="",'Data Entry'!$C7602&gt;='Visual SPC'!$C$4),OR('Visual SPC'!$E$4="",'Data Entry'!$C7602&lt;='Visual SPC'!$E$4),OR('Visual SPC'!$G$4="",'Data Entry'!$D7602='Visual SPC'!$G$4),OR('Visual SPC'!$I$4="",'Data Entry'!$E7602='Visual SPC'!$I$4),OR('Visual SPC'!$K$4="",'Data Entry'!$F7602='Visual SPC'!$K$4)),1,0))</f>
        <v/>
      </c>
      <c r="C7602">
        <f>C7601+B7602</f>
        <v/>
      </c>
      <c r="D7602">
        <f>IF(B7602=1,INDEX('Data Entry'!$H$5:$BE$10004,7602-4,'Visual SPC'!$B$3),"")</f>
        <v/>
      </c>
      <c r="E7602">
        <f>IF(B7602=1,D7602,E7601)</f>
        <v/>
      </c>
      <c r="F7602">
        <f>IF(AND(B7602=1,C7602&gt;1,E7601&lt;&gt;""),ABS(D7602-E7601),"")</f>
        <v/>
      </c>
    </row>
    <row r="7603">
      <c r="A7603" t="n">
        <v>7603</v>
      </c>
      <c r="B7603">
        <f>IF(INDEX('Data Entry'!$H$5:$BE$10004,7603-4,'Visual SPC'!$B$3)="",0,IF(AND(OR('Visual SPC'!$C$4="",'Data Entry'!$C7603&gt;='Visual SPC'!$C$4),OR('Visual SPC'!$E$4="",'Data Entry'!$C7603&lt;='Visual SPC'!$E$4),OR('Visual SPC'!$G$4="",'Data Entry'!$D7603='Visual SPC'!$G$4),OR('Visual SPC'!$I$4="",'Data Entry'!$E7603='Visual SPC'!$I$4),OR('Visual SPC'!$K$4="",'Data Entry'!$F7603='Visual SPC'!$K$4)),1,0))</f>
        <v/>
      </c>
      <c r="C7603">
        <f>C7602+B7603</f>
        <v/>
      </c>
      <c r="D7603">
        <f>IF(B7603=1,INDEX('Data Entry'!$H$5:$BE$10004,7603-4,'Visual SPC'!$B$3),"")</f>
        <v/>
      </c>
      <c r="E7603">
        <f>IF(B7603=1,D7603,E7602)</f>
        <v/>
      </c>
      <c r="F7603">
        <f>IF(AND(B7603=1,C7603&gt;1,E7602&lt;&gt;""),ABS(D7603-E7602),"")</f>
        <v/>
      </c>
    </row>
    <row r="7604">
      <c r="A7604" t="n">
        <v>7604</v>
      </c>
      <c r="B7604">
        <f>IF(INDEX('Data Entry'!$H$5:$BE$10004,7604-4,'Visual SPC'!$B$3)="",0,IF(AND(OR('Visual SPC'!$C$4="",'Data Entry'!$C7604&gt;='Visual SPC'!$C$4),OR('Visual SPC'!$E$4="",'Data Entry'!$C7604&lt;='Visual SPC'!$E$4),OR('Visual SPC'!$G$4="",'Data Entry'!$D7604='Visual SPC'!$G$4),OR('Visual SPC'!$I$4="",'Data Entry'!$E7604='Visual SPC'!$I$4),OR('Visual SPC'!$K$4="",'Data Entry'!$F7604='Visual SPC'!$K$4)),1,0))</f>
        <v/>
      </c>
      <c r="C7604">
        <f>C7603+B7604</f>
        <v/>
      </c>
      <c r="D7604">
        <f>IF(B7604=1,INDEX('Data Entry'!$H$5:$BE$10004,7604-4,'Visual SPC'!$B$3),"")</f>
        <v/>
      </c>
      <c r="E7604">
        <f>IF(B7604=1,D7604,E7603)</f>
        <v/>
      </c>
      <c r="F7604">
        <f>IF(AND(B7604=1,C7604&gt;1,E7603&lt;&gt;""),ABS(D7604-E7603),"")</f>
        <v/>
      </c>
    </row>
    <row r="7605">
      <c r="A7605" t="n">
        <v>7605</v>
      </c>
      <c r="B7605">
        <f>IF(INDEX('Data Entry'!$H$5:$BE$10004,7605-4,'Visual SPC'!$B$3)="",0,IF(AND(OR('Visual SPC'!$C$4="",'Data Entry'!$C7605&gt;='Visual SPC'!$C$4),OR('Visual SPC'!$E$4="",'Data Entry'!$C7605&lt;='Visual SPC'!$E$4),OR('Visual SPC'!$G$4="",'Data Entry'!$D7605='Visual SPC'!$G$4),OR('Visual SPC'!$I$4="",'Data Entry'!$E7605='Visual SPC'!$I$4),OR('Visual SPC'!$K$4="",'Data Entry'!$F7605='Visual SPC'!$K$4)),1,0))</f>
        <v/>
      </c>
      <c r="C7605">
        <f>C7604+B7605</f>
        <v/>
      </c>
      <c r="D7605">
        <f>IF(B7605=1,INDEX('Data Entry'!$H$5:$BE$10004,7605-4,'Visual SPC'!$B$3),"")</f>
        <v/>
      </c>
      <c r="E7605">
        <f>IF(B7605=1,D7605,E7604)</f>
        <v/>
      </c>
      <c r="F7605">
        <f>IF(AND(B7605=1,C7605&gt;1,E7604&lt;&gt;""),ABS(D7605-E7604),"")</f>
        <v/>
      </c>
    </row>
    <row r="7606">
      <c r="A7606" t="n">
        <v>7606</v>
      </c>
      <c r="B7606">
        <f>IF(INDEX('Data Entry'!$H$5:$BE$10004,7606-4,'Visual SPC'!$B$3)="",0,IF(AND(OR('Visual SPC'!$C$4="",'Data Entry'!$C7606&gt;='Visual SPC'!$C$4),OR('Visual SPC'!$E$4="",'Data Entry'!$C7606&lt;='Visual SPC'!$E$4),OR('Visual SPC'!$G$4="",'Data Entry'!$D7606='Visual SPC'!$G$4),OR('Visual SPC'!$I$4="",'Data Entry'!$E7606='Visual SPC'!$I$4),OR('Visual SPC'!$K$4="",'Data Entry'!$F7606='Visual SPC'!$K$4)),1,0))</f>
        <v/>
      </c>
      <c r="C7606">
        <f>C7605+B7606</f>
        <v/>
      </c>
      <c r="D7606">
        <f>IF(B7606=1,INDEX('Data Entry'!$H$5:$BE$10004,7606-4,'Visual SPC'!$B$3),"")</f>
        <v/>
      </c>
      <c r="E7606">
        <f>IF(B7606=1,D7606,E7605)</f>
        <v/>
      </c>
      <c r="F7606">
        <f>IF(AND(B7606=1,C7606&gt;1,E7605&lt;&gt;""),ABS(D7606-E7605),"")</f>
        <v/>
      </c>
    </row>
    <row r="7607">
      <c r="A7607" t="n">
        <v>7607</v>
      </c>
      <c r="B7607">
        <f>IF(INDEX('Data Entry'!$H$5:$BE$10004,7607-4,'Visual SPC'!$B$3)="",0,IF(AND(OR('Visual SPC'!$C$4="",'Data Entry'!$C7607&gt;='Visual SPC'!$C$4),OR('Visual SPC'!$E$4="",'Data Entry'!$C7607&lt;='Visual SPC'!$E$4),OR('Visual SPC'!$G$4="",'Data Entry'!$D7607='Visual SPC'!$G$4),OR('Visual SPC'!$I$4="",'Data Entry'!$E7607='Visual SPC'!$I$4),OR('Visual SPC'!$K$4="",'Data Entry'!$F7607='Visual SPC'!$K$4)),1,0))</f>
        <v/>
      </c>
      <c r="C7607">
        <f>C7606+B7607</f>
        <v/>
      </c>
      <c r="D7607">
        <f>IF(B7607=1,INDEX('Data Entry'!$H$5:$BE$10004,7607-4,'Visual SPC'!$B$3),"")</f>
        <v/>
      </c>
      <c r="E7607">
        <f>IF(B7607=1,D7607,E7606)</f>
        <v/>
      </c>
      <c r="F7607">
        <f>IF(AND(B7607=1,C7607&gt;1,E7606&lt;&gt;""),ABS(D7607-E7606),"")</f>
        <v/>
      </c>
    </row>
    <row r="7608">
      <c r="A7608" t="n">
        <v>7608</v>
      </c>
      <c r="B7608">
        <f>IF(INDEX('Data Entry'!$H$5:$BE$10004,7608-4,'Visual SPC'!$B$3)="",0,IF(AND(OR('Visual SPC'!$C$4="",'Data Entry'!$C7608&gt;='Visual SPC'!$C$4),OR('Visual SPC'!$E$4="",'Data Entry'!$C7608&lt;='Visual SPC'!$E$4),OR('Visual SPC'!$G$4="",'Data Entry'!$D7608='Visual SPC'!$G$4),OR('Visual SPC'!$I$4="",'Data Entry'!$E7608='Visual SPC'!$I$4),OR('Visual SPC'!$K$4="",'Data Entry'!$F7608='Visual SPC'!$K$4)),1,0))</f>
        <v/>
      </c>
      <c r="C7608">
        <f>C7607+B7608</f>
        <v/>
      </c>
      <c r="D7608">
        <f>IF(B7608=1,INDEX('Data Entry'!$H$5:$BE$10004,7608-4,'Visual SPC'!$B$3),"")</f>
        <v/>
      </c>
      <c r="E7608">
        <f>IF(B7608=1,D7608,E7607)</f>
        <v/>
      </c>
      <c r="F7608">
        <f>IF(AND(B7608=1,C7608&gt;1,E7607&lt;&gt;""),ABS(D7608-E7607),"")</f>
        <v/>
      </c>
    </row>
    <row r="7609">
      <c r="A7609" t="n">
        <v>7609</v>
      </c>
      <c r="B7609">
        <f>IF(INDEX('Data Entry'!$H$5:$BE$10004,7609-4,'Visual SPC'!$B$3)="",0,IF(AND(OR('Visual SPC'!$C$4="",'Data Entry'!$C7609&gt;='Visual SPC'!$C$4),OR('Visual SPC'!$E$4="",'Data Entry'!$C7609&lt;='Visual SPC'!$E$4),OR('Visual SPC'!$G$4="",'Data Entry'!$D7609='Visual SPC'!$G$4),OR('Visual SPC'!$I$4="",'Data Entry'!$E7609='Visual SPC'!$I$4),OR('Visual SPC'!$K$4="",'Data Entry'!$F7609='Visual SPC'!$K$4)),1,0))</f>
        <v/>
      </c>
      <c r="C7609">
        <f>C7608+B7609</f>
        <v/>
      </c>
      <c r="D7609">
        <f>IF(B7609=1,INDEX('Data Entry'!$H$5:$BE$10004,7609-4,'Visual SPC'!$B$3),"")</f>
        <v/>
      </c>
      <c r="E7609">
        <f>IF(B7609=1,D7609,E7608)</f>
        <v/>
      </c>
      <c r="F7609">
        <f>IF(AND(B7609=1,C7609&gt;1,E7608&lt;&gt;""),ABS(D7609-E7608),"")</f>
        <v/>
      </c>
    </row>
    <row r="7610">
      <c r="A7610" t="n">
        <v>7610</v>
      </c>
      <c r="B7610">
        <f>IF(INDEX('Data Entry'!$H$5:$BE$10004,7610-4,'Visual SPC'!$B$3)="",0,IF(AND(OR('Visual SPC'!$C$4="",'Data Entry'!$C7610&gt;='Visual SPC'!$C$4),OR('Visual SPC'!$E$4="",'Data Entry'!$C7610&lt;='Visual SPC'!$E$4),OR('Visual SPC'!$G$4="",'Data Entry'!$D7610='Visual SPC'!$G$4),OR('Visual SPC'!$I$4="",'Data Entry'!$E7610='Visual SPC'!$I$4),OR('Visual SPC'!$K$4="",'Data Entry'!$F7610='Visual SPC'!$K$4)),1,0))</f>
        <v/>
      </c>
      <c r="C7610">
        <f>C7609+B7610</f>
        <v/>
      </c>
      <c r="D7610">
        <f>IF(B7610=1,INDEX('Data Entry'!$H$5:$BE$10004,7610-4,'Visual SPC'!$B$3),"")</f>
        <v/>
      </c>
      <c r="E7610">
        <f>IF(B7610=1,D7610,E7609)</f>
        <v/>
      </c>
      <c r="F7610">
        <f>IF(AND(B7610=1,C7610&gt;1,E7609&lt;&gt;""),ABS(D7610-E7609),"")</f>
        <v/>
      </c>
    </row>
    <row r="7611">
      <c r="A7611" t="n">
        <v>7611</v>
      </c>
      <c r="B7611">
        <f>IF(INDEX('Data Entry'!$H$5:$BE$10004,7611-4,'Visual SPC'!$B$3)="",0,IF(AND(OR('Visual SPC'!$C$4="",'Data Entry'!$C7611&gt;='Visual SPC'!$C$4),OR('Visual SPC'!$E$4="",'Data Entry'!$C7611&lt;='Visual SPC'!$E$4),OR('Visual SPC'!$G$4="",'Data Entry'!$D7611='Visual SPC'!$G$4),OR('Visual SPC'!$I$4="",'Data Entry'!$E7611='Visual SPC'!$I$4),OR('Visual SPC'!$K$4="",'Data Entry'!$F7611='Visual SPC'!$K$4)),1,0))</f>
        <v/>
      </c>
      <c r="C7611">
        <f>C7610+B7611</f>
        <v/>
      </c>
      <c r="D7611">
        <f>IF(B7611=1,INDEX('Data Entry'!$H$5:$BE$10004,7611-4,'Visual SPC'!$B$3),"")</f>
        <v/>
      </c>
      <c r="E7611">
        <f>IF(B7611=1,D7611,E7610)</f>
        <v/>
      </c>
      <c r="F7611">
        <f>IF(AND(B7611=1,C7611&gt;1,E7610&lt;&gt;""),ABS(D7611-E7610),"")</f>
        <v/>
      </c>
    </row>
    <row r="7612">
      <c r="A7612" t="n">
        <v>7612</v>
      </c>
      <c r="B7612">
        <f>IF(INDEX('Data Entry'!$H$5:$BE$10004,7612-4,'Visual SPC'!$B$3)="",0,IF(AND(OR('Visual SPC'!$C$4="",'Data Entry'!$C7612&gt;='Visual SPC'!$C$4),OR('Visual SPC'!$E$4="",'Data Entry'!$C7612&lt;='Visual SPC'!$E$4),OR('Visual SPC'!$G$4="",'Data Entry'!$D7612='Visual SPC'!$G$4),OR('Visual SPC'!$I$4="",'Data Entry'!$E7612='Visual SPC'!$I$4),OR('Visual SPC'!$K$4="",'Data Entry'!$F7612='Visual SPC'!$K$4)),1,0))</f>
        <v/>
      </c>
      <c r="C7612">
        <f>C7611+B7612</f>
        <v/>
      </c>
      <c r="D7612">
        <f>IF(B7612=1,INDEX('Data Entry'!$H$5:$BE$10004,7612-4,'Visual SPC'!$B$3),"")</f>
        <v/>
      </c>
      <c r="E7612">
        <f>IF(B7612=1,D7612,E7611)</f>
        <v/>
      </c>
      <c r="F7612">
        <f>IF(AND(B7612=1,C7612&gt;1,E7611&lt;&gt;""),ABS(D7612-E7611),"")</f>
        <v/>
      </c>
    </row>
    <row r="7613">
      <c r="A7613" t="n">
        <v>7613</v>
      </c>
      <c r="B7613">
        <f>IF(INDEX('Data Entry'!$H$5:$BE$10004,7613-4,'Visual SPC'!$B$3)="",0,IF(AND(OR('Visual SPC'!$C$4="",'Data Entry'!$C7613&gt;='Visual SPC'!$C$4),OR('Visual SPC'!$E$4="",'Data Entry'!$C7613&lt;='Visual SPC'!$E$4),OR('Visual SPC'!$G$4="",'Data Entry'!$D7613='Visual SPC'!$G$4),OR('Visual SPC'!$I$4="",'Data Entry'!$E7613='Visual SPC'!$I$4),OR('Visual SPC'!$K$4="",'Data Entry'!$F7613='Visual SPC'!$K$4)),1,0))</f>
        <v/>
      </c>
      <c r="C7613">
        <f>C7612+B7613</f>
        <v/>
      </c>
      <c r="D7613">
        <f>IF(B7613=1,INDEX('Data Entry'!$H$5:$BE$10004,7613-4,'Visual SPC'!$B$3),"")</f>
        <v/>
      </c>
      <c r="E7613">
        <f>IF(B7613=1,D7613,E7612)</f>
        <v/>
      </c>
      <c r="F7613">
        <f>IF(AND(B7613=1,C7613&gt;1,E7612&lt;&gt;""),ABS(D7613-E7612),"")</f>
        <v/>
      </c>
    </row>
    <row r="7614">
      <c r="A7614" t="n">
        <v>7614</v>
      </c>
      <c r="B7614">
        <f>IF(INDEX('Data Entry'!$H$5:$BE$10004,7614-4,'Visual SPC'!$B$3)="",0,IF(AND(OR('Visual SPC'!$C$4="",'Data Entry'!$C7614&gt;='Visual SPC'!$C$4),OR('Visual SPC'!$E$4="",'Data Entry'!$C7614&lt;='Visual SPC'!$E$4),OR('Visual SPC'!$G$4="",'Data Entry'!$D7614='Visual SPC'!$G$4),OR('Visual SPC'!$I$4="",'Data Entry'!$E7614='Visual SPC'!$I$4),OR('Visual SPC'!$K$4="",'Data Entry'!$F7614='Visual SPC'!$K$4)),1,0))</f>
        <v/>
      </c>
      <c r="C7614">
        <f>C7613+B7614</f>
        <v/>
      </c>
      <c r="D7614">
        <f>IF(B7614=1,INDEX('Data Entry'!$H$5:$BE$10004,7614-4,'Visual SPC'!$B$3),"")</f>
        <v/>
      </c>
      <c r="E7614">
        <f>IF(B7614=1,D7614,E7613)</f>
        <v/>
      </c>
      <c r="F7614">
        <f>IF(AND(B7614=1,C7614&gt;1,E7613&lt;&gt;""),ABS(D7614-E7613),"")</f>
        <v/>
      </c>
    </row>
    <row r="7615">
      <c r="A7615" t="n">
        <v>7615</v>
      </c>
      <c r="B7615">
        <f>IF(INDEX('Data Entry'!$H$5:$BE$10004,7615-4,'Visual SPC'!$B$3)="",0,IF(AND(OR('Visual SPC'!$C$4="",'Data Entry'!$C7615&gt;='Visual SPC'!$C$4),OR('Visual SPC'!$E$4="",'Data Entry'!$C7615&lt;='Visual SPC'!$E$4),OR('Visual SPC'!$G$4="",'Data Entry'!$D7615='Visual SPC'!$G$4),OR('Visual SPC'!$I$4="",'Data Entry'!$E7615='Visual SPC'!$I$4),OR('Visual SPC'!$K$4="",'Data Entry'!$F7615='Visual SPC'!$K$4)),1,0))</f>
        <v/>
      </c>
      <c r="C7615">
        <f>C7614+B7615</f>
        <v/>
      </c>
      <c r="D7615">
        <f>IF(B7615=1,INDEX('Data Entry'!$H$5:$BE$10004,7615-4,'Visual SPC'!$B$3),"")</f>
        <v/>
      </c>
      <c r="E7615">
        <f>IF(B7615=1,D7615,E7614)</f>
        <v/>
      </c>
      <c r="F7615">
        <f>IF(AND(B7615=1,C7615&gt;1,E7614&lt;&gt;""),ABS(D7615-E7614),"")</f>
        <v/>
      </c>
    </row>
    <row r="7616">
      <c r="A7616" t="n">
        <v>7616</v>
      </c>
      <c r="B7616">
        <f>IF(INDEX('Data Entry'!$H$5:$BE$10004,7616-4,'Visual SPC'!$B$3)="",0,IF(AND(OR('Visual SPC'!$C$4="",'Data Entry'!$C7616&gt;='Visual SPC'!$C$4),OR('Visual SPC'!$E$4="",'Data Entry'!$C7616&lt;='Visual SPC'!$E$4),OR('Visual SPC'!$G$4="",'Data Entry'!$D7616='Visual SPC'!$G$4),OR('Visual SPC'!$I$4="",'Data Entry'!$E7616='Visual SPC'!$I$4),OR('Visual SPC'!$K$4="",'Data Entry'!$F7616='Visual SPC'!$K$4)),1,0))</f>
        <v/>
      </c>
      <c r="C7616">
        <f>C7615+B7616</f>
        <v/>
      </c>
      <c r="D7616">
        <f>IF(B7616=1,INDEX('Data Entry'!$H$5:$BE$10004,7616-4,'Visual SPC'!$B$3),"")</f>
        <v/>
      </c>
      <c r="E7616">
        <f>IF(B7616=1,D7616,E7615)</f>
        <v/>
      </c>
      <c r="F7616">
        <f>IF(AND(B7616=1,C7616&gt;1,E7615&lt;&gt;""),ABS(D7616-E7615),"")</f>
        <v/>
      </c>
    </row>
    <row r="7617">
      <c r="A7617" t="n">
        <v>7617</v>
      </c>
      <c r="B7617">
        <f>IF(INDEX('Data Entry'!$H$5:$BE$10004,7617-4,'Visual SPC'!$B$3)="",0,IF(AND(OR('Visual SPC'!$C$4="",'Data Entry'!$C7617&gt;='Visual SPC'!$C$4),OR('Visual SPC'!$E$4="",'Data Entry'!$C7617&lt;='Visual SPC'!$E$4),OR('Visual SPC'!$G$4="",'Data Entry'!$D7617='Visual SPC'!$G$4),OR('Visual SPC'!$I$4="",'Data Entry'!$E7617='Visual SPC'!$I$4),OR('Visual SPC'!$K$4="",'Data Entry'!$F7617='Visual SPC'!$K$4)),1,0))</f>
        <v/>
      </c>
      <c r="C7617">
        <f>C7616+B7617</f>
        <v/>
      </c>
      <c r="D7617">
        <f>IF(B7617=1,INDEX('Data Entry'!$H$5:$BE$10004,7617-4,'Visual SPC'!$B$3),"")</f>
        <v/>
      </c>
      <c r="E7617">
        <f>IF(B7617=1,D7617,E7616)</f>
        <v/>
      </c>
      <c r="F7617">
        <f>IF(AND(B7617=1,C7617&gt;1,E7616&lt;&gt;""),ABS(D7617-E7616),"")</f>
        <v/>
      </c>
    </row>
    <row r="7618">
      <c r="A7618" t="n">
        <v>7618</v>
      </c>
      <c r="B7618">
        <f>IF(INDEX('Data Entry'!$H$5:$BE$10004,7618-4,'Visual SPC'!$B$3)="",0,IF(AND(OR('Visual SPC'!$C$4="",'Data Entry'!$C7618&gt;='Visual SPC'!$C$4),OR('Visual SPC'!$E$4="",'Data Entry'!$C7618&lt;='Visual SPC'!$E$4),OR('Visual SPC'!$G$4="",'Data Entry'!$D7618='Visual SPC'!$G$4),OR('Visual SPC'!$I$4="",'Data Entry'!$E7618='Visual SPC'!$I$4),OR('Visual SPC'!$K$4="",'Data Entry'!$F7618='Visual SPC'!$K$4)),1,0))</f>
        <v/>
      </c>
      <c r="C7618">
        <f>C7617+B7618</f>
        <v/>
      </c>
      <c r="D7618">
        <f>IF(B7618=1,INDEX('Data Entry'!$H$5:$BE$10004,7618-4,'Visual SPC'!$B$3),"")</f>
        <v/>
      </c>
      <c r="E7618">
        <f>IF(B7618=1,D7618,E7617)</f>
        <v/>
      </c>
      <c r="F7618">
        <f>IF(AND(B7618=1,C7618&gt;1,E7617&lt;&gt;""),ABS(D7618-E7617),"")</f>
        <v/>
      </c>
    </row>
    <row r="7619">
      <c r="A7619" t="n">
        <v>7619</v>
      </c>
      <c r="B7619">
        <f>IF(INDEX('Data Entry'!$H$5:$BE$10004,7619-4,'Visual SPC'!$B$3)="",0,IF(AND(OR('Visual SPC'!$C$4="",'Data Entry'!$C7619&gt;='Visual SPC'!$C$4),OR('Visual SPC'!$E$4="",'Data Entry'!$C7619&lt;='Visual SPC'!$E$4),OR('Visual SPC'!$G$4="",'Data Entry'!$D7619='Visual SPC'!$G$4),OR('Visual SPC'!$I$4="",'Data Entry'!$E7619='Visual SPC'!$I$4),OR('Visual SPC'!$K$4="",'Data Entry'!$F7619='Visual SPC'!$K$4)),1,0))</f>
        <v/>
      </c>
      <c r="C7619">
        <f>C7618+B7619</f>
        <v/>
      </c>
      <c r="D7619">
        <f>IF(B7619=1,INDEX('Data Entry'!$H$5:$BE$10004,7619-4,'Visual SPC'!$B$3),"")</f>
        <v/>
      </c>
      <c r="E7619">
        <f>IF(B7619=1,D7619,E7618)</f>
        <v/>
      </c>
      <c r="F7619">
        <f>IF(AND(B7619=1,C7619&gt;1,E7618&lt;&gt;""),ABS(D7619-E7618),"")</f>
        <v/>
      </c>
    </row>
    <row r="7620">
      <c r="A7620" t="n">
        <v>7620</v>
      </c>
      <c r="B7620">
        <f>IF(INDEX('Data Entry'!$H$5:$BE$10004,7620-4,'Visual SPC'!$B$3)="",0,IF(AND(OR('Visual SPC'!$C$4="",'Data Entry'!$C7620&gt;='Visual SPC'!$C$4),OR('Visual SPC'!$E$4="",'Data Entry'!$C7620&lt;='Visual SPC'!$E$4),OR('Visual SPC'!$G$4="",'Data Entry'!$D7620='Visual SPC'!$G$4),OR('Visual SPC'!$I$4="",'Data Entry'!$E7620='Visual SPC'!$I$4),OR('Visual SPC'!$K$4="",'Data Entry'!$F7620='Visual SPC'!$K$4)),1,0))</f>
        <v/>
      </c>
      <c r="C7620">
        <f>C7619+B7620</f>
        <v/>
      </c>
      <c r="D7620">
        <f>IF(B7620=1,INDEX('Data Entry'!$H$5:$BE$10004,7620-4,'Visual SPC'!$B$3),"")</f>
        <v/>
      </c>
      <c r="E7620">
        <f>IF(B7620=1,D7620,E7619)</f>
        <v/>
      </c>
      <c r="F7620">
        <f>IF(AND(B7620=1,C7620&gt;1,E7619&lt;&gt;""),ABS(D7620-E7619),"")</f>
        <v/>
      </c>
    </row>
    <row r="7621">
      <c r="A7621" t="n">
        <v>7621</v>
      </c>
      <c r="B7621">
        <f>IF(INDEX('Data Entry'!$H$5:$BE$10004,7621-4,'Visual SPC'!$B$3)="",0,IF(AND(OR('Visual SPC'!$C$4="",'Data Entry'!$C7621&gt;='Visual SPC'!$C$4),OR('Visual SPC'!$E$4="",'Data Entry'!$C7621&lt;='Visual SPC'!$E$4),OR('Visual SPC'!$G$4="",'Data Entry'!$D7621='Visual SPC'!$G$4),OR('Visual SPC'!$I$4="",'Data Entry'!$E7621='Visual SPC'!$I$4),OR('Visual SPC'!$K$4="",'Data Entry'!$F7621='Visual SPC'!$K$4)),1,0))</f>
        <v/>
      </c>
      <c r="C7621">
        <f>C7620+B7621</f>
        <v/>
      </c>
      <c r="D7621">
        <f>IF(B7621=1,INDEX('Data Entry'!$H$5:$BE$10004,7621-4,'Visual SPC'!$B$3),"")</f>
        <v/>
      </c>
      <c r="E7621">
        <f>IF(B7621=1,D7621,E7620)</f>
        <v/>
      </c>
      <c r="F7621">
        <f>IF(AND(B7621=1,C7621&gt;1,E7620&lt;&gt;""),ABS(D7621-E7620),"")</f>
        <v/>
      </c>
    </row>
    <row r="7622">
      <c r="A7622" t="n">
        <v>7622</v>
      </c>
      <c r="B7622">
        <f>IF(INDEX('Data Entry'!$H$5:$BE$10004,7622-4,'Visual SPC'!$B$3)="",0,IF(AND(OR('Visual SPC'!$C$4="",'Data Entry'!$C7622&gt;='Visual SPC'!$C$4),OR('Visual SPC'!$E$4="",'Data Entry'!$C7622&lt;='Visual SPC'!$E$4),OR('Visual SPC'!$G$4="",'Data Entry'!$D7622='Visual SPC'!$G$4),OR('Visual SPC'!$I$4="",'Data Entry'!$E7622='Visual SPC'!$I$4),OR('Visual SPC'!$K$4="",'Data Entry'!$F7622='Visual SPC'!$K$4)),1,0))</f>
        <v/>
      </c>
      <c r="C7622">
        <f>C7621+B7622</f>
        <v/>
      </c>
      <c r="D7622">
        <f>IF(B7622=1,INDEX('Data Entry'!$H$5:$BE$10004,7622-4,'Visual SPC'!$B$3),"")</f>
        <v/>
      </c>
      <c r="E7622">
        <f>IF(B7622=1,D7622,E7621)</f>
        <v/>
      </c>
      <c r="F7622">
        <f>IF(AND(B7622=1,C7622&gt;1,E7621&lt;&gt;""),ABS(D7622-E7621),"")</f>
        <v/>
      </c>
    </row>
    <row r="7623">
      <c r="A7623" t="n">
        <v>7623</v>
      </c>
      <c r="B7623">
        <f>IF(INDEX('Data Entry'!$H$5:$BE$10004,7623-4,'Visual SPC'!$B$3)="",0,IF(AND(OR('Visual SPC'!$C$4="",'Data Entry'!$C7623&gt;='Visual SPC'!$C$4),OR('Visual SPC'!$E$4="",'Data Entry'!$C7623&lt;='Visual SPC'!$E$4),OR('Visual SPC'!$G$4="",'Data Entry'!$D7623='Visual SPC'!$G$4),OR('Visual SPC'!$I$4="",'Data Entry'!$E7623='Visual SPC'!$I$4),OR('Visual SPC'!$K$4="",'Data Entry'!$F7623='Visual SPC'!$K$4)),1,0))</f>
        <v/>
      </c>
      <c r="C7623">
        <f>C7622+B7623</f>
        <v/>
      </c>
      <c r="D7623">
        <f>IF(B7623=1,INDEX('Data Entry'!$H$5:$BE$10004,7623-4,'Visual SPC'!$B$3),"")</f>
        <v/>
      </c>
      <c r="E7623">
        <f>IF(B7623=1,D7623,E7622)</f>
        <v/>
      </c>
      <c r="F7623">
        <f>IF(AND(B7623=1,C7623&gt;1,E7622&lt;&gt;""),ABS(D7623-E7622),"")</f>
        <v/>
      </c>
    </row>
    <row r="7624">
      <c r="A7624" t="n">
        <v>7624</v>
      </c>
      <c r="B7624">
        <f>IF(INDEX('Data Entry'!$H$5:$BE$10004,7624-4,'Visual SPC'!$B$3)="",0,IF(AND(OR('Visual SPC'!$C$4="",'Data Entry'!$C7624&gt;='Visual SPC'!$C$4),OR('Visual SPC'!$E$4="",'Data Entry'!$C7624&lt;='Visual SPC'!$E$4),OR('Visual SPC'!$G$4="",'Data Entry'!$D7624='Visual SPC'!$G$4),OR('Visual SPC'!$I$4="",'Data Entry'!$E7624='Visual SPC'!$I$4),OR('Visual SPC'!$K$4="",'Data Entry'!$F7624='Visual SPC'!$K$4)),1,0))</f>
        <v/>
      </c>
      <c r="C7624">
        <f>C7623+B7624</f>
        <v/>
      </c>
      <c r="D7624">
        <f>IF(B7624=1,INDEX('Data Entry'!$H$5:$BE$10004,7624-4,'Visual SPC'!$B$3),"")</f>
        <v/>
      </c>
      <c r="E7624">
        <f>IF(B7624=1,D7624,E7623)</f>
        <v/>
      </c>
      <c r="F7624">
        <f>IF(AND(B7624=1,C7624&gt;1,E7623&lt;&gt;""),ABS(D7624-E7623),"")</f>
        <v/>
      </c>
    </row>
    <row r="7625">
      <c r="A7625" t="n">
        <v>7625</v>
      </c>
      <c r="B7625">
        <f>IF(INDEX('Data Entry'!$H$5:$BE$10004,7625-4,'Visual SPC'!$B$3)="",0,IF(AND(OR('Visual SPC'!$C$4="",'Data Entry'!$C7625&gt;='Visual SPC'!$C$4),OR('Visual SPC'!$E$4="",'Data Entry'!$C7625&lt;='Visual SPC'!$E$4),OR('Visual SPC'!$G$4="",'Data Entry'!$D7625='Visual SPC'!$G$4),OR('Visual SPC'!$I$4="",'Data Entry'!$E7625='Visual SPC'!$I$4),OR('Visual SPC'!$K$4="",'Data Entry'!$F7625='Visual SPC'!$K$4)),1,0))</f>
        <v/>
      </c>
      <c r="C7625">
        <f>C7624+B7625</f>
        <v/>
      </c>
      <c r="D7625">
        <f>IF(B7625=1,INDEX('Data Entry'!$H$5:$BE$10004,7625-4,'Visual SPC'!$B$3),"")</f>
        <v/>
      </c>
      <c r="E7625">
        <f>IF(B7625=1,D7625,E7624)</f>
        <v/>
      </c>
      <c r="F7625">
        <f>IF(AND(B7625=1,C7625&gt;1,E7624&lt;&gt;""),ABS(D7625-E7624),"")</f>
        <v/>
      </c>
    </row>
    <row r="7626">
      <c r="A7626" t="n">
        <v>7626</v>
      </c>
      <c r="B7626">
        <f>IF(INDEX('Data Entry'!$H$5:$BE$10004,7626-4,'Visual SPC'!$B$3)="",0,IF(AND(OR('Visual SPC'!$C$4="",'Data Entry'!$C7626&gt;='Visual SPC'!$C$4),OR('Visual SPC'!$E$4="",'Data Entry'!$C7626&lt;='Visual SPC'!$E$4),OR('Visual SPC'!$G$4="",'Data Entry'!$D7626='Visual SPC'!$G$4),OR('Visual SPC'!$I$4="",'Data Entry'!$E7626='Visual SPC'!$I$4),OR('Visual SPC'!$K$4="",'Data Entry'!$F7626='Visual SPC'!$K$4)),1,0))</f>
        <v/>
      </c>
      <c r="C7626">
        <f>C7625+B7626</f>
        <v/>
      </c>
      <c r="D7626">
        <f>IF(B7626=1,INDEX('Data Entry'!$H$5:$BE$10004,7626-4,'Visual SPC'!$B$3),"")</f>
        <v/>
      </c>
      <c r="E7626">
        <f>IF(B7626=1,D7626,E7625)</f>
        <v/>
      </c>
      <c r="F7626">
        <f>IF(AND(B7626=1,C7626&gt;1,E7625&lt;&gt;""),ABS(D7626-E7625),"")</f>
        <v/>
      </c>
    </row>
    <row r="7627">
      <c r="A7627" t="n">
        <v>7627</v>
      </c>
      <c r="B7627">
        <f>IF(INDEX('Data Entry'!$H$5:$BE$10004,7627-4,'Visual SPC'!$B$3)="",0,IF(AND(OR('Visual SPC'!$C$4="",'Data Entry'!$C7627&gt;='Visual SPC'!$C$4),OR('Visual SPC'!$E$4="",'Data Entry'!$C7627&lt;='Visual SPC'!$E$4),OR('Visual SPC'!$G$4="",'Data Entry'!$D7627='Visual SPC'!$G$4),OR('Visual SPC'!$I$4="",'Data Entry'!$E7627='Visual SPC'!$I$4),OR('Visual SPC'!$K$4="",'Data Entry'!$F7627='Visual SPC'!$K$4)),1,0))</f>
        <v/>
      </c>
      <c r="C7627">
        <f>C7626+B7627</f>
        <v/>
      </c>
      <c r="D7627">
        <f>IF(B7627=1,INDEX('Data Entry'!$H$5:$BE$10004,7627-4,'Visual SPC'!$B$3),"")</f>
        <v/>
      </c>
      <c r="E7627">
        <f>IF(B7627=1,D7627,E7626)</f>
        <v/>
      </c>
      <c r="F7627">
        <f>IF(AND(B7627=1,C7627&gt;1,E7626&lt;&gt;""),ABS(D7627-E7626),"")</f>
        <v/>
      </c>
    </row>
    <row r="7628">
      <c r="A7628" t="n">
        <v>7628</v>
      </c>
      <c r="B7628">
        <f>IF(INDEX('Data Entry'!$H$5:$BE$10004,7628-4,'Visual SPC'!$B$3)="",0,IF(AND(OR('Visual SPC'!$C$4="",'Data Entry'!$C7628&gt;='Visual SPC'!$C$4),OR('Visual SPC'!$E$4="",'Data Entry'!$C7628&lt;='Visual SPC'!$E$4),OR('Visual SPC'!$G$4="",'Data Entry'!$D7628='Visual SPC'!$G$4),OR('Visual SPC'!$I$4="",'Data Entry'!$E7628='Visual SPC'!$I$4),OR('Visual SPC'!$K$4="",'Data Entry'!$F7628='Visual SPC'!$K$4)),1,0))</f>
        <v/>
      </c>
      <c r="C7628">
        <f>C7627+B7628</f>
        <v/>
      </c>
      <c r="D7628">
        <f>IF(B7628=1,INDEX('Data Entry'!$H$5:$BE$10004,7628-4,'Visual SPC'!$B$3),"")</f>
        <v/>
      </c>
      <c r="E7628">
        <f>IF(B7628=1,D7628,E7627)</f>
        <v/>
      </c>
      <c r="F7628">
        <f>IF(AND(B7628=1,C7628&gt;1,E7627&lt;&gt;""),ABS(D7628-E7627),"")</f>
        <v/>
      </c>
    </row>
    <row r="7629">
      <c r="A7629" t="n">
        <v>7629</v>
      </c>
      <c r="B7629">
        <f>IF(INDEX('Data Entry'!$H$5:$BE$10004,7629-4,'Visual SPC'!$B$3)="",0,IF(AND(OR('Visual SPC'!$C$4="",'Data Entry'!$C7629&gt;='Visual SPC'!$C$4),OR('Visual SPC'!$E$4="",'Data Entry'!$C7629&lt;='Visual SPC'!$E$4),OR('Visual SPC'!$G$4="",'Data Entry'!$D7629='Visual SPC'!$G$4),OR('Visual SPC'!$I$4="",'Data Entry'!$E7629='Visual SPC'!$I$4),OR('Visual SPC'!$K$4="",'Data Entry'!$F7629='Visual SPC'!$K$4)),1,0))</f>
        <v/>
      </c>
      <c r="C7629">
        <f>C7628+B7629</f>
        <v/>
      </c>
      <c r="D7629">
        <f>IF(B7629=1,INDEX('Data Entry'!$H$5:$BE$10004,7629-4,'Visual SPC'!$B$3),"")</f>
        <v/>
      </c>
      <c r="E7629">
        <f>IF(B7629=1,D7629,E7628)</f>
        <v/>
      </c>
      <c r="F7629">
        <f>IF(AND(B7629=1,C7629&gt;1,E7628&lt;&gt;""),ABS(D7629-E7628),"")</f>
        <v/>
      </c>
    </row>
    <row r="7630">
      <c r="A7630" t="n">
        <v>7630</v>
      </c>
      <c r="B7630">
        <f>IF(INDEX('Data Entry'!$H$5:$BE$10004,7630-4,'Visual SPC'!$B$3)="",0,IF(AND(OR('Visual SPC'!$C$4="",'Data Entry'!$C7630&gt;='Visual SPC'!$C$4),OR('Visual SPC'!$E$4="",'Data Entry'!$C7630&lt;='Visual SPC'!$E$4),OR('Visual SPC'!$G$4="",'Data Entry'!$D7630='Visual SPC'!$G$4),OR('Visual SPC'!$I$4="",'Data Entry'!$E7630='Visual SPC'!$I$4),OR('Visual SPC'!$K$4="",'Data Entry'!$F7630='Visual SPC'!$K$4)),1,0))</f>
        <v/>
      </c>
      <c r="C7630">
        <f>C7629+B7630</f>
        <v/>
      </c>
      <c r="D7630">
        <f>IF(B7630=1,INDEX('Data Entry'!$H$5:$BE$10004,7630-4,'Visual SPC'!$B$3),"")</f>
        <v/>
      </c>
      <c r="E7630">
        <f>IF(B7630=1,D7630,E7629)</f>
        <v/>
      </c>
      <c r="F7630">
        <f>IF(AND(B7630=1,C7630&gt;1,E7629&lt;&gt;""),ABS(D7630-E7629),"")</f>
        <v/>
      </c>
    </row>
    <row r="7631">
      <c r="A7631" t="n">
        <v>7631</v>
      </c>
      <c r="B7631">
        <f>IF(INDEX('Data Entry'!$H$5:$BE$10004,7631-4,'Visual SPC'!$B$3)="",0,IF(AND(OR('Visual SPC'!$C$4="",'Data Entry'!$C7631&gt;='Visual SPC'!$C$4),OR('Visual SPC'!$E$4="",'Data Entry'!$C7631&lt;='Visual SPC'!$E$4),OR('Visual SPC'!$G$4="",'Data Entry'!$D7631='Visual SPC'!$G$4),OR('Visual SPC'!$I$4="",'Data Entry'!$E7631='Visual SPC'!$I$4),OR('Visual SPC'!$K$4="",'Data Entry'!$F7631='Visual SPC'!$K$4)),1,0))</f>
        <v/>
      </c>
      <c r="C7631">
        <f>C7630+B7631</f>
        <v/>
      </c>
      <c r="D7631">
        <f>IF(B7631=1,INDEX('Data Entry'!$H$5:$BE$10004,7631-4,'Visual SPC'!$B$3),"")</f>
        <v/>
      </c>
      <c r="E7631">
        <f>IF(B7631=1,D7631,E7630)</f>
        <v/>
      </c>
      <c r="F7631">
        <f>IF(AND(B7631=1,C7631&gt;1,E7630&lt;&gt;""),ABS(D7631-E7630),"")</f>
        <v/>
      </c>
    </row>
    <row r="7632">
      <c r="A7632" t="n">
        <v>7632</v>
      </c>
      <c r="B7632">
        <f>IF(INDEX('Data Entry'!$H$5:$BE$10004,7632-4,'Visual SPC'!$B$3)="",0,IF(AND(OR('Visual SPC'!$C$4="",'Data Entry'!$C7632&gt;='Visual SPC'!$C$4),OR('Visual SPC'!$E$4="",'Data Entry'!$C7632&lt;='Visual SPC'!$E$4),OR('Visual SPC'!$G$4="",'Data Entry'!$D7632='Visual SPC'!$G$4),OR('Visual SPC'!$I$4="",'Data Entry'!$E7632='Visual SPC'!$I$4),OR('Visual SPC'!$K$4="",'Data Entry'!$F7632='Visual SPC'!$K$4)),1,0))</f>
        <v/>
      </c>
      <c r="C7632">
        <f>C7631+B7632</f>
        <v/>
      </c>
      <c r="D7632">
        <f>IF(B7632=1,INDEX('Data Entry'!$H$5:$BE$10004,7632-4,'Visual SPC'!$B$3),"")</f>
        <v/>
      </c>
      <c r="E7632">
        <f>IF(B7632=1,D7632,E7631)</f>
        <v/>
      </c>
      <c r="F7632">
        <f>IF(AND(B7632=1,C7632&gt;1,E7631&lt;&gt;""),ABS(D7632-E7631),"")</f>
        <v/>
      </c>
    </row>
    <row r="7633">
      <c r="A7633" t="n">
        <v>7633</v>
      </c>
      <c r="B7633">
        <f>IF(INDEX('Data Entry'!$H$5:$BE$10004,7633-4,'Visual SPC'!$B$3)="",0,IF(AND(OR('Visual SPC'!$C$4="",'Data Entry'!$C7633&gt;='Visual SPC'!$C$4),OR('Visual SPC'!$E$4="",'Data Entry'!$C7633&lt;='Visual SPC'!$E$4),OR('Visual SPC'!$G$4="",'Data Entry'!$D7633='Visual SPC'!$G$4),OR('Visual SPC'!$I$4="",'Data Entry'!$E7633='Visual SPC'!$I$4),OR('Visual SPC'!$K$4="",'Data Entry'!$F7633='Visual SPC'!$K$4)),1,0))</f>
        <v/>
      </c>
      <c r="C7633">
        <f>C7632+B7633</f>
        <v/>
      </c>
      <c r="D7633">
        <f>IF(B7633=1,INDEX('Data Entry'!$H$5:$BE$10004,7633-4,'Visual SPC'!$B$3),"")</f>
        <v/>
      </c>
      <c r="E7633">
        <f>IF(B7633=1,D7633,E7632)</f>
        <v/>
      </c>
      <c r="F7633">
        <f>IF(AND(B7633=1,C7633&gt;1,E7632&lt;&gt;""),ABS(D7633-E7632),"")</f>
        <v/>
      </c>
    </row>
    <row r="7634">
      <c r="A7634" t="n">
        <v>7634</v>
      </c>
      <c r="B7634">
        <f>IF(INDEX('Data Entry'!$H$5:$BE$10004,7634-4,'Visual SPC'!$B$3)="",0,IF(AND(OR('Visual SPC'!$C$4="",'Data Entry'!$C7634&gt;='Visual SPC'!$C$4),OR('Visual SPC'!$E$4="",'Data Entry'!$C7634&lt;='Visual SPC'!$E$4),OR('Visual SPC'!$G$4="",'Data Entry'!$D7634='Visual SPC'!$G$4),OR('Visual SPC'!$I$4="",'Data Entry'!$E7634='Visual SPC'!$I$4),OR('Visual SPC'!$K$4="",'Data Entry'!$F7634='Visual SPC'!$K$4)),1,0))</f>
        <v/>
      </c>
      <c r="C7634">
        <f>C7633+B7634</f>
        <v/>
      </c>
      <c r="D7634">
        <f>IF(B7634=1,INDEX('Data Entry'!$H$5:$BE$10004,7634-4,'Visual SPC'!$B$3),"")</f>
        <v/>
      </c>
      <c r="E7634">
        <f>IF(B7634=1,D7634,E7633)</f>
        <v/>
      </c>
      <c r="F7634">
        <f>IF(AND(B7634=1,C7634&gt;1,E7633&lt;&gt;""),ABS(D7634-E7633),"")</f>
        <v/>
      </c>
    </row>
    <row r="7635">
      <c r="A7635" t="n">
        <v>7635</v>
      </c>
      <c r="B7635">
        <f>IF(INDEX('Data Entry'!$H$5:$BE$10004,7635-4,'Visual SPC'!$B$3)="",0,IF(AND(OR('Visual SPC'!$C$4="",'Data Entry'!$C7635&gt;='Visual SPC'!$C$4),OR('Visual SPC'!$E$4="",'Data Entry'!$C7635&lt;='Visual SPC'!$E$4),OR('Visual SPC'!$G$4="",'Data Entry'!$D7635='Visual SPC'!$G$4),OR('Visual SPC'!$I$4="",'Data Entry'!$E7635='Visual SPC'!$I$4),OR('Visual SPC'!$K$4="",'Data Entry'!$F7635='Visual SPC'!$K$4)),1,0))</f>
        <v/>
      </c>
      <c r="C7635">
        <f>C7634+B7635</f>
        <v/>
      </c>
      <c r="D7635">
        <f>IF(B7635=1,INDEX('Data Entry'!$H$5:$BE$10004,7635-4,'Visual SPC'!$B$3),"")</f>
        <v/>
      </c>
      <c r="E7635">
        <f>IF(B7635=1,D7635,E7634)</f>
        <v/>
      </c>
      <c r="F7635">
        <f>IF(AND(B7635=1,C7635&gt;1,E7634&lt;&gt;""),ABS(D7635-E7634),"")</f>
        <v/>
      </c>
    </row>
    <row r="7636">
      <c r="A7636" t="n">
        <v>7636</v>
      </c>
      <c r="B7636">
        <f>IF(INDEX('Data Entry'!$H$5:$BE$10004,7636-4,'Visual SPC'!$B$3)="",0,IF(AND(OR('Visual SPC'!$C$4="",'Data Entry'!$C7636&gt;='Visual SPC'!$C$4),OR('Visual SPC'!$E$4="",'Data Entry'!$C7636&lt;='Visual SPC'!$E$4),OR('Visual SPC'!$G$4="",'Data Entry'!$D7636='Visual SPC'!$G$4),OR('Visual SPC'!$I$4="",'Data Entry'!$E7636='Visual SPC'!$I$4),OR('Visual SPC'!$K$4="",'Data Entry'!$F7636='Visual SPC'!$K$4)),1,0))</f>
        <v/>
      </c>
      <c r="C7636">
        <f>C7635+B7636</f>
        <v/>
      </c>
      <c r="D7636">
        <f>IF(B7636=1,INDEX('Data Entry'!$H$5:$BE$10004,7636-4,'Visual SPC'!$B$3),"")</f>
        <v/>
      </c>
      <c r="E7636">
        <f>IF(B7636=1,D7636,E7635)</f>
        <v/>
      </c>
      <c r="F7636">
        <f>IF(AND(B7636=1,C7636&gt;1,E7635&lt;&gt;""),ABS(D7636-E7635),"")</f>
        <v/>
      </c>
    </row>
    <row r="7637">
      <c r="A7637" t="n">
        <v>7637</v>
      </c>
      <c r="B7637">
        <f>IF(INDEX('Data Entry'!$H$5:$BE$10004,7637-4,'Visual SPC'!$B$3)="",0,IF(AND(OR('Visual SPC'!$C$4="",'Data Entry'!$C7637&gt;='Visual SPC'!$C$4),OR('Visual SPC'!$E$4="",'Data Entry'!$C7637&lt;='Visual SPC'!$E$4),OR('Visual SPC'!$G$4="",'Data Entry'!$D7637='Visual SPC'!$G$4),OR('Visual SPC'!$I$4="",'Data Entry'!$E7637='Visual SPC'!$I$4),OR('Visual SPC'!$K$4="",'Data Entry'!$F7637='Visual SPC'!$K$4)),1,0))</f>
        <v/>
      </c>
      <c r="C7637">
        <f>C7636+B7637</f>
        <v/>
      </c>
      <c r="D7637">
        <f>IF(B7637=1,INDEX('Data Entry'!$H$5:$BE$10004,7637-4,'Visual SPC'!$B$3),"")</f>
        <v/>
      </c>
      <c r="E7637">
        <f>IF(B7637=1,D7637,E7636)</f>
        <v/>
      </c>
      <c r="F7637">
        <f>IF(AND(B7637=1,C7637&gt;1,E7636&lt;&gt;""),ABS(D7637-E7636),"")</f>
        <v/>
      </c>
    </row>
    <row r="7638">
      <c r="A7638" t="n">
        <v>7638</v>
      </c>
      <c r="B7638">
        <f>IF(INDEX('Data Entry'!$H$5:$BE$10004,7638-4,'Visual SPC'!$B$3)="",0,IF(AND(OR('Visual SPC'!$C$4="",'Data Entry'!$C7638&gt;='Visual SPC'!$C$4),OR('Visual SPC'!$E$4="",'Data Entry'!$C7638&lt;='Visual SPC'!$E$4),OR('Visual SPC'!$G$4="",'Data Entry'!$D7638='Visual SPC'!$G$4),OR('Visual SPC'!$I$4="",'Data Entry'!$E7638='Visual SPC'!$I$4),OR('Visual SPC'!$K$4="",'Data Entry'!$F7638='Visual SPC'!$K$4)),1,0))</f>
        <v/>
      </c>
      <c r="C7638">
        <f>C7637+B7638</f>
        <v/>
      </c>
      <c r="D7638">
        <f>IF(B7638=1,INDEX('Data Entry'!$H$5:$BE$10004,7638-4,'Visual SPC'!$B$3),"")</f>
        <v/>
      </c>
      <c r="E7638">
        <f>IF(B7638=1,D7638,E7637)</f>
        <v/>
      </c>
      <c r="F7638">
        <f>IF(AND(B7638=1,C7638&gt;1,E7637&lt;&gt;""),ABS(D7638-E7637),"")</f>
        <v/>
      </c>
    </row>
    <row r="7639">
      <c r="A7639" t="n">
        <v>7639</v>
      </c>
      <c r="B7639">
        <f>IF(INDEX('Data Entry'!$H$5:$BE$10004,7639-4,'Visual SPC'!$B$3)="",0,IF(AND(OR('Visual SPC'!$C$4="",'Data Entry'!$C7639&gt;='Visual SPC'!$C$4),OR('Visual SPC'!$E$4="",'Data Entry'!$C7639&lt;='Visual SPC'!$E$4),OR('Visual SPC'!$G$4="",'Data Entry'!$D7639='Visual SPC'!$G$4),OR('Visual SPC'!$I$4="",'Data Entry'!$E7639='Visual SPC'!$I$4),OR('Visual SPC'!$K$4="",'Data Entry'!$F7639='Visual SPC'!$K$4)),1,0))</f>
        <v/>
      </c>
      <c r="C7639">
        <f>C7638+B7639</f>
        <v/>
      </c>
      <c r="D7639">
        <f>IF(B7639=1,INDEX('Data Entry'!$H$5:$BE$10004,7639-4,'Visual SPC'!$B$3),"")</f>
        <v/>
      </c>
      <c r="E7639">
        <f>IF(B7639=1,D7639,E7638)</f>
        <v/>
      </c>
      <c r="F7639">
        <f>IF(AND(B7639=1,C7639&gt;1,E7638&lt;&gt;""),ABS(D7639-E7638),"")</f>
        <v/>
      </c>
    </row>
    <row r="7640">
      <c r="A7640" t="n">
        <v>7640</v>
      </c>
      <c r="B7640">
        <f>IF(INDEX('Data Entry'!$H$5:$BE$10004,7640-4,'Visual SPC'!$B$3)="",0,IF(AND(OR('Visual SPC'!$C$4="",'Data Entry'!$C7640&gt;='Visual SPC'!$C$4),OR('Visual SPC'!$E$4="",'Data Entry'!$C7640&lt;='Visual SPC'!$E$4),OR('Visual SPC'!$G$4="",'Data Entry'!$D7640='Visual SPC'!$G$4),OR('Visual SPC'!$I$4="",'Data Entry'!$E7640='Visual SPC'!$I$4),OR('Visual SPC'!$K$4="",'Data Entry'!$F7640='Visual SPC'!$K$4)),1,0))</f>
        <v/>
      </c>
      <c r="C7640">
        <f>C7639+B7640</f>
        <v/>
      </c>
      <c r="D7640">
        <f>IF(B7640=1,INDEX('Data Entry'!$H$5:$BE$10004,7640-4,'Visual SPC'!$B$3),"")</f>
        <v/>
      </c>
      <c r="E7640">
        <f>IF(B7640=1,D7640,E7639)</f>
        <v/>
      </c>
      <c r="F7640">
        <f>IF(AND(B7640=1,C7640&gt;1,E7639&lt;&gt;""),ABS(D7640-E7639),"")</f>
        <v/>
      </c>
    </row>
    <row r="7641">
      <c r="A7641" t="n">
        <v>7641</v>
      </c>
      <c r="B7641">
        <f>IF(INDEX('Data Entry'!$H$5:$BE$10004,7641-4,'Visual SPC'!$B$3)="",0,IF(AND(OR('Visual SPC'!$C$4="",'Data Entry'!$C7641&gt;='Visual SPC'!$C$4),OR('Visual SPC'!$E$4="",'Data Entry'!$C7641&lt;='Visual SPC'!$E$4),OR('Visual SPC'!$G$4="",'Data Entry'!$D7641='Visual SPC'!$G$4),OR('Visual SPC'!$I$4="",'Data Entry'!$E7641='Visual SPC'!$I$4),OR('Visual SPC'!$K$4="",'Data Entry'!$F7641='Visual SPC'!$K$4)),1,0))</f>
        <v/>
      </c>
      <c r="C7641">
        <f>C7640+B7641</f>
        <v/>
      </c>
      <c r="D7641">
        <f>IF(B7641=1,INDEX('Data Entry'!$H$5:$BE$10004,7641-4,'Visual SPC'!$B$3),"")</f>
        <v/>
      </c>
      <c r="E7641">
        <f>IF(B7641=1,D7641,E7640)</f>
        <v/>
      </c>
      <c r="F7641">
        <f>IF(AND(B7641=1,C7641&gt;1,E7640&lt;&gt;""),ABS(D7641-E7640),"")</f>
        <v/>
      </c>
    </row>
    <row r="7642">
      <c r="A7642" t="n">
        <v>7642</v>
      </c>
      <c r="B7642">
        <f>IF(INDEX('Data Entry'!$H$5:$BE$10004,7642-4,'Visual SPC'!$B$3)="",0,IF(AND(OR('Visual SPC'!$C$4="",'Data Entry'!$C7642&gt;='Visual SPC'!$C$4),OR('Visual SPC'!$E$4="",'Data Entry'!$C7642&lt;='Visual SPC'!$E$4),OR('Visual SPC'!$G$4="",'Data Entry'!$D7642='Visual SPC'!$G$4),OR('Visual SPC'!$I$4="",'Data Entry'!$E7642='Visual SPC'!$I$4),OR('Visual SPC'!$K$4="",'Data Entry'!$F7642='Visual SPC'!$K$4)),1,0))</f>
        <v/>
      </c>
      <c r="C7642">
        <f>C7641+B7642</f>
        <v/>
      </c>
      <c r="D7642">
        <f>IF(B7642=1,INDEX('Data Entry'!$H$5:$BE$10004,7642-4,'Visual SPC'!$B$3),"")</f>
        <v/>
      </c>
      <c r="E7642">
        <f>IF(B7642=1,D7642,E7641)</f>
        <v/>
      </c>
      <c r="F7642">
        <f>IF(AND(B7642=1,C7642&gt;1,E7641&lt;&gt;""),ABS(D7642-E7641),"")</f>
        <v/>
      </c>
    </row>
    <row r="7643">
      <c r="A7643" t="n">
        <v>7643</v>
      </c>
      <c r="B7643">
        <f>IF(INDEX('Data Entry'!$H$5:$BE$10004,7643-4,'Visual SPC'!$B$3)="",0,IF(AND(OR('Visual SPC'!$C$4="",'Data Entry'!$C7643&gt;='Visual SPC'!$C$4),OR('Visual SPC'!$E$4="",'Data Entry'!$C7643&lt;='Visual SPC'!$E$4),OR('Visual SPC'!$G$4="",'Data Entry'!$D7643='Visual SPC'!$G$4),OR('Visual SPC'!$I$4="",'Data Entry'!$E7643='Visual SPC'!$I$4),OR('Visual SPC'!$K$4="",'Data Entry'!$F7643='Visual SPC'!$K$4)),1,0))</f>
        <v/>
      </c>
      <c r="C7643">
        <f>C7642+B7643</f>
        <v/>
      </c>
      <c r="D7643">
        <f>IF(B7643=1,INDEX('Data Entry'!$H$5:$BE$10004,7643-4,'Visual SPC'!$B$3),"")</f>
        <v/>
      </c>
      <c r="E7643">
        <f>IF(B7643=1,D7643,E7642)</f>
        <v/>
      </c>
      <c r="F7643">
        <f>IF(AND(B7643=1,C7643&gt;1,E7642&lt;&gt;""),ABS(D7643-E7642),"")</f>
        <v/>
      </c>
    </row>
    <row r="7644">
      <c r="A7644" t="n">
        <v>7644</v>
      </c>
      <c r="B7644">
        <f>IF(INDEX('Data Entry'!$H$5:$BE$10004,7644-4,'Visual SPC'!$B$3)="",0,IF(AND(OR('Visual SPC'!$C$4="",'Data Entry'!$C7644&gt;='Visual SPC'!$C$4),OR('Visual SPC'!$E$4="",'Data Entry'!$C7644&lt;='Visual SPC'!$E$4),OR('Visual SPC'!$G$4="",'Data Entry'!$D7644='Visual SPC'!$G$4),OR('Visual SPC'!$I$4="",'Data Entry'!$E7644='Visual SPC'!$I$4),OR('Visual SPC'!$K$4="",'Data Entry'!$F7644='Visual SPC'!$K$4)),1,0))</f>
        <v/>
      </c>
      <c r="C7644">
        <f>C7643+B7644</f>
        <v/>
      </c>
      <c r="D7644">
        <f>IF(B7644=1,INDEX('Data Entry'!$H$5:$BE$10004,7644-4,'Visual SPC'!$B$3),"")</f>
        <v/>
      </c>
      <c r="E7644">
        <f>IF(B7644=1,D7644,E7643)</f>
        <v/>
      </c>
      <c r="F7644">
        <f>IF(AND(B7644=1,C7644&gt;1,E7643&lt;&gt;""),ABS(D7644-E7643),"")</f>
        <v/>
      </c>
    </row>
    <row r="7645">
      <c r="A7645" t="n">
        <v>7645</v>
      </c>
      <c r="B7645">
        <f>IF(INDEX('Data Entry'!$H$5:$BE$10004,7645-4,'Visual SPC'!$B$3)="",0,IF(AND(OR('Visual SPC'!$C$4="",'Data Entry'!$C7645&gt;='Visual SPC'!$C$4),OR('Visual SPC'!$E$4="",'Data Entry'!$C7645&lt;='Visual SPC'!$E$4),OR('Visual SPC'!$G$4="",'Data Entry'!$D7645='Visual SPC'!$G$4),OR('Visual SPC'!$I$4="",'Data Entry'!$E7645='Visual SPC'!$I$4),OR('Visual SPC'!$K$4="",'Data Entry'!$F7645='Visual SPC'!$K$4)),1,0))</f>
        <v/>
      </c>
      <c r="C7645">
        <f>C7644+B7645</f>
        <v/>
      </c>
      <c r="D7645">
        <f>IF(B7645=1,INDEX('Data Entry'!$H$5:$BE$10004,7645-4,'Visual SPC'!$B$3),"")</f>
        <v/>
      </c>
      <c r="E7645">
        <f>IF(B7645=1,D7645,E7644)</f>
        <v/>
      </c>
      <c r="F7645">
        <f>IF(AND(B7645=1,C7645&gt;1,E7644&lt;&gt;""),ABS(D7645-E7644),"")</f>
        <v/>
      </c>
    </row>
    <row r="7646">
      <c r="A7646" t="n">
        <v>7646</v>
      </c>
      <c r="B7646">
        <f>IF(INDEX('Data Entry'!$H$5:$BE$10004,7646-4,'Visual SPC'!$B$3)="",0,IF(AND(OR('Visual SPC'!$C$4="",'Data Entry'!$C7646&gt;='Visual SPC'!$C$4),OR('Visual SPC'!$E$4="",'Data Entry'!$C7646&lt;='Visual SPC'!$E$4),OR('Visual SPC'!$G$4="",'Data Entry'!$D7646='Visual SPC'!$G$4),OR('Visual SPC'!$I$4="",'Data Entry'!$E7646='Visual SPC'!$I$4),OR('Visual SPC'!$K$4="",'Data Entry'!$F7646='Visual SPC'!$K$4)),1,0))</f>
        <v/>
      </c>
      <c r="C7646">
        <f>C7645+B7646</f>
        <v/>
      </c>
      <c r="D7646">
        <f>IF(B7646=1,INDEX('Data Entry'!$H$5:$BE$10004,7646-4,'Visual SPC'!$B$3),"")</f>
        <v/>
      </c>
      <c r="E7646">
        <f>IF(B7646=1,D7646,E7645)</f>
        <v/>
      </c>
      <c r="F7646">
        <f>IF(AND(B7646=1,C7646&gt;1,E7645&lt;&gt;""),ABS(D7646-E7645),"")</f>
        <v/>
      </c>
    </row>
    <row r="7647">
      <c r="A7647" t="n">
        <v>7647</v>
      </c>
      <c r="B7647">
        <f>IF(INDEX('Data Entry'!$H$5:$BE$10004,7647-4,'Visual SPC'!$B$3)="",0,IF(AND(OR('Visual SPC'!$C$4="",'Data Entry'!$C7647&gt;='Visual SPC'!$C$4),OR('Visual SPC'!$E$4="",'Data Entry'!$C7647&lt;='Visual SPC'!$E$4),OR('Visual SPC'!$G$4="",'Data Entry'!$D7647='Visual SPC'!$G$4),OR('Visual SPC'!$I$4="",'Data Entry'!$E7647='Visual SPC'!$I$4),OR('Visual SPC'!$K$4="",'Data Entry'!$F7647='Visual SPC'!$K$4)),1,0))</f>
        <v/>
      </c>
      <c r="C7647">
        <f>C7646+B7647</f>
        <v/>
      </c>
      <c r="D7647">
        <f>IF(B7647=1,INDEX('Data Entry'!$H$5:$BE$10004,7647-4,'Visual SPC'!$B$3),"")</f>
        <v/>
      </c>
      <c r="E7647">
        <f>IF(B7647=1,D7647,E7646)</f>
        <v/>
      </c>
      <c r="F7647">
        <f>IF(AND(B7647=1,C7647&gt;1,E7646&lt;&gt;""),ABS(D7647-E7646),"")</f>
        <v/>
      </c>
    </row>
    <row r="7648">
      <c r="A7648" t="n">
        <v>7648</v>
      </c>
      <c r="B7648">
        <f>IF(INDEX('Data Entry'!$H$5:$BE$10004,7648-4,'Visual SPC'!$B$3)="",0,IF(AND(OR('Visual SPC'!$C$4="",'Data Entry'!$C7648&gt;='Visual SPC'!$C$4),OR('Visual SPC'!$E$4="",'Data Entry'!$C7648&lt;='Visual SPC'!$E$4),OR('Visual SPC'!$G$4="",'Data Entry'!$D7648='Visual SPC'!$G$4),OR('Visual SPC'!$I$4="",'Data Entry'!$E7648='Visual SPC'!$I$4),OR('Visual SPC'!$K$4="",'Data Entry'!$F7648='Visual SPC'!$K$4)),1,0))</f>
        <v/>
      </c>
      <c r="C7648">
        <f>C7647+B7648</f>
        <v/>
      </c>
      <c r="D7648">
        <f>IF(B7648=1,INDEX('Data Entry'!$H$5:$BE$10004,7648-4,'Visual SPC'!$B$3),"")</f>
        <v/>
      </c>
      <c r="E7648">
        <f>IF(B7648=1,D7648,E7647)</f>
        <v/>
      </c>
      <c r="F7648">
        <f>IF(AND(B7648=1,C7648&gt;1,E7647&lt;&gt;""),ABS(D7648-E7647),"")</f>
        <v/>
      </c>
    </row>
    <row r="7649">
      <c r="A7649" t="n">
        <v>7649</v>
      </c>
      <c r="B7649">
        <f>IF(INDEX('Data Entry'!$H$5:$BE$10004,7649-4,'Visual SPC'!$B$3)="",0,IF(AND(OR('Visual SPC'!$C$4="",'Data Entry'!$C7649&gt;='Visual SPC'!$C$4),OR('Visual SPC'!$E$4="",'Data Entry'!$C7649&lt;='Visual SPC'!$E$4),OR('Visual SPC'!$G$4="",'Data Entry'!$D7649='Visual SPC'!$G$4),OR('Visual SPC'!$I$4="",'Data Entry'!$E7649='Visual SPC'!$I$4),OR('Visual SPC'!$K$4="",'Data Entry'!$F7649='Visual SPC'!$K$4)),1,0))</f>
        <v/>
      </c>
      <c r="C7649">
        <f>C7648+B7649</f>
        <v/>
      </c>
      <c r="D7649">
        <f>IF(B7649=1,INDEX('Data Entry'!$H$5:$BE$10004,7649-4,'Visual SPC'!$B$3),"")</f>
        <v/>
      </c>
      <c r="E7649">
        <f>IF(B7649=1,D7649,E7648)</f>
        <v/>
      </c>
      <c r="F7649">
        <f>IF(AND(B7649=1,C7649&gt;1,E7648&lt;&gt;""),ABS(D7649-E7648),"")</f>
        <v/>
      </c>
    </row>
    <row r="7650">
      <c r="A7650" t="n">
        <v>7650</v>
      </c>
      <c r="B7650">
        <f>IF(INDEX('Data Entry'!$H$5:$BE$10004,7650-4,'Visual SPC'!$B$3)="",0,IF(AND(OR('Visual SPC'!$C$4="",'Data Entry'!$C7650&gt;='Visual SPC'!$C$4),OR('Visual SPC'!$E$4="",'Data Entry'!$C7650&lt;='Visual SPC'!$E$4),OR('Visual SPC'!$G$4="",'Data Entry'!$D7650='Visual SPC'!$G$4),OR('Visual SPC'!$I$4="",'Data Entry'!$E7650='Visual SPC'!$I$4),OR('Visual SPC'!$K$4="",'Data Entry'!$F7650='Visual SPC'!$K$4)),1,0))</f>
        <v/>
      </c>
      <c r="C7650">
        <f>C7649+B7650</f>
        <v/>
      </c>
      <c r="D7650">
        <f>IF(B7650=1,INDEX('Data Entry'!$H$5:$BE$10004,7650-4,'Visual SPC'!$B$3),"")</f>
        <v/>
      </c>
      <c r="E7650">
        <f>IF(B7650=1,D7650,E7649)</f>
        <v/>
      </c>
      <c r="F7650">
        <f>IF(AND(B7650=1,C7650&gt;1,E7649&lt;&gt;""),ABS(D7650-E7649),"")</f>
        <v/>
      </c>
    </row>
    <row r="7651">
      <c r="A7651" t="n">
        <v>7651</v>
      </c>
      <c r="B7651">
        <f>IF(INDEX('Data Entry'!$H$5:$BE$10004,7651-4,'Visual SPC'!$B$3)="",0,IF(AND(OR('Visual SPC'!$C$4="",'Data Entry'!$C7651&gt;='Visual SPC'!$C$4),OR('Visual SPC'!$E$4="",'Data Entry'!$C7651&lt;='Visual SPC'!$E$4),OR('Visual SPC'!$G$4="",'Data Entry'!$D7651='Visual SPC'!$G$4),OR('Visual SPC'!$I$4="",'Data Entry'!$E7651='Visual SPC'!$I$4),OR('Visual SPC'!$K$4="",'Data Entry'!$F7651='Visual SPC'!$K$4)),1,0))</f>
        <v/>
      </c>
      <c r="C7651">
        <f>C7650+B7651</f>
        <v/>
      </c>
      <c r="D7651">
        <f>IF(B7651=1,INDEX('Data Entry'!$H$5:$BE$10004,7651-4,'Visual SPC'!$B$3),"")</f>
        <v/>
      </c>
      <c r="E7651">
        <f>IF(B7651=1,D7651,E7650)</f>
        <v/>
      </c>
      <c r="F7651">
        <f>IF(AND(B7651=1,C7651&gt;1,E7650&lt;&gt;""),ABS(D7651-E7650),"")</f>
        <v/>
      </c>
    </row>
    <row r="7652">
      <c r="A7652" t="n">
        <v>7652</v>
      </c>
      <c r="B7652">
        <f>IF(INDEX('Data Entry'!$H$5:$BE$10004,7652-4,'Visual SPC'!$B$3)="",0,IF(AND(OR('Visual SPC'!$C$4="",'Data Entry'!$C7652&gt;='Visual SPC'!$C$4),OR('Visual SPC'!$E$4="",'Data Entry'!$C7652&lt;='Visual SPC'!$E$4),OR('Visual SPC'!$G$4="",'Data Entry'!$D7652='Visual SPC'!$G$4),OR('Visual SPC'!$I$4="",'Data Entry'!$E7652='Visual SPC'!$I$4),OR('Visual SPC'!$K$4="",'Data Entry'!$F7652='Visual SPC'!$K$4)),1,0))</f>
        <v/>
      </c>
      <c r="C7652">
        <f>C7651+B7652</f>
        <v/>
      </c>
      <c r="D7652">
        <f>IF(B7652=1,INDEX('Data Entry'!$H$5:$BE$10004,7652-4,'Visual SPC'!$B$3),"")</f>
        <v/>
      </c>
      <c r="E7652">
        <f>IF(B7652=1,D7652,E7651)</f>
        <v/>
      </c>
      <c r="F7652">
        <f>IF(AND(B7652=1,C7652&gt;1,E7651&lt;&gt;""),ABS(D7652-E7651),"")</f>
        <v/>
      </c>
    </row>
    <row r="7653">
      <c r="A7653" t="n">
        <v>7653</v>
      </c>
      <c r="B7653">
        <f>IF(INDEX('Data Entry'!$H$5:$BE$10004,7653-4,'Visual SPC'!$B$3)="",0,IF(AND(OR('Visual SPC'!$C$4="",'Data Entry'!$C7653&gt;='Visual SPC'!$C$4),OR('Visual SPC'!$E$4="",'Data Entry'!$C7653&lt;='Visual SPC'!$E$4),OR('Visual SPC'!$G$4="",'Data Entry'!$D7653='Visual SPC'!$G$4),OR('Visual SPC'!$I$4="",'Data Entry'!$E7653='Visual SPC'!$I$4),OR('Visual SPC'!$K$4="",'Data Entry'!$F7653='Visual SPC'!$K$4)),1,0))</f>
        <v/>
      </c>
      <c r="C7653">
        <f>C7652+B7653</f>
        <v/>
      </c>
      <c r="D7653">
        <f>IF(B7653=1,INDEX('Data Entry'!$H$5:$BE$10004,7653-4,'Visual SPC'!$B$3),"")</f>
        <v/>
      </c>
      <c r="E7653">
        <f>IF(B7653=1,D7653,E7652)</f>
        <v/>
      </c>
      <c r="F7653">
        <f>IF(AND(B7653=1,C7653&gt;1,E7652&lt;&gt;""),ABS(D7653-E7652),"")</f>
        <v/>
      </c>
    </row>
    <row r="7654">
      <c r="A7654" t="n">
        <v>7654</v>
      </c>
      <c r="B7654">
        <f>IF(INDEX('Data Entry'!$H$5:$BE$10004,7654-4,'Visual SPC'!$B$3)="",0,IF(AND(OR('Visual SPC'!$C$4="",'Data Entry'!$C7654&gt;='Visual SPC'!$C$4),OR('Visual SPC'!$E$4="",'Data Entry'!$C7654&lt;='Visual SPC'!$E$4),OR('Visual SPC'!$G$4="",'Data Entry'!$D7654='Visual SPC'!$G$4),OR('Visual SPC'!$I$4="",'Data Entry'!$E7654='Visual SPC'!$I$4),OR('Visual SPC'!$K$4="",'Data Entry'!$F7654='Visual SPC'!$K$4)),1,0))</f>
        <v/>
      </c>
      <c r="C7654">
        <f>C7653+B7654</f>
        <v/>
      </c>
      <c r="D7654">
        <f>IF(B7654=1,INDEX('Data Entry'!$H$5:$BE$10004,7654-4,'Visual SPC'!$B$3),"")</f>
        <v/>
      </c>
      <c r="E7654">
        <f>IF(B7654=1,D7654,E7653)</f>
        <v/>
      </c>
      <c r="F7654">
        <f>IF(AND(B7654=1,C7654&gt;1,E7653&lt;&gt;""),ABS(D7654-E7653),"")</f>
        <v/>
      </c>
    </row>
    <row r="7655">
      <c r="A7655" t="n">
        <v>7655</v>
      </c>
      <c r="B7655">
        <f>IF(INDEX('Data Entry'!$H$5:$BE$10004,7655-4,'Visual SPC'!$B$3)="",0,IF(AND(OR('Visual SPC'!$C$4="",'Data Entry'!$C7655&gt;='Visual SPC'!$C$4),OR('Visual SPC'!$E$4="",'Data Entry'!$C7655&lt;='Visual SPC'!$E$4),OR('Visual SPC'!$G$4="",'Data Entry'!$D7655='Visual SPC'!$G$4),OR('Visual SPC'!$I$4="",'Data Entry'!$E7655='Visual SPC'!$I$4),OR('Visual SPC'!$K$4="",'Data Entry'!$F7655='Visual SPC'!$K$4)),1,0))</f>
        <v/>
      </c>
      <c r="C7655">
        <f>C7654+B7655</f>
        <v/>
      </c>
      <c r="D7655">
        <f>IF(B7655=1,INDEX('Data Entry'!$H$5:$BE$10004,7655-4,'Visual SPC'!$B$3),"")</f>
        <v/>
      </c>
      <c r="E7655">
        <f>IF(B7655=1,D7655,E7654)</f>
        <v/>
      </c>
      <c r="F7655">
        <f>IF(AND(B7655=1,C7655&gt;1,E7654&lt;&gt;""),ABS(D7655-E7654),"")</f>
        <v/>
      </c>
    </row>
    <row r="7656">
      <c r="A7656" t="n">
        <v>7656</v>
      </c>
      <c r="B7656">
        <f>IF(INDEX('Data Entry'!$H$5:$BE$10004,7656-4,'Visual SPC'!$B$3)="",0,IF(AND(OR('Visual SPC'!$C$4="",'Data Entry'!$C7656&gt;='Visual SPC'!$C$4),OR('Visual SPC'!$E$4="",'Data Entry'!$C7656&lt;='Visual SPC'!$E$4),OR('Visual SPC'!$G$4="",'Data Entry'!$D7656='Visual SPC'!$G$4),OR('Visual SPC'!$I$4="",'Data Entry'!$E7656='Visual SPC'!$I$4),OR('Visual SPC'!$K$4="",'Data Entry'!$F7656='Visual SPC'!$K$4)),1,0))</f>
        <v/>
      </c>
      <c r="C7656">
        <f>C7655+B7656</f>
        <v/>
      </c>
      <c r="D7656">
        <f>IF(B7656=1,INDEX('Data Entry'!$H$5:$BE$10004,7656-4,'Visual SPC'!$B$3),"")</f>
        <v/>
      </c>
      <c r="E7656">
        <f>IF(B7656=1,D7656,E7655)</f>
        <v/>
      </c>
      <c r="F7656">
        <f>IF(AND(B7656=1,C7656&gt;1,E7655&lt;&gt;""),ABS(D7656-E7655),"")</f>
        <v/>
      </c>
    </row>
    <row r="7657">
      <c r="A7657" t="n">
        <v>7657</v>
      </c>
      <c r="B7657">
        <f>IF(INDEX('Data Entry'!$H$5:$BE$10004,7657-4,'Visual SPC'!$B$3)="",0,IF(AND(OR('Visual SPC'!$C$4="",'Data Entry'!$C7657&gt;='Visual SPC'!$C$4),OR('Visual SPC'!$E$4="",'Data Entry'!$C7657&lt;='Visual SPC'!$E$4),OR('Visual SPC'!$G$4="",'Data Entry'!$D7657='Visual SPC'!$G$4),OR('Visual SPC'!$I$4="",'Data Entry'!$E7657='Visual SPC'!$I$4),OR('Visual SPC'!$K$4="",'Data Entry'!$F7657='Visual SPC'!$K$4)),1,0))</f>
        <v/>
      </c>
      <c r="C7657">
        <f>C7656+B7657</f>
        <v/>
      </c>
      <c r="D7657">
        <f>IF(B7657=1,INDEX('Data Entry'!$H$5:$BE$10004,7657-4,'Visual SPC'!$B$3),"")</f>
        <v/>
      </c>
      <c r="E7657">
        <f>IF(B7657=1,D7657,E7656)</f>
        <v/>
      </c>
      <c r="F7657">
        <f>IF(AND(B7657=1,C7657&gt;1,E7656&lt;&gt;""),ABS(D7657-E7656),"")</f>
        <v/>
      </c>
    </row>
    <row r="7658">
      <c r="A7658" t="n">
        <v>7658</v>
      </c>
      <c r="B7658">
        <f>IF(INDEX('Data Entry'!$H$5:$BE$10004,7658-4,'Visual SPC'!$B$3)="",0,IF(AND(OR('Visual SPC'!$C$4="",'Data Entry'!$C7658&gt;='Visual SPC'!$C$4),OR('Visual SPC'!$E$4="",'Data Entry'!$C7658&lt;='Visual SPC'!$E$4),OR('Visual SPC'!$G$4="",'Data Entry'!$D7658='Visual SPC'!$G$4),OR('Visual SPC'!$I$4="",'Data Entry'!$E7658='Visual SPC'!$I$4),OR('Visual SPC'!$K$4="",'Data Entry'!$F7658='Visual SPC'!$K$4)),1,0))</f>
        <v/>
      </c>
      <c r="C7658">
        <f>C7657+B7658</f>
        <v/>
      </c>
      <c r="D7658">
        <f>IF(B7658=1,INDEX('Data Entry'!$H$5:$BE$10004,7658-4,'Visual SPC'!$B$3),"")</f>
        <v/>
      </c>
      <c r="E7658">
        <f>IF(B7658=1,D7658,E7657)</f>
        <v/>
      </c>
      <c r="F7658">
        <f>IF(AND(B7658=1,C7658&gt;1,E7657&lt;&gt;""),ABS(D7658-E7657),"")</f>
        <v/>
      </c>
    </row>
    <row r="7659">
      <c r="A7659" t="n">
        <v>7659</v>
      </c>
      <c r="B7659">
        <f>IF(INDEX('Data Entry'!$H$5:$BE$10004,7659-4,'Visual SPC'!$B$3)="",0,IF(AND(OR('Visual SPC'!$C$4="",'Data Entry'!$C7659&gt;='Visual SPC'!$C$4),OR('Visual SPC'!$E$4="",'Data Entry'!$C7659&lt;='Visual SPC'!$E$4),OR('Visual SPC'!$G$4="",'Data Entry'!$D7659='Visual SPC'!$G$4),OR('Visual SPC'!$I$4="",'Data Entry'!$E7659='Visual SPC'!$I$4),OR('Visual SPC'!$K$4="",'Data Entry'!$F7659='Visual SPC'!$K$4)),1,0))</f>
        <v/>
      </c>
      <c r="C7659">
        <f>C7658+B7659</f>
        <v/>
      </c>
      <c r="D7659">
        <f>IF(B7659=1,INDEX('Data Entry'!$H$5:$BE$10004,7659-4,'Visual SPC'!$B$3),"")</f>
        <v/>
      </c>
      <c r="E7659">
        <f>IF(B7659=1,D7659,E7658)</f>
        <v/>
      </c>
      <c r="F7659">
        <f>IF(AND(B7659=1,C7659&gt;1,E7658&lt;&gt;""),ABS(D7659-E7658),"")</f>
        <v/>
      </c>
    </row>
    <row r="7660">
      <c r="A7660" t="n">
        <v>7660</v>
      </c>
      <c r="B7660">
        <f>IF(INDEX('Data Entry'!$H$5:$BE$10004,7660-4,'Visual SPC'!$B$3)="",0,IF(AND(OR('Visual SPC'!$C$4="",'Data Entry'!$C7660&gt;='Visual SPC'!$C$4),OR('Visual SPC'!$E$4="",'Data Entry'!$C7660&lt;='Visual SPC'!$E$4),OR('Visual SPC'!$G$4="",'Data Entry'!$D7660='Visual SPC'!$G$4),OR('Visual SPC'!$I$4="",'Data Entry'!$E7660='Visual SPC'!$I$4),OR('Visual SPC'!$K$4="",'Data Entry'!$F7660='Visual SPC'!$K$4)),1,0))</f>
        <v/>
      </c>
      <c r="C7660">
        <f>C7659+B7660</f>
        <v/>
      </c>
      <c r="D7660">
        <f>IF(B7660=1,INDEX('Data Entry'!$H$5:$BE$10004,7660-4,'Visual SPC'!$B$3),"")</f>
        <v/>
      </c>
      <c r="E7660">
        <f>IF(B7660=1,D7660,E7659)</f>
        <v/>
      </c>
      <c r="F7660">
        <f>IF(AND(B7660=1,C7660&gt;1,E7659&lt;&gt;""),ABS(D7660-E7659),"")</f>
        <v/>
      </c>
    </row>
    <row r="7661">
      <c r="A7661" t="n">
        <v>7661</v>
      </c>
      <c r="B7661">
        <f>IF(INDEX('Data Entry'!$H$5:$BE$10004,7661-4,'Visual SPC'!$B$3)="",0,IF(AND(OR('Visual SPC'!$C$4="",'Data Entry'!$C7661&gt;='Visual SPC'!$C$4),OR('Visual SPC'!$E$4="",'Data Entry'!$C7661&lt;='Visual SPC'!$E$4),OR('Visual SPC'!$G$4="",'Data Entry'!$D7661='Visual SPC'!$G$4),OR('Visual SPC'!$I$4="",'Data Entry'!$E7661='Visual SPC'!$I$4),OR('Visual SPC'!$K$4="",'Data Entry'!$F7661='Visual SPC'!$K$4)),1,0))</f>
        <v/>
      </c>
      <c r="C7661">
        <f>C7660+B7661</f>
        <v/>
      </c>
      <c r="D7661">
        <f>IF(B7661=1,INDEX('Data Entry'!$H$5:$BE$10004,7661-4,'Visual SPC'!$B$3),"")</f>
        <v/>
      </c>
      <c r="E7661">
        <f>IF(B7661=1,D7661,E7660)</f>
        <v/>
      </c>
      <c r="F7661">
        <f>IF(AND(B7661=1,C7661&gt;1,E7660&lt;&gt;""),ABS(D7661-E7660),"")</f>
        <v/>
      </c>
    </row>
    <row r="7662">
      <c r="A7662" t="n">
        <v>7662</v>
      </c>
      <c r="B7662">
        <f>IF(INDEX('Data Entry'!$H$5:$BE$10004,7662-4,'Visual SPC'!$B$3)="",0,IF(AND(OR('Visual SPC'!$C$4="",'Data Entry'!$C7662&gt;='Visual SPC'!$C$4),OR('Visual SPC'!$E$4="",'Data Entry'!$C7662&lt;='Visual SPC'!$E$4),OR('Visual SPC'!$G$4="",'Data Entry'!$D7662='Visual SPC'!$G$4),OR('Visual SPC'!$I$4="",'Data Entry'!$E7662='Visual SPC'!$I$4),OR('Visual SPC'!$K$4="",'Data Entry'!$F7662='Visual SPC'!$K$4)),1,0))</f>
        <v/>
      </c>
      <c r="C7662">
        <f>C7661+B7662</f>
        <v/>
      </c>
      <c r="D7662">
        <f>IF(B7662=1,INDEX('Data Entry'!$H$5:$BE$10004,7662-4,'Visual SPC'!$B$3),"")</f>
        <v/>
      </c>
      <c r="E7662">
        <f>IF(B7662=1,D7662,E7661)</f>
        <v/>
      </c>
      <c r="F7662">
        <f>IF(AND(B7662=1,C7662&gt;1,E7661&lt;&gt;""),ABS(D7662-E7661),"")</f>
        <v/>
      </c>
    </row>
    <row r="7663">
      <c r="A7663" t="n">
        <v>7663</v>
      </c>
      <c r="B7663">
        <f>IF(INDEX('Data Entry'!$H$5:$BE$10004,7663-4,'Visual SPC'!$B$3)="",0,IF(AND(OR('Visual SPC'!$C$4="",'Data Entry'!$C7663&gt;='Visual SPC'!$C$4),OR('Visual SPC'!$E$4="",'Data Entry'!$C7663&lt;='Visual SPC'!$E$4),OR('Visual SPC'!$G$4="",'Data Entry'!$D7663='Visual SPC'!$G$4),OR('Visual SPC'!$I$4="",'Data Entry'!$E7663='Visual SPC'!$I$4),OR('Visual SPC'!$K$4="",'Data Entry'!$F7663='Visual SPC'!$K$4)),1,0))</f>
        <v/>
      </c>
      <c r="C7663">
        <f>C7662+B7663</f>
        <v/>
      </c>
      <c r="D7663">
        <f>IF(B7663=1,INDEX('Data Entry'!$H$5:$BE$10004,7663-4,'Visual SPC'!$B$3),"")</f>
        <v/>
      </c>
      <c r="E7663">
        <f>IF(B7663=1,D7663,E7662)</f>
        <v/>
      </c>
      <c r="F7663">
        <f>IF(AND(B7663=1,C7663&gt;1,E7662&lt;&gt;""),ABS(D7663-E7662),"")</f>
        <v/>
      </c>
    </row>
    <row r="7664">
      <c r="A7664" t="n">
        <v>7664</v>
      </c>
      <c r="B7664">
        <f>IF(INDEX('Data Entry'!$H$5:$BE$10004,7664-4,'Visual SPC'!$B$3)="",0,IF(AND(OR('Visual SPC'!$C$4="",'Data Entry'!$C7664&gt;='Visual SPC'!$C$4),OR('Visual SPC'!$E$4="",'Data Entry'!$C7664&lt;='Visual SPC'!$E$4),OR('Visual SPC'!$G$4="",'Data Entry'!$D7664='Visual SPC'!$G$4),OR('Visual SPC'!$I$4="",'Data Entry'!$E7664='Visual SPC'!$I$4),OR('Visual SPC'!$K$4="",'Data Entry'!$F7664='Visual SPC'!$K$4)),1,0))</f>
        <v/>
      </c>
      <c r="C7664">
        <f>C7663+B7664</f>
        <v/>
      </c>
      <c r="D7664">
        <f>IF(B7664=1,INDEX('Data Entry'!$H$5:$BE$10004,7664-4,'Visual SPC'!$B$3),"")</f>
        <v/>
      </c>
      <c r="E7664">
        <f>IF(B7664=1,D7664,E7663)</f>
        <v/>
      </c>
      <c r="F7664">
        <f>IF(AND(B7664=1,C7664&gt;1,E7663&lt;&gt;""),ABS(D7664-E7663),"")</f>
        <v/>
      </c>
    </row>
    <row r="7665">
      <c r="A7665" t="n">
        <v>7665</v>
      </c>
      <c r="B7665">
        <f>IF(INDEX('Data Entry'!$H$5:$BE$10004,7665-4,'Visual SPC'!$B$3)="",0,IF(AND(OR('Visual SPC'!$C$4="",'Data Entry'!$C7665&gt;='Visual SPC'!$C$4),OR('Visual SPC'!$E$4="",'Data Entry'!$C7665&lt;='Visual SPC'!$E$4),OR('Visual SPC'!$G$4="",'Data Entry'!$D7665='Visual SPC'!$G$4),OR('Visual SPC'!$I$4="",'Data Entry'!$E7665='Visual SPC'!$I$4),OR('Visual SPC'!$K$4="",'Data Entry'!$F7665='Visual SPC'!$K$4)),1,0))</f>
        <v/>
      </c>
      <c r="C7665">
        <f>C7664+B7665</f>
        <v/>
      </c>
      <c r="D7665">
        <f>IF(B7665=1,INDEX('Data Entry'!$H$5:$BE$10004,7665-4,'Visual SPC'!$B$3),"")</f>
        <v/>
      </c>
      <c r="E7665">
        <f>IF(B7665=1,D7665,E7664)</f>
        <v/>
      </c>
      <c r="F7665">
        <f>IF(AND(B7665=1,C7665&gt;1,E7664&lt;&gt;""),ABS(D7665-E7664),"")</f>
        <v/>
      </c>
    </row>
    <row r="7666">
      <c r="A7666" t="n">
        <v>7666</v>
      </c>
      <c r="B7666">
        <f>IF(INDEX('Data Entry'!$H$5:$BE$10004,7666-4,'Visual SPC'!$B$3)="",0,IF(AND(OR('Visual SPC'!$C$4="",'Data Entry'!$C7666&gt;='Visual SPC'!$C$4),OR('Visual SPC'!$E$4="",'Data Entry'!$C7666&lt;='Visual SPC'!$E$4),OR('Visual SPC'!$G$4="",'Data Entry'!$D7666='Visual SPC'!$G$4),OR('Visual SPC'!$I$4="",'Data Entry'!$E7666='Visual SPC'!$I$4),OR('Visual SPC'!$K$4="",'Data Entry'!$F7666='Visual SPC'!$K$4)),1,0))</f>
        <v/>
      </c>
      <c r="C7666">
        <f>C7665+B7666</f>
        <v/>
      </c>
      <c r="D7666">
        <f>IF(B7666=1,INDEX('Data Entry'!$H$5:$BE$10004,7666-4,'Visual SPC'!$B$3),"")</f>
        <v/>
      </c>
      <c r="E7666">
        <f>IF(B7666=1,D7666,E7665)</f>
        <v/>
      </c>
      <c r="F7666">
        <f>IF(AND(B7666=1,C7666&gt;1,E7665&lt;&gt;""),ABS(D7666-E7665),"")</f>
        <v/>
      </c>
    </row>
    <row r="7667">
      <c r="A7667" t="n">
        <v>7667</v>
      </c>
      <c r="B7667">
        <f>IF(INDEX('Data Entry'!$H$5:$BE$10004,7667-4,'Visual SPC'!$B$3)="",0,IF(AND(OR('Visual SPC'!$C$4="",'Data Entry'!$C7667&gt;='Visual SPC'!$C$4),OR('Visual SPC'!$E$4="",'Data Entry'!$C7667&lt;='Visual SPC'!$E$4),OR('Visual SPC'!$G$4="",'Data Entry'!$D7667='Visual SPC'!$G$4),OR('Visual SPC'!$I$4="",'Data Entry'!$E7667='Visual SPC'!$I$4),OR('Visual SPC'!$K$4="",'Data Entry'!$F7667='Visual SPC'!$K$4)),1,0))</f>
        <v/>
      </c>
      <c r="C7667">
        <f>C7666+B7667</f>
        <v/>
      </c>
      <c r="D7667">
        <f>IF(B7667=1,INDEX('Data Entry'!$H$5:$BE$10004,7667-4,'Visual SPC'!$B$3),"")</f>
        <v/>
      </c>
      <c r="E7667">
        <f>IF(B7667=1,D7667,E7666)</f>
        <v/>
      </c>
      <c r="F7667">
        <f>IF(AND(B7667=1,C7667&gt;1,E7666&lt;&gt;""),ABS(D7667-E7666),"")</f>
        <v/>
      </c>
    </row>
    <row r="7668">
      <c r="A7668" t="n">
        <v>7668</v>
      </c>
      <c r="B7668">
        <f>IF(INDEX('Data Entry'!$H$5:$BE$10004,7668-4,'Visual SPC'!$B$3)="",0,IF(AND(OR('Visual SPC'!$C$4="",'Data Entry'!$C7668&gt;='Visual SPC'!$C$4),OR('Visual SPC'!$E$4="",'Data Entry'!$C7668&lt;='Visual SPC'!$E$4),OR('Visual SPC'!$G$4="",'Data Entry'!$D7668='Visual SPC'!$G$4),OR('Visual SPC'!$I$4="",'Data Entry'!$E7668='Visual SPC'!$I$4),OR('Visual SPC'!$K$4="",'Data Entry'!$F7668='Visual SPC'!$K$4)),1,0))</f>
        <v/>
      </c>
      <c r="C7668">
        <f>C7667+B7668</f>
        <v/>
      </c>
      <c r="D7668">
        <f>IF(B7668=1,INDEX('Data Entry'!$H$5:$BE$10004,7668-4,'Visual SPC'!$B$3),"")</f>
        <v/>
      </c>
      <c r="E7668">
        <f>IF(B7668=1,D7668,E7667)</f>
        <v/>
      </c>
      <c r="F7668">
        <f>IF(AND(B7668=1,C7668&gt;1,E7667&lt;&gt;""),ABS(D7668-E7667),"")</f>
        <v/>
      </c>
    </row>
    <row r="7669">
      <c r="A7669" t="n">
        <v>7669</v>
      </c>
      <c r="B7669">
        <f>IF(INDEX('Data Entry'!$H$5:$BE$10004,7669-4,'Visual SPC'!$B$3)="",0,IF(AND(OR('Visual SPC'!$C$4="",'Data Entry'!$C7669&gt;='Visual SPC'!$C$4),OR('Visual SPC'!$E$4="",'Data Entry'!$C7669&lt;='Visual SPC'!$E$4),OR('Visual SPC'!$G$4="",'Data Entry'!$D7669='Visual SPC'!$G$4),OR('Visual SPC'!$I$4="",'Data Entry'!$E7669='Visual SPC'!$I$4),OR('Visual SPC'!$K$4="",'Data Entry'!$F7669='Visual SPC'!$K$4)),1,0))</f>
        <v/>
      </c>
      <c r="C7669">
        <f>C7668+B7669</f>
        <v/>
      </c>
      <c r="D7669">
        <f>IF(B7669=1,INDEX('Data Entry'!$H$5:$BE$10004,7669-4,'Visual SPC'!$B$3),"")</f>
        <v/>
      </c>
      <c r="E7669">
        <f>IF(B7669=1,D7669,E7668)</f>
        <v/>
      </c>
      <c r="F7669">
        <f>IF(AND(B7669=1,C7669&gt;1,E7668&lt;&gt;""),ABS(D7669-E7668),"")</f>
        <v/>
      </c>
    </row>
    <row r="7670">
      <c r="A7670" t="n">
        <v>7670</v>
      </c>
      <c r="B7670">
        <f>IF(INDEX('Data Entry'!$H$5:$BE$10004,7670-4,'Visual SPC'!$B$3)="",0,IF(AND(OR('Visual SPC'!$C$4="",'Data Entry'!$C7670&gt;='Visual SPC'!$C$4),OR('Visual SPC'!$E$4="",'Data Entry'!$C7670&lt;='Visual SPC'!$E$4),OR('Visual SPC'!$G$4="",'Data Entry'!$D7670='Visual SPC'!$G$4),OR('Visual SPC'!$I$4="",'Data Entry'!$E7670='Visual SPC'!$I$4),OR('Visual SPC'!$K$4="",'Data Entry'!$F7670='Visual SPC'!$K$4)),1,0))</f>
        <v/>
      </c>
      <c r="C7670">
        <f>C7669+B7670</f>
        <v/>
      </c>
      <c r="D7670">
        <f>IF(B7670=1,INDEX('Data Entry'!$H$5:$BE$10004,7670-4,'Visual SPC'!$B$3),"")</f>
        <v/>
      </c>
      <c r="E7670">
        <f>IF(B7670=1,D7670,E7669)</f>
        <v/>
      </c>
      <c r="F7670">
        <f>IF(AND(B7670=1,C7670&gt;1,E7669&lt;&gt;""),ABS(D7670-E7669),"")</f>
        <v/>
      </c>
    </row>
    <row r="7671">
      <c r="A7671" t="n">
        <v>7671</v>
      </c>
      <c r="B7671">
        <f>IF(INDEX('Data Entry'!$H$5:$BE$10004,7671-4,'Visual SPC'!$B$3)="",0,IF(AND(OR('Visual SPC'!$C$4="",'Data Entry'!$C7671&gt;='Visual SPC'!$C$4),OR('Visual SPC'!$E$4="",'Data Entry'!$C7671&lt;='Visual SPC'!$E$4),OR('Visual SPC'!$G$4="",'Data Entry'!$D7671='Visual SPC'!$G$4),OR('Visual SPC'!$I$4="",'Data Entry'!$E7671='Visual SPC'!$I$4),OR('Visual SPC'!$K$4="",'Data Entry'!$F7671='Visual SPC'!$K$4)),1,0))</f>
        <v/>
      </c>
      <c r="C7671">
        <f>C7670+B7671</f>
        <v/>
      </c>
      <c r="D7671">
        <f>IF(B7671=1,INDEX('Data Entry'!$H$5:$BE$10004,7671-4,'Visual SPC'!$B$3),"")</f>
        <v/>
      </c>
      <c r="E7671">
        <f>IF(B7671=1,D7671,E7670)</f>
        <v/>
      </c>
      <c r="F7671">
        <f>IF(AND(B7671=1,C7671&gt;1,E7670&lt;&gt;""),ABS(D7671-E7670),"")</f>
        <v/>
      </c>
    </row>
    <row r="7672">
      <c r="A7672" t="n">
        <v>7672</v>
      </c>
      <c r="B7672">
        <f>IF(INDEX('Data Entry'!$H$5:$BE$10004,7672-4,'Visual SPC'!$B$3)="",0,IF(AND(OR('Visual SPC'!$C$4="",'Data Entry'!$C7672&gt;='Visual SPC'!$C$4),OR('Visual SPC'!$E$4="",'Data Entry'!$C7672&lt;='Visual SPC'!$E$4),OR('Visual SPC'!$G$4="",'Data Entry'!$D7672='Visual SPC'!$G$4),OR('Visual SPC'!$I$4="",'Data Entry'!$E7672='Visual SPC'!$I$4),OR('Visual SPC'!$K$4="",'Data Entry'!$F7672='Visual SPC'!$K$4)),1,0))</f>
        <v/>
      </c>
      <c r="C7672">
        <f>C7671+B7672</f>
        <v/>
      </c>
      <c r="D7672">
        <f>IF(B7672=1,INDEX('Data Entry'!$H$5:$BE$10004,7672-4,'Visual SPC'!$B$3),"")</f>
        <v/>
      </c>
      <c r="E7672">
        <f>IF(B7672=1,D7672,E7671)</f>
        <v/>
      </c>
      <c r="F7672">
        <f>IF(AND(B7672=1,C7672&gt;1,E7671&lt;&gt;""),ABS(D7672-E7671),"")</f>
        <v/>
      </c>
    </row>
    <row r="7673">
      <c r="A7673" t="n">
        <v>7673</v>
      </c>
      <c r="B7673">
        <f>IF(INDEX('Data Entry'!$H$5:$BE$10004,7673-4,'Visual SPC'!$B$3)="",0,IF(AND(OR('Visual SPC'!$C$4="",'Data Entry'!$C7673&gt;='Visual SPC'!$C$4),OR('Visual SPC'!$E$4="",'Data Entry'!$C7673&lt;='Visual SPC'!$E$4),OR('Visual SPC'!$G$4="",'Data Entry'!$D7673='Visual SPC'!$G$4),OR('Visual SPC'!$I$4="",'Data Entry'!$E7673='Visual SPC'!$I$4),OR('Visual SPC'!$K$4="",'Data Entry'!$F7673='Visual SPC'!$K$4)),1,0))</f>
        <v/>
      </c>
      <c r="C7673">
        <f>C7672+B7673</f>
        <v/>
      </c>
      <c r="D7673">
        <f>IF(B7673=1,INDEX('Data Entry'!$H$5:$BE$10004,7673-4,'Visual SPC'!$B$3),"")</f>
        <v/>
      </c>
      <c r="E7673">
        <f>IF(B7673=1,D7673,E7672)</f>
        <v/>
      </c>
      <c r="F7673">
        <f>IF(AND(B7673=1,C7673&gt;1,E7672&lt;&gt;""),ABS(D7673-E7672),"")</f>
        <v/>
      </c>
    </row>
    <row r="7674">
      <c r="A7674" t="n">
        <v>7674</v>
      </c>
      <c r="B7674">
        <f>IF(INDEX('Data Entry'!$H$5:$BE$10004,7674-4,'Visual SPC'!$B$3)="",0,IF(AND(OR('Visual SPC'!$C$4="",'Data Entry'!$C7674&gt;='Visual SPC'!$C$4),OR('Visual SPC'!$E$4="",'Data Entry'!$C7674&lt;='Visual SPC'!$E$4),OR('Visual SPC'!$G$4="",'Data Entry'!$D7674='Visual SPC'!$G$4),OR('Visual SPC'!$I$4="",'Data Entry'!$E7674='Visual SPC'!$I$4),OR('Visual SPC'!$K$4="",'Data Entry'!$F7674='Visual SPC'!$K$4)),1,0))</f>
        <v/>
      </c>
      <c r="C7674">
        <f>C7673+B7674</f>
        <v/>
      </c>
      <c r="D7674">
        <f>IF(B7674=1,INDEX('Data Entry'!$H$5:$BE$10004,7674-4,'Visual SPC'!$B$3),"")</f>
        <v/>
      </c>
      <c r="E7674">
        <f>IF(B7674=1,D7674,E7673)</f>
        <v/>
      </c>
      <c r="F7674">
        <f>IF(AND(B7674=1,C7674&gt;1,E7673&lt;&gt;""),ABS(D7674-E7673),"")</f>
        <v/>
      </c>
    </row>
    <row r="7675">
      <c r="A7675" t="n">
        <v>7675</v>
      </c>
      <c r="B7675">
        <f>IF(INDEX('Data Entry'!$H$5:$BE$10004,7675-4,'Visual SPC'!$B$3)="",0,IF(AND(OR('Visual SPC'!$C$4="",'Data Entry'!$C7675&gt;='Visual SPC'!$C$4),OR('Visual SPC'!$E$4="",'Data Entry'!$C7675&lt;='Visual SPC'!$E$4),OR('Visual SPC'!$G$4="",'Data Entry'!$D7675='Visual SPC'!$G$4),OR('Visual SPC'!$I$4="",'Data Entry'!$E7675='Visual SPC'!$I$4),OR('Visual SPC'!$K$4="",'Data Entry'!$F7675='Visual SPC'!$K$4)),1,0))</f>
        <v/>
      </c>
      <c r="C7675">
        <f>C7674+B7675</f>
        <v/>
      </c>
      <c r="D7675">
        <f>IF(B7675=1,INDEX('Data Entry'!$H$5:$BE$10004,7675-4,'Visual SPC'!$B$3),"")</f>
        <v/>
      </c>
      <c r="E7675">
        <f>IF(B7675=1,D7675,E7674)</f>
        <v/>
      </c>
      <c r="F7675">
        <f>IF(AND(B7675=1,C7675&gt;1,E7674&lt;&gt;""),ABS(D7675-E7674),"")</f>
        <v/>
      </c>
    </row>
    <row r="7676">
      <c r="A7676" t="n">
        <v>7676</v>
      </c>
      <c r="B7676">
        <f>IF(INDEX('Data Entry'!$H$5:$BE$10004,7676-4,'Visual SPC'!$B$3)="",0,IF(AND(OR('Visual SPC'!$C$4="",'Data Entry'!$C7676&gt;='Visual SPC'!$C$4),OR('Visual SPC'!$E$4="",'Data Entry'!$C7676&lt;='Visual SPC'!$E$4),OR('Visual SPC'!$G$4="",'Data Entry'!$D7676='Visual SPC'!$G$4),OR('Visual SPC'!$I$4="",'Data Entry'!$E7676='Visual SPC'!$I$4),OR('Visual SPC'!$K$4="",'Data Entry'!$F7676='Visual SPC'!$K$4)),1,0))</f>
        <v/>
      </c>
      <c r="C7676">
        <f>C7675+B7676</f>
        <v/>
      </c>
      <c r="D7676">
        <f>IF(B7676=1,INDEX('Data Entry'!$H$5:$BE$10004,7676-4,'Visual SPC'!$B$3),"")</f>
        <v/>
      </c>
      <c r="E7676">
        <f>IF(B7676=1,D7676,E7675)</f>
        <v/>
      </c>
      <c r="F7676">
        <f>IF(AND(B7676=1,C7676&gt;1,E7675&lt;&gt;""),ABS(D7676-E7675),"")</f>
        <v/>
      </c>
    </row>
    <row r="7677">
      <c r="A7677" t="n">
        <v>7677</v>
      </c>
      <c r="B7677">
        <f>IF(INDEX('Data Entry'!$H$5:$BE$10004,7677-4,'Visual SPC'!$B$3)="",0,IF(AND(OR('Visual SPC'!$C$4="",'Data Entry'!$C7677&gt;='Visual SPC'!$C$4),OR('Visual SPC'!$E$4="",'Data Entry'!$C7677&lt;='Visual SPC'!$E$4),OR('Visual SPC'!$G$4="",'Data Entry'!$D7677='Visual SPC'!$G$4),OR('Visual SPC'!$I$4="",'Data Entry'!$E7677='Visual SPC'!$I$4),OR('Visual SPC'!$K$4="",'Data Entry'!$F7677='Visual SPC'!$K$4)),1,0))</f>
        <v/>
      </c>
      <c r="C7677">
        <f>C7676+B7677</f>
        <v/>
      </c>
      <c r="D7677">
        <f>IF(B7677=1,INDEX('Data Entry'!$H$5:$BE$10004,7677-4,'Visual SPC'!$B$3),"")</f>
        <v/>
      </c>
      <c r="E7677">
        <f>IF(B7677=1,D7677,E7676)</f>
        <v/>
      </c>
      <c r="F7677">
        <f>IF(AND(B7677=1,C7677&gt;1,E7676&lt;&gt;""),ABS(D7677-E7676),"")</f>
        <v/>
      </c>
    </row>
    <row r="7678">
      <c r="A7678" t="n">
        <v>7678</v>
      </c>
      <c r="B7678">
        <f>IF(INDEX('Data Entry'!$H$5:$BE$10004,7678-4,'Visual SPC'!$B$3)="",0,IF(AND(OR('Visual SPC'!$C$4="",'Data Entry'!$C7678&gt;='Visual SPC'!$C$4),OR('Visual SPC'!$E$4="",'Data Entry'!$C7678&lt;='Visual SPC'!$E$4),OR('Visual SPC'!$G$4="",'Data Entry'!$D7678='Visual SPC'!$G$4),OR('Visual SPC'!$I$4="",'Data Entry'!$E7678='Visual SPC'!$I$4),OR('Visual SPC'!$K$4="",'Data Entry'!$F7678='Visual SPC'!$K$4)),1,0))</f>
        <v/>
      </c>
      <c r="C7678">
        <f>C7677+B7678</f>
        <v/>
      </c>
      <c r="D7678">
        <f>IF(B7678=1,INDEX('Data Entry'!$H$5:$BE$10004,7678-4,'Visual SPC'!$B$3),"")</f>
        <v/>
      </c>
      <c r="E7678">
        <f>IF(B7678=1,D7678,E7677)</f>
        <v/>
      </c>
      <c r="F7678">
        <f>IF(AND(B7678=1,C7678&gt;1,E7677&lt;&gt;""),ABS(D7678-E7677),"")</f>
        <v/>
      </c>
    </row>
    <row r="7679">
      <c r="A7679" t="n">
        <v>7679</v>
      </c>
      <c r="B7679">
        <f>IF(INDEX('Data Entry'!$H$5:$BE$10004,7679-4,'Visual SPC'!$B$3)="",0,IF(AND(OR('Visual SPC'!$C$4="",'Data Entry'!$C7679&gt;='Visual SPC'!$C$4),OR('Visual SPC'!$E$4="",'Data Entry'!$C7679&lt;='Visual SPC'!$E$4),OR('Visual SPC'!$G$4="",'Data Entry'!$D7679='Visual SPC'!$G$4),OR('Visual SPC'!$I$4="",'Data Entry'!$E7679='Visual SPC'!$I$4),OR('Visual SPC'!$K$4="",'Data Entry'!$F7679='Visual SPC'!$K$4)),1,0))</f>
        <v/>
      </c>
      <c r="C7679">
        <f>C7678+B7679</f>
        <v/>
      </c>
      <c r="D7679">
        <f>IF(B7679=1,INDEX('Data Entry'!$H$5:$BE$10004,7679-4,'Visual SPC'!$B$3),"")</f>
        <v/>
      </c>
      <c r="E7679">
        <f>IF(B7679=1,D7679,E7678)</f>
        <v/>
      </c>
      <c r="F7679">
        <f>IF(AND(B7679=1,C7679&gt;1,E7678&lt;&gt;""),ABS(D7679-E7678),"")</f>
        <v/>
      </c>
    </row>
    <row r="7680">
      <c r="A7680" t="n">
        <v>7680</v>
      </c>
      <c r="B7680">
        <f>IF(INDEX('Data Entry'!$H$5:$BE$10004,7680-4,'Visual SPC'!$B$3)="",0,IF(AND(OR('Visual SPC'!$C$4="",'Data Entry'!$C7680&gt;='Visual SPC'!$C$4),OR('Visual SPC'!$E$4="",'Data Entry'!$C7680&lt;='Visual SPC'!$E$4),OR('Visual SPC'!$G$4="",'Data Entry'!$D7680='Visual SPC'!$G$4),OR('Visual SPC'!$I$4="",'Data Entry'!$E7680='Visual SPC'!$I$4),OR('Visual SPC'!$K$4="",'Data Entry'!$F7680='Visual SPC'!$K$4)),1,0))</f>
        <v/>
      </c>
      <c r="C7680">
        <f>C7679+B7680</f>
        <v/>
      </c>
      <c r="D7680">
        <f>IF(B7680=1,INDEX('Data Entry'!$H$5:$BE$10004,7680-4,'Visual SPC'!$B$3),"")</f>
        <v/>
      </c>
      <c r="E7680">
        <f>IF(B7680=1,D7680,E7679)</f>
        <v/>
      </c>
      <c r="F7680">
        <f>IF(AND(B7680=1,C7680&gt;1,E7679&lt;&gt;""),ABS(D7680-E7679),"")</f>
        <v/>
      </c>
    </row>
    <row r="7681">
      <c r="A7681" t="n">
        <v>7681</v>
      </c>
      <c r="B7681">
        <f>IF(INDEX('Data Entry'!$H$5:$BE$10004,7681-4,'Visual SPC'!$B$3)="",0,IF(AND(OR('Visual SPC'!$C$4="",'Data Entry'!$C7681&gt;='Visual SPC'!$C$4),OR('Visual SPC'!$E$4="",'Data Entry'!$C7681&lt;='Visual SPC'!$E$4),OR('Visual SPC'!$G$4="",'Data Entry'!$D7681='Visual SPC'!$G$4),OR('Visual SPC'!$I$4="",'Data Entry'!$E7681='Visual SPC'!$I$4),OR('Visual SPC'!$K$4="",'Data Entry'!$F7681='Visual SPC'!$K$4)),1,0))</f>
        <v/>
      </c>
      <c r="C7681">
        <f>C7680+B7681</f>
        <v/>
      </c>
      <c r="D7681">
        <f>IF(B7681=1,INDEX('Data Entry'!$H$5:$BE$10004,7681-4,'Visual SPC'!$B$3),"")</f>
        <v/>
      </c>
      <c r="E7681">
        <f>IF(B7681=1,D7681,E7680)</f>
        <v/>
      </c>
      <c r="F7681">
        <f>IF(AND(B7681=1,C7681&gt;1,E7680&lt;&gt;""),ABS(D7681-E7680),"")</f>
        <v/>
      </c>
    </row>
    <row r="7682">
      <c r="A7682" t="n">
        <v>7682</v>
      </c>
      <c r="B7682">
        <f>IF(INDEX('Data Entry'!$H$5:$BE$10004,7682-4,'Visual SPC'!$B$3)="",0,IF(AND(OR('Visual SPC'!$C$4="",'Data Entry'!$C7682&gt;='Visual SPC'!$C$4),OR('Visual SPC'!$E$4="",'Data Entry'!$C7682&lt;='Visual SPC'!$E$4),OR('Visual SPC'!$G$4="",'Data Entry'!$D7682='Visual SPC'!$G$4),OR('Visual SPC'!$I$4="",'Data Entry'!$E7682='Visual SPC'!$I$4),OR('Visual SPC'!$K$4="",'Data Entry'!$F7682='Visual SPC'!$K$4)),1,0))</f>
        <v/>
      </c>
      <c r="C7682">
        <f>C7681+B7682</f>
        <v/>
      </c>
      <c r="D7682">
        <f>IF(B7682=1,INDEX('Data Entry'!$H$5:$BE$10004,7682-4,'Visual SPC'!$B$3),"")</f>
        <v/>
      </c>
      <c r="E7682">
        <f>IF(B7682=1,D7682,E7681)</f>
        <v/>
      </c>
      <c r="F7682">
        <f>IF(AND(B7682=1,C7682&gt;1,E7681&lt;&gt;""),ABS(D7682-E7681),"")</f>
        <v/>
      </c>
    </row>
    <row r="7683">
      <c r="A7683" t="n">
        <v>7683</v>
      </c>
      <c r="B7683">
        <f>IF(INDEX('Data Entry'!$H$5:$BE$10004,7683-4,'Visual SPC'!$B$3)="",0,IF(AND(OR('Visual SPC'!$C$4="",'Data Entry'!$C7683&gt;='Visual SPC'!$C$4),OR('Visual SPC'!$E$4="",'Data Entry'!$C7683&lt;='Visual SPC'!$E$4),OR('Visual SPC'!$G$4="",'Data Entry'!$D7683='Visual SPC'!$G$4),OR('Visual SPC'!$I$4="",'Data Entry'!$E7683='Visual SPC'!$I$4),OR('Visual SPC'!$K$4="",'Data Entry'!$F7683='Visual SPC'!$K$4)),1,0))</f>
        <v/>
      </c>
      <c r="C7683">
        <f>C7682+B7683</f>
        <v/>
      </c>
      <c r="D7683">
        <f>IF(B7683=1,INDEX('Data Entry'!$H$5:$BE$10004,7683-4,'Visual SPC'!$B$3),"")</f>
        <v/>
      </c>
      <c r="E7683">
        <f>IF(B7683=1,D7683,E7682)</f>
        <v/>
      </c>
      <c r="F7683">
        <f>IF(AND(B7683=1,C7683&gt;1,E7682&lt;&gt;""),ABS(D7683-E7682),"")</f>
        <v/>
      </c>
    </row>
    <row r="7684">
      <c r="A7684" t="n">
        <v>7684</v>
      </c>
      <c r="B7684">
        <f>IF(INDEX('Data Entry'!$H$5:$BE$10004,7684-4,'Visual SPC'!$B$3)="",0,IF(AND(OR('Visual SPC'!$C$4="",'Data Entry'!$C7684&gt;='Visual SPC'!$C$4),OR('Visual SPC'!$E$4="",'Data Entry'!$C7684&lt;='Visual SPC'!$E$4),OR('Visual SPC'!$G$4="",'Data Entry'!$D7684='Visual SPC'!$G$4),OR('Visual SPC'!$I$4="",'Data Entry'!$E7684='Visual SPC'!$I$4),OR('Visual SPC'!$K$4="",'Data Entry'!$F7684='Visual SPC'!$K$4)),1,0))</f>
        <v/>
      </c>
      <c r="C7684">
        <f>C7683+B7684</f>
        <v/>
      </c>
      <c r="D7684">
        <f>IF(B7684=1,INDEX('Data Entry'!$H$5:$BE$10004,7684-4,'Visual SPC'!$B$3),"")</f>
        <v/>
      </c>
      <c r="E7684">
        <f>IF(B7684=1,D7684,E7683)</f>
        <v/>
      </c>
      <c r="F7684">
        <f>IF(AND(B7684=1,C7684&gt;1,E7683&lt;&gt;""),ABS(D7684-E7683),"")</f>
        <v/>
      </c>
    </row>
    <row r="7685">
      <c r="A7685" t="n">
        <v>7685</v>
      </c>
      <c r="B7685">
        <f>IF(INDEX('Data Entry'!$H$5:$BE$10004,7685-4,'Visual SPC'!$B$3)="",0,IF(AND(OR('Visual SPC'!$C$4="",'Data Entry'!$C7685&gt;='Visual SPC'!$C$4),OR('Visual SPC'!$E$4="",'Data Entry'!$C7685&lt;='Visual SPC'!$E$4),OR('Visual SPC'!$G$4="",'Data Entry'!$D7685='Visual SPC'!$G$4),OR('Visual SPC'!$I$4="",'Data Entry'!$E7685='Visual SPC'!$I$4),OR('Visual SPC'!$K$4="",'Data Entry'!$F7685='Visual SPC'!$K$4)),1,0))</f>
        <v/>
      </c>
      <c r="C7685">
        <f>C7684+B7685</f>
        <v/>
      </c>
      <c r="D7685">
        <f>IF(B7685=1,INDEX('Data Entry'!$H$5:$BE$10004,7685-4,'Visual SPC'!$B$3),"")</f>
        <v/>
      </c>
      <c r="E7685">
        <f>IF(B7685=1,D7685,E7684)</f>
        <v/>
      </c>
      <c r="F7685">
        <f>IF(AND(B7685=1,C7685&gt;1,E7684&lt;&gt;""),ABS(D7685-E7684),"")</f>
        <v/>
      </c>
    </row>
    <row r="7686">
      <c r="A7686" t="n">
        <v>7686</v>
      </c>
      <c r="B7686">
        <f>IF(INDEX('Data Entry'!$H$5:$BE$10004,7686-4,'Visual SPC'!$B$3)="",0,IF(AND(OR('Visual SPC'!$C$4="",'Data Entry'!$C7686&gt;='Visual SPC'!$C$4),OR('Visual SPC'!$E$4="",'Data Entry'!$C7686&lt;='Visual SPC'!$E$4),OR('Visual SPC'!$G$4="",'Data Entry'!$D7686='Visual SPC'!$G$4),OR('Visual SPC'!$I$4="",'Data Entry'!$E7686='Visual SPC'!$I$4),OR('Visual SPC'!$K$4="",'Data Entry'!$F7686='Visual SPC'!$K$4)),1,0))</f>
        <v/>
      </c>
      <c r="C7686">
        <f>C7685+B7686</f>
        <v/>
      </c>
      <c r="D7686">
        <f>IF(B7686=1,INDEX('Data Entry'!$H$5:$BE$10004,7686-4,'Visual SPC'!$B$3),"")</f>
        <v/>
      </c>
      <c r="E7686">
        <f>IF(B7686=1,D7686,E7685)</f>
        <v/>
      </c>
      <c r="F7686">
        <f>IF(AND(B7686=1,C7686&gt;1,E7685&lt;&gt;""),ABS(D7686-E7685),"")</f>
        <v/>
      </c>
    </row>
    <row r="7687">
      <c r="A7687" t="n">
        <v>7687</v>
      </c>
      <c r="B7687">
        <f>IF(INDEX('Data Entry'!$H$5:$BE$10004,7687-4,'Visual SPC'!$B$3)="",0,IF(AND(OR('Visual SPC'!$C$4="",'Data Entry'!$C7687&gt;='Visual SPC'!$C$4),OR('Visual SPC'!$E$4="",'Data Entry'!$C7687&lt;='Visual SPC'!$E$4),OR('Visual SPC'!$G$4="",'Data Entry'!$D7687='Visual SPC'!$G$4),OR('Visual SPC'!$I$4="",'Data Entry'!$E7687='Visual SPC'!$I$4),OR('Visual SPC'!$K$4="",'Data Entry'!$F7687='Visual SPC'!$K$4)),1,0))</f>
        <v/>
      </c>
      <c r="C7687">
        <f>C7686+B7687</f>
        <v/>
      </c>
      <c r="D7687">
        <f>IF(B7687=1,INDEX('Data Entry'!$H$5:$BE$10004,7687-4,'Visual SPC'!$B$3),"")</f>
        <v/>
      </c>
      <c r="E7687">
        <f>IF(B7687=1,D7687,E7686)</f>
        <v/>
      </c>
      <c r="F7687">
        <f>IF(AND(B7687=1,C7687&gt;1,E7686&lt;&gt;""),ABS(D7687-E7686),"")</f>
        <v/>
      </c>
    </row>
    <row r="7688">
      <c r="A7688" t="n">
        <v>7688</v>
      </c>
      <c r="B7688">
        <f>IF(INDEX('Data Entry'!$H$5:$BE$10004,7688-4,'Visual SPC'!$B$3)="",0,IF(AND(OR('Visual SPC'!$C$4="",'Data Entry'!$C7688&gt;='Visual SPC'!$C$4),OR('Visual SPC'!$E$4="",'Data Entry'!$C7688&lt;='Visual SPC'!$E$4),OR('Visual SPC'!$G$4="",'Data Entry'!$D7688='Visual SPC'!$G$4),OR('Visual SPC'!$I$4="",'Data Entry'!$E7688='Visual SPC'!$I$4),OR('Visual SPC'!$K$4="",'Data Entry'!$F7688='Visual SPC'!$K$4)),1,0))</f>
        <v/>
      </c>
      <c r="C7688">
        <f>C7687+B7688</f>
        <v/>
      </c>
      <c r="D7688">
        <f>IF(B7688=1,INDEX('Data Entry'!$H$5:$BE$10004,7688-4,'Visual SPC'!$B$3),"")</f>
        <v/>
      </c>
      <c r="E7688">
        <f>IF(B7688=1,D7688,E7687)</f>
        <v/>
      </c>
      <c r="F7688">
        <f>IF(AND(B7688=1,C7688&gt;1,E7687&lt;&gt;""),ABS(D7688-E7687),"")</f>
        <v/>
      </c>
    </row>
    <row r="7689">
      <c r="A7689" t="n">
        <v>7689</v>
      </c>
      <c r="B7689">
        <f>IF(INDEX('Data Entry'!$H$5:$BE$10004,7689-4,'Visual SPC'!$B$3)="",0,IF(AND(OR('Visual SPC'!$C$4="",'Data Entry'!$C7689&gt;='Visual SPC'!$C$4),OR('Visual SPC'!$E$4="",'Data Entry'!$C7689&lt;='Visual SPC'!$E$4),OR('Visual SPC'!$G$4="",'Data Entry'!$D7689='Visual SPC'!$G$4),OR('Visual SPC'!$I$4="",'Data Entry'!$E7689='Visual SPC'!$I$4),OR('Visual SPC'!$K$4="",'Data Entry'!$F7689='Visual SPC'!$K$4)),1,0))</f>
        <v/>
      </c>
      <c r="C7689">
        <f>C7688+B7689</f>
        <v/>
      </c>
      <c r="D7689">
        <f>IF(B7689=1,INDEX('Data Entry'!$H$5:$BE$10004,7689-4,'Visual SPC'!$B$3),"")</f>
        <v/>
      </c>
      <c r="E7689">
        <f>IF(B7689=1,D7689,E7688)</f>
        <v/>
      </c>
      <c r="F7689">
        <f>IF(AND(B7689=1,C7689&gt;1,E7688&lt;&gt;""),ABS(D7689-E7688),"")</f>
        <v/>
      </c>
    </row>
    <row r="7690">
      <c r="A7690" t="n">
        <v>7690</v>
      </c>
      <c r="B7690">
        <f>IF(INDEX('Data Entry'!$H$5:$BE$10004,7690-4,'Visual SPC'!$B$3)="",0,IF(AND(OR('Visual SPC'!$C$4="",'Data Entry'!$C7690&gt;='Visual SPC'!$C$4),OR('Visual SPC'!$E$4="",'Data Entry'!$C7690&lt;='Visual SPC'!$E$4),OR('Visual SPC'!$G$4="",'Data Entry'!$D7690='Visual SPC'!$G$4),OR('Visual SPC'!$I$4="",'Data Entry'!$E7690='Visual SPC'!$I$4),OR('Visual SPC'!$K$4="",'Data Entry'!$F7690='Visual SPC'!$K$4)),1,0))</f>
        <v/>
      </c>
      <c r="C7690">
        <f>C7689+B7690</f>
        <v/>
      </c>
      <c r="D7690">
        <f>IF(B7690=1,INDEX('Data Entry'!$H$5:$BE$10004,7690-4,'Visual SPC'!$B$3),"")</f>
        <v/>
      </c>
      <c r="E7690">
        <f>IF(B7690=1,D7690,E7689)</f>
        <v/>
      </c>
      <c r="F7690">
        <f>IF(AND(B7690=1,C7690&gt;1,E7689&lt;&gt;""),ABS(D7690-E7689),"")</f>
        <v/>
      </c>
    </row>
    <row r="7691">
      <c r="A7691" t="n">
        <v>7691</v>
      </c>
      <c r="B7691">
        <f>IF(INDEX('Data Entry'!$H$5:$BE$10004,7691-4,'Visual SPC'!$B$3)="",0,IF(AND(OR('Visual SPC'!$C$4="",'Data Entry'!$C7691&gt;='Visual SPC'!$C$4),OR('Visual SPC'!$E$4="",'Data Entry'!$C7691&lt;='Visual SPC'!$E$4),OR('Visual SPC'!$G$4="",'Data Entry'!$D7691='Visual SPC'!$G$4),OR('Visual SPC'!$I$4="",'Data Entry'!$E7691='Visual SPC'!$I$4),OR('Visual SPC'!$K$4="",'Data Entry'!$F7691='Visual SPC'!$K$4)),1,0))</f>
        <v/>
      </c>
      <c r="C7691">
        <f>C7690+B7691</f>
        <v/>
      </c>
      <c r="D7691">
        <f>IF(B7691=1,INDEX('Data Entry'!$H$5:$BE$10004,7691-4,'Visual SPC'!$B$3),"")</f>
        <v/>
      </c>
      <c r="E7691">
        <f>IF(B7691=1,D7691,E7690)</f>
        <v/>
      </c>
      <c r="F7691">
        <f>IF(AND(B7691=1,C7691&gt;1,E7690&lt;&gt;""),ABS(D7691-E7690),"")</f>
        <v/>
      </c>
    </row>
    <row r="7692">
      <c r="A7692" t="n">
        <v>7692</v>
      </c>
      <c r="B7692">
        <f>IF(INDEX('Data Entry'!$H$5:$BE$10004,7692-4,'Visual SPC'!$B$3)="",0,IF(AND(OR('Visual SPC'!$C$4="",'Data Entry'!$C7692&gt;='Visual SPC'!$C$4),OR('Visual SPC'!$E$4="",'Data Entry'!$C7692&lt;='Visual SPC'!$E$4),OR('Visual SPC'!$G$4="",'Data Entry'!$D7692='Visual SPC'!$G$4),OR('Visual SPC'!$I$4="",'Data Entry'!$E7692='Visual SPC'!$I$4),OR('Visual SPC'!$K$4="",'Data Entry'!$F7692='Visual SPC'!$K$4)),1,0))</f>
        <v/>
      </c>
      <c r="C7692">
        <f>C7691+B7692</f>
        <v/>
      </c>
      <c r="D7692">
        <f>IF(B7692=1,INDEX('Data Entry'!$H$5:$BE$10004,7692-4,'Visual SPC'!$B$3),"")</f>
        <v/>
      </c>
      <c r="E7692">
        <f>IF(B7692=1,D7692,E7691)</f>
        <v/>
      </c>
      <c r="F7692">
        <f>IF(AND(B7692=1,C7692&gt;1,E7691&lt;&gt;""),ABS(D7692-E7691),"")</f>
        <v/>
      </c>
    </row>
    <row r="7693">
      <c r="A7693" t="n">
        <v>7693</v>
      </c>
      <c r="B7693">
        <f>IF(INDEX('Data Entry'!$H$5:$BE$10004,7693-4,'Visual SPC'!$B$3)="",0,IF(AND(OR('Visual SPC'!$C$4="",'Data Entry'!$C7693&gt;='Visual SPC'!$C$4),OR('Visual SPC'!$E$4="",'Data Entry'!$C7693&lt;='Visual SPC'!$E$4),OR('Visual SPC'!$G$4="",'Data Entry'!$D7693='Visual SPC'!$G$4),OR('Visual SPC'!$I$4="",'Data Entry'!$E7693='Visual SPC'!$I$4),OR('Visual SPC'!$K$4="",'Data Entry'!$F7693='Visual SPC'!$K$4)),1,0))</f>
        <v/>
      </c>
      <c r="C7693">
        <f>C7692+B7693</f>
        <v/>
      </c>
      <c r="D7693">
        <f>IF(B7693=1,INDEX('Data Entry'!$H$5:$BE$10004,7693-4,'Visual SPC'!$B$3),"")</f>
        <v/>
      </c>
      <c r="E7693">
        <f>IF(B7693=1,D7693,E7692)</f>
        <v/>
      </c>
      <c r="F7693">
        <f>IF(AND(B7693=1,C7693&gt;1,E7692&lt;&gt;""),ABS(D7693-E7692),"")</f>
        <v/>
      </c>
    </row>
    <row r="7694">
      <c r="A7694" t="n">
        <v>7694</v>
      </c>
      <c r="B7694">
        <f>IF(INDEX('Data Entry'!$H$5:$BE$10004,7694-4,'Visual SPC'!$B$3)="",0,IF(AND(OR('Visual SPC'!$C$4="",'Data Entry'!$C7694&gt;='Visual SPC'!$C$4),OR('Visual SPC'!$E$4="",'Data Entry'!$C7694&lt;='Visual SPC'!$E$4),OR('Visual SPC'!$G$4="",'Data Entry'!$D7694='Visual SPC'!$G$4),OR('Visual SPC'!$I$4="",'Data Entry'!$E7694='Visual SPC'!$I$4),OR('Visual SPC'!$K$4="",'Data Entry'!$F7694='Visual SPC'!$K$4)),1,0))</f>
        <v/>
      </c>
      <c r="C7694">
        <f>C7693+B7694</f>
        <v/>
      </c>
      <c r="D7694">
        <f>IF(B7694=1,INDEX('Data Entry'!$H$5:$BE$10004,7694-4,'Visual SPC'!$B$3),"")</f>
        <v/>
      </c>
      <c r="E7694">
        <f>IF(B7694=1,D7694,E7693)</f>
        <v/>
      </c>
      <c r="F7694">
        <f>IF(AND(B7694=1,C7694&gt;1,E7693&lt;&gt;""),ABS(D7694-E7693),"")</f>
        <v/>
      </c>
    </row>
    <row r="7695">
      <c r="A7695" t="n">
        <v>7695</v>
      </c>
      <c r="B7695">
        <f>IF(INDEX('Data Entry'!$H$5:$BE$10004,7695-4,'Visual SPC'!$B$3)="",0,IF(AND(OR('Visual SPC'!$C$4="",'Data Entry'!$C7695&gt;='Visual SPC'!$C$4),OR('Visual SPC'!$E$4="",'Data Entry'!$C7695&lt;='Visual SPC'!$E$4),OR('Visual SPC'!$G$4="",'Data Entry'!$D7695='Visual SPC'!$G$4),OR('Visual SPC'!$I$4="",'Data Entry'!$E7695='Visual SPC'!$I$4),OR('Visual SPC'!$K$4="",'Data Entry'!$F7695='Visual SPC'!$K$4)),1,0))</f>
        <v/>
      </c>
      <c r="C7695">
        <f>C7694+B7695</f>
        <v/>
      </c>
      <c r="D7695">
        <f>IF(B7695=1,INDEX('Data Entry'!$H$5:$BE$10004,7695-4,'Visual SPC'!$B$3),"")</f>
        <v/>
      </c>
      <c r="E7695">
        <f>IF(B7695=1,D7695,E7694)</f>
        <v/>
      </c>
      <c r="F7695">
        <f>IF(AND(B7695=1,C7695&gt;1,E7694&lt;&gt;""),ABS(D7695-E7694),"")</f>
        <v/>
      </c>
    </row>
    <row r="7696">
      <c r="A7696" t="n">
        <v>7696</v>
      </c>
      <c r="B7696">
        <f>IF(INDEX('Data Entry'!$H$5:$BE$10004,7696-4,'Visual SPC'!$B$3)="",0,IF(AND(OR('Visual SPC'!$C$4="",'Data Entry'!$C7696&gt;='Visual SPC'!$C$4),OR('Visual SPC'!$E$4="",'Data Entry'!$C7696&lt;='Visual SPC'!$E$4),OR('Visual SPC'!$G$4="",'Data Entry'!$D7696='Visual SPC'!$G$4),OR('Visual SPC'!$I$4="",'Data Entry'!$E7696='Visual SPC'!$I$4),OR('Visual SPC'!$K$4="",'Data Entry'!$F7696='Visual SPC'!$K$4)),1,0))</f>
        <v/>
      </c>
      <c r="C7696">
        <f>C7695+B7696</f>
        <v/>
      </c>
      <c r="D7696">
        <f>IF(B7696=1,INDEX('Data Entry'!$H$5:$BE$10004,7696-4,'Visual SPC'!$B$3),"")</f>
        <v/>
      </c>
      <c r="E7696">
        <f>IF(B7696=1,D7696,E7695)</f>
        <v/>
      </c>
      <c r="F7696">
        <f>IF(AND(B7696=1,C7696&gt;1,E7695&lt;&gt;""),ABS(D7696-E7695),"")</f>
        <v/>
      </c>
    </row>
    <row r="7697">
      <c r="A7697" t="n">
        <v>7697</v>
      </c>
      <c r="B7697">
        <f>IF(INDEX('Data Entry'!$H$5:$BE$10004,7697-4,'Visual SPC'!$B$3)="",0,IF(AND(OR('Visual SPC'!$C$4="",'Data Entry'!$C7697&gt;='Visual SPC'!$C$4),OR('Visual SPC'!$E$4="",'Data Entry'!$C7697&lt;='Visual SPC'!$E$4),OR('Visual SPC'!$G$4="",'Data Entry'!$D7697='Visual SPC'!$G$4),OR('Visual SPC'!$I$4="",'Data Entry'!$E7697='Visual SPC'!$I$4),OR('Visual SPC'!$K$4="",'Data Entry'!$F7697='Visual SPC'!$K$4)),1,0))</f>
        <v/>
      </c>
      <c r="C7697">
        <f>C7696+B7697</f>
        <v/>
      </c>
      <c r="D7697">
        <f>IF(B7697=1,INDEX('Data Entry'!$H$5:$BE$10004,7697-4,'Visual SPC'!$B$3),"")</f>
        <v/>
      </c>
      <c r="E7697">
        <f>IF(B7697=1,D7697,E7696)</f>
        <v/>
      </c>
      <c r="F7697">
        <f>IF(AND(B7697=1,C7697&gt;1,E7696&lt;&gt;""),ABS(D7697-E7696),"")</f>
        <v/>
      </c>
    </row>
    <row r="7698">
      <c r="A7698" t="n">
        <v>7698</v>
      </c>
      <c r="B7698">
        <f>IF(INDEX('Data Entry'!$H$5:$BE$10004,7698-4,'Visual SPC'!$B$3)="",0,IF(AND(OR('Visual SPC'!$C$4="",'Data Entry'!$C7698&gt;='Visual SPC'!$C$4),OR('Visual SPC'!$E$4="",'Data Entry'!$C7698&lt;='Visual SPC'!$E$4),OR('Visual SPC'!$G$4="",'Data Entry'!$D7698='Visual SPC'!$G$4),OR('Visual SPC'!$I$4="",'Data Entry'!$E7698='Visual SPC'!$I$4),OR('Visual SPC'!$K$4="",'Data Entry'!$F7698='Visual SPC'!$K$4)),1,0))</f>
        <v/>
      </c>
      <c r="C7698">
        <f>C7697+B7698</f>
        <v/>
      </c>
      <c r="D7698">
        <f>IF(B7698=1,INDEX('Data Entry'!$H$5:$BE$10004,7698-4,'Visual SPC'!$B$3),"")</f>
        <v/>
      </c>
      <c r="E7698">
        <f>IF(B7698=1,D7698,E7697)</f>
        <v/>
      </c>
      <c r="F7698">
        <f>IF(AND(B7698=1,C7698&gt;1,E7697&lt;&gt;""),ABS(D7698-E7697),"")</f>
        <v/>
      </c>
    </row>
    <row r="7699">
      <c r="A7699" t="n">
        <v>7699</v>
      </c>
      <c r="B7699">
        <f>IF(INDEX('Data Entry'!$H$5:$BE$10004,7699-4,'Visual SPC'!$B$3)="",0,IF(AND(OR('Visual SPC'!$C$4="",'Data Entry'!$C7699&gt;='Visual SPC'!$C$4),OR('Visual SPC'!$E$4="",'Data Entry'!$C7699&lt;='Visual SPC'!$E$4),OR('Visual SPC'!$G$4="",'Data Entry'!$D7699='Visual SPC'!$G$4),OR('Visual SPC'!$I$4="",'Data Entry'!$E7699='Visual SPC'!$I$4),OR('Visual SPC'!$K$4="",'Data Entry'!$F7699='Visual SPC'!$K$4)),1,0))</f>
        <v/>
      </c>
      <c r="C7699">
        <f>C7698+B7699</f>
        <v/>
      </c>
      <c r="D7699">
        <f>IF(B7699=1,INDEX('Data Entry'!$H$5:$BE$10004,7699-4,'Visual SPC'!$B$3),"")</f>
        <v/>
      </c>
      <c r="E7699">
        <f>IF(B7699=1,D7699,E7698)</f>
        <v/>
      </c>
      <c r="F7699">
        <f>IF(AND(B7699=1,C7699&gt;1,E7698&lt;&gt;""),ABS(D7699-E7698),"")</f>
        <v/>
      </c>
    </row>
    <row r="7700">
      <c r="A7700" t="n">
        <v>7700</v>
      </c>
      <c r="B7700">
        <f>IF(INDEX('Data Entry'!$H$5:$BE$10004,7700-4,'Visual SPC'!$B$3)="",0,IF(AND(OR('Visual SPC'!$C$4="",'Data Entry'!$C7700&gt;='Visual SPC'!$C$4),OR('Visual SPC'!$E$4="",'Data Entry'!$C7700&lt;='Visual SPC'!$E$4),OR('Visual SPC'!$G$4="",'Data Entry'!$D7700='Visual SPC'!$G$4),OR('Visual SPC'!$I$4="",'Data Entry'!$E7700='Visual SPC'!$I$4),OR('Visual SPC'!$K$4="",'Data Entry'!$F7700='Visual SPC'!$K$4)),1,0))</f>
        <v/>
      </c>
      <c r="C7700">
        <f>C7699+B7700</f>
        <v/>
      </c>
      <c r="D7700">
        <f>IF(B7700=1,INDEX('Data Entry'!$H$5:$BE$10004,7700-4,'Visual SPC'!$B$3),"")</f>
        <v/>
      </c>
      <c r="E7700">
        <f>IF(B7700=1,D7700,E7699)</f>
        <v/>
      </c>
      <c r="F7700">
        <f>IF(AND(B7700=1,C7700&gt;1,E7699&lt;&gt;""),ABS(D7700-E7699),"")</f>
        <v/>
      </c>
    </row>
    <row r="7701">
      <c r="A7701" t="n">
        <v>7701</v>
      </c>
      <c r="B7701">
        <f>IF(INDEX('Data Entry'!$H$5:$BE$10004,7701-4,'Visual SPC'!$B$3)="",0,IF(AND(OR('Visual SPC'!$C$4="",'Data Entry'!$C7701&gt;='Visual SPC'!$C$4),OR('Visual SPC'!$E$4="",'Data Entry'!$C7701&lt;='Visual SPC'!$E$4),OR('Visual SPC'!$G$4="",'Data Entry'!$D7701='Visual SPC'!$G$4),OR('Visual SPC'!$I$4="",'Data Entry'!$E7701='Visual SPC'!$I$4),OR('Visual SPC'!$K$4="",'Data Entry'!$F7701='Visual SPC'!$K$4)),1,0))</f>
        <v/>
      </c>
      <c r="C7701">
        <f>C7700+B7701</f>
        <v/>
      </c>
      <c r="D7701">
        <f>IF(B7701=1,INDEX('Data Entry'!$H$5:$BE$10004,7701-4,'Visual SPC'!$B$3),"")</f>
        <v/>
      </c>
      <c r="E7701">
        <f>IF(B7701=1,D7701,E7700)</f>
        <v/>
      </c>
      <c r="F7701">
        <f>IF(AND(B7701=1,C7701&gt;1,E7700&lt;&gt;""),ABS(D7701-E7700),"")</f>
        <v/>
      </c>
    </row>
    <row r="7702">
      <c r="A7702" t="n">
        <v>7702</v>
      </c>
      <c r="B7702">
        <f>IF(INDEX('Data Entry'!$H$5:$BE$10004,7702-4,'Visual SPC'!$B$3)="",0,IF(AND(OR('Visual SPC'!$C$4="",'Data Entry'!$C7702&gt;='Visual SPC'!$C$4),OR('Visual SPC'!$E$4="",'Data Entry'!$C7702&lt;='Visual SPC'!$E$4),OR('Visual SPC'!$G$4="",'Data Entry'!$D7702='Visual SPC'!$G$4),OR('Visual SPC'!$I$4="",'Data Entry'!$E7702='Visual SPC'!$I$4),OR('Visual SPC'!$K$4="",'Data Entry'!$F7702='Visual SPC'!$K$4)),1,0))</f>
        <v/>
      </c>
      <c r="C7702">
        <f>C7701+B7702</f>
        <v/>
      </c>
      <c r="D7702">
        <f>IF(B7702=1,INDEX('Data Entry'!$H$5:$BE$10004,7702-4,'Visual SPC'!$B$3),"")</f>
        <v/>
      </c>
      <c r="E7702">
        <f>IF(B7702=1,D7702,E7701)</f>
        <v/>
      </c>
      <c r="F7702">
        <f>IF(AND(B7702=1,C7702&gt;1,E7701&lt;&gt;""),ABS(D7702-E7701),"")</f>
        <v/>
      </c>
    </row>
    <row r="7703">
      <c r="A7703" t="n">
        <v>7703</v>
      </c>
      <c r="B7703">
        <f>IF(INDEX('Data Entry'!$H$5:$BE$10004,7703-4,'Visual SPC'!$B$3)="",0,IF(AND(OR('Visual SPC'!$C$4="",'Data Entry'!$C7703&gt;='Visual SPC'!$C$4),OR('Visual SPC'!$E$4="",'Data Entry'!$C7703&lt;='Visual SPC'!$E$4),OR('Visual SPC'!$G$4="",'Data Entry'!$D7703='Visual SPC'!$G$4),OR('Visual SPC'!$I$4="",'Data Entry'!$E7703='Visual SPC'!$I$4),OR('Visual SPC'!$K$4="",'Data Entry'!$F7703='Visual SPC'!$K$4)),1,0))</f>
        <v/>
      </c>
      <c r="C7703">
        <f>C7702+B7703</f>
        <v/>
      </c>
      <c r="D7703">
        <f>IF(B7703=1,INDEX('Data Entry'!$H$5:$BE$10004,7703-4,'Visual SPC'!$B$3),"")</f>
        <v/>
      </c>
      <c r="E7703">
        <f>IF(B7703=1,D7703,E7702)</f>
        <v/>
      </c>
      <c r="F7703">
        <f>IF(AND(B7703=1,C7703&gt;1,E7702&lt;&gt;""),ABS(D7703-E7702),"")</f>
        <v/>
      </c>
    </row>
    <row r="7704">
      <c r="A7704" t="n">
        <v>7704</v>
      </c>
      <c r="B7704">
        <f>IF(INDEX('Data Entry'!$H$5:$BE$10004,7704-4,'Visual SPC'!$B$3)="",0,IF(AND(OR('Visual SPC'!$C$4="",'Data Entry'!$C7704&gt;='Visual SPC'!$C$4),OR('Visual SPC'!$E$4="",'Data Entry'!$C7704&lt;='Visual SPC'!$E$4),OR('Visual SPC'!$G$4="",'Data Entry'!$D7704='Visual SPC'!$G$4),OR('Visual SPC'!$I$4="",'Data Entry'!$E7704='Visual SPC'!$I$4),OR('Visual SPC'!$K$4="",'Data Entry'!$F7704='Visual SPC'!$K$4)),1,0))</f>
        <v/>
      </c>
      <c r="C7704">
        <f>C7703+B7704</f>
        <v/>
      </c>
      <c r="D7704">
        <f>IF(B7704=1,INDEX('Data Entry'!$H$5:$BE$10004,7704-4,'Visual SPC'!$B$3),"")</f>
        <v/>
      </c>
      <c r="E7704">
        <f>IF(B7704=1,D7704,E7703)</f>
        <v/>
      </c>
      <c r="F7704">
        <f>IF(AND(B7704=1,C7704&gt;1,E7703&lt;&gt;""),ABS(D7704-E7703),"")</f>
        <v/>
      </c>
    </row>
    <row r="7705">
      <c r="A7705" t="n">
        <v>7705</v>
      </c>
      <c r="B7705">
        <f>IF(INDEX('Data Entry'!$H$5:$BE$10004,7705-4,'Visual SPC'!$B$3)="",0,IF(AND(OR('Visual SPC'!$C$4="",'Data Entry'!$C7705&gt;='Visual SPC'!$C$4),OR('Visual SPC'!$E$4="",'Data Entry'!$C7705&lt;='Visual SPC'!$E$4),OR('Visual SPC'!$G$4="",'Data Entry'!$D7705='Visual SPC'!$G$4),OR('Visual SPC'!$I$4="",'Data Entry'!$E7705='Visual SPC'!$I$4),OR('Visual SPC'!$K$4="",'Data Entry'!$F7705='Visual SPC'!$K$4)),1,0))</f>
        <v/>
      </c>
      <c r="C7705">
        <f>C7704+B7705</f>
        <v/>
      </c>
      <c r="D7705">
        <f>IF(B7705=1,INDEX('Data Entry'!$H$5:$BE$10004,7705-4,'Visual SPC'!$B$3),"")</f>
        <v/>
      </c>
      <c r="E7705">
        <f>IF(B7705=1,D7705,E7704)</f>
        <v/>
      </c>
      <c r="F7705">
        <f>IF(AND(B7705=1,C7705&gt;1,E7704&lt;&gt;""),ABS(D7705-E7704),"")</f>
        <v/>
      </c>
    </row>
    <row r="7706">
      <c r="A7706" t="n">
        <v>7706</v>
      </c>
      <c r="B7706">
        <f>IF(INDEX('Data Entry'!$H$5:$BE$10004,7706-4,'Visual SPC'!$B$3)="",0,IF(AND(OR('Visual SPC'!$C$4="",'Data Entry'!$C7706&gt;='Visual SPC'!$C$4),OR('Visual SPC'!$E$4="",'Data Entry'!$C7706&lt;='Visual SPC'!$E$4),OR('Visual SPC'!$G$4="",'Data Entry'!$D7706='Visual SPC'!$G$4),OR('Visual SPC'!$I$4="",'Data Entry'!$E7706='Visual SPC'!$I$4),OR('Visual SPC'!$K$4="",'Data Entry'!$F7706='Visual SPC'!$K$4)),1,0))</f>
        <v/>
      </c>
      <c r="C7706">
        <f>C7705+B7706</f>
        <v/>
      </c>
      <c r="D7706">
        <f>IF(B7706=1,INDEX('Data Entry'!$H$5:$BE$10004,7706-4,'Visual SPC'!$B$3),"")</f>
        <v/>
      </c>
      <c r="E7706">
        <f>IF(B7706=1,D7706,E7705)</f>
        <v/>
      </c>
      <c r="F7706">
        <f>IF(AND(B7706=1,C7706&gt;1,E7705&lt;&gt;""),ABS(D7706-E7705),"")</f>
        <v/>
      </c>
    </row>
    <row r="7707">
      <c r="A7707" t="n">
        <v>7707</v>
      </c>
      <c r="B7707">
        <f>IF(INDEX('Data Entry'!$H$5:$BE$10004,7707-4,'Visual SPC'!$B$3)="",0,IF(AND(OR('Visual SPC'!$C$4="",'Data Entry'!$C7707&gt;='Visual SPC'!$C$4),OR('Visual SPC'!$E$4="",'Data Entry'!$C7707&lt;='Visual SPC'!$E$4),OR('Visual SPC'!$G$4="",'Data Entry'!$D7707='Visual SPC'!$G$4),OR('Visual SPC'!$I$4="",'Data Entry'!$E7707='Visual SPC'!$I$4),OR('Visual SPC'!$K$4="",'Data Entry'!$F7707='Visual SPC'!$K$4)),1,0))</f>
        <v/>
      </c>
      <c r="C7707">
        <f>C7706+B7707</f>
        <v/>
      </c>
      <c r="D7707">
        <f>IF(B7707=1,INDEX('Data Entry'!$H$5:$BE$10004,7707-4,'Visual SPC'!$B$3),"")</f>
        <v/>
      </c>
      <c r="E7707">
        <f>IF(B7707=1,D7707,E7706)</f>
        <v/>
      </c>
      <c r="F7707">
        <f>IF(AND(B7707=1,C7707&gt;1,E7706&lt;&gt;""),ABS(D7707-E7706),"")</f>
        <v/>
      </c>
    </row>
    <row r="7708">
      <c r="A7708" t="n">
        <v>7708</v>
      </c>
      <c r="B7708">
        <f>IF(INDEX('Data Entry'!$H$5:$BE$10004,7708-4,'Visual SPC'!$B$3)="",0,IF(AND(OR('Visual SPC'!$C$4="",'Data Entry'!$C7708&gt;='Visual SPC'!$C$4),OR('Visual SPC'!$E$4="",'Data Entry'!$C7708&lt;='Visual SPC'!$E$4),OR('Visual SPC'!$G$4="",'Data Entry'!$D7708='Visual SPC'!$G$4),OR('Visual SPC'!$I$4="",'Data Entry'!$E7708='Visual SPC'!$I$4),OR('Visual SPC'!$K$4="",'Data Entry'!$F7708='Visual SPC'!$K$4)),1,0))</f>
        <v/>
      </c>
      <c r="C7708">
        <f>C7707+B7708</f>
        <v/>
      </c>
      <c r="D7708">
        <f>IF(B7708=1,INDEX('Data Entry'!$H$5:$BE$10004,7708-4,'Visual SPC'!$B$3),"")</f>
        <v/>
      </c>
      <c r="E7708">
        <f>IF(B7708=1,D7708,E7707)</f>
        <v/>
      </c>
      <c r="F7708">
        <f>IF(AND(B7708=1,C7708&gt;1,E7707&lt;&gt;""),ABS(D7708-E7707),"")</f>
        <v/>
      </c>
    </row>
    <row r="7709">
      <c r="A7709" t="n">
        <v>7709</v>
      </c>
      <c r="B7709">
        <f>IF(INDEX('Data Entry'!$H$5:$BE$10004,7709-4,'Visual SPC'!$B$3)="",0,IF(AND(OR('Visual SPC'!$C$4="",'Data Entry'!$C7709&gt;='Visual SPC'!$C$4),OR('Visual SPC'!$E$4="",'Data Entry'!$C7709&lt;='Visual SPC'!$E$4),OR('Visual SPC'!$G$4="",'Data Entry'!$D7709='Visual SPC'!$G$4),OR('Visual SPC'!$I$4="",'Data Entry'!$E7709='Visual SPC'!$I$4),OR('Visual SPC'!$K$4="",'Data Entry'!$F7709='Visual SPC'!$K$4)),1,0))</f>
        <v/>
      </c>
      <c r="C7709">
        <f>C7708+B7709</f>
        <v/>
      </c>
      <c r="D7709">
        <f>IF(B7709=1,INDEX('Data Entry'!$H$5:$BE$10004,7709-4,'Visual SPC'!$B$3),"")</f>
        <v/>
      </c>
      <c r="E7709">
        <f>IF(B7709=1,D7709,E7708)</f>
        <v/>
      </c>
      <c r="F7709">
        <f>IF(AND(B7709=1,C7709&gt;1,E7708&lt;&gt;""),ABS(D7709-E7708),"")</f>
        <v/>
      </c>
    </row>
    <row r="7710">
      <c r="A7710" t="n">
        <v>7710</v>
      </c>
      <c r="B7710">
        <f>IF(INDEX('Data Entry'!$H$5:$BE$10004,7710-4,'Visual SPC'!$B$3)="",0,IF(AND(OR('Visual SPC'!$C$4="",'Data Entry'!$C7710&gt;='Visual SPC'!$C$4),OR('Visual SPC'!$E$4="",'Data Entry'!$C7710&lt;='Visual SPC'!$E$4),OR('Visual SPC'!$G$4="",'Data Entry'!$D7710='Visual SPC'!$G$4),OR('Visual SPC'!$I$4="",'Data Entry'!$E7710='Visual SPC'!$I$4),OR('Visual SPC'!$K$4="",'Data Entry'!$F7710='Visual SPC'!$K$4)),1,0))</f>
        <v/>
      </c>
      <c r="C7710">
        <f>C7709+B7710</f>
        <v/>
      </c>
      <c r="D7710">
        <f>IF(B7710=1,INDEX('Data Entry'!$H$5:$BE$10004,7710-4,'Visual SPC'!$B$3),"")</f>
        <v/>
      </c>
      <c r="E7710">
        <f>IF(B7710=1,D7710,E7709)</f>
        <v/>
      </c>
      <c r="F7710">
        <f>IF(AND(B7710=1,C7710&gt;1,E7709&lt;&gt;""),ABS(D7710-E7709),"")</f>
        <v/>
      </c>
    </row>
    <row r="7711">
      <c r="A7711" t="n">
        <v>7711</v>
      </c>
      <c r="B7711">
        <f>IF(INDEX('Data Entry'!$H$5:$BE$10004,7711-4,'Visual SPC'!$B$3)="",0,IF(AND(OR('Visual SPC'!$C$4="",'Data Entry'!$C7711&gt;='Visual SPC'!$C$4),OR('Visual SPC'!$E$4="",'Data Entry'!$C7711&lt;='Visual SPC'!$E$4),OR('Visual SPC'!$G$4="",'Data Entry'!$D7711='Visual SPC'!$G$4),OR('Visual SPC'!$I$4="",'Data Entry'!$E7711='Visual SPC'!$I$4),OR('Visual SPC'!$K$4="",'Data Entry'!$F7711='Visual SPC'!$K$4)),1,0))</f>
        <v/>
      </c>
      <c r="C7711">
        <f>C7710+B7711</f>
        <v/>
      </c>
      <c r="D7711">
        <f>IF(B7711=1,INDEX('Data Entry'!$H$5:$BE$10004,7711-4,'Visual SPC'!$B$3),"")</f>
        <v/>
      </c>
      <c r="E7711">
        <f>IF(B7711=1,D7711,E7710)</f>
        <v/>
      </c>
      <c r="F7711">
        <f>IF(AND(B7711=1,C7711&gt;1,E7710&lt;&gt;""),ABS(D7711-E7710),"")</f>
        <v/>
      </c>
    </row>
    <row r="7712">
      <c r="A7712" t="n">
        <v>7712</v>
      </c>
      <c r="B7712">
        <f>IF(INDEX('Data Entry'!$H$5:$BE$10004,7712-4,'Visual SPC'!$B$3)="",0,IF(AND(OR('Visual SPC'!$C$4="",'Data Entry'!$C7712&gt;='Visual SPC'!$C$4),OR('Visual SPC'!$E$4="",'Data Entry'!$C7712&lt;='Visual SPC'!$E$4),OR('Visual SPC'!$G$4="",'Data Entry'!$D7712='Visual SPC'!$G$4),OR('Visual SPC'!$I$4="",'Data Entry'!$E7712='Visual SPC'!$I$4),OR('Visual SPC'!$K$4="",'Data Entry'!$F7712='Visual SPC'!$K$4)),1,0))</f>
        <v/>
      </c>
      <c r="C7712">
        <f>C7711+B7712</f>
        <v/>
      </c>
      <c r="D7712">
        <f>IF(B7712=1,INDEX('Data Entry'!$H$5:$BE$10004,7712-4,'Visual SPC'!$B$3),"")</f>
        <v/>
      </c>
      <c r="E7712">
        <f>IF(B7712=1,D7712,E7711)</f>
        <v/>
      </c>
      <c r="F7712">
        <f>IF(AND(B7712=1,C7712&gt;1,E7711&lt;&gt;""),ABS(D7712-E7711),"")</f>
        <v/>
      </c>
    </row>
    <row r="7713">
      <c r="A7713" t="n">
        <v>7713</v>
      </c>
      <c r="B7713">
        <f>IF(INDEX('Data Entry'!$H$5:$BE$10004,7713-4,'Visual SPC'!$B$3)="",0,IF(AND(OR('Visual SPC'!$C$4="",'Data Entry'!$C7713&gt;='Visual SPC'!$C$4),OR('Visual SPC'!$E$4="",'Data Entry'!$C7713&lt;='Visual SPC'!$E$4),OR('Visual SPC'!$G$4="",'Data Entry'!$D7713='Visual SPC'!$G$4),OR('Visual SPC'!$I$4="",'Data Entry'!$E7713='Visual SPC'!$I$4),OR('Visual SPC'!$K$4="",'Data Entry'!$F7713='Visual SPC'!$K$4)),1,0))</f>
        <v/>
      </c>
      <c r="C7713">
        <f>C7712+B7713</f>
        <v/>
      </c>
      <c r="D7713">
        <f>IF(B7713=1,INDEX('Data Entry'!$H$5:$BE$10004,7713-4,'Visual SPC'!$B$3),"")</f>
        <v/>
      </c>
      <c r="E7713">
        <f>IF(B7713=1,D7713,E7712)</f>
        <v/>
      </c>
      <c r="F7713">
        <f>IF(AND(B7713=1,C7713&gt;1,E7712&lt;&gt;""),ABS(D7713-E7712),"")</f>
        <v/>
      </c>
    </row>
    <row r="7714">
      <c r="A7714" t="n">
        <v>7714</v>
      </c>
      <c r="B7714">
        <f>IF(INDEX('Data Entry'!$H$5:$BE$10004,7714-4,'Visual SPC'!$B$3)="",0,IF(AND(OR('Visual SPC'!$C$4="",'Data Entry'!$C7714&gt;='Visual SPC'!$C$4),OR('Visual SPC'!$E$4="",'Data Entry'!$C7714&lt;='Visual SPC'!$E$4),OR('Visual SPC'!$G$4="",'Data Entry'!$D7714='Visual SPC'!$G$4),OR('Visual SPC'!$I$4="",'Data Entry'!$E7714='Visual SPC'!$I$4),OR('Visual SPC'!$K$4="",'Data Entry'!$F7714='Visual SPC'!$K$4)),1,0))</f>
        <v/>
      </c>
      <c r="C7714">
        <f>C7713+B7714</f>
        <v/>
      </c>
      <c r="D7714">
        <f>IF(B7714=1,INDEX('Data Entry'!$H$5:$BE$10004,7714-4,'Visual SPC'!$B$3),"")</f>
        <v/>
      </c>
      <c r="E7714">
        <f>IF(B7714=1,D7714,E7713)</f>
        <v/>
      </c>
      <c r="F7714">
        <f>IF(AND(B7714=1,C7714&gt;1,E7713&lt;&gt;""),ABS(D7714-E7713),"")</f>
        <v/>
      </c>
    </row>
    <row r="7715">
      <c r="A7715" t="n">
        <v>7715</v>
      </c>
      <c r="B7715">
        <f>IF(INDEX('Data Entry'!$H$5:$BE$10004,7715-4,'Visual SPC'!$B$3)="",0,IF(AND(OR('Visual SPC'!$C$4="",'Data Entry'!$C7715&gt;='Visual SPC'!$C$4),OR('Visual SPC'!$E$4="",'Data Entry'!$C7715&lt;='Visual SPC'!$E$4),OR('Visual SPC'!$G$4="",'Data Entry'!$D7715='Visual SPC'!$G$4),OR('Visual SPC'!$I$4="",'Data Entry'!$E7715='Visual SPC'!$I$4),OR('Visual SPC'!$K$4="",'Data Entry'!$F7715='Visual SPC'!$K$4)),1,0))</f>
        <v/>
      </c>
      <c r="C7715">
        <f>C7714+B7715</f>
        <v/>
      </c>
      <c r="D7715">
        <f>IF(B7715=1,INDEX('Data Entry'!$H$5:$BE$10004,7715-4,'Visual SPC'!$B$3),"")</f>
        <v/>
      </c>
      <c r="E7715">
        <f>IF(B7715=1,D7715,E7714)</f>
        <v/>
      </c>
      <c r="F7715">
        <f>IF(AND(B7715=1,C7715&gt;1,E7714&lt;&gt;""),ABS(D7715-E7714),"")</f>
        <v/>
      </c>
    </row>
    <row r="7716">
      <c r="A7716" t="n">
        <v>7716</v>
      </c>
      <c r="B7716">
        <f>IF(INDEX('Data Entry'!$H$5:$BE$10004,7716-4,'Visual SPC'!$B$3)="",0,IF(AND(OR('Visual SPC'!$C$4="",'Data Entry'!$C7716&gt;='Visual SPC'!$C$4),OR('Visual SPC'!$E$4="",'Data Entry'!$C7716&lt;='Visual SPC'!$E$4),OR('Visual SPC'!$G$4="",'Data Entry'!$D7716='Visual SPC'!$G$4),OR('Visual SPC'!$I$4="",'Data Entry'!$E7716='Visual SPC'!$I$4),OR('Visual SPC'!$K$4="",'Data Entry'!$F7716='Visual SPC'!$K$4)),1,0))</f>
        <v/>
      </c>
      <c r="C7716">
        <f>C7715+B7716</f>
        <v/>
      </c>
      <c r="D7716">
        <f>IF(B7716=1,INDEX('Data Entry'!$H$5:$BE$10004,7716-4,'Visual SPC'!$B$3),"")</f>
        <v/>
      </c>
      <c r="E7716">
        <f>IF(B7716=1,D7716,E7715)</f>
        <v/>
      </c>
      <c r="F7716">
        <f>IF(AND(B7716=1,C7716&gt;1,E7715&lt;&gt;""),ABS(D7716-E7715),"")</f>
        <v/>
      </c>
    </row>
    <row r="7717">
      <c r="A7717" t="n">
        <v>7717</v>
      </c>
      <c r="B7717">
        <f>IF(INDEX('Data Entry'!$H$5:$BE$10004,7717-4,'Visual SPC'!$B$3)="",0,IF(AND(OR('Visual SPC'!$C$4="",'Data Entry'!$C7717&gt;='Visual SPC'!$C$4),OR('Visual SPC'!$E$4="",'Data Entry'!$C7717&lt;='Visual SPC'!$E$4),OR('Visual SPC'!$G$4="",'Data Entry'!$D7717='Visual SPC'!$G$4),OR('Visual SPC'!$I$4="",'Data Entry'!$E7717='Visual SPC'!$I$4),OR('Visual SPC'!$K$4="",'Data Entry'!$F7717='Visual SPC'!$K$4)),1,0))</f>
        <v/>
      </c>
      <c r="C7717">
        <f>C7716+B7717</f>
        <v/>
      </c>
      <c r="D7717">
        <f>IF(B7717=1,INDEX('Data Entry'!$H$5:$BE$10004,7717-4,'Visual SPC'!$B$3),"")</f>
        <v/>
      </c>
      <c r="E7717">
        <f>IF(B7717=1,D7717,E7716)</f>
        <v/>
      </c>
      <c r="F7717">
        <f>IF(AND(B7717=1,C7717&gt;1,E7716&lt;&gt;""),ABS(D7717-E7716),"")</f>
        <v/>
      </c>
    </row>
    <row r="7718">
      <c r="A7718" t="n">
        <v>7718</v>
      </c>
      <c r="B7718">
        <f>IF(INDEX('Data Entry'!$H$5:$BE$10004,7718-4,'Visual SPC'!$B$3)="",0,IF(AND(OR('Visual SPC'!$C$4="",'Data Entry'!$C7718&gt;='Visual SPC'!$C$4),OR('Visual SPC'!$E$4="",'Data Entry'!$C7718&lt;='Visual SPC'!$E$4),OR('Visual SPC'!$G$4="",'Data Entry'!$D7718='Visual SPC'!$G$4),OR('Visual SPC'!$I$4="",'Data Entry'!$E7718='Visual SPC'!$I$4),OR('Visual SPC'!$K$4="",'Data Entry'!$F7718='Visual SPC'!$K$4)),1,0))</f>
        <v/>
      </c>
      <c r="C7718">
        <f>C7717+B7718</f>
        <v/>
      </c>
      <c r="D7718">
        <f>IF(B7718=1,INDEX('Data Entry'!$H$5:$BE$10004,7718-4,'Visual SPC'!$B$3),"")</f>
        <v/>
      </c>
      <c r="E7718">
        <f>IF(B7718=1,D7718,E7717)</f>
        <v/>
      </c>
      <c r="F7718">
        <f>IF(AND(B7718=1,C7718&gt;1,E7717&lt;&gt;""),ABS(D7718-E7717),"")</f>
        <v/>
      </c>
    </row>
    <row r="7719">
      <c r="A7719" t="n">
        <v>7719</v>
      </c>
      <c r="B7719">
        <f>IF(INDEX('Data Entry'!$H$5:$BE$10004,7719-4,'Visual SPC'!$B$3)="",0,IF(AND(OR('Visual SPC'!$C$4="",'Data Entry'!$C7719&gt;='Visual SPC'!$C$4),OR('Visual SPC'!$E$4="",'Data Entry'!$C7719&lt;='Visual SPC'!$E$4),OR('Visual SPC'!$G$4="",'Data Entry'!$D7719='Visual SPC'!$G$4),OR('Visual SPC'!$I$4="",'Data Entry'!$E7719='Visual SPC'!$I$4),OR('Visual SPC'!$K$4="",'Data Entry'!$F7719='Visual SPC'!$K$4)),1,0))</f>
        <v/>
      </c>
      <c r="C7719">
        <f>C7718+B7719</f>
        <v/>
      </c>
      <c r="D7719">
        <f>IF(B7719=1,INDEX('Data Entry'!$H$5:$BE$10004,7719-4,'Visual SPC'!$B$3),"")</f>
        <v/>
      </c>
      <c r="E7719">
        <f>IF(B7719=1,D7719,E7718)</f>
        <v/>
      </c>
      <c r="F7719">
        <f>IF(AND(B7719=1,C7719&gt;1,E7718&lt;&gt;""),ABS(D7719-E7718),"")</f>
        <v/>
      </c>
    </row>
    <row r="7720">
      <c r="A7720" t="n">
        <v>7720</v>
      </c>
      <c r="B7720">
        <f>IF(INDEX('Data Entry'!$H$5:$BE$10004,7720-4,'Visual SPC'!$B$3)="",0,IF(AND(OR('Visual SPC'!$C$4="",'Data Entry'!$C7720&gt;='Visual SPC'!$C$4),OR('Visual SPC'!$E$4="",'Data Entry'!$C7720&lt;='Visual SPC'!$E$4),OR('Visual SPC'!$G$4="",'Data Entry'!$D7720='Visual SPC'!$G$4),OR('Visual SPC'!$I$4="",'Data Entry'!$E7720='Visual SPC'!$I$4),OR('Visual SPC'!$K$4="",'Data Entry'!$F7720='Visual SPC'!$K$4)),1,0))</f>
        <v/>
      </c>
      <c r="C7720">
        <f>C7719+B7720</f>
        <v/>
      </c>
      <c r="D7720">
        <f>IF(B7720=1,INDEX('Data Entry'!$H$5:$BE$10004,7720-4,'Visual SPC'!$B$3),"")</f>
        <v/>
      </c>
      <c r="E7720">
        <f>IF(B7720=1,D7720,E7719)</f>
        <v/>
      </c>
      <c r="F7720">
        <f>IF(AND(B7720=1,C7720&gt;1,E7719&lt;&gt;""),ABS(D7720-E7719),"")</f>
        <v/>
      </c>
    </row>
    <row r="7721">
      <c r="A7721" t="n">
        <v>7721</v>
      </c>
      <c r="B7721">
        <f>IF(INDEX('Data Entry'!$H$5:$BE$10004,7721-4,'Visual SPC'!$B$3)="",0,IF(AND(OR('Visual SPC'!$C$4="",'Data Entry'!$C7721&gt;='Visual SPC'!$C$4),OR('Visual SPC'!$E$4="",'Data Entry'!$C7721&lt;='Visual SPC'!$E$4),OR('Visual SPC'!$G$4="",'Data Entry'!$D7721='Visual SPC'!$G$4),OR('Visual SPC'!$I$4="",'Data Entry'!$E7721='Visual SPC'!$I$4),OR('Visual SPC'!$K$4="",'Data Entry'!$F7721='Visual SPC'!$K$4)),1,0))</f>
        <v/>
      </c>
      <c r="C7721">
        <f>C7720+B7721</f>
        <v/>
      </c>
      <c r="D7721">
        <f>IF(B7721=1,INDEX('Data Entry'!$H$5:$BE$10004,7721-4,'Visual SPC'!$B$3),"")</f>
        <v/>
      </c>
      <c r="E7721">
        <f>IF(B7721=1,D7721,E7720)</f>
        <v/>
      </c>
      <c r="F7721">
        <f>IF(AND(B7721=1,C7721&gt;1,E7720&lt;&gt;""),ABS(D7721-E7720),"")</f>
        <v/>
      </c>
    </row>
    <row r="7722">
      <c r="A7722" t="n">
        <v>7722</v>
      </c>
      <c r="B7722">
        <f>IF(INDEX('Data Entry'!$H$5:$BE$10004,7722-4,'Visual SPC'!$B$3)="",0,IF(AND(OR('Visual SPC'!$C$4="",'Data Entry'!$C7722&gt;='Visual SPC'!$C$4),OR('Visual SPC'!$E$4="",'Data Entry'!$C7722&lt;='Visual SPC'!$E$4),OR('Visual SPC'!$G$4="",'Data Entry'!$D7722='Visual SPC'!$G$4),OR('Visual SPC'!$I$4="",'Data Entry'!$E7722='Visual SPC'!$I$4),OR('Visual SPC'!$K$4="",'Data Entry'!$F7722='Visual SPC'!$K$4)),1,0))</f>
        <v/>
      </c>
      <c r="C7722">
        <f>C7721+B7722</f>
        <v/>
      </c>
      <c r="D7722">
        <f>IF(B7722=1,INDEX('Data Entry'!$H$5:$BE$10004,7722-4,'Visual SPC'!$B$3),"")</f>
        <v/>
      </c>
      <c r="E7722">
        <f>IF(B7722=1,D7722,E7721)</f>
        <v/>
      </c>
      <c r="F7722">
        <f>IF(AND(B7722=1,C7722&gt;1,E7721&lt;&gt;""),ABS(D7722-E7721),"")</f>
        <v/>
      </c>
    </row>
    <row r="7723">
      <c r="A7723" t="n">
        <v>7723</v>
      </c>
      <c r="B7723">
        <f>IF(INDEX('Data Entry'!$H$5:$BE$10004,7723-4,'Visual SPC'!$B$3)="",0,IF(AND(OR('Visual SPC'!$C$4="",'Data Entry'!$C7723&gt;='Visual SPC'!$C$4),OR('Visual SPC'!$E$4="",'Data Entry'!$C7723&lt;='Visual SPC'!$E$4),OR('Visual SPC'!$G$4="",'Data Entry'!$D7723='Visual SPC'!$G$4),OR('Visual SPC'!$I$4="",'Data Entry'!$E7723='Visual SPC'!$I$4),OR('Visual SPC'!$K$4="",'Data Entry'!$F7723='Visual SPC'!$K$4)),1,0))</f>
        <v/>
      </c>
      <c r="C7723">
        <f>C7722+B7723</f>
        <v/>
      </c>
      <c r="D7723">
        <f>IF(B7723=1,INDEX('Data Entry'!$H$5:$BE$10004,7723-4,'Visual SPC'!$B$3),"")</f>
        <v/>
      </c>
      <c r="E7723">
        <f>IF(B7723=1,D7723,E7722)</f>
        <v/>
      </c>
      <c r="F7723">
        <f>IF(AND(B7723=1,C7723&gt;1,E7722&lt;&gt;""),ABS(D7723-E7722),"")</f>
        <v/>
      </c>
    </row>
    <row r="7724">
      <c r="A7724" t="n">
        <v>7724</v>
      </c>
      <c r="B7724">
        <f>IF(INDEX('Data Entry'!$H$5:$BE$10004,7724-4,'Visual SPC'!$B$3)="",0,IF(AND(OR('Visual SPC'!$C$4="",'Data Entry'!$C7724&gt;='Visual SPC'!$C$4),OR('Visual SPC'!$E$4="",'Data Entry'!$C7724&lt;='Visual SPC'!$E$4),OR('Visual SPC'!$G$4="",'Data Entry'!$D7724='Visual SPC'!$G$4),OR('Visual SPC'!$I$4="",'Data Entry'!$E7724='Visual SPC'!$I$4),OR('Visual SPC'!$K$4="",'Data Entry'!$F7724='Visual SPC'!$K$4)),1,0))</f>
        <v/>
      </c>
      <c r="C7724">
        <f>C7723+B7724</f>
        <v/>
      </c>
      <c r="D7724">
        <f>IF(B7724=1,INDEX('Data Entry'!$H$5:$BE$10004,7724-4,'Visual SPC'!$B$3),"")</f>
        <v/>
      </c>
      <c r="E7724">
        <f>IF(B7724=1,D7724,E7723)</f>
        <v/>
      </c>
      <c r="F7724">
        <f>IF(AND(B7724=1,C7724&gt;1,E7723&lt;&gt;""),ABS(D7724-E7723),"")</f>
        <v/>
      </c>
    </row>
    <row r="7725">
      <c r="A7725" t="n">
        <v>7725</v>
      </c>
      <c r="B7725">
        <f>IF(INDEX('Data Entry'!$H$5:$BE$10004,7725-4,'Visual SPC'!$B$3)="",0,IF(AND(OR('Visual SPC'!$C$4="",'Data Entry'!$C7725&gt;='Visual SPC'!$C$4),OR('Visual SPC'!$E$4="",'Data Entry'!$C7725&lt;='Visual SPC'!$E$4),OR('Visual SPC'!$G$4="",'Data Entry'!$D7725='Visual SPC'!$G$4),OR('Visual SPC'!$I$4="",'Data Entry'!$E7725='Visual SPC'!$I$4),OR('Visual SPC'!$K$4="",'Data Entry'!$F7725='Visual SPC'!$K$4)),1,0))</f>
        <v/>
      </c>
      <c r="C7725">
        <f>C7724+B7725</f>
        <v/>
      </c>
      <c r="D7725">
        <f>IF(B7725=1,INDEX('Data Entry'!$H$5:$BE$10004,7725-4,'Visual SPC'!$B$3),"")</f>
        <v/>
      </c>
      <c r="E7725">
        <f>IF(B7725=1,D7725,E7724)</f>
        <v/>
      </c>
      <c r="F7725">
        <f>IF(AND(B7725=1,C7725&gt;1,E7724&lt;&gt;""),ABS(D7725-E7724),"")</f>
        <v/>
      </c>
    </row>
    <row r="7726">
      <c r="A7726" t="n">
        <v>7726</v>
      </c>
      <c r="B7726">
        <f>IF(INDEX('Data Entry'!$H$5:$BE$10004,7726-4,'Visual SPC'!$B$3)="",0,IF(AND(OR('Visual SPC'!$C$4="",'Data Entry'!$C7726&gt;='Visual SPC'!$C$4),OR('Visual SPC'!$E$4="",'Data Entry'!$C7726&lt;='Visual SPC'!$E$4),OR('Visual SPC'!$G$4="",'Data Entry'!$D7726='Visual SPC'!$G$4),OR('Visual SPC'!$I$4="",'Data Entry'!$E7726='Visual SPC'!$I$4),OR('Visual SPC'!$K$4="",'Data Entry'!$F7726='Visual SPC'!$K$4)),1,0))</f>
        <v/>
      </c>
      <c r="C7726">
        <f>C7725+B7726</f>
        <v/>
      </c>
      <c r="D7726">
        <f>IF(B7726=1,INDEX('Data Entry'!$H$5:$BE$10004,7726-4,'Visual SPC'!$B$3),"")</f>
        <v/>
      </c>
      <c r="E7726">
        <f>IF(B7726=1,D7726,E7725)</f>
        <v/>
      </c>
      <c r="F7726">
        <f>IF(AND(B7726=1,C7726&gt;1,E7725&lt;&gt;""),ABS(D7726-E7725),"")</f>
        <v/>
      </c>
    </row>
    <row r="7727">
      <c r="A7727" t="n">
        <v>7727</v>
      </c>
      <c r="B7727">
        <f>IF(INDEX('Data Entry'!$H$5:$BE$10004,7727-4,'Visual SPC'!$B$3)="",0,IF(AND(OR('Visual SPC'!$C$4="",'Data Entry'!$C7727&gt;='Visual SPC'!$C$4),OR('Visual SPC'!$E$4="",'Data Entry'!$C7727&lt;='Visual SPC'!$E$4),OR('Visual SPC'!$G$4="",'Data Entry'!$D7727='Visual SPC'!$G$4),OR('Visual SPC'!$I$4="",'Data Entry'!$E7727='Visual SPC'!$I$4),OR('Visual SPC'!$K$4="",'Data Entry'!$F7727='Visual SPC'!$K$4)),1,0))</f>
        <v/>
      </c>
      <c r="C7727">
        <f>C7726+B7727</f>
        <v/>
      </c>
      <c r="D7727">
        <f>IF(B7727=1,INDEX('Data Entry'!$H$5:$BE$10004,7727-4,'Visual SPC'!$B$3),"")</f>
        <v/>
      </c>
      <c r="E7727">
        <f>IF(B7727=1,D7727,E7726)</f>
        <v/>
      </c>
      <c r="F7727">
        <f>IF(AND(B7727=1,C7727&gt;1,E7726&lt;&gt;""),ABS(D7727-E7726),"")</f>
        <v/>
      </c>
    </row>
    <row r="7728">
      <c r="A7728" t="n">
        <v>7728</v>
      </c>
      <c r="B7728">
        <f>IF(INDEX('Data Entry'!$H$5:$BE$10004,7728-4,'Visual SPC'!$B$3)="",0,IF(AND(OR('Visual SPC'!$C$4="",'Data Entry'!$C7728&gt;='Visual SPC'!$C$4),OR('Visual SPC'!$E$4="",'Data Entry'!$C7728&lt;='Visual SPC'!$E$4),OR('Visual SPC'!$G$4="",'Data Entry'!$D7728='Visual SPC'!$G$4),OR('Visual SPC'!$I$4="",'Data Entry'!$E7728='Visual SPC'!$I$4),OR('Visual SPC'!$K$4="",'Data Entry'!$F7728='Visual SPC'!$K$4)),1,0))</f>
        <v/>
      </c>
      <c r="C7728">
        <f>C7727+B7728</f>
        <v/>
      </c>
      <c r="D7728">
        <f>IF(B7728=1,INDEX('Data Entry'!$H$5:$BE$10004,7728-4,'Visual SPC'!$B$3),"")</f>
        <v/>
      </c>
      <c r="E7728">
        <f>IF(B7728=1,D7728,E7727)</f>
        <v/>
      </c>
      <c r="F7728">
        <f>IF(AND(B7728=1,C7728&gt;1,E7727&lt;&gt;""),ABS(D7728-E7727),"")</f>
        <v/>
      </c>
    </row>
    <row r="7729">
      <c r="A7729" t="n">
        <v>7729</v>
      </c>
      <c r="B7729">
        <f>IF(INDEX('Data Entry'!$H$5:$BE$10004,7729-4,'Visual SPC'!$B$3)="",0,IF(AND(OR('Visual SPC'!$C$4="",'Data Entry'!$C7729&gt;='Visual SPC'!$C$4),OR('Visual SPC'!$E$4="",'Data Entry'!$C7729&lt;='Visual SPC'!$E$4),OR('Visual SPC'!$G$4="",'Data Entry'!$D7729='Visual SPC'!$G$4),OR('Visual SPC'!$I$4="",'Data Entry'!$E7729='Visual SPC'!$I$4),OR('Visual SPC'!$K$4="",'Data Entry'!$F7729='Visual SPC'!$K$4)),1,0))</f>
        <v/>
      </c>
      <c r="C7729">
        <f>C7728+B7729</f>
        <v/>
      </c>
      <c r="D7729">
        <f>IF(B7729=1,INDEX('Data Entry'!$H$5:$BE$10004,7729-4,'Visual SPC'!$B$3),"")</f>
        <v/>
      </c>
      <c r="E7729">
        <f>IF(B7729=1,D7729,E7728)</f>
        <v/>
      </c>
      <c r="F7729">
        <f>IF(AND(B7729=1,C7729&gt;1,E7728&lt;&gt;""),ABS(D7729-E7728),"")</f>
        <v/>
      </c>
    </row>
    <row r="7730">
      <c r="A7730" t="n">
        <v>7730</v>
      </c>
      <c r="B7730">
        <f>IF(INDEX('Data Entry'!$H$5:$BE$10004,7730-4,'Visual SPC'!$B$3)="",0,IF(AND(OR('Visual SPC'!$C$4="",'Data Entry'!$C7730&gt;='Visual SPC'!$C$4),OR('Visual SPC'!$E$4="",'Data Entry'!$C7730&lt;='Visual SPC'!$E$4),OR('Visual SPC'!$G$4="",'Data Entry'!$D7730='Visual SPC'!$G$4),OR('Visual SPC'!$I$4="",'Data Entry'!$E7730='Visual SPC'!$I$4),OR('Visual SPC'!$K$4="",'Data Entry'!$F7730='Visual SPC'!$K$4)),1,0))</f>
        <v/>
      </c>
      <c r="C7730">
        <f>C7729+B7730</f>
        <v/>
      </c>
      <c r="D7730">
        <f>IF(B7730=1,INDEX('Data Entry'!$H$5:$BE$10004,7730-4,'Visual SPC'!$B$3),"")</f>
        <v/>
      </c>
      <c r="E7730">
        <f>IF(B7730=1,D7730,E7729)</f>
        <v/>
      </c>
      <c r="F7730">
        <f>IF(AND(B7730=1,C7730&gt;1,E7729&lt;&gt;""),ABS(D7730-E7729),"")</f>
        <v/>
      </c>
    </row>
    <row r="7731">
      <c r="A7731" t="n">
        <v>7731</v>
      </c>
      <c r="B7731">
        <f>IF(INDEX('Data Entry'!$H$5:$BE$10004,7731-4,'Visual SPC'!$B$3)="",0,IF(AND(OR('Visual SPC'!$C$4="",'Data Entry'!$C7731&gt;='Visual SPC'!$C$4),OR('Visual SPC'!$E$4="",'Data Entry'!$C7731&lt;='Visual SPC'!$E$4),OR('Visual SPC'!$G$4="",'Data Entry'!$D7731='Visual SPC'!$G$4),OR('Visual SPC'!$I$4="",'Data Entry'!$E7731='Visual SPC'!$I$4),OR('Visual SPC'!$K$4="",'Data Entry'!$F7731='Visual SPC'!$K$4)),1,0))</f>
        <v/>
      </c>
      <c r="C7731">
        <f>C7730+B7731</f>
        <v/>
      </c>
      <c r="D7731">
        <f>IF(B7731=1,INDEX('Data Entry'!$H$5:$BE$10004,7731-4,'Visual SPC'!$B$3),"")</f>
        <v/>
      </c>
      <c r="E7731">
        <f>IF(B7731=1,D7731,E7730)</f>
        <v/>
      </c>
      <c r="F7731">
        <f>IF(AND(B7731=1,C7731&gt;1,E7730&lt;&gt;""),ABS(D7731-E7730),"")</f>
        <v/>
      </c>
    </row>
    <row r="7732">
      <c r="A7732" t="n">
        <v>7732</v>
      </c>
      <c r="B7732">
        <f>IF(INDEX('Data Entry'!$H$5:$BE$10004,7732-4,'Visual SPC'!$B$3)="",0,IF(AND(OR('Visual SPC'!$C$4="",'Data Entry'!$C7732&gt;='Visual SPC'!$C$4),OR('Visual SPC'!$E$4="",'Data Entry'!$C7732&lt;='Visual SPC'!$E$4),OR('Visual SPC'!$G$4="",'Data Entry'!$D7732='Visual SPC'!$G$4),OR('Visual SPC'!$I$4="",'Data Entry'!$E7732='Visual SPC'!$I$4),OR('Visual SPC'!$K$4="",'Data Entry'!$F7732='Visual SPC'!$K$4)),1,0))</f>
        <v/>
      </c>
      <c r="C7732">
        <f>C7731+B7732</f>
        <v/>
      </c>
      <c r="D7732">
        <f>IF(B7732=1,INDEX('Data Entry'!$H$5:$BE$10004,7732-4,'Visual SPC'!$B$3),"")</f>
        <v/>
      </c>
      <c r="E7732">
        <f>IF(B7732=1,D7732,E7731)</f>
        <v/>
      </c>
      <c r="F7732">
        <f>IF(AND(B7732=1,C7732&gt;1,E7731&lt;&gt;""),ABS(D7732-E7731),"")</f>
        <v/>
      </c>
    </row>
    <row r="7733">
      <c r="A7733" t="n">
        <v>7733</v>
      </c>
      <c r="B7733">
        <f>IF(INDEX('Data Entry'!$H$5:$BE$10004,7733-4,'Visual SPC'!$B$3)="",0,IF(AND(OR('Visual SPC'!$C$4="",'Data Entry'!$C7733&gt;='Visual SPC'!$C$4),OR('Visual SPC'!$E$4="",'Data Entry'!$C7733&lt;='Visual SPC'!$E$4),OR('Visual SPC'!$G$4="",'Data Entry'!$D7733='Visual SPC'!$G$4),OR('Visual SPC'!$I$4="",'Data Entry'!$E7733='Visual SPC'!$I$4),OR('Visual SPC'!$K$4="",'Data Entry'!$F7733='Visual SPC'!$K$4)),1,0))</f>
        <v/>
      </c>
      <c r="C7733">
        <f>C7732+B7733</f>
        <v/>
      </c>
      <c r="D7733">
        <f>IF(B7733=1,INDEX('Data Entry'!$H$5:$BE$10004,7733-4,'Visual SPC'!$B$3),"")</f>
        <v/>
      </c>
      <c r="E7733">
        <f>IF(B7733=1,D7733,E7732)</f>
        <v/>
      </c>
      <c r="F7733">
        <f>IF(AND(B7733=1,C7733&gt;1,E7732&lt;&gt;""),ABS(D7733-E7732),"")</f>
        <v/>
      </c>
    </row>
    <row r="7734">
      <c r="A7734" t="n">
        <v>7734</v>
      </c>
      <c r="B7734">
        <f>IF(INDEX('Data Entry'!$H$5:$BE$10004,7734-4,'Visual SPC'!$B$3)="",0,IF(AND(OR('Visual SPC'!$C$4="",'Data Entry'!$C7734&gt;='Visual SPC'!$C$4),OR('Visual SPC'!$E$4="",'Data Entry'!$C7734&lt;='Visual SPC'!$E$4),OR('Visual SPC'!$G$4="",'Data Entry'!$D7734='Visual SPC'!$G$4),OR('Visual SPC'!$I$4="",'Data Entry'!$E7734='Visual SPC'!$I$4),OR('Visual SPC'!$K$4="",'Data Entry'!$F7734='Visual SPC'!$K$4)),1,0))</f>
        <v/>
      </c>
      <c r="C7734">
        <f>C7733+B7734</f>
        <v/>
      </c>
      <c r="D7734">
        <f>IF(B7734=1,INDEX('Data Entry'!$H$5:$BE$10004,7734-4,'Visual SPC'!$B$3),"")</f>
        <v/>
      </c>
      <c r="E7734">
        <f>IF(B7734=1,D7734,E7733)</f>
        <v/>
      </c>
      <c r="F7734">
        <f>IF(AND(B7734=1,C7734&gt;1,E7733&lt;&gt;""),ABS(D7734-E7733),"")</f>
        <v/>
      </c>
    </row>
    <row r="7735">
      <c r="A7735" t="n">
        <v>7735</v>
      </c>
      <c r="B7735">
        <f>IF(INDEX('Data Entry'!$H$5:$BE$10004,7735-4,'Visual SPC'!$B$3)="",0,IF(AND(OR('Visual SPC'!$C$4="",'Data Entry'!$C7735&gt;='Visual SPC'!$C$4),OR('Visual SPC'!$E$4="",'Data Entry'!$C7735&lt;='Visual SPC'!$E$4),OR('Visual SPC'!$G$4="",'Data Entry'!$D7735='Visual SPC'!$G$4),OR('Visual SPC'!$I$4="",'Data Entry'!$E7735='Visual SPC'!$I$4),OR('Visual SPC'!$K$4="",'Data Entry'!$F7735='Visual SPC'!$K$4)),1,0))</f>
        <v/>
      </c>
      <c r="C7735">
        <f>C7734+B7735</f>
        <v/>
      </c>
      <c r="D7735">
        <f>IF(B7735=1,INDEX('Data Entry'!$H$5:$BE$10004,7735-4,'Visual SPC'!$B$3),"")</f>
        <v/>
      </c>
      <c r="E7735">
        <f>IF(B7735=1,D7735,E7734)</f>
        <v/>
      </c>
      <c r="F7735">
        <f>IF(AND(B7735=1,C7735&gt;1,E7734&lt;&gt;""),ABS(D7735-E7734),"")</f>
        <v/>
      </c>
    </row>
    <row r="7736">
      <c r="A7736" t="n">
        <v>7736</v>
      </c>
      <c r="B7736">
        <f>IF(INDEX('Data Entry'!$H$5:$BE$10004,7736-4,'Visual SPC'!$B$3)="",0,IF(AND(OR('Visual SPC'!$C$4="",'Data Entry'!$C7736&gt;='Visual SPC'!$C$4),OR('Visual SPC'!$E$4="",'Data Entry'!$C7736&lt;='Visual SPC'!$E$4),OR('Visual SPC'!$G$4="",'Data Entry'!$D7736='Visual SPC'!$G$4),OR('Visual SPC'!$I$4="",'Data Entry'!$E7736='Visual SPC'!$I$4),OR('Visual SPC'!$K$4="",'Data Entry'!$F7736='Visual SPC'!$K$4)),1,0))</f>
        <v/>
      </c>
      <c r="C7736">
        <f>C7735+B7736</f>
        <v/>
      </c>
      <c r="D7736">
        <f>IF(B7736=1,INDEX('Data Entry'!$H$5:$BE$10004,7736-4,'Visual SPC'!$B$3),"")</f>
        <v/>
      </c>
      <c r="E7736">
        <f>IF(B7736=1,D7736,E7735)</f>
        <v/>
      </c>
      <c r="F7736">
        <f>IF(AND(B7736=1,C7736&gt;1,E7735&lt;&gt;""),ABS(D7736-E7735),"")</f>
        <v/>
      </c>
    </row>
    <row r="7737">
      <c r="A7737" t="n">
        <v>7737</v>
      </c>
      <c r="B7737">
        <f>IF(INDEX('Data Entry'!$H$5:$BE$10004,7737-4,'Visual SPC'!$B$3)="",0,IF(AND(OR('Visual SPC'!$C$4="",'Data Entry'!$C7737&gt;='Visual SPC'!$C$4),OR('Visual SPC'!$E$4="",'Data Entry'!$C7737&lt;='Visual SPC'!$E$4),OR('Visual SPC'!$G$4="",'Data Entry'!$D7737='Visual SPC'!$G$4),OR('Visual SPC'!$I$4="",'Data Entry'!$E7737='Visual SPC'!$I$4),OR('Visual SPC'!$K$4="",'Data Entry'!$F7737='Visual SPC'!$K$4)),1,0))</f>
        <v/>
      </c>
      <c r="C7737">
        <f>C7736+B7737</f>
        <v/>
      </c>
      <c r="D7737">
        <f>IF(B7737=1,INDEX('Data Entry'!$H$5:$BE$10004,7737-4,'Visual SPC'!$B$3),"")</f>
        <v/>
      </c>
      <c r="E7737">
        <f>IF(B7737=1,D7737,E7736)</f>
        <v/>
      </c>
      <c r="F7737">
        <f>IF(AND(B7737=1,C7737&gt;1,E7736&lt;&gt;""),ABS(D7737-E7736),"")</f>
        <v/>
      </c>
    </row>
    <row r="7738">
      <c r="A7738" t="n">
        <v>7738</v>
      </c>
      <c r="B7738">
        <f>IF(INDEX('Data Entry'!$H$5:$BE$10004,7738-4,'Visual SPC'!$B$3)="",0,IF(AND(OR('Visual SPC'!$C$4="",'Data Entry'!$C7738&gt;='Visual SPC'!$C$4),OR('Visual SPC'!$E$4="",'Data Entry'!$C7738&lt;='Visual SPC'!$E$4),OR('Visual SPC'!$G$4="",'Data Entry'!$D7738='Visual SPC'!$G$4),OR('Visual SPC'!$I$4="",'Data Entry'!$E7738='Visual SPC'!$I$4),OR('Visual SPC'!$K$4="",'Data Entry'!$F7738='Visual SPC'!$K$4)),1,0))</f>
        <v/>
      </c>
      <c r="C7738">
        <f>C7737+B7738</f>
        <v/>
      </c>
      <c r="D7738">
        <f>IF(B7738=1,INDEX('Data Entry'!$H$5:$BE$10004,7738-4,'Visual SPC'!$B$3),"")</f>
        <v/>
      </c>
      <c r="E7738">
        <f>IF(B7738=1,D7738,E7737)</f>
        <v/>
      </c>
      <c r="F7738">
        <f>IF(AND(B7738=1,C7738&gt;1,E7737&lt;&gt;""),ABS(D7738-E7737),"")</f>
        <v/>
      </c>
    </row>
    <row r="7739">
      <c r="A7739" t="n">
        <v>7739</v>
      </c>
      <c r="B7739">
        <f>IF(INDEX('Data Entry'!$H$5:$BE$10004,7739-4,'Visual SPC'!$B$3)="",0,IF(AND(OR('Visual SPC'!$C$4="",'Data Entry'!$C7739&gt;='Visual SPC'!$C$4),OR('Visual SPC'!$E$4="",'Data Entry'!$C7739&lt;='Visual SPC'!$E$4),OR('Visual SPC'!$G$4="",'Data Entry'!$D7739='Visual SPC'!$G$4),OR('Visual SPC'!$I$4="",'Data Entry'!$E7739='Visual SPC'!$I$4),OR('Visual SPC'!$K$4="",'Data Entry'!$F7739='Visual SPC'!$K$4)),1,0))</f>
        <v/>
      </c>
      <c r="C7739">
        <f>C7738+B7739</f>
        <v/>
      </c>
      <c r="D7739">
        <f>IF(B7739=1,INDEX('Data Entry'!$H$5:$BE$10004,7739-4,'Visual SPC'!$B$3),"")</f>
        <v/>
      </c>
      <c r="E7739">
        <f>IF(B7739=1,D7739,E7738)</f>
        <v/>
      </c>
      <c r="F7739">
        <f>IF(AND(B7739=1,C7739&gt;1,E7738&lt;&gt;""),ABS(D7739-E7738),"")</f>
        <v/>
      </c>
    </row>
    <row r="7740">
      <c r="A7740" t="n">
        <v>7740</v>
      </c>
      <c r="B7740">
        <f>IF(INDEX('Data Entry'!$H$5:$BE$10004,7740-4,'Visual SPC'!$B$3)="",0,IF(AND(OR('Visual SPC'!$C$4="",'Data Entry'!$C7740&gt;='Visual SPC'!$C$4),OR('Visual SPC'!$E$4="",'Data Entry'!$C7740&lt;='Visual SPC'!$E$4),OR('Visual SPC'!$G$4="",'Data Entry'!$D7740='Visual SPC'!$G$4),OR('Visual SPC'!$I$4="",'Data Entry'!$E7740='Visual SPC'!$I$4),OR('Visual SPC'!$K$4="",'Data Entry'!$F7740='Visual SPC'!$K$4)),1,0))</f>
        <v/>
      </c>
      <c r="C7740">
        <f>C7739+B7740</f>
        <v/>
      </c>
      <c r="D7740">
        <f>IF(B7740=1,INDEX('Data Entry'!$H$5:$BE$10004,7740-4,'Visual SPC'!$B$3),"")</f>
        <v/>
      </c>
      <c r="E7740">
        <f>IF(B7740=1,D7740,E7739)</f>
        <v/>
      </c>
      <c r="F7740">
        <f>IF(AND(B7740=1,C7740&gt;1,E7739&lt;&gt;""),ABS(D7740-E7739),"")</f>
        <v/>
      </c>
    </row>
    <row r="7741">
      <c r="A7741" t="n">
        <v>7741</v>
      </c>
      <c r="B7741">
        <f>IF(INDEX('Data Entry'!$H$5:$BE$10004,7741-4,'Visual SPC'!$B$3)="",0,IF(AND(OR('Visual SPC'!$C$4="",'Data Entry'!$C7741&gt;='Visual SPC'!$C$4),OR('Visual SPC'!$E$4="",'Data Entry'!$C7741&lt;='Visual SPC'!$E$4),OR('Visual SPC'!$G$4="",'Data Entry'!$D7741='Visual SPC'!$G$4),OR('Visual SPC'!$I$4="",'Data Entry'!$E7741='Visual SPC'!$I$4),OR('Visual SPC'!$K$4="",'Data Entry'!$F7741='Visual SPC'!$K$4)),1,0))</f>
        <v/>
      </c>
      <c r="C7741">
        <f>C7740+B7741</f>
        <v/>
      </c>
      <c r="D7741">
        <f>IF(B7741=1,INDEX('Data Entry'!$H$5:$BE$10004,7741-4,'Visual SPC'!$B$3),"")</f>
        <v/>
      </c>
      <c r="E7741">
        <f>IF(B7741=1,D7741,E7740)</f>
        <v/>
      </c>
      <c r="F7741">
        <f>IF(AND(B7741=1,C7741&gt;1,E7740&lt;&gt;""),ABS(D7741-E7740),"")</f>
        <v/>
      </c>
    </row>
    <row r="7742">
      <c r="A7742" t="n">
        <v>7742</v>
      </c>
      <c r="B7742">
        <f>IF(INDEX('Data Entry'!$H$5:$BE$10004,7742-4,'Visual SPC'!$B$3)="",0,IF(AND(OR('Visual SPC'!$C$4="",'Data Entry'!$C7742&gt;='Visual SPC'!$C$4),OR('Visual SPC'!$E$4="",'Data Entry'!$C7742&lt;='Visual SPC'!$E$4),OR('Visual SPC'!$G$4="",'Data Entry'!$D7742='Visual SPC'!$G$4),OR('Visual SPC'!$I$4="",'Data Entry'!$E7742='Visual SPC'!$I$4),OR('Visual SPC'!$K$4="",'Data Entry'!$F7742='Visual SPC'!$K$4)),1,0))</f>
        <v/>
      </c>
      <c r="C7742">
        <f>C7741+B7742</f>
        <v/>
      </c>
      <c r="D7742">
        <f>IF(B7742=1,INDEX('Data Entry'!$H$5:$BE$10004,7742-4,'Visual SPC'!$B$3),"")</f>
        <v/>
      </c>
      <c r="E7742">
        <f>IF(B7742=1,D7742,E7741)</f>
        <v/>
      </c>
      <c r="F7742">
        <f>IF(AND(B7742=1,C7742&gt;1,E7741&lt;&gt;""),ABS(D7742-E7741),"")</f>
        <v/>
      </c>
    </row>
    <row r="7743">
      <c r="A7743" t="n">
        <v>7743</v>
      </c>
      <c r="B7743">
        <f>IF(INDEX('Data Entry'!$H$5:$BE$10004,7743-4,'Visual SPC'!$B$3)="",0,IF(AND(OR('Visual SPC'!$C$4="",'Data Entry'!$C7743&gt;='Visual SPC'!$C$4),OR('Visual SPC'!$E$4="",'Data Entry'!$C7743&lt;='Visual SPC'!$E$4),OR('Visual SPC'!$G$4="",'Data Entry'!$D7743='Visual SPC'!$G$4),OR('Visual SPC'!$I$4="",'Data Entry'!$E7743='Visual SPC'!$I$4),OR('Visual SPC'!$K$4="",'Data Entry'!$F7743='Visual SPC'!$K$4)),1,0))</f>
        <v/>
      </c>
      <c r="C7743">
        <f>C7742+B7743</f>
        <v/>
      </c>
      <c r="D7743">
        <f>IF(B7743=1,INDEX('Data Entry'!$H$5:$BE$10004,7743-4,'Visual SPC'!$B$3),"")</f>
        <v/>
      </c>
      <c r="E7743">
        <f>IF(B7743=1,D7743,E7742)</f>
        <v/>
      </c>
      <c r="F7743">
        <f>IF(AND(B7743=1,C7743&gt;1,E7742&lt;&gt;""),ABS(D7743-E7742),"")</f>
        <v/>
      </c>
    </row>
    <row r="7744">
      <c r="A7744" t="n">
        <v>7744</v>
      </c>
      <c r="B7744">
        <f>IF(INDEX('Data Entry'!$H$5:$BE$10004,7744-4,'Visual SPC'!$B$3)="",0,IF(AND(OR('Visual SPC'!$C$4="",'Data Entry'!$C7744&gt;='Visual SPC'!$C$4),OR('Visual SPC'!$E$4="",'Data Entry'!$C7744&lt;='Visual SPC'!$E$4),OR('Visual SPC'!$G$4="",'Data Entry'!$D7744='Visual SPC'!$G$4),OR('Visual SPC'!$I$4="",'Data Entry'!$E7744='Visual SPC'!$I$4),OR('Visual SPC'!$K$4="",'Data Entry'!$F7744='Visual SPC'!$K$4)),1,0))</f>
        <v/>
      </c>
      <c r="C7744">
        <f>C7743+B7744</f>
        <v/>
      </c>
      <c r="D7744">
        <f>IF(B7744=1,INDEX('Data Entry'!$H$5:$BE$10004,7744-4,'Visual SPC'!$B$3),"")</f>
        <v/>
      </c>
      <c r="E7744">
        <f>IF(B7744=1,D7744,E7743)</f>
        <v/>
      </c>
      <c r="F7744">
        <f>IF(AND(B7744=1,C7744&gt;1,E7743&lt;&gt;""),ABS(D7744-E7743),"")</f>
        <v/>
      </c>
    </row>
    <row r="7745">
      <c r="A7745" t="n">
        <v>7745</v>
      </c>
      <c r="B7745">
        <f>IF(INDEX('Data Entry'!$H$5:$BE$10004,7745-4,'Visual SPC'!$B$3)="",0,IF(AND(OR('Visual SPC'!$C$4="",'Data Entry'!$C7745&gt;='Visual SPC'!$C$4),OR('Visual SPC'!$E$4="",'Data Entry'!$C7745&lt;='Visual SPC'!$E$4),OR('Visual SPC'!$G$4="",'Data Entry'!$D7745='Visual SPC'!$G$4),OR('Visual SPC'!$I$4="",'Data Entry'!$E7745='Visual SPC'!$I$4),OR('Visual SPC'!$K$4="",'Data Entry'!$F7745='Visual SPC'!$K$4)),1,0))</f>
        <v/>
      </c>
      <c r="C7745">
        <f>C7744+B7745</f>
        <v/>
      </c>
      <c r="D7745">
        <f>IF(B7745=1,INDEX('Data Entry'!$H$5:$BE$10004,7745-4,'Visual SPC'!$B$3),"")</f>
        <v/>
      </c>
      <c r="E7745">
        <f>IF(B7745=1,D7745,E7744)</f>
        <v/>
      </c>
      <c r="F7745">
        <f>IF(AND(B7745=1,C7745&gt;1,E7744&lt;&gt;""),ABS(D7745-E7744),"")</f>
        <v/>
      </c>
    </row>
    <row r="7746">
      <c r="A7746" t="n">
        <v>7746</v>
      </c>
      <c r="B7746">
        <f>IF(INDEX('Data Entry'!$H$5:$BE$10004,7746-4,'Visual SPC'!$B$3)="",0,IF(AND(OR('Visual SPC'!$C$4="",'Data Entry'!$C7746&gt;='Visual SPC'!$C$4),OR('Visual SPC'!$E$4="",'Data Entry'!$C7746&lt;='Visual SPC'!$E$4),OR('Visual SPC'!$G$4="",'Data Entry'!$D7746='Visual SPC'!$G$4),OR('Visual SPC'!$I$4="",'Data Entry'!$E7746='Visual SPC'!$I$4),OR('Visual SPC'!$K$4="",'Data Entry'!$F7746='Visual SPC'!$K$4)),1,0))</f>
        <v/>
      </c>
      <c r="C7746">
        <f>C7745+B7746</f>
        <v/>
      </c>
      <c r="D7746">
        <f>IF(B7746=1,INDEX('Data Entry'!$H$5:$BE$10004,7746-4,'Visual SPC'!$B$3),"")</f>
        <v/>
      </c>
      <c r="E7746">
        <f>IF(B7746=1,D7746,E7745)</f>
        <v/>
      </c>
      <c r="F7746">
        <f>IF(AND(B7746=1,C7746&gt;1,E7745&lt;&gt;""),ABS(D7746-E7745),"")</f>
        <v/>
      </c>
    </row>
    <row r="7747">
      <c r="A7747" t="n">
        <v>7747</v>
      </c>
      <c r="B7747">
        <f>IF(INDEX('Data Entry'!$H$5:$BE$10004,7747-4,'Visual SPC'!$B$3)="",0,IF(AND(OR('Visual SPC'!$C$4="",'Data Entry'!$C7747&gt;='Visual SPC'!$C$4),OR('Visual SPC'!$E$4="",'Data Entry'!$C7747&lt;='Visual SPC'!$E$4),OR('Visual SPC'!$G$4="",'Data Entry'!$D7747='Visual SPC'!$G$4),OR('Visual SPC'!$I$4="",'Data Entry'!$E7747='Visual SPC'!$I$4),OR('Visual SPC'!$K$4="",'Data Entry'!$F7747='Visual SPC'!$K$4)),1,0))</f>
        <v/>
      </c>
      <c r="C7747">
        <f>C7746+B7747</f>
        <v/>
      </c>
      <c r="D7747">
        <f>IF(B7747=1,INDEX('Data Entry'!$H$5:$BE$10004,7747-4,'Visual SPC'!$B$3),"")</f>
        <v/>
      </c>
      <c r="E7747">
        <f>IF(B7747=1,D7747,E7746)</f>
        <v/>
      </c>
      <c r="F7747">
        <f>IF(AND(B7747=1,C7747&gt;1,E7746&lt;&gt;""),ABS(D7747-E7746),"")</f>
        <v/>
      </c>
    </row>
    <row r="7748">
      <c r="A7748" t="n">
        <v>7748</v>
      </c>
      <c r="B7748">
        <f>IF(INDEX('Data Entry'!$H$5:$BE$10004,7748-4,'Visual SPC'!$B$3)="",0,IF(AND(OR('Visual SPC'!$C$4="",'Data Entry'!$C7748&gt;='Visual SPC'!$C$4),OR('Visual SPC'!$E$4="",'Data Entry'!$C7748&lt;='Visual SPC'!$E$4),OR('Visual SPC'!$G$4="",'Data Entry'!$D7748='Visual SPC'!$G$4),OR('Visual SPC'!$I$4="",'Data Entry'!$E7748='Visual SPC'!$I$4),OR('Visual SPC'!$K$4="",'Data Entry'!$F7748='Visual SPC'!$K$4)),1,0))</f>
        <v/>
      </c>
      <c r="C7748">
        <f>C7747+B7748</f>
        <v/>
      </c>
      <c r="D7748">
        <f>IF(B7748=1,INDEX('Data Entry'!$H$5:$BE$10004,7748-4,'Visual SPC'!$B$3),"")</f>
        <v/>
      </c>
      <c r="E7748">
        <f>IF(B7748=1,D7748,E7747)</f>
        <v/>
      </c>
      <c r="F7748">
        <f>IF(AND(B7748=1,C7748&gt;1,E7747&lt;&gt;""),ABS(D7748-E7747),"")</f>
        <v/>
      </c>
    </row>
    <row r="7749">
      <c r="A7749" t="n">
        <v>7749</v>
      </c>
      <c r="B7749">
        <f>IF(INDEX('Data Entry'!$H$5:$BE$10004,7749-4,'Visual SPC'!$B$3)="",0,IF(AND(OR('Visual SPC'!$C$4="",'Data Entry'!$C7749&gt;='Visual SPC'!$C$4),OR('Visual SPC'!$E$4="",'Data Entry'!$C7749&lt;='Visual SPC'!$E$4),OR('Visual SPC'!$G$4="",'Data Entry'!$D7749='Visual SPC'!$G$4),OR('Visual SPC'!$I$4="",'Data Entry'!$E7749='Visual SPC'!$I$4),OR('Visual SPC'!$K$4="",'Data Entry'!$F7749='Visual SPC'!$K$4)),1,0))</f>
        <v/>
      </c>
      <c r="C7749">
        <f>C7748+B7749</f>
        <v/>
      </c>
      <c r="D7749">
        <f>IF(B7749=1,INDEX('Data Entry'!$H$5:$BE$10004,7749-4,'Visual SPC'!$B$3),"")</f>
        <v/>
      </c>
      <c r="E7749">
        <f>IF(B7749=1,D7749,E7748)</f>
        <v/>
      </c>
      <c r="F7749">
        <f>IF(AND(B7749=1,C7749&gt;1,E7748&lt;&gt;""),ABS(D7749-E7748),"")</f>
        <v/>
      </c>
    </row>
    <row r="7750">
      <c r="A7750" t="n">
        <v>7750</v>
      </c>
      <c r="B7750">
        <f>IF(INDEX('Data Entry'!$H$5:$BE$10004,7750-4,'Visual SPC'!$B$3)="",0,IF(AND(OR('Visual SPC'!$C$4="",'Data Entry'!$C7750&gt;='Visual SPC'!$C$4),OR('Visual SPC'!$E$4="",'Data Entry'!$C7750&lt;='Visual SPC'!$E$4),OR('Visual SPC'!$G$4="",'Data Entry'!$D7750='Visual SPC'!$G$4),OR('Visual SPC'!$I$4="",'Data Entry'!$E7750='Visual SPC'!$I$4),OR('Visual SPC'!$K$4="",'Data Entry'!$F7750='Visual SPC'!$K$4)),1,0))</f>
        <v/>
      </c>
      <c r="C7750">
        <f>C7749+B7750</f>
        <v/>
      </c>
      <c r="D7750">
        <f>IF(B7750=1,INDEX('Data Entry'!$H$5:$BE$10004,7750-4,'Visual SPC'!$B$3),"")</f>
        <v/>
      </c>
      <c r="E7750">
        <f>IF(B7750=1,D7750,E7749)</f>
        <v/>
      </c>
      <c r="F7750">
        <f>IF(AND(B7750=1,C7750&gt;1,E7749&lt;&gt;""),ABS(D7750-E7749),"")</f>
        <v/>
      </c>
    </row>
    <row r="7751">
      <c r="A7751" t="n">
        <v>7751</v>
      </c>
      <c r="B7751">
        <f>IF(INDEX('Data Entry'!$H$5:$BE$10004,7751-4,'Visual SPC'!$B$3)="",0,IF(AND(OR('Visual SPC'!$C$4="",'Data Entry'!$C7751&gt;='Visual SPC'!$C$4),OR('Visual SPC'!$E$4="",'Data Entry'!$C7751&lt;='Visual SPC'!$E$4),OR('Visual SPC'!$G$4="",'Data Entry'!$D7751='Visual SPC'!$G$4),OR('Visual SPC'!$I$4="",'Data Entry'!$E7751='Visual SPC'!$I$4),OR('Visual SPC'!$K$4="",'Data Entry'!$F7751='Visual SPC'!$K$4)),1,0))</f>
        <v/>
      </c>
      <c r="C7751">
        <f>C7750+B7751</f>
        <v/>
      </c>
      <c r="D7751">
        <f>IF(B7751=1,INDEX('Data Entry'!$H$5:$BE$10004,7751-4,'Visual SPC'!$B$3),"")</f>
        <v/>
      </c>
      <c r="E7751">
        <f>IF(B7751=1,D7751,E7750)</f>
        <v/>
      </c>
      <c r="F7751">
        <f>IF(AND(B7751=1,C7751&gt;1,E7750&lt;&gt;""),ABS(D7751-E7750),"")</f>
        <v/>
      </c>
    </row>
    <row r="7752">
      <c r="A7752" t="n">
        <v>7752</v>
      </c>
      <c r="B7752">
        <f>IF(INDEX('Data Entry'!$H$5:$BE$10004,7752-4,'Visual SPC'!$B$3)="",0,IF(AND(OR('Visual SPC'!$C$4="",'Data Entry'!$C7752&gt;='Visual SPC'!$C$4),OR('Visual SPC'!$E$4="",'Data Entry'!$C7752&lt;='Visual SPC'!$E$4),OR('Visual SPC'!$G$4="",'Data Entry'!$D7752='Visual SPC'!$G$4),OR('Visual SPC'!$I$4="",'Data Entry'!$E7752='Visual SPC'!$I$4),OR('Visual SPC'!$K$4="",'Data Entry'!$F7752='Visual SPC'!$K$4)),1,0))</f>
        <v/>
      </c>
      <c r="C7752">
        <f>C7751+B7752</f>
        <v/>
      </c>
      <c r="D7752">
        <f>IF(B7752=1,INDEX('Data Entry'!$H$5:$BE$10004,7752-4,'Visual SPC'!$B$3),"")</f>
        <v/>
      </c>
      <c r="E7752">
        <f>IF(B7752=1,D7752,E7751)</f>
        <v/>
      </c>
      <c r="F7752">
        <f>IF(AND(B7752=1,C7752&gt;1,E7751&lt;&gt;""),ABS(D7752-E7751),"")</f>
        <v/>
      </c>
    </row>
    <row r="7753">
      <c r="A7753" t="n">
        <v>7753</v>
      </c>
      <c r="B7753">
        <f>IF(INDEX('Data Entry'!$H$5:$BE$10004,7753-4,'Visual SPC'!$B$3)="",0,IF(AND(OR('Visual SPC'!$C$4="",'Data Entry'!$C7753&gt;='Visual SPC'!$C$4),OR('Visual SPC'!$E$4="",'Data Entry'!$C7753&lt;='Visual SPC'!$E$4),OR('Visual SPC'!$G$4="",'Data Entry'!$D7753='Visual SPC'!$G$4),OR('Visual SPC'!$I$4="",'Data Entry'!$E7753='Visual SPC'!$I$4),OR('Visual SPC'!$K$4="",'Data Entry'!$F7753='Visual SPC'!$K$4)),1,0))</f>
        <v/>
      </c>
      <c r="C7753">
        <f>C7752+B7753</f>
        <v/>
      </c>
      <c r="D7753">
        <f>IF(B7753=1,INDEX('Data Entry'!$H$5:$BE$10004,7753-4,'Visual SPC'!$B$3),"")</f>
        <v/>
      </c>
      <c r="E7753">
        <f>IF(B7753=1,D7753,E7752)</f>
        <v/>
      </c>
      <c r="F7753">
        <f>IF(AND(B7753=1,C7753&gt;1,E7752&lt;&gt;""),ABS(D7753-E7752),"")</f>
        <v/>
      </c>
    </row>
    <row r="7754">
      <c r="A7754" t="n">
        <v>7754</v>
      </c>
      <c r="B7754">
        <f>IF(INDEX('Data Entry'!$H$5:$BE$10004,7754-4,'Visual SPC'!$B$3)="",0,IF(AND(OR('Visual SPC'!$C$4="",'Data Entry'!$C7754&gt;='Visual SPC'!$C$4),OR('Visual SPC'!$E$4="",'Data Entry'!$C7754&lt;='Visual SPC'!$E$4),OR('Visual SPC'!$G$4="",'Data Entry'!$D7754='Visual SPC'!$G$4),OR('Visual SPC'!$I$4="",'Data Entry'!$E7754='Visual SPC'!$I$4),OR('Visual SPC'!$K$4="",'Data Entry'!$F7754='Visual SPC'!$K$4)),1,0))</f>
        <v/>
      </c>
      <c r="C7754">
        <f>C7753+B7754</f>
        <v/>
      </c>
      <c r="D7754">
        <f>IF(B7754=1,INDEX('Data Entry'!$H$5:$BE$10004,7754-4,'Visual SPC'!$B$3),"")</f>
        <v/>
      </c>
      <c r="E7754">
        <f>IF(B7754=1,D7754,E7753)</f>
        <v/>
      </c>
      <c r="F7754">
        <f>IF(AND(B7754=1,C7754&gt;1,E7753&lt;&gt;""),ABS(D7754-E7753),"")</f>
        <v/>
      </c>
    </row>
    <row r="7755">
      <c r="A7755" t="n">
        <v>7755</v>
      </c>
      <c r="B7755">
        <f>IF(INDEX('Data Entry'!$H$5:$BE$10004,7755-4,'Visual SPC'!$B$3)="",0,IF(AND(OR('Visual SPC'!$C$4="",'Data Entry'!$C7755&gt;='Visual SPC'!$C$4),OR('Visual SPC'!$E$4="",'Data Entry'!$C7755&lt;='Visual SPC'!$E$4),OR('Visual SPC'!$G$4="",'Data Entry'!$D7755='Visual SPC'!$G$4),OR('Visual SPC'!$I$4="",'Data Entry'!$E7755='Visual SPC'!$I$4),OR('Visual SPC'!$K$4="",'Data Entry'!$F7755='Visual SPC'!$K$4)),1,0))</f>
        <v/>
      </c>
      <c r="C7755">
        <f>C7754+B7755</f>
        <v/>
      </c>
      <c r="D7755">
        <f>IF(B7755=1,INDEX('Data Entry'!$H$5:$BE$10004,7755-4,'Visual SPC'!$B$3),"")</f>
        <v/>
      </c>
      <c r="E7755">
        <f>IF(B7755=1,D7755,E7754)</f>
        <v/>
      </c>
      <c r="F7755">
        <f>IF(AND(B7755=1,C7755&gt;1,E7754&lt;&gt;""),ABS(D7755-E7754),"")</f>
        <v/>
      </c>
    </row>
    <row r="7756">
      <c r="A7756" t="n">
        <v>7756</v>
      </c>
      <c r="B7756">
        <f>IF(INDEX('Data Entry'!$H$5:$BE$10004,7756-4,'Visual SPC'!$B$3)="",0,IF(AND(OR('Visual SPC'!$C$4="",'Data Entry'!$C7756&gt;='Visual SPC'!$C$4),OR('Visual SPC'!$E$4="",'Data Entry'!$C7756&lt;='Visual SPC'!$E$4),OR('Visual SPC'!$G$4="",'Data Entry'!$D7756='Visual SPC'!$G$4),OR('Visual SPC'!$I$4="",'Data Entry'!$E7756='Visual SPC'!$I$4),OR('Visual SPC'!$K$4="",'Data Entry'!$F7756='Visual SPC'!$K$4)),1,0))</f>
        <v/>
      </c>
      <c r="C7756">
        <f>C7755+B7756</f>
        <v/>
      </c>
      <c r="D7756">
        <f>IF(B7756=1,INDEX('Data Entry'!$H$5:$BE$10004,7756-4,'Visual SPC'!$B$3),"")</f>
        <v/>
      </c>
      <c r="E7756">
        <f>IF(B7756=1,D7756,E7755)</f>
        <v/>
      </c>
      <c r="F7756">
        <f>IF(AND(B7756=1,C7756&gt;1,E7755&lt;&gt;""),ABS(D7756-E7755),"")</f>
        <v/>
      </c>
    </row>
    <row r="7757">
      <c r="A7757" t="n">
        <v>7757</v>
      </c>
      <c r="B7757">
        <f>IF(INDEX('Data Entry'!$H$5:$BE$10004,7757-4,'Visual SPC'!$B$3)="",0,IF(AND(OR('Visual SPC'!$C$4="",'Data Entry'!$C7757&gt;='Visual SPC'!$C$4),OR('Visual SPC'!$E$4="",'Data Entry'!$C7757&lt;='Visual SPC'!$E$4),OR('Visual SPC'!$G$4="",'Data Entry'!$D7757='Visual SPC'!$G$4),OR('Visual SPC'!$I$4="",'Data Entry'!$E7757='Visual SPC'!$I$4),OR('Visual SPC'!$K$4="",'Data Entry'!$F7757='Visual SPC'!$K$4)),1,0))</f>
        <v/>
      </c>
      <c r="C7757">
        <f>C7756+B7757</f>
        <v/>
      </c>
      <c r="D7757">
        <f>IF(B7757=1,INDEX('Data Entry'!$H$5:$BE$10004,7757-4,'Visual SPC'!$B$3),"")</f>
        <v/>
      </c>
      <c r="E7757">
        <f>IF(B7757=1,D7757,E7756)</f>
        <v/>
      </c>
      <c r="F7757">
        <f>IF(AND(B7757=1,C7757&gt;1,E7756&lt;&gt;""),ABS(D7757-E7756),"")</f>
        <v/>
      </c>
    </row>
    <row r="7758">
      <c r="A7758" t="n">
        <v>7758</v>
      </c>
      <c r="B7758">
        <f>IF(INDEX('Data Entry'!$H$5:$BE$10004,7758-4,'Visual SPC'!$B$3)="",0,IF(AND(OR('Visual SPC'!$C$4="",'Data Entry'!$C7758&gt;='Visual SPC'!$C$4),OR('Visual SPC'!$E$4="",'Data Entry'!$C7758&lt;='Visual SPC'!$E$4),OR('Visual SPC'!$G$4="",'Data Entry'!$D7758='Visual SPC'!$G$4),OR('Visual SPC'!$I$4="",'Data Entry'!$E7758='Visual SPC'!$I$4),OR('Visual SPC'!$K$4="",'Data Entry'!$F7758='Visual SPC'!$K$4)),1,0))</f>
        <v/>
      </c>
      <c r="C7758">
        <f>C7757+B7758</f>
        <v/>
      </c>
      <c r="D7758">
        <f>IF(B7758=1,INDEX('Data Entry'!$H$5:$BE$10004,7758-4,'Visual SPC'!$B$3),"")</f>
        <v/>
      </c>
      <c r="E7758">
        <f>IF(B7758=1,D7758,E7757)</f>
        <v/>
      </c>
      <c r="F7758">
        <f>IF(AND(B7758=1,C7758&gt;1,E7757&lt;&gt;""),ABS(D7758-E7757),"")</f>
        <v/>
      </c>
    </row>
    <row r="7759">
      <c r="A7759" t="n">
        <v>7759</v>
      </c>
      <c r="B7759">
        <f>IF(INDEX('Data Entry'!$H$5:$BE$10004,7759-4,'Visual SPC'!$B$3)="",0,IF(AND(OR('Visual SPC'!$C$4="",'Data Entry'!$C7759&gt;='Visual SPC'!$C$4),OR('Visual SPC'!$E$4="",'Data Entry'!$C7759&lt;='Visual SPC'!$E$4),OR('Visual SPC'!$G$4="",'Data Entry'!$D7759='Visual SPC'!$G$4),OR('Visual SPC'!$I$4="",'Data Entry'!$E7759='Visual SPC'!$I$4),OR('Visual SPC'!$K$4="",'Data Entry'!$F7759='Visual SPC'!$K$4)),1,0))</f>
        <v/>
      </c>
      <c r="C7759">
        <f>C7758+B7759</f>
        <v/>
      </c>
      <c r="D7759">
        <f>IF(B7759=1,INDEX('Data Entry'!$H$5:$BE$10004,7759-4,'Visual SPC'!$B$3),"")</f>
        <v/>
      </c>
      <c r="E7759">
        <f>IF(B7759=1,D7759,E7758)</f>
        <v/>
      </c>
      <c r="F7759">
        <f>IF(AND(B7759=1,C7759&gt;1,E7758&lt;&gt;""),ABS(D7759-E7758),"")</f>
        <v/>
      </c>
    </row>
    <row r="7760">
      <c r="A7760" t="n">
        <v>7760</v>
      </c>
      <c r="B7760">
        <f>IF(INDEX('Data Entry'!$H$5:$BE$10004,7760-4,'Visual SPC'!$B$3)="",0,IF(AND(OR('Visual SPC'!$C$4="",'Data Entry'!$C7760&gt;='Visual SPC'!$C$4),OR('Visual SPC'!$E$4="",'Data Entry'!$C7760&lt;='Visual SPC'!$E$4),OR('Visual SPC'!$G$4="",'Data Entry'!$D7760='Visual SPC'!$G$4),OR('Visual SPC'!$I$4="",'Data Entry'!$E7760='Visual SPC'!$I$4),OR('Visual SPC'!$K$4="",'Data Entry'!$F7760='Visual SPC'!$K$4)),1,0))</f>
        <v/>
      </c>
      <c r="C7760">
        <f>C7759+B7760</f>
        <v/>
      </c>
      <c r="D7760">
        <f>IF(B7760=1,INDEX('Data Entry'!$H$5:$BE$10004,7760-4,'Visual SPC'!$B$3),"")</f>
        <v/>
      </c>
      <c r="E7760">
        <f>IF(B7760=1,D7760,E7759)</f>
        <v/>
      </c>
      <c r="F7760">
        <f>IF(AND(B7760=1,C7760&gt;1,E7759&lt;&gt;""),ABS(D7760-E7759),"")</f>
        <v/>
      </c>
    </row>
    <row r="7761">
      <c r="A7761" t="n">
        <v>7761</v>
      </c>
      <c r="B7761">
        <f>IF(INDEX('Data Entry'!$H$5:$BE$10004,7761-4,'Visual SPC'!$B$3)="",0,IF(AND(OR('Visual SPC'!$C$4="",'Data Entry'!$C7761&gt;='Visual SPC'!$C$4),OR('Visual SPC'!$E$4="",'Data Entry'!$C7761&lt;='Visual SPC'!$E$4),OR('Visual SPC'!$G$4="",'Data Entry'!$D7761='Visual SPC'!$G$4),OR('Visual SPC'!$I$4="",'Data Entry'!$E7761='Visual SPC'!$I$4),OR('Visual SPC'!$K$4="",'Data Entry'!$F7761='Visual SPC'!$K$4)),1,0))</f>
        <v/>
      </c>
      <c r="C7761">
        <f>C7760+B7761</f>
        <v/>
      </c>
      <c r="D7761">
        <f>IF(B7761=1,INDEX('Data Entry'!$H$5:$BE$10004,7761-4,'Visual SPC'!$B$3),"")</f>
        <v/>
      </c>
      <c r="E7761">
        <f>IF(B7761=1,D7761,E7760)</f>
        <v/>
      </c>
      <c r="F7761">
        <f>IF(AND(B7761=1,C7761&gt;1,E7760&lt;&gt;""),ABS(D7761-E7760),"")</f>
        <v/>
      </c>
    </row>
    <row r="7762">
      <c r="A7762" t="n">
        <v>7762</v>
      </c>
      <c r="B7762">
        <f>IF(INDEX('Data Entry'!$H$5:$BE$10004,7762-4,'Visual SPC'!$B$3)="",0,IF(AND(OR('Visual SPC'!$C$4="",'Data Entry'!$C7762&gt;='Visual SPC'!$C$4),OR('Visual SPC'!$E$4="",'Data Entry'!$C7762&lt;='Visual SPC'!$E$4),OR('Visual SPC'!$G$4="",'Data Entry'!$D7762='Visual SPC'!$G$4),OR('Visual SPC'!$I$4="",'Data Entry'!$E7762='Visual SPC'!$I$4),OR('Visual SPC'!$K$4="",'Data Entry'!$F7762='Visual SPC'!$K$4)),1,0))</f>
        <v/>
      </c>
      <c r="C7762">
        <f>C7761+B7762</f>
        <v/>
      </c>
      <c r="D7762">
        <f>IF(B7762=1,INDEX('Data Entry'!$H$5:$BE$10004,7762-4,'Visual SPC'!$B$3),"")</f>
        <v/>
      </c>
      <c r="E7762">
        <f>IF(B7762=1,D7762,E7761)</f>
        <v/>
      </c>
      <c r="F7762">
        <f>IF(AND(B7762=1,C7762&gt;1,E7761&lt;&gt;""),ABS(D7762-E7761),"")</f>
        <v/>
      </c>
    </row>
    <row r="7763">
      <c r="A7763" t="n">
        <v>7763</v>
      </c>
      <c r="B7763">
        <f>IF(INDEX('Data Entry'!$H$5:$BE$10004,7763-4,'Visual SPC'!$B$3)="",0,IF(AND(OR('Visual SPC'!$C$4="",'Data Entry'!$C7763&gt;='Visual SPC'!$C$4),OR('Visual SPC'!$E$4="",'Data Entry'!$C7763&lt;='Visual SPC'!$E$4),OR('Visual SPC'!$G$4="",'Data Entry'!$D7763='Visual SPC'!$G$4),OR('Visual SPC'!$I$4="",'Data Entry'!$E7763='Visual SPC'!$I$4),OR('Visual SPC'!$K$4="",'Data Entry'!$F7763='Visual SPC'!$K$4)),1,0))</f>
        <v/>
      </c>
      <c r="C7763">
        <f>C7762+B7763</f>
        <v/>
      </c>
      <c r="D7763">
        <f>IF(B7763=1,INDEX('Data Entry'!$H$5:$BE$10004,7763-4,'Visual SPC'!$B$3),"")</f>
        <v/>
      </c>
      <c r="E7763">
        <f>IF(B7763=1,D7763,E7762)</f>
        <v/>
      </c>
      <c r="F7763">
        <f>IF(AND(B7763=1,C7763&gt;1,E7762&lt;&gt;""),ABS(D7763-E7762),"")</f>
        <v/>
      </c>
    </row>
    <row r="7764">
      <c r="A7764" t="n">
        <v>7764</v>
      </c>
      <c r="B7764">
        <f>IF(INDEX('Data Entry'!$H$5:$BE$10004,7764-4,'Visual SPC'!$B$3)="",0,IF(AND(OR('Visual SPC'!$C$4="",'Data Entry'!$C7764&gt;='Visual SPC'!$C$4),OR('Visual SPC'!$E$4="",'Data Entry'!$C7764&lt;='Visual SPC'!$E$4),OR('Visual SPC'!$G$4="",'Data Entry'!$D7764='Visual SPC'!$G$4),OR('Visual SPC'!$I$4="",'Data Entry'!$E7764='Visual SPC'!$I$4),OR('Visual SPC'!$K$4="",'Data Entry'!$F7764='Visual SPC'!$K$4)),1,0))</f>
        <v/>
      </c>
      <c r="C7764">
        <f>C7763+B7764</f>
        <v/>
      </c>
      <c r="D7764">
        <f>IF(B7764=1,INDEX('Data Entry'!$H$5:$BE$10004,7764-4,'Visual SPC'!$B$3),"")</f>
        <v/>
      </c>
      <c r="E7764">
        <f>IF(B7764=1,D7764,E7763)</f>
        <v/>
      </c>
      <c r="F7764">
        <f>IF(AND(B7764=1,C7764&gt;1,E7763&lt;&gt;""),ABS(D7764-E7763),"")</f>
        <v/>
      </c>
    </row>
    <row r="7765">
      <c r="A7765" t="n">
        <v>7765</v>
      </c>
      <c r="B7765">
        <f>IF(INDEX('Data Entry'!$H$5:$BE$10004,7765-4,'Visual SPC'!$B$3)="",0,IF(AND(OR('Visual SPC'!$C$4="",'Data Entry'!$C7765&gt;='Visual SPC'!$C$4),OR('Visual SPC'!$E$4="",'Data Entry'!$C7765&lt;='Visual SPC'!$E$4),OR('Visual SPC'!$G$4="",'Data Entry'!$D7765='Visual SPC'!$G$4),OR('Visual SPC'!$I$4="",'Data Entry'!$E7765='Visual SPC'!$I$4),OR('Visual SPC'!$K$4="",'Data Entry'!$F7765='Visual SPC'!$K$4)),1,0))</f>
        <v/>
      </c>
      <c r="C7765">
        <f>C7764+B7765</f>
        <v/>
      </c>
      <c r="D7765">
        <f>IF(B7765=1,INDEX('Data Entry'!$H$5:$BE$10004,7765-4,'Visual SPC'!$B$3),"")</f>
        <v/>
      </c>
      <c r="E7765">
        <f>IF(B7765=1,D7765,E7764)</f>
        <v/>
      </c>
      <c r="F7765">
        <f>IF(AND(B7765=1,C7765&gt;1,E7764&lt;&gt;""),ABS(D7765-E7764),"")</f>
        <v/>
      </c>
    </row>
    <row r="7766">
      <c r="A7766" t="n">
        <v>7766</v>
      </c>
      <c r="B7766">
        <f>IF(INDEX('Data Entry'!$H$5:$BE$10004,7766-4,'Visual SPC'!$B$3)="",0,IF(AND(OR('Visual SPC'!$C$4="",'Data Entry'!$C7766&gt;='Visual SPC'!$C$4),OR('Visual SPC'!$E$4="",'Data Entry'!$C7766&lt;='Visual SPC'!$E$4),OR('Visual SPC'!$G$4="",'Data Entry'!$D7766='Visual SPC'!$G$4),OR('Visual SPC'!$I$4="",'Data Entry'!$E7766='Visual SPC'!$I$4),OR('Visual SPC'!$K$4="",'Data Entry'!$F7766='Visual SPC'!$K$4)),1,0))</f>
        <v/>
      </c>
      <c r="C7766">
        <f>C7765+B7766</f>
        <v/>
      </c>
      <c r="D7766">
        <f>IF(B7766=1,INDEX('Data Entry'!$H$5:$BE$10004,7766-4,'Visual SPC'!$B$3),"")</f>
        <v/>
      </c>
      <c r="E7766">
        <f>IF(B7766=1,D7766,E7765)</f>
        <v/>
      </c>
      <c r="F7766">
        <f>IF(AND(B7766=1,C7766&gt;1,E7765&lt;&gt;""),ABS(D7766-E7765),"")</f>
        <v/>
      </c>
    </row>
    <row r="7767">
      <c r="A7767" t="n">
        <v>7767</v>
      </c>
      <c r="B7767">
        <f>IF(INDEX('Data Entry'!$H$5:$BE$10004,7767-4,'Visual SPC'!$B$3)="",0,IF(AND(OR('Visual SPC'!$C$4="",'Data Entry'!$C7767&gt;='Visual SPC'!$C$4),OR('Visual SPC'!$E$4="",'Data Entry'!$C7767&lt;='Visual SPC'!$E$4),OR('Visual SPC'!$G$4="",'Data Entry'!$D7767='Visual SPC'!$G$4),OR('Visual SPC'!$I$4="",'Data Entry'!$E7767='Visual SPC'!$I$4),OR('Visual SPC'!$K$4="",'Data Entry'!$F7767='Visual SPC'!$K$4)),1,0))</f>
        <v/>
      </c>
      <c r="C7767">
        <f>C7766+B7767</f>
        <v/>
      </c>
      <c r="D7767">
        <f>IF(B7767=1,INDEX('Data Entry'!$H$5:$BE$10004,7767-4,'Visual SPC'!$B$3),"")</f>
        <v/>
      </c>
      <c r="E7767">
        <f>IF(B7767=1,D7767,E7766)</f>
        <v/>
      </c>
      <c r="F7767">
        <f>IF(AND(B7767=1,C7767&gt;1,E7766&lt;&gt;""),ABS(D7767-E7766),"")</f>
        <v/>
      </c>
    </row>
    <row r="7768">
      <c r="A7768" t="n">
        <v>7768</v>
      </c>
      <c r="B7768">
        <f>IF(INDEX('Data Entry'!$H$5:$BE$10004,7768-4,'Visual SPC'!$B$3)="",0,IF(AND(OR('Visual SPC'!$C$4="",'Data Entry'!$C7768&gt;='Visual SPC'!$C$4),OR('Visual SPC'!$E$4="",'Data Entry'!$C7768&lt;='Visual SPC'!$E$4),OR('Visual SPC'!$G$4="",'Data Entry'!$D7768='Visual SPC'!$G$4),OR('Visual SPC'!$I$4="",'Data Entry'!$E7768='Visual SPC'!$I$4),OR('Visual SPC'!$K$4="",'Data Entry'!$F7768='Visual SPC'!$K$4)),1,0))</f>
        <v/>
      </c>
      <c r="C7768">
        <f>C7767+B7768</f>
        <v/>
      </c>
      <c r="D7768">
        <f>IF(B7768=1,INDEX('Data Entry'!$H$5:$BE$10004,7768-4,'Visual SPC'!$B$3),"")</f>
        <v/>
      </c>
      <c r="E7768">
        <f>IF(B7768=1,D7768,E7767)</f>
        <v/>
      </c>
      <c r="F7768">
        <f>IF(AND(B7768=1,C7768&gt;1,E7767&lt;&gt;""),ABS(D7768-E7767),"")</f>
        <v/>
      </c>
    </row>
    <row r="7769">
      <c r="A7769" t="n">
        <v>7769</v>
      </c>
      <c r="B7769">
        <f>IF(INDEX('Data Entry'!$H$5:$BE$10004,7769-4,'Visual SPC'!$B$3)="",0,IF(AND(OR('Visual SPC'!$C$4="",'Data Entry'!$C7769&gt;='Visual SPC'!$C$4),OR('Visual SPC'!$E$4="",'Data Entry'!$C7769&lt;='Visual SPC'!$E$4),OR('Visual SPC'!$G$4="",'Data Entry'!$D7769='Visual SPC'!$G$4),OR('Visual SPC'!$I$4="",'Data Entry'!$E7769='Visual SPC'!$I$4),OR('Visual SPC'!$K$4="",'Data Entry'!$F7769='Visual SPC'!$K$4)),1,0))</f>
        <v/>
      </c>
      <c r="C7769">
        <f>C7768+B7769</f>
        <v/>
      </c>
      <c r="D7769">
        <f>IF(B7769=1,INDEX('Data Entry'!$H$5:$BE$10004,7769-4,'Visual SPC'!$B$3),"")</f>
        <v/>
      </c>
      <c r="E7769">
        <f>IF(B7769=1,D7769,E7768)</f>
        <v/>
      </c>
      <c r="F7769">
        <f>IF(AND(B7769=1,C7769&gt;1,E7768&lt;&gt;""),ABS(D7769-E7768),"")</f>
        <v/>
      </c>
    </row>
    <row r="7770">
      <c r="A7770" t="n">
        <v>7770</v>
      </c>
      <c r="B7770">
        <f>IF(INDEX('Data Entry'!$H$5:$BE$10004,7770-4,'Visual SPC'!$B$3)="",0,IF(AND(OR('Visual SPC'!$C$4="",'Data Entry'!$C7770&gt;='Visual SPC'!$C$4),OR('Visual SPC'!$E$4="",'Data Entry'!$C7770&lt;='Visual SPC'!$E$4),OR('Visual SPC'!$G$4="",'Data Entry'!$D7770='Visual SPC'!$G$4),OR('Visual SPC'!$I$4="",'Data Entry'!$E7770='Visual SPC'!$I$4),OR('Visual SPC'!$K$4="",'Data Entry'!$F7770='Visual SPC'!$K$4)),1,0))</f>
        <v/>
      </c>
      <c r="C7770">
        <f>C7769+B7770</f>
        <v/>
      </c>
      <c r="D7770">
        <f>IF(B7770=1,INDEX('Data Entry'!$H$5:$BE$10004,7770-4,'Visual SPC'!$B$3),"")</f>
        <v/>
      </c>
      <c r="E7770">
        <f>IF(B7770=1,D7770,E7769)</f>
        <v/>
      </c>
      <c r="F7770">
        <f>IF(AND(B7770=1,C7770&gt;1,E7769&lt;&gt;""),ABS(D7770-E7769),"")</f>
        <v/>
      </c>
    </row>
    <row r="7771">
      <c r="A7771" t="n">
        <v>7771</v>
      </c>
      <c r="B7771">
        <f>IF(INDEX('Data Entry'!$H$5:$BE$10004,7771-4,'Visual SPC'!$B$3)="",0,IF(AND(OR('Visual SPC'!$C$4="",'Data Entry'!$C7771&gt;='Visual SPC'!$C$4),OR('Visual SPC'!$E$4="",'Data Entry'!$C7771&lt;='Visual SPC'!$E$4),OR('Visual SPC'!$G$4="",'Data Entry'!$D7771='Visual SPC'!$G$4),OR('Visual SPC'!$I$4="",'Data Entry'!$E7771='Visual SPC'!$I$4),OR('Visual SPC'!$K$4="",'Data Entry'!$F7771='Visual SPC'!$K$4)),1,0))</f>
        <v/>
      </c>
      <c r="C7771">
        <f>C7770+B7771</f>
        <v/>
      </c>
      <c r="D7771">
        <f>IF(B7771=1,INDEX('Data Entry'!$H$5:$BE$10004,7771-4,'Visual SPC'!$B$3),"")</f>
        <v/>
      </c>
      <c r="E7771">
        <f>IF(B7771=1,D7771,E7770)</f>
        <v/>
      </c>
      <c r="F7771">
        <f>IF(AND(B7771=1,C7771&gt;1,E7770&lt;&gt;""),ABS(D7771-E7770),"")</f>
        <v/>
      </c>
    </row>
    <row r="7772">
      <c r="A7772" t="n">
        <v>7772</v>
      </c>
      <c r="B7772">
        <f>IF(INDEX('Data Entry'!$H$5:$BE$10004,7772-4,'Visual SPC'!$B$3)="",0,IF(AND(OR('Visual SPC'!$C$4="",'Data Entry'!$C7772&gt;='Visual SPC'!$C$4),OR('Visual SPC'!$E$4="",'Data Entry'!$C7772&lt;='Visual SPC'!$E$4),OR('Visual SPC'!$G$4="",'Data Entry'!$D7772='Visual SPC'!$G$4),OR('Visual SPC'!$I$4="",'Data Entry'!$E7772='Visual SPC'!$I$4),OR('Visual SPC'!$K$4="",'Data Entry'!$F7772='Visual SPC'!$K$4)),1,0))</f>
        <v/>
      </c>
      <c r="C7772">
        <f>C7771+B7772</f>
        <v/>
      </c>
      <c r="D7772">
        <f>IF(B7772=1,INDEX('Data Entry'!$H$5:$BE$10004,7772-4,'Visual SPC'!$B$3),"")</f>
        <v/>
      </c>
      <c r="E7772">
        <f>IF(B7772=1,D7772,E7771)</f>
        <v/>
      </c>
      <c r="F7772">
        <f>IF(AND(B7772=1,C7772&gt;1,E7771&lt;&gt;""),ABS(D7772-E7771),"")</f>
        <v/>
      </c>
    </row>
    <row r="7773">
      <c r="A7773" t="n">
        <v>7773</v>
      </c>
      <c r="B7773">
        <f>IF(INDEX('Data Entry'!$H$5:$BE$10004,7773-4,'Visual SPC'!$B$3)="",0,IF(AND(OR('Visual SPC'!$C$4="",'Data Entry'!$C7773&gt;='Visual SPC'!$C$4),OR('Visual SPC'!$E$4="",'Data Entry'!$C7773&lt;='Visual SPC'!$E$4),OR('Visual SPC'!$G$4="",'Data Entry'!$D7773='Visual SPC'!$G$4),OR('Visual SPC'!$I$4="",'Data Entry'!$E7773='Visual SPC'!$I$4),OR('Visual SPC'!$K$4="",'Data Entry'!$F7773='Visual SPC'!$K$4)),1,0))</f>
        <v/>
      </c>
      <c r="C7773">
        <f>C7772+B7773</f>
        <v/>
      </c>
      <c r="D7773">
        <f>IF(B7773=1,INDEX('Data Entry'!$H$5:$BE$10004,7773-4,'Visual SPC'!$B$3),"")</f>
        <v/>
      </c>
      <c r="E7773">
        <f>IF(B7773=1,D7773,E7772)</f>
        <v/>
      </c>
      <c r="F7773">
        <f>IF(AND(B7773=1,C7773&gt;1,E7772&lt;&gt;""),ABS(D7773-E7772),"")</f>
        <v/>
      </c>
    </row>
    <row r="7774">
      <c r="A7774" t="n">
        <v>7774</v>
      </c>
      <c r="B7774">
        <f>IF(INDEX('Data Entry'!$H$5:$BE$10004,7774-4,'Visual SPC'!$B$3)="",0,IF(AND(OR('Visual SPC'!$C$4="",'Data Entry'!$C7774&gt;='Visual SPC'!$C$4),OR('Visual SPC'!$E$4="",'Data Entry'!$C7774&lt;='Visual SPC'!$E$4),OR('Visual SPC'!$G$4="",'Data Entry'!$D7774='Visual SPC'!$G$4),OR('Visual SPC'!$I$4="",'Data Entry'!$E7774='Visual SPC'!$I$4),OR('Visual SPC'!$K$4="",'Data Entry'!$F7774='Visual SPC'!$K$4)),1,0))</f>
        <v/>
      </c>
      <c r="C7774">
        <f>C7773+B7774</f>
        <v/>
      </c>
      <c r="D7774">
        <f>IF(B7774=1,INDEX('Data Entry'!$H$5:$BE$10004,7774-4,'Visual SPC'!$B$3),"")</f>
        <v/>
      </c>
      <c r="E7774">
        <f>IF(B7774=1,D7774,E7773)</f>
        <v/>
      </c>
      <c r="F7774">
        <f>IF(AND(B7774=1,C7774&gt;1,E7773&lt;&gt;""),ABS(D7774-E7773),"")</f>
        <v/>
      </c>
    </row>
    <row r="7775">
      <c r="A7775" t="n">
        <v>7775</v>
      </c>
      <c r="B7775">
        <f>IF(INDEX('Data Entry'!$H$5:$BE$10004,7775-4,'Visual SPC'!$B$3)="",0,IF(AND(OR('Visual SPC'!$C$4="",'Data Entry'!$C7775&gt;='Visual SPC'!$C$4),OR('Visual SPC'!$E$4="",'Data Entry'!$C7775&lt;='Visual SPC'!$E$4),OR('Visual SPC'!$G$4="",'Data Entry'!$D7775='Visual SPC'!$G$4),OR('Visual SPC'!$I$4="",'Data Entry'!$E7775='Visual SPC'!$I$4),OR('Visual SPC'!$K$4="",'Data Entry'!$F7775='Visual SPC'!$K$4)),1,0))</f>
        <v/>
      </c>
      <c r="C7775">
        <f>C7774+B7775</f>
        <v/>
      </c>
      <c r="D7775">
        <f>IF(B7775=1,INDEX('Data Entry'!$H$5:$BE$10004,7775-4,'Visual SPC'!$B$3),"")</f>
        <v/>
      </c>
      <c r="E7775">
        <f>IF(B7775=1,D7775,E7774)</f>
        <v/>
      </c>
      <c r="F7775">
        <f>IF(AND(B7775=1,C7775&gt;1,E7774&lt;&gt;""),ABS(D7775-E7774),"")</f>
        <v/>
      </c>
    </row>
    <row r="7776">
      <c r="A7776" t="n">
        <v>7776</v>
      </c>
      <c r="B7776">
        <f>IF(INDEX('Data Entry'!$H$5:$BE$10004,7776-4,'Visual SPC'!$B$3)="",0,IF(AND(OR('Visual SPC'!$C$4="",'Data Entry'!$C7776&gt;='Visual SPC'!$C$4),OR('Visual SPC'!$E$4="",'Data Entry'!$C7776&lt;='Visual SPC'!$E$4),OR('Visual SPC'!$G$4="",'Data Entry'!$D7776='Visual SPC'!$G$4),OR('Visual SPC'!$I$4="",'Data Entry'!$E7776='Visual SPC'!$I$4),OR('Visual SPC'!$K$4="",'Data Entry'!$F7776='Visual SPC'!$K$4)),1,0))</f>
        <v/>
      </c>
      <c r="C7776">
        <f>C7775+B7776</f>
        <v/>
      </c>
      <c r="D7776">
        <f>IF(B7776=1,INDEX('Data Entry'!$H$5:$BE$10004,7776-4,'Visual SPC'!$B$3),"")</f>
        <v/>
      </c>
      <c r="E7776">
        <f>IF(B7776=1,D7776,E7775)</f>
        <v/>
      </c>
      <c r="F7776">
        <f>IF(AND(B7776=1,C7776&gt;1,E7775&lt;&gt;""),ABS(D7776-E7775),"")</f>
        <v/>
      </c>
    </row>
    <row r="7777">
      <c r="A7777" t="n">
        <v>7777</v>
      </c>
      <c r="B7777">
        <f>IF(INDEX('Data Entry'!$H$5:$BE$10004,7777-4,'Visual SPC'!$B$3)="",0,IF(AND(OR('Visual SPC'!$C$4="",'Data Entry'!$C7777&gt;='Visual SPC'!$C$4),OR('Visual SPC'!$E$4="",'Data Entry'!$C7777&lt;='Visual SPC'!$E$4),OR('Visual SPC'!$G$4="",'Data Entry'!$D7777='Visual SPC'!$G$4),OR('Visual SPC'!$I$4="",'Data Entry'!$E7777='Visual SPC'!$I$4),OR('Visual SPC'!$K$4="",'Data Entry'!$F7777='Visual SPC'!$K$4)),1,0))</f>
        <v/>
      </c>
      <c r="C7777">
        <f>C7776+B7777</f>
        <v/>
      </c>
      <c r="D7777">
        <f>IF(B7777=1,INDEX('Data Entry'!$H$5:$BE$10004,7777-4,'Visual SPC'!$B$3),"")</f>
        <v/>
      </c>
      <c r="E7777">
        <f>IF(B7777=1,D7777,E7776)</f>
        <v/>
      </c>
      <c r="F7777">
        <f>IF(AND(B7777=1,C7777&gt;1,E7776&lt;&gt;""),ABS(D7777-E7776),"")</f>
        <v/>
      </c>
    </row>
    <row r="7778">
      <c r="A7778" t="n">
        <v>7778</v>
      </c>
      <c r="B7778">
        <f>IF(INDEX('Data Entry'!$H$5:$BE$10004,7778-4,'Visual SPC'!$B$3)="",0,IF(AND(OR('Visual SPC'!$C$4="",'Data Entry'!$C7778&gt;='Visual SPC'!$C$4),OR('Visual SPC'!$E$4="",'Data Entry'!$C7778&lt;='Visual SPC'!$E$4),OR('Visual SPC'!$G$4="",'Data Entry'!$D7778='Visual SPC'!$G$4),OR('Visual SPC'!$I$4="",'Data Entry'!$E7778='Visual SPC'!$I$4),OR('Visual SPC'!$K$4="",'Data Entry'!$F7778='Visual SPC'!$K$4)),1,0))</f>
        <v/>
      </c>
      <c r="C7778">
        <f>C7777+B7778</f>
        <v/>
      </c>
      <c r="D7778">
        <f>IF(B7778=1,INDEX('Data Entry'!$H$5:$BE$10004,7778-4,'Visual SPC'!$B$3),"")</f>
        <v/>
      </c>
      <c r="E7778">
        <f>IF(B7778=1,D7778,E7777)</f>
        <v/>
      </c>
      <c r="F7778">
        <f>IF(AND(B7778=1,C7778&gt;1,E7777&lt;&gt;""),ABS(D7778-E7777),"")</f>
        <v/>
      </c>
    </row>
    <row r="7779">
      <c r="A7779" t="n">
        <v>7779</v>
      </c>
      <c r="B7779">
        <f>IF(INDEX('Data Entry'!$H$5:$BE$10004,7779-4,'Visual SPC'!$B$3)="",0,IF(AND(OR('Visual SPC'!$C$4="",'Data Entry'!$C7779&gt;='Visual SPC'!$C$4),OR('Visual SPC'!$E$4="",'Data Entry'!$C7779&lt;='Visual SPC'!$E$4),OR('Visual SPC'!$G$4="",'Data Entry'!$D7779='Visual SPC'!$G$4),OR('Visual SPC'!$I$4="",'Data Entry'!$E7779='Visual SPC'!$I$4),OR('Visual SPC'!$K$4="",'Data Entry'!$F7779='Visual SPC'!$K$4)),1,0))</f>
        <v/>
      </c>
      <c r="C7779">
        <f>C7778+B7779</f>
        <v/>
      </c>
      <c r="D7779">
        <f>IF(B7779=1,INDEX('Data Entry'!$H$5:$BE$10004,7779-4,'Visual SPC'!$B$3),"")</f>
        <v/>
      </c>
      <c r="E7779">
        <f>IF(B7779=1,D7779,E7778)</f>
        <v/>
      </c>
      <c r="F7779">
        <f>IF(AND(B7779=1,C7779&gt;1,E7778&lt;&gt;""),ABS(D7779-E7778),"")</f>
        <v/>
      </c>
    </row>
    <row r="7780">
      <c r="A7780" t="n">
        <v>7780</v>
      </c>
      <c r="B7780">
        <f>IF(INDEX('Data Entry'!$H$5:$BE$10004,7780-4,'Visual SPC'!$B$3)="",0,IF(AND(OR('Visual SPC'!$C$4="",'Data Entry'!$C7780&gt;='Visual SPC'!$C$4),OR('Visual SPC'!$E$4="",'Data Entry'!$C7780&lt;='Visual SPC'!$E$4),OR('Visual SPC'!$G$4="",'Data Entry'!$D7780='Visual SPC'!$G$4),OR('Visual SPC'!$I$4="",'Data Entry'!$E7780='Visual SPC'!$I$4),OR('Visual SPC'!$K$4="",'Data Entry'!$F7780='Visual SPC'!$K$4)),1,0))</f>
        <v/>
      </c>
      <c r="C7780">
        <f>C7779+B7780</f>
        <v/>
      </c>
      <c r="D7780">
        <f>IF(B7780=1,INDEX('Data Entry'!$H$5:$BE$10004,7780-4,'Visual SPC'!$B$3),"")</f>
        <v/>
      </c>
      <c r="E7780">
        <f>IF(B7780=1,D7780,E7779)</f>
        <v/>
      </c>
      <c r="F7780">
        <f>IF(AND(B7780=1,C7780&gt;1,E7779&lt;&gt;""),ABS(D7780-E7779),"")</f>
        <v/>
      </c>
    </row>
    <row r="7781">
      <c r="A7781" t="n">
        <v>7781</v>
      </c>
      <c r="B7781">
        <f>IF(INDEX('Data Entry'!$H$5:$BE$10004,7781-4,'Visual SPC'!$B$3)="",0,IF(AND(OR('Visual SPC'!$C$4="",'Data Entry'!$C7781&gt;='Visual SPC'!$C$4),OR('Visual SPC'!$E$4="",'Data Entry'!$C7781&lt;='Visual SPC'!$E$4),OR('Visual SPC'!$G$4="",'Data Entry'!$D7781='Visual SPC'!$G$4),OR('Visual SPC'!$I$4="",'Data Entry'!$E7781='Visual SPC'!$I$4),OR('Visual SPC'!$K$4="",'Data Entry'!$F7781='Visual SPC'!$K$4)),1,0))</f>
        <v/>
      </c>
      <c r="C7781">
        <f>C7780+B7781</f>
        <v/>
      </c>
      <c r="D7781">
        <f>IF(B7781=1,INDEX('Data Entry'!$H$5:$BE$10004,7781-4,'Visual SPC'!$B$3),"")</f>
        <v/>
      </c>
      <c r="E7781">
        <f>IF(B7781=1,D7781,E7780)</f>
        <v/>
      </c>
      <c r="F7781">
        <f>IF(AND(B7781=1,C7781&gt;1,E7780&lt;&gt;""),ABS(D7781-E7780),"")</f>
        <v/>
      </c>
    </row>
    <row r="7782">
      <c r="A7782" t="n">
        <v>7782</v>
      </c>
      <c r="B7782">
        <f>IF(INDEX('Data Entry'!$H$5:$BE$10004,7782-4,'Visual SPC'!$B$3)="",0,IF(AND(OR('Visual SPC'!$C$4="",'Data Entry'!$C7782&gt;='Visual SPC'!$C$4),OR('Visual SPC'!$E$4="",'Data Entry'!$C7782&lt;='Visual SPC'!$E$4),OR('Visual SPC'!$G$4="",'Data Entry'!$D7782='Visual SPC'!$G$4),OR('Visual SPC'!$I$4="",'Data Entry'!$E7782='Visual SPC'!$I$4),OR('Visual SPC'!$K$4="",'Data Entry'!$F7782='Visual SPC'!$K$4)),1,0))</f>
        <v/>
      </c>
      <c r="C7782">
        <f>C7781+B7782</f>
        <v/>
      </c>
      <c r="D7782">
        <f>IF(B7782=1,INDEX('Data Entry'!$H$5:$BE$10004,7782-4,'Visual SPC'!$B$3),"")</f>
        <v/>
      </c>
      <c r="E7782">
        <f>IF(B7782=1,D7782,E7781)</f>
        <v/>
      </c>
      <c r="F7782">
        <f>IF(AND(B7782=1,C7782&gt;1,E7781&lt;&gt;""),ABS(D7782-E7781),"")</f>
        <v/>
      </c>
    </row>
    <row r="7783">
      <c r="A7783" t="n">
        <v>7783</v>
      </c>
      <c r="B7783">
        <f>IF(INDEX('Data Entry'!$H$5:$BE$10004,7783-4,'Visual SPC'!$B$3)="",0,IF(AND(OR('Visual SPC'!$C$4="",'Data Entry'!$C7783&gt;='Visual SPC'!$C$4),OR('Visual SPC'!$E$4="",'Data Entry'!$C7783&lt;='Visual SPC'!$E$4),OR('Visual SPC'!$G$4="",'Data Entry'!$D7783='Visual SPC'!$G$4),OR('Visual SPC'!$I$4="",'Data Entry'!$E7783='Visual SPC'!$I$4),OR('Visual SPC'!$K$4="",'Data Entry'!$F7783='Visual SPC'!$K$4)),1,0))</f>
        <v/>
      </c>
      <c r="C7783">
        <f>C7782+B7783</f>
        <v/>
      </c>
      <c r="D7783">
        <f>IF(B7783=1,INDEX('Data Entry'!$H$5:$BE$10004,7783-4,'Visual SPC'!$B$3),"")</f>
        <v/>
      </c>
      <c r="E7783">
        <f>IF(B7783=1,D7783,E7782)</f>
        <v/>
      </c>
      <c r="F7783">
        <f>IF(AND(B7783=1,C7783&gt;1,E7782&lt;&gt;""),ABS(D7783-E7782),"")</f>
        <v/>
      </c>
    </row>
    <row r="7784">
      <c r="A7784" t="n">
        <v>7784</v>
      </c>
      <c r="B7784">
        <f>IF(INDEX('Data Entry'!$H$5:$BE$10004,7784-4,'Visual SPC'!$B$3)="",0,IF(AND(OR('Visual SPC'!$C$4="",'Data Entry'!$C7784&gt;='Visual SPC'!$C$4),OR('Visual SPC'!$E$4="",'Data Entry'!$C7784&lt;='Visual SPC'!$E$4),OR('Visual SPC'!$G$4="",'Data Entry'!$D7784='Visual SPC'!$G$4),OR('Visual SPC'!$I$4="",'Data Entry'!$E7784='Visual SPC'!$I$4),OR('Visual SPC'!$K$4="",'Data Entry'!$F7784='Visual SPC'!$K$4)),1,0))</f>
        <v/>
      </c>
      <c r="C7784">
        <f>C7783+B7784</f>
        <v/>
      </c>
      <c r="D7784">
        <f>IF(B7784=1,INDEX('Data Entry'!$H$5:$BE$10004,7784-4,'Visual SPC'!$B$3),"")</f>
        <v/>
      </c>
      <c r="E7784">
        <f>IF(B7784=1,D7784,E7783)</f>
        <v/>
      </c>
      <c r="F7784">
        <f>IF(AND(B7784=1,C7784&gt;1,E7783&lt;&gt;""),ABS(D7784-E7783),"")</f>
        <v/>
      </c>
    </row>
    <row r="7785">
      <c r="A7785" t="n">
        <v>7785</v>
      </c>
      <c r="B7785">
        <f>IF(INDEX('Data Entry'!$H$5:$BE$10004,7785-4,'Visual SPC'!$B$3)="",0,IF(AND(OR('Visual SPC'!$C$4="",'Data Entry'!$C7785&gt;='Visual SPC'!$C$4),OR('Visual SPC'!$E$4="",'Data Entry'!$C7785&lt;='Visual SPC'!$E$4),OR('Visual SPC'!$G$4="",'Data Entry'!$D7785='Visual SPC'!$G$4),OR('Visual SPC'!$I$4="",'Data Entry'!$E7785='Visual SPC'!$I$4),OR('Visual SPC'!$K$4="",'Data Entry'!$F7785='Visual SPC'!$K$4)),1,0))</f>
        <v/>
      </c>
      <c r="C7785">
        <f>C7784+B7785</f>
        <v/>
      </c>
      <c r="D7785">
        <f>IF(B7785=1,INDEX('Data Entry'!$H$5:$BE$10004,7785-4,'Visual SPC'!$B$3),"")</f>
        <v/>
      </c>
      <c r="E7785">
        <f>IF(B7785=1,D7785,E7784)</f>
        <v/>
      </c>
      <c r="F7785">
        <f>IF(AND(B7785=1,C7785&gt;1,E7784&lt;&gt;""),ABS(D7785-E7784),"")</f>
        <v/>
      </c>
    </row>
    <row r="7786">
      <c r="A7786" t="n">
        <v>7786</v>
      </c>
      <c r="B7786">
        <f>IF(INDEX('Data Entry'!$H$5:$BE$10004,7786-4,'Visual SPC'!$B$3)="",0,IF(AND(OR('Visual SPC'!$C$4="",'Data Entry'!$C7786&gt;='Visual SPC'!$C$4),OR('Visual SPC'!$E$4="",'Data Entry'!$C7786&lt;='Visual SPC'!$E$4),OR('Visual SPC'!$G$4="",'Data Entry'!$D7786='Visual SPC'!$G$4),OR('Visual SPC'!$I$4="",'Data Entry'!$E7786='Visual SPC'!$I$4),OR('Visual SPC'!$K$4="",'Data Entry'!$F7786='Visual SPC'!$K$4)),1,0))</f>
        <v/>
      </c>
      <c r="C7786">
        <f>C7785+B7786</f>
        <v/>
      </c>
      <c r="D7786">
        <f>IF(B7786=1,INDEX('Data Entry'!$H$5:$BE$10004,7786-4,'Visual SPC'!$B$3),"")</f>
        <v/>
      </c>
      <c r="E7786">
        <f>IF(B7786=1,D7786,E7785)</f>
        <v/>
      </c>
      <c r="F7786">
        <f>IF(AND(B7786=1,C7786&gt;1,E7785&lt;&gt;""),ABS(D7786-E7785),"")</f>
        <v/>
      </c>
    </row>
    <row r="7787">
      <c r="A7787" t="n">
        <v>7787</v>
      </c>
      <c r="B7787">
        <f>IF(INDEX('Data Entry'!$H$5:$BE$10004,7787-4,'Visual SPC'!$B$3)="",0,IF(AND(OR('Visual SPC'!$C$4="",'Data Entry'!$C7787&gt;='Visual SPC'!$C$4),OR('Visual SPC'!$E$4="",'Data Entry'!$C7787&lt;='Visual SPC'!$E$4),OR('Visual SPC'!$G$4="",'Data Entry'!$D7787='Visual SPC'!$G$4),OR('Visual SPC'!$I$4="",'Data Entry'!$E7787='Visual SPC'!$I$4),OR('Visual SPC'!$K$4="",'Data Entry'!$F7787='Visual SPC'!$K$4)),1,0))</f>
        <v/>
      </c>
      <c r="C7787">
        <f>C7786+B7787</f>
        <v/>
      </c>
      <c r="D7787">
        <f>IF(B7787=1,INDEX('Data Entry'!$H$5:$BE$10004,7787-4,'Visual SPC'!$B$3),"")</f>
        <v/>
      </c>
      <c r="E7787">
        <f>IF(B7787=1,D7787,E7786)</f>
        <v/>
      </c>
      <c r="F7787">
        <f>IF(AND(B7787=1,C7787&gt;1,E7786&lt;&gt;""),ABS(D7787-E7786),"")</f>
        <v/>
      </c>
    </row>
    <row r="7788">
      <c r="A7788" t="n">
        <v>7788</v>
      </c>
      <c r="B7788">
        <f>IF(INDEX('Data Entry'!$H$5:$BE$10004,7788-4,'Visual SPC'!$B$3)="",0,IF(AND(OR('Visual SPC'!$C$4="",'Data Entry'!$C7788&gt;='Visual SPC'!$C$4),OR('Visual SPC'!$E$4="",'Data Entry'!$C7788&lt;='Visual SPC'!$E$4),OR('Visual SPC'!$G$4="",'Data Entry'!$D7788='Visual SPC'!$G$4),OR('Visual SPC'!$I$4="",'Data Entry'!$E7788='Visual SPC'!$I$4),OR('Visual SPC'!$K$4="",'Data Entry'!$F7788='Visual SPC'!$K$4)),1,0))</f>
        <v/>
      </c>
      <c r="C7788">
        <f>C7787+B7788</f>
        <v/>
      </c>
      <c r="D7788">
        <f>IF(B7788=1,INDEX('Data Entry'!$H$5:$BE$10004,7788-4,'Visual SPC'!$B$3),"")</f>
        <v/>
      </c>
      <c r="E7788">
        <f>IF(B7788=1,D7788,E7787)</f>
        <v/>
      </c>
      <c r="F7788">
        <f>IF(AND(B7788=1,C7788&gt;1,E7787&lt;&gt;""),ABS(D7788-E7787),"")</f>
        <v/>
      </c>
    </row>
    <row r="7789">
      <c r="A7789" t="n">
        <v>7789</v>
      </c>
      <c r="B7789">
        <f>IF(INDEX('Data Entry'!$H$5:$BE$10004,7789-4,'Visual SPC'!$B$3)="",0,IF(AND(OR('Visual SPC'!$C$4="",'Data Entry'!$C7789&gt;='Visual SPC'!$C$4),OR('Visual SPC'!$E$4="",'Data Entry'!$C7789&lt;='Visual SPC'!$E$4),OR('Visual SPC'!$G$4="",'Data Entry'!$D7789='Visual SPC'!$G$4),OR('Visual SPC'!$I$4="",'Data Entry'!$E7789='Visual SPC'!$I$4),OR('Visual SPC'!$K$4="",'Data Entry'!$F7789='Visual SPC'!$K$4)),1,0))</f>
        <v/>
      </c>
      <c r="C7789">
        <f>C7788+B7789</f>
        <v/>
      </c>
      <c r="D7789">
        <f>IF(B7789=1,INDEX('Data Entry'!$H$5:$BE$10004,7789-4,'Visual SPC'!$B$3),"")</f>
        <v/>
      </c>
      <c r="E7789">
        <f>IF(B7789=1,D7789,E7788)</f>
        <v/>
      </c>
      <c r="F7789">
        <f>IF(AND(B7789=1,C7789&gt;1,E7788&lt;&gt;""),ABS(D7789-E7788),"")</f>
        <v/>
      </c>
    </row>
    <row r="7790">
      <c r="A7790" t="n">
        <v>7790</v>
      </c>
      <c r="B7790">
        <f>IF(INDEX('Data Entry'!$H$5:$BE$10004,7790-4,'Visual SPC'!$B$3)="",0,IF(AND(OR('Visual SPC'!$C$4="",'Data Entry'!$C7790&gt;='Visual SPC'!$C$4),OR('Visual SPC'!$E$4="",'Data Entry'!$C7790&lt;='Visual SPC'!$E$4),OR('Visual SPC'!$G$4="",'Data Entry'!$D7790='Visual SPC'!$G$4),OR('Visual SPC'!$I$4="",'Data Entry'!$E7790='Visual SPC'!$I$4),OR('Visual SPC'!$K$4="",'Data Entry'!$F7790='Visual SPC'!$K$4)),1,0))</f>
        <v/>
      </c>
      <c r="C7790">
        <f>C7789+B7790</f>
        <v/>
      </c>
      <c r="D7790">
        <f>IF(B7790=1,INDEX('Data Entry'!$H$5:$BE$10004,7790-4,'Visual SPC'!$B$3),"")</f>
        <v/>
      </c>
      <c r="E7790">
        <f>IF(B7790=1,D7790,E7789)</f>
        <v/>
      </c>
      <c r="F7790">
        <f>IF(AND(B7790=1,C7790&gt;1,E7789&lt;&gt;""),ABS(D7790-E7789),"")</f>
        <v/>
      </c>
    </row>
    <row r="7791">
      <c r="A7791" t="n">
        <v>7791</v>
      </c>
      <c r="B7791">
        <f>IF(INDEX('Data Entry'!$H$5:$BE$10004,7791-4,'Visual SPC'!$B$3)="",0,IF(AND(OR('Visual SPC'!$C$4="",'Data Entry'!$C7791&gt;='Visual SPC'!$C$4),OR('Visual SPC'!$E$4="",'Data Entry'!$C7791&lt;='Visual SPC'!$E$4),OR('Visual SPC'!$G$4="",'Data Entry'!$D7791='Visual SPC'!$G$4),OR('Visual SPC'!$I$4="",'Data Entry'!$E7791='Visual SPC'!$I$4),OR('Visual SPC'!$K$4="",'Data Entry'!$F7791='Visual SPC'!$K$4)),1,0))</f>
        <v/>
      </c>
      <c r="C7791">
        <f>C7790+B7791</f>
        <v/>
      </c>
      <c r="D7791">
        <f>IF(B7791=1,INDEX('Data Entry'!$H$5:$BE$10004,7791-4,'Visual SPC'!$B$3),"")</f>
        <v/>
      </c>
      <c r="E7791">
        <f>IF(B7791=1,D7791,E7790)</f>
        <v/>
      </c>
      <c r="F7791">
        <f>IF(AND(B7791=1,C7791&gt;1,E7790&lt;&gt;""),ABS(D7791-E7790),"")</f>
        <v/>
      </c>
    </row>
    <row r="7792">
      <c r="A7792" t="n">
        <v>7792</v>
      </c>
      <c r="B7792">
        <f>IF(INDEX('Data Entry'!$H$5:$BE$10004,7792-4,'Visual SPC'!$B$3)="",0,IF(AND(OR('Visual SPC'!$C$4="",'Data Entry'!$C7792&gt;='Visual SPC'!$C$4),OR('Visual SPC'!$E$4="",'Data Entry'!$C7792&lt;='Visual SPC'!$E$4),OR('Visual SPC'!$G$4="",'Data Entry'!$D7792='Visual SPC'!$G$4),OR('Visual SPC'!$I$4="",'Data Entry'!$E7792='Visual SPC'!$I$4),OR('Visual SPC'!$K$4="",'Data Entry'!$F7792='Visual SPC'!$K$4)),1,0))</f>
        <v/>
      </c>
      <c r="C7792">
        <f>C7791+B7792</f>
        <v/>
      </c>
      <c r="D7792">
        <f>IF(B7792=1,INDEX('Data Entry'!$H$5:$BE$10004,7792-4,'Visual SPC'!$B$3),"")</f>
        <v/>
      </c>
      <c r="E7792">
        <f>IF(B7792=1,D7792,E7791)</f>
        <v/>
      </c>
      <c r="F7792">
        <f>IF(AND(B7792=1,C7792&gt;1,E7791&lt;&gt;""),ABS(D7792-E7791),"")</f>
        <v/>
      </c>
    </row>
    <row r="7793">
      <c r="A7793" t="n">
        <v>7793</v>
      </c>
      <c r="B7793">
        <f>IF(INDEX('Data Entry'!$H$5:$BE$10004,7793-4,'Visual SPC'!$B$3)="",0,IF(AND(OR('Visual SPC'!$C$4="",'Data Entry'!$C7793&gt;='Visual SPC'!$C$4),OR('Visual SPC'!$E$4="",'Data Entry'!$C7793&lt;='Visual SPC'!$E$4),OR('Visual SPC'!$G$4="",'Data Entry'!$D7793='Visual SPC'!$G$4),OR('Visual SPC'!$I$4="",'Data Entry'!$E7793='Visual SPC'!$I$4),OR('Visual SPC'!$K$4="",'Data Entry'!$F7793='Visual SPC'!$K$4)),1,0))</f>
        <v/>
      </c>
      <c r="C7793">
        <f>C7792+B7793</f>
        <v/>
      </c>
      <c r="D7793">
        <f>IF(B7793=1,INDEX('Data Entry'!$H$5:$BE$10004,7793-4,'Visual SPC'!$B$3),"")</f>
        <v/>
      </c>
      <c r="E7793">
        <f>IF(B7793=1,D7793,E7792)</f>
        <v/>
      </c>
      <c r="F7793">
        <f>IF(AND(B7793=1,C7793&gt;1,E7792&lt;&gt;""),ABS(D7793-E7792),"")</f>
        <v/>
      </c>
    </row>
    <row r="7794">
      <c r="A7794" t="n">
        <v>7794</v>
      </c>
      <c r="B7794">
        <f>IF(INDEX('Data Entry'!$H$5:$BE$10004,7794-4,'Visual SPC'!$B$3)="",0,IF(AND(OR('Visual SPC'!$C$4="",'Data Entry'!$C7794&gt;='Visual SPC'!$C$4),OR('Visual SPC'!$E$4="",'Data Entry'!$C7794&lt;='Visual SPC'!$E$4),OR('Visual SPC'!$G$4="",'Data Entry'!$D7794='Visual SPC'!$G$4),OR('Visual SPC'!$I$4="",'Data Entry'!$E7794='Visual SPC'!$I$4),OR('Visual SPC'!$K$4="",'Data Entry'!$F7794='Visual SPC'!$K$4)),1,0))</f>
        <v/>
      </c>
      <c r="C7794">
        <f>C7793+B7794</f>
        <v/>
      </c>
      <c r="D7794">
        <f>IF(B7794=1,INDEX('Data Entry'!$H$5:$BE$10004,7794-4,'Visual SPC'!$B$3),"")</f>
        <v/>
      </c>
      <c r="E7794">
        <f>IF(B7794=1,D7794,E7793)</f>
        <v/>
      </c>
      <c r="F7794">
        <f>IF(AND(B7794=1,C7794&gt;1,E7793&lt;&gt;""),ABS(D7794-E7793),"")</f>
        <v/>
      </c>
    </row>
    <row r="7795">
      <c r="A7795" t="n">
        <v>7795</v>
      </c>
      <c r="B7795">
        <f>IF(INDEX('Data Entry'!$H$5:$BE$10004,7795-4,'Visual SPC'!$B$3)="",0,IF(AND(OR('Visual SPC'!$C$4="",'Data Entry'!$C7795&gt;='Visual SPC'!$C$4),OR('Visual SPC'!$E$4="",'Data Entry'!$C7795&lt;='Visual SPC'!$E$4),OR('Visual SPC'!$G$4="",'Data Entry'!$D7795='Visual SPC'!$G$4),OR('Visual SPC'!$I$4="",'Data Entry'!$E7795='Visual SPC'!$I$4),OR('Visual SPC'!$K$4="",'Data Entry'!$F7795='Visual SPC'!$K$4)),1,0))</f>
        <v/>
      </c>
      <c r="C7795">
        <f>C7794+B7795</f>
        <v/>
      </c>
      <c r="D7795">
        <f>IF(B7795=1,INDEX('Data Entry'!$H$5:$BE$10004,7795-4,'Visual SPC'!$B$3),"")</f>
        <v/>
      </c>
      <c r="E7795">
        <f>IF(B7795=1,D7795,E7794)</f>
        <v/>
      </c>
      <c r="F7795">
        <f>IF(AND(B7795=1,C7795&gt;1,E7794&lt;&gt;""),ABS(D7795-E7794),"")</f>
        <v/>
      </c>
    </row>
    <row r="7796">
      <c r="A7796" t="n">
        <v>7796</v>
      </c>
      <c r="B7796">
        <f>IF(INDEX('Data Entry'!$H$5:$BE$10004,7796-4,'Visual SPC'!$B$3)="",0,IF(AND(OR('Visual SPC'!$C$4="",'Data Entry'!$C7796&gt;='Visual SPC'!$C$4),OR('Visual SPC'!$E$4="",'Data Entry'!$C7796&lt;='Visual SPC'!$E$4),OR('Visual SPC'!$G$4="",'Data Entry'!$D7796='Visual SPC'!$G$4),OR('Visual SPC'!$I$4="",'Data Entry'!$E7796='Visual SPC'!$I$4),OR('Visual SPC'!$K$4="",'Data Entry'!$F7796='Visual SPC'!$K$4)),1,0))</f>
        <v/>
      </c>
      <c r="C7796">
        <f>C7795+B7796</f>
        <v/>
      </c>
      <c r="D7796">
        <f>IF(B7796=1,INDEX('Data Entry'!$H$5:$BE$10004,7796-4,'Visual SPC'!$B$3),"")</f>
        <v/>
      </c>
      <c r="E7796">
        <f>IF(B7796=1,D7796,E7795)</f>
        <v/>
      </c>
      <c r="F7796">
        <f>IF(AND(B7796=1,C7796&gt;1,E7795&lt;&gt;""),ABS(D7796-E7795),"")</f>
        <v/>
      </c>
    </row>
    <row r="7797">
      <c r="A7797" t="n">
        <v>7797</v>
      </c>
      <c r="B7797">
        <f>IF(INDEX('Data Entry'!$H$5:$BE$10004,7797-4,'Visual SPC'!$B$3)="",0,IF(AND(OR('Visual SPC'!$C$4="",'Data Entry'!$C7797&gt;='Visual SPC'!$C$4),OR('Visual SPC'!$E$4="",'Data Entry'!$C7797&lt;='Visual SPC'!$E$4),OR('Visual SPC'!$G$4="",'Data Entry'!$D7797='Visual SPC'!$G$4),OR('Visual SPC'!$I$4="",'Data Entry'!$E7797='Visual SPC'!$I$4),OR('Visual SPC'!$K$4="",'Data Entry'!$F7797='Visual SPC'!$K$4)),1,0))</f>
        <v/>
      </c>
      <c r="C7797">
        <f>C7796+B7797</f>
        <v/>
      </c>
      <c r="D7797">
        <f>IF(B7797=1,INDEX('Data Entry'!$H$5:$BE$10004,7797-4,'Visual SPC'!$B$3),"")</f>
        <v/>
      </c>
      <c r="E7797">
        <f>IF(B7797=1,D7797,E7796)</f>
        <v/>
      </c>
      <c r="F7797">
        <f>IF(AND(B7797=1,C7797&gt;1,E7796&lt;&gt;""),ABS(D7797-E7796),"")</f>
        <v/>
      </c>
    </row>
    <row r="7798">
      <c r="A7798" t="n">
        <v>7798</v>
      </c>
      <c r="B7798">
        <f>IF(INDEX('Data Entry'!$H$5:$BE$10004,7798-4,'Visual SPC'!$B$3)="",0,IF(AND(OR('Visual SPC'!$C$4="",'Data Entry'!$C7798&gt;='Visual SPC'!$C$4),OR('Visual SPC'!$E$4="",'Data Entry'!$C7798&lt;='Visual SPC'!$E$4),OR('Visual SPC'!$G$4="",'Data Entry'!$D7798='Visual SPC'!$G$4),OR('Visual SPC'!$I$4="",'Data Entry'!$E7798='Visual SPC'!$I$4),OR('Visual SPC'!$K$4="",'Data Entry'!$F7798='Visual SPC'!$K$4)),1,0))</f>
        <v/>
      </c>
      <c r="C7798">
        <f>C7797+B7798</f>
        <v/>
      </c>
      <c r="D7798">
        <f>IF(B7798=1,INDEX('Data Entry'!$H$5:$BE$10004,7798-4,'Visual SPC'!$B$3),"")</f>
        <v/>
      </c>
      <c r="E7798">
        <f>IF(B7798=1,D7798,E7797)</f>
        <v/>
      </c>
      <c r="F7798">
        <f>IF(AND(B7798=1,C7798&gt;1,E7797&lt;&gt;""),ABS(D7798-E7797),"")</f>
        <v/>
      </c>
    </row>
    <row r="7799">
      <c r="A7799" t="n">
        <v>7799</v>
      </c>
      <c r="B7799">
        <f>IF(INDEX('Data Entry'!$H$5:$BE$10004,7799-4,'Visual SPC'!$B$3)="",0,IF(AND(OR('Visual SPC'!$C$4="",'Data Entry'!$C7799&gt;='Visual SPC'!$C$4),OR('Visual SPC'!$E$4="",'Data Entry'!$C7799&lt;='Visual SPC'!$E$4),OR('Visual SPC'!$G$4="",'Data Entry'!$D7799='Visual SPC'!$G$4),OR('Visual SPC'!$I$4="",'Data Entry'!$E7799='Visual SPC'!$I$4),OR('Visual SPC'!$K$4="",'Data Entry'!$F7799='Visual SPC'!$K$4)),1,0))</f>
        <v/>
      </c>
      <c r="C7799">
        <f>C7798+B7799</f>
        <v/>
      </c>
      <c r="D7799">
        <f>IF(B7799=1,INDEX('Data Entry'!$H$5:$BE$10004,7799-4,'Visual SPC'!$B$3),"")</f>
        <v/>
      </c>
      <c r="E7799">
        <f>IF(B7799=1,D7799,E7798)</f>
        <v/>
      </c>
      <c r="F7799">
        <f>IF(AND(B7799=1,C7799&gt;1,E7798&lt;&gt;""),ABS(D7799-E7798),"")</f>
        <v/>
      </c>
    </row>
    <row r="7800">
      <c r="A7800" t="n">
        <v>7800</v>
      </c>
      <c r="B7800">
        <f>IF(INDEX('Data Entry'!$H$5:$BE$10004,7800-4,'Visual SPC'!$B$3)="",0,IF(AND(OR('Visual SPC'!$C$4="",'Data Entry'!$C7800&gt;='Visual SPC'!$C$4),OR('Visual SPC'!$E$4="",'Data Entry'!$C7800&lt;='Visual SPC'!$E$4),OR('Visual SPC'!$G$4="",'Data Entry'!$D7800='Visual SPC'!$G$4),OR('Visual SPC'!$I$4="",'Data Entry'!$E7800='Visual SPC'!$I$4),OR('Visual SPC'!$K$4="",'Data Entry'!$F7800='Visual SPC'!$K$4)),1,0))</f>
        <v/>
      </c>
      <c r="C7800">
        <f>C7799+B7800</f>
        <v/>
      </c>
      <c r="D7800">
        <f>IF(B7800=1,INDEX('Data Entry'!$H$5:$BE$10004,7800-4,'Visual SPC'!$B$3),"")</f>
        <v/>
      </c>
      <c r="E7800">
        <f>IF(B7800=1,D7800,E7799)</f>
        <v/>
      </c>
      <c r="F7800">
        <f>IF(AND(B7800=1,C7800&gt;1,E7799&lt;&gt;""),ABS(D7800-E7799),"")</f>
        <v/>
      </c>
    </row>
    <row r="7801">
      <c r="A7801" t="n">
        <v>7801</v>
      </c>
      <c r="B7801">
        <f>IF(INDEX('Data Entry'!$H$5:$BE$10004,7801-4,'Visual SPC'!$B$3)="",0,IF(AND(OR('Visual SPC'!$C$4="",'Data Entry'!$C7801&gt;='Visual SPC'!$C$4),OR('Visual SPC'!$E$4="",'Data Entry'!$C7801&lt;='Visual SPC'!$E$4),OR('Visual SPC'!$G$4="",'Data Entry'!$D7801='Visual SPC'!$G$4),OR('Visual SPC'!$I$4="",'Data Entry'!$E7801='Visual SPC'!$I$4),OR('Visual SPC'!$K$4="",'Data Entry'!$F7801='Visual SPC'!$K$4)),1,0))</f>
        <v/>
      </c>
      <c r="C7801">
        <f>C7800+B7801</f>
        <v/>
      </c>
      <c r="D7801">
        <f>IF(B7801=1,INDEX('Data Entry'!$H$5:$BE$10004,7801-4,'Visual SPC'!$B$3),"")</f>
        <v/>
      </c>
      <c r="E7801">
        <f>IF(B7801=1,D7801,E7800)</f>
        <v/>
      </c>
      <c r="F7801">
        <f>IF(AND(B7801=1,C7801&gt;1,E7800&lt;&gt;""),ABS(D7801-E7800),"")</f>
        <v/>
      </c>
    </row>
    <row r="7802">
      <c r="A7802" t="n">
        <v>7802</v>
      </c>
      <c r="B7802">
        <f>IF(INDEX('Data Entry'!$H$5:$BE$10004,7802-4,'Visual SPC'!$B$3)="",0,IF(AND(OR('Visual SPC'!$C$4="",'Data Entry'!$C7802&gt;='Visual SPC'!$C$4),OR('Visual SPC'!$E$4="",'Data Entry'!$C7802&lt;='Visual SPC'!$E$4),OR('Visual SPC'!$G$4="",'Data Entry'!$D7802='Visual SPC'!$G$4),OR('Visual SPC'!$I$4="",'Data Entry'!$E7802='Visual SPC'!$I$4),OR('Visual SPC'!$K$4="",'Data Entry'!$F7802='Visual SPC'!$K$4)),1,0))</f>
        <v/>
      </c>
      <c r="C7802">
        <f>C7801+B7802</f>
        <v/>
      </c>
      <c r="D7802">
        <f>IF(B7802=1,INDEX('Data Entry'!$H$5:$BE$10004,7802-4,'Visual SPC'!$B$3),"")</f>
        <v/>
      </c>
      <c r="E7802">
        <f>IF(B7802=1,D7802,E7801)</f>
        <v/>
      </c>
      <c r="F7802">
        <f>IF(AND(B7802=1,C7802&gt;1,E7801&lt;&gt;""),ABS(D7802-E7801),"")</f>
        <v/>
      </c>
    </row>
    <row r="7803">
      <c r="A7803" t="n">
        <v>7803</v>
      </c>
      <c r="B7803">
        <f>IF(INDEX('Data Entry'!$H$5:$BE$10004,7803-4,'Visual SPC'!$B$3)="",0,IF(AND(OR('Visual SPC'!$C$4="",'Data Entry'!$C7803&gt;='Visual SPC'!$C$4),OR('Visual SPC'!$E$4="",'Data Entry'!$C7803&lt;='Visual SPC'!$E$4),OR('Visual SPC'!$G$4="",'Data Entry'!$D7803='Visual SPC'!$G$4),OR('Visual SPC'!$I$4="",'Data Entry'!$E7803='Visual SPC'!$I$4),OR('Visual SPC'!$K$4="",'Data Entry'!$F7803='Visual SPC'!$K$4)),1,0))</f>
        <v/>
      </c>
      <c r="C7803">
        <f>C7802+B7803</f>
        <v/>
      </c>
      <c r="D7803">
        <f>IF(B7803=1,INDEX('Data Entry'!$H$5:$BE$10004,7803-4,'Visual SPC'!$B$3),"")</f>
        <v/>
      </c>
      <c r="E7803">
        <f>IF(B7803=1,D7803,E7802)</f>
        <v/>
      </c>
      <c r="F7803">
        <f>IF(AND(B7803=1,C7803&gt;1,E7802&lt;&gt;""),ABS(D7803-E7802),"")</f>
        <v/>
      </c>
    </row>
    <row r="7804">
      <c r="A7804" t="n">
        <v>7804</v>
      </c>
      <c r="B7804">
        <f>IF(INDEX('Data Entry'!$H$5:$BE$10004,7804-4,'Visual SPC'!$B$3)="",0,IF(AND(OR('Visual SPC'!$C$4="",'Data Entry'!$C7804&gt;='Visual SPC'!$C$4),OR('Visual SPC'!$E$4="",'Data Entry'!$C7804&lt;='Visual SPC'!$E$4),OR('Visual SPC'!$G$4="",'Data Entry'!$D7804='Visual SPC'!$G$4),OR('Visual SPC'!$I$4="",'Data Entry'!$E7804='Visual SPC'!$I$4),OR('Visual SPC'!$K$4="",'Data Entry'!$F7804='Visual SPC'!$K$4)),1,0))</f>
        <v/>
      </c>
      <c r="C7804">
        <f>C7803+B7804</f>
        <v/>
      </c>
      <c r="D7804">
        <f>IF(B7804=1,INDEX('Data Entry'!$H$5:$BE$10004,7804-4,'Visual SPC'!$B$3),"")</f>
        <v/>
      </c>
      <c r="E7804">
        <f>IF(B7804=1,D7804,E7803)</f>
        <v/>
      </c>
      <c r="F7804">
        <f>IF(AND(B7804=1,C7804&gt;1,E7803&lt;&gt;""),ABS(D7804-E7803),"")</f>
        <v/>
      </c>
    </row>
    <row r="7805">
      <c r="A7805" t="n">
        <v>7805</v>
      </c>
      <c r="B7805">
        <f>IF(INDEX('Data Entry'!$H$5:$BE$10004,7805-4,'Visual SPC'!$B$3)="",0,IF(AND(OR('Visual SPC'!$C$4="",'Data Entry'!$C7805&gt;='Visual SPC'!$C$4),OR('Visual SPC'!$E$4="",'Data Entry'!$C7805&lt;='Visual SPC'!$E$4),OR('Visual SPC'!$G$4="",'Data Entry'!$D7805='Visual SPC'!$G$4),OR('Visual SPC'!$I$4="",'Data Entry'!$E7805='Visual SPC'!$I$4),OR('Visual SPC'!$K$4="",'Data Entry'!$F7805='Visual SPC'!$K$4)),1,0))</f>
        <v/>
      </c>
      <c r="C7805">
        <f>C7804+B7805</f>
        <v/>
      </c>
      <c r="D7805">
        <f>IF(B7805=1,INDEX('Data Entry'!$H$5:$BE$10004,7805-4,'Visual SPC'!$B$3),"")</f>
        <v/>
      </c>
      <c r="E7805">
        <f>IF(B7805=1,D7805,E7804)</f>
        <v/>
      </c>
      <c r="F7805">
        <f>IF(AND(B7805=1,C7805&gt;1,E7804&lt;&gt;""),ABS(D7805-E7804),"")</f>
        <v/>
      </c>
    </row>
    <row r="7806">
      <c r="A7806" t="n">
        <v>7806</v>
      </c>
      <c r="B7806">
        <f>IF(INDEX('Data Entry'!$H$5:$BE$10004,7806-4,'Visual SPC'!$B$3)="",0,IF(AND(OR('Visual SPC'!$C$4="",'Data Entry'!$C7806&gt;='Visual SPC'!$C$4),OR('Visual SPC'!$E$4="",'Data Entry'!$C7806&lt;='Visual SPC'!$E$4),OR('Visual SPC'!$G$4="",'Data Entry'!$D7806='Visual SPC'!$G$4),OR('Visual SPC'!$I$4="",'Data Entry'!$E7806='Visual SPC'!$I$4),OR('Visual SPC'!$K$4="",'Data Entry'!$F7806='Visual SPC'!$K$4)),1,0))</f>
        <v/>
      </c>
      <c r="C7806">
        <f>C7805+B7806</f>
        <v/>
      </c>
      <c r="D7806">
        <f>IF(B7806=1,INDEX('Data Entry'!$H$5:$BE$10004,7806-4,'Visual SPC'!$B$3),"")</f>
        <v/>
      </c>
      <c r="E7806">
        <f>IF(B7806=1,D7806,E7805)</f>
        <v/>
      </c>
      <c r="F7806">
        <f>IF(AND(B7806=1,C7806&gt;1,E7805&lt;&gt;""),ABS(D7806-E7805),"")</f>
        <v/>
      </c>
    </row>
    <row r="7807">
      <c r="A7807" t="n">
        <v>7807</v>
      </c>
      <c r="B7807">
        <f>IF(INDEX('Data Entry'!$H$5:$BE$10004,7807-4,'Visual SPC'!$B$3)="",0,IF(AND(OR('Visual SPC'!$C$4="",'Data Entry'!$C7807&gt;='Visual SPC'!$C$4),OR('Visual SPC'!$E$4="",'Data Entry'!$C7807&lt;='Visual SPC'!$E$4),OR('Visual SPC'!$G$4="",'Data Entry'!$D7807='Visual SPC'!$G$4),OR('Visual SPC'!$I$4="",'Data Entry'!$E7807='Visual SPC'!$I$4),OR('Visual SPC'!$K$4="",'Data Entry'!$F7807='Visual SPC'!$K$4)),1,0))</f>
        <v/>
      </c>
      <c r="C7807">
        <f>C7806+B7807</f>
        <v/>
      </c>
      <c r="D7807">
        <f>IF(B7807=1,INDEX('Data Entry'!$H$5:$BE$10004,7807-4,'Visual SPC'!$B$3),"")</f>
        <v/>
      </c>
      <c r="E7807">
        <f>IF(B7807=1,D7807,E7806)</f>
        <v/>
      </c>
      <c r="F7807">
        <f>IF(AND(B7807=1,C7807&gt;1,E7806&lt;&gt;""),ABS(D7807-E7806),"")</f>
        <v/>
      </c>
    </row>
    <row r="7808">
      <c r="A7808" t="n">
        <v>7808</v>
      </c>
      <c r="B7808">
        <f>IF(INDEX('Data Entry'!$H$5:$BE$10004,7808-4,'Visual SPC'!$B$3)="",0,IF(AND(OR('Visual SPC'!$C$4="",'Data Entry'!$C7808&gt;='Visual SPC'!$C$4),OR('Visual SPC'!$E$4="",'Data Entry'!$C7808&lt;='Visual SPC'!$E$4),OR('Visual SPC'!$G$4="",'Data Entry'!$D7808='Visual SPC'!$G$4),OR('Visual SPC'!$I$4="",'Data Entry'!$E7808='Visual SPC'!$I$4),OR('Visual SPC'!$K$4="",'Data Entry'!$F7808='Visual SPC'!$K$4)),1,0))</f>
        <v/>
      </c>
      <c r="C7808">
        <f>C7807+B7808</f>
        <v/>
      </c>
      <c r="D7808">
        <f>IF(B7808=1,INDEX('Data Entry'!$H$5:$BE$10004,7808-4,'Visual SPC'!$B$3),"")</f>
        <v/>
      </c>
      <c r="E7808">
        <f>IF(B7808=1,D7808,E7807)</f>
        <v/>
      </c>
      <c r="F7808">
        <f>IF(AND(B7808=1,C7808&gt;1,E7807&lt;&gt;""),ABS(D7808-E7807),"")</f>
        <v/>
      </c>
    </row>
    <row r="7809">
      <c r="A7809" t="n">
        <v>7809</v>
      </c>
      <c r="B7809">
        <f>IF(INDEX('Data Entry'!$H$5:$BE$10004,7809-4,'Visual SPC'!$B$3)="",0,IF(AND(OR('Visual SPC'!$C$4="",'Data Entry'!$C7809&gt;='Visual SPC'!$C$4),OR('Visual SPC'!$E$4="",'Data Entry'!$C7809&lt;='Visual SPC'!$E$4),OR('Visual SPC'!$G$4="",'Data Entry'!$D7809='Visual SPC'!$G$4),OR('Visual SPC'!$I$4="",'Data Entry'!$E7809='Visual SPC'!$I$4),OR('Visual SPC'!$K$4="",'Data Entry'!$F7809='Visual SPC'!$K$4)),1,0))</f>
        <v/>
      </c>
      <c r="C7809">
        <f>C7808+B7809</f>
        <v/>
      </c>
      <c r="D7809">
        <f>IF(B7809=1,INDEX('Data Entry'!$H$5:$BE$10004,7809-4,'Visual SPC'!$B$3),"")</f>
        <v/>
      </c>
      <c r="E7809">
        <f>IF(B7809=1,D7809,E7808)</f>
        <v/>
      </c>
      <c r="F7809">
        <f>IF(AND(B7809=1,C7809&gt;1,E7808&lt;&gt;""),ABS(D7809-E7808),"")</f>
        <v/>
      </c>
    </row>
    <row r="7810">
      <c r="A7810" t="n">
        <v>7810</v>
      </c>
      <c r="B7810">
        <f>IF(INDEX('Data Entry'!$H$5:$BE$10004,7810-4,'Visual SPC'!$B$3)="",0,IF(AND(OR('Visual SPC'!$C$4="",'Data Entry'!$C7810&gt;='Visual SPC'!$C$4),OR('Visual SPC'!$E$4="",'Data Entry'!$C7810&lt;='Visual SPC'!$E$4),OR('Visual SPC'!$G$4="",'Data Entry'!$D7810='Visual SPC'!$G$4),OR('Visual SPC'!$I$4="",'Data Entry'!$E7810='Visual SPC'!$I$4),OR('Visual SPC'!$K$4="",'Data Entry'!$F7810='Visual SPC'!$K$4)),1,0))</f>
        <v/>
      </c>
      <c r="C7810">
        <f>C7809+B7810</f>
        <v/>
      </c>
      <c r="D7810">
        <f>IF(B7810=1,INDEX('Data Entry'!$H$5:$BE$10004,7810-4,'Visual SPC'!$B$3),"")</f>
        <v/>
      </c>
      <c r="E7810">
        <f>IF(B7810=1,D7810,E7809)</f>
        <v/>
      </c>
      <c r="F7810">
        <f>IF(AND(B7810=1,C7810&gt;1,E7809&lt;&gt;""),ABS(D7810-E7809),"")</f>
        <v/>
      </c>
    </row>
    <row r="7811">
      <c r="A7811" t="n">
        <v>7811</v>
      </c>
      <c r="B7811">
        <f>IF(INDEX('Data Entry'!$H$5:$BE$10004,7811-4,'Visual SPC'!$B$3)="",0,IF(AND(OR('Visual SPC'!$C$4="",'Data Entry'!$C7811&gt;='Visual SPC'!$C$4),OR('Visual SPC'!$E$4="",'Data Entry'!$C7811&lt;='Visual SPC'!$E$4),OR('Visual SPC'!$G$4="",'Data Entry'!$D7811='Visual SPC'!$G$4),OR('Visual SPC'!$I$4="",'Data Entry'!$E7811='Visual SPC'!$I$4),OR('Visual SPC'!$K$4="",'Data Entry'!$F7811='Visual SPC'!$K$4)),1,0))</f>
        <v/>
      </c>
      <c r="C7811">
        <f>C7810+B7811</f>
        <v/>
      </c>
      <c r="D7811">
        <f>IF(B7811=1,INDEX('Data Entry'!$H$5:$BE$10004,7811-4,'Visual SPC'!$B$3),"")</f>
        <v/>
      </c>
      <c r="E7811">
        <f>IF(B7811=1,D7811,E7810)</f>
        <v/>
      </c>
      <c r="F7811">
        <f>IF(AND(B7811=1,C7811&gt;1,E7810&lt;&gt;""),ABS(D7811-E7810),"")</f>
        <v/>
      </c>
    </row>
    <row r="7812">
      <c r="A7812" t="n">
        <v>7812</v>
      </c>
      <c r="B7812">
        <f>IF(INDEX('Data Entry'!$H$5:$BE$10004,7812-4,'Visual SPC'!$B$3)="",0,IF(AND(OR('Visual SPC'!$C$4="",'Data Entry'!$C7812&gt;='Visual SPC'!$C$4),OR('Visual SPC'!$E$4="",'Data Entry'!$C7812&lt;='Visual SPC'!$E$4),OR('Visual SPC'!$G$4="",'Data Entry'!$D7812='Visual SPC'!$G$4),OR('Visual SPC'!$I$4="",'Data Entry'!$E7812='Visual SPC'!$I$4),OR('Visual SPC'!$K$4="",'Data Entry'!$F7812='Visual SPC'!$K$4)),1,0))</f>
        <v/>
      </c>
      <c r="C7812">
        <f>C7811+B7812</f>
        <v/>
      </c>
      <c r="D7812">
        <f>IF(B7812=1,INDEX('Data Entry'!$H$5:$BE$10004,7812-4,'Visual SPC'!$B$3),"")</f>
        <v/>
      </c>
      <c r="E7812">
        <f>IF(B7812=1,D7812,E7811)</f>
        <v/>
      </c>
      <c r="F7812">
        <f>IF(AND(B7812=1,C7812&gt;1,E7811&lt;&gt;""),ABS(D7812-E7811),"")</f>
        <v/>
      </c>
    </row>
    <row r="7813">
      <c r="A7813" t="n">
        <v>7813</v>
      </c>
      <c r="B7813">
        <f>IF(INDEX('Data Entry'!$H$5:$BE$10004,7813-4,'Visual SPC'!$B$3)="",0,IF(AND(OR('Visual SPC'!$C$4="",'Data Entry'!$C7813&gt;='Visual SPC'!$C$4),OR('Visual SPC'!$E$4="",'Data Entry'!$C7813&lt;='Visual SPC'!$E$4),OR('Visual SPC'!$G$4="",'Data Entry'!$D7813='Visual SPC'!$G$4),OR('Visual SPC'!$I$4="",'Data Entry'!$E7813='Visual SPC'!$I$4),OR('Visual SPC'!$K$4="",'Data Entry'!$F7813='Visual SPC'!$K$4)),1,0))</f>
        <v/>
      </c>
      <c r="C7813">
        <f>C7812+B7813</f>
        <v/>
      </c>
      <c r="D7813">
        <f>IF(B7813=1,INDEX('Data Entry'!$H$5:$BE$10004,7813-4,'Visual SPC'!$B$3),"")</f>
        <v/>
      </c>
      <c r="E7813">
        <f>IF(B7813=1,D7813,E7812)</f>
        <v/>
      </c>
      <c r="F7813">
        <f>IF(AND(B7813=1,C7813&gt;1,E7812&lt;&gt;""),ABS(D7813-E7812),"")</f>
        <v/>
      </c>
    </row>
    <row r="7814">
      <c r="A7814" t="n">
        <v>7814</v>
      </c>
      <c r="B7814">
        <f>IF(INDEX('Data Entry'!$H$5:$BE$10004,7814-4,'Visual SPC'!$B$3)="",0,IF(AND(OR('Visual SPC'!$C$4="",'Data Entry'!$C7814&gt;='Visual SPC'!$C$4),OR('Visual SPC'!$E$4="",'Data Entry'!$C7814&lt;='Visual SPC'!$E$4),OR('Visual SPC'!$G$4="",'Data Entry'!$D7814='Visual SPC'!$G$4),OR('Visual SPC'!$I$4="",'Data Entry'!$E7814='Visual SPC'!$I$4),OR('Visual SPC'!$K$4="",'Data Entry'!$F7814='Visual SPC'!$K$4)),1,0))</f>
        <v/>
      </c>
      <c r="C7814">
        <f>C7813+B7814</f>
        <v/>
      </c>
      <c r="D7814">
        <f>IF(B7814=1,INDEX('Data Entry'!$H$5:$BE$10004,7814-4,'Visual SPC'!$B$3),"")</f>
        <v/>
      </c>
      <c r="E7814">
        <f>IF(B7814=1,D7814,E7813)</f>
        <v/>
      </c>
      <c r="F7814">
        <f>IF(AND(B7814=1,C7814&gt;1,E7813&lt;&gt;""),ABS(D7814-E7813),"")</f>
        <v/>
      </c>
    </row>
    <row r="7815">
      <c r="A7815" t="n">
        <v>7815</v>
      </c>
      <c r="B7815">
        <f>IF(INDEX('Data Entry'!$H$5:$BE$10004,7815-4,'Visual SPC'!$B$3)="",0,IF(AND(OR('Visual SPC'!$C$4="",'Data Entry'!$C7815&gt;='Visual SPC'!$C$4),OR('Visual SPC'!$E$4="",'Data Entry'!$C7815&lt;='Visual SPC'!$E$4),OR('Visual SPC'!$G$4="",'Data Entry'!$D7815='Visual SPC'!$G$4),OR('Visual SPC'!$I$4="",'Data Entry'!$E7815='Visual SPC'!$I$4),OR('Visual SPC'!$K$4="",'Data Entry'!$F7815='Visual SPC'!$K$4)),1,0))</f>
        <v/>
      </c>
      <c r="C7815">
        <f>C7814+B7815</f>
        <v/>
      </c>
      <c r="D7815">
        <f>IF(B7815=1,INDEX('Data Entry'!$H$5:$BE$10004,7815-4,'Visual SPC'!$B$3),"")</f>
        <v/>
      </c>
      <c r="E7815">
        <f>IF(B7815=1,D7815,E7814)</f>
        <v/>
      </c>
      <c r="F7815">
        <f>IF(AND(B7815=1,C7815&gt;1,E7814&lt;&gt;""),ABS(D7815-E7814),"")</f>
        <v/>
      </c>
    </row>
    <row r="7816">
      <c r="A7816" t="n">
        <v>7816</v>
      </c>
      <c r="B7816">
        <f>IF(INDEX('Data Entry'!$H$5:$BE$10004,7816-4,'Visual SPC'!$B$3)="",0,IF(AND(OR('Visual SPC'!$C$4="",'Data Entry'!$C7816&gt;='Visual SPC'!$C$4),OR('Visual SPC'!$E$4="",'Data Entry'!$C7816&lt;='Visual SPC'!$E$4),OR('Visual SPC'!$G$4="",'Data Entry'!$D7816='Visual SPC'!$G$4),OR('Visual SPC'!$I$4="",'Data Entry'!$E7816='Visual SPC'!$I$4),OR('Visual SPC'!$K$4="",'Data Entry'!$F7816='Visual SPC'!$K$4)),1,0))</f>
        <v/>
      </c>
      <c r="C7816">
        <f>C7815+B7816</f>
        <v/>
      </c>
      <c r="D7816">
        <f>IF(B7816=1,INDEX('Data Entry'!$H$5:$BE$10004,7816-4,'Visual SPC'!$B$3),"")</f>
        <v/>
      </c>
      <c r="E7816">
        <f>IF(B7816=1,D7816,E7815)</f>
        <v/>
      </c>
      <c r="F7816">
        <f>IF(AND(B7816=1,C7816&gt;1,E7815&lt;&gt;""),ABS(D7816-E7815),"")</f>
        <v/>
      </c>
    </row>
    <row r="7817">
      <c r="A7817" t="n">
        <v>7817</v>
      </c>
      <c r="B7817">
        <f>IF(INDEX('Data Entry'!$H$5:$BE$10004,7817-4,'Visual SPC'!$B$3)="",0,IF(AND(OR('Visual SPC'!$C$4="",'Data Entry'!$C7817&gt;='Visual SPC'!$C$4),OR('Visual SPC'!$E$4="",'Data Entry'!$C7817&lt;='Visual SPC'!$E$4),OR('Visual SPC'!$G$4="",'Data Entry'!$D7817='Visual SPC'!$G$4),OR('Visual SPC'!$I$4="",'Data Entry'!$E7817='Visual SPC'!$I$4),OR('Visual SPC'!$K$4="",'Data Entry'!$F7817='Visual SPC'!$K$4)),1,0))</f>
        <v/>
      </c>
      <c r="C7817">
        <f>C7816+B7817</f>
        <v/>
      </c>
      <c r="D7817">
        <f>IF(B7817=1,INDEX('Data Entry'!$H$5:$BE$10004,7817-4,'Visual SPC'!$B$3),"")</f>
        <v/>
      </c>
      <c r="E7817">
        <f>IF(B7817=1,D7817,E7816)</f>
        <v/>
      </c>
      <c r="F7817">
        <f>IF(AND(B7817=1,C7817&gt;1,E7816&lt;&gt;""),ABS(D7817-E7816),"")</f>
        <v/>
      </c>
    </row>
    <row r="7818">
      <c r="A7818" t="n">
        <v>7818</v>
      </c>
      <c r="B7818">
        <f>IF(INDEX('Data Entry'!$H$5:$BE$10004,7818-4,'Visual SPC'!$B$3)="",0,IF(AND(OR('Visual SPC'!$C$4="",'Data Entry'!$C7818&gt;='Visual SPC'!$C$4),OR('Visual SPC'!$E$4="",'Data Entry'!$C7818&lt;='Visual SPC'!$E$4),OR('Visual SPC'!$G$4="",'Data Entry'!$D7818='Visual SPC'!$G$4),OR('Visual SPC'!$I$4="",'Data Entry'!$E7818='Visual SPC'!$I$4),OR('Visual SPC'!$K$4="",'Data Entry'!$F7818='Visual SPC'!$K$4)),1,0))</f>
        <v/>
      </c>
      <c r="C7818">
        <f>C7817+B7818</f>
        <v/>
      </c>
      <c r="D7818">
        <f>IF(B7818=1,INDEX('Data Entry'!$H$5:$BE$10004,7818-4,'Visual SPC'!$B$3),"")</f>
        <v/>
      </c>
      <c r="E7818">
        <f>IF(B7818=1,D7818,E7817)</f>
        <v/>
      </c>
      <c r="F7818">
        <f>IF(AND(B7818=1,C7818&gt;1,E7817&lt;&gt;""),ABS(D7818-E7817),"")</f>
        <v/>
      </c>
    </row>
    <row r="7819">
      <c r="A7819" t="n">
        <v>7819</v>
      </c>
      <c r="B7819">
        <f>IF(INDEX('Data Entry'!$H$5:$BE$10004,7819-4,'Visual SPC'!$B$3)="",0,IF(AND(OR('Visual SPC'!$C$4="",'Data Entry'!$C7819&gt;='Visual SPC'!$C$4),OR('Visual SPC'!$E$4="",'Data Entry'!$C7819&lt;='Visual SPC'!$E$4),OR('Visual SPC'!$G$4="",'Data Entry'!$D7819='Visual SPC'!$G$4),OR('Visual SPC'!$I$4="",'Data Entry'!$E7819='Visual SPC'!$I$4),OR('Visual SPC'!$K$4="",'Data Entry'!$F7819='Visual SPC'!$K$4)),1,0))</f>
        <v/>
      </c>
      <c r="C7819">
        <f>C7818+B7819</f>
        <v/>
      </c>
      <c r="D7819">
        <f>IF(B7819=1,INDEX('Data Entry'!$H$5:$BE$10004,7819-4,'Visual SPC'!$B$3),"")</f>
        <v/>
      </c>
      <c r="E7819">
        <f>IF(B7819=1,D7819,E7818)</f>
        <v/>
      </c>
      <c r="F7819">
        <f>IF(AND(B7819=1,C7819&gt;1,E7818&lt;&gt;""),ABS(D7819-E7818),"")</f>
        <v/>
      </c>
    </row>
    <row r="7820">
      <c r="A7820" t="n">
        <v>7820</v>
      </c>
      <c r="B7820">
        <f>IF(INDEX('Data Entry'!$H$5:$BE$10004,7820-4,'Visual SPC'!$B$3)="",0,IF(AND(OR('Visual SPC'!$C$4="",'Data Entry'!$C7820&gt;='Visual SPC'!$C$4),OR('Visual SPC'!$E$4="",'Data Entry'!$C7820&lt;='Visual SPC'!$E$4),OR('Visual SPC'!$G$4="",'Data Entry'!$D7820='Visual SPC'!$G$4),OR('Visual SPC'!$I$4="",'Data Entry'!$E7820='Visual SPC'!$I$4),OR('Visual SPC'!$K$4="",'Data Entry'!$F7820='Visual SPC'!$K$4)),1,0))</f>
        <v/>
      </c>
      <c r="C7820">
        <f>C7819+B7820</f>
        <v/>
      </c>
      <c r="D7820">
        <f>IF(B7820=1,INDEX('Data Entry'!$H$5:$BE$10004,7820-4,'Visual SPC'!$B$3),"")</f>
        <v/>
      </c>
      <c r="E7820">
        <f>IF(B7820=1,D7820,E7819)</f>
        <v/>
      </c>
      <c r="F7820">
        <f>IF(AND(B7820=1,C7820&gt;1,E7819&lt;&gt;""),ABS(D7820-E7819),"")</f>
        <v/>
      </c>
    </row>
    <row r="7821">
      <c r="A7821" t="n">
        <v>7821</v>
      </c>
      <c r="B7821">
        <f>IF(INDEX('Data Entry'!$H$5:$BE$10004,7821-4,'Visual SPC'!$B$3)="",0,IF(AND(OR('Visual SPC'!$C$4="",'Data Entry'!$C7821&gt;='Visual SPC'!$C$4),OR('Visual SPC'!$E$4="",'Data Entry'!$C7821&lt;='Visual SPC'!$E$4),OR('Visual SPC'!$G$4="",'Data Entry'!$D7821='Visual SPC'!$G$4),OR('Visual SPC'!$I$4="",'Data Entry'!$E7821='Visual SPC'!$I$4),OR('Visual SPC'!$K$4="",'Data Entry'!$F7821='Visual SPC'!$K$4)),1,0))</f>
        <v/>
      </c>
      <c r="C7821">
        <f>C7820+B7821</f>
        <v/>
      </c>
      <c r="D7821">
        <f>IF(B7821=1,INDEX('Data Entry'!$H$5:$BE$10004,7821-4,'Visual SPC'!$B$3),"")</f>
        <v/>
      </c>
      <c r="E7821">
        <f>IF(B7821=1,D7821,E7820)</f>
        <v/>
      </c>
      <c r="F7821">
        <f>IF(AND(B7821=1,C7821&gt;1,E7820&lt;&gt;""),ABS(D7821-E7820),"")</f>
        <v/>
      </c>
    </row>
    <row r="7822">
      <c r="A7822" t="n">
        <v>7822</v>
      </c>
      <c r="B7822">
        <f>IF(INDEX('Data Entry'!$H$5:$BE$10004,7822-4,'Visual SPC'!$B$3)="",0,IF(AND(OR('Visual SPC'!$C$4="",'Data Entry'!$C7822&gt;='Visual SPC'!$C$4),OR('Visual SPC'!$E$4="",'Data Entry'!$C7822&lt;='Visual SPC'!$E$4),OR('Visual SPC'!$G$4="",'Data Entry'!$D7822='Visual SPC'!$G$4),OR('Visual SPC'!$I$4="",'Data Entry'!$E7822='Visual SPC'!$I$4),OR('Visual SPC'!$K$4="",'Data Entry'!$F7822='Visual SPC'!$K$4)),1,0))</f>
        <v/>
      </c>
      <c r="C7822">
        <f>C7821+B7822</f>
        <v/>
      </c>
      <c r="D7822">
        <f>IF(B7822=1,INDEX('Data Entry'!$H$5:$BE$10004,7822-4,'Visual SPC'!$B$3),"")</f>
        <v/>
      </c>
      <c r="E7822">
        <f>IF(B7822=1,D7822,E7821)</f>
        <v/>
      </c>
      <c r="F7822">
        <f>IF(AND(B7822=1,C7822&gt;1,E7821&lt;&gt;""),ABS(D7822-E7821),"")</f>
        <v/>
      </c>
    </row>
    <row r="7823">
      <c r="A7823" t="n">
        <v>7823</v>
      </c>
      <c r="B7823">
        <f>IF(INDEX('Data Entry'!$H$5:$BE$10004,7823-4,'Visual SPC'!$B$3)="",0,IF(AND(OR('Visual SPC'!$C$4="",'Data Entry'!$C7823&gt;='Visual SPC'!$C$4),OR('Visual SPC'!$E$4="",'Data Entry'!$C7823&lt;='Visual SPC'!$E$4),OR('Visual SPC'!$G$4="",'Data Entry'!$D7823='Visual SPC'!$G$4),OR('Visual SPC'!$I$4="",'Data Entry'!$E7823='Visual SPC'!$I$4),OR('Visual SPC'!$K$4="",'Data Entry'!$F7823='Visual SPC'!$K$4)),1,0))</f>
        <v/>
      </c>
      <c r="C7823">
        <f>C7822+B7823</f>
        <v/>
      </c>
      <c r="D7823">
        <f>IF(B7823=1,INDEX('Data Entry'!$H$5:$BE$10004,7823-4,'Visual SPC'!$B$3),"")</f>
        <v/>
      </c>
      <c r="E7823">
        <f>IF(B7823=1,D7823,E7822)</f>
        <v/>
      </c>
      <c r="F7823">
        <f>IF(AND(B7823=1,C7823&gt;1,E7822&lt;&gt;""),ABS(D7823-E7822),"")</f>
        <v/>
      </c>
    </row>
    <row r="7824">
      <c r="A7824" t="n">
        <v>7824</v>
      </c>
      <c r="B7824">
        <f>IF(INDEX('Data Entry'!$H$5:$BE$10004,7824-4,'Visual SPC'!$B$3)="",0,IF(AND(OR('Visual SPC'!$C$4="",'Data Entry'!$C7824&gt;='Visual SPC'!$C$4),OR('Visual SPC'!$E$4="",'Data Entry'!$C7824&lt;='Visual SPC'!$E$4),OR('Visual SPC'!$G$4="",'Data Entry'!$D7824='Visual SPC'!$G$4),OR('Visual SPC'!$I$4="",'Data Entry'!$E7824='Visual SPC'!$I$4),OR('Visual SPC'!$K$4="",'Data Entry'!$F7824='Visual SPC'!$K$4)),1,0))</f>
        <v/>
      </c>
      <c r="C7824">
        <f>C7823+B7824</f>
        <v/>
      </c>
      <c r="D7824">
        <f>IF(B7824=1,INDEX('Data Entry'!$H$5:$BE$10004,7824-4,'Visual SPC'!$B$3),"")</f>
        <v/>
      </c>
      <c r="E7824">
        <f>IF(B7824=1,D7824,E7823)</f>
        <v/>
      </c>
      <c r="F7824">
        <f>IF(AND(B7824=1,C7824&gt;1,E7823&lt;&gt;""),ABS(D7824-E7823),"")</f>
        <v/>
      </c>
    </row>
    <row r="7825">
      <c r="A7825" t="n">
        <v>7825</v>
      </c>
      <c r="B7825">
        <f>IF(INDEX('Data Entry'!$H$5:$BE$10004,7825-4,'Visual SPC'!$B$3)="",0,IF(AND(OR('Visual SPC'!$C$4="",'Data Entry'!$C7825&gt;='Visual SPC'!$C$4),OR('Visual SPC'!$E$4="",'Data Entry'!$C7825&lt;='Visual SPC'!$E$4),OR('Visual SPC'!$G$4="",'Data Entry'!$D7825='Visual SPC'!$G$4),OR('Visual SPC'!$I$4="",'Data Entry'!$E7825='Visual SPC'!$I$4),OR('Visual SPC'!$K$4="",'Data Entry'!$F7825='Visual SPC'!$K$4)),1,0))</f>
        <v/>
      </c>
      <c r="C7825">
        <f>C7824+B7825</f>
        <v/>
      </c>
      <c r="D7825">
        <f>IF(B7825=1,INDEX('Data Entry'!$H$5:$BE$10004,7825-4,'Visual SPC'!$B$3),"")</f>
        <v/>
      </c>
      <c r="E7825">
        <f>IF(B7825=1,D7825,E7824)</f>
        <v/>
      </c>
      <c r="F7825">
        <f>IF(AND(B7825=1,C7825&gt;1,E7824&lt;&gt;""),ABS(D7825-E7824),"")</f>
        <v/>
      </c>
    </row>
    <row r="7826">
      <c r="A7826" t="n">
        <v>7826</v>
      </c>
      <c r="B7826">
        <f>IF(INDEX('Data Entry'!$H$5:$BE$10004,7826-4,'Visual SPC'!$B$3)="",0,IF(AND(OR('Visual SPC'!$C$4="",'Data Entry'!$C7826&gt;='Visual SPC'!$C$4),OR('Visual SPC'!$E$4="",'Data Entry'!$C7826&lt;='Visual SPC'!$E$4),OR('Visual SPC'!$G$4="",'Data Entry'!$D7826='Visual SPC'!$G$4),OR('Visual SPC'!$I$4="",'Data Entry'!$E7826='Visual SPC'!$I$4),OR('Visual SPC'!$K$4="",'Data Entry'!$F7826='Visual SPC'!$K$4)),1,0))</f>
        <v/>
      </c>
      <c r="C7826">
        <f>C7825+B7826</f>
        <v/>
      </c>
      <c r="D7826">
        <f>IF(B7826=1,INDEX('Data Entry'!$H$5:$BE$10004,7826-4,'Visual SPC'!$B$3),"")</f>
        <v/>
      </c>
      <c r="E7826">
        <f>IF(B7826=1,D7826,E7825)</f>
        <v/>
      </c>
      <c r="F7826">
        <f>IF(AND(B7826=1,C7826&gt;1,E7825&lt;&gt;""),ABS(D7826-E7825),"")</f>
        <v/>
      </c>
    </row>
    <row r="7827">
      <c r="A7827" t="n">
        <v>7827</v>
      </c>
      <c r="B7827">
        <f>IF(INDEX('Data Entry'!$H$5:$BE$10004,7827-4,'Visual SPC'!$B$3)="",0,IF(AND(OR('Visual SPC'!$C$4="",'Data Entry'!$C7827&gt;='Visual SPC'!$C$4),OR('Visual SPC'!$E$4="",'Data Entry'!$C7827&lt;='Visual SPC'!$E$4),OR('Visual SPC'!$G$4="",'Data Entry'!$D7827='Visual SPC'!$G$4),OR('Visual SPC'!$I$4="",'Data Entry'!$E7827='Visual SPC'!$I$4),OR('Visual SPC'!$K$4="",'Data Entry'!$F7827='Visual SPC'!$K$4)),1,0))</f>
        <v/>
      </c>
      <c r="C7827">
        <f>C7826+B7827</f>
        <v/>
      </c>
      <c r="D7827">
        <f>IF(B7827=1,INDEX('Data Entry'!$H$5:$BE$10004,7827-4,'Visual SPC'!$B$3),"")</f>
        <v/>
      </c>
      <c r="E7827">
        <f>IF(B7827=1,D7827,E7826)</f>
        <v/>
      </c>
      <c r="F7827">
        <f>IF(AND(B7827=1,C7827&gt;1,E7826&lt;&gt;""),ABS(D7827-E7826),"")</f>
        <v/>
      </c>
    </row>
    <row r="7828">
      <c r="A7828" t="n">
        <v>7828</v>
      </c>
      <c r="B7828">
        <f>IF(INDEX('Data Entry'!$H$5:$BE$10004,7828-4,'Visual SPC'!$B$3)="",0,IF(AND(OR('Visual SPC'!$C$4="",'Data Entry'!$C7828&gt;='Visual SPC'!$C$4),OR('Visual SPC'!$E$4="",'Data Entry'!$C7828&lt;='Visual SPC'!$E$4),OR('Visual SPC'!$G$4="",'Data Entry'!$D7828='Visual SPC'!$G$4),OR('Visual SPC'!$I$4="",'Data Entry'!$E7828='Visual SPC'!$I$4),OR('Visual SPC'!$K$4="",'Data Entry'!$F7828='Visual SPC'!$K$4)),1,0))</f>
        <v/>
      </c>
      <c r="C7828">
        <f>C7827+B7828</f>
        <v/>
      </c>
      <c r="D7828">
        <f>IF(B7828=1,INDEX('Data Entry'!$H$5:$BE$10004,7828-4,'Visual SPC'!$B$3),"")</f>
        <v/>
      </c>
      <c r="E7828">
        <f>IF(B7828=1,D7828,E7827)</f>
        <v/>
      </c>
      <c r="F7828">
        <f>IF(AND(B7828=1,C7828&gt;1,E7827&lt;&gt;""),ABS(D7828-E7827),"")</f>
        <v/>
      </c>
    </row>
    <row r="7829">
      <c r="A7829" t="n">
        <v>7829</v>
      </c>
      <c r="B7829">
        <f>IF(INDEX('Data Entry'!$H$5:$BE$10004,7829-4,'Visual SPC'!$B$3)="",0,IF(AND(OR('Visual SPC'!$C$4="",'Data Entry'!$C7829&gt;='Visual SPC'!$C$4),OR('Visual SPC'!$E$4="",'Data Entry'!$C7829&lt;='Visual SPC'!$E$4),OR('Visual SPC'!$G$4="",'Data Entry'!$D7829='Visual SPC'!$G$4),OR('Visual SPC'!$I$4="",'Data Entry'!$E7829='Visual SPC'!$I$4),OR('Visual SPC'!$K$4="",'Data Entry'!$F7829='Visual SPC'!$K$4)),1,0))</f>
        <v/>
      </c>
      <c r="C7829">
        <f>C7828+B7829</f>
        <v/>
      </c>
      <c r="D7829">
        <f>IF(B7829=1,INDEX('Data Entry'!$H$5:$BE$10004,7829-4,'Visual SPC'!$B$3),"")</f>
        <v/>
      </c>
      <c r="E7829">
        <f>IF(B7829=1,D7829,E7828)</f>
        <v/>
      </c>
      <c r="F7829">
        <f>IF(AND(B7829=1,C7829&gt;1,E7828&lt;&gt;""),ABS(D7829-E7828),"")</f>
        <v/>
      </c>
    </row>
    <row r="7830">
      <c r="A7830" t="n">
        <v>7830</v>
      </c>
      <c r="B7830">
        <f>IF(INDEX('Data Entry'!$H$5:$BE$10004,7830-4,'Visual SPC'!$B$3)="",0,IF(AND(OR('Visual SPC'!$C$4="",'Data Entry'!$C7830&gt;='Visual SPC'!$C$4),OR('Visual SPC'!$E$4="",'Data Entry'!$C7830&lt;='Visual SPC'!$E$4),OR('Visual SPC'!$G$4="",'Data Entry'!$D7830='Visual SPC'!$G$4),OR('Visual SPC'!$I$4="",'Data Entry'!$E7830='Visual SPC'!$I$4),OR('Visual SPC'!$K$4="",'Data Entry'!$F7830='Visual SPC'!$K$4)),1,0))</f>
        <v/>
      </c>
      <c r="C7830">
        <f>C7829+B7830</f>
        <v/>
      </c>
      <c r="D7830">
        <f>IF(B7830=1,INDEX('Data Entry'!$H$5:$BE$10004,7830-4,'Visual SPC'!$B$3),"")</f>
        <v/>
      </c>
      <c r="E7830">
        <f>IF(B7830=1,D7830,E7829)</f>
        <v/>
      </c>
      <c r="F7830">
        <f>IF(AND(B7830=1,C7830&gt;1,E7829&lt;&gt;""),ABS(D7830-E7829),"")</f>
        <v/>
      </c>
    </row>
    <row r="7831">
      <c r="A7831" t="n">
        <v>7831</v>
      </c>
      <c r="B7831">
        <f>IF(INDEX('Data Entry'!$H$5:$BE$10004,7831-4,'Visual SPC'!$B$3)="",0,IF(AND(OR('Visual SPC'!$C$4="",'Data Entry'!$C7831&gt;='Visual SPC'!$C$4),OR('Visual SPC'!$E$4="",'Data Entry'!$C7831&lt;='Visual SPC'!$E$4),OR('Visual SPC'!$G$4="",'Data Entry'!$D7831='Visual SPC'!$G$4),OR('Visual SPC'!$I$4="",'Data Entry'!$E7831='Visual SPC'!$I$4),OR('Visual SPC'!$K$4="",'Data Entry'!$F7831='Visual SPC'!$K$4)),1,0))</f>
        <v/>
      </c>
      <c r="C7831">
        <f>C7830+B7831</f>
        <v/>
      </c>
      <c r="D7831">
        <f>IF(B7831=1,INDEX('Data Entry'!$H$5:$BE$10004,7831-4,'Visual SPC'!$B$3),"")</f>
        <v/>
      </c>
      <c r="E7831">
        <f>IF(B7831=1,D7831,E7830)</f>
        <v/>
      </c>
      <c r="F7831">
        <f>IF(AND(B7831=1,C7831&gt;1,E7830&lt;&gt;""),ABS(D7831-E7830),"")</f>
        <v/>
      </c>
    </row>
    <row r="7832">
      <c r="A7832" t="n">
        <v>7832</v>
      </c>
      <c r="B7832">
        <f>IF(INDEX('Data Entry'!$H$5:$BE$10004,7832-4,'Visual SPC'!$B$3)="",0,IF(AND(OR('Visual SPC'!$C$4="",'Data Entry'!$C7832&gt;='Visual SPC'!$C$4),OR('Visual SPC'!$E$4="",'Data Entry'!$C7832&lt;='Visual SPC'!$E$4),OR('Visual SPC'!$G$4="",'Data Entry'!$D7832='Visual SPC'!$G$4),OR('Visual SPC'!$I$4="",'Data Entry'!$E7832='Visual SPC'!$I$4),OR('Visual SPC'!$K$4="",'Data Entry'!$F7832='Visual SPC'!$K$4)),1,0))</f>
        <v/>
      </c>
      <c r="C7832">
        <f>C7831+B7832</f>
        <v/>
      </c>
      <c r="D7832">
        <f>IF(B7832=1,INDEX('Data Entry'!$H$5:$BE$10004,7832-4,'Visual SPC'!$B$3),"")</f>
        <v/>
      </c>
      <c r="E7832">
        <f>IF(B7832=1,D7832,E7831)</f>
        <v/>
      </c>
      <c r="F7832">
        <f>IF(AND(B7832=1,C7832&gt;1,E7831&lt;&gt;""),ABS(D7832-E7831),"")</f>
        <v/>
      </c>
    </row>
    <row r="7833">
      <c r="A7833" t="n">
        <v>7833</v>
      </c>
      <c r="B7833">
        <f>IF(INDEX('Data Entry'!$H$5:$BE$10004,7833-4,'Visual SPC'!$B$3)="",0,IF(AND(OR('Visual SPC'!$C$4="",'Data Entry'!$C7833&gt;='Visual SPC'!$C$4),OR('Visual SPC'!$E$4="",'Data Entry'!$C7833&lt;='Visual SPC'!$E$4),OR('Visual SPC'!$G$4="",'Data Entry'!$D7833='Visual SPC'!$G$4),OR('Visual SPC'!$I$4="",'Data Entry'!$E7833='Visual SPC'!$I$4),OR('Visual SPC'!$K$4="",'Data Entry'!$F7833='Visual SPC'!$K$4)),1,0))</f>
        <v/>
      </c>
      <c r="C7833">
        <f>C7832+B7833</f>
        <v/>
      </c>
      <c r="D7833">
        <f>IF(B7833=1,INDEX('Data Entry'!$H$5:$BE$10004,7833-4,'Visual SPC'!$B$3),"")</f>
        <v/>
      </c>
      <c r="E7833">
        <f>IF(B7833=1,D7833,E7832)</f>
        <v/>
      </c>
      <c r="F7833">
        <f>IF(AND(B7833=1,C7833&gt;1,E7832&lt;&gt;""),ABS(D7833-E7832),"")</f>
        <v/>
      </c>
    </row>
    <row r="7834">
      <c r="A7834" t="n">
        <v>7834</v>
      </c>
      <c r="B7834">
        <f>IF(INDEX('Data Entry'!$H$5:$BE$10004,7834-4,'Visual SPC'!$B$3)="",0,IF(AND(OR('Visual SPC'!$C$4="",'Data Entry'!$C7834&gt;='Visual SPC'!$C$4),OR('Visual SPC'!$E$4="",'Data Entry'!$C7834&lt;='Visual SPC'!$E$4),OR('Visual SPC'!$G$4="",'Data Entry'!$D7834='Visual SPC'!$G$4),OR('Visual SPC'!$I$4="",'Data Entry'!$E7834='Visual SPC'!$I$4),OR('Visual SPC'!$K$4="",'Data Entry'!$F7834='Visual SPC'!$K$4)),1,0))</f>
        <v/>
      </c>
      <c r="C7834">
        <f>C7833+B7834</f>
        <v/>
      </c>
      <c r="D7834">
        <f>IF(B7834=1,INDEX('Data Entry'!$H$5:$BE$10004,7834-4,'Visual SPC'!$B$3),"")</f>
        <v/>
      </c>
      <c r="E7834">
        <f>IF(B7834=1,D7834,E7833)</f>
        <v/>
      </c>
      <c r="F7834">
        <f>IF(AND(B7834=1,C7834&gt;1,E7833&lt;&gt;""),ABS(D7834-E7833),"")</f>
        <v/>
      </c>
    </row>
    <row r="7835">
      <c r="A7835" t="n">
        <v>7835</v>
      </c>
      <c r="B7835">
        <f>IF(INDEX('Data Entry'!$H$5:$BE$10004,7835-4,'Visual SPC'!$B$3)="",0,IF(AND(OR('Visual SPC'!$C$4="",'Data Entry'!$C7835&gt;='Visual SPC'!$C$4),OR('Visual SPC'!$E$4="",'Data Entry'!$C7835&lt;='Visual SPC'!$E$4),OR('Visual SPC'!$G$4="",'Data Entry'!$D7835='Visual SPC'!$G$4),OR('Visual SPC'!$I$4="",'Data Entry'!$E7835='Visual SPC'!$I$4),OR('Visual SPC'!$K$4="",'Data Entry'!$F7835='Visual SPC'!$K$4)),1,0))</f>
        <v/>
      </c>
      <c r="C7835">
        <f>C7834+B7835</f>
        <v/>
      </c>
      <c r="D7835">
        <f>IF(B7835=1,INDEX('Data Entry'!$H$5:$BE$10004,7835-4,'Visual SPC'!$B$3),"")</f>
        <v/>
      </c>
      <c r="E7835">
        <f>IF(B7835=1,D7835,E7834)</f>
        <v/>
      </c>
      <c r="F7835">
        <f>IF(AND(B7835=1,C7835&gt;1,E7834&lt;&gt;""),ABS(D7835-E7834),"")</f>
        <v/>
      </c>
    </row>
    <row r="7836">
      <c r="A7836" t="n">
        <v>7836</v>
      </c>
      <c r="B7836">
        <f>IF(INDEX('Data Entry'!$H$5:$BE$10004,7836-4,'Visual SPC'!$B$3)="",0,IF(AND(OR('Visual SPC'!$C$4="",'Data Entry'!$C7836&gt;='Visual SPC'!$C$4),OR('Visual SPC'!$E$4="",'Data Entry'!$C7836&lt;='Visual SPC'!$E$4),OR('Visual SPC'!$G$4="",'Data Entry'!$D7836='Visual SPC'!$G$4),OR('Visual SPC'!$I$4="",'Data Entry'!$E7836='Visual SPC'!$I$4),OR('Visual SPC'!$K$4="",'Data Entry'!$F7836='Visual SPC'!$K$4)),1,0))</f>
        <v/>
      </c>
      <c r="C7836">
        <f>C7835+B7836</f>
        <v/>
      </c>
      <c r="D7836">
        <f>IF(B7836=1,INDEX('Data Entry'!$H$5:$BE$10004,7836-4,'Visual SPC'!$B$3),"")</f>
        <v/>
      </c>
      <c r="E7836">
        <f>IF(B7836=1,D7836,E7835)</f>
        <v/>
      </c>
      <c r="F7836">
        <f>IF(AND(B7836=1,C7836&gt;1,E7835&lt;&gt;""),ABS(D7836-E7835),"")</f>
        <v/>
      </c>
    </row>
    <row r="7837">
      <c r="A7837" t="n">
        <v>7837</v>
      </c>
      <c r="B7837">
        <f>IF(INDEX('Data Entry'!$H$5:$BE$10004,7837-4,'Visual SPC'!$B$3)="",0,IF(AND(OR('Visual SPC'!$C$4="",'Data Entry'!$C7837&gt;='Visual SPC'!$C$4),OR('Visual SPC'!$E$4="",'Data Entry'!$C7837&lt;='Visual SPC'!$E$4),OR('Visual SPC'!$G$4="",'Data Entry'!$D7837='Visual SPC'!$G$4),OR('Visual SPC'!$I$4="",'Data Entry'!$E7837='Visual SPC'!$I$4),OR('Visual SPC'!$K$4="",'Data Entry'!$F7837='Visual SPC'!$K$4)),1,0))</f>
        <v/>
      </c>
      <c r="C7837">
        <f>C7836+B7837</f>
        <v/>
      </c>
      <c r="D7837">
        <f>IF(B7837=1,INDEX('Data Entry'!$H$5:$BE$10004,7837-4,'Visual SPC'!$B$3),"")</f>
        <v/>
      </c>
      <c r="E7837">
        <f>IF(B7837=1,D7837,E7836)</f>
        <v/>
      </c>
      <c r="F7837">
        <f>IF(AND(B7837=1,C7837&gt;1,E7836&lt;&gt;""),ABS(D7837-E7836),"")</f>
        <v/>
      </c>
    </row>
    <row r="7838">
      <c r="A7838" t="n">
        <v>7838</v>
      </c>
      <c r="B7838">
        <f>IF(INDEX('Data Entry'!$H$5:$BE$10004,7838-4,'Visual SPC'!$B$3)="",0,IF(AND(OR('Visual SPC'!$C$4="",'Data Entry'!$C7838&gt;='Visual SPC'!$C$4),OR('Visual SPC'!$E$4="",'Data Entry'!$C7838&lt;='Visual SPC'!$E$4),OR('Visual SPC'!$G$4="",'Data Entry'!$D7838='Visual SPC'!$G$4),OR('Visual SPC'!$I$4="",'Data Entry'!$E7838='Visual SPC'!$I$4),OR('Visual SPC'!$K$4="",'Data Entry'!$F7838='Visual SPC'!$K$4)),1,0))</f>
        <v/>
      </c>
      <c r="C7838">
        <f>C7837+B7838</f>
        <v/>
      </c>
      <c r="D7838">
        <f>IF(B7838=1,INDEX('Data Entry'!$H$5:$BE$10004,7838-4,'Visual SPC'!$B$3),"")</f>
        <v/>
      </c>
      <c r="E7838">
        <f>IF(B7838=1,D7838,E7837)</f>
        <v/>
      </c>
      <c r="F7838">
        <f>IF(AND(B7838=1,C7838&gt;1,E7837&lt;&gt;""),ABS(D7838-E7837),"")</f>
        <v/>
      </c>
    </row>
    <row r="7839">
      <c r="A7839" t="n">
        <v>7839</v>
      </c>
      <c r="B7839">
        <f>IF(INDEX('Data Entry'!$H$5:$BE$10004,7839-4,'Visual SPC'!$B$3)="",0,IF(AND(OR('Visual SPC'!$C$4="",'Data Entry'!$C7839&gt;='Visual SPC'!$C$4),OR('Visual SPC'!$E$4="",'Data Entry'!$C7839&lt;='Visual SPC'!$E$4),OR('Visual SPC'!$G$4="",'Data Entry'!$D7839='Visual SPC'!$G$4),OR('Visual SPC'!$I$4="",'Data Entry'!$E7839='Visual SPC'!$I$4),OR('Visual SPC'!$K$4="",'Data Entry'!$F7839='Visual SPC'!$K$4)),1,0))</f>
        <v/>
      </c>
      <c r="C7839">
        <f>C7838+B7839</f>
        <v/>
      </c>
      <c r="D7839">
        <f>IF(B7839=1,INDEX('Data Entry'!$H$5:$BE$10004,7839-4,'Visual SPC'!$B$3),"")</f>
        <v/>
      </c>
      <c r="E7839">
        <f>IF(B7839=1,D7839,E7838)</f>
        <v/>
      </c>
      <c r="F7839">
        <f>IF(AND(B7839=1,C7839&gt;1,E7838&lt;&gt;""),ABS(D7839-E7838),"")</f>
        <v/>
      </c>
    </row>
    <row r="7840">
      <c r="A7840" t="n">
        <v>7840</v>
      </c>
      <c r="B7840">
        <f>IF(INDEX('Data Entry'!$H$5:$BE$10004,7840-4,'Visual SPC'!$B$3)="",0,IF(AND(OR('Visual SPC'!$C$4="",'Data Entry'!$C7840&gt;='Visual SPC'!$C$4),OR('Visual SPC'!$E$4="",'Data Entry'!$C7840&lt;='Visual SPC'!$E$4),OR('Visual SPC'!$G$4="",'Data Entry'!$D7840='Visual SPC'!$G$4),OR('Visual SPC'!$I$4="",'Data Entry'!$E7840='Visual SPC'!$I$4),OR('Visual SPC'!$K$4="",'Data Entry'!$F7840='Visual SPC'!$K$4)),1,0))</f>
        <v/>
      </c>
      <c r="C7840">
        <f>C7839+B7840</f>
        <v/>
      </c>
      <c r="D7840">
        <f>IF(B7840=1,INDEX('Data Entry'!$H$5:$BE$10004,7840-4,'Visual SPC'!$B$3),"")</f>
        <v/>
      </c>
      <c r="E7840">
        <f>IF(B7840=1,D7840,E7839)</f>
        <v/>
      </c>
      <c r="F7840">
        <f>IF(AND(B7840=1,C7840&gt;1,E7839&lt;&gt;""),ABS(D7840-E7839),"")</f>
        <v/>
      </c>
    </row>
    <row r="7841">
      <c r="A7841" t="n">
        <v>7841</v>
      </c>
      <c r="B7841">
        <f>IF(INDEX('Data Entry'!$H$5:$BE$10004,7841-4,'Visual SPC'!$B$3)="",0,IF(AND(OR('Visual SPC'!$C$4="",'Data Entry'!$C7841&gt;='Visual SPC'!$C$4),OR('Visual SPC'!$E$4="",'Data Entry'!$C7841&lt;='Visual SPC'!$E$4),OR('Visual SPC'!$G$4="",'Data Entry'!$D7841='Visual SPC'!$G$4),OR('Visual SPC'!$I$4="",'Data Entry'!$E7841='Visual SPC'!$I$4),OR('Visual SPC'!$K$4="",'Data Entry'!$F7841='Visual SPC'!$K$4)),1,0))</f>
        <v/>
      </c>
      <c r="C7841">
        <f>C7840+B7841</f>
        <v/>
      </c>
      <c r="D7841">
        <f>IF(B7841=1,INDEX('Data Entry'!$H$5:$BE$10004,7841-4,'Visual SPC'!$B$3),"")</f>
        <v/>
      </c>
      <c r="E7841">
        <f>IF(B7841=1,D7841,E7840)</f>
        <v/>
      </c>
      <c r="F7841">
        <f>IF(AND(B7841=1,C7841&gt;1,E7840&lt;&gt;""),ABS(D7841-E7840),"")</f>
        <v/>
      </c>
    </row>
    <row r="7842">
      <c r="A7842" t="n">
        <v>7842</v>
      </c>
      <c r="B7842">
        <f>IF(INDEX('Data Entry'!$H$5:$BE$10004,7842-4,'Visual SPC'!$B$3)="",0,IF(AND(OR('Visual SPC'!$C$4="",'Data Entry'!$C7842&gt;='Visual SPC'!$C$4),OR('Visual SPC'!$E$4="",'Data Entry'!$C7842&lt;='Visual SPC'!$E$4),OR('Visual SPC'!$G$4="",'Data Entry'!$D7842='Visual SPC'!$G$4),OR('Visual SPC'!$I$4="",'Data Entry'!$E7842='Visual SPC'!$I$4),OR('Visual SPC'!$K$4="",'Data Entry'!$F7842='Visual SPC'!$K$4)),1,0))</f>
        <v/>
      </c>
      <c r="C7842">
        <f>C7841+B7842</f>
        <v/>
      </c>
      <c r="D7842">
        <f>IF(B7842=1,INDEX('Data Entry'!$H$5:$BE$10004,7842-4,'Visual SPC'!$B$3),"")</f>
        <v/>
      </c>
      <c r="E7842">
        <f>IF(B7842=1,D7842,E7841)</f>
        <v/>
      </c>
      <c r="F7842">
        <f>IF(AND(B7842=1,C7842&gt;1,E7841&lt;&gt;""),ABS(D7842-E7841),"")</f>
        <v/>
      </c>
    </row>
    <row r="7843">
      <c r="A7843" t="n">
        <v>7843</v>
      </c>
      <c r="B7843">
        <f>IF(INDEX('Data Entry'!$H$5:$BE$10004,7843-4,'Visual SPC'!$B$3)="",0,IF(AND(OR('Visual SPC'!$C$4="",'Data Entry'!$C7843&gt;='Visual SPC'!$C$4),OR('Visual SPC'!$E$4="",'Data Entry'!$C7843&lt;='Visual SPC'!$E$4),OR('Visual SPC'!$G$4="",'Data Entry'!$D7843='Visual SPC'!$G$4),OR('Visual SPC'!$I$4="",'Data Entry'!$E7843='Visual SPC'!$I$4),OR('Visual SPC'!$K$4="",'Data Entry'!$F7843='Visual SPC'!$K$4)),1,0))</f>
        <v/>
      </c>
      <c r="C7843">
        <f>C7842+B7843</f>
        <v/>
      </c>
      <c r="D7843">
        <f>IF(B7843=1,INDEX('Data Entry'!$H$5:$BE$10004,7843-4,'Visual SPC'!$B$3),"")</f>
        <v/>
      </c>
      <c r="E7843">
        <f>IF(B7843=1,D7843,E7842)</f>
        <v/>
      </c>
      <c r="F7843">
        <f>IF(AND(B7843=1,C7843&gt;1,E7842&lt;&gt;""),ABS(D7843-E7842),"")</f>
        <v/>
      </c>
    </row>
    <row r="7844">
      <c r="A7844" t="n">
        <v>7844</v>
      </c>
      <c r="B7844">
        <f>IF(INDEX('Data Entry'!$H$5:$BE$10004,7844-4,'Visual SPC'!$B$3)="",0,IF(AND(OR('Visual SPC'!$C$4="",'Data Entry'!$C7844&gt;='Visual SPC'!$C$4),OR('Visual SPC'!$E$4="",'Data Entry'!$C7844&lt;='Visual SPC'!$E$4),OR('Visual SPC'!$G$4="",'Data Entry'!$D7844='Visual SPC'!$G$4),OR('Visual SPC'!$I$4="",'Data Entry'!$E7844='Visual SPC'!$I$4),OR('Visual SPC'!$K$4="",'Data Entry'!$F7844='Visual SPC'!$K$4)),1,0))</f>
        <v/>
      </c>
      <c r="C7844">
        <f>C7843+B7844</f>
        <v/>
      </c>
      <c r="D7844">
        <f>IF(B7844=1,INDEX('Data Entry'!$H$5:$BE$10004,7844-4,'Visual SPC'!$B$3),"")</f>
        <v/>
      </c>
      <c r="E7844">
        <f>IF(B7844=1,D7844,E7843)</f>
        <v/>
      </c>
      <c r="F7844">
        <f>IF(AND(B7844=1,C7844&gt;1,E7843&lt;&gt;""),ABS(D7844-E7843),"")</f>
        <v/>
      </c>
    </row>
    <row r="7845">
      <c r="A7845" t="n">
        <v>7845</v>
      </c>
      <c r="B7845">
        <f>IF(INDEX('Data Entry'!$H$5:$BE$10004,7845-4,'Visual SPC'!$B$3)="",0,IF(AND(OR('Visual SPC'!$C$4="",'Data Entry'!$C7845&gt;='Visual SPC'!$C$4),OR('Visual SPC'!$E$4="",'Data Entry'!$C7845&lt;='Visual SPC'!$E$4),OR('Visual SPC'!$G$4="",'Data Entry'!$D7845='Visual SPC'!$G$4),OR('Visual SPC'!$I$4="",'Data Entry'!$E7845='Visual SPC'!$I$4),OR('Visual SPC'!$K$4="",'Data Entry'!$F7845='Visual SPC'!$K$4)),1,0))</f>
        <v/>
      </c>
      <c r="C7845">
        <f>C7844+B7845</f>
        <v/>
      </c>
      <c r="D7845">
        <f>IF(B7845=1,INDEX('Data Entry'!$H$5:$BE$10004,7845-4,'Visual SPC'!$B$3),"")</f>
        <v/>
      </c>
      <c r="E7845">
        <f>IF(B7845=1,D7845,E7844)</f>
        <v/>
      </c>
      <c r="F7845">
        <f>IF(AND(B7845=1,C7845&gt;1,E7844&lt;&gt;""),ABS(D7845-E7844),"")</f>
        <v/>
      </c>
    </row>
    <row r="7846">
      <c r="A7846" t="n">
        <v>7846</v>
      </c>
      <c r="B7846">
        <f>IF(INDEX('Data Entry'!$H$5:$BE$10004,7846-4,'Visual SPC'!$B$3)="",0,IF(AND(OR('Visual SPC'!$C$4="",'Data Entry'!$C7846&gt;='Visual SPC'!$C$4),OR('Visual SPC'!$E$4="",'Data Entry'!$C7846&lt;='Visual SPC'!$E$4),OR('Visual SPC'!$G$4="",'Data Entry'!$D7846='Visual SPC'!$G$4),OR('Visual SPC'!$I$4="",'Data Entry'!$E7846='Visual SPC'!$I$4),OR('Visual SPC'!$K$4="",'Data Entry'!$F7846='Visual SPC'!$K$4)),1,0))</f>
        <v/>
      </c>
      <c r="C7846">
        <f>C7845+B7846</f>
        <v/>
      </c>
      <c r="D7846">
        <f>IF(B7846=1,INDEX('Data Entry'!$H$5:$BE$10004,7846-4,'Visual SPC'!$B$3),"")</f>
        <v/>
      </c>
      <c r="E7846">
        <f>IF(B7846=1,D7846,E7845)</f>
        <v/>
      </c>
      <c r="F7846">
        <f>IF(AND(B7846=1,C7846&gt;1,E7845&lt;&gt;""),ABS(D7846-E7845),"")</f>
        <v/>
      </c>
    </row>
    <row r="7847">
      <c r="A7847" t="n">
        <v>7847</v>
      </c>
      <c r="B7847">
        <f>IF(INDEX('Data Entry'!$H$5:$BE$10004,7847-4,'Visual SPC'!$B$3)="",0,IF(AND(OR('Visual SPC'!$C$4="",'Data Entry'!$C7847&gt;='Visual SPC'!$C$4),OR('Visual SPC'!$E$4="",'Data Entry'!$C7847&lt;='Visual SPC'!$E$4),OR('Visual SPC'!$G$4="",'Data Entry'!$D7847='Visual SPC'!$G$4),OR('Visual SPC'!$I$4="",'Data Entry'!$E7847='Visual SPC'!$I$4),OR('Visual SPC'!$K$4="",'Data Entry'!$F7847='Visual SPC'!$K$4)),1,0))</f>
        <v/>
      </c>
      <c r="C7847">
        <f>C7846+B7847</f>
        <v/>
      </c>
      <c r="D7847">
        <f>IF(B7847=1,INDEX('Data Entry'!$H$5:$BE$10004,7847-4,'Visual SPC'!$B$3),"")</f>
        <v/>
      </c>
      <c r="E7847">
        <f>IF(B7847=1,D7847,E7846)</f>
        <v/>
      </c>
      <c r="F7847">
        <f>IF(AND(B7847=1,C7847&gt;1,E7846&lt;&gt;""),ABS(D7847-E7846),"")</f>
        <v/>
      </c>
    </row>
    <row r="7848">
      <c r="A7848" t="n">
        <v>7848</v>
      </c>
      <c r="B7848">
        <f>IF(INDEX('Data Entry'!$H$5:$BE$10004,7848-4,'Visual SPC'!$B$3)="",0,IF(AND(OR('Visual SPC'!$C$4="",'Data Entry'!$C7848&gt;='Visual SPC'!$C$4),OR('Visual SPC'!$E$4="",'Data Entry'!$C7848&lt;='Visual SPC'!$E$4),OR('Visual SPC'!$G$4="",'Data Entry'!$D7848='Visual SPC'!$G$4),OR('Visual SPC'!$I$4="",'Data Entry'!$E7848='Visual SPC'!$I$4),OR('Visual SPC'!$K$4="",'Data Entry'!$F7848='Visual SPC'!$K$4)),1,0))</f>
        <v/>
      </c>
      <c r="C7848">
        <f>C7847+B7848</f>
        <v/>
      </c>
      <c r="D7848">
        <f>IF(B7848=1,INDEX('Data Entry'!$H$5:$BE$10004,7848-4,'Visual SPC'!$B$3),"")</f>
        <v/>
      </c>
      <c r="E7848">
        <f>IF(B7848=1,D7848,E7847)</f>
        <v/>
      </c>
      <c r="F7848">
        <f>IF(AND(B7848=1,C7848&gt;1,E7847&lt;&gt;""),ABS(D7848-E7847),"")</f>
        <v/>
      </c>
    </row>
    <row r="7849">
      <c r="A7849" t="n">
        <v>7849</v>
      </c>
      <c r="B7849">
        <f>IF(INDEX('Data Entry'!$H$5:$BE$10004,7849-4,'Visual SPC'!$B$3)="",0,IF(AND(OR('Visual SPC'!$C$4="",'Data Entry'!$C7849&gt;='Visual SPC'!$C$4),OR('Visual SPC'!$E$4="",'Data Entry'!$C7849&lt;='Visual SPC'!$E$4),OR('Visual SPC'!$G$4="",'Data Entry'!$D7849='Visual SPC'!$G$4),OR('Visual SPC'!$I$4="",'Data Entry'!$E7849='Visual SPC'!$I$4),OR('Visual SPC'!$K$4="",'Data Entry'!$F7849='Visual SPC'!$K$4)),1,0))</f>
        <v/>
      </c>
      <c r="C7849">
        <f>C7848+B7849</f>
        <v/>
      </c>
      <c r="D7849">
        <f>IF(B7849=1,INDEX('Data Entry'!$H$5:$BE$10004,7849-4,'Visual SPC'!$B$3),"")</f>
        <v/>
      </c>
      <c r="E7849">
        <f>IF(B7849=1,D7849,E7848)</f>
        <v/>
      </c>
      <c r="F7849">
        <f>IF(AND(B7849=1,C7849&gt;1,E7848&lt;&gt;""),ABS(D7849-E7848),"")</f>
        <v/>
      </c>
    </row>
    <row r="7850">
      <c r="A7850" t="n">
        <v>7850</v>
      </c>
      <c r="B7850">
        <f>IF(INDEX('Data Entry'!$H$5:$BE$10004,7850-4,'Visual SPC'!$B$3)="",0,IF(AND(OR('Visual SPC'!$C$4="",'Data Entry'!$C7850&gt;='Visual SPC'!$C$4),OR('Visual SPC'!$E$4="",'Data Entry'!$C7850&lt;='Visual SPC'!$E$4),OR('Visual SPC'!$G$4="",'Data Entry'!$D7850='Visual SPC'!$G$4),OR('Visual SPC'!$I$4="",'Data Entry'!$E7850='Visual SPC'!$I$4),OR('Visual SPC'!$K$4="",'Data Entry'!$F7850='Visual SPC'!$K$4)),1,0))</f>
        <v/>
      </c>
      <c r="C7850">
        <f>C7849+B7850</f>
        <v/>
      </c>
      <c r="D7850">
        <f>IF(B7850=1,INDEX('Data Entry'!$H$5:$BE$10004,7850-4,'Visual SPC'!$B$3),"")</f>
        <v/>
      </c>
      <c r="E7850">
        <f>IF(B7850=1,D7850,E7849)</f>
        <v/>
      </c>
      <c r="F7850">
        <f>IF(AND(B7850=1,C7850&gt;1,E7849&lt;&gt;""),ABS(D7850-E7849),"")</f>
        <v/>
      </c>
    </row>
    <row r="7851">
      <c r="A7851" t="n">
        <v>7851</v>
      </c>
      <c r="B7851">
        <f>IF(INDEX('Data Entry'!$H$5:$BE$10004,7851-4,'Visual SPC'!$B$3)="",0,IF(AND(OR('Visual SPC'!$C$4="",'Data Entry'!$C7851&gt;='Visual SPC'!$C$4),OR('Visual SPC'!$E$4="",'Data Entry'!$C7851&lt;='Visual SPC'!$E$4),OR('Visual SPC'!$G$4="",'Data Entry'!$D7851='Visual SPC'!$G$4),OR('Visual SPC'!$I$4="",'Data Entry'!$E7851='Visual SPC'!$I$4),OR('Visual SPC'!$K$4="",'Data Entry'!$F7851='Visual SPC'!$K$4)),1,0))</f>
        <v/>
      </c>
      <c r="C7851">
        <f>C7850+B7851</f>
        <v/>
      </c>
      <c r="D7851">
        <f>IF(B7851=1,INDEX('Data Entry'!$H$5:$BE$10004,7851-4,'Visual SPC'!$B$3),"")</f>
        <v/>
      </c>
      <c r="E7851">
        <f>IF(B7851=1,D7851,E7850)</f>
        <v/>
      </c>
      <c r="F7851">
        <f>IF(AND(B7851=1,C7851&gt;1,E7850&lt;&gt;""),ABS(D7851-E7850),"")</f>
        <v/>
      </c>
    </row>
    <row r="7852">
      <c r="A7852" t="n">
        <v>7852</v>
      </c>
      <c r="B7852">
        <f>IF(INDEX('Data Entry'!$H$5:$BE$10004,7852-4,'Visual SPC'!$B$3)="",0,IF(AND(OR('Visual SPC'!$C$4="",'Data Entry'!$C7852&gt;='Visual SPC'!$C$4),OR('Visual SPC'!$E$4="",'Data Entry'!$C7852&lt;='Visual SPC'!$E$4),OR('Visual SPC'!$G$4="",'Data Entry'!$D7852='Visual SPC'!$G$4),OR('Visual SPC'!$I$4="",'Data Entry'!$E7852='Visual SPC'!$I$4),OR('Visual SPC'!$K$4="",'Data Entry'!$F7852='Visual SPC'!$K$4)),1,0))</f>
        <v/>
      </c>
      <c r="C7852">
        <f>C7851+B7852</f>
        <v/>
      </c>
      <c r="D7852">
        <f>IF(B7852=1,INDEX('Data Entry'!$H$5:$BE$10004,7852-4,'Visual SPC'!$B$3),"")</f>
        <v/>
      </c>
      <c r="E7852">
        <f>IF(B7852=1,D7852,E7851)</f>
        <v/>
      </c>
      <c r="F7852">
        <f>IF(AND(B7852=1,C7852&gt;1,E7851&lt;&gt;""),ABS(D7852-E7851),"")</f>
        <v/>
      </c>
    </row>
    <row r="7853">
      <c r="A7853" t="n">
        <v>7853</v>
      </c>
      <c r="B7853">
        <f>IF(INDEX('Data Entry'!$H$5:$BE$10004,7853-4,'Visual SPC'!$B$3)="",0,IF(AND(OR('Visual SPC'!$C$4="",'Data Entry'!$C7853&gt;='Visual SPC'!$C$4),OR('Visual SPC'!$E$4="",'Data Entry'!$C7853&lt;='Visual SPC'!$E$4),OR('Visual SPC'!$G$4="",'Data Entry'!$D7853='Visual SPC'!$G$4),OR('Visual SPC'!$I$4="",'Data Entry'!$E7853='Visual SPC'!$I$4),OR('Visual SPC'!$K$4="",'Data Entry'!$F7853='Visual SPC'!$K$4)),1,0))</f>
        <v/>
      </c>
      <c r="C7853">
        <f>C7852+B7853</f>
        <v/>
      </c>
      <c r="D7853">
        <f>IF(B7853=1,INDEX('Data Entry'!$H$5:$BE$10004,7853-4,'Visual SPC'!$B$3),"")</f>
        <v/>
      </c>
      <c r="E7853">
        <f>IF(B7853=1,D7853,E7852)</f>
        <v/>
      </c>
      <c r="F7853">
        <f>IF(AND(B7853=1,C7853&gt;1,E7852&lt;&gt;""),ABS(D7853-E7852),"")</f>
        <v/>
      </c>
    </row>
    <row r="7854">
      <c r="A7854" t="n">
        <v>7854</v>
      </c>
      <c r="B7854">
        <f>IF(INDEX('Data Entry'!$H$5:$BE$10004,7854-4,'Visual SPC'!$B$3)="",0,IF(AND(OR('Visual SPC'!$C$4="",'Data Entry'!$C7854&gt;='Visual SPC'!$C$4),OR('Visual SPC'!$E$4="",'Data Entry'!$C7854&lt;='Visual SPC'!$E$4),OR('Visual SPC'!$G$4="",'Data Entry'!$D7854='Visual SPC'!$G$4),OR('Visual SPC'!$I$4="",'Data Entry'!$E7854='Visual SPC'!$I$4),OR('Visual SPC'!$K$4="",'Data Entry'!$F7854='Visual SPC'!$K$4)),1,0))</f>
        <v/>
      </c>
      <c r="C7854">
        <f>C7853+B7854</f>
        <v/>
      </c>
      <c r="D7854">
        <f>IF(B7854=1,INDEX('Data Entry'!$H$5:$BE$10004,7854-4,'Visual SPC'!$B$3),"")</f>
        <v/>
      </c>
      <c r="E7854">
        <f>IF(B7854=1,D7854,E7853)</f>
        <v/>
      </c>
      <c r="F7854">
        <f>IF(AND(B7854=1,C7854&gt;1,E7853&lt;&gt;""),ABS(D7854-E7853),"")</f>
        <v/>
      </c>
    </row>
    <row r="7855">
      <c r="A7855" t="n">
        <v>7855</v>
      </c>
      <c r="B7855">
        <f>IF(INDEX('Data Entry'!$H$5:$BE$10004,7855-4,'Visual SPC'!$B$3)="",0,IF(AND(OR('Visual SPC'!$C$4="",'Data Entry'!$C7855&gt;='Visual SPC'!$C$4),OR('Visual SPC'!$E$4="",'Data Entry'!$C7855&lt;='Visual SPC'!$E$4),OR('Visual SPC'!$G$4="",'Data Entry'!$D7855='Visual SPC'!$G$4),OR('Visual SPC'!$I$4="",'Data Entry'!$E7855='Visual SPC'!$I$4),OR('Visual SPC'!$K$4="",'Data Entry'!$F7855='Visual SPC'!$K$4)),1,0))</f>
        <v/>
      </c>
      <c r="C7855">
        <f>C7854+B7855</f>
        <v/>
      </c>
      <c r="D7855">
        <f>IF(B7855=1,INDEX('Data Entry'!$H$5:$BE$10004,7855-4,'Visual SPC'!$B$3),"")</f>
        <v/>
      </c>
      <c r="E7855">
        <f>IF(B7855=1,D7855,E7854)</f>
        <v/>
      </c>
      <c r="F7855">
        <f>IF(AND(B7855=1,C7855&gt;1,E7854&lt;&gt;""),ABS(D7855-E7854),"")</f>
        <v/>
      </c>
    </row>
    <row r="7856">
      <c r="A7856" t="n">
        <v>7856</v>
      </c>
      <c r="B7856">
        <f>IF(INDEX('Data Entry'!$H$5:$BE$10004,7856-4,'Visual SPC'!$B$3)="",0,IF(AND(OR('Visual SPC'!$C$4="",'Data Entry'!$C7856&gt;='Visual SPC'!$C$4),OR('Visual SPC'!$E$4="",'Data Entry'!$C7856&lt;='Visual SPC'!$E$4),OR('Visual SPC'!$G$4="",'Data Entry'!$D7856='Visual SPC'!$G$4),OR('Visual SPC'!$I$4="",'Data Entry'!$E7856='Visual SPC'!$I$4),OR('Visual SPC'!$K$4="",'Data Entry'!$F7856='Visual SPC'!$K$4)),1,0))</f>
        <v/>
      </c>
      <c r="C7856">
        <f>C7855+B7856</f>
        <v/>
      </c>
      <c r="D7856">
        <f>IF(B7856=1,INDEX('Data Entry'!$H$5:$BE$10004,7856-4,'Visual SPC'!$B$3),"")</f>
        <v/>
      </c>
      <c r="E7856">
        <f>IF(B7856=1,D7856,E7855)</f>
        <v/>
      </c>
      <c r="F7856">
        <f>IF(AND(B7856=1,C7856&gt;1,E7855&lt;&gt;""),ABS(D7856-E7855),"")</f>
        <v/>
      </c>
    </row>
    <row r="7857">
      <c r="A7857" t="n">
        <v>7857</v>
      </c>
      <c r="B7857">
        <f>IF(INDEX('Data Entry'!$H$5:$BE$10004,7857-4,'Visual SPC'!$B$3)="",0,IF(AND(OR('Visual SPC'!$C$4="",'Data Entry'!$C7857&gt;='Visual SPC'!$C$4),OR('Visual SPC'!$E$4="",'Data Entry'!$C7857&lt;='Visual SPC'!$E$4),OR('Visual SPC'!$G$4="",'Data Entry'!$D7857='Visual SPC'!$G$4),OR('Visual SPC'!$I$4="",'Data Entry'!$E7857='Visual SPC'!$I$4),OR('Visual SPC'!$K$4="",'Data Entry'!$F7857='Visual SPC'!$K$4)),1,0))</f>
        <v/>
      </c>
      <c r="C7857">
        <f>C7856+B7857</f>
        <v/>
      </c>
      <c r="D7857">
        <f>IF(B7857=1,INDEX('Data Entry'!$H$5:$BE$10004,7857-4,'Visual SPC'!$B$3),"")</f>
        <v/>
      </c>
      <c r="E7857">
        <f>IF(B7857=1,D7857,E7856)</f>
        <v/>
      </c>
      <c r="F7857">
        <f>IF(AND(B7857=1,C7857&gt;1,E7856&lt;&gt;""),ABS(D7857-E7856),"")</f>
        <v/>
      </c>
    </row>
    <row r="7858">
      <c r="A7858" t="n">
        <v>7858</v>
      </c>
      <c r="B7858">
        <f>IF(INDEX('Data Entry'!$H$5:$BE$10004,7858-4,'Visual SPC'!$B$3)="",0,IF(AND(OR('Visual SPC'!$C$4="",'Data Entry'!$C7858&gt;='Visual SPC'!$C$4),OR('Visual SPC'!$E$4="",'Data Entry'!$C7858&lt;='Visual SPC'!$E$4),OR('Visual SPC'!$G$4="",'Data Entry'!$D7858='Visual SPC'!$G$4),OR('Visual SPC'!$I$4="",'Data Entry'!$E7858='Visual SPC'!$I$4),OR('Visual SPC'!$K$4="",'Data Entry'!$F7858='Visual SPC'!$K$4)),1,0))</f>
        <v/>
      </c>
      <c r="C7858">
        <f>C7857+B7858</f>
        <v/>
      </c>
      <c r="D7858">
        <f>IF(B7858=1,INDEX('Data Entry'!$H$5:$BE$10004,7858-4,'Visual SPC'!$B$3),"")</f>
        <v/>
      </c>
      <c r="E7858">
        <f>IF(B7858=1,D7858,E7857)</f>
        <v/>
      </c>
      <c r="F7858">
        <f>IF(AND(B7858=1,C7858&gt;1,E7857&lt;&gt;""),ABS(D7858-E7857),"")</f>
        <v/>
      </c>
    </row>
    <row r="7859">
      <c r="A7859" t="n">
        <v>7859</v>
      </c>
      <c r="B7859">
        <f>IF(INDEX('Data Entry'!$H$5:$BE$10004,7859-4,'Visual SPC'!$B$3)="",0,IF(AND(OR('Visual SPC'!$C$4="",'Data Entry'!$C7859&gt;='Visual SPC'!$C$4),OR('Visual SPC'!$E$4="",'Data Entry'!$C7859&lt;='Visual SPC'!$E$4),OR('Visual SPC'!$G$4="",'Data Entry'!$D7859='Visual SPC'!$G$4),OR('Visual SPC'!$I$4="",'Data Entry'!$E7859='Visual SPC'!$I$4),OR('Visual SPC'!$K$4="",'Data Entry'!$F7859='Visual SPC'!$K$4)),1,0))</f>
        <v/>
      </c>
      <c r="C7859">
        <f>C7858+B7859</f>
        <v/>
      </c>
      <c r="D7859">
        <f>IF(B7859=1,INDEX('Data Entry'!$H$5:$BE$10004,7859-4,'Visual SPC'!$B$3),"")</f>
        <v/>
      </c>
      <c r="E7859">
        <f>IF(B7859=1,D7859,E7858)</f>
        <v/>
      </c>
      <c r="F7859">
        <f>IF(AND(B7859=1,C7859&gt;1,E7858&lt;&gt;""),ABS(D7859-E7858),"")</f>
        <v/>
      </c>
    </row>
    <row r="7860">
      <c r="A7860" t="n">
        <v>7860</v>
      </c>
      <c r="B7860">
        <f>IF(INDEX('Data Entry'!$H$5:$BE$10004,7860-4,'Visual SPC'!$B$3)="",0,IF(AND(OR('Visual SPC'!$C$4="",'Data Entry'!$C7860&gt;='Visual SPC'!$C$4),OR('Visual SPC'!$E$4="",'Data Entry'!$C7860&lt;='Visual SPC'!$E$4),OR('Visual SPC'!$G$4="",'Data Entry'!$D7860='Visual SPC'!$G$4),OR('Visual SPC'!$I$4="",'Data Entry'!$E7860='Visual SPC'!$I$4),OR('Visual SPC'!$K$4="",'Data Entry'!$F7860='Visual SPC'!$K$4)),1,0))</f>
        <v/>
      </c>
      <c r="C7860">
        <f>C7859+B7860</f>
        <v/>
      </c>
      <c r="D7860">
        <f>IF(B7860=1,INDEX('Data Entry'!$H$5:$BE$10004,7860-4,'Visual SPC'!$B$3),"")</f>
        <v/>
      </c>
      <c r="E7860">
        <f>IF(B7860=1,D7860,E7859)</f>
        <v/>
      </c>
      <c r="F7860">
        <f>IF(AND(B7860=1,C7860&gt;1,E7859&lt;&gt;""),ABS(D7860-E7859),"")</f>
        <v/>
      </c>
    </row>
    <row r="7861">
      <c r="A7861" t="n">
        <v>7861</v>
      </c>
      <c r="B7861">
        <f>IF(INDEX('Data Entry'!$H$5:$BE$10004,7861-4,'Visual SPC'!$B$3)="",0,IF(AND(OR('Visual SPC'!$C$4="",'Data Entry'!$C7861&gt;='Visual SPC'!$C$4),OR('Visual SPC'!$E$4="",'Data Entry'!$C7861&lt;='Visual SPC'!$E$4),OR('Visual SPC'!$G$4="",'Data Entry'!$D7861='Visual SPC'!$G$4),OR('Visual SPC'!$I$4="",'Data Entry'!$E7861='Visual SPC'!$I$4),OR('Visual SPC'!$K$4="",'Data Entry'!$F7861='Visual SPC'!$K$4)),1,0))</f>
        <v/>
      </c>
      <c r="C7861">
        <f>C7860+B7861</f>
        <v/>
      </c>
      <c r="D7861">
        <f>IF(B7861=1,INDEX('Data Entry'!$H$5:$BE$10004,7861-4,'Visual SPC'!$B$3),"")</f>
        <v/>
      </c>
      <c r="E7861">
        <f>IF(B7861=1,D7861,E7860)</f>
        <v/>
      </c>
      <c r="F7861">
        <f>IF(AND(B7861=1,C7861&gt;1,E7860&lt;&gt;""),ABS(D7861-E7860),"")</f>
        <v/>
      </c>
    </row>
    <row r="7862">
      <c r="A7862" t="n">
        <v>7862</v>
      </c>
      <c r="B7862">
        <f>IF(INDEX('Data Entry'!$H$5:$BE$10004,7862-4,'Visual SPC'!$B$3)="",0,IF(AND(OR('Visual SPC'!$C$4="",'Data Entry'!$C7862&gt;='Visual SPC'!$C$4),OR('Visual SPC'!$E$4="",'Data Entry'!$C7862&lt;='Visual SPC'!$E$4),OR('Visual SPC'!$G$4="",'Data Entry'!$D7862='Visual SPC'!$G$4),OR('Visual SPC'!$I$4="",'Data Entry'!$E7862='Visual SPC'!$I$4),OR('Visual SPC'!$K$4="",'Data Entry'!$F7862='Visual SPC'!$K$4)),1,0))</f>
        <v/>
      </c>
      <c r="C7862">
        <f>C7861+B7862</f>
        <v/>
      </c>
      <c r="D7862">
        <f>IF(B7862=1,INDEX('Data Entry'!$H$5:$BE$10004,7862-4,'Visual SPC'!$B$3),"")</f>
        <v/>
      </c>
      <c r="E7862">
        <f>IF(B7862=1,D7862,E7861)</f>
        <v/>
      </c>
      <c r="F7862">
        <f>IF(AND(B7862=1,C7862&gt;1,E7861&lt;&gt;""),ABS(D7862-E7861),"")</f>
        <v/>
      </c>
    </row>
    <row r="7863">
      <c r="A7863" t="n">
        <v>7863</v>
      </c>
      <c r="B7863">
        <f>IF(INDEX('Data Entry'!$H$5:$BE$10004,7863-4,'Visual SPC'!$B$3)="",0,IF(AND(OR('Visual SPC'!$C$4="",'Data Entry'!$C7863&gt;='Visual SPC'!$C$4),OR('Visual SPC'!$E$4="",'Data Entry'!$C7863&lt;='Visual SPC'!$E$4),OR('Visual SPC'!$G$4="",'Data Entry'!$D7863='Visual SPC'!$G$4),OR('Visual SPC'!$I$4="",'Data Entry'!$E7863='Visual SPC'!$I$4),OR('Visual SPC'!$K$4="",'Data Entry'!$F7863='Visual SPC'!$K$4)),1,0))</f>
        <v/>
      </c>
      <c r="C7863">
        <f>C7862+B7863</f>
        <v/>
      </c>
      <c r="D7863">
        <f>IF(B7863=1,INDEX('Data Entry'!$H$5:$BE$10004,7863-4,'Visual SPC'!$B$3),"")</f>
        <v/>
      </c>
      <c r="E7863">
        <f>IF(B7863=1,D7863,E7862)</f>
        <v/>
      </c>
      <c r="F7863">
        <f>IF(AND(B7863=1,C7863&gt;1,E7862&lt;&gt;""),ABS(D7863-E7862),"")</f>
        <v/>
      </c>
    </row>
    <row r="7864">
      <c r="A7864" t="n">
        <v>7864</v>
      </c>
      <c r="B7864">
        <f>IF(INDEX('Data Entry'!$H$5:$BE$10004,7864-4,'Visual SPC'!$B$3)="",0,IF(AND(OR('Visual SPC'!$C$4="",'Data Entry'!$C7864&gt;='Visual SPC'!$C$4),OR('Visual SPC'!$E$4="",'Data Entry'!$C7864&lt;='Visual SPC'!$E$4),OR('Visual SPC'!$G$4="",'Data Entry'!$D7864='Visual SPC'!$G$4),OR('Visual SPC'!$I$4="",'Data Entry'!$E7864='Visual SPC'!$I$4),OR('Visual SPC'!$K$4="",'Data Entry'!$F7864='Visual SPC'!$K$4)),1,0))</f>
        <v/>
      </c>
      <c r="C7864">
        <f>C7863+B7864</f>
        <v/>
      </c>
      <c r="D7864">
        <f>IF(B7864=1,INDEX('Data Entry'!$H$5:$BE$10004,7864-4,'Visual SPC'!$B$3),"")</f>
        <v/>
      </c>
      <c r="E7864">
        <f>IF(B7864=1,D7864,E7863)</f>
        <v/>
      </c>
      <c r="F7864">
        <f>IF(AND(B7864=1,C7864&gt;1,E7863&lt;&gt;""),ABS(D7864-E7863),"")</f>
        <v/>
      </c>
    </row>
    <row r="7865">
      <c r="A7865" t="n">
        <v>7865</v>
      </c>
      <c r="B7865">
        <f>IF(INDEX('Data Entry'!$H$5:$BE$10004,7865-4,'Visual SPC'!$B$3)="",0,IF(AND(OR('Visual SPC'!$C$4="",'Data Entry'!$C7865&gt;='Visual SPC'!$C$4),OR('Visual SPC'!$E$4="",'Data Entry'!$C7865&lt;='Visual SPC'!$E$4),OR('Visual SPC'!$G$4="",'Data Entry'!$D7865='Visual SPC'!$G$4),OR('Visual SPC'!$I$4="",'Data Entry'!$E7865='Visual SPC'!$I$4),OR('Visual SPC'!$K$4="",'Data Entry'!$F7865='Visual SPC'!$K$4)),1,0))</f>
        <v/>
      </c>
      <c r="C7865">
        <f>C7864+B7865</f>
        <v/>
      </c>
      <c r="D7865">
        <f>IF(B7865=1,INDEX('Data Entry'!$H$5:$BE$10004,7865-4,'Visual SPC'!$B$3),"")</f>
        <v/>
      </c>
      <c r="E7865">
        <f>IF(B7865=1,D7865,E7864)</f>
        <v/>
      </c>
      <c r="F7865">
        <f>IF(AND(B7865=1,C7865&gt;1,E7864&lt;&gt;""),ABS(D7865-E7864),"")</f>
        <v/>
      </c>
    </row>
    <row r="7866">
      <c r="A7866" t="n">
        <v>7866</v>
      </c>
      <c r="B7866">
        <f>IF(INDEX('Data Entry'!$H$5:$BE$10004,7866-4,'Visual SPC'!$B$3)="",0,IF(AND(OR('Visual SPC'!$C$4="",'Data Entry'!$C7866&gt;='Visual SPC'!$C$4),OR('Visual SPC'!$E$4="",'Data Entry'!$C7866&lt;='Visual SPC'!$E$4),OR('Visual SPC'!$G$4="",'Data Entry'!$D7866='Visual SPC'!$G$4),OR('Visual SPC'!$I$4="",'Data Entry'!$E7866='Visual SPC'!$I$4),OR('Visual SPC'!$K$4="",'Data Entry'!$F7866='Visual SPC'!$K$4)),1,0))</f>
        <v/>
      </c>
      <c r="C7866">
        <f>C7865+B7866</f>
        <v/>
      </c>
      <c r="D7866">
        <f>IF(B7866=1,INDEX('Data Entry'!$H$5:$BE$10004,7866-4,'Visual SPC'!$B$3),"")</f>
        <v/>
      </c>
      <c r="E7866">
        <f>IF(B7866=1,D7866,E7865)</f>
        <v/>
      </c>
      <c r="F7866">
        <f>IF(AND(B7866=1,C7866&gt;1,E7865&lt;&gt;""),ABS(D7866-E7865),"")</f>
        <v/>
      </c>
    </row>
    <row r="7867">
      <c r="A7867" t="n">
        <v>7867</v>
      </c>
      <c r="B7867">
        <f>IF(INDEX('Data Entry'!$H$5:$BE$10004,7867-4,'Visual SPC'!$B$3)="",0,IF(AND(OR('Visual SPC'!$C$4="",'Data Entry'!$C7867&gt;='Visual SPC'!$C$4),OR('Visual SPC'!$E$4="",'Data Entry'!$C7867&lt;='Visual SPC'!$E$4),OR('Visual SPC'!$G$4="",'Data Entry'!$D7867='Visual SPC'!$G$4),OR('Visual SPC'!$I$4="",'Data Entry'!$E7867='Visual SPC'!$I$4),OR('Visual SPC'!$K$4="",'Data Entry'!$F7867='Visual SPC'!$K$4)),1,0))</f>
        <v/>
      </c>
      <c r="C7867">
        <f>C7866+B7867</f>
        <v/>
      </c>
      <c r="D7867">
        <f>IF(B7867=1,INDEX('Data Entry'!$H$5:$BE$10004,7867-4,'Visual SPC'!$B$3),"")</f>
        <v/>
      </c>
      <c r="E7867">
        <f>IF(B7867=1,D7867,E7866)</f>
        <v/>
      </c>
      <c r="F7867">
        <f>IF(AND(B7867=1,C7867&gt;1,E7866&lt;&gt;""),ABS(D7867-E7866),"")</f>
        <v/>
      </c>
    </row>
    <row r="7868">
      <c r="A7868" t="n">
        <v>7868</v>
      </c>
      <c r="B7868">
        <f>IF(INDEX('Data Entry'!$H$5:$BE$10004,7868-4,'Visual SPC'!$B$3)="",0,IF(AND(OR('Visual SPC'!$C$4="",'Data Entry'!$C7868&gt;='Visual SPC'!$C$4),OR('Visual SPC'!$E$4="",'Data Entry'!$C7868&lt;='Visual SPC'!$E$4),OR('Visual SPC'!$G$4="",'Data Entry'!$D7868='Visual SPC'!$G$4),OR('Visual SPC'!$I$4="",'Data Entry'!$E7868='Visual SPC'!$I$4),OR('Visual SPC'!$K$4="",'Data Entry'!$F7868='Visual SPC'!$K$4)),1,0))</f>
        <v/>
      </c>
      <c r="C7868">
        <f>C7867+B7868</f>
        <v/>
      </c>
      <c r="D7868">
        <f>IF(B7868=1,INDEX('Data Entry'!$H$5:$BE$10004,7868-4,'Visual SPC'!$B$3),"")</f>
        <v/>
      </c>
      <c r="E7868">
        <f>IF(B7868=1,D7868,E7867)</f>
        <v/>
      </c>
      <c r="F7868">
        <f>IF(AND(B7868=1,C7868&gt;1,E7867&lt;&gt;""),ABS(D7868-E7867),"")</f>
        <v/>
      </c>
    </row>
    <row r="7869">
      <c r="A7869" t="n">
        <v>7869</v>
      </c>
      <c r="B7869">
        <f>IF(INDEX('Data Entry'!$H$5:$BE$10004,7869-4,'Visual SPC'!$B$3)="",0,IF(AND(OR('Visual SPC'!$C$4="",'Data Entry'!$C7869&gt;='Visual SPC'!$C$4),OR('Visual SPC'!$E$4="",'Data Entry'!$C7869&lt;='Visual SPC'!$E$4),OR('Visual SPC'!$G$4="",'Data Entry'!$D7869='Visual SPC'!$G$4),OR('Visual SPC'!$I$4="",'Data Entry'!$E7869='Visual SPC'!$I$4),OR('Visual SPC'!$K$4="",'Data Entry'!$F7869='Visual SPC'!$K$4)),1,0))</f>
        <v/>
      </c>
      <c r="C7869">
        <f>C7868+B7869</f>
        <v/>
      </c>
      <c r="D7869">
        <f>IF(B7869=1,INDEX('Data Entry'!$H$5:$BE$10004,7869-4,'Visual SPC'!$B$3),"")</f>
        <v/>
      </c>
      <c r="E7869">
        <f>IF(B7869=1,D7869,E7868)</f>
        <v/>
      </c>
      <c r="F7869">
        <f>IF(AND(B7869=1,C7869&gt;1,E7868&lt;&gt;""),ABS(D7869-E7868),"")</f>
        <v/>
      </c>
    </row>
    <row r="7870">
      <c r="A7870" t="n">
        <v>7870</v>
      </c>
      <c r="B7870">
        <f>IF(INDEX('Data Entry'!$H$5:$BE$10004,7870-4,'Visual SPC'!$B$3)="",0,IF(AND(OR('Visual SPC'!$C$4="",'Data Entry'!$C7870&gt;='Visual SPC'!$C$4),OR('Visual SPC'!$E$4="",'Data Entry'!$C7870&lt;='Visual SPC'!$E$4),OR('Visual SPC'!$G$4="",'Data Entry'!$D7870='Visual SPC'!$G$4),OR('Visual SPC'!$I$4="",'Data Entry'!$E7870='Visual SPC'!$I$4),OR('Visual SPC'!$K$4="",'Data Entry'!$F7870='Visual SPC'!$K$4)),1,0))</f>
        <v/>
      </c>
      <c r="C7870">
        <f>C7869+B7870</f>
        <v/>
      </c>
      <c r="D7870">
        <f>IF(B7870=1,INDEX('Data Entry'!$H$5:$BE$10004,7870-4,'Visual SPC'!$B$3),"")</f>
        <v/>
      </c>
      <c r="E7870">
        <f>IF(B7870=1,D7870,E7869)</f>
        <v/>
      </c>
      <c r="F7870">
        <f>IF(AND(B7870=1,C7870&gt;1,E7869&lt;&gt;""),ABS(D7870-E7869),"")</f>
        <v/>
      </c>
    </row>
    <row r="7871">
      <c r="A7871" t="n">
        <v>7871</v>
      </c>
      <c r="B7871">
        <f>IF(INDEX('Data Entry'!$H$5:$BE$10004,7871-4,'Visual SPC'!$B$3)="",0,IF(AND(OR('Visual SPC'!$C$4="",'Data Entry'!$C7871&gt;='Visual SPC'!$C$4),OR('Visual SPC'!$E$4="",'Data Entry'!$C7871&lt;='Visual SPC'!$E$4),OR('Visual SPC'!$G$4="",'Data Entry'!$D7871='Visual SPC'!$G$4),OR('Visual SPC'!$I$4="",'Data Entry'!$E7871='Visual SPC'!$I$4),OR('Visual SPC'!$K$4="",'Data Entry'!$F7871='Visual SPC'!$K$4)),1,0))</f>
        <v/>
      </c>
      <c r="C7871">
        <f>C7870+B7871</f>
        <v/>
      </c>
      <c r="D7871">
        <f>IF(B7871=1,INDEX('Data Entry'!$H$5:$BE$10004,7871-4,'Visual SPC'!$B$3),"")</f>
        <v/>
      </c>
      <c r="E7871">
        <f>IF(B7871=1,D7871,E7870)</f>
        <v/>
      </c>
      <c r="F7871">
        <f>IF(AND(B7871=1,C7871&gt;1,E7870&lt;&gt;""),ABS(D7871-E7870),"")</f>
        <v/>
      </c>
    </row>
    <row r="7872">
      <c r="A7872" t="n">
        <v>7872</v>
      </c>
      <c r="B7872">
        <f>IF(INDEX('Data Entry'!$H$5:$BE$10004,7872-4,'Visual SPC'!$B$3)="",0,IF(AND(OR('Visual SPC'!$C$4="",'Data Entry'!$C7872&gt;='Visual SPC'!$C$4),OR('Visual SPC'!$E$4="",'Data Entry'!$C7872&lt;='Visual SPC'!$E$4),OR('Visual SPC'!$G$4="",'Data Entry'!$D7872='Visual SPC'!$G$4),OR('Visual SPC'!$I$4="",'Data Entry'!$E7872='Visual SPC'!$I$4),OR('Visual SPC'!$K$4="",'Data Entry'!$F7872='Visual SPC'!$K$4)),1,0))</f>
        <v/>
      </c>
      <c r="C7872">
        <f>C7871+B7872</f>
        <v/>
      </c>
      <c r="D7872">
        <f>IF(B7872=1,INDEX('Data Entry'!$H$5:$BE$10004,7872-4,'Visual SPC'!$B$3),"")</f>
        <v/>
      </c>
      <c r="E7872">
        <f>IF(B7872=1,D7872,E7871)</f>
        <v/>
      </c>
      <c r="F7872">
        <f>IF(AND(B7872=1,C7872&gt;1,E7871&lt;&gt;""),ABS(D7872-E7871),"")</f>
        <v/>
      </c>
    </row>
    <row r="7873">
      <c r="A7873" t="n">
        <v>7873</v>
      </c>
      <c r="B7873">
        <f>IF(INDEX('Data Entry'!$H$5:$BE$10004,7873-4,'Visual SPC'!$B$3)="",0,IF(AND(OR('Visual SPC'!$C$4="",'Data Entry'!$C7873&gt;='Visual SPC'!$C$4),OR('Visual SPC'!$E$4="",'Data Entry'!$C7873&lt;='Visual SPC'!$E$4),OR('Visual SPC'!$G$4="",'Data Entry'!$D7873='Visual SPC'!$G$4),OR('Visual SPC'!$I$4="",'Data Entry'!$E7873='Visual SPC'!$I$4),OR('Visual SPC'!$K$4="",'Data Entry'!$F7873='Visual SPC'!$K$4)),1,0))</f>
        <v/>
      </c>
      <c r="C7873">
        <f>C7872+B7873</f>
        <v/>
      </c>
      <c r="D7873">
        <f>IF(B7873=1,INDEX('Data Entry'!$H$5:$BE$10004,7873-4,'Visual SPC'!$B$3),"")</f>
        <v/>
      </c>
      <c r="E7873">
        <f>IF(B7873=1,D7873,E7872)</f>
        <v/>
      </c>
      <c r="F7873">
        <f>IF(AND(B7873=1,C7873&gt;1,E7872&lt;&gt;""),ABS(D7873-E7872),"")</f>
        <v/>
      </c>
    </row>
    <row r="7874">
      <c r="A7874" t="n">
        <v>7874</v>
      </c>
      <c r="B7874">
        <f>IF(INDEX('Data Entry'!$H$5:$BE$10004,7874-4,'Visual SPC'!$B$3)="",0,IF(AND(OR('Visual SPC'!$C$4="",'Data Entry'!$C7874&gt;='Visual SPC'!$C$4),OR('Visual SPC'!$E$4="",'Data Entry'!$C7874&lt;='Visual SPC'!$E$4),OR('Visual SPC'!$G$4="",'Data Entry'!$D7874='Visual SPC'!$G$4),OR('Visual SPC'!$I$4="",'Data Entry'!$E7874='Visual SPC'!$I$4),OR('Visual SPC'!$K$4="",'Data Entry'!$F7874='Visual SPC'!$K$4)),1,0))</f>
        <v/>
      </c>
      <c r="C7874">
        <f>C7873+B7874</f>
        <v/>
      </c>
      <c r="D7874">
        <f>IF(B7874=1,INDEX('Data Entry'!$H$5:$BE$10004,7874-4,'Visual SPC'!$B$3),"")</f>
        <v/>
      </c>
      <c r="E7874">
        <f>IF(B7874=1,D7874,E7873)</f>
        <v/>
      </c>
      <c r="F7874">
        <f>IF(AND(B7874=1,C7874&gt;1,E7873&lt;&gt;""),ABS(D7874-E7873),"")</f>
        <v/>
      </c>
    </row>
    <row r="7875">
      <c r="A7875" t="n">
        <v>7875</v>
      </c>
      <c r="B7875">
        <f>IF(INDEX('Data Entry'!$H$5:$BE$10004,7875-4,'Visual SPC'!$B$3)="",0,IF(AND(OR('Visual SPC'!$C$4="",'Data Entry'!$C7875&gt;='Visual SPC'!$C$4),OR('Visual SPC'!$E$4="",'Data Entry'!$C7875&lt;='Visual SPC'!$E$4),OR('Visual SPC'!$G$4="",'Data Entry'!$D7875='Visual SPC'!$G$4),OR('Visual SPC'!$I$4="",'Data Entry'!$E7875='Visual SPC'!$I$4),OR('Visual SPC'!$K$4="",'Data Entry'!$F7875='Visual SPC'!$K$4)),1,0))</f>
        <v/>
      </c>
      <c r="C7875">
        <f>C7874+B7875</f>
        <v/>
      </c>
      <c r="D7875">
        <f>IF(B7875=1,INDEX('Data Entry'!$H$5:$BE$10004,7875-4,'Visual SPC'!$B$3),"")</f>
        <v/>
      </c>
      <c r="E7875">
        <f>IF(B7875=1,D7875,E7874)</f>
        <v/>
      </c>
      <c r="F7875">
        <f>IF(AND(B7875=1,C7875&gt;1,E7874&lt;&gt;""),ABS(D7875-E7874),"")</f>
        <v/>
      </c>
    </row>
    <row r="7876">
      <c r="A7876" t="n">
        <v>7876</v>
      </c>
      <c r="B7876">
        <f>IF(INDEX('Data Entry'!$H$5:$BE$10004,7876-4,'Visual SPC'!$B$3)="",0,IF(AND(OR('Visual SPC'!$C$4="",'Data Entry'!$C7876&gt;='Visual SPC'!$C$4),OR('Visual SPC'!$E$4="",'Data Entry'!$C7876&lt;='Visual SPC'!$E$4),OR('Visual SPC'!$G$4="",'Data Entry'!$D7876='Visual SPC'!$G$4),OR('Visual SPC'!$I$4="",'Data Entry'!$E7876='Visual SPC'!$I$4),OR('Visual SPC'!$K$4="",'Data Entry'!$F7876='Visual SPC'!$K$4)),1,0))</f>
        <v/>
      </c>
      <c r="C7876">
        <f>C7875+B7876</f>
        <v/>
      </c>
      <c r="D7876">
        <f>IF(B7876=1,INDEX('Data Entry'!$H$5:$BE$10004,7876-4,'Visual SPC'!$B$3),"")</f>
        <v/>
      </c>
      <c r="E7876">
        <f>IF(B7876=1,D7876,E7875)</f>
        <v/>
      </c>
      <c r="F7876">
        <f>IF(AND(B7876=1,C7876&gt;1,E7875&lt;&gt;""),ABS(D7876-E7875),"")</f>
        <v/>
      </c>
    </row>
    <row r="7877">
      <c r="A7877" t="n">
        <v>7877</v>
      </c>
      <c r="B7877">
        <f>IF(INDEX('Data Entry'!$H$5:$BE$10004,7877-4,'Visual SPC'!$B$3)="",0,IF(AND(OR('Visual SPC'!$C$4="",'Data Entry'!$C7877&gt;='Visual SPC'!$C$4),OR('Visual SPC'!$E$4="",'Data Entry'!$C7877&lt;='Visual SPC'!$E$4),OR('Visual SPC'!$G$4="",'Data Entry'!$D7877='Visual SPC'!$G$4),OR('Visual SPC'!$I$4="",'Data Entry'!$E7877='Visual SPC'!$I$4),OR('Visual SPC'!$K$4="",'Data Entry'!$F7877='Visual SPC'!$K$4)),1,0))</f>
        <v/>
      </c>
      <c r="C7877">
        <f>C7876+B7877</f>
        <v/>
      </c>
      <c r="D7877">
        <f>IF(B7877=1,INDEX('Data Entry'!$H$5:$BE$10004,7877-4,'Visual SPC'!$B$3),"")</f>
        <v/>
      </c>
      <c r="E7877">
        <f>IF(B7877=1,D7877,E7876)</f>
        <v/>
      </c>
      <c r="F7877">
        <f>IF(AND(B7877=1,C7877&gt;1,E7876&lt;&gt;""),ABS(D7877-E7876),"")</f>
        <v/>
      </c>
    </row>
    <row r="7878">
      <c r="A7878" t="n">
        <v>7878</v>
      </c>
      <c r="B7878">
        <f>IF(INDEX('Data Entry'!$H$5:$BE$10004,7878-4,'Visual SPC'!$B$3)="",0,IF(AND(OR('Visual SPC'!$C$4="",'Data Entry'!$C7878&gt;='Visual SPC'!$C$4),OR('Visual SPC'!$E$4="",'Data Entry'!$C7878&lt;='Visual SPC'!$E$4),OR('Visual SPC'!$G$4="",'Data Entry'!$D7878='Visual SPC'!$G$4),OR('Visual SPC'!$I$4="",'Data Entry'!$E7878='Visual SPC'!$I$4),OR('Visual SPC'!$K$4="",'Data Entry'!$F7878='Visual SPC'!$K$4)),1,0))</f>
        <v/>
      </c>
      <c r="C7878">
        <f>C7877+B7878</f>
        <v/>
      </c>
      <c r="D7878">
        <f>IF(B7878=1,INDEX('Data Entry'!$H$5:$BE$10004,7878-4,'Visual SPC'!$B$3),"")</f>
        <v/>
      </c>
      <c r="E7878">
        <f>IF(B7878=1,D7878,E7877)</f>
        <v/>
      </c>
      <c r="F7878">
        <f>IF(AND(B7878=1,C7878&gt;1,E7877&lt;&gt;""),ABS(D7878-E7877),"")</f>
        <v/>
      </c>
    </row>
    <row r="7879">
      <c r="A7879" t="n">
        <v>7879</v>
      </c>
      <c r="B7879">
        <f>IF(INDEX('Data Entry'!$H$5:$BE$10004,7879-4,'Visual SPC'!$B$3)="",0,IF(AND(OR('Visual SPC'!$C$4="",'Data Entry'!$C7879&gt;='Visual SPC'!$C$4),OR('Visual SPC'!$E$4="",'Data Entry'!$C7879&lt;='Visual SPC'!$E$4),OR('Visual SPC'!$G$4="",'Data Entry'!$D7879='Visual SPC'!$G$4),OR('Visual SPC'!$I$4="",'Data Entry'!$E7879='Visual SPC'!$I$4),OR('Visual SPC'!$K$4="",'Data Entry'!$F7879='Visual SPC'!$K$4)),1,0))</f>
        <v/>
      </c>
      <c r="C7879">
        <f>C7878+B7879</f>
        <v/>
      </c>
      <c r="D7879">
        <f>IF(B7879=1,INDEX('Data Entry'!$H$5:$BE$10004,7879-4,'Visual SPC'!$B$3),"")</f>
        <v/>
      </c>
      <c r="E7879">
        <f>IF(B7879=1,D7879,E7878)</f>
        <v/>
      </c>
      <c r="F7879">
        <f>IF(AND(B7879=1,C7879&gt;1,E7878&lt;&gt;""),ABS(D7879-E7878),"")</f>
        <v/>
      </c>
    </row>
    <row r="7880">
      <c r="A7880" t="n">
        <v>7880</v>
      </c>
      <c r="B7880">
        <f>IF(INDEX('Data Entry'!$H$5:$BE$10004,7880-4,'Visual SPC'!$B$3)="",0,IF(AND(OR('Visual SPC'!$C$4="",'Data Entry'!$C7880&gt;='Visual SPC'!$C$4),OR('Visual SPC'!$E$4="",'Data Entry'!$C7880&lt;='Visual SPC'!$E$4),OR('Visual SPC'!$G$4="",'Data Entry'!$D7880='Visual SPC'!$G$4),OR('Visual SPC'!$I$4="",'Data Entry'!$E7880='Visual SPC'!$I$4),OR('Visual SPC'!$K$4="",'Data Entry'!$F7880='Visual SPC'!$K$4)),1,0))</f>
        <v/>
      </c>
      <c r="C7880">
        <f>C7879+B7880</f>
        <v/>
      </c>
      <c r="D7880">
        <f>IF(B7880=1,INDEX('Data Entry'!$H$5:$BE$10004,7880-4,'Visual SPC'!$B$3),"")</f>
        <v/>
      </c>
      <c r="E7880">
        <f>IF(B7880=1,D7880,E7879)</f>
        <v/>
      </c>
      <c r="F7880">
        <f>IF(AND(B7880=1,C7880&gt;1,E7879&lt;&gt;""),ABS(D7880-E7879),"")</f>
        <v/>
      </c>
    </row>
    <row r="7881">
      <c r="A7881" t="n">
        <v>7881</v>
      </c>
      <c r="B7881">
        <f>IF(INDEX('Data Entry'!$H$5:$BE$10004,7881-4,'Visual SPC'!$B$3)="",0,IF(AND(OR('Visual SPC'!$C$4="",'Data Entry'!$C7881&gt;='Visual SPC'!$C$4),OR('Visual SPC'!$E$4="",'Data Entry'!$C7881&lt;='Visual SPC'!$E$4),OR('Visual SPC'!$G$4="",'Data Entry'!$D7881='Visual SPC'!$G$4),OR('Visual SPC'!$I$4="",'Data Entry'!$E7881='Visual SPC'!$I$4),OR('Visual SPC'!$K$4="",'Data Entry'!$F7881='Visual SPC'!$K$4)),1,0))</f>
        <v/>
      </c>
      <c r="C7881">
        <f>C7880+B7881</f>
        <v/>
      </c>
      <c r="D7881">
        <f>IF(B7881=1,INDEX('Data Entry'!$H$5:$BE$10004,7881-4,'Visual SPC'!$B$3),"")</f>
        <v/>
      </c>
      <c r="E7881">
        <f>IF(B7881=1,D7881,E7880)</f>
        <v/>
      </c>
      <c r="F7881">
        <f>IF(AND(B7881=1,C7881&gt;1,E7880&lt;&gt;""),ABS(D7881-E7880),"")</f>
        <v/>
      </c>
    </row>
    <row r="7882">
      <c r="A7882" t="n">
        <v>7882</v>
      </c>
      <c r="B7882">
        <f>IF(INDEX('Data Entry'!$H$5:$BE$10004,7882-4,'Visual SPC'!$B$3)="",0,IF(AND(OR('Visual SPC'!$C$4="",'Data Entry'!$C7882&gt;='Visual SPC'!$C$4),OR('Visual SPC'!$E$4="",'Data Entry'!$C7882&lt;='Visual SPC'!$E$4),OR('Visual SPC'!$G$4="",'Data Entry'!$D7882='Visual SPC'!$G$4),OR('Visual SPC'!$I$4="",'Data Entry'!$E7882='Visual SPC'!$I$4),OR('Visual SPC'!$K$4="",'Data Entry'!$F7882='Visual SPC'!$K$4)),1,0))</f>
        <v/>
      </c>
      <c r="C7882">
        <f>C7881+B7882</f>
        <v/>
      </c>
      <c r="D7882">
        <f>IF(B7882=1,INDEX('Data Entry'!$H$5:$BE$10004,7882-4,'Visual SPC'!$B$3),"")</f>
        <v/>
      </c>
      <c r="E7882">
        <f>IF(B7882=1,D7882,E7881)</f>
        <v/>
      </c>
      <c r="F7882">
        <f>IF(AND(B7882=1,C7882&gt;1,E7881&lt;&gt;""),ABS(D7882-E7881),"")</f>
        <v/>
      </c>
    </row>
    <row r="7883">
      <c r="A7883" t="n">
        <v>7883</v>
      </c>
      <c r="B7883">
        <f>IF(INDEX('Data Entry'!$H$5:$BE$10004,7883-4,'Visual SPC'!$B$3)="",0,IF(AND(OR('Visual SPC'!$C$4="",'Data Entry'!$C7883&gt;='Visual SPC'!$C$4),OR('Visual SPC'!$E$4="",'Data Entry'!$C7883&lt;='Visual SPC'!$E$4),OR('Visual SPC'!$G$4="",'Data Entry'!$D7883='Visual SPC'!$G$4),OR('Visual SPC'!$I$4="",'Data Entry'!$E7883='Visual SPC'!$I$4),OR('Visual SPC'!$K$4="",'Data Entry'!$F7883='Visual SPC'!$K$4)),1,0))</f>
        <v/>
      </c>
      <c r="C7883">
        <f>C7882+B7883</f>
        <v/>
      </c>
      <c r="D7883">
        <f>IF(B7883=1,INDEX('Data Entry'!$H$5:$BE$10004,7883-4,'Visual SPC'!$B$3),"")</f>
        <v/>
      </c>
      <c r="E7883">
        <f>IF(B7883=1,D7883,E7882)</f>
        <v/>
      </c>
      <c r="F7883">
        <f>IF(AND(B7883=1,C7883&gt;1,E7882&lt;&gt;""),ABS(D7883-E7882),"")</f>
        <v/>
      </c>
    </row>
    <row r="7884">
      <c r="A7884" t="n">
        <v>7884</v>
      </c>
      <c r="B7884">
        <f>IF(INDEX('Data Entry'!$H$5:$BE$10004,7884-4,'Visual SPC'!$B$3)="",0,IF(AND(OR('Visual SPC'!$C$4="",'Data Entry'!$C7884&gt;='Visual SPC'!$C$4),OR('Visual SPC'!$E$4="",'Data Entry'!$C7884&lt;='Visual SPC'!$E$4),OR('Visual SPC'!$G$4="",'Data Entry'!$D7884='Visual SPC'!$G$4),OR('Visual SPC'!$I$4="",'Data Entry'!$E7884='Visual SPC'!$I$4),OR('Visual SPC'!$K$4="",'Data Entry'!$F7884='Visual SPC'!$K$4)),1,0))</f>
        <v/>
      </c>
      <c r="C7884">
        <f>C7883+B7884</f>
        <v/>
      </c>
      <c r="D7884">
        <f>IF(B7884=1,INDEX('Data Entry'!$H$5:$BE$10004,7884-4,'Visual SPC'!$B$3),"")</f>
        <v/>
      </c>
      <c r="E7884">
        <f>IF(B7884=1,D7884,E7883)</f>
        <v/>
      </c>
      <c r="F7884">
        <f>IF(AND(B7884=1,C7884&gt;1,E7883&lt;&gt;""),ABS(D7884-E7883),"")</f>
        <v/>
      </c>
    </row>
    <row r="7885">
      <c r="A7885" t="n">
        <v>7885</v>
      </c>
      <c r="B7885">
        <f>IF(INDEX('Data Entry'!$H$5:$BE$10004,7885-4,'Visual SPC'!$B$3)="",0,IF(AND(OR('Visual SPC'!$C$4="",'Data Entry'!$C7885&gt;='Visual SPC'!$C$4),OR('Visual SPC'!$E$4="",'Data Entry'!$C7885&lt;='Visual SPC'!$E$4),OR('Visual SPC'!$G$4="",'Data Entry'!$D7885='Visual SPC'!$G$4),OR('Visual SPC'!$I$4="",'Data Entry'!$E7885='Visual SPC'!$I$4),OR('Visual SPC'!$K$4="",'Data Entry'!$F7885='Visual SPC'!$K$4)),1,0))</f>
        <v/>
      </c>
      <c r="C7885">
        <f>C7884+B7885</f>
        <v/>
      </c>
      <c r="D7885">
        <f>IF(B7885=1,INDEX('Data Entry'!$H$5:$BE$10004,7885-4,'Visual SPC'!$B$3),"")</f>
        <v/>
      </c>
      <c r="E7885">
        <f>IF(B7885=1,D7885,E7884)</f>
        <v/>
      </c>
      <c r="F7885">
        <f>IF(AND(B7885=1,C7885&gt;1,E7884&lt;&gt;""),ABS(D7885-E7884),"")</f>
        <v/>
      </c>
    </row>
    <row r="7886">
      <c r="A7886" t="n">
        <v>7886</v>
      </c>
      <c r="B7886">
        <f>IF(INDEX('Data Entry'!$H$5:$BE$10004,7886-4,'Visual SPC'!$B$3)="",0,IF(AND(OR('Visual SPC'!$C$4="",'Data Entry'!$C7886&gt;='Visual SPC'!$C$4),OR('Visual SPC'!$E$4="",'Data Entry'!$C7886&lt;='Visual SPC'!$E$4),OR('Visual SPC'!$G$4="",'Data Entry'!$D7886='Visual SPC'!$G$4),OR('Visual SPC'!$I$4="",'Data Entry'!$E7886='Visual SPC'!$I$4),OR('Visual SPC'!$K$4="",'Data Entry'!$F7886='Visual SPC'!$K$4)),1,0))</f>
        <v/>
      </c>
      <c r="C7886">
        <f>C7885+B7886</f>
        <v/>
      </c>
      <c r="D7886">
        <f>IF(B7886=1,INDEX('Data Entry'!$H$5:$BE$10004,7886-4,'Visual SPC'!$B$3),"")</f>
        <v/>
      </c>
      <c r="E7886">
        <f>IF(B7886=1,D7886,E7885)</f>
        <v/>
      </c>
      <c r="F7886">
        <f>IF(AND(B7886=1,C7886&gt;1,E7885&lt;&gt;""),ABS(D7886-E7885),"")</f>
        <v/>
      </c>
    </row>
    <row r="7887">
      <c r="A7887" t="n">
        <v>7887</v>
      </c>
      <c r="B7887">
        <f>IF(INDEX('Data Entry'!$H$5:$BE$10004,7887-4,'Visual SPC'!$B$3)="",0,IF(AND(OR('Visual SPC'!$C$4="",'Data Entry'!$C7887&gt;='Visual SPC'!$C$4),OR('Visual SPC'!$E$4="",'Data Entry'!$C7887&lt;='Visual SPC'!$E$4),OR('Visual SPC'!$G$4="",'Data Entry'!$D7887='Visual SPC'!$G$4),OR('Visual SPC'!$I$4="",'Data Entry'!$E7887='Visual SPC'!$I$4),OR('Visual SPC'!$K$4="",'Data Entry'!$F7887='Visual SPC'!$K$4)),1,0))</f>
        <v/>
      </c>
      <c r="C7887">
        <f>C7886+B7887</f>
        <v/>
      </c>
      <c r="D7887">
        <f>IF(B7887=1,INDEX('Data Entry'!$H$5:$BE$10004,7887-4,'Visual SPC'!$B$3),"")</f>
        <v/>
      </c>
      <c r="E7887">
        <f>IF(B7887=1,D7887,E7886)</f>
        <v/>
      </c>
      <c r="F7887">
        <f>IF(AND(B7887=1,C7887&gt;1,E7886&lt;&gt;""),ABS(D7887-E7886),"")</f>
        <v/>
      </c>
    </row>
    <row r="7888">
      <c r="A7888" t="n">
        <v>7888</v>
      </c>
      <c r="B7888">
        <f>IF(INDEX('Data Entry'!$H$5:$BE$10004,7888-4,'Visual SPC'!$B$3)="",0,IF(AND(OR('Visual SPC'!$C$4="",'Data Entry'!$C7888&gt;='Visual SPC'!$C$4),OR('Visual SPC'!$E$4="",'Data Entry'!$C7888&lt;='Visual SPC'!$E$4),OR('Visual SPC'!$G$4="",'Data Entry'!$D7888='Visual SPC'!$G$4),OR('Visual SPC'!$I$4="",'Data Entry'!$E7888='Visual SPC'!$I$4),OR('Visual SPC'!$K$4="",'Data Entry'!$F7888='Visual SPC'!$K$4)),1,0))</f>
        <v/>
      </c>
      <c r="C7888">
        <f>C7887+B7888</f>
        <v/>
      </c>
      <c r="D7888">
        <f>IF(B7888=1,INDEX('Data Entry'!$H$5:$BE$10004,7888-4,'Visual SPC'!$B$3),"")</f>
        <v/>
      </c>
      <c r="E7888">
        <f>IF(B7888=1,D7888,E7887)</f>
        <v/>
      </c>
      <c r="F7888">
        <f>IF(AND(B7888=1,C7888&gt;1,E7887&lt;&gt;""),ABS(D7888-E7887),"")</f>
        <v/>
      </c>
    </row>
    <row r="7889">
      <c r="A7889" t="n">
        <v>7889</v>
      </c>
      <c r="B7889">
        <f>IF(INDEX('Data Entry'!$H$5:$BE$10004,7889-4,'Visual SPC'!$B$3)="",0,IF(AND(OR('Visual SPC'!$C$4="",'Data Entry'!$C7889&gt;='Visual SPC'!$C$4),OR('Visual SPC'!$E$4="",'Data Entry'!$C7889&lt;='Visual SPC'!$E$4),OR('Visual SPC'!$G$4="",'Data Entry'!$D7889='Visual SPC'!$G$4),OR('Visual SPC'!$I$4="",'Data Entry'!$E7889='Visual SPC'!$I$4),OR('Visual SPC'!$K$4="",'Data Entry'!$F7889='Visual SPC'!$K$4)),1,0))</f>
        <v/>
      </c>
      <c r="C7889">
        <f>C7888+B7889</f>
        <v/>
      </c>
      <c r="D7889">
        <f>IF(B7889=1,INDEX('Data Entry'!$H$5:$BE$10004,7889-4,'Visual SPC'!$B$3),"")</f>
        <v/>
      </c>
      <c r="E7889">
        <f>IF(B7889=1,D7889,E7888)</f>
        <v/>
      </c>
      <c r="F7889">
        <f>IF(AND(B7889=1,C7889&gt;1,E7888&lt;&gt;""),ABS(D7889-E7888),"")</f>
        <v/>
      </c>
    </row>
    <row r="7890">
      <c r="A7890" t="n">
        <v>7890</v>
      </c>
      <c r="B7890">
        <f>IF(INDEX('Data Entry'!$H$5:$BE$10004,7890-4,'Visual SPC'!$B$3)="",0,IF(AND(OR('Visual SPC'!$C$4="",'Data Entry'!$C7890&gt;='Visual SPC'!$C$4),OR('Visual SPC'!$E$4="",'Data Entry'!$C7890&lt;='Visual SPC'!$E$4),OR('Visual SPC'!$G$4="",'Data Entry'!$D7890='Visual SPC'!$G$4),OR('Visual SPC'!$I$4="",'Data Entry'!$E7890='Visual SPC'!$I$4),OR('Visual SPC'!$K$4="",'Data Entry'!$F7890='Visual SPC'!$K$4)),1,0))</f>
        <v/>
      </c>
      <c r="C7890">
        <f>C7889+B7890</f>
        <v/>
      </c>
      <c r="D7890">
        <f>IF(B7890=1,INDEX('Data Entry'!$H$5:$BE$10004,7890-4,'Visual SPC'!$B$3),"")</f>
        <v/>
      </c>
      <c r="E7890">
        <f>IF(B7890=1,D7890,E7889)</f>
        <v/>
      </c>
      <c r="F7890">
        <f>IF(AND(B7890=1,C7890&gt;1,E7889&lt;&gt;""),ABS(D7890-E7889),"")</f>
        <v/>
      </c>
    </row>
    <row r="7891">
      <c r="A7891" t="n">
        <v>7891</v>
      </c>
      <c r="B7891">
        <f>IF(INDEX('Data Entry'!$H$5:$BE$10004,7891-4,'Visual SPC'!$B$3)="",0,IF(AND(OR('Visual SPC'!$C$4="",'Data Entry'!$C7891&gt;='Visual SPC'!$C$4),OR('Visual SPC'!$E$4="",'Data Entry'!$C7891&lt;='Visual SPC'!$E$4),OR('Visual SPC'!$G$4="",'Data Entry'!$D7891='Visual SPC'!$G$4),OR('Visual SPC'!$I$4="",'Data Entry'!$E7891='Visual SPC'!$I$4),OR('Visual SPC'!$K$4="",'Data Entry'!$F7891='Visual SPC'!$K$4)),1,0))</f>
        <v/>
      </c>
      <c r="C7891">
        <f>C7890+B7891</f>
        <v/>
      </c>
      <c r="D7891">
        <f>IF(B7891=1,INDEX('Data Entry'!$H$5:$BE$10004,7891-4,'Visual SPC'!$B$3),"")</f>
        <v/>
      </c>
      <c r="E7891">
        <f>IF(B7891=1,D7891,E7890)</f>
        <v/>
      </c>
      <c r="F7891">
        <f>IF(AND(B7891=1,C7891&gt;1,E7890&lt;&gt;""),ABS(D7891-E7890),"")</f>
        <v/>
      </c>
    </row>
    <row r="7892">
      <c r="A7892" t="n">
        <v>7892</v>
      </c>
      <c r="B7892">
        <f>IF(INDEX('Data Entry'!$H$5:$BE$10004,7892-4,'Visual SPC'!$B$3)="",0,IF(AND(OR('Visual SPC'!$C$4="",'Data Entry'!$C7892&gt;='Visual SPC'!$C$4),OR('Visual SPC'!$E$4="",'Data Entry'!$C7892&lt;='Visual SPC'!$E$4),OR('Visual SPC'!$G$4="",'Data Entry'!$D7892='Visual SPC'!$G$4),OR('Visual SPC'!$I$4="",'Data Entry'!$E7892='Visual SPC'!$I$4),OR('Visual SPC'!$K$4="",'Data Entry'!$F7892='Visual SPC'!$K$4)),1,0))</f>
        <v/>
      </c>
      <c r="C7892">
        <f>C7891+B7892</f>
        <v/>
      </c>
      <c r="D7892">
        <f>IF(B7892=1,INDEX('Data Entry'!$H$5:$BE$10004,7892-4,'Visual SPC'!$B$3),"")</f>
        <v/>
      </c>
      <c r="E7892">
        <f>IF(B7892=1,D7892,E7891)</f>
        <v/>
      </c>
      <c r="F7892">
        <f>IF(AND(B7892=1,C7892&gt;1,E7891&lt;&gt;""),ABS(D7892-E7891),"")</f>
        <v/>
      </c>
    </row>
    <row r="7893">
      <c r="A7893" t="n">
        <v>7893</v>
      </c>
      <c r="B7893">
        <f>IF(INDEX('Data Entry'!$H$5:$BE$10004,7893-4,'Visual SPC'!$B$3)="",0,IF(AND(OR('Visual SPC'!$C$4="",'Data Entry'!$C7893&gt;='Visual SPC'!$C$4),OR('Visual SPC'!$E$4="",'Data Entry'!$C7893&lt;='Visual SPC'!$E$4),OR('Visual SPC'!$G$4="",'Data Entry'!$D7893='Visual SPC'!$G$4),OR('Visual SPC'!$I$4="",'Data Entry'!$E7893='Visual SPC'!$I$4),OR('Visual SPC'!$K$4="",'Data Entry'!$F7893='Visual SPC'!$K$4)),1,0))</f>
        <v/>
      </c>
      <c r="C7893">
        <f>C7892+B7893</f>
        <v/>
      </c>
      <c r="D7893">
        <f>IF(B7893=1,INDEX('Data Entry'!$H$5:$BE$10004,7893-4,'Visual SPC'!$B$3),"")</f>
        <v/>
      </c>
      <c r="E7893">
        <f>IF(B7893=1,D7893,E7892)</f>
        <v/>
      </c>
      <c r="F7893">
        <f>IF(AND(B7893=1,C7893&gt;1,E7892&lt;&gt;""),ABS(D7893-E7892),"")</f>
        <v/>
      </c>
    </row>
    <row r="7894">
      <c r="A7894" t="n">
        <v>7894</v>
      </c>
      <c r="B7894">
        <f>IF(INDEX('Data Entry'!$H$5:$BE$10004,7894-4,'Visual SPC'!$B$3)="",0,IF(AND(OR('Visual SPC'!$C$4="",'Data Entry'!$C7894&gt;='Visual SPC'!$C$4),OR('Visual SPC'!$E$4="",'Data Entry'!$C7894&lt;='Visual SPC'!$E$4),OR('Visual SPC'!$G$4="",'Data Entry'!$D7894='Visual SPC'!$G$4),OR('Visual SPC'!$I$4="",'Data Entry'!$E7894='Visual SPC'!$I$4),OR('Visual SPC'!$K$4="",'Data Entry'!$F7894='Visual SPC'!$K$4)),1,0))</f>
        <v/>
      </c>
      <c r="C7894">
        <f>C7893+B7894</f>
        <v/>
      </c>
      <c r="D7894">
        <f>IF(B7894=1,INDEX('Data Entry'!$H$5:$BE$10004,7894-4,'Visual SPC'!$B$3),"")</f>
        <v/>
      </c>
      <c r="E7894">
        <f>IF(B7894=1,D7894,E7893)</f>
        <v/>
      </c>
      <c r="F7894">
        <f>IF(AND(B7894=1,C7894&gt;1,E7893&lt;&gt;""),ABS(D7894-E7893),"")</f>
        <v/>
      </c>
    </row>
    <row r="7895">
      <c r="A7895" t="n">
        <v>7895</v>
      </c>
      <c r="B7895">
        <f>IF(INDEX('Data Entry'!$H$5:$BE$10004,7895-4,'Visual SPC'!$B$3)="",0,IF(AND(OR('Visual SPC'!$C$4="",'Data Entry'!$C7895&gt;='Visual SPC'!$C$4),OR('Visual SPC'!$E$4="",'Data Entry'!$C7895&lt;='Visual SPC'!$E$4),OR('Visual SPC'!$G$4="",'Data Entry'!$D7895='Visual SPC'!$G$4),OR('Visual SPC'!$I$4="",'Data Entry'!$E7895='Visual SPC'!$I$4),OR('Visual SPC'!$K$4="",'Data Entry'!$F7895='Visual SPC'!$K$4)),1,0))</f>
        <v/>
      </c>
      <c r="C7895">
        <f>C7894+B7895</f>
        <v/>
      </c>
      <c r="D7895">
        <f>IF(B7895=1,INDEX('Data Entry'!$H$5:$BE$10004,7895-4,'Visual SPC'!$B$3),"")</f>
        <v/>
      </c>
      <c r="E7895">
        <f>IF(B7895=1,D7895,E7894)</f>
        <v/>
      </c>
      <c r="F7895">
        <f>IF(AND(B7895=1,C7895&gt;1,E7894&lt;&gt;""),ABS(D7895-E7894),"")</f>
        <v/>
      </c>
    </row>
    <row r="7896">
      <c r="A7896" t="n">
        <v>7896</v>
      </c>
      <c r="B7896">
        <f>IF(INDEX('Data Entry'!$H$5:$BE$10004,7896-4,'Visual SPC'!$B$3)="",0,IF(AND(OR('Visual SPC'!$C$4="",'Data Entry'!$C7896&gt;='Visual SPC'!$C$4),OR('Visual SPC'!$E$4="",'Data Entry'!$C7896&lt;='Visual SPC'!$E$4),OR('Visual SPC'!$G$4="",'Data Entry'!$D7896='Visual SPC'!$G$4),OR('Visual SPC'!$I$4="",'Data Entry'!$E7896='Visual SPC'!$I$4),OR('Visual SPC'!$K$4="",'Data Entry'!$F7896='Visual SPC'!$K$4)),1,0))</f>
        <v/>
      </c>
      <c r="C7896">
        <f>C7895+B7896</f>
        <v/>
      </c>
      <c r="D7896">
        <f>IF(B7896=1,INDEX('Data Entry'!$H$5:$BE$10004,7896-4,'Visual SPC'!$B$3),"")</f>
        <v/>
      </c>
      <c r="E7896">
        <f>IF(B7896=1,D7896,E7895)</f>
        <v/>
      </c>
      <c r="F7896">
        <f>IF(AND(B7896=1,C7896&gt;1,E7895&lt;&gt;""),ABS(D7896-E7895),"")</f>
        <v/>
      </c>
    </row>
    <row r="7897">
      <c r="A7897" t="n">
        <v>7897</v>
      </c>
      <c r="B7897">
        <f>IF(INDEX('Data Entry'!$H$5:$BE$10004,7897-4,'Visual SPC'!$B$3)="",0,IF(AND(OR('Visual SPC'!$C$4="",'Data Entry'!$C7897&gt;='Visual SPC'!$C$4),OR('Visual SPC'!$E$4="",'Data Entry'!$C7897&lt;='Visual SPC'!$E$4),OR('Visual SPC'!$G$4="",'Data Entry'!$D7897='Visual SPC'!$G$4),OR('Visual SPC'!$I$4="",'Data Entry'!$E7897='Visual SPC'!$I$4),OR('Visual SPC'!$K$4="",'Data Entry'!$F7897='Visual SPC'!$K$4)),1,0))</f>
        <v/>
      </c>
      <c r="C7897">
        <f>C7896+B7897</f>
        <v/>
      </c>
      <c r="D7897">
        <f>IF(B7897=1,INDEX('Data Entry'!$H$5:$BE$10004,7897-4,'Visual SPC'!$B$3),"")</f>
        <v/>
      </c>
      <c r="E7897">
        <f>IF(B7897=1,D7897,E7896)</f>
        <v/>
      </c>
      <c r="F7897">
        <f>IF(AND(B7897=1,C7897&gt;1,E7896&lt;&gt;""),ABS(D7897-E7896),"")</f>
        <v/>
      </c>
    </row>
    <row r="7898">
      <c r="A7898" t="n">
        <v>7898</v>
      </c>
      <c r="B7898">
        <f>IF(INDEX('Data Entry'!$H$5:$BE$10004,7898-4,'Visual SPC'!$B$3)="",0,IF(AND(OR('Visual SPC'!$C$4="",'Data Entry'!$C7898&gt;='Visual SPC'!$C$4),OR('Visual SPC'!$E$4="",'Data Entry'!$C7898&lt;='Visual SPC'!$E$4),OR('Visual SPC'!$G$4="",'Data Entry'!$D7898='Visual SPC'!$G$4),OR('Visual SPC'!$I$4="",'Data Entry'!$E7898='Visual SPC'!$I$4),OR('Visual SPC'!$K$4="",'Data Entry'!$F7898='Visual SPC'!$K$4)),1,0))</f>
        <v/>
      </c>
      <c r="C7898">
        <f>C7897+B7898</f>
        <v/>
      </c>
      <c r="D7898">
        <f>IF(B7898=1,INDEX('Data Entry'!$H$5:$BE$10004,7898-4,'Visual SPC'!$B$3),"")</f>
        <v/>
      </c>
      <c r="E7898">
        <f>IF(B7898=1,D7898,E7897)</f>
        <v/>
      </c>
      <c r="F7898">
        <f>IF(AND(B7898=1,C7898&gt;1,E7897&lt;&gt;""),ABS(D7898-E7897),"")</f>
        <v/>
      </c>
    </row>
    <row r="7899">
      <c r="A7899" t="n">
        <v>7899</v>
      </c>
      <c r="B7899">
        <f>IF(INDEX('Data Entry'!$H$5:$BE$10004,7899-4,'Visual SPC'!$B$3)="",0,IF(AND(OR('Visual SPC'!$C$4="",'Data Entry'!$C7899&gt;='Visual SPC'!$C$4),OR('Visual SPC'!$E$4="",'Data Entry'!$C7899&lt;='Visual SPC'!$E$4),OR('Visual SPC'!$G$4="",'Data Entry'!$D7899='Visual SPC'!$G$4),OR('Visual SPC'!$I$4="",'Data Entry'!$E7899='Visual SPC'!$I$4),OR('Visual SPC'!$K$4="",'Data Entry'!$F7899='Visual SPC'!$K$4)),1,0))</f>
        <v/>
      </c>
      <c r="C7899">
        <f>C7898+B7899</f>
        <v/>
      </c>
      <c r="D7899">
        <f>IF(B7899=1,INDEX('Data Entry'!$H$5:$BE$10004,7899-4,'Visual SPC'!$B$3),"")</f>
        <v/>
      </c>
      <c r="E7899">
        <f>IF(B7899=1,D7899,E7898)</f>
        <v/>
      </c>
      <c r="F7899">
        <f>IF(AND(B7899=1,C7899&gt;1,E7898&lt;&gt;""),ABS(D7899-E7898),"")</f>
        <v/>
      </c>
    </row>
    <row r="7900">
      <c r="A7900" t="n">
        <v>7900</v>
      </c>
      <c r="B7900">
        <f>IF(INDEX('Data Entry'!$H$5:$BE$10004,7900-4,'Visual SPC'!$B$3)="",0,IF(AND(OR('Visual SPC'!$C$4="",'Data Entry'!$C7900&gt;='Visual SPC'!$C$4),OR('Visual SPC'!$E$4="",'Data Entry'!$C7900&lt;='Visual SPC'!$E$4),OR('Visual SPC'!$G$4="",'Data Entry'!$D7900='Visual SPC'!$G$4),OR('Visual SPC'!$I$4="",'Data Entry'!$E7900='Visual SPC'!$I$4),OR('Visual SPC'!$K$4="",'Data Entry'!$F7900='Visual SPC'!$K$4)),1,0))</f>
        <v/>
      </c>
      <c r="C7900">
        <f>C7899+B7900</f>
        <v/>
      </c>
      <c r="D7900">
        <f>IF(B7900=1,INDEX('Data Entry'!$H$5:$BE$10004,7900-4,'Visual SPC'!$B$3),"")</f>
        <v/>
      </c>
      <c r="E7900">
        <f>IF(B7900=1,D7900,E7899)</f>
        <v/>
      </c>
      <c r="F7900">
        <f>IF(AND(B7900=1,C7900&gt;1,E7899&lt;&gt;""),ABS(D7900-E7899),"")</f>
        <v/>
      </c>
    </row>
    <row r="7901">
      <c r="A7901" t="n">
        <v>7901</v>
      </c>
      <c r="B7901">
        <f>IF(INDEX('Data Entry'!$H$5:$BE$10004,7901-4,'Visual SPC'!$B$3)="",0,IF(AND(OR('Visual SPC'!$C$4="",'Data Entry'!$C7901&gt;='Visual SPC'!$C$4),OR('Visual SPC'!$E$4="",'Data Entry'!$C7901&lt;='Visual SPC'!$E$4),OR('Visual SPC'!$G$4="",'Data Entry'!$D7901='Visual SPC'!$G$4),OR('Visual SPC'!$I$4="",'Data Entry'!$E7901='Visual SPC'!$I$4),OR('Visual SPC'!$K$4="",'Data Entry'!$F7901='Visual SPC'!$K$4)),1,0))</f>
        <v/>
      </c>
      <c r="C7901">
        <f>C7900+B7901</f>
        <v/>
      </c>
      <c r="D7901">
        <f>IF(B7901=1,INDEX('Data Entry'!$H$5:$BE$10004,7901-4,'Visual SPC'!$B$3),"")</f>
        <v/>
      </c>
      <c r="E7901">
        <f>IF(B7901=1,D7901,E7900)</f>
        <v/>
      </c>
      <c r="F7901">
        <f>IF(AND(B7901=1,C7901&gt;1,E7900&lt;&gt;""),ABS(D7901-E7900),"")</f>
        <v/>
      </c>
    </row>
    <row r="7902">
      <c r="A7902" t="n">
        <v>7902</v>
      </c>
      <c r="B7902">
        <f>IF(INDEX('Data Entry'!$H$5:$BE$10004,7902-4,'Visual SPC'!$B$3)="",0,IF(AND(OR('Visual SPC'!$C$4="",'Data Entry'!$C7902&gt;='Visual SPC'!$C$4),OR('Visual SPC'!$E$4="",'Data Entry'!$C7902&lt;='Visual SPC'!$E$4),OR('Visual SPC'!$G$4="",'Data Entry'!$D7902='Visual SPC'!$G$4),OR('Visual SPC'!$I$4="",'Data Entry'!$E7902='Visual SPC'!$I$4),OR('Visual SPC'!$K$4="",'Data Entry'!$F7902='Visual SPC'!$K$4)),1,0))</f>
        <v/>
      </c>
      <c r="C7902">
        <f>C7901+B7902</f>
        <v/>
      </c>
      <c r="D7902">
        <f>IF(B7902=1,INDEX('Data Entry'!$H$5:$BE$10004,7902-4,'Visual SPC'!$B$3),"")</f>
        <v/>
      </c>
      <c r="E7902">
        <f>IF(B7902=1,D7902,E7901)</f>
        <v/>
      </c>
      <c r="F7902">
        <f>IF(AND(B7902=1,C7902&gt;1,E7901&lt;&gt;""),ABS(D7902-E7901),"")</f>
        <v/>
      </c>
    </row>
    <row r="7903">
      <c r="A7903" t="n">
        <v>7903</v>
      </c>
      <c r="B7903">
        <f>IF(INDEX('Data Entry'!$H$5:$BE$10004,7903-4,'Visual SPC'!$B$3)="",0,IF(AND(OR('Visual SPC'!$C$4="",'Data Entry'!$C7903&gt;='Visual SPC'!$C$4),OR('Visual SPC'!$E$4="",'Data Entry'!$C7903&lt;='Visual SPC'!$E$4),OR('Visual SPC'!$G$4="",'Data Entry'!$D7903='Visual SPC'!$G$4),OR('Visual SPC'!$I$4="",'Data Entry'!$E7903='Visual SPC'!$I$4),OR('Visual SPC'!$K$4="",'Data Entry'!$F7903='Visual SPC'!$K$4)),1,0))</f>
        <v/>
      </c>
      <c r="C7903">
        <f>C7902+B7903</f>
        <v/>
      </c>
      <c r="D7903">
        <f>IF(B7903=1,INDEX('Data Entry'!$H$5:$BE$10004,7903-4,'Visual SPC'!$B$3),"")</f>
        <v/>
      </c>
      <c r="E7903">
        <f>IF(B7903=1,D7903,E7902)</f>
        <v/>
      </c>
      <c r="F7903">
        <f>IF(AND(B7903=1,C7903&gt;1,E7902&lt;&gt;""),ABS(D7903-E7902),"")</f>
        <v/>
      </c>
    </row>
    <row r="7904">
      <c r="A7904" t="n">
        <v>7904</v>
      </c>
      <c r="B7904">
        <f>IF(INDEX('Data Entry'!$H$5:$BE$10004,7904-4,'Visual SPC'!$B$3)="",0,IF(AND(OR('Visual SPC'!$C$4="",'Data Entry'!$C7904&gt;='Visual SPC'!$C$4),OR('Visual SPC'!$E$4="",'Data Entry'!$C7904&lt;='Visual SPC'!$E$4),OR('Visual SPC'!$G$4="",'Data Entry'!$D7904='Visual SPC'!$G$4),OR('Visual SPC'!$I$4="",'Data Entry'!$E7904='Visual SPC'!$I$4),OR('Visual SPC'!$K$4="",'Data Entry'!$F7904='Visual SPC'!$K$4)),1,0))</f>
        <v/>
      </c>
      <c r="C7904">
        <f>C7903+B7904</f>
        <v/>
      </c>
      <c r="D7904">
        <f>IF(B7904=1,INDEX('Data Entry'!$H$5:$BE$10004,7904-4,'Visual SPC'!$B$3),"")</f>
        <v/>
      </c>
      <c r="E7904">
        <f>IF(B7904=1,D7904,E7903)</f>
        <v/>
      </c>
      <c r="F7904">
        <f>IF(AND(B7904=1,C7904&gt;1,E7903&lt;&gt;""),ABS(D7904-E7903),"")</f>
        <v/>
      </c>
    </row>
    <row r="7905">
      <c r="A7905" t="n">
        <v>7905</v>
      </c>
      <c r="B7905">
        <f>IF(INDEX('Data Entry'!$H$5:$BE$10004,7905-4,'Visual SPC'!$B$3)="",0,IF(AND(OR('Visual SPC'!$C$4="",'Data Entry'!$C7905&gt;='Visual SPC'!$C$4),OR('Visual SPC'!$E$4="",'Data Entry'!$C7905&lt;='Visual SPC'!$E$4),OR('Visual SPC'!$G$4="",'Data Entry'!$D7905='Visual SPC'!$G$4),OR('Visual SPC'!$I$4="",'Data Entry'!$E7905='Visual SPC'!$I$4),OR('Visual SPC'!$K$4="",'Data Entry'!$F7905='Visual SPC'!$K$4)),1,0))</f>
        <v/>
      </c>
      <c r="C7905">
        <f>C7904+B7905</f>
        <v/>
      </c>
      <c r="D7905">
        <f>IF(B7905=1,INDEX('Data Entry'!$H$5:$BE$10004,7905-4,'Visual SPC'!$B$3),"")</f>
        <v/>
      </c>
      <c r="E7905">
        <f>IF(B7905=1,D7905,E7904)</f>
        <v/>
      </c>
      <c r="F7905">
        <f>IF(AND(B7905=1,C7905&gt;1,E7904&lt;&gt;""),ABS(D7905-E7904),"")</f>
        <v/>
      </c>
    </row>
    <row r="7906">
      <c r="A7906" t="n">
        <v>7906</v>
      </c>
      <c r="B7906">
        <f>IF(INDEX('Data Entry'!$H$5:$BE$10004,7906-4,'Visual SPC'!$B$3)="",0,IF(AND(OR('Visual SPC'!$C$4="",'Data Entry'!$C7906&gt;='Visual SPC'!$C$4),OR('Visual SPC'!$E$4="",'Data Entry'!$C7906&lt;='Visual SPC'!$E$4),OR('Visual SPC'!$G$4="",'Data Entry'!$D7906='Visual SPC'!$G$4),OR('Visual SPC'!$I$4="",'Data Entry'!$E7906='Visual SPC'!$I$4),OR('Visual SPC'!$K$4="",'Data Entry'!$F7906='Visual SPC'!$K$4)),1,0))</f>
        <v/>
      </c>
      <c r="C7906">
        <f>C7905+B7906</f>
        <v/>
      </c>
      <c r="D7906">
        <f>IF(B7906=1,INDEX('Data Entry'!$H$5:$BE$10004,7906-4,'Visual SPC'!$B$3),"")</f>
        <v/>
      </c>
      <c r="E7906">
        <f>IF(B7906=1,D7906,E7905)</f>
        <v/>
      </c>
      <c r="F7906">
        <f>IF(AND(B7906=1,C7906&gt;1,E7905&lt;&gt;""),ABS(D7906-E7905),"")</f>
        <v/>
      </c>
    </row>
    <row r="7907">
      <c r="A7907" t="n">
        <v>7907</v>
      </c>
      <c r="B7907">
        <f>IF(INDEX('Data Entry'!$H$5:$BE$10004,7907-4,'Visual SPC'!$B$3)="",0,IF(AND(OR('Visual SPC'!$C$4="",'Data Entry'!$C7907&gt;='Visual SPC'!$C$4),OR('Visual SPC'!$E$4="",'Data Entry'!$C7907&lt;='Visual SPC'!$E$4),OR('Visual SPC'!$G$4="",'Data Entry'!$D7907='Visual SPC'!$G$4),OR('Visual SPC'!$I$4="",'Data Entry'!$E7907='Visual SPC'!$I$4),OR('Visual SPC'!$K$4="",'Data Entry'!$F7907='Visual SPC'!$K$4)),1,0))</f>
        <v/>
      </c>
      <c r="C7907">
        <f>C7906+B7907</f>
        <v/>
      </c>
      <c r="D7907">
        <f>IF(B7907=1,INDEX('Data Entry'!$H$5:$BE$10004,7907-4,'Visual SPC'!$B$3),"")</f>
        <v/>
      </c>
      <c r="E7907">
        <f>IF(B7907=1,D7907,E7906)</f>
        <v/>
      </c>
      <c r="F7907">
        <f>IF(AND(B7907=1,C7907&gt;1,E7906&lt;&gt;""),ABS(D7907-E7906),"")</f>
        <v/>
      </c>
    </row>
    <row r="7908">
      <c r="A7908" t="n">
        <v>7908</v>
      </c>
      <c r="B7908">
        <f>IF(INDEX('Data Entry'!$H$5:$BE$10004,7908-4,'Visual SPC'!$B$3)="",0,IF(AND(OR('Visual SPC'!$C$4="",'Data Entry'!$C7908&gt;='Visual SPC'!$C$4),OR('Visual SPC'!$E$4="",'Data Entry'!$C7908&lt;='Visual SPC'!$E$4),OR('Visual SPC'!$G$4="",'Data Entry'!$D7908='Visual SPC'!$G$4),OR('Visual SPC'!$I$4="",'Data Entry'!$E7908='Visual SPC'!$I$4),OR('Visual SPC'!$K$4="",'Data Entry'!$F7908='Visual SPC'!$K$4)),1,0))</f>
        <v/>
      </c>
      <c r="C7908">
        <f>C7907+B7908</f>
        <v/>
      </c>
      <c r="D7908">
        <f>IF(B7908=1,INDEX('Data Entry'!$H$5:$BE$10004,7908-4,'Visual SPC'!$B$3),"")</f>
        <v/>
      </c>
      <c r="E7908">
        <f>IF(B7908=1,D7908,E7907)</f>
        <v/>
      </c>
      <c r="F7908">
        <f>IF(AND(B7908=1,C7908&gt;1,E7907&lt;&gt;""),ABS(D7908-E7907),"")</f>
        <v/>
      </c>
    </row>
    <row r="7909">
      <c r="A7909" t="n">
        <v>7909</v>
      </c>
      <c r="B7909">
        <f>IF(INDEX('Data Entry'!$H$5:$BE$10004,7909-4,'Visual SPC'!$B$3)="",0,IF(AND(OR('Visual SPC'!$C$4="",'Data Entry'!$C7909&gt;='Visual SPC'!$C$4),OR('Visual SPC'!$E$4="",'Data Entry'!$C7909&lt;='Visual SPC'!$E$4),OR('Visual SPC'!$G$4="",'Data Entry'!$D7909='Visual SPC'!$G$4),OR('Visual SPC'!$I$4="",'Data Entry'!$E7909='Visual SPC'!$I$4),OR('Visual SPC'!$K$4="",'Data Entry'!$F7909='Visual SPC'!$K$4)),1,0))</f>
        <v/>
      </c>
      <c r="C7909">
        <f>C7908+B7909</f>
        <v/>
      </c>
      <c r="D7909">
        <f>IF(B7909=1,INDEX('Data Entry'!$H$5:$BE$10004,7909-4,'Visual SPC'!$B$3),"")</f>
        <v/>
      </c>
      <c r="E7909">
        <f>IF(B7909=1,D7909,E7908)</f>
        <v/>
      </c>
      <c r="F7909">
        <f>IF(AND(B7909=1,C7909&gt;1,E7908&lt;&gt;""),ABS(D7909-E7908),"")</f>
        <v/>
      </c>
    </row>
    <row r="7910">
      <c r="A7910" t="n">
        <v>7910</v>
      </c>
      <c r="B7910">
        <f>IF(INDEX('Data Entry'!$H$5:$BE$10004,7910-4,'Visual SPC'!$B$3)="",0,IF(AND(OR('Visual SPC'!$C$4="",'Data Entry'!$C7910&gt;='Visual SPC'!$C$4),OR('Visual SPC'!$E$4="",'Data Entry'!$C7910&lt;='Visual SPC'!$E$4),OR('Visual SPC'!$G$4="",'Data Entry'!$D7910='Visual SPC'!$G$4),OR('Visual SPC'!$I$4="",'Data Entry'!$E7910='Visual SPC'!$I$4),OR('Visual SPC'!$K$4="",'Data Entry'!$F7910='Visual SPC'!$K$4)),1,0))</f>
        <v/>
      </c>
      <c r="C7910">
        <f>C7909+B7910</f>
        <v/>
      </c>
      <c r="D7910">
        <f>IF(B7910=1,INDEX('Data Entry'!$H$5:$BE$10004,7910-4,'Visual SPC'!$B$3),"")</f>
        <v/>
      </c>
      <c r="E7910">
        <f>IF(B7910=1,D7910,E7909)</f>
        <v/>
      </c>
      <c r="F7910">
        <f>IF(AND(B7910=1,C7910&gt;1,E7909&lt;&gt;""),ABS(D7910-E7909),"")</f>
        <v/>
      </c>
    </row>
    <row r="7911">
      <c r="A7911" t="n">
        <v>7911</v>
      </c>
      <c r="B7911">
        <f>IF(INDEX('Data Entry'!$H$5:$BE$10004,7911-4,'Visual SPC'!$B$3)="",0,IF(AND(OR('Visual SPC'!$C$4="",'Data Entry'!$C7911&gt;='Visual SPC'!$C$4),OR('Visual SPC'!$E$4="",'Data Entry'!$C7911&lt;='Visual SPC'!$E$4),OR('Visual SPC'!$G$4="",'Data Entry'!$D7911='Visual SPC'!$G$4),OR('Visual SPC'!$I$4="",'Data Entry'!$E7911='Visual SPC'!$I$4),OR('Visual SPC'!$K$4="",'Data Entry'!$F7911='Visual SPC'!$K$4)),1,0))</f>
        <v/>
      </c>
      <c r="C7911">
        <f>C7910+B7911</f>
        <v/>
      </c>
      <c r="D7911">
        <f>IF(B7911=1,INDEX('Data Entry'!$H$5:$BE$10004,7911-4,'Visual SPC'!$B$3),"")</f>
        <v/>
      </c>
      <c r="E7911">
        <f>IF(B7911=1,D7911,E7910)</f>
        <v/>
      </c>
      <c r="F7911">
        <f>IF(AND(B7911=1,C7911&gt;1,E7910&lt;&gt;""),ABS(D7911-E7910),"")</f>
        <v/>
      </c>
    </row>
    <row r="7912">
      <c r="A7912" t="n">
        <v>7912</v>
      </c>
      <c r="B7912">
        <f>IF(INDEX('Data Entry'!$H$5:$BE$10004,7912-4,'Visual SPC'!$B$3)="",0,IF(AND(OR('Visual SPC'!$C$4="",'Data Entry'!$C7912&gt;='Visual SPC'!$C$4),OR('Visual SPC'!$E$4="",'Data Entry'!$C7912&lt;='Visual SPC'!$E$4),OR('Visual SPC'!$G$4="",'Data Entry'!$D7912='Visual SPC'!$G$4),OR('Visual SPC'!$I$4="",'Data Entry'!$E7912='Visual SPC'!$I$4),OR('Visual SPC'!$K$4="",'Data Entry'!$F7912='Visual SPC'!$K$4)),1,0))</f>
        <v/>
      </c>
      <c r="C7912">
        <f>C7911+B7912</f>
        <v/>
      </c>
      <c r="D7912">
        <f>IF(B7912=1,INDEX('Data Entry'!$H$5:$BE$10004,7912-4,'Visual SPC'!$B$3),"")</f>
        <v/>
      </c>
      <c r="E7912">
        <f>IF(B7912=1,D7912,E7911)</f>
        <v/>
      </c>
      <c r="F7912">
        <f>IF(AND(B7912=1,C7912&gt;1,E7911&lt;&gt;""),ABS(D7912-E7911),"")</f>
        <v/>
      </c>
    </row>
    <row r="7913">
      <c r="A7913" t="n">
        <v>7913</v>
      </c>
      <c r="B7913">
        <f>IF(INDEX('Data Entry'!$H$5:$BE$10004,7913-4,'Visual SPC'!$B$3)="",0,IF(AND(OR('Visual SPC'!$C$4="",'Data Entry'!$C7913&gt;='Visual SPC'!$C$4),OR('Visual SPC'!$E$4="",'Data Entry'!$C7913&lt;='Visual SPC'!$E$4),OR('Visual SPC'!$G$4="",'Data Entry'!$D7913='Visual SPC'!$G$4),OR('Visual SPC'!$I$4="",'Data Entry'!$E7913='Visual SPC'!$I$4),OR('Visual SPC'!$K$4="",'Data Entry'!$F7913='Visual SPC'!$K$4)),1,0))</f>
        <v/>
      </c>
      <c r="C7913">
        <f>C7912+B7913</f>
        <v/>
      </c>
      <c r="D7913">
        <f>IF(B7913=1,INDEX('Data Entry'!$H$5:$BE$10004,7913-4,'Visual SPC'!$B$3),"")</f>
        <v/>
      </c>
      <c r="E7913">
        <f>IF(B7913=1,D7913,E7912)</f>
        <v/>
      </c>
      <c r="F7913">
        <f>IF(AND(B7913=1,C7913&gt;1,E7912&lt;&gt;""),ABS(D7913-E7912),"")</f>
        <v/>
      </c>
    </row>
    <row r="7914">
      <c r="A7914" t="n">
        <v>7914</v>
      </c>
      <c r="B7914">
        <f>IF(INDEX('Data Entry'!$H$5:$BE$10004,7914-4,'Visual SPC'!$B$3)="",0,IF(AND(OR('Visual SPC'!$C$4="",'Data Entry'!$C7914&gt;='Visual SPC'!$C$4),OR('Visual SPC'!$E$4="",'Data Entry'!$C7914&lt;='Visual SPC'!$E$4),OR('Visual SPC'!$G$4="",'Data Entry'!$D7914='Visual SPC'!$G$4),OR('Visual SPC'!$I$4="",'Data Entry'!$E7914='Visual SPC'!$I$4),OR('Visual SPC'!$K$4="",'Data Entry'!$F7914='Visual SPC'!$K$4)),1,0))</f>
        <v/>
      </c>
      <c r="C7914">
        <f>C7913+B7914</f>
        <v/>
      </c>
      <c r="D7914">
        <f>IF(B7914=1,INDEX('Data Entry'!$H$5:$BE$10004,7914-4,'Visual SPC'!$B$3),"")</f>
        <v/>
      </c>
      <c r="E7914">
        <f>IF(B7914=1,D7914,E7913)</f>
        <v/>
      </c>
      <c r="F7914">
        <f>IF(AND(B7914=1,C7914&gt;1,E7913&lt;&gt;""),ABS(D7914-E7913),"")</f>
        <v/>
      </c>
    </row>
    <row r="7915">
      <c r="A7915" t="n">
        <v>7915</v>
      </c>
      <c r="B7915">
        <f>IF(INDEX('Data Entry'!$H$5:$BE$10004,7915-4,'Visual SPC'!$B$3)="",0,IF(AND(OR('Visual SPC'!$C$4="",'Data Entry'!$C7915&gt;='Visual SPC'!$C$4),OR('Visual SPC'!$E$4="",'Data Entry'!$C7915&lt;='Visual SPC'!$E$4),OR('Visual SPC'!$G$4="",'Data Entry'!$D7915='Visual SPC'!$G$4),OR('Visual SPC'!$I$4="",'Data Entry'!$E7915='Visual SPC'!$I$4),OR('Visual SPC'!$K$4="",'Data Entry'!$F7915='Visual SPC'!$K$4)),1,0))</f>
        <v/>
      </c>
      <c r="C7915">
        <f>C7914+B7915</f>
        <v/>
      </c>
      <c r="D7915">
        <f>IF(B7915=1,INDEX('Data Entry'!$H$5:$BE$10004,7915-4,'Visual SPC'!$B$3),"")</f>
        <v/>
      </c>
      <c r="E7915">
        <f>IF(B7915=1,D7915,E7914)</f>
        <v/>
      </c>
      <c r="F7915">
        <f>IF(AND(B7915=1,C7915&gt;1,E7914&lt;&gt;""),ABS(D7915-E7914),"")</f>
        <v/>
      </c>
    </row>
    <row r="7916">
      <c r="A7916" t="n">
        <v>7916</v>
      </c>
      <c r="B7916">
        <f>IF(INDEX('Data Entry'!$H$5:$BE$10004,7916-4,'Visual SPC'!$B$3)="",0,IF(AND(OR('Visual SPC'!$C$4="",'Data Entry'!$C7916&gt;='Visual SPC'!$C$4),OR('Visual SPC'!$E$4="",'Data Entry'!$C7916&lt;='Visual SPC'!$E$4),OR('Visual SPC'!$G$4="",'Data Entry'!$D7916='Visual SPC'!$G$4),OR('Visual SPC'!$I$4="",'Data Entry'!$E7916='Visual SPC'!$I$4),OR('Visual SPC'!$K$4="",'Data Entry'!$F7916='Visual SPC'!$K$4)),1,0))</f>
        <v/>
      </c>
      <c r="C7916">
        <f>C7915+B7916</f>
        <v/>
      </c>
      <c r="D7916">
        <f>IF(B7916=1,INDEX('Data Entry'!$H$5:$BE$10004,7916-4,'Visual SPC'!$B$3),"")</f>
        <v/>
      </c>
      <c r="E7916">
        <f>IF(B7916=1,D7916,E7915)</f>
        <v/>
      </c>
      <c r="F7916">
        <f>IF(AND(B7916=1,C7916&gt;1,E7915&lt;&gt;""),ABS(D7916-E7915),"")</f>
        <v/>
      </c>
    </row>
    <row r="7917">
      <c r="A7917" t="n">
        <v>7917</v>
      </c>
      <c r="B7917">
        <f>IF(INDEX('Data Entry'!$H$5:$BE$10004,7917-4,'Visual SPC'!$B$3)="",0,IF(AND(OR('Visual SPC'!$C$4="",'Data Entry'!$C7917&gt;='Visual SPC'!$C$4),OR('Visual SPC'!$E$4="",'Data Entry'!$C7917&lt;='Visual SPC'!$E$4),OR('Visual SPC'!$G$4="",'Data Entry'!$D7917='Visual SPC'!$G$4),OR('Visual SPC'!$I$4="",'Data Entry'!$E7917='Visual SPC'!$I$4),OR('Visual SPC'!$K$4="",'Data Entry'!$F7917='Visual SPC'!$K$4)),1,0))</f>
        <v/>
      </c>
      <c r="C7917">
        <f>C7916+B7917</f>
        <v/>
      </c>
      <c r="D7917">
        <f>IF(B7917=1,INDEX('Data Entry'!$H$5:$BE$10004,7917-4,'Visual SPC'!$B$3),"")</f>
        <v/>
      </c>
      <c r="E7917">
        <f>IF(B7917=1,D7917,E7916)</f>
        <v/>
      </c>
      <c r="F7917">
        <f>IF(AND(B7917=1,C7917&gt;1,E7916&lt;&gt;""),ABS(D7917-E7916),"")</f>
        <v/>
      </c>
    </row>
    <row r="7918">
      <c r="A7918" t="n">
        <v>7918</v>
      </c>
      <c r="B7918">
        <f>IF(INDEX('Data Entry'!$H$5:$BE$10004,7918-4,'Visual SPC'!$B$3)="",0,IF(AND(OR('Visual SPC'!$C$4="",'Data Entry'!$C7918&gt;='Visual SPC'!$C$4),OR('Visual SPC'!$E$4="",'Data Entry'!$C7918&lt;='Visual SPC'!$E$4),OR('Visual SPC'!$G$4="",'Data Entry'!$D7918='Visual SPC'!$G$4),OR('Visual SPC'!$I$4="",'Data Entry'!$E7918='Visual SPC'!$I$4),OR('Visual SPC'!$K$4="",'Data Entry'!$F7918='Visual SPC'!$K$4)),1,0))</f>
        <v/>
      </c>
      <c r="C7918">
        <f>C7917+B7918</f>
        <v/>
      </c>
      <c r="D7918">
        <f>IF(B7918=1,INDEX('Data Entry'!$H$5:$BE$10004,7918-4,'Visual SPC'!$B$3),"")</f>
        <v/>
      </c>
      <c r="E7918">
        <f>IF(B7918=1,D7918,E7917)</f>
        <v/>
      </c>
      <c r="F7918">
        <f>IF(AND(B7918=1,C7918&gt;1,E7917&lt;&gt;""),ABS(D7918-E7917),"")</f>
        <v/>
      </c>
    </row>
    <row r="7919">
      <c r="A7919" t="n">
        <v>7919</v>
      </c>
      <c r="B7919">
        <f>IF(INDEX('Data Entry'!$H$5:$BE$10004,7919-4,'Visual SPC'!$B$3)="",0,IF(AND(OR('Visual SPC'!$C$4="",'Data Entry'!$C7919&gt;='Visual SPC'!$C$4),OR('Visual SPC'!$E$4="",'Data Entry'!$C7919&lt;='Visual SPC'!$E$4),OR('Visual SPC'!$G$4="",'Data Entry'!$D7919='Visual SPC'!$G$4),OR('Visual SPC'!$I$4="",'Data Entry'!$E7919='Visual SPC'!$I$4),OR('Visual SPC'!$K$4="",'Data Entry'!$F7919='Visual SPC'!$K$4)),1,0))</f>
        <v/>
      </c>
      <c r="C7919">
        <f>C7918+B7919</f>
        <v/>
      </c>
      <c r="D7919">
        <f>IF(B7919=1,INDEX('Data Entry'!$H$5:$BE$10004,7919-4,'Visual SPC'!$B$3),"")</f>
        <v/>
      </c>
      <c r="E7919">
        <f>IF(B7919=1,D7919,E7918)</f>
        <v/>
      </c>
      <c r="F7919">
        <f>IF(AND(B7919=1,C7919&gt;1,E7918&lt;&gt;""),ABS(D7919-E7918),"")</f>
        <v/>
      </c>
    </row>
    <row r="7920">
      <c r="A7920" t="n">
        <v>7920</v>
      </c>
      <c r="B7920">
        <f>IF(INDEX('Data Entry'!$H$5:$BE$10004,7920-4,'Visual SPC'!$B$3)="",0,IF(AND(OR('Visual SPC'!$C$4="",'Data Entry'!$C7920&gt;='Visual SPC'!$C$4),OR('Visual SPC'!$E$4="",'Data Entry'!$C7920&lt;='Visual SPC'!$E$4),OR('Visual SPC'!$G$4="",'Data Entry'!$D7920='Visual SPC'!$G$4),OR('Visual SPC'!$I$4="",'Data Entry'!$E7920='Visual SPC'!$I$4),OR('Visual SPC'!$K$4="",'Data Entry'!$F7920='Visual SPC'!$K$4)),1,0))</f>
        <v/>
      </c>
      <c r="C7920">
        <f>C7919+B7920</f>
        <v/>
      </c>
      <c r="D7920">
        <f>IF(B7920=1,INDEX('Data Entry'!$H$5:$BE$10004,7920-4,'Visual SPC'!$B$3),"")</f>
        <v/>
      </c>
      <c r="E7920">
        <f>IF(B7920=1,D7920,E7919)</f>
        <v/>
      </c>
      <c r="F7920">
        <f>IF(AND(B7920=1,C7920&gt;1,E7919&lt;&gt;""),ABS(D7920-E7919),"")</f>
        <v/>
      </c>
    </row>
    <row r="7921">
      <c r="A7921" t="n">
        <v>7921</v>
      </c>
      <c r="B7921">
        <f>IF(INDEX('Data Entry'!$H$5:$BE$10004,7921-4,'Visual SPC'!$B$3)="",0,IF(AND(OR('Visual SPC'!$C$4="",'Data Entry'!$C7921&gt;='Visual SPC'!$C$4),OR('Visual SPC'!$E$4="",'Data Entry'!$C7921&lt;='Visual SPC'!$E$4),OR('Visual SPC'!$G$4="",'Data Entry'!$D7921='Visual SPC'!$G$4),OR('Visual SPC'!$I$4="",'Data Entry'!$E7921='Visual SPC'!$I$4),OR('Visual SPC'!$K$4="",'Data Entry'!$F7921='Visual SPC'!$K$4)),1,0))</f>
        <v/>
      </c>
      <c r="C7921">
        <f>C7920+B7921</f>
        <v/>
      </c>
      <c r="D7921">
        <f>IF(B7921=1,INDEX('Data Entry'!$H$5:$BE$10004,7921-4,'Visual SPC'!$B$3),"")</f>
        <v/>
      </c>
      <c r="E7921">
        <f>IF(B7921=1,D7921,E7920)</f>
        <v/>
      </c>
      <c r="F7921">
        <f>IF(AND(B7921=1,C7921&gt;1,E7920&lt;&gt;""),ABS(D7921-E7920),"")</f>
        <v/>
      </c>
    </row>
    <row r="7922">
      <c r="A7922" t="n">
        <v>7922</v>
      </c>
      <c r="B7922">
        <f>IF(INDEX('Data Entry'!$H$5:$BE$10004,7922-4,'Visual SPC'!$B$3)="",0,IF(AND(OR('Visual SPC'!$C$4="",'Data Entry'!$C7922&gt;='Visual SPC'!$C$4),OR('Visual SPC'!$E$4="",'Data Entry'!$C7922&lt;='Visual SPC'!$E$4),OR('Visual SPC'!$G$4="",'Data Entry'!$D7922='Visual SPC'!$G$4),OR('Visual SPC'!$I$4="",'Data Entry'!$E7922='Visual SPC'!$I$4),OR('Visual SPC'!$K$4="",'Data Entry'!$F7922='Visual SPC'!$K$4)),1,0))</f>
        <v/>
      </c>
      <c r="C7922">
        <f>C7921+B7922</f>
        <v/>
      </c>
      <c r="D7922">
        <f>IF(B7922=1,INDEX('Data Entry'!$H$5:$BE$10004,7922-4,'Visual SPC'!$B$3),"")</f>
        <v/>
      </c>
      <c r="E7922">
        <f>IF(B7922=1,D7922,E7921)</f>
        <v/>
      </c>
      <c r="F7922">
        <f>IF(AND(B7922=1,C7922&gt;1,E7921&lt;&gt;""),ABS(D7922-E7921),"")</f>
        <v/>
      </c>
    </row>
    <row r="7923">
      <c r="A7923" t="n">
        <v>7923</v>
      </c>
      <c r="B7923">
        <f>IF(INDEX('Data Entry'!$H$5:$BE$10004,7923-4,'Visual SPC'!$B$3)="",0,IF(AND(OR('Visual SPC'!$C$4="",'Data Entry'!$C7923&gt;='Visual SPC'!$C$4),OR('Visual SPC'!$E$4="",'Data Entry'!$C7923&lt;='Visual SPC'!$E$4),OR('Visual SPC'!$G$4="",'Data Entry'!$D7923='Visual SPC'!$G$4),OR('Visual SPC'!$I$4="",'Data Entry'!$E7923='Visual SPC'!$I$4),OR('Visual SPC'!$K$4="",'Data Entry'!$F7923='Visual SPC'!$K$4)),1,0))</f>
        <v/>
      </c>
      <c r="C7923">
        <f>C7922+B7923</f>
        <v/>
      </c>
      <c r="D7923">
        <f>IF(B7923=1,INDEX('Data Entry'!$H$5:$BE$10004,7923-4,'Visual SPC'!$B$3),"")</f>
        <v/>
      </c>
      <c r="E7923">
        <f>IF(B7923=1,D7923,E7922)</f>
        <v/>
      </c>
      <c r="F7923">
        <f>IF(AND(B7923=1,C7923&gt;1,E7922&lt;&gt;""),ABS(D7923-E7922),"")</f>
        <v/>
      </c>
    </row>
    <row r="7924">
      <c r="A7924" t="n">
        <v>7924</v>
      </c>
      <c r="B7924">
        <f>IF(INDEX('Data Entry'!$H$5:$BE$10004,7924-4,'Visual SPC'!$B$3)="",0,IF(AND(OR('Visual SPC'!$C$4="",'Data Entry'!$C7924&gt;='Visual SPC'!$C$4),OR('Visual SPC'!$E$4="",'Data Entry'!$C7924&lt;='Visual SPC'!$E$4),OR('Visual SPC'!$G$4="",'Data Entry'!$D7924='Visual SPC'!$G$4),OR('Visual SPC'!$I$4="",'Data Entry'!$E7924='Visual SPC'!$I$4),OR('Visual SPC'!$K$4="",'Data Entry'!$F7924='Visual SPC'!$K$4)),1,0))</f>
        <v/>
      </c>
      <c r="C7924">
        <f>C7923+B7924</f>
        <v/>
      </c>
      <c r="D7924">
        <f>IF(B7924=1,INDEX('Data Entry'!$H$5:$BE$10004,7924-4,'Visual SPC'!$B$3),"")</f>
        <v/>
      </c>
      <c r="E7924">
        <f>IF(B7924=1,D7924,E7923)</f>
        <v/>
      </c>
      <c r="F7924">
        <f>IF(AND(B7924=1,C7924&gt;1,E7923&lt;&gt;""),ABS(D7924-E7923),"")</f>
        <v/>
      </c>
    </row>
    <row r="7925">
      <c r="A7925" t="n">
        <v>7925</v>
      </c>
      <c r="B7925">
        <f>IF(INDEX('Data Entry'!$H$5:$BE$10004,7925-4,'Visual SPC'!$B$3)="",0,IF(AND(OR('Visual SPC'!$C$4="",'Data Entry'!$C7925&gt;='Visual SPC'!$C$4),OR('Visual SPC'!$E$4="",'Data Entry'!$C7925&lt;='Visual SPC'!$E$4),OR('Visual SPC'!$G$4="",'Data Entry'!$D7925='Visual SPC'!$G$4),OR('Visual SPC'!$I$4="",'Data Entry'!$E7925='Visual SPC'!$I$4),OR('Visual SPC'!$K$4="",'Data Entry'!$F7925='Visual SPC'!$K$4)),1,0))</f>
        <v/>
      </c>
      <c r="C7925">
        <f>C7924+B7925</f>
        <v/>
      </c>
      <c r="D7925">
        <f>IF(B7925=1,INDEX('Data Entry'!$H$5:$BE$10004,7925-4,'Visual SPC'!$B$3),"")</f>
        <v/>
      </c>
      <c r="E7925">
        <f>IF(B7925=1,D7925,E7924)</f>
        <v/>
      </c>
      <c r="F7925">
        <f>IF(AND(B7925=1,C7925&gt;1,E7924&lt;&gt;""),ABS(D7925-E7924),"")</f>
        <v/>
      </c>
    </row>
    <row r="7926">
      <c r="A7926" t="n">
        <v>7926</v>
      </c>
      <c r="B7926">
        <f>IF(INDEX('Data Entry'!$H$5:$BE$10004,7926-4,'Visual SPC'!$B$3)="",0,IF(AND(OR('Visual SPC'!$C$4="",'Data Entry'!$C7926&gt;='Visual SPC'!$C$4),OR('Visual SPC'!$E$4="",'Data Entry'!$C7926&lt;='Visual SPC'!$E$4),OR('Visual SPC'!$G$4="",'Data Entry'!$D7926='Visual SPC'!$G$4),OR('Visual SPC'!$I$4="",'Data Entry'!$E7926='Visual SPC'!$I$4),OR('Visual SPC'!$K$4="",'Data Entry'!$F7926='Visual SPC'!$K$4)),1,0))</f>
        <v/>
      </c>
      <c r="C7926">
        <f>C7925+B7926</f>
        <v/>
      </c>
      <c r="D7926">
        <f>IF(B7926=1,INDEX('Data Entry'!$H$5:$BE$10004,7926-4,'Visual SPC'!$B$3),"")</f>
        <v/>
      </c>
      <c r="E7926">
        <f>IF(B7926=1,D7926,E7925)</f>
        <v/>
      </c>
      <c r="F7926">
        <f>IF(AND(B7926=1,C7926&gt;1,E7925&lt;&gt;""),ABS(D7926-E7925),"")</f>
        <v/>
      </c>
    </row>
    <row r="7927">
      <c r="A7927" t="n">
        <v>7927</v>
      </c>
      <c r="B7927">
        <f>IF(INDEX('Data Entry'!$H$5:$BE$10004,7927-4,'Visual SPC'!$B$3)="",0,IF(AND(OR('Visual SPC'!$C$4="",'Data Entry'!$C7927&gt;='Visual SPC'!$C$4),OR('Visual SPC'!$E$4="",'Data Entry'!$C7927&lt;='Visual SPC'!$E$4),OR('Visual SPC'!$G$4="",'Data Entry'!$D7927='Visual SPC'!$G$4),OR('Visual SPC'!$I$4="",'Data Entry'!$E7927='Visual SPC'!$I$4),OR('Visual SPC'!$K$4="",'Data Entry'!$F7927='Visual SPC'!$K$4)),1,0))</f>
        <v/>
      </c>
      <c r="C7927">
        <f>C7926+B7927</f>
        <v/>
      </c>
      <c r="D7927">
        <f>IF(B7927=1,INDEX('Data Entry'!$H$5:$BE$10004,7927-4,'Visual SPC'!$B$3),"")</f>
        <v/>
      </c>
      <c r="E7927">
        <f>IF(B7927=1,D7927,E7926)</f>
        <v/>
      </c>
      <c r="F7927">
        <f>IF(AND(B7927=1,C7927&gt;1,E7926&lt;&gt;""),ABS(D7927-E7926),"")</f>
        <v/>
      </c>
    </row>
    <row r="7928">
      <c r="A7928" t="n">
        <v>7928</v>
      </c>
      <c r="B7928">
        <f>IF(INDEX('Data Entry'!$H$5:$BE$10004,7928-4,'Visual SPC'!$B$3)="",0,IF(AND(OR('Visual SPC'!$C$4="",'Data Entry'!$C7928&gt;='Visual SPC'!$C$4),OR('Visual SPC'!$E$4="",'Data Entry'!$C7928&lt;='Visual SPC'!$E$4),OR('Visual SPC'!$G$4="",'Data Entry'!$D7928='Visual SPC'!$G$4),OR('Visual SPC'!$I$4="",'Data Entry'!$E7928='Visual SPC'!$I$4),OR('Visual SPC'!$K$4="",'Data Entry'!$F7928='Visual SPC'!$K$4)),1,0))</f>
        <v/>
      </c>
      <c r="C7928">
        <f>C7927+B7928</f>
        <v/>
      </c>
      <c r="D7928">
        <f>IF(B7928=1,INDEX('Data Entry'!$H$5:$BE$10004,7928-4,'Visual SPC'!$B$3),"")</f>
        <v/>
      </c>
      <c r="E7928">
        <f>IF(B7928=1,D7928,E7927)</f>
        <v/>
      </c>
      <c r="F7928">
        <f>IF(AND(B7928=1,C7928&gt;1,E7927&lt;&gt;""),ABS(D7928-E7927),"")</f>
        <v/>
      </c>
    </row>
    <row r="7929">
      <c r="A7929" t="n">
        <v>7929</v>
      </c>
      <c r="B7929">
        <f>IF(INDEX('Data Entry'!$H$5:$BE$10004,7929-4,'Visual SPC'!$B$3)="",0,IF(AND(OR('Visual SPC'!$C$4="",'Data Entry'!$C7929&gt;='Visual SPC'!$C$4),OR('Visual SPC'!$E$4="",'Data Entry'!$C7929&lt;='Visual SPC'!$E$4),OR('Visual SPC'!$G$4="",'Data Entry'!$D7929='Visual SPC'!$G$4),OR('Visual SPC'!$I$4="",'Data Entry'!$E7929='Visual SPC'!$I$4),OR('Visual SPC'!$K$4="",'Data Entry'!$F7929='Visual SPC'!$K$4)),1,0))</f>
        <v/>
      </c>
      <c r="C7929">
        <f>C7928+B7929</f>
        <v/>
      </c>
      <c r="D7929">
        <f>IF(B7929=1,INDEX('Data Entry'!$H$5:$BE$10004,7929-4,'Visual SPC'!$B$3),"")</f>
        <v/>
      </c>
      <c r="E7929">
        <f>IF(B7929=1,D7929,E7928)</f>
        <v/>
      </c>
      <c r="F7929">
        <f>IF(AND(B7929=1,C7929&gt;1,E7928&lt;&gt;""),ABS(D7929-E7928),"")</f>
        <v/>
      </c>
    </row>
    <row r="7930">
      <c r="A7930" t="n">
        <v>7930</v>
      </c>
      <c r="B7930">
        <f>IF(INDEX('Data Entry'!$H$5:$BE$10004,7930-4,'Visual SPC'!$B$3)="",0,IF(AND(OR('Visual SPC'!$C$4="",'Data Entry'!$C7930&gt;='Visual SPC'!$C$4),OR('Visual SPC'!$E$4="",'Data Entry'!$C7930&lt;='Visual SPC'!$E$4),OR('Visual SPC'!$G$4="",'Data Entry'!$D7930='Visual SPC'!$G$4),OR('Visual SPC'!$I$4="",'Data Entry'!$E7930='Visual SPC'!$I$4),OR('Visual SPC'!$K$4="",'Data Entry'!$F7930='Visual SPC'!$K$4)),1,0))</f>
        <v/>
      </c>
      <c r="C7930">
        <f>C7929+B7930</f>
        <v/>
      </c>
      <c r="D7930">
        <f>IF(B7930=1,INDEX('Data Entry'!$H$5:$BE$10004,7930-4,'Visual SPC'!$B$3),"")</f>
        <v/>
      </c>
      <c r="E7930">
        <f>IF(B7930=1,D7930,E7929)</f>
        <v/>
      </c>
      <c r="F7930">
        <f>IF(AND(B7930=1,C7930&gt;1,E7929&lt;&gt;""),ABS(D7930-E7929),"")</f>
        <v/>
      </c>
    </row>
    <row r="7931">
      <c r="A7931" t="n">
        <v>7931</v>
      </c>
      <c r="B7931">
        <f>IF(INDEX('Data Entry'!$H$5:$BE$10004,7931-4,'Visual SPC'!$B$3)="",0,IF(AND(OR('Visual SPC'!$C$4="",'Data Entry'!$C7931&gt;='Visual SPC'!$C$4),OR('Visual SPC'!$E$4="",'Data Entry'!$C7931&lt;='Visual SPC'!$E$4),OR('Visual SPC'!$G$4="",'Data Entry'!$D7931='Visual SPC'!$G$4),OR('Visual SPC'!$I$4="",'Data Entry'!$E7931='Visual SPC'!$I$4),OR('Visual SPC'!$K$4="",'Data Entry'!$F7931='Visual SPC'!$K$4)),1,0))</f>
        <v/>
      </c>
      <c r="C7931">
        <f>C7930+B7931</f>
        <v/>
      </c>
      <c r="D7931">
        <f>IF(B7931=1,INDEX('Data Entry'!$H$5:$BE$10004,7931-4,'Visual SPC'!$B$3),"")</f>
        <v/>
      </c>
      <c r="E7931">
        <f>IF(B7931=1,D7931,E7930)</f>
        <v/>
      </c>
      <c r="F7931">
        <f>IF(AND(B7931=1,C7931&gt;1,E7930&lt;&gt;""),ABS(D7931-E7930),"")</f>
        <v/>
      </c>
    </row>
    <row r="7932">
      <c r="A7932" t="n">
        <v>7932</v>
      </c>
      <c r="B7932">
        <f>IF(INDEX('Data Entry'!$H$5:$BE$10004,7932-4,'Visual SPC'!$B$3)="",0,IF(AND(OR('Visual SPC'!$C$4="",'Data Entry'!$C7932&gt;='Visual SPC'!$C$4),OR('Visual SPC'!$E$4="",'Data Entry'!$C7932&lt;='Visual SPC'!$E$4),OR('Visual SPC'!$G$4="",'Data Entry'!$D7932='Visual SPC'!$G$4),OR('Visual SPC'!$I$4="",'Data Entry'!$E7932='Visual SPC'!$I$4),OR('Visual SPC'!$K$4="",'Data Entry'!$F7932='Visual SPC'!$K$4)),1,0))</f>
        <v/>
      </c>
      <c r="C7932">
        <f>C7931+B7932</f>
        <v/>
      </c>
      <c r="D7932">
        <f>IF(B7932=1,INDEX('Data Entry'!$H$5:$BE$10004,7932-4,'Visual SPC'!$B$3),"")</f>
        <v/>
      </c>
      <c r="E7932">
        <f>IF(B7932=1,D7932,E7931)</f>
        <v/>
      </c>
      <c r="F7932">
        <f>IF(AND(B7932=1,C7932&gt;1,E7931&lt;&gt;""),ABS(D7932-E7931),"")</f>
        <v/>
      </c>
    </row>
    <row r="7933">
      <c r="A7933" t="n">
        <v>7933</v>
      </c>
      <c r="B7933">
        <f>IF(INDEX('Data Entry'!$H$5:$BE$10004,7933-4,'Visual SPC'!$B$3)="",0,IF(AND(OR('Visual SPC'!$C$4="",'Data Entry'!$C7933&gt;='Visual SPC'!$C$4),OR('Visual SPC'!$E$4="",'Data Entry'!$C7933&lt;='Visual SPC'!$E$4),OR('Visual SPC'!$G$4="",'Data Entry'!$D7933='Visual SPC'!$G$4),OR('Visual SPC'!$I$4="",'Data Entry'!$E7933='Visual SPC'!$I$4),OR('Visual SPC'!$K$4="",'Data Entry'!$F7933='Visual SPC'!$K$4)),1,0))</f>
        <v/>
      </c>
      <c r="C7933">
        <f>C7932+B7933</f>
        <v/>
      </c>
      <c r="D7933">
        <f>IF(B7933=1,INDEX('Data Entry'!$H$5:$BE$10004,7933-4,'Visual SPC'!$B$3),"")</f>
        <v/>
      </c>
      <c r="E7933">
        <f>IF(B7933=1,D7933,E7932)</f>
        <v/>
      </c>
      <c r="F7933">
        <f>IF(AND(B7933=1,C7933&gt;1,E7932&lt;&gt;""),ABS(D7933-E7932),"")</f>
        <v/>
      </c>
    </row>
    <row r="7934">
      <c r="A7934" t="n">
        <v>7934</v>
      </c>
      <c r="B7934">
        <f>IF(INDEX('Data Entry'!$H$5:$BE$10004,7934-4,'Visual SPC'!$B$3)="",0,IF(AND(OR('Visual SPC'!$C$4="",'Data Entry'!$C7934&gt;='Visual SPC'!$C$4),OR('Visual SPC'!$E$4="",'Data Entry'!$C7934&lt;='Visual SPC'!$E$4),OR('Visual SPC'!$G$4="",'Data Entry'!$D7934='Visual SPC'!$G$4),OR('Visual SPC'!$I$4="",'Data Entry'!$E7934='Visual SPC'!$I$4),OR('Visual SPC'!$K$4="",'Data Entry'!$F7934='Visual SPC'!$K$4)),1,0))</f>
        <v/>
      </c>
      <c r="C7934">
        <f>C7933+B7934</f>
        <v/>
      </c>
      <c r="D7934">
        <f>IF(B7934=1,INDEX('Data Entry'!$H$5:$BE$10004,7934-4,'Visual SPC'!$B$3),"")</f>
        <v/>
      </c>
      <c r="E7934">
        <f>IF(B7934=1,D7934,E7933)</f>
        <v/>
      </c>
      <c r="F7934">
        <f>IF(AND(B7934=1,C7934&gt;1,E7933&lt;&gt;""),ABS(D7934-E7933),"")</f>
        <v/>
      </c>
    </row>
    <row r="7935">
      <c r="A7935" t="n">
        <v>7935</v>
      </c>
      <c r="B7935">
        <f>IF(INDEX('Data Entry'!$H$5:$BE$10004,7935-4,'Visual SPC'!$B$3)="",0,IF(AND(OR('Visual SPC'!$C$4="",'Data Entry'!$C7935&gt;='Visual SPC'!$C$4),OR('Visual SPC'!$E$4="",'Data Entry'!$C7935&lt;='Visual SPC'!$E$4),OR('Visual SPC'!$G$4="",'Data Entry'!$D7935='Visual SPC'!$G$4),OR('Visual SPC'!$I$4="",'Data Entry'!$E7935='Visual SPC'!$I$4),OR('Visual SPC'!$K$4="",'Data Entry'!$F7935='Visual SPC'!$K$4)),1,0))</f>
        <v/>
      </c>
      <c r="C7935">
        <f>C7934+B7935</f>
        <v/>
      </c>
      <c r="D7935">
        <f>IF(B7935=1,INDEX('Data Entry'!$H$5:$BE$10004,7935-4,'Visual SPC'!$B$3),"")</f>
        <v/>
      </c>
      <c r="E7935">
        <f>IF(B7935=1,D7935,E7934)</f>
        <v/>
      </c>
      <c r="F7935">
        <f>IF(AND(B7935=1,C7935&gt;1,E7934&lt;&gt;""),ABS(D7935-E7934),"")</f>
        <v/>
      </c>
    </row>
    <row r="7936">
      <c r="A7936" t="n">
        <v>7936</v>
      </c>
      <c r="B7936">
        <f>IF(INDEX('Data Entry'!$H$5:$BE$10004,7936-4,'Visual SPC'!$B$3)="",0,IF(AND(OR('Visual SPC'!$C$4="",'Data Entry'!$C7936&gt;='Visual SPC'!$C$4),OR('Visual SPC'!$E$4="",'Data Entry'!$C7936&lt;='Visual SPC'!$E$4),OR('Visual SPC'!$G$4="",'Data Entry'!$D7936='Visual SPC'!$G$4),OR('Visual SPC'!$I$4="",'Data Entry'!$E7936='Visual SPC'!$I$4),OR('Visual SPC'!$K$4="",'Data Entry'!$F7936='Visual SPC'!$K$4)),1,0))</f>
        <v/>
      </c>
      <c r="C7936">
        <f>C7935+B7936</f>
        <v/>
      </c>
      <c r="D7936">
        <f>IF(B7936=1,INDEX('Data Entry'!$H$5:$BE$10004,7936-4,'Visual SPC'!$B$3),"")</f>
        <v/>
      </c>
      <c r="E7936">
        <f>IF(B7936=1,D7936,E7935)</f>
        <v/>
      </c>
      <c r="F7936">
        <f>IF(AND(B7936=1,C7936&gt;1,E7935&lt;&gt;""),ABS(D7936-E7935),"")</f>
        <v/>
      </c>
    </row>
    <row r="7937">
      <c r="A7937" t="n">
        <v>7937</v>
      </c>
      <c r="B7937">
        <f>IF(INDEX('Data Entry'!$H$5:$BE$10004,7937-4,'Visual SPC'!$B$3)="",0,IF(AND(OR('Visual SPC'!$C$4="",'Data Entry'!$C7937&gt;='Visual SPC'!$C$4),OR('Visual SPC'!$E$4="",'Data Entry'!$C7937&lt;='Visual SPC'!$E$4),OR('Visual SPC'!$G$4="",'Data Entry'!$D7937='Visual SPC'!$G$4),OR('Visual SPC'!$I$4="",'Data Entry'!$E7937='Visual SPC'!$I$4),OR('Visual SPC'!$K$4="",'Data Entry'!$F7937='Visual SPC'!$K$4)),1,0))</f>
        <v/>
      </c>
      <c r="C7937">
        <f>C7936+B7937</f>
        <v/>
      </c>
      <c r="D7937">
        <f>IF(B7937=1,INDEX('Data Entry'!$H$5:$BE$10004,7937-4,'Visual SPC'!$B$3),"")</f>
        <v/>
      </c>
      <c r="E7937">
        <f>IF(B7937=1,D7937,E7936)</f>
        <v/>
      </c>
      <c r="F7937">
        <f>IF(AND(B7937=1,C7937&gt;1,E7936&lt;&gt;""),ABS(D7937-E7936),"")</f>
        <v/>
      </c>
    </row>
    <row r="7938">
      <c r="A7938" t="n">
        <v>7938</v>
      </c>
      <c r="B7938">
        <f>IF(INDEX('Data Entry'!$H$5:$BE$10004,7938-4,'Visual SPC'!$B$3)="",0,IF(AND(OR('Visual SPC'!$C$4="",'Data Entry'!$C7938&gt;='Visual SPC'!$C$4),OR('Visual SPC'!$E$4="",'Data Entry'!$C7938&lt;='Visual SPC'!$E$4),OR('Visual SPC'!$G$4="",'Data Entry'!$D7938='Visual SPC'!$G$4),OR('Visual SPC'!$I$4="",'Data Entry'!$E7938='Visual SPC'!$I$4),OR('Visual SPC'!$K$4="",'Data Entry'!$F7938='Visual SPC'!$K$4)),1,0))</f>
        <v/>
      </c>
      <c r="C7938">
        <f>C7937+B7938</f>
        <v/>
      </c>
      <c r="D7938">
        <f>IF(B7938=1,INDEX('Data Entry'!$H$5:$BE$10004,7938-4,'Visual SPC'!$B$3),"")</f>
        <v/>
      </c>
      <c r="E7938">
        <f>IF(B7938=1,D7938,E7937)</f>
        <v/>
      </c>
      <c r="F7938">
        <f>IF(AND(B7938=1,C7938&gt;1,E7937&lt;&gt;""),ABS(D7938-E7937),"")</f>
        <v/>
      </c>
    </row>
    <row r="7939">
      <c r="A7939" t="n">
        <v>7939</v>
      </c>
      <c r="B7939">
        <f>IF(INDEX('Data Entry'!$H$5:$BE$10004,7939-4,'Visual SPC'!$B$3)="",0,IF(AND(OR('Visual SPC'!$C$4="",'Data Entry'!$C7939&gt;='Visual SPC'!$C$4),OR('Visual SPC'!$E$4="",'Data Entry'!$C7939&lt;='Visual SPC'!$E$4),OR('Visual SPC'!$G$4="",'Data Entry'!$D7939='Visual SPC'!$G$4),OR('Visual SPC'!$I$4="",'Data Entry'!$E7939='Visual SPC'!$I$4),OR('Visual SPC'!$K$4="",'Data Entry'!$F7939='Visual SPC'!$K$4)),1,0))</f>
        <v/>
      </c>
      <c r="C7939">
        <f>C7938+B7939</f>
        <v/>
      </c>
      <c r="D7939">
        <f>IF(B7939=1,INDEX('Data Entry'!$H$5:$BE$10004,7939-4,'Visual SPC'!$B$3),"")</f>
        <v/>
      </c>
      <c r="E7939">
        <f>IF(B7939=1,D7939,E7938)</f>
        <v/>
      </c>
      <c r="F7939">
        <f>IF(AND(B7939=1,C7939&gt;1,E7938&lt;&gt;""),ABS(D7939-E7938),"")</f>
        <v/>
      </c>
    </row>
    <row r="7940">
      <c r="A7940" t="n">
        <v>7940</v>
      </c>
      <c r="B7940">
        <f>IF(INDEX('Data Entry'!$H$5:$BE$10004,7940-4,'Visual SPC'!$B$3)="",0,IF(AND(OR('Visual SPC'!$C$4="",'Data Entry'!$C7940&gt;='Visual SPC'!$C$4),OR('Visual SPC'!$E$4="",'Data Entry'!$C7940&lt;='Visual SPC'!$E$4),OR('Visual SPC'!$G$4="",'Data Entry'!$D7940='Visual SPC'!$G$4),OR('Visual SPC'!$I$4="",'Data Entry'!$E7940='Visual SPC'!$I$4),OR('Visual SPC'!$K$4="",'Data Entry'!$F7940='Visual SPC'!$K$4)),1,0))</f>
        <v/>
      </c>
      <c r="C7940">
        <f>C7939+B7940</f>
        <v/>
      </c>
      <c r="D7940">
        <f>IF(B7940=1,INDEX('Data Entry'!$H$5:$BE$10004,7940-4,'Visual SPC'!$B$3),"")</f>
        <v/>
      </c>
      <c r="E7940">
        <f>IF(B7940=1,D7940,E7939)</f>
        <v/>
      </c>
      <c r="F7940">
        <f>IF(AND(B7940=1,C7940&gt;1,E7939&lt;&gt;""),ABS(D7940-E7939),"")</f>
        <v/>
      </c>
    </row>
    <row r="7941">
      <c r="A7941" t="n">
        <v>7941</v>
      </c>
      <c r="B7941">
        <f>IF(INDEX('Data Entry'!$H$5:$BE$10004,7941-4,'Visual SPC'!$B$3)="",0,IF(AND(OR('Visual SPC'!$C$4="",'Data Entry'!$C7941&gt;='Visual SPC'!$C$4),OR('Visual SPC'!$E$4="",'Data Entry'!$C7941&lt;='Visual SPC'!$E$4),OR('Visual SPC'!$G$4="",'Data Entry'!$D7941='Visual SPC'!$G$4),OR('Visual SPC'!$I$4="",'Data Entry'!$E7941='Visual SPC'!$I$4),OR('Visual SPC'!$K$4="",'Data Entry'!$F7941='Visual SPC'!$K$4)),1,0))</f>
        <v/>
      </c>
      <c r="C7941">
        <f>C7940+B7941</f>
        <v/>
      </c>
      <c r="D7941">
        <f>IF(B7941=1,INDEX('Data Entry'!$H$5:$BE$10004,7941-4,'Visual SPC'!$B$3),"")</f>
        <v/>
      </c>
      <c r="E7941">
        <f>IF(B7941=1,D7941,E7940)</f>
        <v/>
      </c>
      <c r="F7941">
        <f>IF(AND(B7941=1,C7941&gt;1,E7940&lt;&gt;""),ABS(D7941-E7940),"")</f>
        <v/>
      </c>
    </row>
    <row r="7942">
      <c r="A7942" t="n">
        <v>7942</v>
      </c>
      <c r="B7942">
        <f>IF(INDEX('Data Entry'!$H$5:$BE$10004,7942-4,'Visual SPC'!$B$3)="",0,IF(AND(OR('Visual SPC'!$C$4="",'Data Entry'!$C7942&gt;='Visual SPC'!$C$4),OR('Visual SPC'!$E$4="",'Data Entry'!$C7942&lt;='Visual SPC'!$E$4),OR('Visual SPC'!$G$4="",'Data Entry'!$D7942='Visual SPC'!$G$4),OR('Visual SPC'!$I$4="",'Data Entry'!$E7942='Visual SPC'!$I$4),OR('Visual SPC'!$K$4="",'Data Entry'!$F7942='Visual SPC'!$K$4)),1,0))</f>
        <v/>
      </c>
      <c r="C7942">
        <f>C7941+B7942</f>
        <v/>
      </c>
      <c r="D7942">
        <f>IF(B7942=1,INDEX('Data Entry'!$H$5:$BE$10004,7942-4,'Visual SPC'!$B$3),"")</f>
        <v/>
      </c>
      <c r="E7942">
        <f>IF(B7942=1,D7942,E7941)</f>
        <v/>
      </c>
      <c r="F7942">
        <f>IF(AND(B7942=1,C7942&gt;1,E7941&lt;&gt;""),ABS(D7942-E7941),"")</f>
        <v/>
      </c>
    </row>
    <row r="7943">
      <c r="A7943" t="n">
        <v>7943</v>
      </c>
      <c r="B7943">
        <f>IF(INDEX('Data Entry'!$H$5:$BE$10004,7943-4,'Visual SPC'!$B$3)="",0,IF(AND(OR('Visual SPC'!$C$4="",'Data Entry'!$C7943&gt;='Visual SPC'!$C$4),OR('Visual SPC'!$E$4="",'Data Entry'!$C7943&lt;='Visual SPC'!$E$4),OR('Visual SPC'!$G$4="",'Data Entry'!$D7943='Visual SPC'!$G$4),OR('Visual SPC'!$I$4="",'Data Entry'!$E7943='Visual SPC'!$I$4),OR('Visual SPC'!$K$4="",'Data Entry'!$F7943='Visual SPC'!$K$4)),1,0))</f>
        <v/>
      </c>
      <c r="C7943">
        <f>C7942+B7943</f>
        <v/>
      </c>
      <c r="D7943">
        <f>IF(B7943=1,INDEX('Data Entry'!$H$5:$BE$10004,7943-4,'Visual SPC'!$B$3),"")</f>
        <v/>
      </c>
      <c r="E7943">
        <f>IF(B7943=1,D7943,E7942)</f>
        <v/>
      </c>
      <c r="F7943">
        <f>IF(AND(B7943=1,C7943&gt;1,E7942&lt;&gt;""),ABS(D7943-E7942),"")</f>
        <v/>
      </c>
    </row>
    <row r="7944">
      <c r="A7944" t="n">
        <v>7944</v>
      </c>
      <c r="B7944">
        <f>IF(INDEX('Data Entry'!$H$5:$BE$10004,7944-4,'Visual SPC'!$B$3)="",0,IF(AND(OR('Visual SPC'!$C$4="",'Data Entry'!$C7944&gt;='Visual SPC'!$C$4),OR('Visual SPC'!$E$4="",'Data Entry'!$C7944&lt;='Visual SPC'!$E$4),OR('Visual SPC'!$G$4="",'Data Entry'!$D7944='Visual SPC'!$G$4),OR('Visual SPC'!$I$4="",'Data Entry'!$E7944='Visual SPC'!$I$4),OR('Visual SPC'!$K$4="",'Data Entry'!$F7944='Visual SPC'!$K$4)),1,0))</f>
        <v/>
      </c>
      <c r="C7944">
        <f>C7943+B7944</f>
        <v/>
      </c>
      <c r="D7944">
        <f>IF(B7944=1,INDEX('Data Entry'!$H$5:$BE$10004,7944-4,'Visual SPC'!$B$3),"")</f>
        <v/>
      </c>
      <c r="E7944">
        <f>IF(B7944=1,D7944,E7943)</f>
        <v/>
      </c>
      <c r="F7944">
        <f>IF(AND(B7944=1,C7944&gt;1,E7943&lt;&gt;""),ABS(D7944-E7943),"")</f>
        <v/>
      </c>
    </row>
    <row r="7945">
      <c r="A7945" t="n">
        <v>7945</v>
      </c>
      <c r="B7945">
        <f>IF(INDEX('Data Entry'!$H$5:$BE$10004,7945-4,'Visual SPC'!$B$3)="",0,IF(AND(OR('Visual SPC'!$C$4="",'Data Entry'!$C7945&gt;='Visual SPC'!$C$4),OR('Visual SPC'!$E$4="",'Data Entry'!$C7945&lt;='Visual SPC'!$E$4),OR('Visual SPC'!$G$4="",'Data Entry'!$D7945='Visual SPC'!$G$4),OR('Visual SPC'!$I$4="",'Data Entry'!$E7945='Visual SPC'!$I$4),OR('Visual SPC'!$K$4="",'Data Entry'!$F7945='Visual SPC'!$K$4)),1,0))</f>
        <v/>
      </c>
      <c r="C7945">
        <f>C7944+B7945</f>
        <v/>
      </c>
      <c r="D7945">
        <f>IF(B7945=1,INDEX('Data Entry'!$H$5:$BE$10004,7945-4,'Visual SPC'!$B$3),"")</f>
        <v/>
      </c>
      <c r="E7945">
        <f>IF(B7945=1,D7945,E7944)</f>
        <v/>
      </c>
      <c r="F7945">
        <f>IF(AND(B7945=1,C7945&gt;1,E7944&lt;&gt;""),ABS(D7945-E7944),"")</f>
        <v/>
      </c>
    </row>
    <row r="7946">
      <c r="A7946" t="n">
        <v>7946</v>
      </c>
      <c r="B7946">
        <f>IF(INDEX('Data Entry'!$H$5:$BE$10004,7946-4,'Visual SPC'!$B$3)="",0,IF(AND(OR('Visual SPC'!$C$4="",'Data Entry'!$C7946&gt;='Visual SPC'!$C$4),OR('Visual SPC'!$E$4="",'Data Entry'!$C7946&lt;='Visual SPC'!$E$4),OR('Visual SPC'!$G$4="",'Data Entry'!$D7946='Visual SPC'!$G$4),OR('Visual SPC'!$I$4="",'Data Entry'!$E7946='Visual SPC'!$I$4),OR('Visual SPC'!$K$4="",'Data Entry'!$F7946='Visual SPC'!$K$4)),1,0))</f>
        <v/>
      </c>
      <c r="C7946">
        <f>C7945+B7946</f>
        <v/>
      </c>
      <c r="D7946">
        <f>IF(B7946=1,INDEX('Data Entry'!$H$5:$BE$10004,7946-4,'Visual SPC'!$B$3),"")</f>
        <v/>
      </c>
      <c r="E7946">
        <f>IF(B7946=1,D7946,E7945)</f>
        <v/>
      </c>
      <c r="F7946">
        <f>IF(AND(B7946=1,C7946&gt;1,E7945&lt;&gt;""),ABS(D7946-E7945),"")</f>
        <v/>
      </c>
    </row>
    <row r="7947">
      <c r="A7947" t="n">
        <v>7947</v>
      </c>
      <c r="B7947">
        <f>IF(INDEX('Data Entry'!$H$5:$BE$10004,7947-4,'Visual SPC'!$B$3)="",0,IF(AND(OR('Visual SPC'!$C$4="",'Data Entry'!$C7947&gt;='Visual SPC'!$C$4),OR('Visual SPC'!$E$4="",'Data Entry'!$C7947&lt;='Visual SPC'!$E$4),OR('Visual SPC'!$G$4="",'Data Entry'!$D7947='Visual SPC'!$G$4),OR('Visual SPC'!$I$4="",'Data Entry'!$E7947='Visual SPC'!$I$4),OR('Visual SPC'!$K$4="",'Data Entry'!$F7947='Visual SPC'!$K$4)),1,0))</f>
        <v/>
      </c>
      <c r="C7947">
        <f>C7946+B7947</f>
        <v/>
      </c>
      <c r="D7947">
        <f>IF(B7947=1,INDEX('Data Entry'!$H$5:$BE$10004,7947-4,'Visual SPC'!$B$3),"")</f>
        <v/>
      </c>
      <c r="E7947">
        <f>IF(B7947=1,D7947,E7946)</f>
        <v/>
      </c>
      <c r="F7947">
        <f>IF(AND(B7947=1,C7947&gt;1,E7946&lt;&gt;""),ABS(D7947-E7946),"")</f>
        <v/>
      </c>
    </row>
    <row r="7948">
      <c r="A7948" t="n">
        <v>7948</v>
      </c>
      <c r="B7948">
        <f>IF(INDEX('Data Entry'!$H$5:$BE$10004,7948-4,'Visual SPC'!$B$3)="",0,IF(AND(OR('Visual SPC'!$C$4="",'Data Entry'!$C7948&gt;='Visual SPC'!$C$4),OR('Visual SPC'!$E$4="",'Data Entry'!$C7948&lt;='Visual SPC'!$E$4),OR('Visual SPC'!$G$4="",'Data Entry'!$D7948='Visual SPC'!$G$4),OR('Visual SPC'!$I$4="",'Data Entry'!$E7948='Visual SPC'!$I$4),OR('Visual SPC'!$K$4="",'Data Entry'!$F7948='Visual SPC'!$K$4)),1,0))</f>
        <v/>
      </c>
      <c r="C7948">
        <f>C7947+B7948</f>
        <v/>
      </c>
      <c r="D7948">
        <f>IF(B7948=1,INDEX('Data Entry'!$H$5:$BE$10004,7948-4,'Visual SPC'!$B$3),"")</f>
        <v/>
      </c>
      <c r="E7948">
        <f>IF(B7948=1,D7948,E7947)</f>
        <v/>
      </c>
      <c r="F7948">
        <f>IF(AND(B7948=1,C7948&gt;1,E7947&lt;&gt;""),ABS(D7948-E7947),"")</f>
        <v/>
      </c>
    </row>
    <row r="7949">
      <c r="A7949" t="n">
        <v>7949</v>
      </c>
      <c r="B7949">
        <f>IF(INDEX('Data Entry'!$H$5:$BE$10004,7949-4,'Visual SPC'!$B$3)="",0,IF(AND(OR('Visual SPC'!$C$4="",'Data Entry'!$C7949&gt;='Visual SPC'!$C$4),OR('Visual SPC'!$E$4="",'Data Entry'!$C7949&lt;='Visual SPC'!$E$4),OR('Visual SPC'!$G$4="",'Data Entry'!$D7949='Visual SPC'!$G$4),OR('Visual SPC'!$I$4="",'Data Entry'!$E7949='Visual SPC'!$I$4),OR('Visual SPC'!$K$4="",'Data Entry'!$F7949='Visual SPC'!$K$4)),1,0))</f>
        <v/>
      </c>
      <c r="C7949">
        <f>C7948+B7949</f>
        <v/>
      </c>
      <c r="D7949">
        <f>IF(B7949=1,INDEX('Data Entry'!$H$5:$BE$10004,7949-4,'Visual SPC'!$B$3),"")</f>
        <v/>
      </c>
      <c r="E7949">
        <f>IF(B7949=1,D7949,E7948)</f>
        <v/>
      </c>
      <c r="F7949">
        <f>IF(AND(B7949=1,C7949&gt;1,E7948&lt;&gt;""),ABS(D7949-E7948),"")</f>
        <v/>
      </c>
    </row>
    <row r="7950">
      <c r="A7950" t="n">
        <v>7950</v>
      </c>
      <c r="B7950">
        <f>IF(INDEX('Data Entry'!$H$5:$BE$10004,7950-4,'Visual SPC'!$B$3)="",0,IF(AND(OR('Visual SPC'!$C$4="",'Data Entry'!$C7950&gt;='Visual SPC'!$C$4),OR('Visual SPC'!$E$4="",'Data Entry'!$C7950&lt;='Visual SPC'!$E$4),OR('Visual SPC'!$G$4="",'Data Entry'!$D7950='Visual SPC'!$G$4),OR('Visual SPC'!$I$4="",'Data Entry'!$E7950='Visual SPC'!$I$4),OR('Visual SPC'!$K$4="",'Data Entry'!$F7950='Visual SPC'!$K$4)),1,0))</f>
        <v/>
      </c>
      <c r="C7950">
        <f>C7949+B7950</f>
        <v/>
      </c>
      <c r="D7950">
        <f>IF(B7950=1,INDEX('Data Entry'!$H$5:$BE$10004,7950-4,'Visual SPC'!$B$3),"")</f>
        <v/>
      </c>
      <c r="E7950">
        <f>IF(B7950=1,D7950,E7949)</f>
        <v/>
      </c>
      <c r="F7950">
        <f>IF(AND(B7950=1,C7950&gt;1,E7949&lt;&gt;""),ABS(D7950-E7949),"")</f>
        <v/>
      </c>
    </row>
    <row r="7951">
      <c r="A7951" t="n">
        <v>7951</v>
      </c>
      <c r="B7951">
        <f>IF(INDEX('Data Entry'!$H$5:$BE$10004,7951-4,'Visual SPC'!$B$3)="",0,IF(AND(OR('Visual SPC'!$C$4="",'Data Entry'!$C7951&gt;='Visual SPC'!$C$4),OR('Visual SPC'!$E$4="",'Data Entry'!$C7951&lt;='Visual SPC'!$E$4),OR('Visual SPC'!$G$4="",'Data Entry'!$D7951='Visual SPC'!$G$4),OR('Visual SPC'!$I$4="",'Data Entry'!$E7951='Visual SPC'!$I$4),OR('Visual SPC'!$K$4="",'Data Entry'!$F7951='Visual SPC'!$K$4)),1,0))</f>
        <v/>
      </c>
      <c r="C7951">
        <f>C7950+B7951</f>
        <v/>
      </c>
      <c r="D7951">
        <f>IF(B7951=1,INDEX('Data Entry'!$H$5:$BE$10004,7951-4,'Visual SPC'!$B$3),"")</f>
        <v/>
      </c>
      <c r="E7951">
        <f>IF(B7951=1,D7951,E7950)</f>
        <v/>
      </c>
      <c r="F7951">
        <f>IF(AND(B7951=1,C7951&gt;1,E7950&lt;&gt;""),ABS(D7951-E7950),"")</f>
        <v/>
      </c>
    </row>
    <row r="7952">
      <c r="A7952" t="n">
        <v>7952</v>
      </c>
      <c r="B7952">
        <f>IF(INDEX('Data Entry'!$H$5:$BE$10004,7952-4,'Visual SPC'!$B$3)="",0,IF(AND(OR('Visual SPC'!$C$4="",'Data Entry'!$C7952&gt;='Visual SPC'!$C$4),OR('Visual SPC'!$E$4="",'Data Entry'!$C7952&lt;='Visual SPC'!$E$4),OR('Visual SPC'!$G$4="",'Data Entry'!$D7952='Visual SPC'!$G$4),OR('Visual SPC'!$I$4="",'Data Entry'!$E7952='Visual SPC'!$I$4),OR('Visual SPC'!$K$4="",'Data Entry'!$F7952='Visual SPC'!$K$4)),1,0))</f>
        <v/>
      </c>
      <c r="C7952">
        <f>C7951+B7952</f>
        <v/>
      </c>
      <c r="D7952">
        <f>IF(B7952=1,INDEX('Data Entry'!$H$5:$BE$10004,7952-4,'Visual SPC'!$B$3),"")</f>
        <v/>
      </c>
      <c r="E7952">
        <f>IF(B7952=1,D7952,E7951)</f>
        <v/>
      </c>
      <c r="F7952">
        <f>IF(AND(B7952=1,C7952&gt;1,E7951&lt;&gt;""),ABS(D7952-E7951),"")</f>
        <v/>
      </c>
    </row>
    <row r="7953">
      <c r="A7953" t="n">
        <v>7953</v>
      </c>
      <c r="B7953">
        <f>IF(INDEX('Data Entry'!$H$5:$BE$10004,7953-4,'Visual SPC'!$B$3)="",0,IF(AND(OR('Visual SPC'!$C$4="",'Data Entry'!$C7953&gt;='Visual SPC'!$C$4),OR('Visual SPC'!$E$4="",'Data Entry'!$C7953&lt;='Visual SPC'!$E$4),OR('Visual SPC'!$G$4="",'Data Entry'!$D7953='Visual SPC'!$G$4),OR('Visual SPC'!$I$4="",'Data Entry'!$E7953='Visual SPC'!$I$4),OR('Visual SPC'!$K$4="",'Data Entry'!$F7953='Visual SPC'!$K$4)),1,0))</f>
        <v/>
      </c>
      <c r="C7953">
        <f>C7952+B7953</f>
        <v/>
      </c>
      <c r="D7953">
        <f>IF(B7953=1,INDEX('Data Entry'!$H$5:$BE$10004,7953-4,'Visual SPC'!$B$3),"")</f>
        <v/>
      </c>
      <c r="E7953">
        <f>IF(B7953=1,D7953,E7952)</f>
        <v/>
      </c>
      <c r="F7953">
        <f>IF(AND(B7953=1,C7953&gt;1,E7952&lt;&gt;""),ABS(D7953-E7952),"")</f>
        <v/>
      </c>
    </row>
    <row r="7954">
      <c r="A7954" t="n">
        <v>7954</v>
      </c>
      <c r="B7954">
        <f>IF(INDEX('Data Entry'!$H$5:$BE$10004,7954-4,'Visual SPC'!$B$3)="",0,IF(AND(OR('Visual SPC'!$C$4="",'Data Entry'!$C7954&gt;='Visual SPC'!$C$4),OR('Visual SPC'!$E$4="",'Data Entry'!$C7954&lt;='Visual SPC'!$E$4),OR('Visual SPC'!$G$4="",'Data Entry'!$D7954='Visual SPC'!$G$4),OR('Visual SPC'!$I$4="",'Data Entry'!$E7954='Visual SPC'!$I$4),OR('Visual SPC'!$K$4="",'Data Entry'!$F7954='Visual SPC'!$K$4)),1,0))</f>
        <v/>
      </c>
      <c r="C7954">
        <f>C7953+B7954</f>
        <v/>
      </c>
      <c r="D7954">
        <f>IF(B7954=1,INDEX('Data Entry'!$H$5:$BE$10004,7954-4,'Visual SPC'!$B$3),"")</f>
        <v/>
      </c>
      <c r="E7954">
        <f>IF(B7954=1,D7954,E7953)</f>
        <v/>
      </c>
      <c r="F7954">
        <f>IF(AND(B7954=1,C7954&gt;1,E7953&lt;&gt;""),ABS(D7954-E7953),"")</f>
        <v/>
      </c>
    </row>
    <row r="7955">
      <c r="A7955" t="n">
        <v>7955</v>
      </c>
      <c r="B7955">
        <f>IF(INDEX('Data Entry'!$H$5:$BE$10004,7955-4,'Visual SPC'!$B$3)="",0,IF(AND(OR('Visual SPC'!$C$4="",'Data Entry'!$C7955&gt;='Visual SPC'!$C$4),OR('Visual SPC'!$E$4="",'Data Entry'!$C7955&lt;='Visual SPC'!$E$4),OR('Visual SPC'!$G$4="",'Data Entry'!$D7955='Visual SPC'!$G$4),OR('Visual SPC'!$I$4="",'Data Entry'!$E7955='Visual SPC'!$I$4),OR('Visual SPC'!$K$4="",'Data Entry'!$F7955='Visual SPC'!$K$4)),1,0))</f>
        <v/>
      </c>
      <c r="C7955">
        <f>C7954+B7955</f>
        <v/>
      </c>
      <c r="D7955">
        <f>IF(B7955=1,INDEX('Data Entry'!$H$5:$BE$10004,7955-4,'Visual SPC'!$B$3),"")</f>
        <v/>
      </c>
      <c r="E7955">
        <f>IF(B7955=1,D7955,E7954)</f>
        <v/>
      </c>
      <c r="F7955">
        <f>IF(AND(B7955=1,C7955&gt;1,E7954&lt;&gt;""),ABS(D7955-E7954),"")</f>
        <v/>
      </c>
    </row>
    <row r="7956">
      <c r="A7956" t="n">
        <v>7956</v>
      </c>
      <c r="B7956">
        <f>IF(INDEX('Data Entry'!$H$5:$BE$10004,7956-4,'Visual SPC'!$B$3)="",0,IF(AND(OR('Visual SPC'!$C$4="",'Data Entry'!$C7956&gt;='Visual SPC'!$C$4),OR('Visual SPC'!$E$4="",'Data Entry'!$C7956&lt;='Visual SPC'!$E$4),OR('Visual SPC'!$G$4="",'Data Entry'!$D7956='Visual SPC'!$G$4),OR('Visual SPC'!$I$4="",'Data Entry'!$E7956='Visual SPC'!$I$4),OR('Visual SPC'!$K$4="",'Data Entry'!$F7956='Visual SPC'!$K$4)),1,0))</f>
        <v/>
      </c>
      <c r="C7956">
        <f>C7955+B7956</f>
        <v/>
      </c>
      <c r="D7956">
        <f>IF(B7956=1,INDEX('Data Entry'!$H$5:$BE$10004,7956-4,'Visual SPC'!$B$3),"")</f>
        <v/>
      </c>
      <c r="E7956">
        <f>IF(B7956=1,D7956,E7955)</f>
        <v/>
      </c>
      <c r="F7956">
        <f>IF(AND(B7956=1,C7956&gt;1,E7955&lt;&gt;""),ABS(D7956-E7955),"")</f>
        <v/>
      </c>
    </row>
    <row r="7957">
      <c r="A7957" t="n">
        <v>7957</v>
      </c>
      <c r="B7957">
        <f>IF(INDEX('Data Entry'!$H$5:$BE$10004,7957-4,'Visual SPC'!$B$3)="",0,IF(AND(OR('Visual SPC'!$C$4="",'Data Entry'!$C7957&gt;='Visual SPC'!$C$4),OR('Visual SPC'!$E$4="",'Data Entry'!$C7957&lt;='Visual SPC'!$E$4),OR('Visual SPC'!$G$4="",'Data Entry'!$D7957='Visual SPC'!$G$4),OR('Visual SPC'!$I$4="",'Data Entry'!$E7957='Visual SPC'!$I$4),OR('Visual SPC'!$K$4="",'Data Entry'!$F7957='Visual SPC'!$K$4)),1,0))</f>
        <v/>
      </c>
      <c r="C7957">
        <f>C7956+B7957</f>
        <v/>
      </c>
      <c r="D7957">
        <f>IF(B7957=1,INDEX('Data Entry'!$H$5:$BE$10004,7957-4,'Visual SPC'!$B$3),"")</f>
        <v/>
      </c>
      <c r="E7957">
        <f>IF(B7957=1,D7957,E7956)</f>
        <v/>
      </c>
      <c r="F7957">
        <f>IF(AND(B7957=1,C7957&gt;1,E7956&lt;&gt;""),ABS(D7957-E7956),"")</f>
        <v/>
      </c>
    </row>
    <row r="7958">
      <c r="A7958" t="n">
        <v>7958</v>
      </c>
      <c r="B7958">
        <f>IF(INDEX('Data Entry'!$H$5:$BE$10004,7958-4,'Visual SPC'!$B$3)="",0,IF(AND(OR('Visual SPC'!$C$4="",'Data Entry'!$C7958&gt;='Visual SPC'!$C$4),OR('Visual SPC'!$E$4="",'Data Entry'!$C7958&lt;='Visual SPC'!$E$4),OR('Visual SPC'!$G$4="",'Data Entry'!$D7958='Visual SPC'!$G$4),OR('Visual SPC'!$I$4="",'Data Entry'!$E7958='Visual SPC'!$I$4),OR('Visual SPC'!$K$4="",'Data Entry'!$F7958='Visual SPC'!$K$4)),1,0))</f>
        <v/>
      </c>
      <c r="C7958">
        <f>C7957+B7958</f>
        <v/>
      </c>
      <c r="D7958">
        <f>IF(B7958=1,INDEX('Data Entry'!$H$5:$BE$10004,7958-4,'Visual SPC'!$B$3),"")</f>
        <v/>
      </c>
      <c r="E7958">
        <f>IF(B7958=1,D7958,E7957)</f>
        <v/>
      </c>
      <c r="F7958">
        <f>IF(AND(B7958=1,C7958&gt;1,E7957&lt;&gt;""),ABS(D7958-E7957),"")</f>
        <v/>
      </c>
    </row>
    <row r="7959">
      <c r="A7959" t="n">
        <v>7959</v>
      </c>
      <c r="B7959">
        <f>IF(INDEX('Data Entry'!$H$5:$BE$10004,7959-4,'Visual SPC'!$B$3)="",0,IF(AND(OR('Visual SPC'!$C$4="",'Data Entry'!$C7959&gt;='Visual SPC'!$C$4),OR('Visual SPC'!$E$4="",'Data Entry'!$C7959&lt;='Visual SPC'!$E$4),OR('Visual SPC'!$G$4="",'Data Entry'!$D7959='Visual SPC'!$G$4),OR('Visual SPC'!$I$4="",'Data Entry'!$E7959='Visual SPC'!$I$4),OR('Visual SPC'!$K$4="",'Data Entry'!$F7959='Visual SPC'!$K$4)),1,0))</f>
        <v/>
      </c>
      <c r="C7959">
        <f>C7958+B7959</f>
        <v/>
      </c>
      <c r="D7959">
        <f>IF(B7959=1,INDEX('Data Entry'!$H$5:$BE$10004,7959-4,'Visual SPC'!$B$3),"")</f>
        <v/>
      </c>
      <c r="E7959">
        <f>IF(B7959=1,D7959,E7958)</f>
        <v/>
      </c>
      <c r="F7959">
        <f>IF(AND(B7959=1,C7959&gt;1,E7958&lt;&gt;""),ABS(D7959-E7958),"")</f>
        <v/>
      </c>
    </row>
    <row r="7960">
      <c r="A7960" t="n">
        <v>7960</v>
      </c>
      <c r="B7960">
        <f>IF(INDEX('Data Entry'!$H$5:$BE$10004,7960-4,'Visual SPC'!$B$3)="",0,IF(AND(OR('Visual SPC'!$C$4="",'Data Entry'!$C7960&gt;='Visual SPC'!$C$4),OR('Visual SPC'!$E$4="",'Data Entry'!$C7960&lt;='Visual SPC'!$E$4),OR('Visual SPC'!$G$4="",'Data Entry'!$D7960='Visual SPC'!$G$4),OR('Visual SPC'!$I$4="",'Data Entry'!$E7960='Visual SPC'!$I$4),OR('Visual SPC'!$K$4="",'Data Entry'!$F7960='Visual SPC'!$K$4)),1,0))</f>
        <v/>
      </c>
      <c r="C7960">
        <f>C7959+B7960</f>
        <v/>
      </c>
      <c r="D7960">
        <f>IF(B7960=1,INDEX('Data Entry'!$H$5:$BE$10004,7960-4,'Visual SPC'!$B$3),"")</f>
        <v/>
      </c>
      <c r="E7960">
        <f>IF(B7960=1,D7960,E7959)</f>
        <v/>
      </c>
      <c r="F7960">
        <f>IF(AND(B7960=1,C7960&gt;1,E7959&lt;&gt;""),ABS(D7960-E7959),"")</f>
        <v/>
      </c>
    </row>
    <row r="7961">
      <c r="A7961" t="n">
        <v>7961</v>
      </c>
      <c r="B7961">
        <f>IF(INDEX('Data Entry'!$H$5:$BE$10004,7961-4,'Visual SPC'!$B$3)="",0,IF(AND(OR('Visual SPC'!$C$4="",'Data Entry'!$C7961&gt;='Visual SPC'!$C$4),OR('Visual SPC'!$E$4="",'Data Entry'!$C7961&lt;='Visual SPC'!$E$4),OR('Visual SPC'!$G$4="",'Data Entry'!$D7961='Visual SPC'!$G$4),OR('Visual SPC'!$I$4="",'Data Entry'!$E7961='Visual SPC'!$I$4),OR('Visual SPC'!$K$4="",'Data Entry'!$F7961='Visual SPC'!$K$4)),1,0))</f>
        <v/>
      </c>
      <c r="C7961">
        <f>C7960+B7961</f>
        <v/>
      </c>
      <c r="D7961">
        <f>IF(B7961=1,INDEX('Data Entry'!$H$5:$BE$10004,7961-4,'Visual SPC'!$B$3),"")</f>
        <v/>
      </c>
      <c r="E7961">
        <f>IF(B7961=1,D7961,E7960)</f>
        <v/>
      </c>
      <c r="F7961">
        <f>IF(AND(B7961=1,C7961&gt;1,E7960&lt;&gt;""),ABS(D7961-E7960),"")</f>
        <v/>
      </c>
    </row>
    <row r="7962">
      <c r="A7962" t="n">
        <v>7962</v>
      </c>
      <c r="B7962">
        <f>IF(INDEX('Data Entry'!$H$5:$BE$10004,7962-4,'Visual SPC'!$B$3)="",0,IF(AND(OR('Visual SPC'!$C$4="",'Data Entry'!$C7962&gt;='Visual SPC'!$C$4),OR('Visual SPC'!$E$4="",'Data Entry'!$C7962&lt;='Visual SPC'!$E$4),OR('Visual SPC'!$G$4="",'Data Entry'!$D7962='Visual SPC'!$G$4),OR('Visual SPC'!$I$4="",'Data Entry'!$E7962='Visual SPC'!$I$4),OR('Visual SPC'!$K$4="",'Data Entry'!$F7962='Visual SPC'!$K$4)),1,0))</f>
        <v/>
      </c>
      <c r="C7962">
        <f>C7961+B7962</f>
        <v/>
      </c>
      <c r="D7962">
        <f>IF(B7962=1,INDEX('Data Entry'!$H$5:$BE$10004,7962-4,'Visual SPC'!$B$3),"")</f>
        <v/>
      </c>
      <c r="E7962">
        <f>IF(B7962=1,D7962,E7961)</f>
        <v/>
      </c>
      <c r="F7962">
        <f>IF(AND(B7962=1,C7962&gt;1,E7961&lt;&gt;""),ABS(D7962-E7961),"")</f>
        <v/>
      </c>
    </row>
    <row r="7963">
      <c r="A7963" t="n">
        <v>7963</v>
      </c>
      <c r="B7963">
        <f>IF(INDEX('Data Entry'!$H$5:$BE$10004,7963-4,'Visual SPC'!$B$3)="",0,IF(AND(OR('Visual SPC'!$C$4="",'Data Entry'!$C7963&gt;='Visual SPC'!$C$4),OR('Visual SPC'!$E$4="",'Data Entry'!$C7963&lt;='Visual SPC'!$E$4),OR('Visual SPC'!$G$4="",'Data Entry'!$D7963='Visual SPC'!$G$4),OR('Visual SPC'!$I$4="",'Data Entry'!$E7963='Visual SPC'!$I$4),OR('Visual SPC'!$K$4="",'Data Entry'!$F7963='Visual SPC'!$K$4)),1,0))</f>
        <v/>
      </c>
      <c r="C7963">
        <f>C7962+B7963</f>
        <v/>
      </c>
      <c r="D7963">
        <f>IF(B7963=1,INDEX('Data Entry'!$H$5:$BE$10004,7963-4,'Visual SPC'!$B$3),"")</f>
        <v/>
      </c>
      <c r="E7963">
        <f>IF(B7963=1,D7963,E7962)</f>
        <v/>
      </c>
      <c r="F7963">
        <f>IF(AND(B7963=1,C7963&gt;1,E7962&lt;&gt;""),ABS(D7963-E7962),"")</f>
        <v/>
      </c>
    </row>
    <row r="7964">
      <c r="A7964" t="n">
        <v>7964</v>
      </c>
      <c r="B7964">
        <f>IF(INDEX('Data Entry'!$H$5:$BE$10004,7964-4,'Visual SPC'!$B$3)="",0,IF(AND(OR('Visual SPC'!$C$4="",'Data Entry'!$C7964&gt;='Visual SPC'!$C$4),OR('Visual SPC'!$E$4="",'Data Entry'!$C7964&lt;='Visual SPC'!$E$4),OR('Visual SPC'!$G$4="",'Data Entry'!$D7964='Visual SPC'!$G$4),OR('Visual SPC'!$I$4="",'Data Entry'!$E7964='Visual SPC'!$I$4),OR('Visual SPC'!$K$4="",'Data Entry'!$F7964='Visual SPC'!$K$4)),1,0))</f>
        <v/>
      </c>
      <c r="C7964">
        <f>C7963+B7964</f>
        <v/>
      </c>
      <c r="D7964">
        <f>IF(B7964=1,INDEX('Data Entry'!$H$5:$BE$10004,7964-4,'Visual SPC'!$B$3),"")</f>
        <v/>
      </c>
      <c r="E7964">
        <f>IF(B7964=1,D7964,E7963)</f>
        <v/>
      </c>
      <c r="F7964">
        <f>IF(AND(B7964=1,C7964&gt;1,E7963&lt;&gt;""),ABS(D7964-E7963),"")</f>
        <v/>
      </c>
    </row>
    <row r="7965">
      <c r="A7965" t="n">
        <v>7965</v>
      </c>
      <c r="B7965">
        <f>IF(INDEX('Data Entry'!$H$5:$BE$10004,7965-4,'Visual SPC'!$B$3)="",0,IF(AND(OR('Visual SPC'!$C$4="",'Data Entry'!$C7965&gt;='Visual SPC'!$C$4),OR('Visual SPC'!$E$4="",'Data Entry'!$C7965&lt;='Visual SPC'!$E$4),OR('Visual SPC'!$G$4="",'Data Entry'!$D7965='Visual SPC'!$G$4),OR('Visual SPC'!$I$4="",'Data Entry'!$E7965='Visual SPC'!$I$4),OR('Visual SPC'!$K$4="",'Data Entry'!$F7965='Visual SPC'!$K$4)),1,0))</f>
        <v/>
      </c>
      <c r="C7965">
        <f>C7964+B7965</f>
        <v/>
      </c>
      <c r="D7965">
        <f>IF(B7965=1,INDEX('Data Entry'!$H$5:$BE$10004,7965-4,'Visual SPC'!$B$3),"")</f>
        <v/>
      </c>
      <c r="E7965">
        <f>IF(B7965=1,D7965,E7964)</f>
        <v/>
      </c>
      <c r="F7965">
        <f>IF(AND(B7965=1,C7965&gt;1,E7964&lt;&gt;""),ABS(D7965-E7964),"")</f>
        <v/>
      </c>
    </row>
    <row r="7966">
      <c r="A7966" t="n">
        <v>7966</v>
      </c>
      <c r="B7966">
        <f>IF(INDEX('Data Entry'!$H$5:$BE$10004,7966-4,'Visual SPC'!$B$3)="",0,IF(AND(OR('Visual SPC'!$C$4="",'Data Entry'!$C7966&gt;='Visual SPC'!$C$4),OR('Visual SPC'!$E$4="",'Data Entry'!$C7966&lt;='Visual SPC'!$E$4),OR('Visual SPC'!$G$4="",'Data Entry'!$D7966='Visual SPC'!$G$4),OR('Visual SPC'!$I$4="",'Data Entry'!$E7966='Visual SPC'!$I$4),OR('Visual SPC'!$K$4="",'Data Entry'!$F7966='Visual SPC'!$K$4)),1,0))</f>
        <v/>
      </c>
      <c r="C7966">
        <f>C7965+B7966</f>
        <v/>
      </c>
      <c r="D7966">
        <f>IF(B7966=1,INDEX('Data Entry'!$H$5:$BE$10004,7966-4,'Visual SPC'!$B$3),"")</f>
        <v/>
      </c>
      <c r="E7966">
        <f>IF(B7966=1,D7966,E7965)</f>
        <v/>
      </c>
      <c r="F7966">
        <f>IF(AND(B7966=1,C7966&gt;1,E7965&lt;&gt;""),ABS(D7966-E7965),"")</f>
        <v/>
      </c>
    </row>
    <row r="7967">
      <c r="A7967" t="n">
        <v>7967</v>
      </c>
      <c r="B7967">
        <f>IF(INDEX('Data Entry'!$H$5:$BE$10004,7967-4,'Visual SPC'!$B$3)="",0,IF(AND(OR('Visual SPC'!$C$4="",'Data Entry'!$C7967&gt;='Visual SPC'!$C$4),OR('Visual SPC'!$E$4="",'Data Entry'!$C7967&lt;='Visual SPC'!$E$4),OR('Visual SPC'!$G$4="",'Data Entry'!$D7967='Visual SPC'!$G$4),OR('Visual SPC'!$I$4="",'Data Entry'!$E7967='Visual SPC'!$I$4),OR('Visual SPC'!$K$4="",'Data Entry'!$F7967='Visual SPC'!$K$4)),1,0))</f>
        <v/>
      </c>
      <c r="C7967">
        <f>C7966+B7967</f>
        <v/>
      </c>
      <c r="D7967">
        <f>IF(B7967=1,INDEX('Data Entry'!$H$5:$BE$10004,7967-4,'Visual SPC'!$B$3),"")</f>
        <v/>
      </c>
      <c r="E7967">
        <f>IF(B7967=1,D7967,E7966)</f>
        <v/>
      </c>
      <c r="F7967">
        <f>IF(AND(B7967=1,C7967&gt;1,E7966&lt;&gt;""),ABS(D7967-E7966),"")</f>
        <v/>
      </c>
    </row>
    <row r="7968">
      <c r="A7968" t="n">
        <v>7968</v>
      </c>
      <c r="B7968">
        <f>IF(INDEX('Data Entry'!$H$5:$BE$10004,7968-4,'Visual SPC'!$B$3)="",0,IF(AND(OR('Visual SPC'!$C$4="",'Data Entry'!$C7968&gt;='Visual SPC'!$C$4),OR('Visual SPC'!$E$4="",'Data Entry'!$C7968&lt;='Visual SPC'!$E$4),OR('Visual SPC'!$G$4="",'Data Entry'!$D7968='Visual SPC'!$G$4),OR('Visual SPC'!$I$4="",'Data Entry'!$E7968='Visual SPC'!$I$4),OR('Visual SPC'!$K$4="",'Data Entry'!$F7968='Visual SPC'!$K$4)),1,0))</f>
        <v/>
      </c>
      <c r="C7968">
        <f>C7967+B7968</f>
        <v/>
      </c>
      <c r="D7968">
        <f>IF(B7968=1,INDEX('Data Entry'!$H$5:$BE$10004,7968-4,'Visual SPC'!$B$3),"")</f>
        <v/>
      </c>
      <c r="E7968">
        <f>IF(B7968=1,D7968,E7967)</f>
        <v/>
      </c>
      <c r="F7968">
        <f>IF(AND(B7968=1,C7968&gt;1,E7967&lt;&gt;""),ABS(D7968-E7967),"")</f>
        <v/>
      </c>
    </row>
    <row r="7969">
      <c r="A7969" t="n">
        <v>7969</v>
      </c>
      <c r="B7969">
        <f>IF(INDEX('Data Entry'!$H$5:$BE$10004,7969-4,'Visual SPC'!$B$3)="",0,IF(AND(OR('Visual SPC'!$C$4="",'Data Entry'!$C7969&gt;='Visual SPC'!$C$4),OR('Visual SPC'!$E$4="",'Data Entry'!$C7969&lt;='Visual SPC'!$E$4),OR('Visual SPC'!$G$4="",'Data Entry'!$D7969='Visual SPC'!$G$4),OR('Visual SPC'!$I$4="",'Data Entry'!$E7969='Visual SPC'!$I$4),OR('Visual SPC'!$K$4="",'Data Entry'!$F7969='Visual SPC'!$K$4)),1,0))</f>
        <v/>
      </c>
      <c r="C7969">
        <f>C7968+B7969</f>
        <v/>
      </c>
      <c r="D7969">
        <f>IF(B7969=1,INDEX('Data Entry'!$H$5:$BE$10004,7969-4,'Visual SPC'!$B$3),"")</f>
        <v/>
      </c>
      <c r="E7969">
        <f>IF(B7969=1,D7969,E7968)</f>
        <v/>
      </c>
      <c r="F7969">
        <f>IF(AND(B7969=1,C7969&gt;1,E7968&lt;&gt;""),ABS(D7969-E7968),"")</f>
        <v/>
      </c>
    </row>
    <row r="7970">
      <c r="A7970" t="n">
        <v>7970</v>
      </c>
      <c r="B7970">
        <f>IF(INDEX('Data Entry'!$H$5:$BE$10004,7970-4,'Visual SPC'!$B$3)="",0,IF(AND(OR('Visual SPC'!$C$4="",'Data Entry'!$C7970&gt;='Visual SPC'!$C$4),OR('Visual SPC'!$E$4="",'Data Entry'!$C7970&lt;='Visual SPC'!$E$4),OR('Visual SPC'!$G$4="",'Data Entry'!$D7970='Visual SPC'!$G$4),OR('Visual SPC'!$I$4="",'Data Entry'!$E7970='Visual SPC'!$I$4),OR('Visual SPC'!$K$4="",'Data Entry'!$F7970='Visual SPC'!$K$4)),1,0))</f>
        <v/>
      </c>
      <c r="C7970">
        <f>C7969+B7970</f>
        <v/>
      </c>
      <c r="D7970">
        <f>IF(B7970=1,INDEX('Data Entry'!$H$5:$BE$10004,7970-4,'Visual SPC'!$B$3),"")</f>
        <v/>
      </c>
      <c r="E7970">
        <f>IF(B7970=1,D7970,E7969)</f>
        <v/>
      </c>
      <c r="F7970">
        <f>IF(AND(B7970=1,C7970&gt;1,E7969&lt;&gt;""),ABS(D7970-E7969),"")</f>
        <v/>
      </c>
    </row>
    <row r="7971">
      <c r="A7971" t="n">
        <v>7971</v>
      </c>
      <c r="B7971">
        <f>IF(INDEX('Data Entry'!$H$5:$BE$10004,7971-4,'Visual SPC'!$B$3)="",0,IF(AND(OR('Visual SPC'!$C$4="",'Data Entry'!$C7971&gt;='Visual SPC'!$C$4),OR('Visual SPC'!$E$4="",'Data Entry'!$C7971&lt;='Visual SPC'!$E$4),OR('Visual SPC'!$G$4="",'Data Entry'!$D7971='Visual SPC'!$G$4),OR('Visual SPC'!$I$4="",'Data Entry'!$E7971='Visual SPC'!$I$4),OR('Visual SPC'!$K$4="",'Data Entry'!$F7971='Visual SPC'!$K$4)),1,0))</f>
        <v/>
      </c>
      <c r="C7971">
        <f>C7970+B7971</f>
        <v/>
      </c>
      <c r="D7971">
        <f>IF(B7971=1,INDEX('Data Entry'!$H$5:$BE$10004,7971-4,'Visual SPC'!$B$3),"")</f>
        <v/>
      </c>
      <c r="E7971">
        <f>IF(B7971=1,D7971,E7970)</f>
        <v/>
      </c>
      <c r="F7971">
        <f>IF(AND(B7971=1,C7971&gt;1,E7970&lt;&gt;""),ABS(D7971-E7970),"")</f>
        <v/>
      </c>
    </row>
    <row r="7972">
      <c r="A7972" t="n">
        <v>7972</v>
      </c>
      <c r="B7972">
        <f>IF(INDEX('Data Entry'!$H$5:$BE$10004,7972-4,'Visual SPC'!$B$3)="",0,IF(AND(OR('Visual SPC'!$C$4="",'Data Entry'!$C7972&gt;='Visual SPC'!$C$4),OR('Visual SPC'!$E$4="",'Data Entry'!$C7972&lt;='Visual SPC'!$E$4),OR('Visual SPC'!$G$4="",'Data Entry'!$D7972='Visual SPC'!$G$4),OR('Visual SPC'!$I$4="",'Data Entry'!$E7972='Visual SPC'!$I$4),OR('Visual SPC'!$K$4="",'Data Entry'!$F7972='Visual SPC'!$K$4)),1,0))</f>
        <v/>
      </c>
      <c r="C7972">
        <f>C7971+B7972</f>
        <v/>
      </c>
      <c r="D7972">
        <f>IF(B7972=1,INDEX('Data Entry'!$H$5:$BE$10004,7972-4,'Visual SPC'!$B$3),"")</f>
        <v/>
      </c>
      <c r="E7972">
        <f>IF(B7972=1,D7972,E7971)</f>
        <v/>
      </c>
      <c r="F7972">
        <f>IF(AND(B7972=1,C7972&gt;1,E7971&lt;&gt;""),ABS(D7972-E7971),"")</f>
        <v/>
      </c>
    </row>
    <row r="7973">
      <c r="A7973" t="n">
        <v>7973</v>
      </c>
      <c r="B7973">
        <f>IF(INDEX('Data Entry'!$H$5:$BE$10004,7973-4,'Visual SPC'!$B$3)="",0,IF(AND(OR('Visual SPC'!$C$4="",'Data Entry'!$C7973&gt;='Visual SPC'!$C$4),OR('Visual SPC'!$E$4="",'Data Entry'!$C7973&lt;='Visual SPC'!$E$4),OR('Visual SPC'!$G$4="",'Data Entry'!$D7973='Visual SPC'!$G$4),OR('Visual SPC'!$I$4="",'Data Entry'!$E7973='Visual SPC'!$I$4),OR('Visual SPC'!$K$4="",'Data Entry'!$F7973='Visual SPC'!$K$4)),1,0))</f>
        <v/>
      </c>
      <c r="C7973">
        <f>C7972+B7973</f>
        <v/>
      </c>
      <c r="D7973">
        <f>IF(B7973=1,INDEX('Data Entry'!$H$5:$BE$10004,7973-4,'Visual SPC'!$B$3),"")</f>
        <v/>
      </c>
      <c r="E7973">
        <f>IF(B7973=1,D7973,E7972)</f>
        <v/>
      </c>
      <c r="F7973">
        <f>IF(AND(B7973=1,C7973&gt;1,E7972&lt;&gt;""),ABS(D7973-E7972),"")</f>
        <v/>
      </c>
    </row>
    <row r="7974">
      <c r="A7974" t="n">
        <v>7974</v>
      </c>
      <c r="B7974">
        <f>IF(INDEX('Data Entry'!$H$5:$BE$10004,7974-4,'Visual SPC'!$B$3)="",0,IF(AND(OR('Visual SPC'!$C$4="",'Data Entry'!$C7974&gt;='Visual SPC'!$C$4),OR('Visual SPC'!$E$4="",'Data Entry'!$C7974&lt;='Visual SPC'!$E$4),OR('Visual SPC'!$G$4="",'Data Entry'!$D7974='Visual SPC'!$G$4),OR('Visual SPC'!$I$4="",'Data Entry'!$E7974='Visual SPC'!$I$4),OR('Visual SPC'!$K$4="",'Data Entry'!$F7974='Visual SPC'!$K$4)),1,0))</f>
        <v/>
      </c>
      <c r="C7974">
        <f>C7973+B7974</f>
        <v/>
      </c>
      <c r="D7974">
        <f>IF(B7974=1,INDEX('Data Entry'!$H$5:$BE$10004,7974-4,'Visual SPC'!$B$3),"")</f>
        <v/>
      </c>
      <c r="E7974">
        <f>IF(B7974=1,D7974,E7973)</f>
        <v/>
      </c>
      <c r="F7974">
        <f>IF(AND(B7974=1,C7974&gt;1,E7973&lt;&gt;""),ABS(D7974-E7973),"")</f>
        <v/>
      </c>
    </row>
    <row r="7975">
      <c r="A7975" t="n">
        <v>7975</v>
      </c>
      <c r="B7975">
        <f>IF(INDEX('Data Entry'!$H$5:$BE$10004,7975-4,'Visual SPC'!$B$3)="",0,IF(AND(OR('Visual SPC'!$C$4="",'Data Entry'!$C7975&gt;='Visual SPC'!$C$4),OR('Visual SPC'!$E$4="",'Data Entry'!$C7975&lt;='Visual SPC'!$E$4),OR('Visual SPC'!$G$4="",'Data Entry'!$D7975='Visual SPC'!$G$4),OR('Visual SPC'!$I$4="",'Data Entry'!$E7975='Visual SPC'!$I$4),OR('Visual SPC'!$K$4="",'Data Entry'!$F7975='Visual SPC'!$K$4)),1,0))</f>
        <v/>
      </c>
      <c r="C7975">
        <f>C7974+B7975</f>
        <v/>
      </c>
      <c r="D7975">
        <f>IF(B7975=1,INDEX('Data Entry'!$H$5:$BE$10004,7975-4,'Visual SPC'!$B$3),"")</f>
        <v/>
      </c>
      <c r="E7975">
        <f>IF(B7975=1,D7975,E7974)</f>
        <v/>
      </c>
      <c r="F7975">
        <f>IF(AND(B7975=1,C7975&gt;1,E7974&lt;&gt;""),ABS(D7975-E7974),"")</f>
        <v/>
      </c>
    </row>
    <row r="7976">
      <c r="A7976" t="n">
        <v>7976</v>
      </c>
      <c r="B7976">
        <f>IF(INDEX('Data Entry'!$H$5:$BE$10004,7976-4,'Visual SPC'!$B$3)="",0,IF(AND(OR('Visual SPC'!$C$4="",'Data Entry'!$C7976&gt;='Visual SPC'!$C$4),OR('Visual SPC'!$E$4="",'Data Entry'!$C7976&lt;='Visual SPC'!$E$4),OR('Visual SPC'!$G$4="",'Data Entry'!$D7976='Visual SPC'!$G$4),OR('Visual SPC'!$I$4="",'Data Entry'!$E7976='Visual SPC'!$I$4),OR('Visual SPC'!$K$4="",'Data Entry'!$F7976='Visual SPC'!$K$4)),1,0))</f>
        <v/>
      </c>
      <c r="C7976">
        <f>C7975+B7976</f>
        <v/>
      </c>
      <c r="D7976">
        <f>IF(B7976=1,INDEX('Data Entry'!$H$5:$BE$10004,7976-4,'Visual SPC'!$B$3),"")</f>
        <v/>
      </c>
      <c r="E7976">
        <f>IF(B7976=1,D7976,E7975)</f>
        <v/>
      </c>
      <c r="F7976">
        <f>IF(AND(B7976=1,C7976&gt;1,E7975&lt;&gt;""),ABS(D7976-E7975),"")</f>
        <v/>
      </c>
    </row>
    <row r="7977">
      <c r="A7977" t="n">
        <v>7977</v>
      </c>
      <c r="B7977">
        <f>IF(INDEX('Data Entry'!$H$5:$BE$10004,7977-4,'Visual SPC'!$B$3)="",0,IF(AND(OR('Visual SPC'!$C$4="",'Data Entry'!$C7977&gt;='Visual SPC'!$C$4),OR('Visual SPC'!$E$4="",'Data Entry'!$C7977&lt;='Visual SPC'!$E$4),OR('Visual SPC'!$G$4="",'Data Entry'!$D7977='Visual SPC'!$G$4),OR('Visual SPC'!$I$4="",'Data Entry'!$E7977='Visual SPC'!$I$4),OR('Visual SPC'!$K$4="",'Data Entry'!$F7977='Visual SPC'!$K$4)),1,0))</f>
        <v/>
      </c>
      <c r="C7977">
        <f>C7976+B7977</f>
        <v/>
      </c>
      <c r="D7977">
        <f>IF(B7977=1,INDEX('Data Entry'!$H$5:$BE$10004,7977-4,'Visual SPC'!$B$3),"")</f>
        <v/>
      </c>
      <c r="E7977">
        <f>IF(B7977=1,D7977,E7976)</f>
        <v/>
      </c>
      <c r="F7977">
        <f>IF(AND(B7977=1,C7977&gt;1,E7976&lt;&gt;""),ABS(D7977-E7976),"")</f>
        <v/>
      </c>
    </row>
    <row r="7978">
      <c r="A7978" t="n">
        <v>7978</v>
      </c>
      <c r="B7978">
        <f>IF(INDEX('Data Entry'!$H$5:$BE$10004,7978-4,'Visual SPC'!$B$3)="",0,IF(AND(OR('Visual SPC'!$C$4="",'Data Entry'!$C7978&gt;='Visual SPC'!$C$4),OR('Visual SPC'!$E$4="",'Data Entry'!$C7978&lt;='Visual SPC'!$E$4),OR('Visual SPC'!$G$4="",'Data Entry'!$D7978='Visual SPC'!$G$4),OR('Visual SPC'!$I$4="",'Data Entry'!$E7978='Visual SPC'!$I$4),OR('Visual SPC'!$K$4="",'Data Entry'!$F7978='Visual SPC'!$K$4)),1,0))</f>
        <v/>
      </c>
      <c r="C7978">
        <f>C7977+B7978</f>
        <v/>
      </c>
      <c r="D7978">
        <f>IF(B7978=1,INDEX('Data Entry'!$H$5:$BE$10004,7978-4,'Visual SPC'!$B$3),"")</f>
        <v/>
      </c>
      <c r="E7978">
        <f>IF(B7978=1,D7978,E7977)</f>
        <v/>
      </c>
      <c r="F7978">
        <f>IF(AND(B7978=1,C7978&gt;1,E7977&lt;&gt;""),ABS(D7978-E7977),"")</f>
        <v/>
      </c>
    </row>
    <row r="7979">
      <c r="A7979" t="n">
        <v>7979</v>
      </c>
      <c r="B7979">
        <f>IF(INDEX('Data Entry'!$H$5:$BE$10004,7979-4,'Visual SPC'!$B$3)="",0,IF(AND(OR('Visual SPC'!$C$4="",'Data Entry'!$C7979&gt;='Visual SPC'!$C$4),OR('Visual SPC'!$E$4="",'Data Entry'!$C7979&lt;='Visual SPC'!$E$4),OR('Visual SPC'!$G$4="",'Data Entry'!$D7979='Visual SPC'!$G$4),OR('Visual SPC'!$I$4="",'Data Entry'!$E7979='Visual SPC'!$I$4),OR('Visual SPC'!$K$4="",'Data Entry'!$F7979='Visual SPC'!$K$4)),1,0))</f>
        <v/>
      </c>
      <c r="C7979">
        <f>C7978+B7979</f>
        <v/>
      </c>
      <c r="D7979">
        <f>IF(B7979=1,INDEX('Data Entry'!$H$5:$BE$10004,7979-4,'Visual SPC'!$B$3),"")</f>
        <v/>
      </c>
      <c r="E7979">
        <f>IF(B7979=1,D7979,E7978)</f>
        <v/>
      </c>
      <c r="F7979">
        <f>IF(AND(B7979=1,C7979&gt;1,E7978&lt;&gt;""),ABS(D7979-E7978),"")</f>
        <v/>
      </c>
    </row>
    <row r="7980">
      <c r="A7980" t="n">
        <v>7980</v>
      </c>
      <c r="B7980">
        <f>IF(INDEX('Data Entry'!$H$5:$BE$10004,7980-4,'Visual SPC'!$B$3)="",0,IF(AND(OR('Visual SPC'!$C$4="",'Data Entry'!$C7980&gt;='Visual SPC'!$C$4),OR('Visual SPC'!$E$4="",'Data Entry'!$C7980&lt;='Visual SPC'!$E$4),OR('Visual SPC'!$G$4="",'Data Entry'!$D7980='Visual SPC'!$G$4),OR('Visual SPC'!$I$4="",'Data Entry'!$E7980='Visual SPC'!$I$4),OR('Visual SPC'!$K$4="",'Data Entry'!$F7980='Visual SPC'!$K$4)),1,0))</f>
        <v/>
      </c>
      <c r="C7980">
        <f>C7979+B7980</f>
        <v/>
      </c>
      <c r="D7980">
        <f>IF(B7980=1,INDEX('Data Entry'!$H$5:$BE$10004,7980-4,'Visual SPC'!$B$3),"")</f>
        <v/>
      </c>
      <c r="E7980">
        <f>IF(B7980=1,D7980,E7979)</f>
        <v/>
      </c>
      <c r="F7980">
        <f>IF(AND(B7980=1,C7980&gt;1,E7979&lt;&gt;""),ABS(D7980-E7979),"")</f>
        <v/>
      </c>
    </row>
    <row r="7981">
      <c r="A7981" t="n">
        <v>7981</v>
      </c>
      <c r="B7981">
        <f>IF(INDEX('Data Entry'!$H$5:$BE$10004,7981-4,'Visual SPC'!$B$3)="",0,IF(AND(OR('Visual SPC'!$C$4="",'Data Entry'!$C7981&gt;='Visual SPC'!$C$4),OR('Visual SPC'!$E$4="",'Data Entry'!$C7981&lt;='Visual SPC'!$E$4),OR('Visual SPC'!$G$4="",'Data Entry'!$D7981='Visual SPC'!$G$4),OR('Visual SPC'!$I$4="",'Data Entry'!$E7981='Visual SPC'!$I$4),OR('Visual SPC'!$K$4="",'Data Entry'!$F7981='Visual SPC'!$K$4)),1,0))</f>
        <v/>
      </c>
      <c r="C7981">
        <f>C7980+B7981</f>
        <v/>
      </c>
      <c r="D7981">
        <f>IF(B7981=1,INDEX('Data Entry'!$H$5:$BE$10004,7981-4,'Visual SPC'!$B$3),"")</f>
        <v/>
      </c>
      <c r="E7981">
        <f>IF(B7981=1,D7981,E7980)</f>
        <v/>
      </c>
      <c r="F7981">
        <f>IF(AND(B7981=1,C7981&gt;1,E7980&lt;&gt;""),ABS(D7981-E7980),"")</f>
        <v/>
      </c>
    </row>
    <row r="7982">
      <c r="A7982" t="n">
        <v>7982</v>
      </c>
      <c r="B7982">
        <f>IF(INDEX('Data Entry'!$H$5:$BE$10004,7982-4,'Visual SPC'!$B$3)="",0,IF(AND(OR('Visual SPC'!$C$4="",'Data Entry'!$C7982&gt;='Visual SPC'!$C$4),OR('Visual SPC'!$E$4="",'Data Entry'!$C7982&lt;='Visual SPC'!$E$4),OR('Visual SPC'!$G$4="",'Data Entry'!$D7982='Visual SPC'!$G$4),OR('Visual SPC'!$I$4="",'Data Entry'!$E7982='Visual SPC'!$I$4),OR('Visual SPC'!$K$4="",'Data Entry'!$F7982='Visual SPC'!$K$4)),1,0))</f>
        <v/>
      </c>
      <c r="C7982">
        <f>C7981+B7982</f>
        <v/>
      </c>
      <c r="D7982">
        <f>IF(B7982=1,INDEX('Data Entry'!$H$5:$BE$10004,7982-4,'Visual SPC'!$B$3),"")</f>
        <v/>
      </c>
      <c r="E7982">
        <f>IF(B7982=1,D7982,E7981)</f>
        <v/>
      </c>
      <c r="F7982">
        <f>IF(AND(B7982=1,C7982&gt;1,E7981&lt;&gt;""),ABS(D7982-E7981),"")</f>
        <v/>
      </c>
    </row>
    <row r="7983">
      <c r="A7983" t="n">
        <v>7983</v>
      </c>
      <c r="B7983">
        <f>IF(INDEX('Data Entry'!$H$5:$BE$10004,7983-4,'Visual SPC'!$B$3)="",0,IF(AND(OR('Visual SPC'!$C$4="",'Data Entry'!$C7983&gt;='Visual SPC'!$C$4),OR('Visual SPC'!$E$4="",'Data Entry'!$C7983&lt;='Visual SPC'!$E$4),OR('Visual SPC'!$G$4="",'Data Entry'!$D7983='Visual SPC'!$G$4),OR('Visual SPC'!$I$4="",'Data Entry'!$E7983='Visual SPC'!$I$4),OR('Visual SPC'!$K$4="",'Data Entry'!$F7983='Visual SPC'!$K$4)),1,0))</f>
        <v/>
      </c>
      <c r="C7983">
        <f>C7982+B7983</f>
        <v/>
      </c>
      <c r="D7983">
        <f>IF(B7983=1,INDEX('Data Entry'!$H$5:$BE$10004,7983-4,'Visual SPC'!$B$3),"")</f>
        <v/>
      </c>
      <c r="E7983">
        <f>IF(B7983=1,D7983,E7982)</f>
        <v/>
      </c>
      <c r="F7983">
        <f>IF(AND(B7983=1,C7983&gt;1,E7982&lt;&gt;""),ABS(D7983-E7982),"")</f>
        <v/>
      </c>
    </row>
    <row r="7984">
      <c r="A7984" t="n">
        <v>7984</v>
      </c>
      <c r="B7984">
        <f>IF(INDEX('Data Entry'!$H$5:$BE$10004,7984-4,'Visual SPC'!$B$3)="",0,IF(AND(OR('Visual SPC'!$C$4="",'Data Entry'!$C7984&gt;='Visual SPC'!$C$4),OR('Visual SPC'!$E$4="",'Data Entry'!$C7984&lt;='Visual SPC'!$E$4),OR('Visual SPC'!$G$4="",'Data Entry'!$D7984='Visual SPC'!$G$4),OR('Visual SPC'!$I$4="",'Data Entry'!$E7984='Visual SPC'!$I$4),OR('Visual SPC'!$K$4="",'Data Entry'!$F7984='Visual SPC'!$K$4)),1,0))</f>
        <v/>
      </c>
      <c r="C7984">
        <f>C7983+B7984</f>
        <v/>
      </c>
      <c r="D7984">
        <f>IF(B7984=1,INDEX('Data Entry'!$H$5:$BE$10004,7984-4,'Visual SPC'!$B$3),"")</f>
        <v/>
      </c>
      <c r="E7984">
        <f>IF(B7984=1,D7984,E7983)</f>
        <v/>
      </c>
      <c r="F7984">
        <f>IF(AND(B7984=1,C7984&gt;1,E7983&lt;&gt;""),ABS(D7984-E7983),"")</f>
        <v/>
      </c>
    </row>
    <row r="7985">
      <c r="A7985" t="n">
        <v>7985</v>
      </c>
      <c r="B7985">
        <f>IF(INDEX('Data Entry'!$H$5:$BE$10004,7985-4,'Visual SPC'!$B$3)="",0,IF(AND(OR('Visual SPC'!$C$4="",'Data Entry'!$C7985&gt;='Visual SPC'!$C$4),OR('Visual SPC'!$E$4="",'Data Entry'!$C7985&lt;='Visual SPC'!$E$4),OR('Visual SPC'!$G$4="",'Data Entry'!$D7985='Visual SPC'!$G$4),OR('Visual SPC'!$I$4="",'Data Entry'!$E7985='Visual SPC'!$I$4),OR('Visual SPC'!$K$4="",'Data Entry'!$F7985='Visual SPC'!$K$4)),1,0))</f>
        <v/>
      </c>
      <c r="C7985">
        <f>C7984+B7985</f>
        <v/>
      </c>
      <c r="D7985">
        <f>IF(B7985=1,INDEX('Data Entry'!$H$5:$BE$10004,7985-4,'Visual SPC'!$B$3),"")</f>
        <v/>
      </c>
      <c r="E7985">
        <f>IF(B7985=1,D7985,E7984)</f>
        <v/>
      </c>
      <c r="F7985">
        <f>IF(AND(B7985=1,C7985&gt;1,E7984&lt;&gt;""),ABS(D7985-E7984),"")</f>
        <v/>
      </c>
    </row>
    <row r="7986">
      <c r="A7986" t="n">
        <v>7986</v>
      </c>
      <c r="B7986">
        <f>IF(INDEX('Data Entry'!$H$5:$BE$10004,7986-4,'Visual SPC'!$B$3)="",0,IF(AND(OR('Visual SPC'!$C$4="",'Data Entry'!$C7986&gt;='Visual SPC'!$C$4),OR('Visual SPC'!$E$4="",'Data Entry'!$C7986&lt;='Visual SPC'!$E$4),OR('Visual SPC'!$G$4="",'Data Entry'!$D7986='Visual SPC'!$G$4),OR('Visual SPC'!$I$4="",'Data Entry'!$E7986='Visual SPC'!$I$4),OR('Visual SPC'!$K$4="",'Data Entry'!$F7986='Visual SPC'!$K$4)),1,0))</f>
        <v/>
      </c>
      <c r="C7986">
        <f>C7985+B7986</f>
        <v/>
      </c>
      <c r="D7986">
        <f>IF(B7986=1,INDEX('Data Entry'!$H$5:$BE$10004,7986-4,'Visual SPC'!$B$3),"")</f>
        <v/>
      </c>
      <c r="E7986">
        <f>IF(B7986=1,D7986,E7985)</f>
        <v/>
      </c>
      <c r="F7986">
        <f>IF(AND(B7986=1,C7986&gt;1,E7985&lt;&gt;""),ABS(D7986-E7985),"")</f>
        <v/>
      </c>
    </row>
    <row r="7987">
      <c r="A7987" t="n">
        <v>7987</v>
      </c>
      <c r="B7987">
        <f>IF(INDEX('Data Entry'!$H$5:$BE$10004,7987-4,'Visual SPC'!$B$3)="",0,IF(AND(OR('Visual SPC'!$C$4="",'Data Entry'!$C7987&gt;='Visual SPC'!$C$4),OR('Visual SPC'!$E$4="",'Data Entry'!$C7987&lt;='Visual SPC'!$E$4),OR('Visual SPC'!$G$4="",'Data Entry'!$D7987='Visual SPC'!$G$4),OR('Visual SPC'!$I$4="",'Data Entry'!$E7987='Visual SPC'!$I$4),OR('Visual SPC'!$K$4="",'Data Entry'!$F7987='Visual SPC'!$K$4)),1,0))</f>
        <v/>
      </c>
      <c r="C7987">
        <f>C7986+B7987</f>
        <v/>
      </c>
      <c r="D7987">
        <f>IF(B7987=1,INDEX('Data Entry'!$H$5:$BE$10004,7987-4,'Visual SPC'!$B$3),"")</f>
        <v/>
      </c>
      <c r="E7987">
        <f>IF(B7987=1,D7987,E7986)</f>
        <v/>
      </c>
      <c r="F7987">
        <f>IF(AND(B7987=1,C7987&gt;1,E7986&lt;&gt;""),ABS(D7987-E7986),"")</f>
        <v/>
      </c>
    </row>
    <row r="7988">
      <c r="A7988" t="n">
        <v>7988</v>
      </c>
      <c r="B7988">
        <f>IF(INDEX('Data Entry'!$H$5:$BE$10004,7988-4,'Visual SPC'!$B$3)="",0,IF(AND(OR('Visual SPC'!$C$4="",'Data Entry'!$C7988&gt;='Visual SPC'!$C$4),OR('Visual SPC'!$E$4="",'Data Entry'!$C7988&lt;='Visual SPC'!$E$4),OR('Visual SPC'!$G$4="",'Data Entry'!$D7988='Visual SPC'!$G$4),OR('Visual SPC'!$I$4="",'Data Entry'!$E7988='Visual SPC'!$I$4),OR('Visual SPC'!$K$4="",'Data Entry'!$F7988='Visual SPC'!$K$4)),1,0))</f>
        <v/>
      </c>
      <c r="C7988">
        <f>C7987+B7988</f>
        <v/>
      </c>
      <c r="D7988">
        <f>IF(B7988=1,INDEX('Data Entry'!$H$5:$BE$10004,7988-4,'Visual SPC'!$B$3),"")</f>
        <v/>
      </c>
      <c r="E7988">
        <f>IF(B7988=1,D7988,E7987)</f>
        <v/>
      </c>
      <c r="F7988">
        <f>IF(AND(B7988=1,C7988&gt;1,E7987&lt;&gt;""),ABS(D7988-E7987),"")</f>
        <v/>
      </c>
    </row>
    <row r="7989">
      <c r="A7989" t="n">
        <v>7989</v>
      </c>
      <c r="B7989">
        <f>IF(INDEX('Data Entry'!$H$5:$BE$10004,7989-4,'Visual SPC'!$B$3)="",0,IF(AND(OR('Visual SPC'!$C$4="",'Data Entry'!$C7989&gt;='Visual SPC'!$C$4),OR('Visual SPC'!$E$4="",'Data Entry'!$C7989&lt;='Visual SPC'!$E$4),OR('Visual SPC'!$G$4="",'Data Entry'!$D7989='Visual SPC'!$G$4),OR('Visual SPC'!$I$4="",'Data Entry'!$E7989='Visual SPC'!$I$4),OR('Visual SPC'!$K$4="",'Data Entry'!$F7989='Visual SPC'!$K$4)),1,0))</f>
        <v/>
      </c>
      <c r="C7989">
        <f>C7988+B7989</f>
        <v/>
      </c>
      <c r="D7989">
        <f>IF(B7989=1,INDEX('Data Entry'!$H$5:$BE$10004,7989-4,'Visual SPC'!$B$3),"")</f>
        <v/>
      </c>
      <c r="E7989">
        <f>IF(B7989=1,D7989,E7988)</f>
        <v/>
      </c>
      <c r="F7989">
        <f>IF(AND(B7989=1,C7989&gt;1,E7988&lt;&gt;""),ABS(D7989-E7988),"")</f>
        <v/>
      </c>
    </row>
    <row r="7990">
      <c r="A7990" t="n">
        <v>7990</v>
      </c>
      <c r="B7990">
        <f>IF(INDEX('Data Entry'!$H$5:$BE$10004,7990-4,'Visual SPC'!$B$3)="",0,IF(AND(OR('Visual SPC'!$C$4="",'Data Entry'!$C7990&gt;='Visual SPC'!$C$4),OR('Visual SPC'!$E$4="",'Data Entry'!$C7990&lt;='Visual SPC'!$E$4),OR('Visual SPC'!$G$4="",'Data Entry'!$D7990='Visual SPC'!$G$4),OR('Visual SPC'!$I$4="",'Data Entry'!$E7990='Visual SPC'!$I$4),OR('Visual SPC'!$K$4="",'Data Entry'!$F7990='Visual SPC'!$K$4)),1,0))</f>
        <v/>
      </c>
      <c r="C7990">
        <f>C7989+B7990</f>
        <v/>
      </c>
      <c r="D7990">
        <f>IF(B7990=1,INDEX('Data Entry'!$H$5:$BE$10004,7990-4,'Visual SPC'!$B$3),"")</f>
        <v/>
      </c>
      <c r="E7990">
        <f>IF(B7990=1,D7990,E7989)</f>
        <v/>
      </c>
      <c r="F7990">
        <f>IF(AND(B7990=1,C7990&gt;1,E7989&lt;&gt;""),ABS(D7990-E7989),"")</f>
        <v/>
      </c>
    </row>
    <row r="7991">
      <c r="A7991" t="n">
        <v>7991</v>
      </c>
      <c r="B7991">
        <f>IF(INDEX('Data Entry'!$H$5:$BE$10004,7991-4,'Visual SPC'!$B$3)="",0,IF(AND(OR('Visual SPC'!$C$4="",'Data Entry'!$C7991&gt;='Visual SPC'!$C$4),OR('Visual SPC'!$E$4="",'Data Entry'!$C7991&lt;='Visual SPC'!$E$4),OR('Visual SPC'!$G$4="",'Data Entry'!$D7991='Visual SPC'!$G$4),OR('Visual SPC'!$I$4="",'Data Entry'!$E7991='Visual SPC'!$I$4),OR('Visual SPC'!$K$4="",'Data Entry'!$F7991='Visual SPC'!$K$4)),1,0))</f>
        <v/>
      </c>
      <c r="C7991">
        <f>C7990+B7991</f>
        <v/>
      </c>
      <c r="D7991">
        <f>IF(B7991=1,INDEX('Data Entry'!$H$5:$BE$10004,7991-4,'Visual SPC'!$B$3),"")</f>
        <v/>
      </c>
      <c r="E7991">
        <f>IF(B7991=1,D7991,E7990)</f>
        <v/>
      </c>
      <c r="F7991">
        <f>IF(AND(B7991=1,C7991&gt;1,E7990&lt;&gt;""),ABS(D7991-E7990),"")</f>
        <v/>
      </c>
    </row>
    <row r="7992">
      <c r="A7992" t="n">
        <v>7992</v>
      </c>
      <c r="B7992">
        <f>IF(INDEX('Data Entry'!$H$5:$BE$10004,7992-4,'Visual SPC'!$B$3)="",0,IF(AND(OR('Visual SPC'!$C$4="",'Data Entry'!$C7992&gt;='Visual SPC'!$C$4),OR('Visual SPC'!$E$4="",'Data Entry'!$C7992&lt;='Visual SPC'!$E$4),OR('Visual SPC'!$G$4="",'Data Entry'!$D7992='Visual SPC'!$G$4),OR('Visual SPC'!$I$4="",'Data Entry'!$E7992='Visual SPC'!$I$4),OR('Visual SPC'!$K$4="",'Data Entry'!$F7992='Visual SPC'!$K$4)),1,0))</f>
        <v/>
      </c>
      <c r="C7992">
        <f>C7991+B7992</f>
        <v/>
      </c>
      <c r="D7992">
        <f>IF(B7992=1,INDEX('Data Entry'!$H$5:$BE$10004,7992-4,'Visual SPC'!$B$3),"")</f>
        <v/>
      </c>
      <c r="E7992">
        <f>IF(B7992=1,D7992,E7991)</f>
        <v/>
      </c>
      <c r="F7992">
        <f>IF(AND(B7992=1,C7992&gt;1,E7991&lt;&gt;""),ABS(D7992-E7991),"")</f>
        <v/>
      </c>
    </row>
    <row r="7993">
      <c r="A7993" t="n">
        <v>7993</v>
      </c>
      <c r="B7993">
        <f>IF(INDEX('Data Entry'!$H$5:$BE$10004,7993-4,'Visual SPC'!$B$3)="",0,IF(AND(OR('Visual SPC'!$C$4="",'Data Entry'!$C7993&gt;='Visual SPC'!$C$4),OR('Visual SPC'!$E$4="",'Data Entry'!$C7993&lt;='Visual SPC'!$E$4),OR('Visual SPC'!$G$4="",'Data Entry'!$D7993='Visual SPC'!$G$4),OR('Visual SPC'!$I$4="",'Data Entry'!$E7993='Visual SPC'!$I$4),OR('Visual SPC'!$K$4="",'Data Entry'!$F7993='Visual SPC'!$K$4)),1,0))</f>
        <v/>
      </c>
      <c r="C7993">
        <f>C7992+B7993</f>
        <v/>
      </c>
      <c r="D7993">
        <f>IF(B7993=1,INDEX('Data Entry'!$H$5:$BE$10004,7993-4,'Visual SPC'!$B$3),"")</f>
        <v/>
      </c>
      <c r="E7993">
        <f>IF(B7993=1,D7993,E7992)</f>
        <v/>
      </c>
      <c r="F7993">
        <f>IF(AND(B7993=1,C7993&gt;1,E7992&lt;&gt;""),ABS(D7993-E7992),"")</f>
        <v/>
      </c>
    </row>
    <row r="7994">
      <c r="A7994" t="n">
        <v>7994</v>
      </c>
      <c r="B7994">
        <f>IF(INDEX('Data Entry'!$H$5:$BE$10004,7994-4,'Visual SPC'!$B$3)="",0,IF(AND(OR('Visual SPC'!$C$4="",'Data Entry'!$C7994&gt;='Visual SPC'!$C$4),OR('Visual SPC'!$E$4="",'Data Entry'!$C7994&lt;='Visual SPC'!$E$4),OR('Visual SPC'!$G$4="",'Data Entry'!$D7994='Visual SPC'!$G$4),OR('Visual SPC'!$I$4="",'Data Entry'!$E7994='Visual SPC'!$I$4),OR('Visual SPC'!$K$4="",'Data Entry'!$F7994='Visual SPC'!$K$4)),1,0))</f>
        <v/>
      </c>
      <c r="C7994">
        <f>C7993+B7994</f>
        <v/>
      </c>
      <c r="D7994">
        <f>IF(B7994=1,INDEX('Data Entry'!$H$5:$BE$10004,7994-4,'Visual SPC'!$B$3),"")</f>
        <v/>
      </c>
      <c r="E7994">
        <f>IF(B7994=1,D7994,E7993)</f>
        <v/>
      </c>
      <c r="F7994">
        <f>IF(AND(B7994=1,C7994&gt;1,E7993&lt;&gt;""),ABS(D7994-E7993),"")</f>
        <v/>
      </c>
    </row>
    <row r="7995">
      <c r="A7995" t="n">
        <v>7995</v>
      </c>
      <c r="B7995">
        <f>IF(INDEX('Data Entry'!$H$5:$BE$10004,7995-4,'Visual SPC'!$B$3)="",0,IF(AND(OR('Visual SPC'!$C$4="",'Data Entry'!$C7995&gt;='Visual SPC'!$C$4),OR('Visual SPC'!$E$4="",'Data Entry'!$C7995&lt;='Visual SPC'!$E$4),OR('Visual SPC'!$G$4="",'Data Entry'!$D7995='Visual SPC'!$G$4),OR('Visual SPC'!$I$4="",'Data Entry'!$E7995='Visual SPC'!$I$4),OR('Visual SPC'!$K$4="",'Data Entry'!$F7995='Visual SPC'!$K$4)),1,0))</f>
        <v/>
      </c>
      <c r="C7995">
        <f>C7994+B7995</f>
        <v/>
      </c>
      <c r="D7995">
        <f>IF(B7995=1,INDEX('Data Entry'!$H$5:$BE$10004,7995-4,'Visual SPC'!$B$3),"")</f>
        <v/>
      </c>
      <c r="E7995">
        <f>IF(B7995=1,D7995,E7994)</f>
        <v/>
      </c>
      <c r="F7995">
        <f>IF(AND(B7995=1,C7995&gt;1,E7994&lt;&gt;""),ABS(D7995-E7994),"")</f>
        <v/>
      </c>
    </row>
    <row r="7996">
      <c r="A7996" t="n">
        <v>7996</v>
      </c>
      <c r="B7996">
        <f>IF(INDEX('Data Entry'!$H$5:$BE$10004,7996-4,'Visual SPC'!$B$3)="",0,IF(AND(OR('Visual SPC'!$C$4="",'Data Entry'!$C7996&gt;='Visual SPC'!$C$4),OR('Visual SPC'!$E$4="",'Data Entry'!$C7996&lt;='Visual SPC'!$E$4),OR('Visual SPC'!$G$4="",'Data Entry'!$D7996='Visual SPC'!$G$4),OR('Visual SPC'!$I$4="",'Data Entry'!$E7996='Visual SPC'!$I$4),OR('Visual SPC'!$K$4="",'Data Entry'!$F7996='Visual SPC'!$K$4)),1,0))</f>
        <v/>
      </c>
      <c r="C7996">
        <f>C7995+B7996</f>
        <v/>
      </c>
      <c r="D7996">
        <f>IF(B7996=1,INDEX('Data Entry'!$H$5:$BE$10004,7996-4,'Visual SPC'!$B$3),"")</f>
        <v/>
      </c>
      <c r="E7996">
        <f>IF(B7996=1,D7996,E7995)</f>
        <v/>
      </c>
      <c r="F7996">
        <f>IF(AND(B7996=1,C7996&gt;1,E7995&lt;&gt;""),ABS(D7996-E7995),"")</f>
        <v/>
      </c>
    </row>
    <row r="7997">
      <c r="A7997" t="n">
        <v>7997</v>
      </c>
      <c r="B7997">
        <f>IF(INDEX('Data Entry'!$H$5:$BE$10004,7997-4,'Visual SPC'!$B$3)="",0,IF(AND(OR('Visual SPC'!$C$4="",'Data Entry'!$C7997&gt;='Visual SPC'!$C$4),OR('Visual SPC'!$E$4="",'Data Entry'!$C7997&lt;='Visual SPC'!$E$4),OR('Visual SPC'!$G$4="",'Data Entry'!$D7997='Visual SPC'!$G$4),OR('Visual SPC'!$I$4="",'Data Entry'!$E7997='Visual SPC'!$I$4),OR('Visual SPC'!$K$4="",'Data Entry'!$F7997='Visual SPC'!$K$4)),1,0))</f>
        <v/>
      </c>
      <c r="C7997">
        <f>C7996+B7997</f>
        <v/>
      </c>
      <c r="D7997">
        <f>IF(B7997=1,INDEX('Data Entry'!$H$5:$BE$10004,7997-4,'Visual SPC'!$B$3),"")</f>
        <v/>
      </c>
      <c r="E7997">
        <f>IF(B7997=1,D7997,E7996)</f>
        <v/>
      </c>
      <c r="F7997">
        <f>IF(AND(B7997=1,C7997&gt;1,E7996&lt;&gt;""),ABS(D7997-E7996),"")</f>
        <v/>
      </c>
    </row>
    <row r="7998">
      <c r="A7998" t="n">
        <v>7998</v>
      </c>
      <c r="B7998">
        <f>IF(INDEX('Data Entry'!$H$5:$BE$10004,7998-4,'Visual SPC'!$B$3)="",0,IF(AND(OR('Visual SPC'!$C$4="",'Data Entry'!$C7998&gt;='Visual SPC'!$C$4),OR('Visual SPC'!$E$4="",'Data Entry'!$C7998&lt;='Visual SPC'!$E$4),OR('Visual SPC'!$G$4="",'Data Entry'!$D7998='Visual SPC'!$G$4),OR('Visual SPC'!$I$4="",'Data Entry'!$E7998='Visual SPC'!$I$4),OR('Visual SPC'!$K$4="",'Data Entry'!$F7998='Visual SPC'!$K$4)),1,0))</f>
        <v/>
      </c>
      <c r="C7998">
        <f>C7997+B7998</f>
        <v/>
      </c>
      <c r="D7998">
        <f>IF(B7998=1,INDEX('Data Entry'!$H$5:$BE$10004,7998-4,'Visual SPC'!$B$3),"")</f>
        <v/>
      </c>
      <c r="E7998">
        <f>IF(B7998=1,D7998,E7997)</f>
        <v/>
      </c>
      <c r="F7998">
        <f>IF(AND(B7998=1,C7998&gt;1,E7997&lt;&gt;""),ABS(D7998-E7997),"")</f>
        <v/>
      </c>
    </row>
    <row r="7999">
      <c r="A7999" t="n">
        <v>7999</v>
      </c>
      <c r="B7999">
        <f>IF(INDEX('Data Entry'!$H$5:$BE$10004,7999-4,'Visual SPC'!$B$3)="",0,IF(AND(OR('Visual SPC'!$C$4="",'Data Entry'!$C7999&gt;='Visual SPC'!$C$4),OR('Visual SPC'!$E$4="",'Data Entry'!$C7999&lt;='Visual SPC'!$E$4),OR('Visual SPC'!$G$4="",'Data Entry'!$D7999='Visual SPC'!$G$4),OR('Visual SPC'!$I$4="",'Data Entry'!$E7999='Visual SPC'!$I$4),OR('Visual SPC'!$K$4="",'Data Entry'!$F7999='Visual SPC'!$K$4)),1,0))</f>
        <v/>
      </c>
      <c r="C7999">
        <f>C7998+B7999</f>
        <v/>
      </c>
      <c r="D7999">
        <f>IF(B7999=1,INDEX('Data Entry'!$H$5:$BE$10004,7999-4,'Visual SPC'!$B$3),"")</f>
        <v/>
      </c>
      <c r="E7999">
        <f>IF(B7999=1,D7999,E7998)</f>
        <v/>
      </c>
      <c r="F7999">
        <f>IF(AND(B7999=1,C7999&gt;1,E7998&lt;&gt;""),ABS(D7999-E7998),"")</f>
        <v/>
      </c>
    </row>
    <row r="8000">
      <c r="A8000" t="n">
        <v>8000</v>
      </c>
      <c r="B8000">
        <f>IF(INDEX('Data Entry'!$H$5:$BE$10004,8000-4,'Visual SPC'!$B$3)="",0,IF(AND(OR('Visual SPC'!$C$4="",'Data Entry'!$C8000&gt;='Visual SPC'!$C$4),OR('Visual SPC'!$E$4="",'Data Entry'!$C8000&lt;='Visual SPC'!$E$4),OR('Visual SPC'!$G$4="",'Data Entry'!$D8000='Visual SPC'!$G$4),OR('Visual SPC'!$I$4="",'Data Entry'!$E8000='Visual SPC'!$I$4),OR('Visual SPC'!$K$4="",'Data Entry'!$F8000='Visual SPC'!$K$4)),1,0))</f>
        <v/>
      </c>
      <c r="C8000">
        <f>C7999+B8000</f>
        <v/>
      </c>
      <c r="D8000">
        <f>IF(B8000=1,INDEX('Data Entry'!$H$5:$BE$10004,8000-4,'Visual SPC'!$B$3),"")</f>
        <v/>
      </c>
      <c r="E8000">
        <f>IF(B8000=1,D8000,E7999)</f>
        <v/>
      </c>
      <c r="F8000">
        <f>IF(AND(B8000=1,C8000&gt;1,E7999&lt;&gt;""),ABS(D8000-E7999),"")</f>
        <v/>
      </c>
    </row>
    <row r="8001">
      <c r="A8001" t="n">
        <v>8001</v>
      </c>
      <c r="B8001">
        <f>IF(INDEX('Data Entry'!$H$5:$BE$10004,8001-4,'Visual SPC'!$B$3)="",0,IF(AND(OR('Visual SPC'!$C$4="",'Data Entry'!$C8001&gt;='Visual SPC'!$C$4),OR('Visual SPC'!$E$4="",'Data Entry'!$C8001&lt;='Visual SPC'!$E$4),OR('Visual SPC'!$G$4="",'Data Entry'!$D8001='Visual SPC'!$G$4),OR('Visual SPC'!$I$4="",'Data Entry'!$E8001='Visual SPC'!$I$4),OR('Visual SPC'!$K$4="",'Data Entry'!$F8001='Visual SPC'!$K$4)),1,0))</f>
        <v/>
      </c>
      <c r="C8001">
        <f>C8000+B8001</f>
        <v/>
      </c>
      <c r="D8001">
        <f>IF(B8001=1,INDEX('Data Entry'!$H$5:$BE$10004,8001-4,'Visual SPC'!$B$3),"")</f>
        <v/>
      </c>
      <c r="E8001">
        <f>IF(B8001=1,D8001,E8000)</f>
        <v/>
      </c>
      <c r="F8001">
        <f>IF(AND(B8001=1,C8001&gt;1,E8000&lt;&gt;""),ABS(D8001-E8000),"")</f>
        <v/>
      </c>
    </row>
    <row r="8002">
      <c r="A8002" t="n">
        <v>8002</v>
      </c>
      <c r="B8002">
        <f>IF(INDEX('Data Entry'!$H$5:$BE$10004,8002-4,'Visual SPC'!$B$3)="",0,IF(AND(OR('Visual SPC'!$C$4="",'Data Entry'!$C8002&gt;='Visual SPC'!$C$4),OR('Visual SPC'!$E$4="",'Data Entry'!$C8002&lt;='Visual SPC'!$E$4),OR('Visual SPC'!$G$4="",'Data Entry'!$D8002='Visual SPC'!$G$4),OR('Visual SPC'!$I$4="",'Data Entry'!$E8002='Visual SPC'!$I$4),OR('Visual SPC'!$K$4="",'Data Entry'!$F8002='Visual SPC'!$K$4)),1,0))</f>
        <v/>
      </c>
      <c r="C8002">
        <f>C8001+B8002</f>
        <v/>
      </c>
      <c r="D8002">
        <f>IF(B8002=1,INDEX('Data Entry'!$H$5:$BE$10004,8002-4,'Visual SPC'!$B$3),"")</f>
        <v/>
      </c>
      <c r="E8002">
        <f>IF(B8002=1,D8002,E8001)</f>
        <v/>
      </c>
      <c r="F8002">
        <f>IF(AND(B8002=1,C8002&gt;1,E8001&lt;&gt;""),ABS(D8002-E8001),"")</f>
        <v/>
      </c>
    </row>
    <row r="8003">
      <c r="A8003" t="n">
        <v>8003</v>
      </c>
      <c r="B8003">
        <f>IF(INDEX('Data Entry'!$H$5:$BE$10004,8003-4,'Visual SPC'!$B$3)="",0,IF(AND(OR('Visual SPC'!$C$4="",'Data Entry'!$C8003&gt;='Visual SPC'!$C$4),OR('Visual SPC'!$E$4="",'Data Entry'!$C8003&lt;='Visual SPC'!$E$4),OR('Visual SPC'!$G$4="",'Data Entry'!$D8003='Visual SPC'!$G$4),OR('Visual SPC'!$I$4="",'Data Entry'!$E8003='Visual SPC'!$I$4),OR('Visual SPC'!$K$4="",'Data Entry'!$F8003='Visual SPC'!$K$4)),1,0))</f>
        <v/>
      </c>
      <c r="C8003">
        <f>C8002+B8003</f>
        <v/>
      </c>
      <c r="D8003">
        <f>IF(B8003=1,INDEX('Data Entry'!$H$5:$BE$10004,8003-4,'Visual SPC'!$B$3),"")</f>
        <v/>
      </c>
      <c r="E8003">
        <f>IF(B8003=1,D8003,E8002)</f>
        <v/>
      </c>
      <c r="F8003">
        <f>IF(AND(B8003=1,C8003&gt;1,E8002&lt;&gt;""),ABS(D8003-E8002),"")</f>
        <v/>
      </c>
    </row>
    <row r="8004">
      <c r="A8004" t="n">
        <v>8004</v>
      </c>
      <c r="B8004">
        <f>IF(INDEX('Data Entry'!$H$5:$BE$10004,8004-4,'Visual SPC'!$B$3)="",0,IF(AND(OR('Visual SPC'!$C$4="",'Data Entry'!$C8004&gt;='Visual SPC'!$C$4),OR('Visual SPC'!$E$4="",'Data Entry'!$C8004&lt;='Visual SPC'!$E$4),OR('Visual SPC'!$G$4="",'Data Entry'!$D8004='Visual SPC'!$G$4),OR('Visual SPC'!$I$4="",'Data Entry'!$E8004='Visual SPC'!$I$4),OR('Visual SPC'!$K$4="",'Data Entry'!$F8004='Visual SPC'!$K$4)),1,0))</f>
        <v/>
      </c>
      <c r="C8004">
        <f>C8003+B8004</f>
        <v/>
      </c>
      <c r="D8004">
        <f>IF(B8004=1,INDEX('Data Entry'!$H$5:$BE$10004,8004-4,'Visual SPC'!$B$3),"")</f>
        <v/>
      </c>
      <c r="E8004">
        <f>IF(B8004=1,D8004,E8003)</f>
        <v/>
      </c>
      <c r="F8004">
        <f>IF(AND(B8004=1,C8004&gt;1,E8003&lt;&gt;""),ABS(D8004-E8003),"")</f>
        <v/>
      </c>
    </row>
    <row r="8005">
      <c r="A8005" t="n">
        <v>8005</v>
      </c>
      <c r="B8005">
        <f>IF(INDEX('Data Entry'!$H$5:$BE$10004,8005-4,'Visual SPC'!$B$3)="",0,IF(AND(OR('Visual SPC'!$C$4="",'Data Entry'!$C8005&gt;='Visual SPC'!$C$4),OR('Visual SPC'!$E$4="",'Data Entry'!$C8005&lt;='Visual SPC'!$E$4),OR('Visual SPC'!$G$4="",'Data Entry'!$D8005='Visual SPC'!$G$4),OR('Visual SPC'!$I$4="",'Data Entry'!$E8005='Visual SPC'!$I$4),OR('Visual SPC'!$K$4="",'Data Entry'!$F8005='Visual SPC'!$K$4)),1,0))</f>
        <v/>
      </c>
      <c r="C8005">
        <f>C8004+B8005</f>
        <v/>
      </c>
      <c r="D8005">
        <f>IF(B8005=1,INDEX('Data Entry'!$H$5:$BE$10004,8005-4,'Visual SPC'!$B$3),"")</f>
        <v/>
      </c>
      <c r="E8005">
        <f>IF(B8005=1,D8005,E8004)</f>
        <v/>
      </c>
      <c r="F8005">
        <f>IF(AND(B8005=1,C8005&gt;1,E8004&lt;&gt;""),ABS(D8005-E8004),"")</f>
        <v/>
      </c>
    </row>
    <row r="8006">
      <c r="A8006" t="n">
        <v>8006</v>
      </c>
      <c r="B8006">
        <f>IF(INDEX('Data Entry'!$H$5:$BE$10004,8006-4,'Visual SPC'!$B$3)="",0,IF(AND(OR('Visual SPC'!$C$4="",'Data Entry'!$C8006&gt;='Visual SPC'!$C$4),OR('Visual SPC'!$E$4="",'Data Entry'!$C8006&lt;='Visual SPC'!$E$4),OR('Visual SPC'!$G$4="",'Data Entry'!$D8006='Visual SPC'!$G$4),OR('Visual SPC'!$I$4="",'Data Entry'!$E8006='Visual SPC'!$I$4),OR('Visual SPC'!$K$4="",'Data Entry'!$F8006='Visual SPC'!$K$4)),1,0))</f>
        <v/>
      </c>
      <c r="C8006">
        <f>C8005+B8006</f>
        <v/>
      </c>
      <c r="D8006">
        <f>IF(B8006=1,INDEX('Data Entry'!$H$5:$BE$10004,8006-4,'Visual SPC'!$B$3),"")</f>
        <v/>
      </c>
      <c r="E8006">
        <f>IF(B8006=1,D8006,E8005)</f>
        <v/>
      </c>
      <c r="F8006">
        <f>IF(AND(B8006=1,C8006&gt;1,E8005&lt;&gt;""),ABS(D8006-E8005),"")</f>
        <v/>
      </c>
    </row>
    <row r="8007">
      <c r="A8007" t="n">
        <v>8007</v>
      </c>
      <c r="B8007">
        <f>IF(INDEX('Data Entry'!$H$5:$BE$10004,8007-4,'Visual SPC'!$B$3)="",0,IF(AND(OR('Visual SPC'!$C$4="",'Data Entry'!$C8007&gt;='Visual SPC'!$C$4),OR('Visual SPC'!$E$4="",'Data Entry'!$C8007&lt;='Visual SPC'!$E$4),OR('Visual SPC'!$G$4="",'Data Entry'!$D8007='Visual SPC'!$G$4),OR('Visual SPC'!$I$4="",'Data Entry'!$E8007='Visual SPC'!$I$4),OR('Visual SPC'!$K$4="",'Data Entry'!$F8007='Visual SPC'!$K$4)),1,0))</f>
        <v/>
      </c>
      <c r="C8007">
        <f>C8006+B8007</f>
        <v/>
      </c>
      <c r="D8007">
        <f>IF(B8007=1,INDEX('Data Entry'!$H$5:$BE$10004,8007-4,'Visual SPC'!$B$3),"")</f>
        <v/>
      </c>
      <c r="E8007">
        <f>IF(B8007=1,D8007,E8006)</f>
        <v/>
      </c>
      <c r="F8007">
        <f>IF(AND(B8007=1,C8007&gt;1,E8006&lt;&gt;""),ABS(D8007-E8006),"")</f>
        <v/>
      </c>
    </row>
    <row r="8008">
      <c r="A8008" t="n">
        <v>8008</v>
      </c>
      <c r="B8008">
        <f>IF(INDEX('Data Entry'!$H$5:$BE$10004,8008-4,'Visual SPC'!$B$3)="",0,IF(AND(OR('Visual SPC'!$C$4="",'Data Entry'!$C8008&gt;='Visual SPC'!$C$4),OR('Visual SPC'!$E$4="",'Data Entry'!$C8008&lt;='Visual SPC'!$E$4),OR('Visual SPC'!$G$4="",'Data Entry'!$D8008='Visual SPC'!$G$4),OR('Visual SPC'!$I$4="",'Data Entry'!$E8008='Visual SPC'!$I$4),OR('Visual SPC'!$K$4="",'Data Entry'!$F8008='Visual SPC'!$K$4)),1,0))</f>
        <v/>
      </c>
      <c r="C8008">
        <f>C8007+B8008</f>
        <v/>
      </c>
      <c r="D8008">
        <f>IF(B8008=1,INDEX('Data Entry'!$H$5:$BE$10004,8008-4,'Visual SPC'!$B$3),"")</f>
        <v/>
      </c>
      <c r="E8008">
        <f>IF(B8008=1,D8008,E8007)</f>
        <v/>
      </c>
      <c r="F8008">
        <f>IF(AND(B8008=1,C8008&gt;1,E8007&lt;&gt;""),ABS(D8008-E8007),"")</f>
        <v/>
      </c>
    </row>
    <row r="8009">
      <c r="A8009" t="n">
        <v>8009</v>
      </c>
      <c r="B8009">
        <f>IF(INDEX('Data Entry'!$H$5:$BE$10004,8009-4,'Visual SPC'!$B$3)="",0,IF(AND(OR('Visual SPC'!$C$4="",'Data Entry'!$C8009&gt;='Visual SPC'!$C$4),OR('Visual SPC'!$E$4="",'Data Entry'!$C8009&lt;='Visual SPC'!$E$4),OR('Visual SPC'!$G$4="",'Data Entry'!$D8009='Visual SPC'!$G$4),OR('Visual SPC'!$I$4="",'Data Entry'!$E8009='Visual SPC'!$I$4),OR('Visual SPC'!$K$4="",'Data Entry'!$F8009='Visual SPC'!$K$4)),1,0))</f>
        <v/>
      </c>
      <c r="C8009">
        <f>C8008+B8009</f>
        <v/>
      </c>
      <c r="D8009">
        <f>IF(B8009=1,INDEX('Data Entry'!$H$5:$BE$10004,8009-4,'Visual SPC'!$B$3),"")</f>
        <v/>
      </c>
      <c r="E8009">
        <f>IF(B8009=1,D8009,E8008)</f>
        <v/>
      </c>
      <c r="F8009">
        <f>IF(AND(B8009=1,C8009&gt;1,E8008&lt;&gt;""),ABS(D8009-E8008),"")</f>
        <v/>
      </c>
    </row>
    <row r="8010">
      <c r="A8010" t="n">
        <v>8010</v>
      </c>
      <c r="B8010">
        <f>IF(INDEX('Data Entry'!$H$5:$BE$10004,8010-4,'Visual SPC'!$B$3)="",0,IF(AND(OR('Visual SPC'!$C$4="",'Data Entry'!$C8010&gt;='Visual SPC'!$C$4),OR('Visual SPC'!$E$4="",'Data Entry'!$C8010&lt;='Visual SPC'!$E$4),OR('Visual SPC'!$G$4="",'Data Entry'!$D8010='Visual SPC'!$G$4),OR('Visual SPC'!$I$4="",'Data Entry'!$E8010='Visual SPC'!$I$4),OR('Visual SPC'!$K$4="",'Data Entry'!$F8010='Visual SPC'!$K$4)),1,0))</f>
        <v/>
      </c>
      <c r="C8010">
        <f>C8009+B8010</f>
        <v/>
      </c>
      <c r="D8010">
        <f>IF(B8010=1,INDEX('Data Entry'!$H$5:$BE$10004,8010-4,'Visual SPC'!$B$3),"")</f>
        <v/>
      </c>
      <c r="E8010">
        <f>IF(B8010=1,D8010,E8009)</f>
        <v/>
      </c>
      <c r="F8010">
        <f>IF(AND(B8010=1,C8010&gt;1,E8009&lt;&gt;""),ABS(D8010-E8009),"")</f>
        <v/>
      </c>
    </row>
    <row r="8011">
      <c r="A8011" t="n">
        <v>8011</v>
      </c>
      <c r="B8011">
        <f>IF(INDEX('Data Entry'!$H$5:$BE$10004,8011-4,'Visual SPC'!$B$3)="",0,IF(AND(OR('Visual SPC'!$C$4="",'Data Entry'!$C8011&gt;='Visual SPC'!$C$4),OR('Visual SPC'!$E$4="",'Data Entry'!$C8011&lt;='Visual SPC'!$E$4),OR('Visual SPC'!$G$4="",'Data Entry'!$D8011='Visual SPC'!$G$4),OR('Visual SPC'!$I$4="",'Data Entry'!$E8011='Visual SPC'!$I$4),OR('Visual SPC'!$K$4="",'Data Entry'!$F8011='Visual SPC'!$K$4)),1,0))</f>
        <v/>
      </c>
      <c r="C8011">
        <f>C8010+B8011</f>
        <v/>
      </c>
      <c r="D8011">
        <f>IF(B8011=1,INDEX('Data Entry'!$H$5:$BE$10004,8011-4,'Visual SPC'!$B$3),"")</f>
        <v/>
      </c>
      <c r="E8011">
        <f>IF(B8011=1,D8011,E8010)</f>
        <v/>
      </c>
      <c r="F8011">
        <f>IF(AND(B8011=1,C8011&gt;1,E8010&lt;&gt;""),ABS(D8011-E8010),"")</f>
        <v/>
      </c>
    </row>
    <row r="8012">
      <c r="A8012" t="n">
        <v>8012</v>
      </c>
      <c r="B8012">
        <f>IF(INDEX('Data Entry'!$H$5:$BE$10004,8012-4,'Visual SPC'!$B$3)="",0,IF(AND(OR('Visual SPC'!$C$4="",'Data Entry'!$C8012&gt;='Visual SPC'!$C$4),OR('Visual SPC'!$E$4="",'Data Entry'!$C8012&lt;='Visual SPC'!$E$4),OR('Visual SPC'!$G$4="",'Data Entry'!$D8012='Visual SPC'!$G$4),OR('Visual SPC'!$I$4="",'Data Entry'!$E8012='Visual SPC'!$I$4),OR('Visual SPC'!$K$4="",'Data Entry'!$F8012='Visual SPC'!$K$4)),1,0))</f>
        <v/>
      </c>
      <c r="C8012">
        <f>C8011+B8012</f>
        <v/>
      </c>
      <c r="D8012">
        <f>IF(B8012=1,INDEX('Data Entry'!$H$5:$BE$10004,8012-4,'Visual SPC'!$B$3),"")</f>
        <v/>
      </c>
      <c r="E8012">
        <f>IF(B8012=1,D8012,E8011)</f>
        <v/>
      </c>
      <c r="F8012">
        <f>IF(AND(B8012=1,C8012&gt;1,E8011&lt;&gt;""),ABS(D8012-E8011),"")</f>
        <v/>
      </c>
    </row>
    <row r="8013">
      <c r="A8013" t="n">
        <v>8013</v>
      </c>
      <c r="B8013">
        <f>IF(INDEX('Data Entry'!$H$5:$BE$10004,8013-4,'Visual SPC'!$B$3)="",0,IF(AND(OR('Visual SPC'!$C$4="",'Data Entry'!$C8013&gt;='Visual SPC'!$C$4),OR('Visual SPC'!$E$4="",'Data Entry'!$C8013&lt;='Visual SPC'!$E$4),OR('Visual SPC'!$G$4="",'Data Entry'!$D8013='Visual SPC'!$G$4),OR('Visual SPC'!$I$4="",'Data Entry'!$E8013='Visual SPC'!$I$4),OR('Visual SPC'!$K$4="",'Data Entry'!$F8013='Visual SPC'!$K$4)),1,0))</f>
        <v/>
      </c>
      <c r="C8013">
        <f>C8012+B8013</f>
        <v/>
      </c>
      <c r="D8013">
        <f>IF(B8013=1,INDEX('Data Entry'!$H$5:$BE$10004,8013-4,'Visual SPC'!$B$3),"")</f>
        <v/>
      </c>
      <c r="E8013">
        <f>IF(B8013=1,D8013,E8012)</f>
        <v/>
      </c>
      <c r="F8013">
        <f>IF(AND(B8013=1,C8013&gt;1,E8012&lt;&gt;""),ABS(D8013-E8012),"")</f>
        <v/>
      </c>
    </row>
    <row r="8014">
      <c r="A8014" t="n">
        <v>8014</v>
      </c>
      <c r="B8014">
        <f>IF(INDEX('Data Entry'!$H$5:$BE$10004,8014-4,'Visual SPC'!$B$3)="",0,IF(AND(OR('Visual SPC'!$C$4="",'Data Entry'!$C8014&gt;='Visual SPC'!$C$4),OR('Visual SPC'!$E$4="",'Data Entry'!$C8014&lt;='Visual SPC'!$E$4),OR('Visual SPC'!$G$4="",'Data Entry'!$D8014='Visual SPC'!$G$4),OR('Visual SPC'!$I$4="",'Data Entry'!$E8014='Visual SPC'!$I$4),OR('Visual SPC'!$K$4="",'Data Entry'!$F8014='Visual SPC'!$K$4)),1,0))</f>
        <v/>
      </c>
      <c r="C8014">
        <f>C8013+B8014</f>
        <v/>
      </c>
      <c r="D8014">
        <f>IF(B8014=1,INDEX('Data Entry'!$H$5:$BE$10004,8014-4,'Visual SPC'!$B$3),"")</f>
        <v/>
      </c>
      <c r="E8014">
        <f>IF(B8014=1,D8014,E8013)</f>
        <v/>
      </c>
      <c r="F8014">
        <f>IF(AND(B8014=1,C8014&gt;1,E8013&lt;&gt;""),ABS(D8014-E8013),"")</f>
        <v/>
      </c>
    </row>
    <row r="8015">
      <c r="A8015" t="n">
        <v>8015</v>
      </c>
      <c r="B8015">
        <f>IF(INDEX('Data Entry'!$H$5:$BE$10004,8015-4,'Visual SPC'!$B$3)="",0,IF(AND(OR('Visual SPC'!$C$4="",'Data Entry'!$C8015&gt;='Visual SPC'!$C$4),OR('Visual SPC'!$E$4="",'Data Entry'!$C8015&lt;='Visual SPC'!$E$4),OR('Visual SPC'!$G$4="",'Data Entry'!$D8015='Visual SPC'!$G$4),OR('Visual SPC'!$I$4="",'Data Entry'!$E8015='Visual SPC'!$I$4),OR('Visual SPC'!$K$4="",'Data Entry'!$F8015='Visual SPC'!$K$4)),1,0))</f>
        <v/>
      </c>
      <c r="C8015">
        <f>C8014+B8015</f>
        <v/>
      </c>
      <c r="D8015">
        <f>IF(B8015=1,INDEX('Data Entry'!$H$5:$BE$10004,8015-4,'Visual SPC'!$B$3),"")</f>
        <v/>
      </c>
      <c r="E8015">
        <f>IF(B8015=1,D8015,E8014)</f>
        <v/>
      </c>
      <c r="F8015">
        <f>IF(AND(B8015=1,C8015&gt;1,E8014&lt;&gt;""),ABS(D8015-E8014),"")</f>
        <v/>
      </c>
    </row>
    <row r="8016">
      <c r="A8016" t="n">
        <v>8016</v>
      </c>
      <c r="B8016">
        <f>IF(INDEX('Data Entry'!$H$5:$BE$10004,8016-4,'Visual SPC'!$B$3)="",0,IF(AND(OR('Visual SPC'!$C$4="",'Data Entry'!$C8016&gt;='Visual SPC'!$C$4),OR('Visual SPC'!$E$4="",'Data Entry'!$C8016&lt;='Visual SPC'!$E$4),OR('Visual SPC'!$G$4="",'Data Entry'!$D8016='Visual SPC'!$G$4),OR('Visual SPC'!$I$4="",'Data Entry'!$E8016='Visual SPC'!$I$4),OR('Visual SPC'!$K$4="",'Data Entry'!$F8016='Visual SPC'!$K$4)),1,0))</f>
        <v/>
      </c>
      <c r="C8016">
        <f>C8015+B8016</f>
        <v/>
      </c>
      <c r="D8016">
        <f>IF(B8016=1,INDEX('Data Entry'!$H$5:$BE$10004,8016-4,'Visual SPC'!$B$3),"")</f>
        <v/>
      </c>
      <c r="E8016">
        <f>IF(B8016=1,D8016,E8015)</f>
        <v/>
      </c>
      <c r="F8016">
        <f>IF(AND(B8016=1,C8016&gt;1,E8015&lt;&gt;""),ABS(D8016-E8015),"")</f>
        <v/>
      </c>
    </row>
    <row r="8017">
      <c r="A8017" t="n">
        <v>8017</v>
      </c>
      <c r="B8017">
        <f>IF(INDEX('Data Entry'!$H$5:$BE$10004,8017-4,'Visual SPC'!$B$3)="",0,IF(AND(OR('Visual SPC'!$C$4="",'Data Entry'!$C8017&gt;='Visual SPC'!$C$4),OR('Visual SPC'!$E$4="",'Data Entry'!$C8017&lt;='Visual SPC'!$E$4),OR('Visual SPC'!$G$4="",'Data Entry'!$D8017='Visual SPC'!$G$4),OR('Visual SPC'!$I$4="",'Data Entry'!$E8017='Visual SPC'!$I$4),OR('Visual SPC'!$K$4="",'Data Entry'!$F8017='Visual SPC'!$K$4)),1,0))</f>
        <v/>
      </c>
      <c r="C8017">
        <f>C8016+B8017</f>
        <v/>
      </c>
      <c r="D8017">
        <f>IF(B8017=1,INDEX('Data Entry'!$H$5:$BE$10004,8017-4,'Visual SPC'!$B$3),"")</f>
        <v/>
      </c>
      <c r="E8017">
        <f>IF(B8017=1,D8017,E8016)</f>
        <v/>
      </c>
      <c r="F8017">
        <f>IF(AND(B8017=1,C8017&gt;1,E8016&lt;&gt;""),ABS(D8017-E8016),"")</f>
        <v/>
      </c>
    </row>
    <row r="8018">
      <c r="A8018" t="n">
        <v>8018</v>
      </c>
      <c r="B8018">
        <f>IF(INDEX('Data Entry'!$H$5:$BE$10004,8018-4,'Visual SPC'!$B$3)="",0,IF(AND(OR('Visual SPC'!$C$4="",'Data Entry'!$C8018&gt;='Visual SPC'!$C$4),OR('Visual SPC'!$E$4="",'Data Entry'!$C8018&lt;='Visual SPC'!$E$4),OR('Visual SPC'!$G$4="",'Data Entry'!$D8018='Visual SPC'!$G$4),OR('Visual SPC'!$I$4="",'Data Entry'!$E8018='Visual SPC'!$I$4),OR('Visual SPC'!$K$4="",'Data Entry'!$F8018='Visual SPC'!$K$4)),1,0))</f>
        <v/>
      </c>
      <c r="C8018">
        <f>C8017+B8018</f>
        <v/>
      </c>
      <c r="D8018">
        <f>IF(B8018=1,INDEX('Data Entry'!$H$5:$BE$10004,8018-4,'Visual SPC'!$B$3),"")</f>
        <v/>
      </c>
      <c r="E8018">
        <f>IF(B8018=1,D8018,E8017)</f>
        <v/>
      </c>
      <c r="F8018">
        <f>IF(AND(B8018=1,C8018&gt;1,E8017&lt;&gt;""),ABS(D8018-E8017),"")</f>
        <v/>
      </c>
    </row>
    <row r="8019">
      <c r="A8019" t="n">
        <v>8019</v>
      </c>
      <c r="B8019">
        <f>IF(INDEX('Data Entry'!$H$5:$BE$10004,8019-4,'Visual SPC'!$B$3)="",0,IF(AND(OR('Visual SPC'!$C$4="",'Data Entry'!$C8019&gt;='Visual SPC'!$C$4),OR('Visual SPC'!$E$4="",'Data Entry'!$C8019&lt;='Visual SPC'!$E$4),OR('Visual SPC'!$G$4="",'Data Entry'!$D8019='Visual SPC'!$G$4),OR('Visual SPC'!$I$4="",'Data Entry'!$E8019='Visual SPC'!$I$4),OR('Visual SPC'!$K$4="",'Data Entry'!$F8019='Visual SPC'!$K$4)),1,0))</f>
        <v/>
      </c>
      <c r="C8019">
        <f>C8018+B8019</f>
        <v/>
      </c>
      <c r="D8019">
        <f>IF(B8019=1,INDEX('Data Entry'!$H$5:$BE$10004,8019-4,'Visual SPC'!$B$3),"")</f>
        <v/>
      </c>
      <c r="E8019">
        <f>IF(B8019=1,D8019,E8018)</f>
        <v/>
      </c>
      <c r="F8019">
        <f>IF(AND(B8019=1,C8019&gt;1,E8018&lt;&gt;""),ABS(D8019-E8018),"")</f>
        <v/>
      </c>
    </row>
    <row r="8020">
      <c r="A8020" t="n">
        <v>8020</v>
      </c>
      <c r="B8020">
        <f>IF(INDEX('Data Entry'!$H$5:$BE$10004,8020-4,'Visual SPC'!$B$3)="",0,IF(AND(OR('Visual SPC'!$C$4="",'Data Entry'!$C8020&gt;='Visual SPC'!$C$4),OR('Visual SPC'!$E$4="",'Data Entry'!$C8020&lt;='Visual SPC'!$E$4),OR('Visual SPC'!$G$4="",'Data Entry'!$D8020='Visual SPC'!$G$4),OR('Visual SPC'!$I$4="",'Data Entry'!$E8020='Visual SPC'!$I$4),OR('Visual SPC'!$K$4="",'Data Entry'!$F8020='Visual SPC'!$K$4)),1,0))</f>
        <v/>
      </c>
      <c r="C8020">
        <f>C8019+B8020</f>
        <v/>
      </c>
      <c r="D8020">
        <f>IF(B8020=1,INDEX('Data Entry'!$H$5:$BE$10004,8020-4,'Visual SPC'!$B$3),"")</f>
        <v/>
      </c>
      <c r="E8020">
        <f>IF(B8020=1,D8020,E8019)</f>
        <v/>
      </c>
      <c r="F8020">
        <f>IF(AND(B8020=1,C8020&gt;1,E8019&lt;&gt;""),ABS(D8020-E8019),"")</f>
        <v/>
      </c>
    </row>
    <row r="8021">
      <c r="A8021" t="n">
        <v>8021</v>
      </c>
      <c r="B8021">
        <f>IF(INDEX('Data Entry'!$H$5:$BE$10004,8021-4,'Visual SPC'!$B$3)="",0,IF(AND(OR('Visual SPC'!$C$4="",'Data Entry'!$C8021&gt;='Visual SPC'!$C$4),OR('Visual SPC'!$E$4="",'Data Entry'!$C8021&lt;='Visual SPC'!$E$4),OR('Visual SPC'!$G$4="",'Data Entry'!$D8021='Visual SPC'!$G$4),OR('Visual SPC'!$I$4="",'Data Entry'!$E8021='Visual SPC'!$I$4),OR('Visual SPC'!$K$4="",'Data Entry'!$F8021='Visual SPC'!$K$4)),1,0))</f>
        <v/>
      </c>
      <c r="C8021">
        <f>C8020+B8021</f>
        <v/>
      </c>
      <c r="D8021">
        <f>IF(B8021=1,INDEX('Data Entry'!$H$5:$BE$10004,8021-4,'Visual SPC'!$B$3),"")</f>
        <v/>
      </c>
      <c r="E8021">
        <f>IF(B8021=1,D8021,E8020)</f>
        <v/>
      </c>
      <c r="F8021">
        <f>IF(AND(B8021=1,C8021&gt;1,E8020&lt;&gt;""),ABS(D8021-E8020),"")</f>
        <v/>
      </c>
    </row>
    <row r="8022">
      <c r="A8022" t="n">
        <v>8022</v>
      </c>
      <c r="B8022">
        <f>IF(INDEX('Data Entry'!$H$5:$BE$10004,8022-4,'Visual SPC'!$B$3)="",0,IF(AND(OR('Visual SPC'!$C$4="",'Data Entry'!$C8022&gt;='Visual SPC'!$C$4),OR('Visual SPC'!$E$4="",'Data Entry'!$C8022&lt;='Visual SPC'!$E$4),OR('Visual SPC'!$G$4="",'Data Entry'!$D8022='Visual SPC'!$G$4),OR('Visual SPC'!$I$4="",'Data Entry'!$E8022='Visual SPC'!$I$4),OR('Visual SPC'!$K$4="",'Data Entry'!$F8022='Visual SPC'!$K$4)),1,0))</f>
        <v/>
      </c>
      <c r="C8022">
        <f>C8021+B8022</f>
        <v/>
      </c>
      <c r="D8022">
        <f>IF(B8022=1,INDEX('Data Entry'!$H$5:$BE$10004,8022-4,'Visual SPC'!$B$3),"")</f>
        <v/>
      </c>
      <c r="E8022">
        <f>IF(B8022=1,D8022,E8021)</f>
        <v/>
      </c>
      <c r="F8022">
        <f>IF(AND(B8022=1,C8022&gt;1,E8021&lt;&gt;""),ABS(D8022-E8021),"")</f>
        <v/>
      </c>
    </row>
    <row r="8023">
      <c r="A8023" t="n">
        <v>8023</v>
      </c>
      <c r="B8023">
        <f>IF(INDEX('Data Entry'!$H$5:$BE$10004,8023-4,'Visual SPC'!$B$3)="",0,IF(AND(OR('Visual SPC'!$C$4="",'Data Entry'!$C8023&gt;='Visual SPC'!$C$4),OR('Visual SPC'!$E$4="",'Data Entry'!$C8023&lt;='Visual SPC'!$E$4),OR('Visual SPC'!$G$4="",'Data Entry'!$D8023='Visual SPC'!$G$4),OR('Visual SPC'!$I$4="",'Data Entry'!$E8023='Visual SPC'!$I$4),OR('Visual SPC'!$K$4="",'Data Entry'!$F8023='Visual SPC'!$K$4)),1,0))</f>
        <v/>
      </c>
      <c r="C8023">
        <f>C8022+B8023</f>
        <v/>
      </c>
      <c r="D8023">
        <f>IF(B8023=1,INDEX('Data Entry'!$H$5:$BE$10004,8023-4,'Visual SPC'!$B$3),"")</f>
        <v/>
      </c>
      <c r="E8023">
        <f>IF(B8023=1,D8023,E8022)</f>
        <v/>
      </c>
      <c r="F8023">
        <f>IF(AND(B8023=1,C8023&gt;1,E8022&lt;&gt;""),ABS(D8023-E8022),"")</f>
        <v/>
      </c>
    </row>
    <row r="8024">
      <c r="A8024" t="n">
        <v>8024</v>
      </c>
      <c r="B8024">
        <f>IF(INDEX('Data Entry'!$H$5:$BE$10004,8024-4,'Visual SPC'!$B$3)="",0,IF(AND(OR('Visual SPC'!$C$4="",'Data Entry'!$C8024&gt;='Visual SPC'!$C$4),OR('Visual SPC'!$E$4="",'Data Entry'!$C8024&lt;='Visual SPC'!$E$4),OR('Visual SPC'!$G$4="",'Data Entry'!$D8024='Visual SPC'!$G$4),OR('Visual SPC'!$I$4="",'Data Entry'!$E8024='Visual SPC'!$I$4),OR('Visual SPC'!$K$4="",'Data Entry'!$F8024='Visual SPC'!$K$4)),1,0))</f>
        <v/>
      </c>
      <c r="C8024">
        <f>C8023+B8024</f>
        <v/>
      </c>
      <c r="D8024">
        <f>IF(B8024=1,INDEX('Data Entry'!$H$5:$BE$10004,8024-4,'Visual SPC'!$B$3),"")</f>
        <v/>
      </c>
      <c r="E8024">
        <f>IF(B8024=1,D8024,E8023)</f>
        <v/>
      </c>
      <c r="F8024">
        <f>IF(AND(B8024=1,C8024&gt;1,E8023&lt;&gt;""),ABS(D8024-E8023),"")</f>
        <v/>
      </c>
    </row>
    <row r="8025">
      <c r="A8025" t="n">
        <v>8025</v>
      </c>
      <c r="B8025">
        <f>IF(INDEX('Data Entry'!$H$5:$BE$10004,8025-4,'Visual SPC'!$B$3)="",0,IF(AND(OR('Visual SPC'!$C$4="",'Data Entry'!$C8025&gt;='Visual SPC'!$C$4),OR('Visual SPC'!$E$4="",'Data Entry'!$C8025&lt;='Visual SPC'!$E$4),OR('Visual SPC'!$G$4="",'Data Entry'!$D8025='Visual SPC'!$G$4),OR('Visual SPC'!$I$4="",'Data Entry'!$E8025='Visual SPC'!$I$4),OR('Visual SPC'!$K$4="",'Data Entry'!$F8025='Visual SPC'!$K$4)),1,0))</f>
        <v/>
      </c>
      <c r="C8025">
        <f>C8024+B8025</f>
        <v/>
      </c>
      <c r="D8025">
        <f>IF(B8025=1,INDEX('Data Entry'!$H$5:$BE$10004,8025-4,'Visual SPC'!$B$3),"")</f>
        <v/>
      </c>
      <c r="E8025">
        <f>IF(B8025=1,D8025,E8024)</f>
        <v/>
      </c>
      <c r="F8025">
        <f>IF(AND(B8025=1,C8025&gt;1,E8024&lt;&gt;""),ABS(D8025-E8024),"")</f>
        <v/>
      </c>
    </row>
    <row r="8026">
      <c r="A8026" t="n">
        <v>8026</v>
      </c>
      <c r="B8026">
        <f>IF(INDEX('Data Entry'!$H$5:$BE$10004,8026-4,'Visual SPC'!$B$3)="",0,IF(AND(OR('Visual SPC'!$C$4="",'Data Entry'!$C8026&gt;='Visual SPC'!$C$4),OR('Visual SPC'!$E$4="",'Data Entry'!$C8026&lt;='Visual SPC'!$E$4),OR('Visual SPC'!$G$4="",'Data Entry'!$D8026='Visual SPC'!$G$4),OR('Visual SPC'!$I$4="",'Data Entry'!$E8026='Visual SPC'!$I$4),OR('Visual SPC'!$K$4="",'Data Entry'!$F8026='Visual SPC'!$K$4)),1,0))</f>
        <v/>
      </c>
      <c r="C8026">
        <f>C8025+B8026</f>
        <v/>
      </c>
      <c r="D8026">
        <f>IF(B8026=1,INDEX('Data Entry'!$H$5:$BE$10004,8026-4,'Visual SPC'!$B$3),"")</f>
        <v/>
      </c>
      <c r="E8026">
        <f>IF(B8026=1,D8026,E8025)</f>
        <v/>
      </c>
      <c r="F8026">
        <f>IF(AND(B8026=1,C8026&gt;1,E8025&lt;&gt;""),ABS(D8026-E8025),"")</f>
        <v/>
      </c>
    </row>
    <row r="8027">
      <c r="A8027" t="n">
        <v>8027</v>
      </c>
      <c r="B8027">
        <f>IF(INDEX('Data Entry'!$H$5:$BE$10004,8027-4,'Visual SPC'!$B$3)="",0,IF(AND(OR('Visual SPC'!$C$4="",'Data Entry'!$C8027&gt;='Visual SPC'!$C$4),OR('Visual SPC'!$E$4="",'Data Entry'!$C8027&lt;='Visual SPC'!$E$4),OR('Visual SPC'!$G$4="",'Data Entry'!$D8027='Visual SPC'!$G$4),OR('Visual SPC'!$I$4="",'Data Entry'!$E8027='Visual SPC'!$I$4),OR('Visual SPC'!$K$4="",'Data Entry'!$F8027='Visual SPC'!$K$4)),1,0))</f>
        <v/>
      </c>
      <c r="C8027">
        <f>C8026+B8027</f>
        <v/>
      </c>
      <c r="D8027">
        <f>IF(B8027=1,INDEX('Data Entry'!$H$5:$BE$10004,8027-4,'Visual SPC'!$B$3),"")</f>
        <v/>
      </c>
      <c r="E8027">
        <f>IF(B8027=1,D8027,E8026)</f>
        <v/>
      </c>
      <c r="F8027">
        <f>IF(AND(B8027=1,C8027&gt;1,E8026&lt;&gt;""),ABS(D8027-E8026),"")</f>
        <v/>
      </c>
    </row>
    <row r="8028">
      <c r="A8028" t="n">
        <v>8028</v>
      </c>
      <c r="B8028">
        <f>IF(INDEX('Data Entry'!$H$5:$BE$10004,8028-4,'Visual SPC'!$B$3)="",0,IF(AND(OR('Visual SPC'!$C$4="",'Data Entry'!$C8028&gt;='Visual SPC'!$C$4),OR('Visual SPC'!$E$4="",'Data Entry'!$C8028&lt;='Visual SPC'!$E$4),OR('Visual SPC'!$G$4="",'Data Entry'!$D8028='Visual SPC'!$G$4),OR('Visual SPC'!$I$4="",'Data Entry'!$E8028='Visual SPC'!$I$4),OR('Visual SPC'!$K$4="",'Data Entry'!$F8028='Visual SPC'!$K$4)),1,0))</f>
        <v/>
      </c>
      <c r="C8028">
        <f>C8027+B8028</f>
        <v/>
      </c>
      <c r="D8028">
        <f>IF(B8028=1,INDEX('Data Entry'!$H$5:$BE$10004,8028-4,'Visual SPC'!$B$3),"")</f>
        <v/>
      </c>
      <c r="E8028">
        <f>IF(B8028=1,D8028,E8027)</f>
        <v/>
      </c>
      <c r="F8028">
        <f>IF(AND(B8028=1,C8028&gt;1,E8027&lt;&gt;""),ABS(D8028-E8027),"")</f>
        <v/>
      </c>
    </row>
    <row r="8029">
      <c r="A8029" t="n">
        <v>8029</v>
      </c>
      <c r="B8029">
        <f>IF(INDEX('Data Entry'!$H$5:$BE$10004,8029-4,'Visual SPC'!$B$3)="",0,IF(AND(OR('Visual SPC'!$C$4="",'Data Entry'!$C8029&gt;='Visual SPC'!$C$4),OR('Visual SPC'!$E$4="",'Data Entry'!$C8029&lt;='Visual SPC'!$E$4),OR('Visual SPC'!$G$4="",'Data Entry'!$D8029='Visual SPC'!$G$4),OR('Visual SPC'!$I$4="",'Data Entry'!$E8029='Visual SPC'!$I$4),OR('Visual SPC'!$K$4="",'Data Entry'!$F8029='Visual SPC'!$K$4)),1,0))</f>
        <v/>
      </c>
      <c r="C8029">
        <f>C8028+B8029</f>
        <v/>
      </c>
      <c r="D8029">
        <f>IF(B8029=1,INDEX('Data Entry'!$H$5:$BE$10004,8029-4,'Visual SPC'!$B$3),"")</f>
        <v/>
      </c>
      <c r="E8029">
        <f>IF(B8029=1,D8029,E8028)</f>
        <v/>
      </c>
      <c r="F8029">
        <f>IF(AND(B8029=1,C8029&gt;1,E8028&lt;&gt;""),ABS(D8029-E8028),"")</f>
        <v/>
      </c>
    </row>
    <row r="8030">
      <c r="A8030" t="n">
        <v>8030</v>
      </c>
      <c r="B8030">
        <f>IF(INDEX('Data Entry'!$H$5:$BE$10004,8030-4,'Visual SPC'!$B$3)="",0,IF(AND(OR('Visual SPC'!$C$4="",'Data Entry'!$C8030&gt;='Visual SPC'!$C$4),OR('Visual SPC'!$E$4="",'Data Entry'!$C8030&lt;='Visual SPC'!$E$4),OR('Visual SPC'!$G$4="",'Data Entry'!$D8030='Visual SPC'!$G$4),OR('Visual SPC'!$I$4="",'Data Entry'!$E8030='Visual SPC'!$I$4),OR('Visual SPC'!$K$4="",'Data Entry'!$F8030='Visual SPC'!$K$4)),1,0))</f>
        <v/>
      </c>
      <c r="C8030">
        <f>C8029+B8030</f>
        <v/>
      </c>
      <c r="D8030">
        <f>IF(B8030=1,INDEX('Data Entry'!$H$5:$BE$10004,8030-4,'Visual SPC'!$B$3),"")</f>
        <v/>
      </c>
      <c r="E8030">
        <f>IF(B8030=1,D8030,E8029)</f>
        <v/>
      </c>
      <c r="F8030">
        <f>IF(AND(B8030=1,C8030&gt;1,E8029&lt;&gt;""),ABS(D8030-E8029),"")</f>
        <v/>
      </c>
    </row>
    <row r="8031">
      <c r="A8031" t="n">
        <v>8031</v>
      </c>
      <c r="B8031">
        <f>IF(INDEX('Data Entry'!$H$5:$BE$10004,8031-4,'Visual SPC'!$B$3)="",0,IF(AND(OR('Visual SPC'!$C$4="",'Data Entry'!$C8031&gt;='Visual SPC'!$C$4),OR('Visual SPC'!$E$4="",'Data Entry'!$C8031&lt;='Visual SPC'!$E$4),OR('Visual SPC'!$G$4="",'Data Entry'!$D8031='Visual SPC'!$G$4),OR('Visual SPC'!$I$4="",'Data Entry'!$E8031='Visual SPC'!$I$4),OR('Visual SPC'!$K$4="",'Data Entry'!$F8031='Visual SPC'!$K$4)),1,0))</f>
        <v/>
      </c>
      <c r="C8031">
        <f>C8030+B8031</f>
        <v/>
      </c>
      <c r="D8031">
        <f>IF(B8031=1,INDEX('Data Entry'!$H$5:$BE$10004,8031-4,'Visual SPC'!$B$3),"")</f>
        <v/>
      </c>
      <c r="E8031">
        <f>IF(B8031=1,D8031,E8030)</f>
        <v/>
      </c>
      <c r="F8031">
        <f>IF(AND(B8031=1,C8031&gt;1,E8030&lt;&gt;""),ABS(D8031-E8030),"")</f>
        <v/>
      </c>
    </row>
    <row r="8032">
      <c r="A8032" t="n">
        <v>8032</v>
      </c>
      <c r="B8032">
        <f>IF(INDEX('Data Entry'!$H$5:$BE$10004,8032-4,'Visual SPC'!$B$3)="",0,IF(AND(OR('Visual SPC'!$C$4="",'Data Entry'!$C8032&gt;='Visual SPC'!$C$4),OR('Visual SPC'!$E$4="",'Data Entry'!$C8032&lt;='Visual SPC'!$E$4),OR('Visual SPC'!$G$4="",'Data Entry'!$D8032='Visual SPC'!$G$4),OR('Visual SPC'!$I$4="",'Data Entry'!$E8032='Visual SPC'!$I$4),OR('Visual SPC'!$K$4="",'Data Entry'!$F8032='Visual SPC'!$K$4)),1,0))</f>
        <v/>
      </c>
      <c r="C8032">
        <f>C8031+B8032</f>
        <v/>
      </c>
      <c r="D8032">
        <f>IF(B8032=1,INDEX('Data Entry'!$H$5:$BE$10004,8032-4,'Visual SPC'!$B$3),"")</f>
        <v/>
      </c>
      <c r="E8032">
        <f>IF(B8032=1,D8032,E8031)</f>
        <v/>
      </c>
      <c r="F8032">
        <f>IF(AND(B8032=1,C8032&gt;1,E8031&lt;&gt;""),ABS(D8032-E8031),"")</f>
        <v/>
      </c>
    </row>
    <row r="8033">
      <c r="A8033" t="n">
        <v>8033</v>
      </c>
      <c r="B8033">
        <f>IF(INDEX('Data Entry'!$H$5:$BE$10004,8033-4,'Visual SPC'!$B$3)="",0,IF(AND(OR('Visual SPC'!$C$4="",'Data Entry'!$C8033&gt;='Visual SPC'!$C$4),OR('Visual SPC'!$E$4="",'Data Entry'!$C8033&lt;='Visual SPC'!$E$4),OR('Visual SPC'!$G$4="",'Data Entry'!$D8033='Visual SPC'!$G$4),OR('Visual SPC'!$I$4="",'Data Entry'!$E8033='Visual SPC'!$I$4),OR('Visual SPC'!$K$4="",'Data Entry'!$F8033='Visual SPC'!$K$4)),1,0))</f>
        <v/>
      </c>
      <c r="C8033">
        <f>C8032+B8033</f>
        <v/>
      </c>
      <c r="D8033">
        <f>IF(B8033=1,INDEX('Data Entry'!$H$5:$BE$10004,8033-4,'Visual SPC'!$B$3),"")</f>
        <v/>
      </c>
      <c r="E8033">
        <f>IF(B8033=1,D8033,E8032)</f>
        <v/>
      </c>
      <c r="F8033">
        <f>IF(AND(B8033=1,C8033&gt;1,E8032&lt;&gt;""),ABS(D8033-E8032),"")</f>
        <v/>
      </c>
    </row>
    <row r="8034">
      <c r="A8034" t="n">
        <v>8034</v>
      </c>
      <c r="B8034">
        <f>IF(INDEX('Data Entry'!$H$5:$BE$10004,8034-4,'Visual SPC'!$B$3)="",0,IF(AND(OR('Visual SPC'!$C$4="",'Data Entry'!$C8034&gt;='Visual SPC'!$C$4),OR('Visual SPC'!$E$4="",'Data Entry'!$C8034&lt;='Visual SPC'!$E$4),OR('Visual SPC'!$G$4="",'Data Entry'!$D8034='Visual SPC'!$G$4),OR('Visual SPC'!$I$4="",'Data Entry'!$E8034='Visual SPC'!$I$4),OR('Visual SPC'!$K$4="",'Data Entry'!$F8034='Visual SPC'!$K$4)),1,0))</f>
        <v/>
      </c>
      <c r="C8034">
        <f>C8033+B8034</f>
        <v/>
      </c>
      <c r="D8034">
        <f>IF(B8034=1,INDEX('Data Entry'!$H$5:$BE$10004,8034-4,'Visual SPC'!$B$3),"")</f>
        <v/>
      </c>
      <c r="E8034">
        <f>IF(B8034=1,D8034,E8033)</f>
        <v/>
      </c>
      <c r="F8034">
        <f>IF(AND(B8034=1,C8034&gt;1,E8033&lt;&gt;""),ABS(D8034-E8033),"")</f>
        <v/>
      </c>
    </row>
    <row r="8035">
      <c r="A8035" t="n">
        <v>8035</v>
      </c>
      <c r="B8035">
        <f>IF(INDEX('Data Entry'!$H$5:$BE$10004,8035-4,'Visual SPC'!$B$3)="",0,IF(AND(OR('Visual SPC'!$C$4="",'Data Entry'!$C8035&gt;='Visual SPC'!$C$4),OR('Visual SPC'!$E$4="",'Data Entry'!$C8035&lt;='Visual SPC'!$E$4),OR('Visual SPC'!$G$4="",'Data Entry'!$D8035='Visual SPC'!$G$4),OR('Visual SPC'!$I$4="",'Data Entry'!$E8035='Visual SPC'!$I$4),OR('Visual SPC'!$K$4="",'Data Entry'!$F8035='Visual SPC'!$K$4)),1,0))</f>
        <v/>
      </c>
      <c r="C8035">
        <f>C8034+B8035</f>
        <v/>
      </c>
      <c r="D8035">
        <f>IF(B8035=1,INDEX('Data Entry'!$H$5:$BE$10004,8035-4,'Visual SPC'!$B$3),"")</f>
        <v/>
      </c>
      <c r="E8035">
        <f>IF(B8035=1,D8035,E8034)</f>
        <v/>
      </c>
      <c r="F8035">
        <f>IF(AND(B8035=1,C8035&gt;1,E8034&lt;&gt;""),ABS(D8035-E8034),"")</f>
        <v/>
      </c>
    </row>
    <row r="8036">
      <c r="A8036" t="n">
        <v>8036</v>
      </c>
      <c r="B8036">
        <f>IF(INDEX('Data Entry'!$H$5:$BE$10004,8036-4,'Visual SPC'!$B$3)="",0,IF(AND(OR('Visual SPC'!$C$4="",'Data Entry'!$C8036&gt;='Visual SPC'!$C$4),OR('Visual SPC'!$E$4="",'Data Entry'!$C8036&lt;='Visual SPC'!$E$4),OR('Visual SPC'!$G$4="",'Data Entry'!$D8036='Visual SPC'!$G$4),OR('Visual SPC'!$I$4="",'Data Entry'!$E8036='Visual SPC'!$I$4),OR('Visual SPC'!$K$4="",'Data Entry'!$F8036='Visual SPC'!$K$4)),1,0))</f>
        <v/>
      </c>
      <c r="C8036">
        <f>C8035+B8036</f>
        <v/>
      </c>
      <c r="D8036">
        <f>IF(B8036=1,INDEX('Data Entry'!$H$5:$BE$10004,8036-4,'Visual SPC'!$B$3),"")</f>
        <v/>
      </c>
      <c r="E8036">
        <f>IF(B8036=1,D8036,E8035)</f>
        <v/>
      </c>
      <c r="F8036">
        <f>IF(AND(B8036=1,C8036&gt;1,E8035&lt;&gt;""),ABS(D8036-E8035),"")</f>
        <v/>
      </c>
    </row>
    <row r="8037">
      <c r="A8037" t="n">
        <v>8037</v>
      </c>
      <c r="B8037">
        <f>IF(INDEX('Data Entry'!$H$5:$BE$10004,8037-4,'Visual SPC'!$B$3)="",0,IF(AND(OR('Visual SPC'!$C$4="",'Data Entry'!$C8037&gt;='Visual SPC'!$C$4),OR('Visual SPC'!$E$4="",'Data Entry'!$C8037&lt;='Visual SPC'!$E$4),OR('Visual SPC'!$G$4="",'Data Entry'!$D8037='Visual SPC'!$G$4),OR('Visual SPC'!$I$4="",'Data Entry'!$E8037='Visual SPC'!$I$4),OR('Visual SPC'!$K$4="",'Data Entry'!$F8037='Visual SPC'!$K$4)),1,0))</f>
        <v/>
      </c>
      <c r="C8037">
        <f>C8036+B8037</f>
        <v/>
      </c>
      <c r="D8037">
        <f>IF(B8037=1,INDEX('Data Entry'!$H$5:$BE$10004,8037-4,'Visual SPC'!$B$3),"")</f>
        <v/>
      </c>
      <c r="E8037">
        <f>IF(B8037=1,D8037,E8036)</f>
        <v/>
      </c>
      <c r="F8037">
        <f>IF(AND(B8037=1,C8037&gt;1,E8036&lt;&gt;""),ABS(D8037-E8036),"")</f>
        <v/>
      </c>
    </row>
    <row r="8038">
      <c r="A8038" t="n">
        <v>8038</v>
      </c>
      <c r="B8038">
        <f>IF(INDEX('Data Entry'!$H$5:$BE$10004,8038-4,'Visual SPC'!$B$3)="",0,IF(AND(OR('Visual SPC'!$C$4="",'Data Entry'!$C8038&gt;='Visual SPC'!$C$4),OR('Visual SPC'!$E$4="",'Data Entry'!$C8038&lt;='Visual SPC'!$E$4),OR('Visual SPC'!$G$4="",'Data Entry'!$D8038='Visual SPC'!$G$4),OR('Visual SPC'!$I$4="",'Data Entry'!$E8038='Visual SPC'!$I$4),OR('Visual SPC'!$K$4="",'Data Entry'!$F8038='Visual SPC'!$K$4)),1,0))</f>
        <v/>
      </c>
      <c r="C8038">
        <f>C8037+B8038</f>
        <v/>
      </c>
      <c r="D8038">
        <f>IF(B8038=1,INDEX('Data Entry'!$H$5:$BE$10004,8038-4,'Visual SPC'!$B$3),"")</f>
        <v/>
      </c>
      <c r="E8038">
        <f>IF(B8038=1,D8038,E8037)</f>
        <v/>
      </c>
      <c r="F8038">
        <f>IF(AND(B8038=1,C8038&gt;1,E8037&lt;&gt;""),ABS(D8038-E8037),"")</f>
        <v/>
      </c>
    </row>
    <row r="8039">
      <c r="A8039" t="n">
        <v>8039</v>
      </c>
      <c r="B8039">
        <f>IF(INDEX('Data Entry'!$H$5:$BE$10004,8039-4,'Visual SPC'!$B$3)="",0,IF(AND(OR('Visual SPC'!$C$4="",'Data Entry'!$C8039&gt;='Visual SPC'!$C$4),OR('Visual SPC'!$E$4="",'Data Entry'!$C8039&lt;='Visual SPC'!$E$4),OR('Visual SPC'!$G$4="",'Data Entry'!$D8039='Visual SPC'!$G$4),OR('Visual SPC'!$I$4="",'Data Entry'!$E8039='Visual SPC'!$I$4),OR('Visual SPC'!$K$4="",'Data Entry'!$F8039='Visual SPC'!$K$4)),1,0))</f>
        <v/>
      </c>
      <c r="C8039">
        <f>C8038+B8039</f>
        <v/>
      </c>
      <c r="D8039">
        <f>IF(B8039=1,INDEX('Data Entry'!$H$5:$BE$10004,8039-4,'Visual SPC'!$B$3),"")</f>
        <v/>
      </c>
      <c r="E8039">
        <f>IF(B8039=1,D8039,E8038)</f>
        <v/>
      </c>
      <c r="F8039">
        <f>IF(AND(B8039=1,C8039&gt;1,E8038&lt;&gt;""),ABS(D8039-E8038),"")</f>
        <v/>
      </c>
    </row>
    <row r="8040">
      <c r="A8040" t="n">
        <v>8040</v>
      </c>
      <c r="B8040">
        <f>IF(INDEX('Data Entry'!$H$5:$BE$10004,8040-4,'Visual SPC'!$B$3)="",0,IF(AND(OR('Visual SPC'!$C$4="",'Data Entry'!$C8040&gt;='Visual SPC'!$C$4),OR('Visual SPC'!$E$4="",'Data Entry'!$C8040&lt;='Visual SPC'!$E$4),OR('Visual SPC'!$G$4="",'Data Entry'!$D8040='Visual SPC'!$G$4),OR('Visual SPC'!$I$4="",'Data Entry'!$E8040='Visual SPC'!$I$4),OR('Visual SPC'!$K$4="",'Data Entry'!$F8040='Visual SPC'!$K$4)),1,0))</f>
        <v/>
      </c>
      <c r="C8040">
        <f>C8039+B8040</f>
        <v/>
      </c>
      <c r="D8040">
        <f>IF(B8040=1,INDEX('Data Entry'!$H$5:$BE$10004,8040-4,'Visual SPC'!$B$3),"")</f>
        <v/>
      </c>
      <c r="E8040">
        <f>IF(B8040=1,D8040,E8039)</f>
        <v/>
      </c>
      <c r="F8040">
        <f>IF(AND(B8040=1,C8040&gt;1,E8039&lt;&gt;""),ABS(D8040-E8039),"")</f>
        <v/>
      </c>
    </row>
    <row r="8041">
      <c r="A8041" t="n">
        <v>8041</v>
      </c>
      <c r="B8041">
        <f>IF(INDEX('Data Entry'!$H$5:$BE$10004,8041-4,'Visual SPC'!$B$3)="",0,IF(AND(OR('Visual SPC'!$C$4="",'Data Entry'!$C8041&gt;='Visual SPC'!$C$4),OR('Visual SPC'!$E$4="",'Data Entry'!$C8041&lt;='Visual SPC'!$E$4),OR('Visual SPC'!$G$4="",'Data Entry'!$D8041='Visual SPC'!$G$4),OR('Visual SPC'!$I$4="",'Data Entry'!$E8041='Visual SPC'!$I$4),OR('Visual SPC'!$K$4="",'Data Entry'!$F8041='Visual SPC'!$K$4)),1,0))</f>
        <v/>
      </c>
      <c r="C8041">
        <f>C8040+B8041</f>
        <v/>
      </c>
      <c r="D8041">
        <f>IF(B8041=1,INDEX('Data Entry'!$H$5:$BE$10004,8041-4,'Visual SPC'!$B$3),"")</f>
        <v/>
      </c>
      <c r="E8041">
        <f>IF(B8041=1,D8041,E8040)</f>
        <v/>
      </c>
      <c r="F8041">
        <f>IF(AND(B8041=1,C8041&gt;1,E8040&lt;&gt;""),ABS(D8041-E8040),"")</f>
        <v/>
      </c>
    </row>
    <row r="8042">
      <c r="A8042" t="n">
        <v>8042</v>
      </c>
      <c r="B8042">
        <f>IF(INDEX('Data Entry'!$H$5:$BE$10004,8042-4,'Visual SPC'!$B$3)="",0,IF(AND(OR('Visual SPC'!$C$4="",'Data Entry'!$C8042&gt;='Visual SPC'!$C$4),OR('Visual SPC'!$E$4="",'Data Entry'!$C8042&lt;='Visual SPC'!$E$4),OR('Visual SPC'!$G$4="",'Data Entry'!$D8042='Visual SPC'!$G$4),OR('Visual SPC'!$I$4="",'Data Entry'!$E8042='Visual SPC'!$I$4),OR('Visual SPC'!$K$4="",'Data Entry'!$F8042='Visual SPC'!$K$4)),1,0))</f>
        <v/>
      </c>
      <c r="C8042">
        <f>C8041+B8042</f>
        <v/>
      </c>
      <c r="D8042">
        <f>IF(B8042=1,INDEX('Data Entry'!$H$5:$BE$10004,8042-4,'Visual SPC'!$B$3),"")</f>
        <v/>
      </c>
      <c r="E8042">
        <f>IF(B8042=1,D8042,E8041)</f>
        <v/>
      </c>
      <c r="F8042">
        <f>IF(AND(B8042=1,C8042&gt;1,E8041&lt;&gt;""),ABS(D8042-E8041),"")</f>
        <v/>
      </c>
    </row>
    <row r="8043">
      <c r="A8043" t="n">
        <v>8043</v>
      </c>
      <c r="B8043">
        <f>IF(INDEX('Data Entry'!$H$5:$BE$10004,8043-4,'Visual SPC'!$B$3)="",0,IF(AND(OR('Visual SPC'!$C$4="",'Data Entry'!$C8043&gt;='Visual SPC'!$C$4),OR('Visual SPC'!$E$4="",'Data Entry'!$C8043&lt;='Visual SPC'!$E$4),OR('Visual SPC'!$G$4="",'Data Entry'!$D8043='Visual SPC'!$G$4),OR('Visual SPC'!$I$4="",'Data Entry'!$E8043='Visual SPC'!$I$4),OR('Visual SPC'!$K$4="",'Data Entry'!$F8043='Visual SPC'!$K$4)),1,0))</f>
        <v/>
      </c>
      <c r="C8043">
        <f>C8042+B8043</f>
        <v/>
      </c>
      <c r="D8043">
        <f>IF(B8043=1,INDEX('Data Entry'!$H$5:$BE$10004,8043-4,'Visual SPC'!$B$3),"")</f>
        <v/>
      </c>
      <c r="E8043">
        <f>IF(B8043=1,D8043,E8042)</f>
        <v/>
      </c>
      <c r="F8043">
        <f>IF(AND(B8043=1,C8043&gt;1,E8042&lt;&gt;""),ABS(D8043-E8042),"")</f>
        <v/>
      </c>
    </row>
    <row r="8044">
      <c r="A8044" t="n">
        <v>8044</v>
      </c>
      <c r="B8044">
        <f>IF(INDEX('Data Entry'!$H$5:$BE$10004,8044-4,'Visual SPC'!$B$3)="",0,IF(AND(OR('Visual SPC'!$C$4="",'Data Entry'!$C8044&gt;='Visual SPC'!$C$4),OR('Visual SPC'!$E$4="",'Data Entry'!$C8044&lt;='Visual SPC'!$E$4),OR('Visual SPC'!$G$4="",'Data Entry'!$D8044='Visual SPC'!$G$4),OR('Visual SPC'!$I$4="",'Data Entry'!$E8044='Visual SPC'!$I$4),OR('Visual SPC'!$K$4="",'Data Entry'!$F8044='Visual SPC'!$K$4)),1,0))</f>
        <v/>
      </c>
      <c r="C8044">
        <f>C8043+B8044</f>
        <v/>
      </c>
      <c r="D8044">
        <f>IF(B8044=1,INDEX('Data Entry'!$H$5:$BE$10004,8044-4,'Visual SPC'!$B$3),"")</f>
        <v/>
      </c>
      <c r="E8044">
        <f>IF(B8044=1,D8044,E8043)</f>
        <v/>
      </c>
      <c r="F8044">
        <f>IF(AND(B8044=1,C8044&gt;1,E8043&lt;&gt;""),ABS(D8044-E8043),"")</f>
        <v/>
      </c>
    </row>
    <row r="8045">
      <c r="A8045" t="n">
        <v>8045</v>
      </c>
      <c r="B8045">
        <f>IF(INDEX('Data Entry'!$H$5:$BE$10004,8045-4,'Visual SPC'!$B$3)="",0,IF(AND(OR('Visual SPC'!$C$4="",'Data Entry'!$C8045&gt;='Visual SPC'!$C$4),OR('Visual SPC'!$E$4="",'Data Entry'!$C8045&lt;='Visual SPC'!$E$4),OR('Visual SPC'!$G$4="",'Data Entry'!$D8045='Visual SPC'!$G$4),OR('Visual SPC'!$I$4="",'Data Entry'!$E8045='Visual SPC'!$I$4),OR('Visual SPC'!$K$4="",'Data Entry'!$F8045='Visual SPC'!$K$4)),1,0))</f>
        <v/>
      </c>
      <c r="C8045">
        <f>C8044+B8045</f>
        <v/>
      </c>
      <c r="D8045">
        <f>IF(B8045=1,INDEX('Data Entry'!$H$5:$BE$10004,8045-4,'Visual SPC'!$B$3),"")</f>
        <v/>
      </c>
      <c r="E8045">
        <f>IF(B8045=1,D8045,E8044)</f>
        <v/>
      </c>
      <c r="F8045">
        <f>IF(AND(B8045=1,C8045&gt;1,E8044&lt;&gt;""),ABS(D8045-E8044),"")</f>
        <v/>
      </c>
    </row>
    <row r="8046">
      <c r="A8046" t="n">
        <v>8046</v>
      </c>
      <c r="B8046">
        <f>IF(INDEX('Data Entry'!$H$5:$BE$10004,8046-4,'Visual SPC'!$B$3)="",0,IF(AND(OR('Visual SPC'!$C$4="",'Data Entry'!$C8046&gt;='Visual SPC'!$C$4),OR('Visual SPC'!$E$4="",'Data Entry'!$C8046&lt;='Visual SPC'!$E$4),OR('Visual SPC'!$G$4="",'Data Entry'!$D8046='Visual SPC'!$G$4),OR('Visual SPC'!$I$4="",'Data Entry'!$E8046='Visual SPC'!$I$4),OR('Visual SPC'!$K$4="",'Data Entry'!$F8046='Visual SPC'!$K$4)),1,0))</f>
        <v/>
      </c>
      <c r="C8046">
        <f>C8045+B8046</f>
        <v/>
      </c>
      <c r="D8046">
        <f>IF(B8046=1,INDEX('Data Entry'!$H$5:$BE$10004,8046-4,'Visual SPC'!$B$3),"")</f>
        <v/>
      </c>
      <c r="E8046">
        <f>IF(B8046=1,D8046,E8045)</f>
        <v/>
      </c>
      <c r="F8046">
        <f>IF(AND(B8046=1,C8046&gt;1,E8045&lt;&gt;""),ABS(D8046-E8045),"")</f>
        <v/>
      </c>
    </row>
    <row r="8047">
      <c r="A8047" t="n">
        <v>8047</v>
      </c>
      <c r="B8047">
        <f>IF(INDEX('Data Entry'!$H$5:$BE$10004,8047-4,'Visual SPC'!$B$3)="",0,IF(AND(OR('Visual SPC'!$C$4="",'Data Entry'!$C8047&gt;='Visual SPC'!$C$4),OR('Visual SPC'!$E$4="",'Data Entry'!$C8047&lt;='Visual SPC'!$E$4),OR('Visual SPC'!$G$4="",'Data Entry'!$D8047='Visual SPC'!$G$4),OR('Visual SPC'!$I$4="",'Data Entry'!$E8047='Visual SPC'!$I$4),OR('Visual SPC'!$K$4="",'Data Entry'!$F8047='Visual SPC'!$K$4)),1,0))</f>
        <v/>
      </c>
      <c r="C8047">
        <f>C8046+B8047</f>
        <v/>
      </c>
      <c r="D8047">
        <f>IF(B8047=1,INDEX('Data Entry'!$H$5:$BE$10004,8047-4,'Visual SPC'!$B$3),"")</f>
        <v/>
      </c>
      <c r="E8047">
        <f>IF(B8047=1,D8047,E8046)</f>
        <v/>
      </c>
      <c r="F8047">
        <f>IF(AND(B8047=1,C8047&gt;1,E8046&lt;&gt;""),ABS(D8047-E8046),"")</f>
        <v/>
      </c>
    </row>
    <row r="8048">
      <c r="A8048" t="n">
        <v>8048</v>
      </c>
      <c r="B8048">
        <f>IF(INDEX('Data Entry'!$H$5:$BE$10004,8048-4,'Visual SPC'!$B$3)="",0,IF(AND(OR('Visual SPC'!$C$4="",'Data Entry'!$C8048&gt;='Visual SPC'!$C$4),OR('Visual SPC'!$E$4="",'Data Entry'!$C8048&lt;='Visual SPC'!$E$4),OR('Visual SPC'!$G$4="",'Data Entry'!$D8048='Visual SPC'!$G$4),OR('Visual SPC'!$I$4="",'Data Entry'!$E8048='Visual SPC'!$I$4),OR('Visual SPC'!$K$4="",'Data Entry'!$F8048='Visual SPC'!$K$4)),1,0))</f>
        <v/>
      </c>
      <c r="C8048">
        <f>C8047+B8048</f>
        <v/>
      </c>
      <c r="D8048">
        <f>IF(B8048=1,INDEX('Data Entry'!$H$5:$BE$10004,8048-4,'Visual SPC'!$B$3),"")</f>
        <v/>
      </c>
      <c r="E8048">
        <f>IF(B8048=1,D8048,E8047)</f>
        <v/>
      </c>
      <c r="F8048">
        <f>IF(AND(B8048=1,C8048&gt;1,E8047&lt;&gt;""),ABS(D8048-E8047),"")</f>
        <v/>
      </c>
    </row>
    <row r="8049">
      <c r="A8049" t="n">
        <v>8049</v>
      </c>
      <c r="B8049">
        <f>IF(INDEX('Data Entry'!$H$5:$BE$10004,8049-4,'Visual SPC'!$B$3)="",0,IF(AND(OR('Visual SPC'!$C$4="",'Data Entry'!$C8049&gt;='Visual SPC'!$C$4),OR('Visual SPC'!$E$4="",'Data Entry'!$C8049&lt;='Visual SPC'!$E$4),OR('Visual SPC'!$G$4="",'Data Entry'!$D8049='Visual SPC'!$G$4),OR('Visual SPC'!$I$4="",'Data Entry'!$E8049='Visual SPC'!$I$4),OR('Visual SPC'!$K$4="",'Data Entry'!$F8049='Visual SPC'!$K$4)),1,0))</f>
        <v/>
      </c>
      <c r="C8049">
        <f>C8048+B8049</f>
        <v/>
      </c>
      <c r="D8049">
        <f>IF(B8049=1,INDEX('Data Entry'!$H$5:$BE$10004,8049-4,'Visual SPC'!$B$3),"")</f>
        <v/>
      </c>
      <c r="E8049">
        <f>IF(B8049=1,D8049,E8048)</f>
        <v/>
      </c>
      <c r="F8049">
        <f>IF(AND(B8049=1,C8049&gt;1,E8048&lt;&gt;""),ABS(D8049-E8048),"")</f>
        <v/>
      </c>
    </row>
    <row r="8050">
      <c r="A8050" t="n">
        <v>8050</v>
      </c>
      <c r="B8050">
        <f>IF(INDEX('Data Entry'!$H$5:$BE$10004,8050-4,'Visual SPC'!$B$3)="",0,IF(AND(OR('Visual SPC'!$C$4="",'Data Entry'!$C8050&gt;='Visual SPC'!$C$4),OR('Visual SPC'!$E$4="",'Data Entry'!$C8050&lt;='Visual SPC'!$E$4),OR('Visual SPC'!$G$4="",'Data Entry'!$D8050='Visual SPC'!$G$4),OR('Visual SPC'!$I$4="",'Data Entry'!$E8050='Visual SPC'!$I$4),OR('Visual SPC'!$K$4="",'Data Entry'!$F8050='Visual SPC'!$K$4)),1,0))</f>
        <v/>
      </c>
      <c r="C8050">
        <f>C8049+B8050</f>
        <v/>
      </c>
      <c r="D8050">
        <f>IF(B8050=1,INDEX('Data Entry'!$H$5:$BE$10004,8050-4,'Visual SPC'!$B$3),"")</f>
        <v/>
      </c>
      <c r="E8050">
        <f>IF(B8050=1,D8050,E8049)</f>
        <v/>
      </c>
      <c r="F8050">
        <f>IF(AND(B8050=1,C8050&gt;1,E8049&lt;&gt;""),ABS(D8050-E8049),"")</f>
        <v/>
      </c>
    </row>
    <row r="8051">
      <c r="A8051" t="n">
        <v>8051</v>
      </c>
      <c r="B8051">
        <f>IF(INDEX('Data Entry'!$H$5:$BE$10004,8051-4,'Visual SPC'!$B$3)="",0,IF(AND(OR('Visual SPC'!$C$4="",'Data Entry'!$C8051&gt;='Visual SPC'!$C$4),OR('Visual SPC'!$E$4="",'Data Entry'!$C8051&lt;='Visual SPC'!$E$4),OR('Visual SPC'!$G$4="",'Data Entry'!$D8051='Visual SPC'!$G$4),OR('Visual SPC'!$I$4="",'Data Entry'!$E8051='Visual SPC'!$I$4),OR('Visual SPC'!$K$4="",'Data Entry'!$F8051='Visual SPC'!$K$4)),1,0))</f>
        <v/>
      </c>
      <c r="C8051">
        <f>C8050+B8051</f>
        <v/>
      </c>
      <c r="D8051">
        <f>IF(B8051=1,INDEX('Data Entry'!$H$5:$BE$10004,8051-4,'Visual SPC'!$B$3),"")</f>
        <v/>
      </c>
      <c r="E8051">
        <f>IF(B8051=1,D8051,E8050)</f>
        <v/>
      </c>
      <c r="F8051">
        <f>IF(AND(B8051=1,C8051&gt;1,E8050&lt;&gt;""),ABS(D8051-E8050),"")</f>
        <v/>
      </c>
    </row>
    <row r="8052">
      <c r="A8052" t="n">
        <v>8052</v>
      </c>
      <c r="B8052">
        <f>IF(INDEX('Data Entry'!$H$5:$BE$10004,8052-4,'Visual SPC'!$B$3)="",0,IF(AND(OR('Visual SPC'!$C$4="",'Data Entry'!$C8052&gt;='Visual SPC'!$C$4),OR('Visual SPC'!$E$4="",'Data Entry'!$C8052&lt;='Visual SPC'!$E$4),OR('Visual SPC'!$G$4="",'Data Entry'!$D8052='Visual SPC'!$G$4),OR('Visual SPC'!$I$4="",'Data Entry'!$E8052='Visual SPC'!$I$4),OR('Visual SPC'!$K$4="",'Data Entry'!$F8052='Visual SPC'!$K$4)),1,0))</f>
        <v/>
      </c>
      <c r="C8052">
        <f>C8051+B8052</f>
        <v/>
      </c>
      <c r="D8052">
        <f>IF(B8052=1,INDEX('Data Entry'!$H$5:$BE$10004,8052-4,'Visual SPC'!$B$3),"")</f>
        <v/>
      </c>
      <c r="E8052">
        <f>IF(B8052=1,D8052,E8051)</f>
        <v/>
      </c>
      <c r="F8052">
        <f>IF(AND(B8052=1,C8052&gt;1,E8051&lt;&gt;""),ABS(D8052-E8051),"")</f>
        <v/>
      </c>
    </row>
    <row r="8053">
      <c r="A8053" t="n">
        <v>8053</v>
      </c>
      <c r="B8053">
        <f>IF(INDEX('Data Entry'!$H$5:$BE$10004,8053-4,'Visual SPC'!$B$3)="",0,IF(AND(OR('Visual SPC'!$C$4="",'Data Entry'!$C8053&gt;='Visual SPC'!$C$4),OR('Visual SPC'!$E$4="",'Data Entry'!$C8053&lt;='Visual SPC'!$E$4),OR('Visual SPC'!$G$4="",'Data Entry'!$D8053='Visual SPC'!$G$4),OR('Visual SPC'!$I$4="",'Data Entry'!$E8053='Visual SPC'!$I$4),OR('Visual SPC'!$K$4="",'Data Entry'!$F8053='Visual SPC'!$K$4)),1,0))</f>
        <v/>
      </c>
      <c r="C8053">
        <f>C8052+B8053</f>
        <v/>
      </c>
      <c r="D8053">
        <f>IF(B8053=1,INDEX('Data Entry'!$H$5:$BE$10004,8053-4,'Visual SPC'!$B$3),"")</f>
        <v/>
      </c>
      <c r="E8053">
        <f>IF(B8053=1,D8053,E8052)</f>
        <v/>
      </c>
      <c r="F8053">
        <f>IF(AND(B8053=1,C8053&gt;1,E8052&lt;&gt;""),ABS(D8053-E8052),"")</f>
        <v/>
      </c>
    </row>
    <row r="8054">
      <c r="A8054" t="n">
        <v>8054</v>
      </c>
      <c r="B8054">
        <f>IF(INDEX('Data Entry'!$H$5:$BE$10004,8054-4,'Visual SPC'!$B$3)="",0,IF(AND(OR('Visual SPC'!$C$4="",'Data Entry'!$C8054&gt;='Visual SPC'!$C$4),OR('Visual SPC'!$E$4="",'Data Entry'!$C8054&lt;='Visual SPC'!$E$4),OR('Visual SPC'!$G$4="",'Data Entry'!$D8054='Visual SPC'!$G$4),OR('Visual SPC'!$I$4="",'Data Entry'!$E8054='Visual SPC'!$I$4),OR('Visual SPC'!$K$4="",'Data Entry'!$F8054='Visual SPC'!$K$4)),1,0))</f>
        <v/>
      </c>
      <c r="C8054">
        <f>C8053+B8054</f>
        <v/>
      </c>
      <c r="D8054">
        <f>IF(B8054=1,INDEX('Data Entry'!$H$5:$BE$10004,8054-4,'Visual SPC'!$B$3),"")</f>
        <v/>
      </c>
      <c r="E8054">
        <f>IF(B8054=1,D8054,E8053)</f>
        <v/>
      </c>
      <c r="F8054">
        <f>IF(AND(B8054=1,C8054&gt;1,E8053&lt;&gt;""),ABS(D8054-E8053),"")</f>
        <v/>
      </c>
    </row>
    <row r="8055">
      <c r="A8055" t="n">
        <v>8055</v>
      </c>
      <c r="B8055">
        <f>IF(INDEX('Data Entry'!$H$5:$BE$10004,8055-4,'Visual SPC'!$B$3)="",0,IF(AND(OR('Visual SPC'!$C$4="",'Data Entry'!$C8055&gt;='Visual SPC'!$C$4),OR('Visual SPC'!$E$4="",'Data Entry'!$C8055&lt;='Visual SPC'!$E$4),OR('Visual SPC'!$G$4="",'Data Entry'!$D8055='Visual SPC'!$G$4),OR('Visual SPC'!$I$4="",'Data Entry'!$E8055='Visual SPC'!$I$4),OR('Visual SPC'!$K$4="",'Data Entry'!$F8055='Visual SPC'!$K$4)),1,0))</f>
        <v/>
      </c>
      <c r="C8055">
        <f>C8054+B8055</f>
        <v/>
      </c>
      <c r="D8055">
        <f>IF(B8055=1,INDEX('Data Entry'!$H$5:$BE$10004,8055-4,'Visual SPC'!$B$3),"")</f>
        <v/>
      </c>
      <c r="E8055">
        <f>IF(B8055=1,D8055,E8054)</f>
        <v/>
      </c>
      <c r="F8055">
        <f>IF(AND(B8055=1,C8055&gt;1,E8054&lt;&gt;""),ABS(D8055-E8054),"")</f>
        <v/>
      </c>
    </row>
    <row r="8056">
      <c r="A8056" t="n">
        <v>8056</v>
      </c>
      <c r="B8056">
        <f>IF(INDEX('Data Entry'!$H$5:$BE$10004,8056-4,'Visual SPC'!$B$3)="",0,IF(AND(OR('Visual SPC'!$C$4="",'Data Entry'!$C8056&gt;='Visual SPC'!$C$4),OR('Visual SPC'!$E$4="",'Data Entry'!$C8056&lt;='Visual SPC'!$E$4),OR('Visual SPC'!$G$4="",'Data Entry'!$D8056='Visual SPC'!$G$4),OR('Visual SPC'!$I$4="",'Data Entry'!$E8056='Visual SPC'!$I$4),OR('Visual SPC'!$K$4="",'Data Entry'!$F8056='Visual SPC'!$K$4)),1,0))</f>
        <v/>
      </c>
      <c r="C8056">
        <f>C8055+B8056</f>
        <v/>
      </c>
      <c r="D8056">
        <f>IF(B8056=1,INDEX('Data Entry'!$H$5:$BE$10004,8056-4,'Visual SPC'!$B$3),"")</f>
        <v/>
      </c>
      <c r="E8056">
        <f>IF(B8056=1,D8056,E8055)</f>
        <v/>
      </c>
      <c r="F8056">
        <f>IF(AND(B8056=1,C8056&gt;1,E8055&lt;&gt;""),ABS(D8056-E8055),"")</f>
        <v/>
      </c>
    </row>
    <row r="8057">
      <c r="A8057" t="n">
        <v>8057</v>
      </c>
      <c r="B8057">
        <f>IF(INDEX('Data Entry'!$H$5:$BE$10004,8057-4,'Visual SPC'!$B$3)="",0,IF(AND(OR('Visual SPC'!$C$4="",'Data Entry'!$C8057&gt;='Visual SPC'!$C$4),OR('Visual SPC'!$E$4="",'Data Entry'!$C8057&lt;='Visual SPC'!$E$4),OR('Visual SPC'!$G$4="",'Data Entry'!$D8057='Visual SPC'!$G$4),OR('Visual SPC'!$I$4="",'Data Entry'!$E8057='Visual SPC'!$I$4),OR('Visual SPC'!$K$4="",'Data Entry'!$F8057='Visual SPC'!$K$4)),1,0))</f>
        <v/>
      </c>
      <c r="C8057">
        <f>C8056+B8057</f>
        <v/>
      </c>
      <c r="D8057">
        <f>IF(B8057=1,INDEX('Data Entry'!$H$5:$BE$10004,8057-4,'Visual SPC'!$B$3),"")</f>
        <v/>
      </c>
      <c r="E8057">
        <f>IF(B8057=1,D8057,E8056)</f>
        <v/>
      </c>
      <c r="F8057">
        <f>IF(AND(B8057=1,C8057&gt;1,E8056&lt;&gt;""),ABS(D8057-E8056),"")</f>
        <v/>
      </c>
    </row>
    <row r="8058">
      <c r="A8058" t="n">
        <v>8058</v>
      </c>
      <c r="B8058">
        <f>IF(INDEX('Data Entry'!$H$5:$BE$10004,8058-4,'Visual SPC'!$B$3)="",0,IF(AND(OR('Visual SPC'!$C$4="",'Data Entry'!$C8058&gt;='Visual SPC'!$C$4),OR('Visual SPC'!$E$4="",'Data Entry'!$C8058&lt;='Visual SPC'!$E$4),OR('Visual SPC'!$G$4="",'Data Entry'!$D8058='Visual SPC'!$G$4),OR('Visual SPC'!$I$4="",'Data Entry'!$E8058='Visual SPC'!$I$4),OR('Visual SPC'!$K$4="",'Data Entry'!$F8058='Visual SPC'!$K$4)),1,0))</f>
        <v/>
      </c>
      <c r="C8058">
        <f>C8057+B8058</f>
        <v/>
      </c>
      <c r="D8058">
        <f>IF(B8058=1,INDEX('Data Entry'!$H$5:$BE$10004,8058-4,'Visual SPC'!$B$3),"")</f>
        <v/>
      </c>
      <c r="E8058">
        <f>IF(B8058=1,D8058,E8057)</f>
        <v/>
      </c>
      <c r="F8058">
        <f>IF(AND(B8058=1,C8058&gt;1,E8057&lt;&gt;""),ABS(D8058-E8057),"")</f>
        <v/>
      </c>
    </row>
    <row r="8059">
      <c r="A8059" t="n">
        <v>8059</v>
      </c>
      <c r="B8059">
        <f>IF(INDEX('Data Entry'!$H$5:$BE$10004,8059-4,'Visual SPC'!$B$3)="",0,IF(AND(OR('Visual SPC'!$C$4="",'Data Entry'!$C8059&gt;='Visual SPC'!$C$4),OR('Visual SPC'!$E$4="",'Data Entry'!$C8059&lt;='Visual SPC'!$E$4),OR('Visual SPC'!$G$4="",'Data Entry'!$D8059='Visual SPC'!$G$4),OR('Visual SPC'!$I$4="",'Data Entry'!$E8059='Visual SPC'!$I$4),OR('Visual SPC'!$K$4="",'Data Entry'!$F8059='Visual SPC'!$K$4)),1,0))</f>
        <v/>
      </c>
      <c r="C8059">
        <f>C8058+B8059</f>
        <v/>
      </c>
      <c r="D8059">
        <f>IF(B8059=1,INDEX('Data Entry'!$H$5:$BE$10004,8059-4,'Visual SPC'!$B$3),"")</f>
        <v/>
      </c>
      <c r="E8059">
        <f>IF(B8059=1,D8059,E8058)</f>
        <v/>
      </c>
      <c r="F8059">
        <f>IF(AND(B8059=1,C8059&gt;1,E8058&lt;&gt;""),ABS(D8059-E8058),"")</f>
        <v/>
      </c>
    </row>
    <row r="8060">
      <c r="A8060" t="n">
        <v>8060</v>
      </c>
      <c r="B8060">
        <f>IF(INDEX('Data Entry'!$H$5:$BE$10004,8060-4,'Visual SPC'!$B$3)="",0,IF(AND(OR('Visual SPC'!$C$4="",'Data Entry'!$C8060&gt;='Visual SPC'!$C$4),OR('Visual SPC'!$E$4="",'Data Entry'!$C8060&lt;='Visual SPC'!$E$4),OR('Visual SPC'!$G$4="",'Data Entry'!$D8060='Visual SPC'!$G$4),OR('Visual SPC'!$I$4="",'Data Entry'!$E8060='Visual SPC'!$I$4),OR('Visual SPC'!$K$4="",'Data Entry'!$F8060='Visual SPC'!$K$4)),1,0))</f>
        <v/>
      </c>
      <c r="C8060">
        <f>C8059+B8060</f>
        <v/>
      </c>
      <c r="D8060">
        <f>IF(B8060=1,INDEX('Data Entry'!$H$5:$BE$10004,8060-4,'Visual SPC'!$B$3),"")</f>
        <v/>
      </c>
      <c r="E8060">
        <f>IF(B8060=1,D8060,E8059)</f>
        <v/>
      </c>
      <c r="F8060">
        <f>IF(AND(B8060=1,C8060&gt;1,E8059&lt;&gt;""),ABS(D8060-E8059),"")</f>
        <v/>
      </c>
    </row>
    <row r="8061">
      <c r="A8061" t="n">
        <v>8061</v>
      </c>
      <c r="B8061">
        <f>IF(INDEX('Data Entry'!$H$5:$BE$10004,8061-4,'Visual SPC'!$B$3)="",0,IF(AND(OR('Visual SPC'!$C$4="",'Data Entry'!$C8061&gt;='Visual SPC'!$C$4),OR('Visual SPC'!$E$4="",'Data Entry'!$C8061&lt;='Visual SPC'!$E$4),OR('Visual SPC'!$G$4="",'Data Entry'!$D8061='Visual SPC'!$G$4),OR('Visual SPC'!$I$4="",'Data Entry'!$E8061='Visual SPC'!$I$4),OR('Visual SPC'!$K$4="",'Data Entry'!$F8061='Visual SPC'!$K$4)),1,0))</f>
        <v/>
      </c>
      <c r="C8061">
        <f>C8060+B8061</f>
        <v/>
      </c>
      <c r="D8061">
        <f>IF(B8061=1,INDEX('Data Entry'!$H$5:$BE$10004,8061-4,'Visual SPC'!$B$3),"")</f>
        <v/>
      </c>
      <c r="E8061">
        <f>IF(B8061=1,D8061,E8060)</f>
        <v/>
      </c>
      <c r="F8061">
        <f>IF(AND(B8061=1,C8061&gt;1,E8060&lt;&gt;""),ABS(D8061-E8060),"")</f>
        <v/>
      </c>
    </row>
    <row r="8062">
      <c r="A8062" t="n">
        <v>8062</v>
      </c>
      <c r="B8062">
        <f>IF(INDEX('Data Entry'!$H$5:$BE$10004,8062-4,'Visual SPC'!$B$3)="",0,IF(AND(OR('Visual SPC'!$C$4="",'Data Entry'!$C8062&gt;='Visual SPC'!$C$4),OR('Visual SPC'!$E$4="",'Data Entry'!$C8062&lt;='Visual SPC'!$E$4),OR('Visual SPC'!$G$4="",'Data Entry'!$D8062='Visual SPC'!$G$4),OR('Visual SPC'!$I$4="",'Data Entry'!$E8062='Visual SPC'!$I$4),OR('Visual SPC'!$K$4="",'Data Entry'!$F8062='Visual SPC'!$K$4)),1,0))</f>
        <v/>
      </c>
      <c r="C8062">
        <f>C8061+B8062</f>
        <v/>
      </c>
      <c r="D8062">
        <f>IF(B8062=1,INDEX('Data Entry'!$H$5:$BE$10004,8062-4,'Visual SPC'!$B$3),"")</f>
        <v/>
      </c>
      <c r="E8062">
        <f>IF(B8062=1,D8062,E8061)</f>
        <v/>
      </c>
      <c r="F8062">
        <f>IF(AND(B8062=1,C8062&gt;1,E8061&lt;&gt;""),ABS(D8062-E8061),"")</f>
        <v/>
      </c>
    </row>
    <row r="8063">
      <c r="A8063" t="n">
        <v>8063</v>
      </c>
      <c r="B8063">
        <f>IF(INDEX('Data Entry'!$H$5:$BE$10004,8063-4,'Visual SPC'!$B$3)="",0,IF(AND(OR('Visual SPC'!$C$4="",'Data Entry'!$C8063&gt;='Visual SPC'!$C$4),OR('Visual SPC'!$E$4="",'Data Entry'!$C8063&lt;='Visual SPC'!$E$4),OR('Visual SPC'!$G$4="",'Data Entry'!$D8063='Visual SPC'!$G$4),OR('Visual SPC'!$I$4="",'Data Entry'!$E8063='Visual SPC'!$I$4),OR('Visual SPC'!$K$4="",'Data Entry'!$F8063='Visual SPC'!$K$4)),1,0))</f>
        <v/>
      </c>
      <c r="C8063">
        <f>C8062+B8063</f>
        <v/>
      </c>
      <c r="D8063">
        <f>IF(B8063=1,INDEX('Data Entry'!$H$5:$BE$10004,8063-4,'Visual SPC'!$B$3),"")</f>
        <v/>
      </c>
      <c r="E8063">
        <f>IF(B8063=1,D8063,E8062)</f>
        <v/>
      </c>
      <c r="F8063">
        <f>IF(AND(B8063=1,C8063&gt;1,E8062&lt;&gt;""),ABS(D8063-E8062),"")</f>
        <v/>
      </c>
    </row>
    <row r="8064">
      <c r="A8064" t="n">
        <v>8064</v>
      </c>
      <c r="B8064">
        <f>IF(INDEX('Data Entry'!$H$5:$BE$10004,8064-4,'Visual SPC'!$B$3)="",0,IF(AND(OR('Visual SPC'!$C$4="",'Data Entry'!$C8064&gt;='Visual SPC'!$C$4),OR('Visual SPC'!$E$4="",'Data Entry'!$C8064&lt;='Visual SPC'!$E$4),OR('Visual SPC'!$G$4="",'Data Entry'!$D8064='Visual SPC'!$G$4),OR('Visual SPC'!$I$4="",'Data Entry'!$E8064='Visual SPC'!$I$4),OR('Visual SPC'!$K$4="",'Data Entry'!$F8064='Visual SPC'!$K$4)),1,0))</f>
        <v/>
      </c>
      <c r="C8064">
        <f>C8063+B8064</f>
        <v/>
      </c>
      <c r="D8064">
        <f>IF(B8064=1,INDEX('Data Entry'!$H$5:$BE$10004,8064-4,'Visual SPC'!$B$3),"")</f>
        <v/>
      </c>
      <c r="E8064">
        <f>IF(B8064=1,D8064,E8063)</f>
        <v/>
      </c>
      <c r="F8064">
        <f>IF(AND(B8064=1,C8064&gt;1,E8063&lt;&gt;""),ABS(D8064-E8063),"")</f>
        <v/>
      </c>
    </row>
    <row r="8065">
      <c r="A8065" t="n">
        <v>8065</v>
      </c>
      <c r="B8065">
        <f>IF(INDEX('Data Entry'!$H$5:$BE$10004,8065-4,'Visual SPC'!$B$3)="",0,IF(AND(OR('Visual SPC'!$C$4="",'Data Entry'!$C8065&gt;='Visual SPC'!$C$4),OR('Visual SPC'!$E$4="",'Data Entry'!$C8065&lt;='Visual SPC'!$E$4),OR('Visual SPC'!$G$4="",'Data Entry'!$D8065='Visual SPC'!$G$4),OR('Visual SPC'!$I$4="",'Data Entry'!$E8065='Visual SPC'!$I$4),OR('Visual SPC'!$K$4="",'Data Entry'!$F8065='Visual SPC'!$K$4)),1,0))</f>
        <v/>
      </c>
      <c r="C8065">
        <f>C8064+B8065</f>
        <v/>
      </c>
      <c r="D8065">
        <f>IF(B8065=1,INDEX('Data Entry'!$H$5:$BE$10004,8065-4,'Visual SPC'!$B$3),"")</f>
        <v/>
      </c>
      <c r="E8065">
        <f>IF(B8065=1,D8065,E8064)</f>
        <v/>
      </c>
      <c r="F8065">
        <f>IF(AND(B8065=1,C8065&gt;1,E8064&lt;&gt;""),ABS(D8065-E8064),"")</f>
        <v/>
      </c>
    </row>
    <row r="8066">
      <c r="A8066" t="n">
        <v>8066</v>
      </c>
      <c r="B8066">
        <f>IF(INDEX('Data Entry'!$H$5:$BE$10004,8066-4,'Visual SPC'!$B$3)="",0,IF(AND(OR('Visual SPC'!$C$4="",'Data Entry'!$C8066&gt;='Visual SPC'!$C$4),OR('Visual SPC'!$E$4="",'Data Entry'!$C8066&lt;='Visual SPC'!$E$4),OR('Visual SPC'!$G$4="",'Data Entry'!$D8066='Visual SPC'!$G$4),OR('Visual SPC'!$I$4="",'Data Entry'!$E8066='Visual SPC'!$I$4),OR('Visual SPC'!$K$4="",'Data Entry'!$F8066='Visual SPC'!$K$4)),1,0))</f>
        <v/>
      </c>
      <c r="C8066">
        <f>C8065+B8066</f>
        <v/>
      </c>
      <c r="D8066">
        <f>IF(B8066=1,INDEX('Data Entry'!$H$5:$BE$10004,8066-4,'Visual SPC'!$B$3),"")</f>
        <v/>
      </c>
      <c r="E8066">
        <f>IF(B8066=1,D8066,E8065)</f>
        <v/>
      </c>
      <c r="F8066">
        <f>IF(AND(B8066=1,C8066&gt;1,E8065&lt;&gt;""),ABS(D8066-E8065),"")</f>
        <v/>
      </c>
    </row>
    <row r="8067">
      <c r="A8067" t="n">
        <v>8067</v>
      </c>
      <c r="B8067">
        <f>IF(INDEX('Data Entry'!$H$5:$BE$10004,8067-4,'Visual SPC'!$B$3)="",0,IF(AND(OR('Visual SPC'!$C$4="",'Data Entry'!$C8067&gt;='Visual SPC'!$C$4),OR('Visual SPC'!$E$4="",'Data Entry'!$C8067&lt;='Visual SPC'!$E$4),OR('Visual SPC'!$G$4="",'Data Entry'!$D8067='Visual SPC'!$G$4),OR('Visual SPC'!$I$4="",'Data Entry'!$E8067='Visual SPC'!$I$4),OR('Visual SPC'!$K$4="",'Data Entry'!$F8067='Visual SPC'!$K$4)),1,0))</f>
        <v/>
      </c>
      <c r="C8067">
        <f>C8066+B8067</f>
        <v/>
      </c>
      <c r="D8067">
        <f>IF(B8067=1,INDEX('Data Entry'!$H$5:$BE$10004,8067-4,'Visual SPC'!$B$3),"")</f>
        <v/>
      </c>
      <c r="E8067">
        <f>IF(B8067=1,D8067,E8066)</f>
        <v/>
      </c>
      <c r="F8067">
        <f>IF(AND(B8067=1,C8067&gt;1,E8066&lt;&gt;""),ABS(D8067-E8066),"")</f>
        <v/>
      </c>
    </row>
    <row r="8068">
      <c r="A8068" t="n">
        <v>8068</v>
      </c>
      <c r="B8068">
        <f>IF(INDEX('Data Entry'!$H$5:$BE$10004,8068-4,'Visual SPC'!$B$3)="",0,IF(AND(OR('Visual SPC'!$C$4="",'Data Entry'!$C8068&gt;='Visual SPC'!$C$4),OR('Visual SPC'!$E$4="",'Data Entry'!$C8068&lt;='Visual SPC'!$E$4),OR('Visual SPC'!$G$4="",'Data Entry'!$D8068='Visual SPC'!$G$4),OR('Visual SPC'!$I$4="",'Data Entry'!$E8068='Visual SPC'!$I$4),OR('Visual SPC'!$K$4="",'Data Entry'!$F8068='Visual SPC'!$K$4)),1,0))</f>
        <v/>
      </c>
      <c r="C8068">
        <f>C8067+B8068</f>
        <v/>
      </c>
      <c r="D8068">
        <f>IF(B8068=1,INDEX('Data Entry'!$H$5:$BE$10004,8068-4,'Visual SPC'!$B$3),"")</f>
        <v/>
      </c>
      <c r="E8068">
        <f>IF(B8068=1,D8068,E8067)</f>
        <v/>
      </c>
      <c r="F8068">
        <f>IF(AND(B8068=1,C8068&gt;1,E8067&lt;&gt;""),ABS(D8068-E8067),"")</f>
        <v/>
      </c>
    </row>
    <row r="8069">
      <c r="A8069" t="n">
        <v>8069</v>
      </c>
      <c r="B8069">
        <f>IF(INDEX('Data Entry'!$H$5:$BE$10004,8069-4,'Visual SPC'!$B$3)="",0,IF(AND(OR('Visual SPC'!$C$4="",'Data Entry'!$C8069&gt;='Visual SPC'!$C$4),OR('Visual SPC'!$E$4="",'Data Entry'!$C8069&lt;='Visual SPC'!$E$4),OR('Visual SPC'!$G$4="",'Data Entry'!$D8069='Visual SPC'!$G$4),OR('Visual SPC'!$I$4="",'Data Entry'!$E8069='Visual SPC'!$I$4),OR('Visual SPC'!$K$4="",'Data Entry'!$F8069='Visual SPC'!$K$4)),1,0))</f>
        <v/>
      </c>
      <c r="C8069">
        <f>C8068+B8069</f>
        <v/>
      </c>
      <c r="D8069">
        <f>IF(B8069=1,INDEX('Data Entry'!$H$5:$BE$10004,8069-4,'Visual SPC'!$B$3),"")</f>
        <v/>
      </c>
      <c r="E8069">
        <f>IF(B8069=1,D8069,E8068)</f>
        <v/>
      </c>
      <c r="F8069">
        <f>IF(AND(B8069=1,C8069&gt;1,E8068&lt;&gt;""),ABS(D8069-E8068),"")</f>
        <v/>
      </c>
    </row>
    <row r="8070">
      <c r="A8070" t="n">
        <v>8070</v>
      </c>
      <c r="B8070">
        <f>IF(INDEX('Data Entry'!$H$5:$BE$10004,8070-4,'Visual SPC'!$B$3)="",0,IF(AND(OR('Visual SPC'!$C$4="",'Data Entry'!$C8070&gt;='Visual SPC'!$C$4),OR('Visual SPC'!$E$4="",'Data Entry'!$C8070&lt;='Visual SPC'!$E$4),OR('Visual SPC'!$G$4="",'Data Entry'!$D8070='Visual SPC'!$G$4),OR('Visual SPC'!$I$4="",'Data Entry'!$E8070='Visual SPC'!$I$4),OR('Visual SPC'!$K$4="",'Data Entry'!$F8070='Visual SPC'!$K$4)),1,0))</f>
        <v/>
      </c>
      <c r="C8070">
        <f>C8069+B8070</f>
        <v/>
      </c>
      <c r="D8070">
        <f>IF(B8070=1,INDEX('Data Entry'!$H$5:$BE$10004,8070-4,'Visual SPC'!$B$3),"")</f>
        <v/>
      </c>
      <c r="E8070">
        <f>IF(B8070=1,D8070,E8069)</f>
        <v/>
      </c>
      <c r="F8070">
        <f>IF(AND(B8070=1,C8070&gt;1,E8069&lt;&gt;""),ABS(D8070-E8069),"")</f>
        <v/>
      </c>
    </row>
    <row r="8071">
      <c r="A8071" t="n">
        <v>8071</v>
      </c>
      <c r="B8071">
        <f>IF(INDEX('Data Entry'!$H$5:$BE$10004,8071-4,'Visual SPC'!$B$3)="",0,IF(AND(OR('Visual SPC'!$C$4="",'Data Entry'!$C8071&gt;='Visual SPC'!$C$4),OR('Visual SPC'!$E$4="",'Data Entry'!$C8071&lt;='Visual SPC'!$E$4),OR('Visual SPC'!$G$4="",'Data Entry'!$D8071='Visual SPC'!$G$4),OR('Visual SPC'!$I$4="",'Data Entry'!$E8071='Visual SPC'!$I$4),OR('Visual SPC'!$K$4="",'Data Entry'!$F8071='Visual SPC'!$K$4)),1,0))</f>
        <v/>
      </c>
      <c r="C8071">
        <f>C8070+B8071</f>
        <v/>
      </c>
      <c r="D8071">
        <f>IF(B8071=1,INDEX('Data Entry'!$H$5:$BE$10004,8071-4,'Visual SPC'!$B$3),"")</f>
        <v/>
      </c>
      <c r="E8071">
        <f>IF(B8071=1,D8071,E8070)</f>
        <v/>
      </c>
      <c r="F8071">
        <f>IF(AND(B8071=1,C8071&gt;1,E8070&lt;&gt;""),ABS(D8071-E8070),"")</f>
        <v/>
      </c>
    </row>
    <row r="8072">
      <c r="A8072" t="n">
        <v>8072</v>
      </c>
      <c r="B8072">
        <f>IF(INDEX('Data Entry'!$H$5:$BE$10004,8072-4,'Visual SPC'!$B$3)="",0,IF(AND(OR('Visual SPC'!$C$4="",'Data Entry'!$C8072&gt;='Visual SPC'!$C$4),OR('Visual SPC'!$E$4="",'Data Entry'!$C8072&lt;='Visual SPC'!$E$4),OR('Visual SPC'!$G$4="",'Data Entry'!$D8072='Visual SPC'!$G$4),OR('Visual SPC'!$I$4="",'Data Entry'!$E8072='Visual SPC'!$I$4),OR('Visual SPC'!$K$4="",'Data Entry'!$F8072='Visual SPC'!$K$4)),1,0))</f>
        <v/>
      </c>
      <c r="C8072">
        <f>C8071+B8072</f>
        <v/>
      </c>
      <c r="D8072">
        <f>IF(B8072=1,INDEX('Data Entry'!$H$5:$BE$10004,8072-4,'Visual SPC'!$B$3),"")</f>
        <v/>
      </c>
      <c r="E8072">
        <f>IF(B8072=1,D8072,E8071)</f>
        <v/>
      </c>
      <c r="F8072">
        <f>IF(AND(B8072=1,C8072&gt;1,E8071&lt;&gt;""),ABS(D8072-E8071),"")</f>
        <v/>
      </c>
    </row>
    <row r="8073">
      <c r="A8073" t="n">
        <v>8073</v>
      </c>
      <c r="B8073">
        <f>IF(INDEX('Data Entry'!$H$5:$BE$10004,8073-4,'Visual SPC'!$B$3)="",0,IF(AND(OR('Visual SPC'!$C$4="",'Data Entry'!$C8073&gt;='Visual SPC'!$C$4),OR('Visual SPC'!$E$4="",'Data Entry'!$C8073&lt;='Visual SPC'!$E$4),OR('Visual SPC'!$G$4="",'Data Entry'!$D8073='Visual SPC'!$G$4),OR('Visual SPC'!$I$4="",'Data Entry'!$E8073='Visual SPC'!$I$4),OR('Visual SPC'!$K$4="",'Data Entry'!$F8073='Visual SPC'!$K$4)),1,0))</f>
        <v/>
      </c>
      <c r="C8073">
        <f>C8072+B8073</f>
        <v/>
      </c>
      <c r="D8073">
        <f>IF(B8073=1,INDEX('Data Entry'!$H$5:$BE$10004,8073-4,'Visual SPC'!$B$3),"")</f>
        <v/>
      </c>
      <c r="E8073">
        <f>IF(B8073=1,D8073,E8072)</f>
        <v/>
      </c>
      <c r="F8073">
        <f>IF(AND(B8073=1,C8073&gt;1,E8072&lt;&gt;""),ABS(D8073-E8072),"")</f>
        <v/>
      </c>
    </row>
    <row r="8074">
      <c r="A8074" t="n">
        <v>8074</v>
      </c>
      <c r="B8074">
        <f>IF(INDEX('Data Entry'!$H$5:$BE$10004,8074-4,'Visual SPC'!$B$3)="",0,IF(AND(OR('Visual SPC'!$C$4="",'Data Entry'!$C8074&gt;='Visual SPC'!$C$4),OR('Visual SPC'!$E$4="",'Data Entry'!$C8074&lt;='Visual SPC'!$E$4),OR('Visual SPC'!$G$4="",'Data Entry'!$D8074='Visual SPC'!$G$4),OR('Visual SPC'!$I$4="",'Data Entry'!$E8074='Visual SPC'!$I$4),OR('Visual SPC'!$K$4="",'Data Entry'!$F8074='Visual SPC'!$K$4)),1,0))</f>
        <v/>
      </c>
      <c r="C8074">
        <f>C8073+B8074</f>
        <v/>
      </c>
      <c r="D8074">
        <f>IF(B8074=1,INDEX('Data Entry'!$H$5:$BE$10004,8074-4,'Visual SPC'!$B$3),"")</f>
        <v/>
      </c>
      <c r="E8074">
        <f>IF(B8074=1,D8074,E8073)</f>
        <v/>
      </c>
      <c r="F8074">
        <f>IF(AND(B8074=1,C8074&gt;1,E8073&lt;&gt;""),ABS(D8074-E8073),"")</f>
        <v/>
      </c>
    </row>
    <row r="8075">
      <c r="A8075" t="n">
        <v>8075</v>
      </c>
      <c r="B8075">
        <f>IF(INDEX('Data Entry'!$H$5:$BE$10004,8075-4,'Visual SPC'!$B$3)="",0,IF(AND(OR('Visual SPC'!$C$4="",'Data Entry'!$C8075&gt;='Visual SPC'!$C$4),OR('Visual SPC'!$E$4="",'Data Entry'!$C8075&lt;='Visual SPC'!$E$4),OR('Visual SPC'!$G$4="",'Data Entry'!$D8075='Visual SPC'!$G$4),OR('Visual SPC'!$I$4="",'Data Entry'!$E8075='Visual SPC'!$I$4),OR('Visual SPC'!$K$4="",'Data Entry'!$F8075='Visual SPC'!$K$4)),1,0))</f>
        <v/>
      </c>
      <c r="C8075">
        <f>C8074+B8075</f>
        <v/>
      </c>
      <c r="D8075">
        <f>IF(B8075=1,INDEX('Data Entry'!$H$5:$BE$10004,8075-4,'Visual SPC'!$B$3),"")</f>
        <v/>
      </c>
      <c r="E8075">
        <f>IF(B8075=1,D8075,E8074)</f>
        <v/>
      </c>
      <c r="F8075">
        <f>IF(AND(B8075=1,C8075&gt;1,E8074&lt;&gt;""),ABS(D8075-E8074),"")</f>
        <v/>
      </c>
    </row>
    <row r="8076">
      <c r="A8076" t="n">
        <v>8076</v>
      </c>
      <c r="B8076">
        <f>IF(INDEX('Data Entry'!$H$5:$BE$10004,8076-4,'Visual SPC'!$B$3)="",0,IF(AND(OR('Visual SPC'!$C$4="",'Data Entry'!$C8076&gt;='Visual SPC'!$C$4),OR('Visual SPC'!$E$4="",'Data Entry'!$C8076&lt;='Visual SPC'!$E$4),OR('Visual SPC'!$G$4="",'Data Entry'!$D8076='Visual SPC'!$G$4),OR('Visual SPC'!$I$4="",'Data Entry'!$E8076='Visual SPC'!$I$4),OR('Visual SPC'!$K$4="",'Data Entry'!$F8076='Visual SPC'!$K$4)),1,0))</f>
        <v/>
      </c>
      <c r="C8076">
        <f>C8075+B8076</f>
        <v/>
      </c>
      <c r="D8076">
        <f>IF(B8076=1,INDEX('Data Entry'!$H$5:$BE$10004,8076-4,'Visual SPC'!$B$3),"")</f>
        <v/>
      </c>
      <c r="E8076">
        <f>IF(B8076=1,D8076,E8075)</f>
        <v/>
      </c>
      <c r="F8076">
        <f>IF(AND(B8076=1,C8076&gt;1,E8075&lt;&gt;""),ABS(D8076-E8075),"")</f>
        <v/>
      </c>
    </row>
    <row r="8077">
      <c r="A8077" t="n">
        <v>8077</v>
      </c>
      <c r="B8077">
        <f>IF(INDEX('Data Entry'!$H$5:$BE$10004,8077-4,'Visual SPC'!$B$3)="",0,IF(AND(OR('Visual SPC'!$C$4="",'Data Entry'!$C8077&gt;='Visual SPC'!$C$4),OR('Visual SPC'!$E$4="",'Data Entry'!$C8077&lt;='Visual SPC'!$E$4),OR('Visual SPC'!$G$4="",'Data Entry'!$D8077='Visual SPC'!$G$4),OR('Visual SPC'!$I$4="",'Data Entry'!$E8077='Visual SPC'!$I$4),OR('Visual SPC'!$K$4="",'Data Entry'!$F8077='Visual SPC'!$K$4)),1,0))</f>
        <v/>
      </c>
      <c r="C8077">
        <f>C8076+B8077</f>
        <v/>
      </c>
      <c r="D8077">
        <f>IF(B8077=1,INDEX('Data Entry'!$H$5:$BE$10004,8077-4,'Visual SPC'!$B$3),"")</f>
        <v/>
      </c>
      <c r="E8077">
        <f>IF(B8077=1,D8077,E8076)</f>
        <v/>
      </c>
      <c r="F8077">
        <f>IF(AND(B8077=1,C8077&gt;1,E8076&lt;&gt;""),ABS(D8077-E8076),"")</f>
        <v/>
      </c>
    </row>
    <row r="8078">
      <c r="A8078" t="n">
        <v>8078</v>
      </c>
      <c r="B8078">
        <f>IF(INDEX('Data Entry'!$H$5:$BE$10004,8078-4,'Visual SPC'!$B$3)="",0,IF(AND(OR('Visual SPC'!$C$4="",'Data Entry'!$C8078&gt;='Visual SPC'!$C$4),OR('Visual SPC'!$E$4="",'Data Entry'!$C8078&lt;='Visual SPC'!$E$4),OR('Visual SPC'!$G$4="",'Data Entry'!$D8078='Visual SPC'!$G$4),OR('Visual SPC'!$I$4="",'Data Entry'!$E8078='Visual SPC'!$I$4),OR('Visual SPC'!$K$4="",'Data Entry'!$F8078='Visual SPC'!$K$4)),1,0))</f>
        <v/>
      </c>
      <c r="C8078">
        <f>C8077+B8078</f>
        <v/>
      </c>
      <c r="D8078">
        <f>IF(B8078=1,INDEX('Data Entry'!$H$5:$BE$10004,8078-4,'Visual SPC'!$B$3),"")</f>
        <v/>
      </c>
      <c r="E8078">
        <f>IF(B8078=1,D8078,E8077)</f>
        <v/>
      </c>
      <c r="F8078">
        <f>IF(AND(B8078=1,C8078&gt;1,E8077&lt;&gt;""),ABS(D8078-E8077),"")</f>
        <v/>
      </c>
    </row>
    <row r="8079">
      <c r="A8079" t="n">
        <v>8079</v>
      </c>
      <c r="B8079">
        <f>IF(INDEX('Data Entry'!$H$5:$BE$10004,8079-4,'Visual SPC'!$B$3)="",0,IF(AND(OR('Visual SPC'!$C$4="",'Data Entry'!$C8079&gt;='Visual SPC'!$C$4),OR('Visual SPC'!$E$4="",'Data Entry'!$C8079&lt;='Visual SPC'!$E$4),OR('Visual SPC'!$G$4="",'Data Entry'!$D8079='Visual SPC'!$G$4),OR('Visual SPC'!$I$4="",'Data Entry'!$E8079='Visual SPC'!$I$4),OR('Visual SPC'!$K$4="",'Data Entry'!$F8079='Visual SPC'!$K$4)),1,0))</f>
        <v/>
      </c>
      <c r="C8079">
        <f>C8078+B8079</f>
        <v/>
      </c>
      <c r="D8079">
        <f>IF(B8079=1,INDEX('Data Entry'!$H$5:$BE$10004,8079-4,'Visual SPC'!$B$3),"")</f>
        <v/>
      </c>
      <c r="E8079">
        <f>IF(B8079=1,D8079,E8078)</f>
        <v/>
      </c>
      <c r="F8079">
        <f>IF(AND(B8079=1,C8079&gt;1,E8078&lt;&gt;""),ABS(D8079-E8078),"")</f>
        <v/>
      </c>
    </row>
    <row r="8080">
      <c r="A8080" t="n">
        <v>8080</v>
      </c>
      <c r="B8080">
        <f>IF(INDEX('Data Entry'!$H$5:$BE$10004,8080-4,'Visual SPC'!$B$3)="",0,IF(AND(OR('Visual SPC'!$C$4="",'Data Entry'!$C8080&gt;='Visual SPC'!$C$4),OR('Visual SPC'!$E$4="",'Data Entry'!$C8080&lt;='Visual SPC'!$E$4),OR('Visual SPC'!$G$4="",'Data Entry'!$D8080='Visual SPC'!$G$4),OR('Visual SPC'!$I$4="",'Data Entry'!$E8080='Visual SPC'!$I$4),OR('Visual SPC'!$K$4="",'Data Entry'!$F8080='Visual SPC'!$K$4)),1,0))</f>
        <v/>
      </c>
      <c r="C8080">
        <f>C8079+B8080</f>
        <v/>
      </c>
      <c r="D8080">
        <f>IF(B8080=1,INDEX('Data Entry'!$H$5:$BE$10004,8080-4,'Visual SPC'!$B$3),"")</f>
        <v/>
      </c>
      <c r="E8080">
        <f>IF(B8080=1,D8080,E8079)</f>
        <v/>
      </c>
      <c r="F8080">
        <f>IF(AND(B8080=1,C8080&gt;1,E8079&lt;&gt;""),ABS(D8080-E8079),"")</f>
        <v/>
      </c>
    </row>
    <row r="8081">
      <c r="A8081" t="n">
        <v>8081</v>
      </c>
      <c r="B8081">
        <f>IF(INDEX('Data Entry'!$H$5:$BE$10004,8081-4,'Visual SPC'!$B$3)="",0,IF(AND(OR('Visual SPC'!$C$4="",'Data Entry'!$C8081&gt;='Visual SPC'!$C$4),OR('Visual SPC'!$E$4="",'Data Entry'!$C8081&lt;='Visual SPC'!$E$4),OR('Visual SPC'!$G$4="",'Data Entry'!$D8081='Visual SPC'!$G$4),OR('Visual SPC'!$I$4="",'Data Entry'!$E8081='Visual SPC'!$I$4),OR('Visual SPC'!$K$4="",'Data Entry'!$F8081='Visual SPC'!$K$4)),1,0))</f>
        <v/>
      </c>
      <c r="C8081">
        <f>C8080+B8081</f>
        <v/>
      </c>
      <c r="D8081">
        <f>IF(B8081=1,INDEX('Data Entry'!$H$5:$BE$10004,8081-4,'Visual SPC'!$B$3),"")</f>
        <v/>
      </c>
      <c r="E8081">
        <f>IF(B8081=1,D8081,E8080)</f>
        <v/>
      </c>
      <c r="F8081">
        <f>IF(AND(B8081=1,C8081&gt;1,E8080&lt;&gt;""),ABS(D8081-E8080),"")</f>
        <v/>
      </c>
    </row>
    <row r="8082">
      <c r="A8082" t="n">
        <v>8082</v>
      </c>
      <c r="B8082">
        <f>IF(INDEX('Data Entry'!$H$5:$BE$10004,8082-4,'Visual SPC'!$B$3)="",0,IF(AND(OR('Visual SPC'!$C$4="",'Data Entry'!$C8082&gt;='Visual SPC'!$C$4),OR('Visual SPC'!$E$4="",'Data Entry'!$C8082&lt;='Visual SPC'!$E$4),OR('Visual SPC'!$G$4="",'Data Entry'!$D8082='Visual SPC'!$G$4),OR('Visual SPC'!$I$4="",'Data Entry'!$E8082='Visual SPC'!$I$4),OR('Visual SPC'!$K$4="",'Data Entry'!$F8082='Visual SPC'!$K$4)),1,0))</f>
        <v/>
      </c>
      <c r="C8082">
        <f>C8081+B8082</f>
        <v/>
      </c>
      <c r="D8082">
        <f>IF(B8082=1,INDEX('Data Entry'!$H$5:$BE$10004,8082-4,'Visual SPC'!$B$3),"")</f>
        <v/>
      </c>
      <c r="E8082">
        <f>IF(B8082=1,D8082,E8081)</f>
        <v/>
      </c>
      <c r="F8082">
        <f>IF(AND(B8082=1,C8082&gt;1,E8081&lt;&gt;""),ABS(D8082-E8081),"")</f>
        <v/>
      </c>
    </row>
    <row r="8083">
      <c r="A8083" t="n">
        <v>8083</v>
      </c>
      <c r="B8083">
        <f>IF(INDEX('Data Entry'!$H$5:$BE$10004,8083-4,'Visual SPC'!$B$3)="",0,IF(AND(OR('Visual SPC'!$C$4="",'Data Entry'!$C8083&gt;='Visual SPC'!$C$4),OR('Visual SPC'!$E$4="",'Data Entry'!$C8083&lt;='Visual SPC'!$E$4),OR('Visual SPC'!$G$4="",'Data Entry'!$D8083='Visual SPC'!$G$4),OR('Visual SPC'!$I$4="",'Data Entry'!$E8083='Visual SPC'!$I$4),OR('Visual SPC'!$K$4="",'Data Entry'!$F8083='Visual SPC'!$K$4)),1,0))</f>
        <v/>
      </c>
      <c r="C8083">
        <f>C8082+B8083</f>
        <v/>
      </c>
      <c r="D8083">
        <f>IF(B8083=1,INDEX('Data Entry'!$H$5:$BE$10004,8083-4,'Visual SPC'!$B$3),"")</f>
        <v/>
      </c>
      <c r="E8083">
        <f>IF(B8083=1,D8083,E8082)</f>
        <v/>
      </c>
      <c r="F8083">
        <f>IF(AND(B8083=1,C8083&gt;1,E8082&lt;&gt;""),ABS(D8083-E8082),"")</f>
        <v/>
      </c>
    </row>
    <row r="8084">
      <c r="A8084" t="n">
        <v>8084</v>
      </c>
      <c r="B8084">
        <f>IF(INDEX('Data Entry'!$H$5:$BE$10004,8084-4,'Visual SPC'!$B$3)="",0,IF(AND(OR('Visual SPC'!$C$4="",'Data Entry'!$C8084&gt;='Visual SPC'!$C$4),OR('Visual SPC'!$E$4="",'Data Entry'!$C8084&lt;='Visual SPC'!$E$4),OR('Visual SPC'!$G$4="",'Data Entry'!$D8084='Visual SPC'!$G$4),OR('Visual SPC'!$I$4="",'Data Entry'!$E8084='Visual SPC'!$I$4),OR('Visual SPC'!$K$4="",'Data Entry'!$F8084='Visual SPC'!$K$4)),1,0))</f>
        <v/>
      </c>
      <c r="C8084">
        <f>C8083+B8084</f>
        <v/>
      </c>
      <c r="D8084">
        <f>IF(B8084=1,INDEX('Data Entry'!$H$5:$BE$10004,8084-4,'Visual SPC'!$B$3),"")</f>
        <v/>
      </c>
      <c r="E8084">
        <f>IF(B8084=1,D8084,E8083)</f>
        <v/>
      </c>
      <c r="F8084">
        <f>IF(AND(B8084=1,C8084&gt;1,E8083&lt;&gt;""),ABS(D8084-E8083),"")</f>
        <v/>
      </c>
    </row>
    <row r="8085">
      <c r="A8085" t="n">
        <v>8085</v>
      </c>
      <c r="B8085">
        <f>IF(INDEX('Data Entry'!$H$5:$BE$10004,8085-4,'Visual SPC'!$B$3)="",0,IF(AND(OR('Visual SPC'!$C$4="",'Data Entry'!$C8085&gt;='Visual SPC'!$C$4),OR('Visual SPC'!$E$4="",'Data Entry'!$C8085&lt;='Visual SPC'!$E$4),OR('Visual SPC'!$G$4="",'Data Entry'!$D8085='Visual SPC'!$G$4),OR('Visual SPC'!$I$4="",'Data Entry'!$E8085='Visual SPC'!$I$4),OR('Visual SPC'!$K$4="",'Data Entry'!$F8085='Visual SPC'!$K$4)),1,0))</f>
        <v/>
      </c>
      <c r="C8085">
        <f>C8084+B8085</f>
        <v/>
      </c>
      <c r="D8085">
        <f>IF(B8085=1,INDEX('Data Entry'!$H$5:$BE$10004,8085-4,'Visual SPC'!$B$3),"")</f>
        <v/>
      </c>
      <c r="E8085">
        <f>IF(B8085=1,D8085,E8084)</f>
        <v/>
      </c>
      <c r="F8085">
        <f>IF(AND(B8085=1,C8085&gt;1,E8084&lt;&gt;""),ABS(D8085-E8084),"")</f>
        <v/>
      </c>
    </row>
    <row r="8086">
      <c r="A8086" t="n">
        <v>8086</v>
      </c>
      <c r="B8086">
        <f>IF(INDEX('Data Entry'!$H$5:$BE$10004,8086-4,'Visual SPC'!$B$3)="",0,IF(AND(OR('Visual SPC'!$C$4="",'Data Entry'!$C8086&gt;='Visual SPC'!$C$4),OR('Visual SPC'!$E$4="",'Data Entry'!$C8086&lt;='Visual SPC'!$E$4),OR('Visual SPC'!$G$4="",'Data Entry'!$D8086='Visual SPC'!$G$4),OR('Visual SPC'!$I$4="",'Data Entry'!$E8086='Visual SPC'!$I$4),OR('Visual SPC'!$K$4="",'Data Entry'!$F8086='Visual SPC'!$K$4)),1,0))</f>
        <v/>
      </c>
      <c r="C8086">
        <f>C8085+B8086</f>
        <v/>
      </c>
      <c r="D8086">
        <f>IF(B8086=1,INDEX('Data Entry'!$H$5:$BE$10004,8086-4,'Visual SPC'!$B$3),"")</f>
        <v/>
      </c>
      <c r="E8086">
        <f>IF(B8086=1,D8086,E8085)</f>
        <v/>
      </c>
      <c r="F8086">
        <f>IF(AND(B8086=1,C8086&gt;1,E8085&lt;&gt;""),ABS(D8086-E8085),"")</f>
        <v/>
      </c>
    </row>
    <row r="8087">
      <c r="A8087" t="n">
        <v>8087</v>
      </c>
      <c r="B8087">
        <f>IF(INDEX('Data Entry'!$H$5:$BE$10004,8087-4,'Visual SPC'!$B$3)="",0,IF(AND(OR('Visual SPC'!$C$4="",'Data Entry'!$C8087&gt;='Visual SPC'!$C$4),OR('Visual SPC'!$E$4="",'Data Entry'!$C8087&lt;='Visual SPC'!$E$4),OR('Visual SPC'!$G$4="",'Data Entry'!$D8087='Visual SPC'!$G$4),OR('Visual SPC'!$I$4="",'Data Entry'!$E8087='Visual SPC'!$I$4),OR('Visual SPC'!$K$4="",'Data Entry'!$F8087='Visual SPC'!$K$4)),1,0))</f>
        <v/>
      </c>
      <c r="C8087">
        <f>C8086+B8087</f>
        <v/>
      </c>
      <c r="D8087">
        <f>IF(B8087=1,INDEX('Data Entry'!$H$5:$BE$10004,8087-4,'Visual SPC'!$B$3),"")</f>
        <v/>
      </c>
      <c r="E8087">
        <f>IF(B8087=1,D8087,E8086)</f>
        <v/>
      </c>
      <c r="F8087">
        <f>IF(AND(B8087=1,C8087&gt;1,E8086&lt;&gt;""),ABS(D8087-E8086),"")</f>
        <v/>
      </c>
    </row>
    <row r="8088">
      <c r="A8088" t="n">
        <v>8088</v>
      </c>
      <c r="B8088">
        <f>IF(INDEX('Data Entry'!$H$5:$BE$10004,8088-4,'Visual SPC'!$B$3)="",0,IF(AND(OR('Visual SPC'!$C$4="",'Data Entry'!$C8088&gt;='Visual SPC'!$C$4),OR('Visual SPC'!$E$4="",'Data Entry'!$C8088&lt;='Visual SPC'!$E$4),OR('Visual SPC'!$G$4="",'Data Entry'!$D8088='Visual SPC'!$G$4),OR('Visual SPC'!$I$4="",'Data Entry'!$E8088='Visual SPC'!$I$4),OR('Visual SPC'!$K$4="",'Data Entry'!$F8088='Visual SPC'!$K$4)),1,0))</f>
        <v/>
      </c>
      <c r="C8088">
        <f>C8087+B8088</f>
        <v/>
      </c>
      <c r="D8088">
        <f>IF(B8088=1,INDEX('Data Entry'!$H$5:$BE$10004,8088-4,'Visual SPC'!$B$3),"")</f>
        <v/>
      </c>
      <c r="E8088">
        <f>IF(B8088=1,D8088,E8087)</f>
        <v/>
      </c>
      <c r="F8088">
        <f>IF(AND(B8088=1,C8088&gt;1,E8087&lt;&gt;""),ABS(D8088-E8087),"")</f>
        <v/>
      </c>
    </row>
    <row r="8089">
      <c r="A8089" t="n">
        <v>8089</v>
      </c>
      <c r="B8089">
        <f>IF(INDEX('Data Entry'!$H$5:$BE$10004,8089-4,'Visual SPC'!$B$3)="",0,IF(AND(OR('Visual SPC'!$C$4="",'Data Entry'!$C8089&gt;='Visual SPC'!$C$4),OR('Visual SPC'!$E$4="",'Data Entry'!$C8089&lt;='Visual SPC'!$E$4),OR('Visual SPC'!$G$4="",'Data Entry'!$D8089='Visual SPC'!$G$4),OR('Visual SPC'!$I$4="",'Data Entry'!$E8089='Visual SPC'!$I$4),OR('Visual SPC'!$K$4="",'Data Entry'!$F8089='Visual SPC'!$K$4)),1,0))</f>
        <v/>
      </c>
      <c r="C8089">
        <f>C8088+B8089</f>
        <v/>
      </c>
      <c r="D8089">
        <f>IF(B8089=1,INDEX('Data Entry'!$H$5:$BE$10004,8089-4,'Visual SPC'!$B$3),"")</f>
        <v/>
      </c>
      <c r="E8089">
        <f>IF(B8089=1,D8089,E8088)</f>
        <v/>
      </c>
      <c r="F8089">
        <f>IF(AND(B8089=1,C8089&gt;1,E8088&lt;&gt;""),ABS(D8089-E8088),"")</f>
        <v/>
      </c>
    </row>
    <row r="8090">
      <c r="A8090" t="n">
        <v>8090</v>
      </c>
      <c r="B8090">
        <f>IF(INDEX('Data Entry'!$H$5:$BE$10004,8090-4,'Visual SPC'!$B$3)="",0,IF(AND(OR('Visual SPC'!$C$4="",'Data Entry'!$C8090&gt;='Visual SPC'!$C$4),OR('Visual SPC'!$E$4="",'Data Entry'!$C8090&lt;='Visual SPC'!$E$4),OR('Visual SPC'!$G$4="",'Data Entry'!$D8090='Visual SPC'!$G$4),OR('Visual SPC'!$I$4="",'Data Entry'!$E8090='Visual SPC'!$I$4),OR('Visual SPC'!$K$4="",'Data Entry'!$F8090='Visual SPC'!$K$4)),1,0))</f>
        <v/>
      </c>
      <c r="C8090">
        <f>C8089+B8090</f>
        <v/>
      </c>
      <c r="D8090">
        <f>IF(B8090=1,INDEX('Data Entry'!$H$5:$BE$10004,8090-4,'Visual SPC'!$B$3),"")</f>
        <v/>
      </c>
      <c r="E8090">
        <f>IF(B8090=1,D8090,E8089)</f>
        <v/>
      </c>
      <c r="F8090">
        <f>IF(AND(B8090=1,C8090&gt;1,E8089&lt;&gt;""),ABS(D8090-E8089),"")</f>
        <v/>
      </c>
    </row>
    <row r="8091">
      <c r="A8091" t="n">
        <v>8091</v>
      </c>
      <c r="B8091">
        <f>IF(INDEX('Data Entry'!$H$5:$BE$10004,8091-4,'Visual SPC'!$B$3)="",0,IF(AND(OR('Visual SPC'!$C$4="",'Data Entry'!$C8091&gt;='Visual SPC'!$C$4),OR('Visual SPC'!$E$4="",'Data Entry'!$C8091&lt;='Visual SPC'!$E$4),OR('Visual SPC'!$G$4="",'Data Entry'!$D8091='Visual SPC'!$G$4),OR('Visual SPC'!$I$4="",'Data Entry'!$E8091='Visual SPC'!$I$4),OR('Visual SPC'!$K$4="",'Data Entry'!$F8091='Visual SPC'!$K$4)),1,0))</f>
        <v/>
      </c>
      <c r="C8091">
        <f>C8090+B8091</f>
        <v/>
      </c>
      <c r="D8091">
        <f>IF(B8091=1,INDEX('Data Entry'!$H$5:$BE$10004,8091-4,'Visual SPC'!$B$3),"")</f>
        <v/>
      </c>
      <c r="E8091">
        <f>IF(B8091=1,D8091,E8090)</f>
        <v/>
      </c>
      <c r="F8091">
        <f>IF(AND(B8091=1,C8091&gt;1,E8090&lt;&gt;""),ABS(D8091-E8090),"")</f>
        <v/>
      </c>
    </row>
    <row r="8092">
      <c r="A8092" t="n">
        <v>8092</v>
      </c>
      <c r="B8092">
        <f>IF(INDEX('Data Entry'!$H$5:$BE$10004,8092-4,'Visual SPC'!$B$3)="",0,IF(AND(OR('Visual SPC'!$C$4="",'Data Entry'!$C8092&gt;='Visual SPC'!$C$4),OR('Visual SPC'!$E$4="",'Data Entry'!$C8092&lt;='Visual SPC'!$E$4),OR('Visual SPC'!$G$4="",'Data Entry'!$D8092='Visual SPC'!$G$4),OR('Visual SPC'!$I$4="",'Data Entry'!$E8092='Visual SPC'!$I$4),OR('Visual SPC'!$K$4="",'Data Entry'!$F8092='Visual SPC'!$K$4)),1,0))</f>
        <v/>
      </c>
      <c r="C8092">
        <f>C8091+B8092</f>
        <v/>
      </c>
      <c r="D8092">
        <f>IF(B8092=1,INDEX('Data Entry'!$H$5:$BE$10004,8092-4,'Visual SPC'!$B$3),"")</f>
        <v/>
      </c>
      <c r="E8092">
        <f>IF(B8092=1,D8092,E8091)</f>
        <v/>
      </c>
      <c r="F8092">
        <f>IF(AND(B8092=1,C8092&gt;1,E8091&lt;&gt;""),ABS(D8092-E8091),"")</f>
        <v/>
      </c>
    </row>
    <row r="8093">
      <c r="A8093" t="n">
        <v>8093</v>
      </c>
      <c r="B8093">
        <f>IF(INDEX('Data Entry'!$H$5:$BE$10004,8093-4,'Visual SPC'!$B$3)="",0,IF(AND(OR('Visual SPC'!$C$4="",'Data Entry'!$C8093&gt;='Visual SPC'!$C$4),OR('Visual SPC'!$E$4="",'Data Entry'!$C8093&lt;='Visual SPC'!$E$4),OR('Visual SPC'!$G$4="",'Data Entry'!$D8093='Visual SPC'!$G$4),OR('Visual SPC'!$I$4="",'Data Entry'!$E8093='Visual SPC'!$I$4),OR('Visual SPC'!$K$4="",'Data Entry'!$F8093='Visual SPC'!$K$4)),1,0))</f>
        <v/>
      </c>
      <c r="C8093">
        <f>C8092+B8093</f>
        <v/>
      </c>
      <c r="D8093">
        <f>IF(B8093=1,INDEX('Data Entry'!$H$5:$BE$10004,8093-4,'Visual SPC'!$B$3),"")</f>
        <v/>
      </c>
      <c r="E8093">
        <f>IF(B8093=1,D8093,E8092)</f>
        <v/>
      </c>
      <c r="F8093">
        <f>IF(AND(B8093=1,C8093&gt;1,E8092&lt;&gt;""),ABS(D8093-E8092),"")</f>
        <v/>
      </c>
    </row>
    <row r="8094">
      <c r="A8094" t="n">
        <v>8094</v>
      </c>
      <c r="B8094">
        <f>IF(INDEX('Data Entry'!$H$5:$BE$10004,8094-4,'Visual SPC'!$B$3)="",0,IF(AND(OR('Visual SPC'!$C$4="",'Data Entry'!$C8094&gt;='Visual SPC'!$C$4),OR('Visual SPC'!$E$4="",'Data Entry'!$C8094&lt;='Visual SPC'!$E$4),OR('Visual SPC'!$G$4="",'Data Entry'!$D8094='Visual SPC'!$G$4),OR('Visual SPC'!$I$4="",'Data Entry'!$E8094='Visual SPC'!$I$4),OR('Visual SPC'!$K$4="",'Data Entry'!$F8094='Visual SPC'!$K$4)),1,0))</f>
        <v/>
      </c>
      <c r="C8094">
        <f>C8093+B8094</f>
        <v/>
      </c>
      <c r="D8094">
        <f>IF(B8094=1,INDEX('Data Entry'!$H$5:$BE$10004,8094-4,'Visual SPC'!$B$3),"")</f>
        <v/>
      </c>
      <c r="E8094">
        <f>IF(B8094=1,D8094,E8093)</f>
        <v/>
      </c>
      <c r="F8094">
        <f>IF(AND(B8094=1,C8094&gt;1,E8093&lt;&gt;""),ABS(D8094-E8093),"")</f>
        <v/>
      </c>
    </row>
    <row r="8095">
      <c r="A8095" t="n">
        <v>8095</v>
      </c>
      <c r="B8095">
        <f>IF(INDEX('Data Entry'!$H$5:$BE$10004,8095-4,'Visual SPC'!$B$3)="",0,IF(AND(OR('Visual SPC'!$C$4="",'Data Entry'!$C8095&gt;='Visual SPC'!$C$4),OR('Visual SPC'!$E$4="",'Data Entry'!$C8095&lt;='Visual SPC'!$E$4),OR('Visual SPC'!$G$4="",'Data Entry'!$D8095='Visual SPC'!$G$4),OR('Visual SPC'!$I$4="",'Data Entry'!$E8095='Visual SPC'!$I$4),OR('Visual SPC'!$K$4="",'Data Entry'!$F8095='Visual SPC'!$K$4)),1,0))</f>
        <v/>
      </c>
      <c r="C8095">
        <f>C8094+B8095</f>
        <v/>
      </c>
      <c r="D8095">
        <f>IF(B8095=1,INDEX('Data Entry'!$H$5:$BE$10004,8095-4,'Visual SPC'!$B$3),"")</f>
        <v/>
      </c>
      <c r="E8095">
        <f>IF(B8095=1,D8095,E8094)</f>
        <v/>
      </c>
      <c r="F8095">
        <f>IF(AND(B8095=1,C8095&gt;1,E8094&lt;&gt;""),ABS(D8095-E8094),"")</f>
        <v/>
      </c>
    </row>
    <row r="8096">
      <c r="A8096" t="n">
        <v>8096</v>
      </c>
      <c r="B8096">
        <f>IF(INDEX('Data Entry'!$H$5:$BE$10004,8096-4,'Visual SPC'!$B$3)="",0,IF(AND(OR('Visual SPC'!$C$4="",'Data Entry'!$C8096&gt;='Visual SPC'!$C$4),OR('Visual SPC'!$E$4="",'Data Entry'!$C8096&lt;='Visual SPC'!$E$4),OR('Visual SPC'!$G$4="",'Data Entry'!$D8096='Visual SPC'!$G$4),OR('Visual SPC'!$I$4="",'Data Entry'!$E8096='Visual SPC'!$I$4),OR('Visual SPC'!$K$4="",'Data Entry'!$F8096='Visual SPC'!$K$4)),1,0))</f>
        <v/>
      </c>
      <c r="C8096">
        <f>C8095+B8096</f>
        <v/>
      </c>
      <c r="D8096">
        <f>IF(B8096=1,INDEX('Data Entry'!$H$5:$BE$10004,8096-4,'Visual SPC'!$B$3),"")</f>
        <v/>
      </c>
      <c r="E8096">
        <f>IF(B8096=1,D8096,E8095)</f>
        <v/>
      </c>
      <c r="F8096">
        <f>IF(AND(B8096=1,C8096&gt;1,E8095&lt;&gt;""),ABS(D8096-E8095),"")</f>
        <v/>
      </c>
    </row>
    <row r="8097">
      <c r="A8097" t="n">
        <v>8097</v>
      </c>
      <c r="B8097">
        <f>IF(INDEX('Data Entry'!$H$5:$BE$10004,8097-4,'Visual SPC'!$B$3)="",0,IF(AND(OR('Visual SPC'!$C$4="",'Data Entry'!$C8097&gt;='Visual SPC'!$C$4),OR('Visual SPC'!$E$4="",'Data Entry'!$C8097&lt;='Visual SPC'!$E$4),OR('Visual SPC'!$G$4="",'Data Entry'!$D8097='Visual SPC'!$G$4),OR('Visual SPC'!$I$4="",'Data Entry'!$E8097='Visual SPC'!$I$4),OR('Visual SPC'!$K$4="",'Data Entry'!$F8097='Visual SPC'!$K$4)),1,0))</f>
        <v/>
      </c>
      <c r="C8097">
        <f>C8096+B8097</f>
        <v/>
      </c>
      <c r="D8097">
        <f>IF(B8097=1,INDEX('Data Entry'!$H$5:$BE$10004,8097-4,'Visual SPC'!$B$3),"")</f>
        <v/>
      </c>
      <c r="E8097">
        <f>IF(B8097=1,D8097,E8096)</f>
        <v/>
      </c>
      <c r="F8097">
        <f>IF(AND(B8097=1,C8097&gt;1,E8096&lt;&gt;""),ABS(D8097-E8096),"")</f>
        <v/>
      </c>
    </row>
    <row r="8098">
      <c r="A8098" t="n">
        <v>8098</v>
      </c>
      <c r="B8098">
        <f>IF(INDEX('Data Entry'!$H$5:$BE$10004,8098-4,'Visual SPC'!$B$3)="",0,IF(AND(OR('Visual SPC'!$C$4="",'Data Entry'!$C8098&gt;='Visual SPC'!$C$4),OR('Visual SPC'!$E$4="",'Data Entry'!$C8098&lt;='Visual SPC'!$E$4),OR('Visual SPC'!$G$4="",'Data Entry'!$D8098='Visual SPC'!$G$4),OR('Visual SPC'!$I$4="",'Data Entry'!$E8098='Visual SPC'!$I$4),OR('Visual SPC'!$K$4="",'Data Entry'!$F8098='Visual SPC'!$K$4)),1,0))</f>
        <v/>
      </c>
      <c r="C8098">
        <f>C8097+B8098</f>
        <v/>
      </c>
      <c r="D8098">
        <f>IF(B8098=1,INDEX('Data Entry'!$H$5:$BE$10004,8098-4,'Visual SPC'!$B$3),"")</f>
        <v/>
      </c>
      <c r="E8098">
        <f>IF(B8098=1,D8098,E8097)</f>
        <v/>
      </c>
      <c r="F8098">
        <f>IF(AND(B8098=1,C8098&gt;1,E8097&lt;&gt;""),ABS(D8098-E8097),"")</f>
        <v/>
      </c>
    </row>
    <row r="8099">
      <c r="A8099" t="n">
        <v>8099</v>
      </c>
      <c r="B8099">
        <f>IF(INDEX('Data Entry'!$H$5:$BE$10004,8099-4,'Visual SPC'!$B$3)="",0,IF(AND(OR('Visual SPC'!$C$4="",'Data Entry'!$C8099&gt;='Visual SPC'!$C$4),OR('Visual SPC'!$E$4="",'Data Entry'!$C8099&lt;='Visual SPC'!$E$4),OR('Visual SPC'!$G$4="",'Data Entry'!$D8099='Visual SPC'!$G$4),OR('Visual SPC'!$I$4="",'Data Entry'!$E8099='Visual SPC'!$I$4),OR('Visual SPC'!$K$4="",'Data Entry'!$F8099='Visual SPC'!$K$4)),1,0))</f>
        <v/>
      </c>
      <c r="C8099">
        <f>C8098+B8099</f>
        <v/>
      </c>
      <c r="D8099">
        <f>IF(B8099=1,INDEX('Data Entry'!$H$5:$BE$10004,8099-4,'Visual SPC'!$B$3),"")</f>
        <v/>
      </c>
      <c r="E8099">
        <f>IF(B8099=1,D8099,E8098)</f>
        <v/>
      </c>
      <c r="F8099">
        <f>IF(AND(B8099=1,C8099&gt;1,E8098&lt;&gt;""),ABS(D8099-E8098),"")</f>
        <v/>
      </c>
    </row>
    <row r="8100">
      <c r="A8100" t="n">
        <v>8100</v>
      </c>
      <c r="B8100">
        <f>IF(INDEX('Data Entry'!$H$5:$BE$10004,8100-4,'Visual SPC'!$B$3)="",0,IF(AND(OR('Visual SPC'!$C$4="",'Data Entry'!$C8100&gt;='Visual SPC'!$C$4),OR('Visual SPC'!$E$4="",'Data Entry'!$C8100&lt;='Visual SPC'!$E$4),OR('Visual SPC'!$G$4="",'Data Entry'!$D8100='Visual SPC'!$G$4),OR('Visual SPC'!$I$4="",'Data Entry'!$E8100='Visual SPC'!$I$4),OR('Visual SPC'!$K$4="",'Data Entry'!$F8100='Visual SPC'!$K$4)),1,0))</f>
        <v/>
      </c>
      <c r="C8100">
        <f>C8099+B8100</f>
        <v/>
      </c>
      <c r="D8100">
        <f>IF(B8100=1,INDEX('Data Entry'!$H$5:$BE$10004,8100-4,'Visual SPC'!$B$3),"")</f>
        <v/>
      </c>
      <c r="E8100">
        <f>IF(B8100=1,D8100,E8099)</f>
        <v/>
      </c>
      <c r="F8100">
        <f>IF(AND(B8100=1,C8100&gt;1,E8099&lt;&gt;""),ABS(D8100-E8099),"")</f>
        <v/>
      </c>
    </row>
    <row r="8101">
      <c r="A8101" t="n">
        <v>8101</v>
      </c>
      <c r="B8101">
        <f>IF(INDEX('Data Entry'!$H$5:$BE$10004,8101-4,'Visual SPC'!$B$3)="",0,IF(AND(OR('Visual SPC'!$C$4="",'Data Entry'!$C8101&gt;='Visual SPC'!$C$4),OR('Visual SPC'!$E$4="",'Data Entry'!$C8101&lt;='Visual SPC'!$E$4),OR('Visual SPC'!$G$4="",'Data Entry'!$D8101='Visual SPC'!$G$4),OR('Visual SPC'!$I$4="",'Data Entry'!$E8101='Visual SPC'!$I$4),OR('Visual SPC'!$K$4="",'Data Entry'!$F8101='Visual SPC'!$K$4)),1,0))</f>
        <v/>
      </c>
      <c r="C8101">
        <f>C8100+B8101</f>
        <v/>
      </c>
      <c r="D8101">
        <f>IF(B8101=1,INDEX('Data Entry'!$H$5:$BE$10004,8101-4,'Visual SPC'!$B$3),"")</f>
        <v/>
      </c>
      <c r="E8101">
        <f>IF(B8101=1,D8101,E8100)</f>
        <v/>
      </c>
      <c r="F8101">
        <f>IF(AND(B8101=1,C8101&gt;1,E8100&lt;&gt;""),ABS(D8101-E8100),"")</f>
        <v/>
      </c>
    </row>
    <row r="8102">
      <c r="A8102" t="n">
        <v>8102</v>
      </c>
      <c r="B8102">
        <f>IF(INDEX('Data Entry'!$H$5:$BE$10004,8102-4,'Visual SPC'!$B$3)="",0,IF(AND(OR('Visual SPC'!$C$4="",'Data Entry'!$C8102&gt;='Visual SPC'!$C$4),OR('Visual SPC'!$E$4="",'Data Entry'!$C8102&lt;='Visual SPC'!$E$4),OR('Visual SPC'!$G$4="",'Data Entry'!$D8102='Visual SPC'!$G$4),OR('Visual SPC'!$I$4="",'Data Entry'!$E8102='Visual SPC'!$I$4),OR('Visual SPC'!$K$4="",'Data Entry'!$F8102='Visual SPC'!$K$4)),1,0))</f>
        <v/>
      </c>
      <c r="C8102">
        <f>C8101+B8102</f>
        <v/>
      </c>
      <c r="D8102">
        <f>IF(B8102=1,INDEX('Data Entry'!$H$5:$BE$10004,8102-4,'Visual SPC'!$B$3),"")</f>
        <v/>
      </c>
      <c r="E8102">
        <f>IF(B8102=1,D8102,E8101)</f>
        <v/>
      </c>
      <c r="F8102">
        <f>IF(AND(B8102=1,C8102&gt;1,E8101&lt;&gt;""),ABS(D8102-E8101),"")</f>
        <v/>
      </c>
    </row>
    <row r="8103">
      <c r="A8103" t="n">
        <v>8103</v>
      </c>
      <c r="B8103">
        <f>IF(INDEX('Data Entry'!$H$5:$BE$10004,8103-4,'Visual SPC'!$B$3)="",0,IF(AND(OR('Visual SPC'!$C$4="",'Data Entry'!$C8103&gt;='Visual SPC'!$C$4),OR('Visual SPC'!$E$4="",'Data Entry'!$C8103&lt;='Visual SPC'!$E$4),OR('Visual SPC'!$G$4="",'Data Entry'!$D8103='Visual SPC'!$G$4),OR('Visual SPC'!$I$4="",'Data Entry'!$E8103='Visual SPC'!$I$4),OR('Visual SPC'!$K$4="",'Data Entry'!$F8103='Visual SPC'!$K$4)),1,0))</f>
        <v/>
      </c>
      <c r="C8103">
        <f>C8102+B8103</f>
        <v/>
      </c>
      <c r="D8103">
        <f>IF(B8103=1,INDEX('Data Entry'!$H$5:$BE$10004,8103-4,'Visual SPC'!$B$3),"")</f>
        <v/>
      </c>
      <c r="E8103">
        <f>IF(B8103=1,D8103,E8102)</f>
        <v/>
      </c>
      <c r="F8103">
        <f>IF(AND(B8103=1,C8103&gt;1,E8102&lt;&gt;""),ABS(D8103-E8102),"")</f>
        <v/>
      </c>
    </row>
    <row r="8104">
      <c r="A8104" t="n">
        <v>8104</v>
      </c>
      <c r="B8104">
        <f>IF(INDEX('Data Entry'!$H$5:$BE$10004,8104-4,'Visual SPC'!$B$3)="",0,IF(AND(OR('Visual SPC'!$C$4="",'Data Entry'!$C8104&gt;='Visual SPC'!$C$4),OR('Visual SPC'!$E$4="",'Data Entry'!$C8104&lt;='Visual SPC'!$E$4),OR('Visual SPC'!$G$4="",'Data Entry'!$D8104='Visual SPC'!$G$4),OR('Visual SPC'!$I$4="",'Data Entry'!$E8104='Visual SPC'!$I$4),OR('Visual SPC'!$K$4="",'Data Entry'!$F8104='Visual SPC'!$K$4)),1,0))</f>
        <v/>
      </c>
      <c r="C8104">
        <f>C8103+B8104</f>
        <v/>
      </c>
      <c r="D8104">
        <f>IF(B8104=1,INDEX('Data Entry'!$H$5:$BE$10004,8104-4,'Visual SPC'!$B$3),"")</f>
        <v/>
      </c>
      <c r="E8104">
        <f>IF(B8104=1,D8104,E8103)</f>
        <v/>
      </c>
      <c r="F8104">
        <f>IF(AND(B8104=1,C8104&gt;1,E8103&lt;&gt;""),ABS(D8104-E8103),"")</f>
        <v/>
      </c>
    </row>
    <row r="8105">
      <c r="A8105" t="n">
        <v>8105</v>
      </c>
      <c r="B8105">
        <f>IF(INDEX('Data Entry'!$H$5:$BE$10004,8105-4,'Visual SPC'!$B$3)="",0,IF(AND(OR('Visual SPC'!$C$4="",'Data Entry'!$C8105&gt;='Visual SPC'!$C$4),OR('Visual SPC'!$E$4="",'Data Entry'!$C8105&lt;='Visual SPC'!$E$4),OR('Visual SPC'!$G$4="",'Data Entry'!$D8105='Visual SPC'!$G$4),OR('Visual SPC'!$I$4="",'Data Entry'!$E8105='Visual SPC'!$I$4),OR('Visual SPC'!$K$4="",'Data Entry'!$F8105='Visual SPC'!$K$4)),1,0))</f>
        <v/>
      </c>
      <c r="C8105">
        <f>C8104+B8105</f>
        <v/>
      </c>
      <c r="D8105">
        <f>IF(B8105=1,INDEX('Data Entry'!$H$5:$BE$10004,8105-4,'Visual SPC'!$B$3),"")</f>
        <v/>
      </c>
      <c r="E8105">
        <f>IF(B8105=1,D8105,E8104)</f>
        <v/>
      </c>
      <c r="F8105">
        <f>IF(AND(B8105=1,C8105&gt;1,E8104&lt;&gt;""),ABS(D8105-E8104),"")</f>
        <v/>
      </c>
    </row>
    <row r="8106">
      <c r="A8106" t="n">
        <v>8106</v>
      </c>
      <c r="B8106">
        <f>IF(INDEX('Data Entry'!$H$5:$BE$10004,8106-4,'Visual SPC'!$B$3)="",0,IF(AND(OR('Visual SPC'!$C$4="",'Data Entry'!$C8106&gt;='Visual SPC'!$C$4),OR('Visual SPC'!$E$4="",'Data Entry'!$C8106&lt;='Visual SPC'!$E$4),OR('Visual SPC'!$G$4="",'Data Entry'!$D8106='Visual SPC'!$G$4),OR('Visual SPC'!$I$4="",'Data Entry'!$E8106='Visual SPC'!$I$4),OR('Visual SPC'!$K$4="",'Data Entry'!$F8106='Visual SPC'!$K$4)),1,0))</f>
        <v/>
      </c>
      <c r="C8106">
        <f>C8105+B8106</f>
        <v/>
      </c>
      <c r="D8106">
        <f>IF(B8106=1,INDEX('Data Entry'!$H$5:$BE$10004,8106-4,'Visual SPC'!$B$3),"")</f>
        <v/>
      </c>
      <c r="E8106">
        <f>IF(B8106=1,D8106,E8105)</f>
        <v/>
      </c>
      <c r="F8106">
        <f>IF(AND(B8106=1,C8106&gt;1,E8105&lt;&gt;""),ABS(D8106-E8105),"")</f>
        <v/>
      </c>
    </row>
    <row r="8107">
      <c r="A8107" t="n">
        <v>8107</v>
      </c>
      <c r="B8107">
        <f>IF(INDEX('Data Entry'!$H$5:$BE$10004,8107-4,'Visual SPC'!$B$3)="",0,IF(AND(OR('Visual SPC'!$C$4="",'Data Entry'!$C8107&gt;='Visual SPC'!$C$4),OR('Visual SPC'!$E$4="",'Data Entry'!$C8107&lt;='Visual SPC'!$E$4),OR('Visual SPC'!$G$4="",'Data Entry'!$D8107='Visual SPC'!$G$4),OR('Visual SPC'!$I$4="",'Data Entry'!$E8107='Visual SPC'!$I$4),OR('Visual SPC'!$K$4="",'Data Entry'!$F8107='Visual SPC'!$K$4)),1,0))</f>
        <v/>
      </c>
      <c r="C8107">
        <f>C8106+B8107</f>
        <v/>
      </c>
      <c r="D8107">
        <f>IF(B8107=1,INDEX('Data Entry'!$H$5:$BE$10004,8107-4,'Visual SPC'!$B$3),"")</f>
        <v/>
      </c>
      <c r="E8107">
        <f>IF(B8107=1,D8107,E8106)</f>
        <v/>
      </c>
      <c r="F8107">
        <f>IF(AND(B8107=1,C8107&gt;1,E8106&lt;&gt;""),ABS(D8107-E8106),"")</f>
        <v/>
      </c>
    </row>
    <row r="8108">
      <c r="A8108" t="n">
        <v>8108</v>
      </c>
      <c r="B8108">
        <f>IF(INDEX('Data Entry'!$H$5:$BE$10004,8108-4,'Visual SPC'!$B$3)="",0,IF(AND(OR('Visual SPC'!$C$4="",'Data Entry'!$C8108&gt;='Visual SPC'!$C$4),OR('Visual SPC'!$E$4="",'Data Entry'!$C8108&lt;='Visual SPC'!$E$4),OR('Visual SPC'!$G$4="",'Data Entry'!$D8108='Visual SPC'!$G$4),OR('Visual SPC'!$I$4="",'Data Entry'!$E8108='Visual SPC'!$I$4),OR('Visual SPC'!$K$4="",'Data Entry'!$F8108='Visual SPC'!$K$4)),1,0))</f>
        <v/>
      </c>
      <c r="C8108">
        <f>C8107+B8108</f>
        <v/>
      </c>
      <c r="D8108">
        <f>IF(B8108=1,INDEX('Data Entry'!$H$5:$BE$10004,8108-4,'Visual SPC'!$B$3),"")</f>
        <v/>
      </c>
      <c r="E8108">
        <f>IF(B8108=1,D8108,E8107)</f>
        <v/>
      </c>
      <c r="F8108">
        <f>IF(AND(B8108=1,C8108&gt;1,E8107&lt;&gt;""),ABS(D8108-E8107),"")</f>
        <v/>
      </c>
    </row>
    <row r="8109">
      <c r="A8109" t="n">
        <v>8109</v>
      </c>
      <c r="B8109">
        <f>IF(INDEX('Data Entry'!$H$5:$BE$10004,8109-4,'Visual SPC'!$B$3)="",0,IF(AND(OR('Visual SPC'!$C$4="",'Data Entry'!$C8109&gt;='Visual SPC'!$C$4),OR('Visual SPC'!$E$4="",'Data Entry'!$C8109&lt;='Visual SPC'!$E$4),OR('Visual SPC'!$G$4="",'Data Entry'!$D8109='Visual SPC'!$G$4),OR('Visual SPC'!$I$4="",'Data Entry'!$E8109='Visual SPC'!$I$4),OR('Visual SPC'!$K$4="",'Data Entry'!$F8109='Visual SPC'!$K$4)),1,0))</f>
        <v/>
      </c>
      <c r="C8109">
        <f>C8108+B8109</f>
        <v/>
      </c>
      <c r="D8109">
        <f>IF(B8109=1,INDEX('Data Entry'!$H$5:$BE$10004,8109-4,'Visual SPC'!$B$3),"")</f>
        <v/>
      </c>
      <c r="E8109">
        <f>IF(B8109=1,D8109,E8108)</f>
        <v/>
      </c>
      <c r="F8109">
        <f>IF(AND(B8109=1,C8109&gt;1,E8108&lt;&gt;""),ABS(D8109-E8108),"")</f>
        <v/>
      </c>
    </row>
    <row r="8110">
      <c r="A8110" t="n">
        <v>8110</v>
      </c>
      <c r="B8110">
        <f>IF(INDEX('Data Entry'!$H$5:$BE$10004,8110-4,'Visual SPC'!$B$3)="",0,IF(AND(OR('Visual SPC'!$C$4="",'Data Entry'!$C8110&gt;='Visual SPC'!$C$4),OR('Visual SPC'!$E$4="",'Data Entry'!$C8110&lt;='Visual SPC'!$E$4),OR('Visual SPC'!$G$4="",'Data Entry'!$D8110='Visual SPC'!$G$4),OR('Visual SPC'!$I$4="",'Data Entry'!$E8110='Visual SPC'!$I$4),OR('Visual SPC'!$K$4="",'Data Entry'!$F8110='Visual SPC'!$K$4)),1,0))</f>
        <v/>
      </c>
      <c r="C8110">
        <f>C8109+B8110</f>
        <v/>
      </c>
      <c r="D8110">
        <f>IF(B8110=1,INDEX('Data Entry'!$H$5:$BE$10004,8110-4,'Visual SPC'!$B$3),"")</f>
        <v/>
      </c>
      <c r="E8110">
        <f>IF(B8110=1,D8110,E8109)</f>
        <v/>
      </c>
      <c r="F8110">
        <f>IF(AND(B8110=1,C8110&gt;1,E8109&lt;&gt;""),ABS(D8110-E8109),"")</f>
        <v/>
      </c>
    </row>
    <row r="8111">
      <c r="A8111" t="n">
        <v>8111</v>
      </c>
      <c r="B8111">
        <f>IF(INDEX('Data Entry'!$H$5:$BE$10004,8111-4,'Visual SPC'!$B$3)="",0,IF(AND(OR('Visual SPC'!$C$4="",'Data Entry'!$C8111&gt;='Visual SPC'!$C$4),OR('Visual SPC'!$E$4="",'Data Entry'!$C8111&lt;='Visual SPC'!$E$4),OR('Visual SPC'!$G$4="",'Data Entry'!$D8111='Visual SPC'!$G$4),OR('Visual SPC'!$I$4="",'Data Entry'!$E8111='Visual SPC'!$I$4),OR('Visual SPC'!$K$4="",'Data Entry'!$F8111='Visual SPC'!$K$4)),1,0))</f>
        <v/>
      </c>
      <c r="C8111">
        <f>C8110+B8111</f>
        <v/>
      </c>
      <c r="D8111">
        <f>IF(B8111=1,INDEX('Data Entry'!$H$5:$BE$10004,8111-4,'Visual SPC'!$B$3),"")</f>
        <v/>
      </c>
      <c r="E8111">
        <f>IF(B8111=1,D8111,E8110)</f>
        <v/>
      </c>
      <c r="F8111">
        <f>IF(AND(B8111=1,C8111&gt;1,E8110&lt;&gt;""),ABS(D8111-E8110),"")</f>
        <v/>
      </c>
    </row>
    <row r="8112">
      <c r="A8112" t="n">
        <v>8112</v>
      </c>
      <c r="B8112">
        <f>IF(INDEX('Data Entry'!$H$5:$BE$10004,8112-4,'Visual SPC'!$B$3)="",0,IF(AND(OR('Visual SPC'!$C$4="",'Data Entry'!$C8112&gt;='Visual SPC'!$C$4),OR('Visual SPC'!$E$4="",'Data Entry'!$C8112&lt;='Visual SPC'!$E$4),OR('Visual SPC'!$G$4="",'Data Entry'!$D8112='Visual SPC'!$G$4),OR('Visual SPC'!$I$4="",'Data Entry'!$E8112='Visual SPC'!$I$4),OR('Visual SPC'!$K$4="",'Data Entry'!$F8112='Visual SPC'!$K$4)),1,0))</f>
        <v/>
      </c>
      <c r="C8112">
        <f>C8111+B8112</f>
        <v/>
      </c>
      <c r="D8112">
        <f>IF(B8112=1,INDEX('Data Entry'!$H$5:$BE$10004,8112-4,'Visual SPC'!$B$3),"")</f>
        <v/>
      </c>
      <c r="E8112">
        <f>IF(B8112=1,D8112,E8111)</f>
        <v/>
      </c>
      <c r="F8112">
        <f>IF(AND(B8112=1,C8112&gt;1,E8111&lt;&gt;""),ABS(D8112-E8111),"")</f>
        <v/>
      </c>
    </row>
    <row r="8113">
      <c r="A8113" t="n">
        <v>8113</v>
      </c>
      <c r="B8113">
        <f>IF(INDEX('Data Entry'!$H$5:$BE$10004,8113-4,'Visual SPC'!$B$3)="",0,IF(AND(OR('Visual SPC'!$C$4="",'Data Entry'!$C8113&gt;='Visual SPC'!$C$4),OR('Visual SPC'!$E$4="",'Data Entry'!$C8113&lt;='Visual SPC'!$E$4),OR('Visual SPC'!$G$4="",'Data Entry'!$D8113='Visual SPC'!$G$4),OR('Visual SPC'!$I$4="",'Data Entry'!$E8113='Visual SPC'!$I$4),OR('Visual SPC'!$K$4="",'Data Entry'!$F8113='Visual SPC'!$K$4)),1,0))</f>
        <v/>
      </c>
      <c r="C8113">
        <f>C8112+B8113</f>
        <v/>
      </c>
      <c r="D8113">
        <f>IF(B8113=1,INDEX('Data Entry'!$H$5:$BE$10004,8113-4,'Visual SPC'!$B$3),"")</f>
        <v/>
      </c>
      <c r="E8113">
        <f>IF(B8113=1,D8113,E8112)</f>
        <v/>
      </c>
      <c r="F8113">
        <f>IF(AND(B8113=1,C8113&gt;1,E8112&lt;&gt;""),ABS(D8113-E8112),"")</f>
        <v/>
      </c>
    </row>
    <row r="8114">
      <c r="A8114" t="n">
        <v>8114</v>
      </c>
      <c r="B8114">
        <f>IF(INDEX('Data Entry'!$H$5:$BE$10004,8114-4,'Visual SPC'!$B$3)="",0,IF(AND(OR('Visual SPC'!$C$4="",'Data Entry'!$C8114&gt;='Visual SPC'!$C$4),OR('Visual SPC'!$E$4="",'Data Entry'!$C8114&lt;='Visual SPC'!$E$4),OR('Visual SPC'!$G$4="",'Data Entry'!$D8114='Visual SPC'!$G$4),OR('Visual SPC'!$I$4="",'Data Entry'!$E8114='Visual SPC'!$I$4),OR('Visual SPC'!$K$4="",'Data Entry'!$F8114='Visual SPC'!$K$4)),1,0))</f>
        <v/>
      </c>
      <c r="C8114">
        <f>C8113+B8114</f>
        <v/>
      </c>
      <c r="D8114">
        <f>IF(B8114=1,INDEX('Data Entry'!$H$5:$BE$10004,8114-4,'Visual SPC'!$B$3),"")</f>
        <v/>
      </c>
      <c r="E8114">
        <f>IF(B8114=1,D8114,E8113)</f>
        <v/>
      </c>
      <c r="F8114">
        <f>IF(AND(B8114=1,C8114&gt;1,E8113&lt;&gt;""),ABS(D8114-E8113),"")</f>
        <v/>
      </c>
    </row>
    <row r="8115">
      <c r="A8115" t="n">
        <v>8115</v>
      </c>
      <c r="B8115">
        <f>IF(INDEX('Data Entry'!$H$5:$BE$10004,8115-4,'Visual SPC'!$B$3)="",0,IF(AND(OR('Visual SPC'!$C$4="",'Data Entry'!$C8115&gt;='Visual SPC'!$C$4),OR('Visual SPC'!$E$4="",'Data Entry'!$C8115&lt;='Visual SPC'!$E$4),OR('Visual SPC'!$G$4="",'Data Entry'!$D8115='Visual SPC'!$G$4),OR('Visual SPC'!$I$4="",'Data Entry'!$E8115='Visual SPC'!$I$4),OR('Visual SPC'!$K$4="",'Data Entry'!$F8115='Visual SPC'!$K$4)),1,0))</f>
        <v/>
      </c>
      <c r="C8115">
        <f>C8114+B8115</f>
        <v/>
      </c>
      <c r="D8115">
        <f>IF(B8115=1,INDEX('Data Entry'!$H$5:$BE$10004,8115-4,'Visual SPC'!$B$3),"")</f>
        <v/>
      </c>
      <c r="E8115">
        <f>IF(B8115=1,D8115,E8114)</f>
        <v/>
      </c>
      <c r="F8115">
        <f>IF(AND(B8115=1,C8115&gt;1,E8114&lt;&gt;""),ABS(D8115-E8114),"")</f>
        <v/>
      </c>
    </row>
    <row r="8116">
      <c r="A8116" t="n">
        <v>8116</v>
      </c>
      <c r="B8116">
        <f>IF(INDEX('Data Entry'!$H$5:$BE$10004,8116-4,'Visual SPC'!$B$3)="",0,IF(AND(OR('Visual SPC'!$C$4="",'Data Entry'!$C8116&gt;='Visual SPC'!$C$4),OR('Visual SPC'!$E$4="",'Data Entry'!$C8116&lt;='Visual SPC'!$E$4),OR('Visual SPC'!$G$4="",'Data Entry'!$D8116='Visual SPC'!$G$4),OR('Visual SPC'!$I$4="",'Data Entry'!$E8116='Visual SPC'!$I$4),OR('Visual SPC'!$K$4="",'Data Entry'!$F8116='Visual SPC'!$K$4)),1,0))</f>
        <v/>
      </c>
      <c r="C8116">
        <f>C8115+B8116</f>
        <v/>
      </c>
      <c r="D8116">
        <f>IF(B8116=1,INDEX('Data Entry'!$H$5:$BE$10004,8116-4,'Visual SPC'!$B$3),"")</f>
        <v/>
      </c>
      <c r="E8116">
        <f>IF(B8116=1,D8116,E8115)</f>
        <v/>
      </c>
      <c r="F8116">
        <f>IF(AND(B8116=1,C8116&gt;1,E8115&lt;&gt;""),ABS(D8116-E8115),"")</f>
        <v/>
      </c>
    </row>
    <row r="8117">
      <c r="A8117" t="n">
        <v>8117</v>
      </c>
      <c r="B8117">
        <f>IF(INDEX('Data Entry'!$H$5:$BE$10004,8117-4,'Visual SPC'!$B$3)="",0,IF(AND(OR('Visual SPC'!$C$4="",'Data Entry'!$C8117&gt;='Visual SPC'!$C$4),OR('Visual SPC'!$E$4="",'Data Entry'!$C8117&lt;='Visual SPC'!$E$4),OR('Visual SPC'!$G$4="",'Data Entry'!$D8117='Visual SPC'!$G$4),OR('Visual SPC'!$I$4="",'Data Entry'!$E8117='Visual SPC'!$I$4),OR('Visual SPC'!$K$4="",'Data Entry'!$F8117='Visual SPC'!$K$4)),1,0))</f>
        <v/>
      </c>
      <c r="C8117">
        <f>C8116+B8117</f>
        <v/>
      </c>
      <c r="D8117">
        <f>IF(B8117=1,INDEX('Data Entry'!$H$5:$BE$10004,8117-4,'Visual SPC'!$B$3),"")</f>
        <v/>
      </c>
      <c r="E8117">
        <f>IF(B8117=1,D8117,E8116)</f>
        <v/>
      </c>
      <c r="F8117">
        <f>IF(AND(B8117=1,C8117&gt;1,E8116&lt;&gt;""),ABS(D8117-E8116),"")</f>
        <v/>
      </c>
    </row>
    <row r="8118">
      <c r="A8118" t="n">
        <v>8118</v>
      </c>
      <c r="B8118">
        <f>IF(INDEX('Data Entry'!$H$5:$BE$10004,8118-4,'Visual SPC'!$B$3)="",0,IF(AND(OR('Visual SPC'!$C$4="",'Data Entry'!$C8118&gt;='Visual SPC'!$C$4),OR('Visual SPC'!$E$4="",'Data Entry'!$C8118&lt;='Visual SPC'!$E$4),OR('Visual SPC'!$G$4="",'Data Entry'!$D8118='Visual SPC'!$G$4),OR('Visual SPC'!$I$4="",'Data Entry'!$E8118='Visual SPC'!$I$4),OR('Visual SPC'!$K$4="",'Data Entry'!$F8118='Visual SPC'!$K$4)),1,0))</f>
        <v/>
      </c>
      <c r="C8118">
        <f>C8117+B8118</f>
        <v/>
      </c>
      <c r="D8118">
        <f>IF(B8118=1,INDEX('Data Entry'!$H$5:$BE$10004,8118-4,'Visual SPC'!$B$3),"")</f>
        <v/>
      </c>
      <c r="E8118">
        <f>IF(B8118=1,D8118,E8117)</f>
        <v/>
      </c>
      <c r="F8118">
        <f>IF(AND(B8118=1,C8118&gt;1,E8117&lt;&gt;""),ABS(D8118-E8117),"")</f>
        <v/>
      </c>
    </row>
    <row r="8119">
      <c r="A8119" t="n">
        <v>8119</v>
      </c>
      <c r="B8119">
        <f>IF(INDEX('Data Entry'!$H$5:$BE$10004,8119-4,'Visual SPC'!$B$3)="",0,IF(AND(OR('Visual SPC'!$C$4="",'Data Entry'!$C8119&gt;='Visual SPC'!$C$4),OR('Visual SPC'!$E$4="",'Data Entry'!$C8119&lt;='Visual SPC'!$E$4),OR('Visual SPC'!$G$4="",'Data Entry'!$D8119='Visual SPC'!$G$4),OR('Visual SPC'!$I$4="",'Data Entry'!$E8119='Visual SPC'!$I$4),OR('Visual SPC'!$K$4="",'Data Entry'!$F8119='Visual SPC'!$K$4)),1,0))</f>
        <v/>
      </c>
      <c r="C8119">
        <f>C8118+B8119</f>
        <v/>
      </c>
      <c r="D8119">
        <f>IF(B8119=1,INDEX('Data Entry'!$H$5:$BE$10004,8119-4,'Visual SPC'!$B$3),"")</f>
        <v/>
      </c>
      <c r="E8119">
        <f>IF(B8119=1,D8119,E8118)</f>
        <v/>
      </c>
      <c r="F8119">
        <f>IF(AND(B8119=1,C8119&gt;1,E8118&lt;&gt;""),ABS(D8119-E8118),"")</f>
        <v/>
      </c>
    </row>
    <row r="8120">
      <c r="A8120" t="n">
        <v>8120</v>
      </c>
      <c r="B8120">
        <f>IF(INDEX('Data Entry'!$H$5:$BE$10004,8120-4,'Visual SPC'!$B$3)="",0,IF(AND(OR('Visual SPC'!$C$4="",'Data Entry'!$C8120&gt;='Visual SPC'!$C$4),OR('Visual SPC'!$E$4="",'Data Entry'!$C8120&lt;='Visual SPC'!$E$4),OR('Visual SPC'!$G$4="",'Data Entry'!$D8120='Visual SPC'!$G$4),OR('Visual SPC'!$I$4="",'Data Entry'!$E8120='Visual SPC'!$I$4),OR('Visual SPC'!$K$4="",'Data Entry'!$F8120='Visual SPC'!$K$4)),1,0))</f>
        <v/>
      </c>
      <c r="C8120">
        <f>C8119+B8120</f>
        <v/>
      </c>
      <c r="D8120">
        <f>IF(B8120=1,INDEX('Data Entry'!$H$5:$BE$10004,8120-4,'Visual SPC'!$B$3),"")</f>
        <v/>
      </c>
      <c r="E8120">
        <f>IF(B8120=1,D8120,E8119)</f>
        <v/>
      </c>
      <c r="F8120">
        <f>IF(AND(B8120=1,C8120&gt;1,E8119&lt;&gt;""),ABS(D8120-E8119),"")</f>
        <v/>
      </c>
    </row>
    <row r="8121">
      <c r="A8121" t="n">
        <v>8121</v>
      </c>
      <c r="B8121">
        <f>IF(INDEX('Data Entry'!$H$5:$BE$10004,8121-4,'Visual SPC'!$B$3)="",0,IF(AND(OR('Visual SPC'!$C$4="",'Data Entry'!$C8121&gt;='Visual SPC'!$C$4),OR('Visual SPC'!$E$4="",'Data Entry'!$C8121&lt;='Visual SPC'!$E$4),OR('Visual SPC'!$G$4="",'Data Entry'!$D8121='Visual SPC'!$G$4),OR('Visual SPC'!$I$4="",'Data Entry'!$E8121='Visual SPC'!$I$4),OR('Visual SPC'!$K$4="",'Data Entry'!$F8121='Visual SPC'!$K$4)),1,0))</f>
        <v/>
      </c>
      <c r="C8121">
        <f>C8120+B8121</f>
        <v/>
      </c>
      <c r="D8121">
        <f>IF(B8121=1,INDEX('Data Entry'!$H$5:$BE$10004,8121-4,'Visual SPC'!$B$3),"")</f>
        <v/>
      </c>
      <c r="E8121">
        <f>IF(B8121=1,D8121,E8120)</f>
        <v/>
      </c>
      <c r="F8121">
        <f>IF(AND(B8121=1,C8121&gt;1,E8120&lt;&gt;""),ABS(D8121-E8120),"")</f>
        <v/>
      </c>
    </row>
    <row r="8122">
      <c r="A8122" t="n">
        <v>8122</v>
      </c>
      <c r="B8122">
        <f>IF(INDEX('Data Entry'!$H$5:$BE$10004,8122-4,'Visual SPC'!$B$3)="",0,IF(AND(OR('Visual SPC'!$C$4="",'Data Entry'!$C8122&gt;='Visual SPC'!$C$4),OR('Visual SPC'!$E$4="",'Data Entry'!$C8122&lt;='Visual SPC'!$E$4),OR('Visual SPC'!$G$4="",'Data Entry'!$D8122='Visual SPC'!$G$4),OR('Visual SPC'!$I$4="",'Data Entry'!$E8122='Visual SPC'!$I$4),OR('Visual SPC'!$K$4="",'Data Entry'!$F8122='Visual SPC'!$K$4)),1,0))</f>
        <v/>
      </c>
      <c r="C8122">
        <f>C8121+B8122</f>
        <v/>
      </c>
      <c r="D8122">
        <f>IF(B8122=1,INDEX('Data Entry'!$H$5:$BE$10004,8122-4,'Visual SPC'!$B$3),"")</f>
        <v/>
      </c>
      <c r="E8122">
        <f>IF(B8122=1,D8122,E8121)</f>
        <v/>
      </c>
      <c r="F8122">
        <f>IF(AND(B8122=1,C8122&gt;1,E8121&lt;&gt;""),ABS(D8122-E8121),"")</f>
        <v/>
      </c>
    </row>
    <row r="8123">
      <c r="A8123" t="n">
        <v>8123</v>
      </c>
      <c r="B8123">
        <f>IF(INDEX('Data Entry'!$H$5:$BE$10004,8123-4,'Visual SPC'!$B$3)="",0,IF(AND(OR('Visual SPC'!$C$4="",'Data Entry'!$C8123&gt;='Visual SPC'!$C$4),OR('Visual SPC'!$E$4="",'Data Entry'!$C8123&lt;='Visual SPC'!$E$4),OR('Visual SPC'!$G$4="",'Data Entry'!$D8123='Visual SPC'!$G$4),OR('Visual SPC'!$I$4="",'Data Entry'!$E8123='Visual SPC'!$I$4),OR('Visual SPC'!$K$4="",'Data Entry'!$F8123='Visual SPC'!$K$4)),1,0))</f>
        <v/>
      </c>
      <c r="C8123">
        <f>C8122+B8123</f>
        <v/>
      </c>
      <c r="D8123">
        <f>IF(B8123=1,INDEX('Data Entry'!$H$5:$BE$10004,8123-4,'Visual SPC'!$B$3),"")</f>
        <v/>
      </c>
      <c r="E8123">
        <f>IF(B8123=1,D8123,E8122)</f>
        <v/>
      </c>
      <c r="F8123">
        <f>IF(AND(B8123=1,C8123&gt;1,E8122&lt;&gt;""),ABS(D8123-E8122),"")</f>
        <v/>
      </c>
    </row>
    <row r="8124">
      <c r="A8124" t="n">
        <v>8124</v>
      </c>
      <c r="B8124">
        <f>IF(INDEX('Data Entry'!$H$5:$BE$10004,8124-4,'Visual SPC'!$B$3)="",0,IF(AND(OR('Visual SPC'!$C$4="",'Data Entry'!$C8124&gt;='Visual SPC'!$C$4),OR('Visual SPC'!$E$4="",'Data Entry'!$C8124&lt;='Visual SPC'!$E$4),OR('Visual SPC'!$G$4="",'Data Entry'!$D8124='Visual SPC'!$G$4),OR('Visual SPC'!$I$4="",'Data Entry'!$E8124='Visual SPC'!$I$4),OR('Visual SPC'!$K$4="",'Data Entry'!$F8124='Visual SPC'!$K$4)),1,0))</f>
        <v/>
      </c>
      <c r="C8124">
        <f>C8123+B8124</f>
        <v/>
      </c>
      <c r="D8124">
        <f>IF(B8124=1,INDEX('Data Entry'!$H$5:$BE$10004,8124-4,'Visual SPC'!$B$3),"")</f>
        <v/>
      </c>
      <c r="E8124">
        <f>IF(B8124=1,D8124,E8123)</f>
        <v/>
      </c>
      <c r="F8124">
        <f>IF(AND(B8124=1,C8124&gt;1,E8123&lt;&gt;""),ABS(D8124-E8123),"")</f>
        <v/>
      </c>
    </row>
    <row r="8125">
      <c r="A8125" t="n">
        <v>8125</v>
      </c>
      <c r="B8125">
        <f>IF(INDEX('Data Entry'!$H$5:$BE$10004,8125-4,'Visual SPC'!$B$3)="",0,IF(AND(OR('Visual SPC'!$C$4="",'Data Entry'!$C8125&gt;='Visual SPC'!$C$4),OR('Visual SPC'!$E$4="",'Data Entry'!$C8125&lt;='Visual SPC'!$E$4),OR('Visual SPC'!$G$4="",'Data Entry'!$D8125='Visual SPC'!$G$4),OR('Visual SPC'!$I$4="",'Data Entry'!$E8125='Visual SPC'!$I$4),OR('Visual SPC'!$K$4="",'Data Entry'!$F8125='Visual SPC'!$K$4)),1,0))</f>
        <v/>
      </c>
      <c r="C8125">
        <f>C8124+B8125</f>
        <v/>
      </c>
      <c r="D8125">
        <f>IF(B8125=1,INDEX('Data Entry'!$H$5:$BE$10004,8125-4,'Visual SPC'!$B$3),"")</f>
        <v/>
      </c>
      <c r="E8125">
        <f>IF(B8125=1,D8125,E8124)</f>
        <v/>
      </c>
      <c r="F8125">
        <f>IF(AND(B8125=1,C8125&gt;1,E8124&lt;&gt;""),ABS(D8125-E8124),"")</f>
        <v/>
      </c>
    </row>
    <row r="8126">
      <c r="A8126" t="n">
        <v>8126</v>
      </c>
      <c r="B8126">
        <f>IF(INDEX('Data Entry'!$H$5:$BE$10004,8126-4,'Visual SPC'!$B$3)="",0,IF(AND(OR('Visual SPC'!$C$4="",'Data Entry'!$C8126&gt;='Visual SPC'!$C$4),OR('Visual SPC'!$E$4="",'Data Entry'!$C8126&lt;='Visual SPC'!$E$4),OR('Visual SPC'!$G$4="",'Data Entry'!$D8126='Visual SPC'!$G$4),OR('Visual SPC'!$I$4="",'Data Entry'!$E8126='Visual SPC'!$I$4),OR('Visual SPC'!$K$4="",'Data Entry'!$F8126='Visual SPC'!$K$4)),1,0))</f>
        <v/>
      </c>
      <c r="C8126">
        <f>C8125+B8126</f>
        <v/>
      </c>
      <c r="D8126">
        <f>IF(B8126=1,INDEX('Data Entry'!$H$5:$BE$10004,8126-4,'Visual SPC'!$B$3),"")</f>
        <v/>
      </c>
      <c r="E8126">
        <f>IF(B8126=1,D8126,E8125)</f>
        <v/>
      </c>
      <c r="F8126">
        <f>IF(AND(B8126=1,C8126&gt;1,E8125&lt;&gt;""),ABS(D8126-E8125),"")</f>
        <v/>
      </c>
    </row>
    <row r="8127">
      <c r="A8127" t="n">
        <v>8127</v>
      </c>
      <c r="B8127">
        <f>IF(INDEX('Data Entry'!$H$5:$BE$10004,8127-4,'Visual SPC'!$B$3)="",0,IF(AND(OR('Visual SPC'!$C$4="",'Data Entry'!$C8127&gt;='Visual SPC'!$C$4),OR('Visual SPC'!$E$4="",'Data Entry'!$C8127&lt;='Visual SPC'!$E$4),OR('Visual SPC'!$G$4="",'Data Entry'!$D8127='Visual SPC'!$G$4),OR('Visual SPC'!$I$4="",'Data Entry'!$E8127='Visual SPC'!$I$4),OR('Visual SPC'!$K$4="",'Data Entry'!$F8127='Visual SPC'!$K$4)),1,0))</f>
        <v/>
      </c>
      <c r="C8127">
        <f>C8126+B8127</f>
        <v/>
      </c>
      <c r="D8127">
        <f>IF(B8127=1,INDEX('Data Entry'!$H$5:$BE$10004,8127-4,'Visual SPC'!$B$3),"")</f>
        <v/>
      </c>
      <c r="E8127">
        <f>IF(B8127=1,D8127,E8126)</f>
        <v/>
      </c>
      <c r="F8127">
        <f>IF(AND(B8127=1,C8127&gt;1,E8126&lt;&gt;""),ABS(D8127-E8126),"")</f>
        <v/>
      </c>
    </row>
    <row r="8128">
      <c r="A8128" t="n">
        <v>8128</v>
      </c>
      <c r="B8128">
        <f>IF(INDEX('Data Entry'!$H$5:$BE$10004,8128-4,'Visual SPC'!$B$3)="",0,IF(AND(OR('Visual SPC'!$C$4="",'Data Entry'!$C8128&gt;='Visual SPC'!$C$4),OR('Visual SPC'!$E$4="",'Data Entry'!$C8128&lt;='Visual SPC'!$E$4),OR('Visual SPC'!$G$4="",'Data Entry'!$D8128='Visual SPC'!$G$4),OR('Visual SPC'!$I$4="",'Data Entry'!$E8128='Visual SPC'!$I$4),OR('Visual SPC'!$K$4="",'Data Entry'!$F8128='Visual SPC'!$K$4)),1,0))</f>
        <v/>
      </c>
      <c r="C8128">
        <f>C8127+B8128</f>
        <v/>
      </c>
      <c r="D8128">
        <f>IF(B8128=1,INDEX('Data Entry'!$H$5:$BE$10004,8128-4,'Visual SPC'!$B$3),"")</f>
        <v/>
      </c>
      <c r="E8128">
        <f>IF(B8128=1,D8128,E8127)</f>
        <v/>
      </c>
      <c r="F8128">
        <f>IF(AND(B8128=1,C8128&gt;1,E8127&lt;&gt;""),ABS(D8128-E8127),"")</f>
        <v/>
      </c>
    </row>
    <row r="8129">
      <c r="A8129" t="n">
        <v>8129</v>
      </c>
      <c r="B8129">
        <f>IF(INDEX('Data Entry'!$H$5:$BE$10004,8129-4,'Visual SPC'!$B$3)="",0,IF(AND(OR('Visual SPC'!$C$4="",'Data Entry'!$C8129&gt;='Visual SPC'!$C$4),OR('Visual SPC'!$E$4="",'Data Entry'!$C8129&lt;='Visual SPC'!$E$4),OR('Visual SPC'!$G$4="",'Data Entry'!$D8129='Visual SPC'!$G$4),OR('Visual SPC'!$I$4="",'Data Entry'!$E8129='Visual SPC'!$I$4),OR('Visual SPC'!$K$4="",'Data Entry'!$F8129='Visual SPC'!$K$4)),1,0))</f>
        <v/>
      </c>
      <c r="C8129">
        <f>C8128+B8129</f>
        <v/>
      </c>
      <c r="D8129">
        <f>IF(B8129=1,INDEX('Data Entry'!$H$5:$BE$10004,8129-4,'Visual SPC'!$B$3),"")</f>
        <v/>
      </c>
      <c r="E8129">
        <f>IF(B8129=1,D8129,E8128)</f>
        <v/>
      </c>
      <c r="F8129">
        <f>IF(AND(B8129=1,C8129&gt;1,E8128&lt;&gt;""),ABS(D8129-E8128),"")</f>
        <v/>
      </c>
    </row>
    <row r="8130">
      <c r="A8130" t="n">
        <v>8130</v>
      </c>
      <c r="B8130">
        <f>IF(INDEX('Data Entry'!$H$5:$BE$10004,8130-4,'Visual SPC'!$B$3)="",0,IF(AND(OR('Visual SPC'!$C$4="",'Data Entry'!$C8130&gt;='Visual SPC'!$C$4),OR('Visual SPC'!$E$4="",'Data Entry'!$C8130&lt;='Visual SPC'!$E$4),OR('Visual SPC'!$G$4="",'Data Entry'!$D8130='Visual SPC'!$G$4),OR('Visual SPC'!$I$4="",'Data Entry'!$E8130='Visual SPC'!$I$4),OR('Visual SPC'!$K$4="",'Data Entry'!$F8130='Visual SPC'!$K$4)),1,0))</f>
        <v/>
      </c>
      <c r="C8130">
        <f>C8129+B8130</f>
        <v/>
      </c>
      <c r="D8130">
        <f>IF(B8130=1,INDEX('Data Entry'!$H$5:$BE$10004,8130-4,'Visual SPC'!$B$3),"")</f>
        <v/>
      </c>
      <c r="E8130">
        <f>IF(B8130=1,D8130,E8129)</f>
        <v/>
      </c>
      <c r="F8130">
        <f>IF(AND(B8130=1,C8130&gt;1,E8129&lt;&gt;""),ABS(D8130-E8129),"")</f>
        <v/>
      </c>
    </row>
    <row r="8131">
      <c r="A8131" t="n">
        <v>8131</v>
      </c>
      <c r="B8131">
        <f>IF(INDEX('Data Entry'!$H$5:$BE$10004,8131-4,'Visual SPC'!$B$3)="",0,IF(AND(OR('Visual SPC'!$C$4="",'Data Entry'!$C8131&gt;='Visual SPC'!$C$4),OR('Visual SPC'!$E$4="",'Data Entry'!$C8131&lt;='Visual SPC'!$E$4),OR('Visual SPC'!$G$4="",'Data Entry'!$D8131='Visual SPC'!$G$4),OR('Visual SPC'!$I$4="",'Data Entry'!$E8131='Visual SPC'!$I$4),OR('Visual SPC'!$K$4="",'Data Entry'!$F8131='Visual SPC'!$K$4)),1,0))</f>
        <v/>
      </c>
      <c r="C8131">
        <f>C8130+B8131</f>
        <v/>
      </c>
      <c r="D8131">
        <f>IF(B8131=1,INDEX('Data Entry'!$H$5:$BE$10004,8131-4,'Visual SPC'!$B$3),"")</f>
        <v/>
      </c>
      <c r="E8131">
        <f>IF(B8131=1,D8131,E8130)</f>
        <v/>
      </c>
      <c r="F8131">
        <f>IF(AND(B8131=1,C8131&gt;1,E8130&lt;&gt;""),ABS(D8131-E8130),"")</f>
        <v/>
      </c>
    </row>
    <row r="8132">
      <c r="A8132" t="n">
        <v>8132</v>
      </c>
      <c r="B8132">
        <f>IF(INDEX('Data Entry'!$H$5:$BE$10004,8132-4,'Visual SPC'!$B$3)="",0,IF(AND(OR('Visual SPC'!$C$4="",'Data Entry'!$C8132&gt;='Visual SPC'!$C$4),OR('Visual SPC'!$E$4="",'Data Entry'!$C8132&lt;='Visual SPC'!$E$4),OR('Visual SPC'!$G$4="",'Data Entry'!$D8132='Visual SPC'!$G$4),OR('Visual SPC'!$I$4="",'Data Entry'!$E8132='Visual SPC'!$I$4),OR('Visual SPC'!$K$4="",'Data Entry'!$F8132='Visual SPC'!$K$4)),1,0))</f>
        <v/>
      </c>
      <c r="C8132">
        <f>C8131+B8132</f>
        <v/>
      </c>
      <c r="D8132">
        <f>IF(B8132=1,INDEX('Data Entry'!$H$5:$BE$10004,8132-4,'Visual SPC'!$B$3),"")</f>
        <v/>
      </c>
      <c r="E8132">
        <f>IF(B8132=1,D8132,E8131)</f>
        <v/>
      </c>
      <c r="F8132">
        <f>IF(AND(B8132=1,C8132&gt;1,E8131&lt;&gt;""),ABS(D8132-E8131),"")</f>
        <v/>
      </c>
    </row>
    <row r="8133">
      <c r="A8133" t="n">
        <v>8133</v>
      </c>
      <c r="B8133">
        <f>IF(INDEX('Data Entry'!$H$5:$BE$10004,8133-4,'Visual SPC'!$B$3)="",0,IF(AND(OR('Visual SPC'!$C$4="",'Data Entry'!$C8133&gt;='Visual SPC'!$C$4),OR('Visual SPC'!$E$4="",'Data Entry'!$C8133&lt;='Visual SPC'!$E$4),OR('Visual SPC'!$G$4="",'Data Entry'!$D8133='Visual SPC'!$G$4),OR('Visual SPC'!$I$4="",'Data Entry'!$E8133='Visual SPC'!$I$4),OR('Visual SPC'!$K$4="",'Data Entry'!$F8133='Visual SPC'!$K$4)),1,0))</f>
        <v/>
      </c>
      <c r="C8133">
        <f>C8132+B8133</f>
        <v/>
      </c>
      <c r="D8133">
        <f>IF(B8133=1,INDEX('Data Entry'!$H$5:$BE$10004,8133-4,'Visual SPC'!$B$3),"")</f>
        <v/>
      </c>
      <c r="E8133">
        <f>IF(B8133=1,D8133,E8132)</f>
        <v/>
      </c>
      <c r="F8133">
        <f>IF(AND(B8133=1,C8133&gt;1,E8132&lt;&gt;""),ABS(D8133-E8132),"")</f>
        <v/>
      </c>
    </row>
    <row r="8134">
      <c r="A8134" t="n">
        <v>8134</v>
      </c>
      <c r="B8134">
        <f>IF(INDEX('Data Entry'!$H$5:$BE$10004,8134-4,'Visual SPC'!$B$3)="",0,IF(AND(OR('Visual SPC'!$C$4="",'Data Entry'!$C8134&gt;='Visual SPC'!$C$4),OR('Visual SPC'!$E$4="",'Data Entry'!$C8134&lt;='Visual SPC'!$E$4),OR('Visual SPC'!$G$4="",'Data Entry'!$D8134='Visual SPC'!$G$4),OR('Visual SPC'!$I$4="",'Data Entry'!$E8134='Visual SPC'!$I$4),OR('Visual SPC'!$K$4="",'Data Entry'!$F8134='Visual SPC'!$K$4)),1,0))</f>
        <v/>
      </c>
      <c r="C8134">
        <f>C8133+B8134</f>
        <v/>
      </c>
      <c r="D8134">
        <f>IF(B8134=1,INDEX('Data Entry'!$H$5:$BE$10004,8134-4,'Visual SPC'!$B$3),"")</f>
        <v/>
      </c>
      <c r="E8134">
        <f>IF(B8134=1,D8134,E8133)</f>
        <v/>
      </c>
      <c r="F8134">
        <f>IF(AND(B8134=1,C8134&gt;1,E8133&lt;&gt;""),ABS(D8134-E8133),"")</f>
        <v/>
      </c>
    </row>
    <row r="8135">
      <c r="A8135" t="n">
        <v>8135</v>
      </c>
      <c r="B8135">
        <f>IF(INDEX('Data Entry'!$H$5:$BE$10004,8135-4,'Visual SPC'!$B$3)="",0,IF(AND(OR('Visual SPC'!$C$4="",'Data Entry'!$C8135&gt;='Visual SPC'!$C$4),OR('Visual SPC'!$E$4="",'Data Entry'!$C8135&lt;='Visual SPC'!$E$4),OR('Visual SPC'!$G$4="",'Data Entry'!$D8135='Visual SPC'!$G$4),OR('Visual SPC'!$I$4="",'Data Entry'!$E8135='Visual SPC'!$I$4),OR('Visual SPC'!$K$4="",'Data Entry'!$F8135='Visual SPC'!$K$4)),1,0))</f>
        <v/>
      </c>
      <c r="C8135">
        <f>C8134+B8135</f>
        <v/>
      </c>
      <c r="D8135">
        <f>IF(B8135=1,INDEX('Data Entry'!$H$5:$BE$10004,8135-4,'Visual SPC'!$B$3),"")</f>
        <v/>
      </c>
      <c r="E8135">
        <f>IF(B8135=1,D8135,E8134)</f>
        <v/>
      </c>
      <c r="F8135">
        <f>IF(AND(B8135=1,C8135&gt;1,E8134&lt;&gt;""),ABS(D8135-E8134),"")</f>
        <v/>
      </c>
    </row>
    <row r="8136">
      <c r="A8136" t="n">
        <v>8136</v>
      </c>
      <c r="B8136">
        <f>IF(INDEX('Data Entry'!$H$5:$BE$10004,8136-4,'Visual SPC'!$B$3)="",0,IF(AND(OR('Visual SPC'!$C$4="",'Data Entry'!$C8136&gt;='Visual SPC'!$C$4),OR('Visual SPC'!$E$4="",'Data Entry'!$C8136&lt;='Visual SPC'!$E$4),OR('Visual SPC'!$G$4="",'Data Entry'!$D8136='Visual SPC'!$G$4),OR('Visual SPC'!$I$4="",'Data Entry'!$E8136='Visual SPC'!$I$4),OR('Visual SPC'!$K$4="",'Data Entry'!$F8136='Visual SPC'!$K$4)),1,0))</f>
        <v/>
      </c>
      <c r="C8136">
        <f>C8135+B8136</f>
        <v/>
      </c>
      <c r="D8136">
        <f>IF(B8136=1,INDEX('Data Entry'!$H$5:$BE$10004,8136-4,'Visual SPC'!$B$3),"")</f>
        <v/>
      </c>
      <c r="E8136">
        <f>IF(B8136=1,D8136,E8135)</f>
        <v/>
      </c>
      <c r="F8136">
        <f>IF(AND(B8136=1,C8136&gt;1,E8135&lt;&gt;""),ABS(D8136-E8135),"")</f>
        <v/>
      </c>
    </row>
    <row r="8137">
      <c r="A8137" t="n">
        <v>8137</v>
      </c>
      <c r="B8137">
        <f>IF(INDEX('Data Entry'!$H$5:$BE$10004,8137-4,'Visual SPC'!$B$3)="",0,IF(AND(OR('Visual SPC'!$C$4="",'Data Entry'!$C8137&gt;='Visual SPC'!$C$4),OR('Visual SPC'!$E$4="",'Data Entry'!$C8137&lt;='Visual SPC'!$E$4),OR('Visual SPC'!$G$4="",'Data Entry'!$D8137='Visual SPC'!$G$4),OR('Visual SPC'!$I$4="",'Data Entry'!$E8137='Visual SPC'!$I$4),OR('Visual SPC'!$K$4="",'Data Entry'!$F8137='Visual SPC'!$K$4)),1,0))</f>
        <v/>
      </c>
      <c r="C8137">
        <f>C8136+B8137</f>
        <v/>
      </c>
      <c r="D8137">
        <f>IF(B8137=1,INDEX('Data Entry'!$H$5:$BE$10004,8137-4,'Visual SPC'!$B$3),"")</f>
        <v/>
      </c>
      <c r="E8137">
        <f>IF(B8137=1,D8137,E8136)</f>
        <v/>
      </c>
      <c r="F8137">
        <f>IF(AND(B8137=1,C8137&gt;1,E8136&lt;&gt;""),ABS(D8137-E8136),"")</f>
        <v/>
      </c>
    </row>
    <row r="8138">
      <c r="A8138" t="n">
        <v>8138</v>
      </c>
      <c r="B8138">
        <f>IF(INDEX('Data Entry'!$H$5:$BE$10004,8138-4,'Visual SPC'!$B$3)="",0,IF(AND(OR('Visual SPC'!$C$4="",'Data Entry'!$C8138&gt;='Visual SPC'!$C$4),OR('Visual SPC'!$E$4="",'Data Entry'!$C8138&lt;='Visual SPC'!$E$4),OR('Visual SPC'!$G$4="",'Data Entry'!$D8138='Visual SPC'!$G$4),OR('Visual SPC'!$I$4="",'Data Entry'!$E8138='Visual SPC'!$I$4),OR('Visual SPC'!$K$4="",'Data Entry'!$F8138='Visual SPC'!$K$4)),1,0))</f>
        <v/>
      </c>
      <c r="C8138">
        <f>C8137+B8138</f>
        <v/>
      </c>
      <c r="D8138">
        <f>IF(B8138=1,INDEX('Data Entry'!$H$5:$BE$10004,8138-4,'Visual SPC'!$B$3),"")</f>
        <v/>
      </c>
      <c r="E8138">
        <f>IF(B8138=1,D8138,E8137)</f>
        <v/>
      </c>
      <c r="F8138">
        <f>IF(AND(B8138=1,C8138&gt;1,E8137&lt;&gt;""),ABS(D8138-E8137),"")</f>
        <v/>
      </c>
    </row>
    <row r="8139">
      <c r="A8139" t="n">
        <v>8139</v>
      </c>
      <c r="B8139">
        <f>IF(INDEX('Data Entry'!$H$5:$BE$10004,8139-4,'Visual SPC'!$B$3)="",0,IF(AND(OR('Visual SPC'!$C$4="",'Data Entry'!$C8139&gt;='Visual SPC'!$C$4),OR('Visual SPC'!$E$4="",'Data Entry'!$C8139&lt;='Visual SPC'!$E$4),OR('Visual SPC'!$G$4="",'Data Entry'!$D8139='Visual SPC'!$G$4),OR('Visual SPC'!$I$4="",'Data Entry'!$E8139='Visual SPC'!$I$4),OR('Visual SPC'!$K$4="",'Data Entry'!$F8139='Visual SPC'!$K$4)),1,0))</f>
        <v/>
      </c>
      <c r="C8139">
        <f>C8138+B8139</f>
        <v/>
      </c>
      <c r="D8139">
        <f>IF(B8139=1,INDEX('Data Entry'!$H$5:$BE$10004,8139-4,'Visual SPC'!$B$3),"")</f>
        <v/>
      </c>
      <c r="E8139">
        <f>IF(B8139=1,D8139,E8138)</f>
        <v/>
      </c>
      <c r="F8139">
        <f>IF(AND(B8139=1,C8139&gt;1,E8138&lt;&gt;""),ABS(D8139-E8138),"")</f>
        <v/>
      </c>
    </row>
    <row r="8140">
      <c r="A8140" t="n">
        <v>8140</v>
      </c>
      <c r="B8140">
        <f>IF(INDEX('Data Entry'!$H$5:$BE$10004,8140-4,'Visual SPC'!$B$3)="",0,IF(AND(OR('Visual SPC'!$C$4="",'Data Entry'!$C8140&gt;='Visual SPC'!$C$4),OR('Visual SPC'!$E$4="",'Data Entry'!$C8140&lt;='Visual SPC'!$E$4),OR('Visual SPC'!$G$4="",'Data Entry'!$D8140='Visual SPC'!$G$4),OR('Visual SPC'!$I$4="",'Data Entry'!$E8140='Visual SPC'!$I$4),OR('Visual SPC'!$K$4="",'Data Entry'!$F8140='Visual SPC'!$K$4)),1,0))</f>
        <v/>
      </c>
      <c r="C8140">
        <f>C8139+B8140</f>
        <v/>
      </c>
      <c r="D8140">
        <f>IF(B8140=1,INDEX('Data Entry'!$H$5:$BE$10004,8140-4,'Visual SPC'!$B$3),"")</f>
        <v/>
      </c>
      <c r="E8140">
        <f>IF(B8140=1,D8140,E8139)</f>
        <v/>
      </c>
      <c r="F8140">
        <f>IF(AND(B8140=1,C8140&gt;1,E8139&lt;&gt;""),ABS(D8140-E8139),"")</f>
        <v/>
      </c>
    </row>
    <row r="8141">
      <c r="A8141" t="n">
        <v>8141</v>
      </c>
      <c r="B8141">
        <f>IF(INDEX('Data Entry'!$H$5:$BE$10004,8141-4,'Visual SPC'!$B$3)="",0,IF(AND(OR('Visual SPC'!$C$4="",'Data Entry'!$C8141&gt;='Visual SPC'!$C$4),OR('Visual SPC'!$E$4="",'Data Entry'!$C8141&lt;='Visual SPC'!$E$4),OR('Visual SPC'!$G$4="",'Data Entry'!$D8141='Visual SPC'!$G$4),OR('Visual SPC'!$I$4="",'Data Entry'!$E8141='Visual SPC'!$I$4),OR('Visual SPC'!$K$4="",'Data Entry'!$F8141='Visual SPC'!$K$4)),1,0))</f>
        <v/>
      </c>
      <c r="C8141">
        <f>C8140+B8141</f>
        <v/>
      </c>
      <c r="D8141">
        <f>IF(B8141=1,INDEX('Data Entry'!$H$5:$BE$10004,8141-4,'Visual SPC'!$B$3),"")</f>
        <v/>
      </c>
      <c r="E8141">
        <f>IF(B8141=1,D8141,E8140)</f>
        <v/>
      </c>
      <c r="F8141">
        <f>IF(AND(B8141=1,C8141&gt;1,E8140&lt;&gt;""),ABS(D8141-E8140),"")</f>
        <v/>
      </c>
    </row>
    <row r="8142">
      <c r="A8142" t="n">
        <v>8142</v>
      </c>
      <c r="B8142">
        <f>IF(INDEX('Data Entry'!$H$5:$BE$10004,8142-4,'Visual SPC'!$B$3)="",0,IF(AND(OR('Visual SPC'!$C$4="",'Data Entry'!$C8142&gt;='Visual SPC'!$C$4),OR('Visual SPC'!$E$4="",'Data Entry'!$C8142&lt;='Visual SPC'!$E$4),OR('Visual SPC'!$G$4="",'Data Entry'!$D8142='Visual SPC'!$G$4),OR('Visual SPC'!$I$4="",'Data Entry'!$E8142='Visual SPC'!$I$4),OR('Visual SPC'!$K$4="",'Data Entry'!$F8142='Visual SPC'!$K$4)),1,0))</f>
        <v/>
      </c>
      <c r="C8142">
        <f>C8141+B8142</f>
        <v/>
      </c>
      <c r="D8142">
        <f>IF(B8142=1,INDEX('Data Entry'!$H$5:$BE$10004,8142-4,'Visual SPC'!$B$3),"")</f>
        <v/>
      </c>
      <c r="E8142">
        <f>IF(B8142=1,D8142,E8141)</f>
        <v/>
      </c>
      <c r="F8142">
        <f>IF(AND(B8142=1,C8142&gt;1,E8141&lt;&gt;""),ABS(D8142-E8141),"")</f>
        <v/>
      </c>
    </row>
    <row r="8143">
      <c r="A8143" t="n">
        <v>8143</v>
      </c>
      <c r="B8143">
        <f>IF(INDEX('Data Entry'!$H$5:$BE$10004,8143-4,'Visual SPC'!$B$3)="",0,IF(AND(OR('Visual SPC'!$C$4="",'Data Entry'!$C8143&gt;='Visual SPC'!$C$4),OR('Visual SPC'!$E$4="",'Data Entry'!$C8143&lt;='Visual SPC'!$E$4),OR('Visual SPC'!$G$4="",'Data Entry'!$D8143='Visual SPC'!$G$4),OR('Visual SPC'!$I$4="",'Data Entry'!$E8143='Visual SPC'!$I$4),OR('Visual SPC'!$K$4="",'Data Entry'!$F8143='Visual SPC'!$K$4)),1,0))</f>
        <v/>
      </c>
      <c r="C8143">
        <f>C8142+B8143</f>
        <v/>
      </c>
      <c r="D8143">
        <f>IF(B8143=1,INDEX('Data Entry'!$H$5:$BE$10004,8143-4,'Visual SPC'!$B$3),"")</f>
        <v/>
      </c>
      <c r="E8143">
        <f>IF(B8143=1,D8143,E8142)</f>
        <v/>
      </c>
      <c r="F8143">
        <f>IF(AND(B8143=1,C8143&gt;1,E8142&lt;&gt;""),ABS(D8143-E8142),"")</f>
        <v/>
      </c>
    </row>
    <row r="8144">
      <c r="A8144" t="n">
        <v>8144</v>
      </c>
      <c r="B8144">
        <f>IF(INDEX('Data Entry'!$H$5:$BE$10004,8144-4,'Visual SPC'!$B$3)="",0,IF(AND(OR('Visual SPC'!$C$4="",'Data Entry'!$C8144&gt;='Visual SPC'!$C$4),OR('Visual SPC'!$E$4="",'Data Entry'!$C8144&lt;='Visual SPC'!$E$4),OR('Visual SPC'!$G$4="",'Data Entry'!$D8144='Visual SPC'!$G$4),OR('Visual SPC'!$I$4="",'Data Entry'!$E8144='Visual SPC'!$I$4),OR('Visual SPC'!$K$4="",'Data Entry'!$F8144='Visual SPC'!$K$4)),1,0))</f>
        <v/>
      </c>
      <c r="C8144">
        <f>C8143+B8144</f>
        <v/>
      </c>
      <c r="D8144">
        <f>IF(B8144=1,INDEX('Data Entry'!$H$5:$BE$10004,8144-4,'Visual SPC'!$B$3),"")</f>
        <v/>
      </c>
      <c r="E8144">
        <f>IF(B8144=1,D8144,E8143)</f>
        <v/>
      </c>
      <c r="F8144">
        <f>IF(AND(B8144=1,C8144&gt;1,E8143&lt;&gt;""),ABS(D8144-E8143),"")</f>
        <v/>
      </c>
    </row>
    <row r="8145">
      <c r="A8145" t="n">
        <v>8145</v>
      </c>
      <c r="B8145">
        <f>IF(INDEX('Data Entry'!$H$5:$BE$10004,8145-4,'Visual SPC'!$B$3)="",0,IF(AND(OR('Visual SPC'!$C$4="",'Data Entry'!$C8145&gt;='Visual SPC'!$C$4),OR('Visual SPC'!$E$4="",'Data Entry'!$C8145&lt;='Visual SPC'!$E$4),OR('Visual SPC'!$G$4="",'Data Entry'!$D8145='Visual SPC'!$G$4),OR('Visual SPC'!$I$4="",'Data Entry'!$E8145='Visual SPC'!$I$4),OR('Visual SPC'!$K$4="",'Data Entry'!$F8145='Visual SPC'!$K$4)),1,0))</f>
        <v/>
      </c>
      <c r="C8145">
        <f>C8144+B8145</f>
        <v/>
      </c>
      <c r="D8145">
        <f>IF(B8145=1,INDEX('Data Entry'!$H$5:$BE$10004,8145-4,'Visual SPC'!$B$3),"")</f>
        <v/>
      </c>
      <c r="E8145">
        <f>IF(B8145=1,D8145,E8144)</f>
        <v/>
      </c>
      <c r="F8145">
        <f>IF(AND(B8145=1,C8145&gt;1,E8144&lt;&gt;""),ABS(D8145-E8144),"")</f>
        <v/>
      </c>
    </row>
    <row r="8146">
      <c r="A8146" t="n">
        <v>8146</v>
      </c>
      <c r="B8146">
        <f>IF(INDEX('Data Entry'!$H$5:$BE$10004,8146-4,'Visual SPC'!$B$3)="",0,IF(AND(OR('Visual SPC'!$C$4="",'Data Entry'!$C8146&gt;='Visual SPC'!$C$4),OR('Visual SPC'!$E$4="",'Data Entry'!$C8146&lt;='Visual SPC'!$E$4),OR('Visual SPC'!$G$4="",'Data Entry'!$D8146='Visual SPC'!$G$4),OR('Visual SPC'!$I$4="",'Data Entry'!$E8146='Visual SPC'!$I$4),OR('Visual SPC'!$K$4="",'Data Entry'!$F8146='Visual SPC'!$K$4)),1,0))</f>
        <v/>
      </c>
      <c r="C8146">
        <f>C8145+B8146</f>
        <v/>
      </c>
      <c r="D8146">
        <f>IF(B8146=1,INDEX('Data Entry'!$H$5:$BE$10004,8146-4,'Visual SPC'!$B$3),"")</f>
        <v/>
      </c>
      <c r="E8146">
        <f>IF(B8146=1,D8146,E8145)</f>
        <v/>
      </c>
      <c r="F8146">
        <f>IF(AND(B8146=1,C8146&gt;1,E8145&lt;&gt;""),ABS(D8146-E8145),"")</f>
        <v/>
      </c>
    </row>
    <row r="8147">
      <c r="A8147" t="n">
        <v>8147</v>
      </c>
      <c r="B8147">
        <f>IF(INDEX('Data Entry'!$H$5:$BE$10004,8147-4,'Visual SPC'!$B$3)="",0,IF(AND(OR('Visual SPC'!$C$4="",'Data Entry'!$C8147&gt;='Visual SPC'!$C$4),OR('Visual SPC'!$E$4="",'Data Entry'!$C8147&lt;='Visual SPC'!$E$4),OR('Visual SPC'!$G$4="",'Data Entry'!$D8147='Visual SPC'!$G$4),OR('Visual SPC'!$I$4="",'Data Entry'!$E8147='Visual SPC'!$I$4),OR('Visual SPC'!$K$4="",'Data Entry'!$F8147='Visual SPC'!$K$4)),1,0))</f>
        <v/>
      </c>
      <c r="C8147">
        <f>C8146+B8147</f>
        <v/>
      </c>
      <c r="D8147">
        <f>IF(B8147=1,INDEX('Data Entry'!$H$5:$BE$10004,8147-4,'Visual SPC'!$B$3),"")</f>
        <v/>
      </c>
      <c r="E8147">
        <f>IF(B8147=1,D8147,E8146)</f>
        <v/>
      </c>
      <c r="F8147">
        <f>IF(AND(B8147=1,C8147&gt;1,E8146&lt;&gt;""),ABS(D8147-E8146),"")</f>
        <v/>
      </c>
    </row>
    <row r="8148">
      <c r="A8148" t="n">
        <v>8148</v>
      </c>
      <c r="B8148">
        <f>IF(INDEX('Data Entry'!$H$5:$BE$10004,8148-4,'Visual SPC'!$B$3)="",0,IF(AND(OR('Visual SPC'!$C$4="",'Data Entry'!$C8148&gt;='Visual SPC'!$C$4),OR('Visual SPC'!$E$4="",'Data Entry'!$C8148&lt;='Visual SPC'!$E$4),OR('Visual SPC'!$G$4="",'Data Entry'!$D8148='Visual SPC'!$G$4),OR('Visual SPC'!$I$4="",'Data Entry'!$E8148='Visual SPC'!$I$4),OR('Visual SPC'!$K$4="",'Data Entry'!$F8148='Visual SPC'!$K$4)),1,0))</f>
        <v/>
      </c>
      <c r="C8148">
        <f>C8147+B8148</f>
        <v/>
      </c>
      <c r="D8148">
        <f>IF(B8148=1,INDEX('Data Entry'!$H$5:$BE$10004,8148-4,'Visual SPC'!$B$3),"")</f>
        <v/>
      </c>
      <c r="E8148">
        <f>IF(B8148=1,D8148,E8147)</f>
        <v/>
      </c>
      <c r="F8148">
        <f>IF(AND(B8148=1,C8148&gt;1,E8147&lt;&gt;""),ABS(D8148-E8147),"")</f>
        <v/>
      </c>
    </row>
    <row r="8149">
      <c r="A8149" t="n">
        <v>8149</v>
      </c>
      <c r="B8149">
        <f>IF(INDEX('Data Entry'!$H$5:$BE$10004,8149-4,'Visual SPC'!$B$3)="",0,IF(AND(OR('Visual SPC'!$C$4="",'Data Entry'!$C8149&gt;='Visual SPC'!$C$4),OR('Visual SPC'!$E$4="",'Data Entry'!$C8149&lt;='Visual SPC'!$E$4),OR('Visual SPC'!$G$4="",'Data Entry'!$D8149='Visual SPC'!$G$4),OR('Visual SPC'!$I$4="",'Data Entry'!$E8149='Visual SPC'!$I$4),OR('Visual SPC'!$K$4="",'Data Entry'!$F8149='Visual SPC'!$K$4)),1,0))</f>
        <v/>
      </c>
      <c r="C8149">
        <f>C8148+B8149</f>
        <v/>
      </c>
      <c r="D8149">
        <f>IF(B8149=1,INDEX('Data Entry'!$H$5:$BE$10004,8149-4,'Visual SPC'!$B$3),"")</f>
        <v/>
      </c>
      <c r="E8149">
        <f>IF(B8149=1,D8149,E8148)</f>
        <v/>
      </c>
      <c r="F8149">
        <f>IF(AND(B8149=1,C8149&gt;1,E8148&lt;&gt;""),ABS(D8149-E8148),"")</f>
        <v/>
      </c>
    </row>
    <row r="8150">
      <c r="A8150" t="n">
        <v>8150</v>
      </c>
      <c r="B8150">
        <f>IF(INDEX('Data Entry'!$H$5:$BE$10004,8150-4,'Visual SPC'!$B$3)="",0,IF(AND(OR('Visual SPC'!$C$4="",'Data Entry'!$C8150&gt;='Visual SPC'!$C$4),OR('Visual SPC'!$E$4="",'Data Entry'!$C8150&lt;='Visual SPC'!$E$4),OR('Visual SPC'!$G$4="",'Data Entry'!$D8150='Visual SPC'!$G$4),OR('Visual SPC'!$I$4="",'Data Entry'!$E8150='Visual SPC'!$I$4),OR('Visual SPC'!$K$4="",'Data Entry'!$F8150='Visual SPC'!$K$4)),1,0))</f>
        <v/>
      </c>
      <c r="C8150">
        <f>C8149+B8150</f>
        <v/>
      </c>
      <c r="D8150">
        <f>IF(B8150=1,INDEX('Data Entry'!$H$5:$BE$10004,8150-4,'Visual SPC'!$B$3),"")</f>
        <v/>
      </c>
      <c r="E8150">
        <f>IF(B8150=1,D8150,E8149)</f>
        <v/>
      </c>
      <c r="F8150">
        <f>IF(AND(B8150=1,C8150&gt;1,E8149&lt;&gt;""),ABS(D8150-E8149),"")</f>
        <v/>
      </c>
    </row>
    <row r="8151">
      <c r="A8151" t="n">
        <v>8151</v>
      </c>
      <c r="B8151">
        <f>IF(INDEX('Data Entry'!$H$5:$BE$10004,8151-4,'Visual SPC'!$B$3)="",0,IF(AND(OR('Visual SPC'!$C$4="",'Data Entry'!$C8151&gt;='Visual SPC'!$C$4),OR('Visual SPC'!$E$4="",'Data Entry'!$C8151&lt;='Visual SPC'!$E$4),OR('Visual SPC'!$G$4="",'Data Entry'!$D8151='Visual SPC'!$G$4),OR('Visual SPC'!$I$4="",'Data Entry'!$E8151='Visual SPC'!$I$4),OR('Visual SPC'!$K$4="",'Data Entry'!$F8151='Visual SPC'!$K$4)),1,0))</f>
        <v/>
      </c>
      <c r="C8151">
        <f>C8150+B8151</f>
        <v/>
      </c>
      <c r="D8151">
        <f>IF(B8151=1,INDEX('Data Entry'!$H$5:$BE$10004,8151-4,'Visual SPC'!$B$3),"")</f>
        <v/>
      </c>
      <c r="E8151">
        <f>IF(B8151=1,D8151,E8150)</f>
        <v/>
      </c>
      <c r="F8151">
        <f>IF(AND(B8151=1,C8151&gt;1,E8150&lt;&gt;""),ABS(D8151-E8150),"")</f>
        <v/>
      </c>
    </row>
    <row r="8152">
      <c r="A8152" t="n">
        <v>8152</v>
      </c>
      <c r="B8152">
        <f>IF(INDEX('Data Entry'!$H$5:$BE$10004,8152-4,'Visual SPC'!$B$3)="",0,IF(AND(OR('Visual SPC'!$C$4="",'Data Entry'!$C8152&gt;='Visual SPC'!$C$4),OR('Visual SPC'!$E$4="",'Data Entry'!$C8152&lt;='Visual SPC'!$E$4),OR('Visual SPC'!$G$4="",'Data Entry'!$D8152='Visual SPC'!$G$4),OR('Visual SPC'!$I$4="",'Data Entry'!$E8152='Visual SPC'!$I$4),OR('Visual SPC'!$K$4="",'Data Entry'!$F8152='Visual SPC'!$K$4)),1,0))</f>
        <v/>
      </c>
      <c r="C8152">
        <f>C8151+B8152</f>
        <v/>
      </c>
      <c r="D8152">
        <f>IF(B8152=1,INDEX('Data Entry'!$H$5:$BE$10004,8152-4,'Visual SPC'!$B$3),"")</f>
        <v/>
      </c>
      <c r="E8152">
        <f>IF(B8152=1,D8152,E8151)</f>
        <v/>
      </c>
      <c r="F8152">
        <f>IF(AND(B8152=1,C8152&gt;1,E8151&lt;&gt;""),ABS(D8152-E8151),"")</f>
        <v/>
      </c>
    </row>
    <row r="8153">
      <c r="A8153" t="n">
        <v>8153</v>
      </c>
      <c r="B8153">
        <f>IF(INDEX('Data Entry'!$H$5:$BE$10004,8153-4,'Visual SPC'!$B$3)="",0,IF(AND(OR('Visual SPC'!$C$4="",'Data Entry'!$C8153&gt;='Visual SPC'!$C$4),OR('Visual SPC'!$E$4="",'Data Entry'!$C8153&lt;='Visual SPC'!$E$4),OR('Visual SPC'!$G$4="",'Data Entry'!$D8153='Visual SPC'!$G$4),OR('Visual SPC'!$I$4="",'Data Entry'!$E8153='Visual SPC'!$I$4),OR('Visual SPC'!$K$4="",'Data Entry'!$F8153='Visual SPC'!$K$4)),1,0))</f>
        <v/>
      </c>
      <c r="C8153">
        <f>C8152+B8153</f>
        <v/>
      </c>
      <c r="D8153">
        <f>IF(B8153=1,INDEX('Data Entry'!$H$5:$BE$10004,8153-4,'Visual SPC'!$B$3),"")</f>
        <v/>
      </c>
      <c r="E8153">
        <f>IF(B8153=1,D8153,E8152)</f>
        <v/>
      </c>
      <c r="F8153">
        <f>IF(AND(B8153=1,C8153&gt;1,E8152&lt;&gt;""),ABS(D8153-E8152),"")</f>
        <v/>
      </c>
    </row>
    <row r="8154">
      <c r="A8154" t="n">
        <v>8154</v>
      </c>
      <c r="B8154">
        <f>IF(INDEX('Data Entry'!$H$5:$BE$10004,8154-4,'Visual SPC'!$B$3)="",0,IF(AND(OR('Visual SPC'!$C$4="",'Data Entry'!$C8154&gt;='Visual SPC'!$C$4),OR('Visual SPC'!$E$4="",'Data Entry'!$C8154&lt;='Visual SPC'!$E$4),OR('Visual SPC'!$G$4="",'Data Entry'!$D8154='Visual SPC'!$G$4),OR('Visual SPC'!$I$4="",'Data Entry'!$E8154='Visual SPC'!$I$4),OR('Visual SPC'!$K$4="",'Data Entry'!$F8154='Visual SPC'!$K$4)),1,0))</f>
        <v/>
      </c>
      <c r="C8154">
        <f>C8153+B8154</f>
        <v/>
      </c>
      <c r="D8154">
        <f>IF(B8154=1,INDEX('Data Entry'!$H$5:$BE$10004,8154-4,'Visual SPC'!$B$3),"")</f>
        <v/>
      </c>
      <c r="E8154">
        <f>IF(B8154=1,D8154,E8153)</f>
        <v/>
      </c>
      <c r="F8154">
        <f>IF(AND(B8154=1,C8154&gt;1,E8153&lt;&gt;""),ABS(D8154-E8153),"")</f>
        <v/>
      </c>
    </row>
    <row r="8155">
      <c r="A8155" t="n">
        <v>8155</v>
      </c>
      <c r="B8155">
        <f>IF(INDEX('Data Entry'!$H$5:$BE$10004,8155-4,'Visual SPC'!$B$3)="",0,IF(AND(OR('Visual SPC'!$C$4="",'Data Entry'!$C8155&gt;='Visual SPC'!$C$4),OR('Visual SPC'!$E$4="",'Data Entry'!$C8155&lt;='Visual SPC'!$E$4),OR('Visual SPC'!$G$4="",'Data Entry'!$D8155='Visual SPC'!$G$4),OR('Visual SPC'!$I$4="",'Data Entry'!$E8155='Visual SPC'!$I$4),OR('Visual SPC'!$K$4="",'Data Entry'!$F8155='Visual SPC'!$K$4)),1,0))</f>
        <v/>
      </c>
      <c r="C8155">
        <f>C8154+B8155</f>
        <v/>
      </c>
      <c r="D8155">
        <f>IF(B8155=1,INDEX('Data Entry'!$H$5:$BE$10004,8155-4,'Visual SPC'!$B$3),"")</f>
        <v/>
      </c>
      <c r="E8155">
        <f>IF(B8155=1,D8155,E8154)</f>
        <v/>
      </c>
      <c r="F8155">
        <f>IF(AND(B8155=1,C8155&gt;1,E8154&lt;&gt;""),ABS(D8155-E8154),"")</f>
        <v/>
      </c>
    </row>
    <row r="8156">
      <c r="A8156" t="n">
        <v>8156</v>
      </c>
      <c r="B8156">
        <f>IF(INDEX('Data Entry'!$H$5:$BE$10004,8156-4,'Visual SPC'!$B$3)="",0,IF(AND(OR('Visual SPC'!$C$4="",'Data Entry'!$C8156&gt;='Visual SPC'!$C$4),OR('Visual SPC'!$E$4="",'Data Entry'!$C8156&lt;='Visual SPC'!$E$4),OR('Visual SPC'!$G$4="",'Data Entry'!$D8156='Visual SPC'!$G$4),OR('Visual SPC'!$I$4="",'Data Entry'!$E8156='Visual SPC'!$I$4),OR('Visual SPC'!$K$4="",'Data Entry'!$F8156='Visual SPC'!$K$4)),1,0))</f>
        <v/>
      </c>
      <c r="C8156">
        <f>C8155+B8156</f>
        <v/>
      </c>
      <c r="D8156">
        <f>IF(B8156=1,INDEX('Data Entry'!$H$5:$BE$10004,8156-4,'Visual SPC'!$B$3),"")</f>
        <v/>
      </c>
      <c r="E8156">
        <f>IF(B8156=1,D8156,E8155)</f>
        <v/>
      </c>
      <c r="F8156">
        <f>IF(AND(B8156=1,C8156&gt;1,E8155&lt;&gt;""),ABS(D8156-E8155),"")</f>
        <v/>
      </c>
    </row>
    <row r="8157">
      <c r="A8157" t="n">
        <v>8157</v>
      </c>
      <c r="B8157">
        <f>IF(INDEX('Data Entry'!$H$5:$BE$10004,8157-4,'Visual SPC'!$B$3)="",0,IF(AND(OR('Visual SPC'!$C$4="",'Data Entry'!$C8157&gt;='Visual SPC'!$C$4),OR('Visual SPC'!$E$4="",'Data Entry'!$C8157&lt;='Visual SPC'!$E$4),OR('Visual SPC'!$G$4="",'Data Entry'!$D8157='Visual SPC'!$G$4),OR('Visual SPC'!$I$4="",'Data Entry'!$E8157='Visual SPC'!$I$4),OR('Visual SPC'!$K$4="",'Data Entry'!$F8157='Visual SPC'!$K$4)),1,0))</f>
        <v/>
      </c>
      <c r="C8157">
        <f>C8156+B8157</f>
        <v/>
      </c>
      <c r="D8157">
        <f>IF(B8157=1,INDEX('Data Entry'!$H$5:$BE$10004,8157-4,'Visual SPC'!$B$3),"")</f>
        <v/>
      </c>
      <c r="E8157">
        <f>IF(B8157=1,D8157,E8156)</f>
        <v/>
      </c>
      <c r="F8157">
        <f>IF(AND(B8157=1,C8157&gt;1,E8156&lt;&gt;""),ABS(D8157-E8156),"")</f>
        <v/>
      </c>
    </row>
    <row r="8158">
      <c r="A8158" t="n">
        <v>8158</v>
      </c>
      <c r="B8158">
        <f>IF(INDEX('Data Entry'!$H$5:$BE$10004,8158-4,'Visual SPC'!$B$3)="",0,IF(AND(OR('Visual SPC'!$C$4="",'Data Entry'!$C8158&gt;='Visual SPC'!$C$4),OR('Visual SPC'!$E$4="",'Data Entry'!$C8158&lt;='Visual SPC'!$E$4),OR('Visual SPC'!$G$4="",'Data Entry'!$D8158='Visual SPC'!$G$4),OR('Visual SPC'!$I$4="",'Data Entry'!$E8158='Visual SPC'!$I$4),OR('Visual SPC'!$K$4="",'Data Entry'!$F8158='Visual SPC'!$K$4)),1,0))</f>
        <v/>
      </c>
      <c r="C8158">
        <f>C8157+B8158</f>
        <v/>
      </c>
      <c r="D8158">
        <f>IF(B8158=1,INDEX('Data Entry'!$H$5:$BE$10004,8158-4,'Visual SPC'!$B$3),"")</f>
        <v/>
      </c>
      <c r="E8158">
        <f>IF(B8158=1,D8158,E8157)</f>
        <v/>
      </c>
      <c r="F8158">
        <f>IF(AND(B8158=1,C8158&gt;1,E8157&lt;&gt;""),ABS(D8158-E8157),"")</f>
        <v/>
      </c>
    </row>
    <row r="8159">
      <c r="A8159" t="n">
        <v>8159</v>
      </c>
      <c r="B8159">
        <f>IF(INDEX('Data Entry'!$H$5:$BE$10004,8159-4,'Visual SPC'!$B$3)="",0,IF(AND(OR('Visual SPC'!$C$4="",'Data Entry'!$C8159&gt;='Visual SPC'!$C$4),OR('Visual SPC'!$E$4="",'Data Entry'!$C8159&lt;='Visual SPC'!$E$4),OR('Visual SPC'!$G$4="",'Data Entry'!$D8159='Visual SPC'!$G$4),OR('Visual SPC'!$I$4="",'Data Entry'!$E8159='Visual SPC'!$I$4),OR('Visual SPC'!$K$4="",'Data Entry'!$F8159='Visual SPC'!$K$4)),1,0))</f>
        <v/>
      </c>
      <c r="C8159">
        <f>C8158+B8159</f>
        <v/>
      </c>
      <c r="D8159">
        <f>IF(B8159=1,INDEX('Data Entry'!$H$5:$BE$10004,8159-4,'Visual SPC'!$B$3),"")</f>
        <v/>
      </c>
      <c r="E8159">
        <f>IF(B8159=1,D8159,E8158)</f>
        <v/>
      </c>
      <c r="F8159">
        <f>IF(AND(B8159=1,C8159&gt;1,E8158&lt;&gt;""),ABS(D8159-E8158),"")</f>
        <v/>
      </c>
    </row>
    <row r="8160">
      <c r="A8160" t="n">
        <v>8160</v>
      </c>
      <c r="B8160">
        <f>IF(INDEX('Data Entry'!$H$5:$BE$10004,8160-4,'Visual SPC'!$B$3)="",0,IF(AND(OR('Visual SPC'!$C$4="",'Data Entry'!$C8160&gt;='Visual SPC'!$C$4),OR('Visual SPC'!$E$4="",'Data Entry'!$C8160&lt;='Visual SPC'!$E$4),OR('Visual SPC'!$G$4="",'Data Entry'!$D8160='Visual SPC'!$G$4),OR('Visual SPC'!$I$4="",'Data Entry'!$E8160='Visual SPC'!$I$4),OR('Visual SPC'!$K$4="",'Data Entry'!$F8160='Visual SPC'!$K$4)),1,0))</f>
        <v/>
      </c>
      <c r="C8160">
        <f>C8159+B8160</f>
        <v/>
      </c>
      <c r="D8160">
        <f>IF(B8160=1,INDEX('Data Entry'!$H$5:$BE$10004,8160-4,'Visual SPC'!$B$3),"")</f>
        <v/>
      </c>
      <c r="E8160">
        <f>IF(B8160=1,D8160,E8159)</f>
        <v/>
      </c>
      <c r="F8160">
        <f>IF(AND(B8160=1,C8160&gt;1,E8159&lt;&gt;""),ABS(D8160-E8159),"")</f>
        <v/>
      </c>
    </row>
    <row r="8161">
      <c r="A8161" t="n">
        <v>8161</v>
      </c>
      <c r="B8161">
        <f>IF(INDEX('Data Entry'!$H$5:$BE$10004,8161-4,'Visual SPC'!$B$3)="",0,IF(AND(OR('Visual SPC'!$C$4="",'Data Entry'!$C8161&gt;='Visual SPC'!$C$4),OR('Visual SPC'!$E$4="",'Data Entry'!$C8161&lt;='Visual SPC'!$E$4),OR('Visual SPC'!$G$4="",'Data Entry'!$D8161='Visual SPC'!$G$4),OR('Visual SPC'!$I$4="",'Data Entry'!$E8161='Visual SPC'!$I$4),OR('Visual SPC'!$K$4="",'Data Entry'!$F8161='Visual SPC'!$K$4)),1,0))</f>
        <v/>
      </c>
      <c r="C8161">
        <f>C8160+B8161</f>
        <v/>
      </c>
      <c r="D8161">
        <f>IF(B8161=1,INDEX('Data Entry'!$H$5:$BE$10004,8161-4,'Visual SPC'!$B$3),"")</f>
        <v/>
      </c>
      <c r="E8161">
        <f>IF(B8161=1,D8161,E8160)</f>
        <v/>
      </c>
      <c r="F8161">
        <f>IF(AND(B8161=1,C8161&gt;1,E8160&lt;&gt;""),ABS(D8161-E8160),"")</f>
        <v/>
      </c>
    </row>
    <row r="8162">
      <c r="A8162" t="n">
        <v>8162</v>
      </c>
      <c r="B8162">
        <f>IF(INDEX('Data Entry'!$H$5:$BE$10004,8162-4,'Visual SPC'!$B$3)="",0,IF(AND(OR('Visual SPC'!$C$4="",'Data Entry'!$C8162&gt;='Visual SPC'!$C$4),OR('Visual SPC'!$E$4="",'Data Entry'!$C8162&lt;='Visual SPC'!$E$4),OR('Visual SPC'!$G$4="",'Data Entry'!$D8162='Visual SPC'!$G$4),OR('Visual SPC'!$I$4="",'Data Entry'!$E8162='Visual SPC'!$I$4),OR('Visual SPC'!$K$4="",'Data Entry'!$F8162='Visual SPC'!$K$4)),1,0))</f>
        <v/>
      </c>
      <c r="C8162">
        <f>C8161+B8162</f>
        <v/>
      </c>
      <c r="D8162">
        <f>IF(B8162=1,INDEX('Data Entry'!$H$5:$BE$10004,8162-4,'Visual SPC'!$B$3),"")</f>
        <v/>
      </c>
      <c r="E8162">
        <f>IF(B8162=1,D8162,E8161)</f>
        <v/>
      </c>
      <c r="F8162">
        <f>IF(AND(B8162=1,C8162&gt;1,E8161&lt;&gt;""),ABS(D8162-E8161),"")</f>
        <v/>
      </c>
    </row>
    <row r="8163">
      <c r="A8163" t="n">
        <v>8163</v>
      </c>
      <c r="B8163">
        <f>IF(INDEX('Data Entry'!$H$5:$BE$10004,8163-4,'Visual SPC'!$B$3)="",0,IF(AND(OR('Visual SPC'!$C$4="",'Data Entry'!$C8163&gt;='Visual SPC'!$C$4),OR('Visual SPC'!$E$4="",'Data Entry'!$C8163&lt;='Visual SPC'!$E$4),OR('Visual SPC'!$G$4="",'Data Entry'!$D8163='Visual SPC'!$G$4),OR('Visual SPC'!$I$4="",'Data Entry'!$E8163='Visual SPC'!$I$4),OR('Visual SPC'!$K$4="",'Data Entry'!$F8163='Visual SPC'!$K$4)),1,0))</f>
        <v/>
      </c>
      <c r="C8163">
        <f>C8162+B8163</f>
        <v/>
      </c>
      <c r="D8163">
        <f>IF(B8163=1,INDEX('Data Entry'!$H$5:$BE$10004,8163-4,'Visual SPC'!$B$3),"")</f>
        <v/>
      </c>
      <c r="E8163">
        <f>IF(B8163=1,D8163,E8162)</f>
        <v/>
      </c>
      <c r="F8163">
        <f>IF(AND(B8163=1,C8163&gt;1,E8162&lt;&gt;""),ABS(D8163-E8162),"")</f>
        <v/>
      </c>
    </row>
    <row r="8164">
      <c r="A8164" t="n">
        <v>8164</v>
      </c>
      <c r="B8164">
        <f>IF(INDEX('Data Entry'!$H$5:$BE$10004,8164-4,'Visual SPC'!$B$3)="",0,IF(AND(OR('Visual SPC'!$C$4="",'Data Entry'!$C8164&gt;='Visual SPC'!$C$4),OR('Visual SPC'!$E$4="",'Data Entry'!$C8164&lt;='Visual SPC'!$E$4),OR('Visual SPC'!$G$4="",'Data Entry'!$D8164='Visual SPC'!$G$4),OR('Visual SPC'!$I$4="",'Data Entry'!$E8164='Visual SPC'!$I$4),OR('Visual SPC'!$K$4="",'Data Entry'!$F8164='Visual SPC'!$K$4)),1,0))</f>
        <v/>
      </c>
      <c r="C8164">
        <f>C8163+B8164</f>
        <v/>
      </c>
      <c r="D8164">
        <f>IF(B8164=1,INDEX('Data Entry'!$H$5:$BE$10004,8164-4,'Visual SPC'!$B$3),"")</f>
        <v/>
      </c>
      <c r="E8164">
        <f>IF(B8164=1,D8164,E8163)</f>
        <v/>
      </c>
      <c r="F8164">
        <f>IF(AND(B8164=1,C8164&gt;1,E8163&lt;&gt;""),ABS(D8164-E8163),"")</f>
        <v/>
      </c>
    </row>
    <row r="8165">
      <c r="A8165" t="n">
        <v>8165</v>
      </c>
      <c r="B8165">
        <f>IF(INDEX('Data Entry'!$H$5:$BE$10004,8165-4,'Visual SPC'!$B$3)="",0,IF(AND(OR('Visual SPC'!$C$4="",'Data Entry'!$C8165&gt;='Visual SPC'!$C$4),OR('Visual SPC'!$E$4="",'Data Entry'!$C8165&lt;='Visual SPC'!$E$4),OR('Visual SPC'!$G$4="",'Data Entry'!$D8165='Visual SPC'!$G$4),OR('Visual SPC'!$I$4="",'Data Entry'!$E8165='Visual SPC'!$I$4),OR('Visual SPC'!$K$4="",'Data Entry'!$F8165='Visual SPC'!$K$4)),1,0))</f>
        <v/>
      </c>
      <c r="C8165">
        <f>C8164+B8165</f>
        <v/>
      </c>
      <c r="D8165">
        <f>IF(B8165=1,INDEX('Data Entry'!$H$5:$BE$10004,8165-4,'Visual SPC'!$B$3),"")</f>
        <v/>
      </c>
      <c r="E8165">
        <f>IF(B8165=1,D8165,E8164)</f>
        <v/>
      </c>
      <c r="F8165">
        <f>IF(AND(B8165=1,C8165&gt;1,E8164&lt;&gt;""),ABS(D8165-E8164),"")</f>
        <v/>
      </c>
    </row>
    <row r="8166">
      <c r="A8166" t="n">
        <v>8166</v>
      </c>
      <c r="B8166">
        <f>IF(INDEX('Data Entry'!$H$5:$BE$10004,8166-4,'Visual SPC'!$B$3)="",0,IF(AND(OR('Visual SPC'!$C$4="",'Data Entry'!$C8166&gt;='Visual SPC'!$C$4),OR('Visual SPC'!$E$4="",'Data Entry'!$C8166&lt;='Visual SPC'!$E$4),OR('Visual SPC'!$G$4="",'Data Entry'!$D8166='Visual SPC'!$G$4),OR('Visual SPC'!$I$4="",'Data Entry'!$E8166='Visual SPC'!$I$4),OR('Visual SPC'!$K$4="",'Data Entry'!$F8166='Visual SPC'!$K$4)),1,0))</f>
        <v/>
      </c>
      <c r="C8166">
        <f>C8165+B8166</f>
        <v/>
      </c>
      <c r="D8166">
        <f>IF(B8166=1,INDEX('Data Entry'!$H$5:$BE$10004,8166-4,'Visual SPC'!$B$3),"")</f>
        <v/>
      </c>
      <c r="E8166">
        <f>IF(B8166=1,D8166,E8165)</f>
        <v/>
      </c>
      <c r="F8166">
        <f>IF(AND(B8166=1,C8166&gt;1,E8165&lt;&gt;""),ABS(D8166-E8165),"")</f>
        <v/>
      </c>
    </row>
    <row r="8167">
      <c r="A8167" t="n">
        <v>8167</v>
      </c>
      <c r="B8167">
        <f>IF(INDEX('Data Entry'!$H$5:$BE$10004,8167-4,'Visual SPC'!$B$3)="",0,IF(AND(OR('Visual SPC'!$C$4="",'Data Entry'!$C8167&gt;='Visual SPC'!$C$4),OR('Visual SPC'!$E$4="",'Data Entry'!$C8167&lt;='Visual SPC'!$E$4),OR('Visual SPC'!$G$4="",'Data Entry'!$D8167='Visual SPC'!$G$4),OR('Visual SPC'!$I$4="",'Data Entry'!$E8167='Visual SPC'!$I$4),OR('Visual SPC'!$K$4="",'Data Entry'!$F8167='Visual SPC'!$K$4)),1,0))</f>
        <v/>
      </c>
      <c r="C8167">
        <f>C8166+B8167</f>
        <v/>
      </c>
      <c r="D8167">
        <f>IF(B8167=1,INDEX('Data Entry'!$H$5:$BE$10004,8167-4,'Visual SPC'!$B$3),"")</f>
        <v/>
      </c>
      <c r="E8167">
        <f>IF(B8167=1,D8167,E8166)</f>
        <v/>
      </c>
      <c r="F8167">
        <f>IF(AND(B8167=1,C8167&gt;1,E8166&lt;&gt;""),ABS(D8167-E8166),"")</f>
        <v/>
      </c>
    </row>
    <row r="8168">
      <c r="A8168" t="n">
        <v>8168</v>
      </c>
      <c r="B8168">
        <f>IF(INDEX('Data Entry'!$H$5:$BE$10004,8168-4,'Visual SPC'!$B$3)="",0,IF(AND(OR('Visual SPC'!$C$4="",'Data Entry'!$C8168&gt;='Visual SPC'!$C$4),OR('Visual SPC'!$E$4="",'Data Entry'!$C8168&lt;='Visual SPC'!$E$4),OR('Visual SPC'!$G$4="",'Data Entry'!$D8168='Visual SPC'!$G$4),OR('Visual SPC'!$I$4="",'Data Entry'!$E8168='Visual SPC'!$I$4),OR('Visual SPC'!$K$4="",'Data Entry'!$F8168='Visual SPC'!$K$4)),1,0))</f>
        <v/>
      </c>
      <c r="C8168">
        <f>C8167+B8168</f>
        <v/>
      </c>
      <c r="D8168">
        <f>IF(B8168=1,INDEX('Data Entry'!$H$5:$BE$10004,8168-4,'Visual SPC'!$B$3),"")</f>
        <v/>
      </c>
      <c r="E8168">
        <f>IF(B8168=1,D8168,E8167)</f>
        <v/>
      </c>
      <c r="F8168">
        <f>IF(AND(B8168=1,C8168&gt;1,E8167&lt;&gt;""),ABS(D8168-E8167),"")</f>
        <v/>
      </c>
    </row>
    <row r="8169">
      <c r="A8169" t="n">
        <v>8169</v>
      </c>
      <c r="B8169">
        <f>IF(INDEX('Data Entry'!$H$5:$BE$10004,8169-4,'Visual SPC'!$B$3)="",0,IF(AND(OR('Visual SPC'!$C$4="",'Data Entry'!$C8169&gt;='Visual SPC'!$C$4),OR('Visual SPC'!$E$4="",'Data Entry'!$C8169&lt;='Visual SPC'!$E$4),OR('Visual SPC'!$G$4="",'Data Entry'!$D8169='Visual SPC'!$G$4),OR('Visual SPC'!$I$4="",'Data Entry'!$E8169='Visual SPC'!$I$4),OR('Visual SPC'!$K$4="",'Data Entry'!$F8169='Visual SPC'!$K$4)),1,0))</f>
        <v/>
      </c>
      <c r="C8169">
        <f>C8168+B8169</f>
        <v/>
      </c>
      <c r="D8169">
        <f>IF(B8169=1,INDEX('Data Entry'!$H$5:$BE$10004,8169-4,'Visual SPC'!$B$3),"")</f>
        <v/>
      </c>
      <c r="E8169">
        <f>IF(B8169=1,D8169,E8168)</f>
        <v/>
      </c>
      <c r="F8169">
        <f>IF(AND(B8169=1,C8169&gt;1,E8168&lt;&gt;""),ABS(D8169-E8168),"")</f>
        <v/>
      </c>
    </row>
    <row r="8170">
      <c r="A8170" t="n">
        <v>8170</v>
      </c>
      <c r="B8170">
        <f>IF(INDEX('Data Entry'!$H$5:$BE$10004,8170-4,'Visual SPC'!$B$3)="",0,IF(AND(OR('Visual SPC'!$C$4="",'Data Entry'!$C8170&gt;='Visual SPC'!$C$4),OR('Visual SPC'!$E$4="",'Data Entry'!$C8170&lt;='Visual SPC'!$E$4),OR('Visual SPC'!$G$4="",'Data Entry'!$D8170='Visual SPC'!$G$4),OR('Visual SPC'!$I$4="",'Data Entry'!$E8170='Visual SPC'!$I$4),OR('Visual SPC'!$K$4="",'Data Entry'!$F8170='Visual SPC'!$K$4)),1,0))</f>
        <v/>
      </c>
      <c r="C8170">
        <f>C8169+B8170</f>
        <v/>
      </c>
      <c r="D8170">
        <f>IF(B8170=1,INDEX('Data Entry'!$H$5:$BE$10004,8170-4,'Visual SPC'!$B$3),"")</f>
        <v/>
      </c>
      <c r="E8170">
        <f>IF(B8170=1,D8170,E8169)</f>
        <v/>
      </c>
      <c r="F8170">
        <f>IF(AND(B8170=1,C8170&gt;1,E8169&lt;&gt;""),ABS(D8170-E8169),"")</f>
        <v/>
      </c>
    </row>
    <row r="8171">
      <c r="A8171" t="n">
        <v>8171</v>
      </c>
      <c r="B8171">
        <f>IF(INDEX('Data Entry'!$H$5:$BE$10004,8171-4,'Visual SPC'!$B$3)="",0,IF(AND(OR('Visual SPC'!$C$4="",'Data Entry'!$C8171&gt;='Visual SPC'!$C$4),OR('Visual SPC'!$E$4="",'Data Entry'!$C8171&lt;='Visual SPC'!$E$4),OR('Visual SPC'!$G$4="",'Data Entry'!$D8171='Visual SPC'!$G$4),OR('Visual SPC'!$I$4="",'Data Entry'!$E8171='Visual SPC'!$I$4),OR('Visual SPC'!$K$4="",'Data Entry'!$F8171='Visual SPC'!$K$4)),1,0))</f>
        <v/>
      </c>
      <c r="C8171">
        <f>C8170+B8171</f>
        <v/>
      </c>
      <c r="D8171">
        <f>IF(B8171=1,INDEX('Data Entry'!$H$5:$BE$10004,8171-4,'Visual SPC'!$B$3),"")</f>
        <v/>
      </c>
      <c r="E8171">
        <f>IF(B8171=1,D8171,E8170)</f>
        <v/>
      </c>
      <c r="F8171">
        <f>IF(AND(B8171=1,C8171&gt;1,E8170&lt;&gt;""),ABS(D8171-E8170),"")</f>
        <v/>
      </c>
    </row>
    <row r="8172">
      <c r="A8172" t="n">
        <v>8172</v>
      </c>
      <c r="B8172">
        <f>IF(INDEX('Data Entry'!$H$5:$BE$10004,8172-4,'Visual SPC'!$B$3)="",0,IF(AND(OR('Visual SPC'!$C$4="",'Data Entry'!$C8172&gt;='Visual SPC'!$C$4),OR('Visual SPC'!$E$4="",'Data Entry'!$C8172&lt;='Visual SPC'!$E$4),OR('Visual SPC'!$G$4="",'Data Entry'!$D8172='Visual SPC'!$G$4),OR('Visual SPC'!$I$4="",'Data Entry'!$E8172='Visual SPC'!$I$4),OR('Visual SPC'!$K$4="",'Data Entry'!$F8172='Visual SPC'!$K$4)),1,0))</f>
        <v/>
      </c>
      <c r="C8172">
        <f>C8171+B8172</f>
        <v/>
      </c>
      <c r="D8172">
        <f>IF(B8172=1,INDEX('Data Entry'!$H$5:$BE$10004,8172-4,'Visual SPC'!$B$3),"")</f>
        <v/>
      </c>
      <c r="E8172">
        <f>IF(B8172=1,D8172,E8171)</f>
        <v/>
      </c>
      <c r="F8172">
        <f>IF(AND(B8172=1,C8172&gt;1,E8171&lt;&gt;""),ABS(D8172-E8171),"")</f>
        <v/>
      </c>
    </row>
    <row r="8173">
      <c r="A8173" t="n">
        <v>8173</v>
      </c>
      <c r="B8173">
        <f>IF(INDEX('Data Entry'!$H$5:$BE$10004,8173-4,'Visual SPC'!$B$3)="",0,IF(AND(OR('Visual SPC'!$C$4="",'Data Entry'!$C8173&gt;='Visual SPC'!$C$4),OR('Visual SPC'!$E$4="",'Data Entry'!$C8173&lt;='Visual SPC'!$E$4),OR('Visual SPC'!$G$4="",'Data Entry'!$D8173='Visual SPC'!$G$4),OR('Visual SPC'!$I$4="",'Data Entry'!$E8173='Visual SPC'!$I$4),OR('Visual SPC'!$K$4="",'Data Entry'!$F8173='Visual SPC'!$K$4)),1,0))</f>
        <v/>
      </c>
      <c r="C8173">
        <f>C8172+B8173</f>
        <v/>
      </c>
      <c r="D8173">
        <f>IF(B8173=1,INDEX('Data Entry'!$H$5:$BE$10004,8173-4,'Visual SPC'!$B$3),"")</f>
        <v/>
      </c>
      <c r="E8173">
        <f>IF(B8173=1,D8173,E8172)</f>
        <v/>
      </c>
      <c r="F8173">
        <f>IF(AND(B8173=1,C8173&gt;1,E8172&lt;&gt;""),ABS(D8173-E8172),"")</f>
        <v/>
      </c>
    </row>
    <row r="8174">
      <c r="A8174" t="n">
        <v>8174</v>
      </c>
      <c r="B8174">
        <f>IF(INDEX('Data Entry'!$H$5:$BE$10004,8174-4,'Visual SPC'!$B$3)="",0,IF(AND(OR('Visual SPC'!$C$4="",'Data Entry'!$C8174&gt;='Visual SPC'!$C$4),OR('Visual SPC'!$E$4="",'Data Entry'!$C8174&lt;='Visual SPC'!$E$4),OR('Visual SPC'!$G$4="",'Data Entry'!$D8174='Visual SPC'!$G$4),OR('Visual SPC'!$I$4="",'Data Entry'!$E8174='Visual SPC'!$I$4),OR('Visual SPC'!$K$4="",'Data Entry'!$F8174='Visual SPC'!$K$4)),1,0))</f>
        <v/>
      </c>
      <c r="C8174">
        <f>C8173+B8174</f>
        <v/>
      </c>
      <c r="D8174">
        <f>IF(B8174=1,INDEX('Data Entry'!$H$5:$BE$10004,8174-4,'Visual SPC'!$B$3),"")</f>
        <v/>
      </c>
      <c r="E8174">
        <f>IF(B8174=1,D8174,E8173)</f>
        <v/>
      </c>
      <c r="F8174">
        <f>IF(AND(B8174=1,C8174&gt;1,E8173&lt;&gt;""),ABS(D8174-E8173),"")</f>
        <v/>
      </c>
    </row>
    <row r="8175">
      <c r="A8175" t="n">
        <v>8175</v>
      </c>
      <c r="B8175">
        <f>IF(INDEX('Data Entry'!$H$5:$BE$10004,8175-4,'Visual SPC'!$B$3)="",0,IF(AND(OR('Visual SPC'!$C$4="",'Data Entry'!$C8175&gt;='Visual SPC'!$C$4),OR('Visual SPC'!$E$4="",'Data Entry'!$C8175&lt;='Visual SPC'!$E$4),OR('Visual SPC'!$G$4="",'Data Entry'!$D8175='Visual SPC'!$G$4),OR('Visual SPC'!$I$4="",'Data Entry'!$E8175='Visual SPC'!$I$4),OR('Visual SPC'!$K$4="",'Data Entry'!$F8175='Visual SPC'!$K$4)),1,0))</f>
        <v/>
      </c>
      <c r="C8175">
        <f>C8174+B8175</f>
        <v/>
      </c>
      <c r="D8175">
        <f>IF(B8175=1,INDEX('Data Entry'!$H$5:$BE$10004,8175-4,'Visual SPC'!$B$3),"")</f>
        <v/>
      </c>
      <c r="E8175">
        <f>IF(B8175=1,D8175,E8174)</f>
        <v/>
      </c>
      <c r="F8175">
        <f>IF(AND(B8175=1,C8175&gt;1,E8174&lt;&gt;""),ABS(D8175-E8174),"")</f>
        <v/>
      </c>
    </row>
    <row r="8176">
      <c r="A8176" t="n">
        <v>8176</v>
      </c>
      <c r="B8176">
        <f>IF(INDEX('Data Entry'!$H$5:$BE$10004,8176-4,'Visual SPC'!$B$3)="",0,IF(AND(OR('Visual SPC'!$C$4="",'Data Entry'!$C8176&gt;='Visual SPC'!$C$4),OR('Visual SPC'!$E$4="",'Data Entry'!$C8176&lt;='Visual SPC'!$E$4),OR('Visual SPC'!$G$4="",'Data Entry'!$D8176='Visual SPC'!$G$4),OR('Visual SPC'!$I$4="",'Data Entry'!$E8176='Visual SPC'!$I$4),OR('Visual SPC'!$K$4="",'Data Entry'!$F8176='Visual SPC'!$K$4)),1,0))</f>
        <v/>
      </c>
      <c r="C8176">
        <f>C8175+B8176</f>
        <v/>
      </c>
      <c r="D8176">
        <f>IF(B8176=1,INDEX('Data Entry'!$H$5:$BE$10004,8176-4,'Visual SPC'!$B$3),"")</f>
        <v/>
      </c>
      <c r="E8176">
        <f>IF(B8176=1,D8176,E8175)</f>
        <v/>
      </c>
      <c r="F8176">
        <f>IF(AND(B8176=1,C8176&gt;1,E8175&lt;&gt;""),ABS(D8176-E8175),"")</f>
        <v/>
      </c>
    </row>
    <row r="8177">
      <c r="A8177" t="n">
        <v>8177</v>
      </c>
      <c r="B8177">
        <f>IF(INDEX('Data Entry'!$H$5:$BE$10004,8177-4,'Visual SPC'!$B$3)="",0,IF(AND(OR('Visual SPC'!$C$4="",'Data Entry'!$C8177&gt;='Visual SPC'!$C$4),OR('Visual SPC'!$E$4="",'Data Entry'!$C8177&lt;='Visual SPC'!$E$4),OR('Visual SPC'!$G$4="",'Data Entry'!$D8177='Visual SPC'!$G$4),OR('Visual SPC'!$I$4="",'Data Entry'!$E8177='Visual SPC'!$I$4),OR('Visual SPC'!$K$4="",'Data Entry'!$F8177='Visual SPC'!$K$4)),1,0))</f>
        <v/>
      </c>
      <c r="C8177">
        <f>C8176+B8177</f>
        <v/>
      </c>
      <c r="D8177">
        <f>IF(B8177=1,INDEX('Data Entry'!$H$5:$BE$10004,8177-4,'Visual SPC'!$B$3),"")</f>
        <v/>
      </c>
      <c r="E8177">
        <f>IF(B8177=1,D8177,E8176)</f>
        <v/>
      </c>
      <c r="F8177">
        <f>IF(AND(B8177=1,C8177&gt;1,E8176&lt;&gt;""),ABS(D8177-E8176),"")</f>
        <v/>
      </c>
    </row>
    <row r="8178">
      <c r="A8178" t="n">
        <v>8178</v>
      </c>
      <c r="B8178">
        <f>IF(INDEX('Data Entry'!$H$5:$BE$10004,8178-4,'Visual SPC'!$B$3)="",0,IF(AND(OR('Visual SPC'!$C$4="",'Data Entry'!$C8178&gt;='Visual SPC'!$C$4),OR('Visual SPC'!$E$4="",'Data Entry'!$C8178&lt;='Visual SPC'!$E$4),OR('Visual SPC'!$G$4="",'Data Entry'!$D8178='Visual SPC'!$G$4),OR('Visual SPC'!$I$4="",'Data Entry'!$E8178='Visual SPC'!$I$4),OR('Visual SPC'!$K$4="",'Data Entry'!$F8178='Visual SPC'!$K$4)),1,0))</f>
        <v/>
      </c>
      <c r="C8178">
        <f>C8177+B8178</f>
        <v/>
      </c>
      <c r="D8178">
        <f>IF(B8178=1,INDEX('Data Entry'!$H$5:$BE$10004,8178-4,'Visual SPC'!$B$3),"")</f>
        <v/>
      </c>
      <c r="E8178">
        <f>IF(B8178=1,D8178,E8177)</f>
        <v/>
      </c>
      <c r="F8178">
        <f>IF(AND(B8178=1,C8178&gt;1,E8177&lt;&gt;""),ABS(D8178-E8177),"")</f>
        <v/>
      </c>
    </row>
    <row r="8179">
      <c r="A8179" t="n">
        <v>8179</v>
      </c>
      <c r="B8179">
        <f>IF(INDEX('Data Entry'!$H$5:$BE$10004,8179-4,'Visual SPC'!$B$3)="",0,IF(AND(OR('Visual SPC'!$C$4="",'Data Entry'!$C8179&gt;='Visual SPC'!$C$4),OR('Visual SPC'!$E$4="",'Data Entry'!$C8179&lt;='Visual SPC'!$E$4),OR('Visual SPC'!$G$4="",'Data Entry'!$D8179='Visual SPC'!$G$4),OR('Visual SPC'!$I$4="",'Data Entry'!$E8179='Visual SPC'!$I$4),OR('Visual SPC'!$K$4="",'Data Entry'!$F8179='Visual SPC'!$K$4)),1,0))</f>
        <v/>
      </c>
      <c r="C8179">
        <f>C8178+B8179</f>
        <v/>
      </c>
      <c r="D8179">
        <f>IF(B8179=1,INDEX('Data Entry'!$H$5:$BE$10004,8179-4,'Visual SPC'!$B$3),"")</f>
        <v/>
      </c>
      <c r="E8179">
        <f>IF(B8179=1,D8179,E8178)</f>
        <v/>
      </c>
      <c r="F8179">
        <f>IF(AND(B8179=1,C8179&gt;1,E8178&lt;&gt;""),ABS(D8179-E8178),"")</f>
        <v/>
      </c>
    </row>
    <row r="8180">
      <c r="A8180" t="n">
        <v>8180</v>
      </c>
      <c r="B8180">
        <f>IF(INDEX('Data Entry'!$H$5:$BE$10004,8180-4,'Visual SPC'!$B$3)="",0,IF(AND(OR('Visual SPC'!$C$4="",'Data Entry'!$C8180&gt;='Visual SPC'!$C$4),OR('Visual SPC'!$E$4="",'Data Entry'!$C8180&lt;='Visual SPC'!$E$4),OR('Visual SPC'!$G$4="",'Data Entry'!$D8180='Visual SPC'!$G$4),OR('Visual SPC'!$I$4="",'Data Entry'!$E8180='Visual SPC'!$I$4),OR('Visual SPC'!$K$4="",'Data Entry'!$F8180='Visual SPC'!$K$4)),1,0))</f>
        <v/>
      </c>
      <c r="C8180">
        <f>C8179+B8180</f>
        <v/>
      </c>
      <c r="D8180">
        <f>IF(B8180=1,INDEX('Data Entry'!$H$5:$BE$10004,8180-4,'Visual SPC'!$B$3),"")</f>
        <v/>
      </c>
      <c r="E8180">
        <f>IF(B8180=1,D8180,E8179)</f>
        <v/>
      </c>
      <c r="F8180">
        <f>IF(AND(B8180=1,C8180&gt;1,E8179&lt;&gt;""),ABS(D8180-E8179),"")</f>
        <v/>
      </c>
    </row>
    <row r="8181">
      <c r="A8181" t="n">
        <v>8181</v>
      </c>
      <c r="B8181">
        <f>IF(INDEX('Data Entry'!$H$5:$BE$10004,8181-4,'Visual SPC'!$B$3)="",0,IF(AND(OR('Visual SPC'!$C$4="",'Data Entry'!$C8181&gt;='Visual SPC'!$C$4),OR('Visual SPC'!$E$4="",'Data Entry'!$C8181&lt;='Visual SPC'!$E$4),OR('Visual SPC'!$G$4="",'Data Entry'!$D8181='Visual SPC'!$G$4),OR('Visual SPC'!$I$4="",'Data Entry'!$E8181='Visual SPC'!$I$4),OR('Visual SPC'!$K$4="",'Data Entry'!$F8181='Visual SPC'!$K$4)),1,0))</f>
        <v/>
      </c>
      <c r="C8181">
        <f>C8180+B8181</f>
        <v/>
      </c>
      <c r="D8181">
        <f>IF(B8181=1,INDEX('Data Entry'!$H$5:$BE$10004,8181-4,'Visual SPC'!$B$3),"")</f>
        <v/>
      </c>
      <c r="E8181">
        <f>IF(B8181=1,D8181,E8180)</f>
        <v/>
      </c>
      <c r="F8181">
        <f>IF(AND(B8181=1,C8181&gt;1,E8180&lt;&gt;""),ABS(D8181-E8180),"")</f>
        <v/>
      </c>
    </row>
    <row r="8182">
      <c r="A8182" t="n">
        <v>8182</v>
      </c>
      <c r="B8182">
        <f>IF(INDEX('Data Entry'!$H$5:$BE$10004,8182-4,'Visual SPC'!$B$3)="",0,IF(AND(OR('Visual SPC'!$C$4="",'Data Entry'!$C8182&gt;='Visual SPC'!$C$4),OR('Visual SPC'!$E$4="",'Data Entry'!$C8182&lt;='Visual SPC'!$E$4),OR('Visual SPC'!$G$4="",'Data Entry'!$D8182='Visual SPC'!$G$4),OR('Visual SPC'!$I$4="",'Data Entry'!$E8182='Visual SPC'!$I$4),OR('Visual SPC'!$K$4="",'Data Entry'!$F8182='Visual SPC'!$K$4)),1,0))</f>
        <v/>
      </c>
      <c r="C8182">
        <f>C8181+B8182</f>
        <v/>
      </c>
      <c r="D8182">
        <f>IF(B8182=1,INDEX('Data Entry'!$H$5:$BE$10004,8182-4,'Visual SPC'!$B$3),"")</f>
        <v/>
      </c>
      <c r="E8182">
        <f>IF(B8182=1,D8182,E8181)</f>
        <v/>
      </c>
      <c r="F8182">
        <f>IF(AND(B8182=1,C8182&gt;1,E8181&lt;&gt;""),ABS(D8182-E8181),"")</f>
        <v/>
      </c>
    </row>
    <row r="8183">
      <c r="A8183" t="n">
        <v>8183</v>
      </c>
      <c r="B8183">
        <f>IF(INDEX('Data Entry'!$H$5:$BE$10004,8183-4,'Visual SPC'!$B$3)="",0,IF(AND(OR('Visual SPC'!$C$4="",'Data Entry'!$C8183&gt;='Visual SPC'!$C$4),OR('Visual SPC'!$E$4="",'Data Entry'!$C8183&lt;='Visual SPC'!$E$4),OR('Visual SPC'!$G$4="",'Data Entry'!$D8183='Visual SPC'!$G$4),OR('Visual SPC'!$I$4="",'Data Entry'!$E8183='Visual SPC'!$I$4),OR('Visual SPC'!$K$4="",'Data Entry'!$F8183='Visual SPC'!$K$4)),1,0))</f>
        <v/>
      </c>
      <c r="C8183">
        <f>C8182+B8183</f>
        <v/>
      </c>
      <c r="D8183">
        <f>IF(B8183=1,INDEX('Data Entry'!$H$5:$BE$10004,8183-4,'Visual SPC'!$B$3),"")</f>
        <v/>
      </c>
      <c r="E8183">
        <f>IF(B8183=1,D8183,E8182)</f>
        <v/>
      </c>
      <c r="F8183">
        <f>IF(AND(B8183=1,C8183&gt;1,E8182&lt;&gt;""),ABS(D8183-E8182),"")</f>
        <v/>
      </c>
    </row>
    <row r="8184">
      <c r="A8184" t="n">
        <v>8184</v>
      </c>
      <c r="B8184">
        <f>IF(INDEX('Data Entry'!$H$5:$BE$10004,8184-4,'Visual SPC'!$B$3)="",0,IF(AND(OR('Visual SPC'!$C$4="",'Data Entry'!$C8184&gt;='Visual SPC'!$C$4),OR('Visual SPC'!$E$4="",'Data Entry'!$C8184&lt;='Visual SPC'!$E$4),OR('Visual SPC'!$G$4="",'Data Entry'!$D8184='Visual SPC'!$G$4),OR('Visual SPC'!$I$4="",'Data Entry'!$E8184='Visual SPC'!$I$4),OR('Visual SPC'!$K$4="",'Data Entry'!$F8184='Visual SPC'!$K$4)),1,0))</f>
        <v/>
      </c>
      <c r="C8184">
        <f>C8183+B8184</f>
        <v/>
      </c>
      <c r="D8184">
        <f>IF(B8184=1,INDEX('Data Entry'!$H$5:$BE$10004,8184-4,'Visual SPC'!$B$3),"")</f>
        <v/>
      </c>
      <c r="E8184">
        <f>IF(B8184=1,D8184,E8183)</f>
        <v/>
      </c>
      <c r="F8184">
        <f>IF(AND(B8184=1,C8184&gt;1,E8183&lt;&gt;""),ABS(D8184-E8183),"")</f>
        <v/>
      </c>
    </row>
    <row r="8185">
      <c r="A8185" t="n">
        <v>8185</v>
      </c>
      <c r="B8185">
        <f>IF(INDEX('Data Entry'!$H$5:$BE$10004,8185-4,'Visual SPC'!$B$3)="",0,IF(AND(OR('Visual SPC'!$C$4="",'Data Entry'!$C8185&gt;='Visual SPC'!$C$4),OR('Visual SPC'!$E$4="",'Data Entry'!$C8185&lt;='Visual SPC'!$E$4),OR('Visual SPC'!$G$4="",'Data Entry'!$D8185='Visual SPC'!$G$4),OR('Visual SPC'!$I$4="",'Data Entry'!$E8185='Visual SPC'!$I$4),OR('Visual SPC'!$K$4="",'Data Entry'!$F8185='Visual SPC'!$K$4)),1,0))</f>
        <v/>
      </c>
      <c r="C8185">
        <f>C8184+B8185</f>
        <v/>
      </c>
      <c r="D8185">
        <f>IF(B8185=1,INDEX('Data Entry'!$H$5:$BE$10004,8185-4,'Visual SPC'!$B$3),"")</f>
        <v/>
      </c>
      <c r="E8185">
        <f>IF(B8185=1,D8185,E8184)</f>
        <v/>
      </c>
      <c r="F8185">
        <f>IF(AND(B8185=1,C8185&gt;1,E8184&lt;&gt;""),ABS(D8185-E8184),"")</f>
        <v/>
      </c>
    </row>
    <row r="8186">
      <c r="A8186" t="n">
        <v>8186</v>
      </c>
      <c r="B8186">
        <f>IF(INDEX('Data Entry'!$H$5:$BE$10004,8186-4,'Visual SPC'!$B$3)="",0,IF(AND(OR('Visual SPC'!$C$4="",'Data Entry'!$C8186&gt;='Visual SPC'!$C$4),OR('Visual SPC'!$E$4="",'Data Entry'!$C8186&lt;='Visual SPC'!$E$4),OR('Visual SPC'!$G$4="",'Data Entry'!$D8186='Visual SPC'!$G$4),OR('Visual SPC'!$I$4="",'Data Entry'!$E8186='Visual SPC'!$I$4),OR('Visual SPC'!$K$4="",'Data Entry'!$F8186='Visual SPC'!$K$4)),1,0))</f>
        <v/>
      </c>
      <c r="C8186">
        <f>C8185+B8186</f>
        <v/>
      </c>
      <c r="D8186">
        <f>IF(B8186=1,INDEX('Data Entry'!$H$5:$BE$10004,8186-4,'Visual SPC'!$B$3),"")</f>
        <v/>
      </c>
      <c r="E8186">
        <f>IF(B8186=1,D8186,E8185)</f>
        <v/>
      </c>
      <c r="F8186">
        <f>IF(AND(B8186=1,C8186&gt;1,E8185&lt;&gt;""),ABS(D8186-E8185),"")</f>
        <v/>
      </c>
    </row>
    <row r="8187">
      <c r="A8187" t="n">
        <v>8187</v>
      </c>
      <c r="B8187">
        <f>IF(INDEX('Data Entry'!$H$5:$BE$10004,8187-4,'Visual SPC'!$B$3)="",0,IF(AND(OR('Visual SPC'!$C$4="",'Data Entry'!$C8187&gt;='Visual SPC'!$C$4),OR('Visual SPC'!$E$4="",'Data Entry'!$C8187&lt;='Visual SPC'!$E$4),OR('Visual SPC'!$G$4="",'Data Entry'!$D8187='Visual SPC'!$G$4),OR('Visual SPC'!$I$4="",'Data Entry'!$E8187='Visual SPC'!$I$4),OR('Visual SPC'!$K$4="",'Data Entry'!$F8187='Visual SPC'!$K$4)),1,0))</f>
        <v/>
      </c>
      <c r="C8187">
        <f>C8186+B8187</f>
        <v/>
      </c>
      <c r="D8187">
        <f>IF(B8187=1,INDEX('Data Entry'!$H$5:$BE$10004,8187-4,'Visual SPC'!$B$3),"")</f>
        <v/>
      </c>
      <c r="E8187">
        <f>IF(B8187=1,D8187,E8186)</f>
        <v/>
      </c>
      <c r="F8187">
        <f>IF(AND(B8187=1,C8187&gt;1,E8186&lt;&gt;""),ABS(D8187-E8186),"")</f>
        <v/>
      </c>
    </row>
    <row r="8188">
      <c r="A8188" t="n">
        <v>8188</v>
      </c>
      <c r="B8188">
        <f>IF(INDEX('Data Entry'!$H$5:$BE$10004,8188-4,'Visual SPC'!$B$3)="",0,IF(AND(OR('Visual SPC'!$C$4="",'Data Entry'!$C8188&gt;='Visual SPC'!$C$4),OR('Visual SPC'!$E$4="",'Data Entry'!$C8188&lt;='Visual SPC'!$E$4),OR('Visual SPC'!$G$4="",'Data Entry'!$D8188='Visual SPC'!$G$4),OR('Visual SPC'!$I$4="",'Data Entry'!$E8188='Visual SPC'!$I$4),OR('Visual SPC'!$K$4="",'Data Entry'!$F8188='Visual SPC'!$K$4)),1,0))</f>
        <v/>
      </c>
      <c r="C8188">
        <f>C8187+B8188</f>
        <v/>
      </c>
      <c r="D8188">
        <f>IF(B8188=1,INDEX('Data Entry'!$H$5:$BE$10004,8188-4,'Visual SPC'!$B$3),"")</f>
        <v/>
      </c>
      <c r="E8188">
        <f>IF(B8188=1,D8188,E8187)</f>
        <v/>
      </c>
      <c r="F8188">
        <f>IF(AND(B8188=1,C8188&gt;1,E8187&lt;&gt;""),ABS(D8188-E8187),"")</f>
        <v/>
      </c>
    </row>
    <row r="8189">
      <c r="A8189" t="n">
        <v>8189</v>
      </c>
      <c r="B8189">
        <f>IF(INDEX('Data Entry'!$H$5:$BE$10004,8189-4,'Visual SPC'!$B$3)="",0,IF(AND(OR('Visual SPC'!$C$4="",'Data Entry'!$C8189&gt;='Visual SPC'!$C$4),OR('Visual SPC'!$E$4="",'Data Entry'!$C8189&lt;='Visual SPC'!$E$4),OR('Visual SPC'!$G$4="",'Data Entry'!$D8189='Visual SPC'!$G$4),OR('Visual SPC'!$I$4="",'Data Entry'!$E8189='Visual SPC'!$I$4),OR('Visual SPC'!$K$4="",'Data Entry'!$F8189='Visual SPC'!$K$4)),1,0))</f>
        <v/>
      </c>
      <c r="C8189">
        <f>C8188+B8189</f>
        <v/>
      </c>
      <c r="D8189">
        <f>IF(B8189=1,INDEX('Data Entry'!$H$5:$BE$10004,8189-4,'Visual SPC'!$B$3),"")</f>
        <v/>
      </c>
      <c r="E8189">
        <f>IF(B8189=1,D8189,E8188)</f>
        <v/>
      </c>
      <c r="F8189">
        <f>IF(AND(B8189=1,C8189&gt;1,E8188&lt;&gt;""),ABS(D8189-E8188),"")</f>
        <v/>
      </c>
    </row>
    <row r="8190">
      <c r="A8190" t="n">
        <v>8190</v>
      </c>
      <c r="B8190">
        <f>IF(INDEX('Data Entry'!$H$5:$BE$10004,8190-4,'Visual SPC'!$B$3)="",0,IF(AND(OR('Visual SPC'!$C$4="",'Data Entry'!$C8190&gt;='Visual SPC'!$C$4),OR('Visual SPC'!$E$4="",'Data Entry'!$C8190&lt;='Visual SPC'!$E$4),OR('Visual SPC'!$G$4="",'Data Entry'!$D8190='Visual SPC'!$G$4),OR('Visual SPC'!$I$4="",'Data Entry'!$E8190='Visual SPC'!$I$4),OR('Visual SPC'!$K$4="",'Data Entry'!$F8190='Visual SPC'!$K$4)),1,0))</f>
        <v/>
      </c>
      <c r="C8190">
        <f>C8189+B8190</f>
        <v/>
      </c>
      <c r="D8190">
        <f>IF(B8190=1,INDEX('Data Entry'!$H$5:$BE$10004,8190-4,'Visual SPC'!$B$3),"")</f>
        <v/>
      </c>
      <c r="E8190">
        <f>IF(B8190=1,D8190,E8189)</f>
        <v/>
      </c>
      <c r="F8190">
        <f>IF(AND(B8190=1,C8190&gt;1,E8189&lt;&gt;""),ABS(D8190-E8189),"")</f>
        <v/>
      </c>
    </row>
    <row r="8191">
      <c r="A8191" t="n">
        <v>8191</v>
      </c>
      <c r="B8191">
        <f>IF(INDEX('Data Entry'!$H$5:$BE$10004,8191-4,'Visual SPC'!$B$3)="",0,IF(AND(OR('Visual SPC'!$C$4="",'Data Entry'!$C8191&gt;='Visual SPC'!$C$4),OR('Visual SPC'!$E$4="",'Data Entry'!$C8191&lt;='Visual SPC'!$E$4),OR('Visual SPC'!$G$4="",'Data Entry'!$D8191='Visual SPC'!$G$4),OR('Visual SPC'!$I$4="",'Data Entry'!$E8191='Visual SPC'!$I$4),OR('Visual SPC'!$K$4="",'Data Entry'!$F8191='Visual SPC'!$K$4)),1,0))</f>
        <v/>
      </c>
      <c r="C8191">
        <f>C8190+B8191</f>
        <v/>
      </c>
      <c r="D8191">
        <f>IF(B8191=1,INDEX('Data Entry'!$H$5:$BE$10004,8191-4,'Visual SPC'!$B$3),"")</f>
        <v/>
      </c>
      <c r="E8191">
        <f>IF(B8191=1,D8191,E8190)</f>
        <v/>
      </c>
      <c r="F8191">
        <f>IF(AND(B8191=1,C8191&gt;1,E8190&lt;&gt;""),ABS(D8191-E8190),"")</f>
        <v/>
      </c>
    </row>
    <row r="8192">
      <c r="A8192" t="n">
        <v>8192</v>
      </c>
      <c r="B8192">
        <f>IF(INDEX('Data Entry'!$H$5:$BE$10004,8192-4,'Visual SPC'!$B$3)="",0,IF(AND(OR('Visual SPC'!$C$4="",'Data Entry'!$C8192&gt;='Visual SPC'!$C$4),OR('Visual SPC'!$E$4="",'Data Entry'!$C8192&lt;='Visual SPC'!$E$4),OR('Visual SPC'!$G$4="",'Data Entry'!$D8192='Visual SPC'!$G$4),OR('Visual SPC'!$I$4="",'Data Entry'!$E8192='Visual SPC'!$I$4),OR('Visual SPC'!$K$4="",'Data Entry'!$F8192='Visual SPC'!$K$4)),1,0))</f>
        <v/>
      </c>
      <c r="C8192">
        <f>C8191+B8192</f>
        <v/>
      </c>
      <c r="D8192">
        <f>IF(B8192=1,INDEX('Data Entry'!$H$5:$BE$10004,8192-4,'Visual SPC'!$B$3),"")</f>
        <v/>
      </c>
      <c r="E8192">
        <f>IF(B8192=1,D8192,E8191)</f>
        <v/>
      </c>
      <c r="F8192">
        <f>IF(AND(B8192=1,C8192&gt;1,E8191&lt;&gt;""),ABS(D8192-E8191),"")</f>
        <v/>
      </c>
    </row>
    <row r="8193">
      <c r="A8193" t="n">
        <v>8193</v>
      </c>
      <c r="B8193">
        <f>IF(INDEX('Data Entry'!$H$5:$BE$10004,8193-4,'Visual SPC'!$B$3)="",0,IF(AND(OR('Visual SPC'!$C$4="",'Data Entry'!$C8193&gt;='Visual SPC'!$C$4),OR('Visual SPC'!$E$4="",'Data Entry'!$C8193&lt;='Visual SPC'!$E$4),OR('Visual SPC'!$G$4="",'Data Entry'!$D8193='Visual SPC'!$G$4),OR('Visual SPC'!$I$4="",'Data Entry'!$E8193='Visual SPC'!$I$4),OR('Visual SPC'!$K$4="",'Data Entry'!$F8193='Visual SPC'!$K$4)),1,0))</f>
        <v/>
      </c>
      <c r="C8193">
        <f>C8192+B8193</f>
        <v/>
      </c>
      <c r="D8193">
        <f>IF(B8193=1,INDEX('Data Entry'!$H$5:$BE$10004,8193-4,'Visual SPC'!$B$3),"")</f>
        <v/>
      </c>
      <c r="E8193">
        <f>IF(B8193=1,D8193,E8192)</f>
        <v/>
      </c>
      <c r="F8193">
        <f>IF(AND(B8193=1,C8193&gt;1,E8192&lt;&gt;""),ABS(D8193-E8192),"")</f>
        <v/>
      </c>
    </row>
    <row r="8194">
      <c r="A8194" t="n">
        <v>8194</v>
      </c>
      <c r="B8194">
        <f>IF(INDEX('Data Entry'!$H$5:$BE$10004,8194-4,'Visual SPC'!$B$3)="",0,IF(AND(OR('Visual SPC'!$C$4="",'Data Entry'!$C8194&gt;='Visual SPC'!$C$4),OR('Visual SPC'!$E$4="",'Data Entry'!$C8194&lt;='Visual SPC'!$E$4),OR('Visual SPC'!$G$4="",'Data Entry'!$D8194='Visual SPC'!$G$4),OR('Visual SPC'!$I$4="",'Data Entry'!$E8194='Visual SPC'!$I$4),OR('Visual SPC'!$K$4="",'Data Entry'!$F8194='Visual SPC'!$K$4)),1,0))</f>
        <v/>
      </c>
      <c r="C8194">
        <f>C8193+B8194</f>
        <v/>
      </c>
      <c r="D8194">
        <f>IF(B8194=1,INDEX('Data Entry'!$H$5:$BE$10004,8194-4,'Visual SPC'!$B$3),"")</f>
        <v/>
      </c>
      <c r="E8194">
        <f>IF(B8194=1,D8194,E8193)</f>
        <v/>
      </c>
      <c r="F8194">
        <f>IF(AND(B8194=1,C8194&gt;1,E8193&lt;&gt;""),ABS(D8194-E8193),"")</f>
        <v/>
      </c>
    </row>
    <row r="8195">
      <c r="A8195" t="n">
        <v>8195</v>
      </c>
      <c r="B8195">
        <f>IF(INDEX('Data Entry'!$H$5:$BE$10004,8195-4,'Visual SPC'!$B$3)="",0,IF(AND(OR('Visual SPC'!$C$4="",'Data Entry'!$C8195&gt;='Visual SPC'!$C$4),OR('Visual SPC'!$E$4="",'Data Entry'!$C8195&lt;='Visual SPC'!$E$4),OR('Visual SPC'!$G$4="",'Data Entry'!$D8195='Visual SPC'!$G$4),OR('Visual SPC'!$I$4="",'Data Entry'!$E8195='Visual SPC'!$I$4),OR('Visual SPC'!$K$4="",'Data Entry'!$F8195='Visual SPC'!$K$4)),1,0))</f>
        <v/>
      </c>
      <c r="C8195">
        <f>C8194+B8195</f>
        <v/>
      </c>
      <c r="D8195">
        <f>IF(B8195=1,INDEX('Data Entry'!$H$5:$BE$10004,8195-4,'Visual SPC'!$B$3),"")</f>
        <v/>
      </c>
      <c r="E8195">
        <f>IF(B8195=1,D8195,E8194)</f>
        <v/>
      </c>
      <c r="F8195">
        <f>IF(AND(B8195=1,C8195&gt;1,E8194&lt;&gt;""),ABS(D8195-E8194),"")</f>
        <v/>
      </c>
    </row>
    <row r="8196">
      <c r="A8196" t="n">
        <v>8196</v>
      </c>
      <c r="B8196">
        <f>IF(INDEX('Data Entry'!$H$5:$BE$10004,8196-4,'Visual SPC'!$B$3)="",0,IF(AND(OR('Visual SPC'!$C$4="",'Data Entry'!$C8196&gt;='Visual SPC'!$C$4),OR('Visual SPC'!$E$4="",'Data Entry'!$C8196&lt;='Visual SPC'!$E$4),OR('Visual SPC'!$G$4="",'Data Entry'!$D8196='Visual SPC'!$G$4),OR('Visual SPC'!$I$4="",'Data Entry'!$E8196='Visual SPC'!$I$4),OR('Visual SPC'!$K$4="",'Data Entry'!$F8196='Visual SPC'!$K$4)),1,0))</f>
        <v/>
      </c>
      <c r="C8196">
        <f>C8195+B8196</f>
        <v/>
      </c>
      <c r="D8196">
        <f>IF(B8196=1,INDEX('Data Entry'!$H$5:$BE$10004,8196-4,'Visual SPC'!$B$3),"")</f>
        <v/>
      </c>
      <c r="E8196">
        <f>IF(B8196=1,D8196,E8195)</f>
        <v/>
      </c>
      <c r="F8196">
        <f>IF(AND(B8196=1,C8196&gt;1,E8195&lt;&gt;""),ABS(D8196-E8195),"")</f>
        <v/>
      </c>
    </row>
    <row r="8197">
      <c r="A8197" t="n">
        <v>8197</v>
      </c>
      <c r="B8197">
        <f>IF(INDEX('Data Entry'!$H$5:$BE$10004,8197-4,'Visual SPC'!$B$3)="",0,IF(AND(OR('Visual SPC'!$C$4="",'Data Entry'!$C8197&gt;='Visual SPC'!$C$4),OR('Visual SPC'!$E$4="",'Data Entry'!$C8197&lt;='Visual SPC'!$E$4),OR('Visual SPC'!$G$4="",'Data Entry'!$D8197='Visual SPC'!$G$4),OR('Visual SPC'!$I$4="",'Data Entry'!$E8197='Visual SPC'!$I$4),OR('Visual SPC'!$K$4="",'Data Entry'!$F8197='Visual SPC'!$K$4)),1,0))</f>
        <v/>
      </c>
      <c r="C8197">
        <f>C8196+B8197</f>
        <v/>
      </c>
      <c r="D8197">
        <f>IF(B8197=1,INDEX('Data Entry'!$H$5:$BE$10004,8197-4,'Visual SPC'!$B$3),"")</f>
        <v/>
      </c>
      <c r="E8197">
        <f>IF(B8197=1,D8197,E8196)</f>
        <v/>
      </c>
      <c r="F8197">
        <f>IF(AND(B8197=1,C8197&gt;1,E8196&lt;&gt;""),ABS(D8197-E8196),"")</f>
        <v/>
      </c>
    </row>
    <row r="8198">
      <c r="A8198" t="n">
        <v>8198</v>
      </c>
      <c r="B8198">
        <f>IF(INDEX('Data Entry'!$H$5:$BE$10004,8198-4,'Visual SPC'!$B$3)="",0,IF(AND(OR('Visual SPC'!$C$4="",'Data Entry'!$C8198&gt;='Visual SPC'!$C$4),OR('Visual SPC'!$E$4="",'Data Entry'!$C8198&lt;='Visual SPC'!$E$4),OR('Visual SPC'!$G$4="",'Data Entry'!$D8198='Visual SPC'!$G$4),OR('Visual SPC'!$I$4="",'Data Entry'!$E8198='Visual SPC'!$I$4),OR('Visual SPC'!$K$4="",'Data Entry'!$F8198='Visual SPC'!$K$4)),1,0))</f>
        <v/>
      </c>
      <c r="C8198">
        <f>C8197+B8198</f>
        <v/>
      </c>
      <c r="D8198">
        <f>IF(B8198=1,INDEX('Data Entry'!$H$5:$BE$10004,8198-4,'Visual SPC'!$B$3),"")</f>
        <v/>
      </c>
      <c r="E8198">
        <f>IF(B8198=1,D8198,E8197)</f>
        <v/>
      </c>
      <c r="F8198">
        <f>IF(AND(B8198=1,C8198&gt;1,E8197&lt;&gt;""),ABS(D8198-E8197),"")</f>
        <v/>
      </c>
    </row>
    <row r="8199">
      <c r="A8199" t="n">
        <v>8199</v>
      </c>
      <c r="B8199">
        <f>IF(INDEX('Data Entry'!$H$5:$BE$10004,8199-4,'Visual SPC'!$B$3)="",0,IF(AND(OR('Visual SPC'!$C$4="",'Data Entry'!$C8199&gt;='Visual SPC'!$C$4),OR('Visual SPC'!$E$4="",'Data Entry'!$C8199&lt;='Visual SPC'!$E$4),OR('Visual SPC'!$G$4="",'Data Entry'!$D8199='Visual SPC'!$G$4),OR('Visual SPC'!$I$4="",'Data Entry'!$E8199='Visual SPC'!$I$4),OR('Visual SPC'!$K$4="",'Data Entry'!$F8199='Visual SPC'!$K$4)),1,0))</f>
        <v/>
      </c>
      <c r="C8199">
        <f>C8198+B8199</f>
        <v/>
      </c>
      <c r="D8199">
        <f>IF(B8199=1,INDEX('Data Entry'!$H$5:$BE$10004,8199-4,'Visual SPC'!$B$3),"")</f>
        <v/>
      </c>
      <c r="E8199">
        <f>IF(B8199=1,D8199,E8198)</f>
        <v/>
      </c>
      <c r="F8199">
        <f>IF(AND(B8199=1,C8199&gt;1,E8198&lt;&gt;""),ABS(D8199-E8198),"")</f>
        <v/>
      </c>
    </row>
    <row r="8200">
      <c r="A8200" t="n">
        <v>8200</v>
      </c>
      <c r="B8200">
        <f>IF(INDEX('Data Entry'!$H$5:$BE$10004,8200-4,'Visual SPC'!$B$3)="",0,IF(AND(OR('Visual SPC'!$C$4="",'Data Entry'!$C8200&gt;='Visual SPC'!$C$4),OR('Visual SPC'!$E$4="",'Data Entry'!$C8200&lt;='Visual SPC'!$E$4),OR('Visual SPC'!$G$4="",'Data Entry'!$D8200='Visual SPC'!$G$4),OR('Visual SPC'!$I$4="",'Data Entry'!$E8200='Visual SPC'!$I$4),OR('Visual SPC'!$K$4="",'Data Entry'!$F8200='Visual SPC'!$K$4)),1,0))</f>
        <v/>
      </c>
      <c r="C8200">
        <f>C8199+B8200</f>
        <v/>
      </c>
      <c r="D8200">
        <f>IF(B8200=1,INDEX('Data Entry'!$H$5:$BE$10004,8200-4,'Visual SPC'!$B$3),"")</f>
        <v/>
      </c>
      <c r="E8200">
        <f>IF(B8200=1,D8200,E8199)</f>
        <v/>
      </c>
      <c r="F8200">
        <f>IF(AND(B8200=1,C8200&gt;1,E8199&lt;&gt;""),ABS(D8200-E8199),"")</f>
        <v/>
      </c>
    </row>
    <row r="8201">
      <c r="A8201" t="n">
        <v>8201</v>
      </c>
      <c r="B8201">
        <f>IF(INDEX('Data Entry'!$H$5:$BE$10004,8201-4,'Visual SPC'!$B$3)="",0,IF(AND(OR('Visual SPC'!$C$4="",'Data Entry'!$C8201&gt;='Visual SPC'!$C$4),OR('Visual SPC'!$E$4="",'Data Entry'!$C8201&lt;='Visual SPC'!$E$4),OR('Visual SPC'!$G$4="",'Data Entry'!$D8201='Visual SPC'!$G$4),OR('Visual SPC'!$I$4="",'Data Entry'!$E8201='Visual SPC'!$I$4),OR('Visual SPC'!$K$4="",'Data Entry'!$F8201='Visual SPC'!$K$4)),1,0))</f>
        <v/>
      </c>
      <c r="C8201">
        <f>C8200+B8201</f>
        <v/>
      </c>
      <c r="D8201">
        <f>IF(B8201=1,INDEX('Data Entry'!$H$5:$BE$10004,8201-4,'Visual SPC'!$B$3),"")</f>
        <v/>
      </c>
      <c r="E8201">
        <f>IF(B8201=1,D8201,E8200)</f>
        <v/>
      </c>
      <c r="F8201">
        <f>IF(AND(B8201=1,C8201&gt;1,E8200&lt;&gt;""),ABS(D8201-E8200),"")</f>
        <v/>
      </c>
    </row>
    <row r="8202">
      <c r="A8202" t="n">
        <v>8202</v>
      </c>
      <c r="B8202">
        <f>IF(INDEX('Data Entry'!$H$5:$BE$10004,8202-4,'Visual SPC'!$B$3)="",0,IF(AND(OR('Visual SPC'!$C$4="",'Data Entry'!$C8202&gt;='Visual SPC'!$C$4),OR('Visual SPC'!$E$4="",'Data Entry'!$C8202&lt;='Visual SPC'!$E$4),OR('Visual SPC'!$G$4="",'Data Entry'!$D8202='Visual SPC'!$G$4),OR('Visual SPC'!$I$4="",'Data Entry'!$E8202='Visual SPC'!$I$4),OR('Visual SPC'!$K$4="",'Data Entry'!$F8202='Visual SPC'!$K$4)),1,0))</f>
        <v/>
      </c>
      <c r="C8202">
        <f>C8201+B8202</f>
        <v/>
      </c>
      <c r="D8202">
        <f>IF(B8202=1,INDEX('Data Entry'!$H$5:$BE$10004,8202-4,'Visual SPC'!$B$3),"")</f>
        <v/>
      </c>
      <c r="E8202">
        <f>IF(B8202=1,D8202,E8201)</f>
        <v/>
      </c>
      <c r="F8202">
        <f>IF(AND(B8202=1,C8202&gt;1,E8201&lt;&gt;""),ABS(D8202-E8201),"")</f>
        <v/>
      </c>
    </row>
    <row r="8203">
      <c r="A8203" t="n">
        <v>8203</v>
      </c>
      <c r="B8203">
        <f>IF(INDEX('Data Entry'!$H$5:$BE$10004,8203-4,'Visual SPC'!$B$3)="",0,IF(AND(OR('Visual SPC'!$C$4="",'Data Entry'!$C8203&gt;='Visual SPC'!$C$4),OR('Visual SPC'!$E$4="",'Data Entry'!$C8203&lt;='Visual SPC'!$E$4),OR('Visual SPC'!$G$4="",'Data Entry'!$D8203='Visual SPC'!$G$4),OR('Visual SPC'!$I$4="",'Data Entry'!$E8203='Visual SPC'!$I$4),OR('Visual SPC'!$K$4="",'Data Entry'!$F8203='Visual SPC'!$K$4)),1,0))</f>
        <v/>
      </c>
      <c r="C8203">
        <f>C8202+B8203</f>
        <v/>
      </c>
      <c r="D8203">
        <f>IF(B8203=1,INDEX('Data Entry'!$H$5:$BE$10004,8203-4,'Visual SPC'!$B$3),"")</f>
        <v/>
      </c>
      <c r="E8203">
        <f>IF(B8203=1,D8203,E8202)</f>
        <v/>
      </c>
      <c r="F8203">
        <f>IF(AND(B8203=1,C8203&gt;1,E8202&lt;&gt;""),ABS(D8203-E8202),"")</f>
        <v/>
      </c>
    </row>
    <row r="8204">
      <c r="A8204" t="n">
        <v>8204</v>
      </c>
      <c r="B8204">
        <f>IF(INDEX('Data Entry'!$H$5:$BE$10004,8204-4,'Visual SPC'!$B$3)="",0,IF(AND(OR('Visual SPC'!$C$4="",'Data Entry'!$C8204&gt;='Visual SPC'!$C$4),OR('Visual SPC'!$E$4="",'Data Entry'!$C8204&lt;='Visual SPC'!$E$4),OR('Visual SPC'!$G$4="",'Data Entry'!$D8204='Visual SPC'!$G$4),OR('Visual SPC'!$I$4="",'Data Entry'!$E8204='Visual SPC'!$I$4),OR('Visual SPC'!$K$4="",'Data Entry'!$F8204='Visual SPC'!$K$4)),1,0))</f>
        <v/>
      </c>
      <c r="C8204">
        <f>C8203+B8204</f>
        <v/>
      </c>
      <c r="D8204">
        <f>IF(B8204=1,INDEX('Data Entry'!$H$5:$BE$10004,8204-4,'Visual SPC'!$B$3),"")</f>
        <v/>
      </c>
      <c r="E8204">
        <f>IF(B8204=1,D8204,E8203)</f>
        <v/>
      </c>
      <c r="F8204">
        <f>IF(AND(B8204=1,C8204&gt;1,E8203&lt;&gt;""),ABS(D8204-E8203),"")</f>
        <v/>
      </c>
    </row>
    <row r="8205">
      <c r="A8205" t="n">
        <v>8205</v>
      </c>
      <c r="B8205">
        <f>IF(INDEX('Data Entry'!$H$5:$BE$10004,8205-4,'Visual SPC'!$B$3)="",0,IF(AND(OR('Visual SPC'!$C$4="",'Data Entry'!$C8205&gt;='Visual SPC'!$C$4),OR('Visual SPC'!$E$4="",'Data Entry'!$C8205&lt;='Visual SPC'!$E$4),OR('Visual SPC'!$G$4="",'Data Entry'!$D8205='Visual SPC'!$G$4),OR('Visual SPC'!$I$4="",'Data Entry'!$E8205='Visual SPC'!$I$4),OR('Visual SPC'!$K$4="",'Data Entry'!$F8205='Visual SPC'!$K$4)),1,0))</f>
        <v/>
      </c>
      <c r="C8205">
        <f>C8204+B8205</f>
        <v/>
      </c>
      <c r="D8205">
        <f>IF(B8205=1,INDEX('Data Entry'!$H$5:$BE$10004,8205-4,'Visual SPC'!$B$3),"")</f>
        <v/>
      </c>
      <c r="E8205">
        <f>IF(B8205=1,D8205,E8204)</f>
        <v/>
      </c>
      <c r="F8205">
        <f>IF(AND(B8205=1,C8205&gt;1,E8204&lt;&gt;""),ABS(D8205-E8204),"")</f>
        <v/>
      </c>
    </row>
    <row r="8206">
      <c r="A8206" t="n">
        <v>8206</v>
      </c>
      <c r="B8206">
        <f>IF(INDEX('Data Entry'!$H$5:$BE$10004,8206-4,'Visual SPC'!$B$3)="",0,IF(AND(OR('Visual SPC'!$C$4="",'Data Entry'!$C8206&gt;='Visual SPC'!$C$4),OR('Visual SPC'!$E$4="",'Data Entry'!$C8206&lt;='Visual SPC'!$E$4),OR('Visual SPC'!$G$4="",'Data Entry'!$D8206='Visual SPC'!$G$4),OR('Visual SPC'!$I$4="",'Data Entry'!$E8206='Visual SPC'!$I$4),OR('Visual SPC'!$K$4="",'Data Entry'!$F8206='Visual SPC'!$K$4)),1,0))</f>
        <v/>
      </c>
      <c r="C8206">
        <f>C8205+B8206</f>
        <v/>
      </c>
      <c r="D8206">
        <f>IF(B8206=1,INDEX('Data Entry'!$H$5:$BE$10004,8206-4,'Visual SPC'!$B$3),"")</f>
        <v/>
      </c>
      <c r="E8206">
        <f>IF(B8206=1,D8206,E8205)</f>
        <v/>
      </c>
      <c r="F8206">
        <f>IF(AND(B8206=1,C8206&gt;1,E8205&lt;&gt;""),ABS(D8206-E8205),"")</f>
        <v/>
      </c>
    </row>
    <row r="8207">
      <c r="A8207" t="n">
        <v>8207</v>
      </c>
      <c r="B8207">
        <f>IF(INDEX('Data Entry'!$H$5:$BE$10004,8207-4,'Visual SPC'!$B$3)="",0,IF(AND(OR('Visual SPC'!$C$4="",'Data Entry'!$C8207&gt;='Visual SPC'!$C$4),OR('Visual SPC'!$E$4="",'Data Entry'!$C8207&lt;='Visual SPC'!$E$4),OR('Visual SPC'!$G$4="",'Data Entry'!$D8207='Visual SPC'!$G$4),OR('Visual SPC'!$I$4="",'Data Entry'!$E8207='Visual SPC'!$I$4),OR('Visual SPC'!$K$4="",'Data Entry'!$F8207='Visual SPC'!$K$4)),1,0))</f>
        <v/>
      </c>
      <c r="C8207">
        <f>C8206+B8207</f>
        <v/>
      </c>
      <c r="D8207">
        <f>IF(B8207=1,INDEX('Data Entry'!$H$5:$BE$10004,8207-4,'Visual SPC'!$B$3),"")</f>
        <v/>
      </c>
      <c r="E8207">
        <f>IF(B8207=1,D8207,E8206)</f>
        <v/>
      </c>
      <c r="F8207">
        <f>IF(AND(B8207=1,C8207&gt;1,E8206&lt;&gt;""),ABS(D8207-E8206),"")</f>
        <v/>
      </c>
    </row>
    <row r="8208">
      <c r="A8208" t="n">
        <v>8208</v>
      </c>
      <c r="B8208">
        <f>IF(INDEX('Data Entry'!$H$5:$BE$10004,8208-4,'Visual SPC'!$B$3)="",0,IF(AND(OR('Visual SPC'!$C$4="",'Data Entry'!$C8208&gt;='Visual SPC'!$C$4),OR('Visual SPC'!$E$4="",'Data Entry'!$C8208&lt;='Visual SPC'!$E$4),OR('Visual SPC'!$G$4="",'Data Entry'!$D8208='Visual SPC'!$G$4),OR('Visual SPC'!$I$4="",'Data Entry'!$E8208='Visual SPC'!$I$4),OR('Visual SPC'!$K$4="",'Data Entry'!$F8208='Visual SPC'!$K$4)),1,0))</f>
        <v/>
      </c>
      <c r="C8208">
        <f>C8207+B8208</f>
        <v/>
      </c>
      <c r="D8208">
        <f>IF(B8208=1,INDEX('Data Entry'!$H$5:$BE$10004,8208-4,'Visual SPC'!$B$3),"")</f>
        <v/>
      </c>
      <c r="E8208">
        <f>IF(B8208=1,D8208,E8207)</f>
        <v/>
      </c>
      <c r="F8208">
        <f>IF(AND(B8208=1,C8208&gt;1,E8207&lt;&gt;""),ABS(D8208-E8207),"")</f>
        <v/>
      </c>
    </row>
    <row r="8209">
      <c r="A8209" t="n">
        <v>8209</v>
      </c>
      <c r="B8209">
        <f>IF(INDEX('Data Entry'!$H$5:$BE$10004,8209-4,'Visual SPC'!$B$3)="",0,IF(AND(OR('Visual SPC'!$C$4="",'Data Entry'!$C8209&gt;='Visual SPC'!$C$4),OR('Visual SPC'!$E$4="",'Data Entry'!$C8209&lt;='Visual SPC'!$E$4),OR('Visual SPC'!$G$4="",'Data Entry'!$D8209='Visual SPC'!$G$4),OR('Visual SPC'!$I$4="",'Data Entry'!$E8209='Visual SPC'!$I$4),OR('Visual SPC'!$K$4="",'Data Entry'!$F8209='Visual SPC'!$K$4)),1,0))</f>
        <v/>
      </c>
      <c r="C8209">
        <f>C8208+B8209</f>
        <v/>
      </c>
      <c r="D8209">
        <f>IF(B8209=1,INDEX('Data Entry'!$H$5:$BE$10004,8209-4,'Visual SPC'!$B$3),"")</f>
        <v/>
      </c>
      <c r="E8209">
        <f>IF(B8209=1,D8209,E8208)</f>
        <v/>
      </c>
      <c r="F8209">
        <f>IF(AND(B8209=1,C8209&gt;1,E8208&lt;&gt;""),ABS(D8209-E8208),"")</f>
        <v/>
      </c>
    </row>
    <row r="8210">
      <c r="A8210" t="n">
        <v>8210</v>
      </c>
      <c r="B8210">
        <f>IF(INDEX('Data Entry'!$H$5:$BE$10004,8210-4,'Visual SPC'!$B$3)="",0,IF(AND(OR('Visual SPC'!$C$4="",'Data Entry'!$C8210&gt;='Visual SPC'!$C$4),OR('Visual SPC'!$E$4="",'Data Entry'!$C8210&lt;='Visual SPC'!$E$4),OR('Visual SPC'!$G$4="",'Data Entry'!$D8210='Visual SPC'!$G$4),OR('Visual SPC'!$I$4="",'Data Entry'!$E8210='Visual SPC'!$I$4),OR('Visual SPC'!$K$4="",'Data Entry'!$F8210='Visual SPC'!$K$4)),1,0))</f>
        <v/>
      </c>
      <c r="C8210">
        <f>C8209+B8210</f>
        <v/>
      </c>
      <c r="D8210">
        <f>IF(B8210=1,INDEX('Data Entry'!$H$5:$BE$10004,8210-4,'Visual SPC'!$B$3),"")</f>
        <v/>
      </c>
      <c r="E8210">
        <f>IF(B8210=1,D8210,E8209)</f>
        <v/>
      </c>
      <c r="F8210">
        <f>IF(AND(B8210=1,C8210&gt;1,E8209&lt;&gt;""),ABS(D8210-E8209),"")</f>
        <v/>
      </c>
    </row>
    <row r="8211">
      <c r="A8211" t="n">
        <v>8211</v>
      </c>
      <c r="B8211">
        <f>IF(INDEX('Data Entry'!$H$5:$BE$10004,8211-4,'Visual SPC'!$B$3)="",0,IF(AND(OR('Visual SPC'!$C$4="",'Data Entry'!$C8211&gt;='Visual SPC'!$C$4),OR('Visual SPC'!$E$4="",'Data Entry'!$C8211&lt;='Visual SPC'!$E$4),OR('Visual SPC'!$G$4="",'Data Entry'!$D8211='Visual SPC'!$G$4),OR('Visual SPC'!$I$4="",'Data Entry'!$E8211='Visual SPC'!$I$4),OR('Visual SPC'!$K$4="",'Data Entry'!$F8211='Visual SPC'!$K$4)),1,0))</f>
        <v/>
      </c>
      <c r="C8211">
        <f>C8210+B8211</f>
        <v/>
      </c>
      <c r="D8211">
        <f>IF(B8211=1,INDEX('Data Entry'!$H$5:$BE$10004,8211-4,'Visual SPC'!$B$3),"")</f>
        <v/>
      </c>
      <c r="E8211">
        <f>IF(B8211=1,D8211,E8210)</f>
        <v/>
      </c>
      <c r="F8211">
        <f>IF(AND(B8211=1,C8211&gt;1,E8210&lt;&gt;""),ABS(D8211-E8210),"")</f>
        <v/>
      </c>
    </row>
    <row r="8212">
      <c r="A8212" t="n">
        <v>8212</v>
      </c>
      <c r="B8212">
        <f>IF(INDEX('Data Entry'!$H$5:$BE$10004,8212-4,'Visual SPC'!$B$3)="",0,IF(AND(OR('Visual SPC'!$C$4="",'Data Entry'!$C8212&gt;='Visual SPC'!$C$4),OR('Visual SPC'!$E$4="",'Data Entry'!$C8212&lt;='Visual SPC'!$E$4),OR('Visual SPC'!$G$4="",'Data Entry'!$D8212='Visual SPC'!$G$4),OR('Visual SPC'!$I$4="",'Data Entry'!$E8212='Visual SPC'!$I$4),OR('Visual SPC'!$K$4="",'Data Entry'!$F8212='Visual SPC'!$K$4)),1,0))</f>
        <v/>
      </c>
      <c r="C8212">
        <f>C8211+B8212</f>
        <v/>
      </c>
      <c r="D8212">
        <f>IF(B8212=1,INDEX('Data Entry'!$H$5:$BE$10004,8212-4,'Visual SPC'!$B$3),"")</f>
        <v/>
      </c>
      <c r="E8212">
        <f>IF(B8212=1,D8212,E8211)</f>
        <v/>
      </c>
      <c r="F8212">
        <f>IF(AND(B8212=1,C8212&gt;1,E8211&lt;&gt;""),ABS(D8212-E8211),"")</f>
        <v/>
      </c>
    </row>
    <row r="8213">
      <c r="A8213" t="n">
        <v>8213</v>
      </c>
      <c r="B8213">
        <f>IF(INDEX('Data Entry'!$H$5:$BE$10004,8213-4,'Visual SPC'!$B$3)="",0,IF(AND(OR('Visual SPC'!$C$4="",'Data Entry'!$C8213&gt;='Visual SPC'!$C$4),OR('Visual SPC'!$E$4="",'Data Entry'!$C8213&lt;='Visual SPC'!$E$4),OR('Visual SPC'!$G$4="",'Data Entry'!$D8213='Visual SPC'!$G$4),OR('Visual SPC'!$I$4="",'Data Entry'!$E8213='Visual SPC'!$I$4),OR('Visual SPC'!$K$4="",'Data Entry'!$F8213='Visual SPC'!$K$4)),1,0))</f>
        <v/>
      </c>
      <c r="C8213">
        <f>C8212+B8213</f>
        <v/>
      </c>
      <c r="D8213">
        <f>IF(B8213=1,INDEX('Data Entry'!$H$5:$BE$10004,8213-4,'Visual SPC'!$B$3),"")</f>
        <v/>
      </c>
      <c r="E8213">
        <f>IF(B8213=1,D8213,E8212)</f>
        <v/>
      </c>
      <c r="F8213">
        <f>IF(AND(B8213=1,C8213&gt;1,E8212&lt;&gt;""),ABS(D8213-E8212),"")</f>
        <v/>
      </c>
    </row>
    <row r="8214">
      <c r="A8214" t="n">
        <v>8214</v>
      </c>
      <c r="B8214">
        <f>IF(INDEX('Data Entry'!$H$5:$BE$10004,8214-4,'Visual SPC'!$B$3)="",0,IF(AND(OR('Visual SPC'!$C$4="",'Data Entry'!$C8214&gt;='Visual SPC'!$C$4),OR('Visual SPC'!$E$4="",'Data Entry'!$C8214&lt;='Visual SPC'!$E$4),OR('Visual SPC'!$G$4="",'Data Entry'!$D8214='Visual SPC'!$G$4),OR('Visual SPC'!$I$4="",'Data Entry'!$E8214='Visual SPC'!$I$4),OR('Visual SPC'!$K$4="",'Data Entry'!$F8214='Visual SPC'!$K$4)),1,0))</f>
        <v/>
      </c>
      <c r="C8214">
        <f>C8213+B8214</f>
        <v/>
      </c>
      <c r="D8214">
        <f>IF(B8214=1,INDEX('Data Entry'!$H$5:$BE$10004,8214-4,'Visual SPC'!$B$3),"")</f>
        <v/>
      </c>
      <c r="E8214">
        <f>IF(B8214=1,D8214,E8213)</f>
        <v/>
      </c>
      <c r="F8214">
        <f>IF(AND(B8214=1,C8214&gt;1,E8213&lt;&gt;""),ABS(D8214-E8213),"")</f>
        <v/>
      </c>
    </row>
    <row r="8215">
      <c r="A8215" t="n">
        <v>8215</v>
      </c>
      <c r="B8215">
        <f>IF(INDEX('Data Entry'!$H$5:$BE$10004,8215-4,'Visual SPC'!$B$3)="",0,IF(AND(OR('Visual SPC'!$C$4="",'Data Entry'!$C8215&gt;='Visual SPC'!$C$4),OR('Visual SPC'!$E$4="",'Data Entry'!$C8215&lt;='Visual SPC'!$E$4),OR('Visual SPC'!$G$4="",'Data Entry'!$D8215='Visual SPC'!$G$4),OR('Visual SPC'!$I$4="",'Data Entry'!$E8215='Visual SPC'!$I$4),OR('Visual SPC'!$K$4="",'Data Entry'!$F8215='Visual SPC'!$K$4)),1,0))</f>
        <v/>
      </c>
      <c r="C8215">
        <f>C8214+B8215</f>
        <v/>
      </c>
      <c r="D8215">
        <f>IF(B8215=1,INDEX('Data Entry'!$H$5:$BE$10004,8215-4,'Visual SPC'!$B$3),"")</f>
        <v/>
      </c>
      <c r="E8215">
        <f>IF(B8215=1,D8215,E8214)</f>
        <v/>
      </c>
      <c r="F8215">
        <f>IF(AND(B8215=1,C8215&gt;1,E8214&lt;&gt;""),ABS(D8215-E8214),"")</f>
        <v/>
      </c>
    </row>
    <row r="8216">
      <c r="A8216" t="n">
        <v>8216</v>
      </c>
      <c r="B8216">
        <f>IF(INDEX('Data Entry'!$H$5:$BE$10004,8216-4,'Visual SPC'!$B$3)="",0,IF(AND(OR('Visual SPC'!$C$4="",'Data Entry'!$C8216&gt;='Visual SPC'!$C$4),OR('Visual SPC'!$E$4="",'Data Entry'!$C8216&lt;='Visual SPC'!$E$4),OR('Visual SPC'!$G$4="",'Data Entry'!$D8216='Visual SPC'!$G$4),OR('Visual SPC'!$I$4="",'Data Entry'!$E8216='Visual SPC'!$I$4),OR('Visual SPC'!$K$4="",'Data Entry'!$F8216='Visual SPC'!$K$4)),1,0))</f>
        <v/>
      </c>
      <c r="C8216">
        <f>C8215+B8216</f>
        <v/>
      </c>
      <c r="D8216">
        <f>IF(B8216=1,INDEX('Data Entry'!$H$5:$BE$10004,8216-4,'Visual SPC'!$B$3),"")</f>
        <v/>
      </c>
      <c r="E8216">
        <f>IF(B8216=1,D8216,E8215)</f>
        <v/>
      </c>
      <c r="F8216">
        <f>IF(AND(B8216=1,C8216&gt;1,E8215&lt;&gt;""),ABS(D8216-E8215),"")</f>
        <v/>
      </c>
    </row>
    <row r="8217">
      <c r="A8217" t="n">
        <v>8217</v>
      </c>
      <c r="B8217">
        <f>IF(INDEX('Data Entry'!$H$5:$BE$10004,8217-4,'Visual SPC'!$B$3)="",0,IF(AND(OR('Visual SPC'!$C$4="",'Data Entry'!$C8217&gt;='Visual SPC'!$C$4),OR('Visual SPC'!$E$4="",'Data Entry'!$C8217&lt;='Visual SPC'!$E$4),OR('Visual SPC'!$G$4="",'Data Entry'!$D8217='Visual SPC'!$G$4),OR('Visual SPC'!$I$4="",'Data Entry'!$E8217='Visual SPC'!$I$4),OR('Visual SPC'!$K$4="",'Data Entry'!$F8217='Visual SPC'!$K$4)),1,0))</f>
        <v/>
      </c>
      <c r="C8217">
        <f>C8216+B8217</f>
        <v/>
      </c>
      <c r="D8217">
        <f>IF(B8217=1,INDEX('Data Entry'!$H$5:$BE$10004,8217-4,'Visual SPC'!$B$3),"")</f>
        <v/>
      </c>
      <c r="E8217">
        <f>IF(B8217=1,D8217,E8216)</f>
        <v/>
      </c>
      <c r="F8217">
        <f>IF(AND(B8217=1,C8217&gt;1,E8216&lt;&gt;""),ABS(D8217-E8216),"")</f>
        <v/>
      </c>
    </row>
    <row r="8218">
      <c r="A8218" t="n">
        <v>8218</v>
      </c>
      <c r="B8218">
        <f>IF(INDEX('Data Entry'!$H$5:$BE$10004,8218-4,'Visual SPC'!$B$3)="",0,IF(AND(OR('Visual SPC'!$C$4="",'Data Entry'!$C8218&gt;='Visual SPC'!$C$4),OR('Visual SPC'!$E$4="",'Data Entry'!$C8218&lt;='Visual SPC'!$E$4),OR('Visual SPC'!$G$4="",'Data Entry'!$D8218='Visual SPC'!$G$4),OR('Visual SPC'!$I$4="",'Data Entry'!$E8218='Visual SPC'!$I$4),OR('Visual SPC'!$K$4="",'Data Entry'!$F8218='Visual SPC'!$K$4)),1,0))</f>
        <v/>
      </c>
      <c r="C8218">
        <f>C8217+B8218</f>
        <v/>
      </c>
      <c r="D8218">
        <f>IF(B8218=1,INDEX('Data Entry'!$H$5:$BE$10004,8218-4,'Visual SPC'!$B$3),"")</f>
        <v/>
      </c>
      <c r="E8218">
        <f>IF(B8218=1,D8218,E8217)</f>
        <v/>
      </c>
      <c r="F8218">
        <f>IF(AND(B8218=1,C8218&gt;1,E8217&lt;&gt;""),ABS(D8218-E8217),"")</f>
        <v/>
      </c>
    </row>
    <row r="8219">
      <c r="A8219" t="n">
        <v>8219</v>
      </c>
      <c r="B8219">
        <f>IF(INDEX('Data Entry'!$H$5:$BE$10004,8219-4,'Visual SPC'!$B$3)="",0,IF(AND(OR('Visual SPC'!$C$4="",'Data Entry'!$C8219&gt;='Visual SPC'!$C$4),OR('Visual SPC'!$E$4="",'Data Entry'!$C8219&lt;='Visual SPC'!$E$4),OR('Visual SPC'!$G$4="",'Data Entry'!$D8219='Visual SPC'!$G$4),OR('Visual SPC'!$I$4="",'Data Entry'!$E8219='Visual SPC'!$I$4),OR('Visual SPC'!$K$4="",'Data Entry'!$F8219='Visual SPC'!$K$4)),1,0))</f>
        <v/>
      </c>
      <c r="C8219">
        <f>C8218+B8219</f>
        <v/>
      </c>
      <c r="D8219">
        <f>IF(B8219=1,INDEX('Data Entry'!$H$5:$BE$10004,8219-4,'Visual SPC'!$B$3),"")</f>
        <v/>
      </c>
      <c r="E8219">
        <f>IF(B8219=1,D8219,E8218)</f>
        <v/>
      </c>
      <c r="F8219">
        <f>IF(AND(B8219=1,C8219&gt;1,E8218&lt;&gt;""),ABS(D8219-E8218),"")</f>
        <v/>
      </c>
    </row>
    <row r="8220">
      <c r="A8220" t="n">
        <v>8220</v>
      </c>
      <c r="B8220">
        <f>IF(INDEX('Data Entry'!$H$5:$BE$10004,8220-4,'Visual SPC'!$B$3)="",0,IF(AND(OR('Visual SPC'!$C$4="",'Data Entry'!$C8220&gt;='Visual SPC'!$C$4),OR('Visual SPC'!$E$4="",'Data Entry'!$C8220&lt;='Visual SPC'!$E$4),OR('Visual SPC'!$G$4="",'Data Entry'!$D8220='Visual SPC'!$G$4),OR('Visual SPC'!$I$4="",'Data Entry'!$E8220='Visual SPC'!$I$4),OR('Visual SPC'!$K$4="",'Data Entry'!$F8220='Visual SPC'!$K$4)),1,0))</f>
        <v/>
      </c>
      <c r="C8220">
        <f>C8219+B8220</f>
        <v/>
      </c>
      <c r="D8220">
        <f>IF(B8220=1,INDEX('Data Entry'!$H$5:$BE$10004,8220-4,'Visual SPC'!$B$3),"")</f>
        <v/>
      </c>
      <c r="E8220">
        <f>IF(B8220=1,D8220,E8219)</f>
        <v/>
      </c>
      <c r="F8220">
        <f>IF(AND(B8220=1,C8220&gt;1,E8219&lt;&gt;""),ABS(D8220-E8219),"")</f>
        <v/>
      </c>
    </row>
    <row r="8221">
      <c r="A8221" t="n">
        <v>8221</v>
      </c>
      <c r="B8221">
        <f>IF(INDEX('Data Entry'!$H$5:$BE$10004,8221-4,'Visual SPC'!$B$3)="",0,IF(AND(OR('Visual SPC'!$C$4="",'Data Entry'!$C8221&gt;='Visual SPC'!$C$4),OR('Visual SPC'!$E$4="",'Data Entry'!$C8221&lt;='Visual SPC'!$E$4),OR('Visual SPC'!$G$4="",'Data Entry'!$D8221='Visual SPC'!$G$4),OR('Visual SPC'!$I$4="",'Data Entry'!$E8221='Visual SPC'!$I$4),OR('Visual SPC'!$K$4="",'Data Entry'!$F8221='Visual SPC'!$K$4)),1,0))</f>
        <v/>
      </c>
      <c r="C8221">
        <f>C8220+B8221</f>
        <v/>
      </c>
      <c r="D8221">
        <f>IF(B8221=1,INDEX('Data Entry'!$H$5:$BE$10004,8221-4,'Visual SPC'!$B$3),"")</f>
        <v/>
      </c>
      <c r="E8221">
        <f>IF(B8221=1,D8221,E8220)</f>
        <v/>
      </c>
      <c r="F8221">
        <f>IF(AND(B8221=1,C8221&gt;1,E8220&lt;&gt;""),ABS(D8221-E8220),"")</f>
        <v/>
      </c>
    </row>
    <row r="8222">
      <c r="A8222" t="n">
        <v>8222</v>
      </c>
      <c r="B8222">
        <f>IF(INDEX('Data Entry'!$H$5:$BE$10004,8222-4,'Visual SPC'!$B$3)="",0,IF(AND(OR('Visual SPC'!$C$4="",'Data Entry'!$C8222&gt;='Visual SPC'!$C$4),OR('Visual SPC'!$E$4="",'Data Entry'!$C8222&lt;='Visual SPC'!$E$4),OR('Visual SPC'!$G$4="",'Data Entry'!$D8222='Visual SPC'!$G$4),OR('Visual SPC'!$I$4="",'Data Entry'!$E8222='Visual SPC'!$I$4),OR('Visual SPC'!$K$4="",'Data Entry'!$F8222='Visual SPC'!$K$4)),1,0))</f>
        <v/>
      </c>
      <c r="C8222">
        <f>C8221+B8222</f>
        <v/>
      </c>
      <c r="D8222">
        <f>IF(B8222=1,INDEX('Data Entry'!$H$5:$BE$10004,8222-4,'Visual SPC'!$B$3),"")</f>
        <v/>
      </c>
      <c r="E8222">
        <f>IF(B8222=1,D8222,E8221)</f>
        <v/>
      </c>
      <c r="F8222">
        <f>IF(AND(B8222=1,C8222&gt;1,E8221&lt;&gt;""),ABS(D8222-E8221),"")</f>
        <v/>
      </c>
    </row>
    <row r="8223">
      <c r="A8223" t="n">
        <v>8223</v>
      </c>
      <c r="B8223">
        <f>IF(INDEX('Data Entry'!$H$5:$BE$10004,8223-4,'Visual SPC'!$B$3)="",0,IF(AND(OR('Visual SPC'!$C$4="",'Data Entry'!$C8223&gt;='Visual SPC'!$C$4),OR('Visual SPC'!$E$4="",'Data Entry'!$C8223&lt;='Visual SPC'!$E$4),OR('Visual SPC'!$G$4="",'Data Entry'!$D8223='Visual SPC'!$G$4),OR('Visual SPC'!$I$4="",'Data Entry'!$E8223='Visual SPC'!$I$4),OR('Visual SPC'!$K$4="",'Data Entry'!$F8223='Visual SPC'!$K$4)),1,0))</f>
        <v/>
      </c>
      <c r="C8223">
        <f>C8222+B8223</f>
        <v/>
      </c>
      <c r="D8223">
        <f>IF(B8223=1,INDEX('Data Entry'!$H$5:$BE$10004,8223-4,'Visual SPC'!$B$3),"")</f>
        <v/>
      </c>
      <c r="E8223">
        <f>IF(B8223=1,D8223,E8222)</f>
        <v/>
      </c>
      <c r="F8223">
        <f>IF(AND(B8223=1,C8223&gt;1,E8222&lt;&gt;""),ABS(D8223-E8222),"")</f>
        <v/>
      </c>
    </row>
    <row r="8224">
      <c r="A8224" t="n">
        <v>8224</v>
      </c>
      <c r="B8224">
        <f>IF(INDEX('Data Entry'!$H$5:$BE$10004,8224-4,'Visual SPC'!$B$3)="",0,IF(AND(OR('Visual SPC'!$C$4="",'Data Entry'!$C8224&gt;='Visual SPC'!$C$4),OR('Visual SPC'!$E$4="",'Data Entry'!$C8224&lt;='Visual SPC'!$E$4),OR('Visual SPC'!$G$4="",'Data Entry'!$D8224='Visual SPC'!$G$4),OR('Visual SPC'!$I$4="",'Data Entry'!$E8224='Visual SPC'!$I$4),OR('Visual SPC'!$K$4="",'Data Entry'!$F8224='Visual SPC'!$K$4)),1,0))</f>
        <v/>
      </c>
      <c r="C8224">
        <f>C8223+B8224</f>
        <v/>
      </c>
      <c r="D8224">
        <f>IF(B8224=1,INDEX('Data Entry'!$H$5:$BE$10004,8224-4,'Visual SPC'!$B$3),"")</f>
        <v/>
      </c>
      <c r="E8224">
        <f>IF(B8224=1,D8224,E8223)</f>
        <v/>
      </c>
      <c r="F8224">
        <f>IF(AND(B8224=1,C8224&gt;1,E8223&lt;&gt;""),ABS(D8224-E8223),"")</f>
        <v/>
      </c>
    </row>
    <row r="8225">
      <c r="A8225" t="n">
        <v>8225</v>
      </c>
      <c r="B8225">
        <f>IF(INDEX('Data Entry'!$H$5:$BE$10004,8225-4,'Visual SPC'!$B$3)="",0,IF(AND(OR('Visual SPC'!$C$4="",'Data Entry'!$C8225&gt;='Visual SPC'!$C$4),OR('Visual SPC'!$E$4="",'Data Entry'!$C8225&lt;='Visual SPC'!$E$4),OR('Visual SPC'!$G$4="",'Data Entry'!$D8225='Visual SPC'!$G$4),OR('Visual SPC'!$I$4="",'Data Entry'!$E8225='Visual SPC'!$I$4),OR('Visual SPC'!$K$4="",'Data Entry'!$F8225='Visual SPC'!$K$4)),1,0))</f>
        <v/>
      </c>
      <c r="C8225">
        <f>C8224+B8225</f>
        <v/>
      </c>
      <c r="D8225">
        <f>IF(B8225=1,INDEX('Data Entry'!$H$5:$BE$10004,8225-4,'Visual SPC'!$B$3),"")</f>
        <v/>
      </c>
      <c r="E8225">
        <f>IF(B8225=1,D8225,E8224)</f>
        <v/>
      </c>
      <c r="F8225">
        <f>IF(AND(B8225=1,C8225&gt;1,E8224&lt;&gt;""),ABS(D8225-E8224),"")</f>
        <v/>
      </c>
    </row>
    <row r="8226">
      <c r="A8226" t="n">
        <v>8226</v>
      </c>
      <c r="B8226">
        <f>IF(INDEX('Data Entry'!$H$5:$BE$10004,8226-4,'Visual SPC'!$B$3)="",0,IF(AND(OR('Visual SPC'!$C$4="",'Data Entry'!$C8226&gt;='Visual SPC'!$C$4),OR('Visual SPC'!$E$4="",'Data Entry'!$C8226&lt;='Visual SPC'!$E$4),OR('Visual SPC'!$G$4="",'Data Entry'!$D8226='Visual SPC'!$G$4),OR('Visual SPC'!$I$4="",'Data Entry'!$E8226='Visual SPC'!$I$4),OR('Visual SPC'!$K$4="",'Data Entry'!$F8226='Visual SPC'!$K$4)),1,0))</f>
        <v/>
      </c>
      <c r="C8226">
        <f>C8225+B8226</f>
        <v/>
      </c>
      <c r="D8226">
        <f>IF(B8226=1,INDEX('Data Entry'!$H$5:$BE$10004,8226-4,'Visual SPC'!$B$3),"")</f>
        <v/>
      </c>
      <c r="E8226">
        <f>IF(B8226=1,D8226,E8225)</f>
        <v/>
      </c>
      <c r="F8226">
        <f>IF(AND(B8226=1,C8226&gt;1,E8225&lt;&gt;""),ABS(D8226-E8225),"")</f>
        <v/>
      </c>
    </row>
    <row r="8227">
      <c r="A8227" t="n">
        <v>8227</v>
      </c>
      <c r="B8227">
        <f>IF(INDEX('Data Entry'!$H$5:$BE$10004,8227-4,'Visual SPC'!$B$3)="",0,IF(AND(OR('Visual SPC'!$C$4="",'Data Entry'!$C8227&gt;='Visual SPC'!$C$4),OR('Visual SPC'!$E$4="",'Data Entry'!$C8227&lt;='Visual SPC'!$E$4),OR('Visual SPC'!$G$4="",'Data Entry'!$D8227='Visual SPC'!$G$4),OR('Visual SPC'!$I$4="",'Data Entry'!$E8227='Visual SPC'!$I$4),OR('Visual SPC'!$K$4="",'Data Entry'!$F8227='Visual SPC'!$K$4)),1,0))</f>
        <v/>
      </c>
      <c r="C8227">
        <f>C8226+B8227</f>
        <v/>
      </c>
      <c r="D8227">
        <f>IF(B8227=1,INDEX('Data Entry'!$H$5:$BE$10004,8227-4,'Visual SPC'!$B$3),"")</f>
        <v/>
      </c>
      <c r="E8227">
        <f>IF(B8227=1,D8227,E8226)</f>
        <v/>
      </c>
      <c r="F8227">
        <f>IF(AND(B8227=1,C8227&gt;1,E8226&lt;&gt;""),ABS(D8227-E8226),"")</f>
        <v/>
      </c>
    </row>
    <row r="8228">
      <c r="A8228" t="n">
        <v>8228</v>
      </c>
      <c r="B8228">
        <f>IF(INDEX('Data Entry'!$H$5:$BE$10004,8228-4,'Visual SPC'!$B$3)="",0,IF(AND(OR('Visual SPC'!$C$4="",'Data Entry'!$C8228&gt;='Visual SPC'!$C$4),OR('Visual SPC'!$E$4="",'Data Entry'!$C8228&lt;='Visual SPC'!$E$4),OR('Visual SPC'!$G$4="",'Data Entry'!$D8228='Visual SPC'!$G$4),OR('Visual SPC'!$I$4="",'Data Entry'!$E8228='Visual SPC'!$I$4),OR('Visual SPC'!$K$4="",'Data Entry'!$F8228='Visual SPC'!$K$4)),1,0))</f>
        <v/>
      </c>
      <c r="C8228">
        <f>C8227+B8228</f>
        <v/>
      </c>
      <c r="D8228">
        <f>IF(B8228=1,INDEX('Data Entry'!$H$5:$BE$10004,8228-4,'Visual SPC'!$B$3),"")</f>
        <v/>
      </c>
      <c r="E8228">
        <f>IF(B8228=1,D8228,E8227)</f>
        <v/>
      </c>
      <c r="F8228">
        <f>IF(AND(B8228=1,C8228&gt;1,E8227&lt;&gt;""),ABS(D8228-E8227),"")</f>
        <v/>
      </c>
    </row>
    <row r="8229">
      <c r="A8229" t="n">
        <v>8229</v>
      </c>
      <c r="B8229">
        <f>IF(INDEX('Data Entry'!$H$5:$BE$10004,8229-4,'Visual SPC'!$B$3)="",0,IF(AND(OR('Visual SPC'!$C$4="",'Data Entry'!$C8229&gt;='Visual SPC'!$C$4),OR('Visual SPC'!$E$4="",'Data Entry'!$C8229&lt;='Visual SPC'!$E$4),OR('Visual SPC'!$G$4="",'Data Entry'!$D8229='Visual SPC'!$G$4),OR('Visual SPC'!$I$4="",'Data Entry'!$E8229='Visual SPC'!$I$4),OR('Visual SPC'!$K$4="",'Data Entry'!$F8229='Visual SPC'!$K$4)),1,0))</f>
        <v/>
      </c>
      <c r="C8229">
        <f>C8228+B8229</f>
        <v/>
      </c>
      <c r="D8229">
        <f>IF(B8229=1,INDEX('Data Entry'!$H$5:$BE$10004,8229-4,'Visual SPC'!$B$3),"")</f>
        <v/>
      </c>
      <c r="E8229">
        <f>IF(B8229=1,D8229,E8228)</f>
        <v/>
      </c>
      <c r="F8229">
        <f>IF(AND(B8229=1,C8229&gt;1,E8228&lt;&gt;""),ABS(D8229-E8228),"")</f>
        <v/>
      </c>
    </row>
    <row r="8230">
      <c r="A8230" t="n">
        <v>8230</v>
      </c>
      <c r="B8230">
        <f>IF(INDEX('Data Entry'!$H$5:$BE$10004,8230-4,'Visual SPC'!$B$3)="",0,IF(AND(OR('Visual SPC'!$C$4="",'Data Entry'!$C8230&gt;='Visual SPC'!$C$4),OR('Visual SPC'!$E$4="",'Data Entry'!$C8230&lt;='Visual SPC'!$E$4),OR('Visual SPC'!$G$4="",'Data Entry'!$D8230='Visual SPC'!$G$4),OR('Visual SPC'!$I$4="",'Data Entry'!$E8230='Visual SPC'!$I$4),OR('Visual SPC'!$K$4="",'Data Entry'!$F8230='Visual SPC'!$K$4)),1,0))</f>
        <v/>
      </c>
      <c r="C8230">
        <f>C8229+B8230</f>
        <v/>
      </c>
      <c r="D8230">
        <f>IF(B8230=1,INDEX('Data Entry'!$H$5:$BE$10004,8230-4,'Visual SPC'!$B$3),"")</f>
        <v/>
      </c>
      <c r="E8230">
        <f>IF(B8230=1,D8230,E8229)</f>
        <v/>
      </c>
      <c r="F8230">
        <f>IF(AND(B8230=1,C8230&gt;1,E8229&lt;&gt;""),ABS(D8230-E8229),"")</f>
        <v/>
      </c>
    </row>
    <row r="8231">
      <c r="A8231" t="n">
        <v>8231</v>
      </c>
      <c r="B8231">
        <f>IF(INDEX('Data Entry'!$H$5:$BE$10004,8231-4,'Visual SPC'!$B$3)="",0,IF(AND(OR('Visual SPC'!$C$4="",'Data Entry'!$C8231&gt;='Visual SPC'!$C$4),OR('Visual SPC'!$E$4="",'Data Entry'!$C8231&lt;='Visual SPC'!$E$4),OR('Visual SPC'!$G$4="",'Data Entry'!$D8231='Visual SPC'!$G$4),OR('Visual SPC'!$I$4="",'Data Entry'!$E8231='Visual SPC'!$I$4),OR('Visual SPC'!$K$4="",'Data Entry'!$F8231='Visual SPC'!$K$4)),1,0))</f>
        <v/>
      </c>
      <c r="C8231">
        <f>C8230+B8231</f>
        <v/>
      </c>
      <c r="D8231">
        <f>IF(B8231=1,INDEX('Data Entry'!$H$5:$BE$10004,8231-4,'Visual SPC'!$B$3),"")</f>
        <v/>
      </c>
      <c r="E8231">
        <f>IF(B8231=1,D8231,E8230)</f>
        <v/>
      </c>
      <c r="F8231">
        <f>IF(AND(B8231=1,C8231&gt;1,E8230&lt;&gt;""),ABS(D8231-E8230),"")</f>
        <v/>
      </c>
    </row>
    <row r="8232">
      <c r="A8232" t="n">
        <v>8232</v>
      </c>
      <c r="B8232">
        <f>IF(INDEX('Data Entry'!$H$5:$BE$10004,8232-4,'Visual SPC'!$B$3)="",0,IF(AND(OR('Visual SPC'!$C$4="",'Data Entry'!$C8232&gt;='Visual SPC'!$C$4),OR('Visual SPC'!$E$4="",'Data Entry'!$C8232&lt;='Visual SPC'!$E$4),OR('Visual SPC'!$G$4="",'Data Entry'!$D8232='Visual SPC'!$G$4),OR('Visual SPC'!$I$4="",'Data Entry'!$E8232='Visual SPC'!$I$4),OR('Visual SPC'!$K$4="",'Data Entry'!$F8232='Visual SPC'!$K$4)),1,0))</f>
        <v/>
      </c>
      <c r="C8232">
        <f>C8231+B8232</f>
        <v/>
      </c>
      <c r="D8232">
        <f>IF(B8232=1,INDEX('Data Entry'!$H$5:$BE$10004,8232-4,'Visual SPC'!$B$3),"")</f>
        <v/>
      </c>
      <c r="E8232">
        <f>IF(B8232=1,D8232,E8231)</f>
        <v/>
      </c>
      <c r="F8232">
        <f>IF(AND(B8232=1,C8232&gt;1,E8231&lt;&gt;""),ABS(D8232-E8231),"")</f>
        <v/>
      </c>
    </row>
    <row r="8233">
      <c r="A8233" t="n">
        <v>8233</v>
      </c>
      <c r="B8233">
        <f>IF(INDEX('Data Entry'!$H$5:$BE$10004,8233-4,'Visual SPC'!$B$3)="",0,IF(AND(OR('Visual SPC'!$C$4="",'Data Entry'!$C8233&gt;='Visual SPC'!$C$4),OR('Visual SPC'!$E$4="",'Data Entry'!$C8233&lt;='Visual SPC'!$E$4),OR('Visual SPC'!$G$4="",'Data Entry'!$D8233='Visual SPC'!$G$4),OR('Visual SPC'!$I$4="",'Data Entry'!$E8233='Visual SPC'!$I$4),OR('Visual SPC'!$K$4="",'Data Entry'!$F8233='Visual SPC'!$K$4)),1,0))</f>
        <v/>
      </c>
      <c r="C8233">
        <f>C8232+B8233</f>
        <v/>
      </c>
      <c r="D8233">
        <f>IF(B8233=1,INDEX('Data Entry'!$H$5:$BE$10004,8233-4,'Visual SPC'!$B$3),"")</f>
        <v/>
      </c>
      <c r="E8233">
        <f>IF(B8233=1,D8233,E8232)</f>
        <v/>
      </c>
      <c r="F8233">
        <f>IF(AND(B8233=1,C8233&gt;1,E8232&lt;&gt;""),ABS(D8233-E8232),"")</f>
        <v/>
      </c>
    </row>
    <row r="8234">
      <c r="A8234" t="n">
        <v>8234</v>
      </c>
      <c r="B8234">
        <f>IF(INDEX('Data Entry'!$H$5:$BE$10004,8234-4,'Visual SPC'!$B$3)="",0,IF(AND(OR('Visual SPC'!$C$4="",'Data Entry'!$C8234&gt;='Visual SPC'!$C$4),OR('Visual SPC'!$E$4="",'Data Entry'!$C8234&lt;='Visual SPC'!$E$4),OR('Visual SPC'!$G$4="",'Data Entry'!$D8234='Visual SPC'!$G$4),OR('Visual SPC'!$I$4="",'Data Entry'!$E8234='Visual SPC'!$I$4),OR('Visual SPC'!$K$4="",'Data Entry'!$F8234='Visual SPC'!$K$4)),1,0))</f>
        <v/>
      </c>
      <c r="C8234">
        <f>C8233+B8234</f>
        <v/>
      </c>
      <c r="D8234">
        <f>IF(B8234=1,INDEX('Data Entry'!$H$5:$BE$10004,8234-4,'Visual SPC'!$B$3),"")</f>
        <v/>
      </c>
      <c r="E8234">
        <f>IF(B8234=1,D8234,E8233)</f>
        <v/>
      </c>
      <c r="F8234">
        <f>IF(AND(B8234=1,C8234&gt;1,E8233&lt;&gt;""),ABS(D8234-E8233),"")</f>
        <v/>
      </c>
    </row>
    <row r="8235">
      <c r="A8235" t="n">
        <v>8235</v>
      </c>
      <c r="B8235">
        <f>IF(INDEX('Data Entry'!$H$5:$BE$10004,8235-4,'Visual SPC'!$B$3)="",0,IF(AND(OR('Visual SPC'!$C$4="",'Data Entry'!$C8235&gt;='Visual SPC'!$C$4),OR('Visual SPC'!$E$4="",'Data Entry'!$C8235&lt;='Visual SPC'!$E$4),OR('Visual SPC'!$G$4="",'Data Entry'!$D8235='Visual SPC'!$G$4),OR('Visual SPC'!$I$4="",'Data Entry'!$E8235='Visual SPC'!$I$4),OR('Visual SPC'!$K$4="",'Data Entry'!$F8235='Visual SPC'!$K$4)),1,0))</f>
        <v/>
      </c>
      <c r="C8235">
        <f>C8234+B8235</f>
        <v/>
      </c>
      <c r="D8235">
        <f>IF(B8235=1,INDEX('Data Entry'!$H$5:$BE$10004,8235-4,'Visual SPC'!$B$3),"")</f>
        <v/>
      </c>
      <c r="E8235">
        <f>IF(B8235=1,D8235,E8234)</f>
        <v/>
      </c>
      <c r="F8235">
        <f>IF(AND(B8235=1,C8235&gt;1,E8234&lt;&gt;""),ABS(D8235-E8234),"")</f>
        <v/>
      </c>
    </row>
    <row r="8236">
      <c r="A8236" t="n">
        <v>8236</v>
      </c>
      <c r="B8236">
        <f>IF(INDEX('Data Entry'!$H$5:$BE$10004,8236-4,'Visual SPC'!$B$3)="",0,IF(AND(OR('Visual SPC'!$C$4="",'Data Entry'!$C8236&gt;='Visual SPC'!$C$4),OR('Visual SPC'!$E$4="",'Data Entry'!$C8236&lt;='Visual SPC'!$E$4),OR('Visual SPC'!$G$4="",'Data Entry'!$D8236='Visual SPC'!$G$4),OR('Visual SPC'!$I$4="",'Data Entry'!$E8236='Visual SPC'!$I$4),OR('Visual SPC'!$K$4="",'Data Entry'!$F8236='Visual SPC'!$K$4)),1,0))</f>
        <v/>
      </c>
      <c r="C8236">
        <f>C8235+B8236</f>
        <v/>
      </c>
      <c r="D8236">
        <f>IF(B8236=1,INDEX('Data Entry'!$H$5:$BE$10004,8236-4,'Visual SPC'!$B$3),"")</f>
        <v/>
      </c>
      <c r="E8236">
        <f>IF(B8236=1,D8236,E8235)</f>
        <v/>
      </c>
      <c r="F8236">
        <f>IF(AND(B8236=1,C8236&gt;1,E8235&lt;&gt;""),ABS(D8236-E8235),"")</f>
        <v/>
      </c>
    </row>
    <row r="8237">
      <c r="A8237" t="n">
        <v>8237</v>
      </c>
      <c r="B8237">
        <f>IF(INDEX('Data Entry'!$H$5:$BE$10004,8237-4,'Visual SPC'!$B$3)="",0,IF(AND(OR('Visual SPC'!$C$4="",'Data Entry'!$C8237&gt;='Visual SPC'!$C$4),OR('Visual SPC'!$E$4="",'Data Entry'!$C8237&lt;='Visual SPC'!$E$4),OR('Visual SPC'!$G$4="",'Data Entry'!$D8237='Visual SPC'!$G$4),OR('Visual SPC'!$I$4="",'Data Entry'!$E8237='Visual SPC'!$I$4),OR('Visual SPC'!$K$4="",'Data Entry'!$F8237='Visual SPC'!$K$4)),1,0))</f>
        <v/>
      </c>
      <c r="C8237">
        <f>C8236+B8237</f>
        <v/>
      </c>
      <c r="D8237">
        <f>IF(B8237=1,INDEX('Data Entry'!$H$5:$BE$10004,8237-4,'Visual SPC'!$B$3),"")</f>
        <v/>
      </c>
      <c r="E8237">
        <f>IF(B8237=1,D8237,E8236)</f>
        <v/>
      </c>
      <c r="F8237">
        <f>IF(AND(B8237=1,C8237&gt;1,E8236&lt;&gt;""),ABS(D8237-E8236),"")</f>
        <v/>
      </c>
    </row>
    <row r="8238">
      <c r="A8238" t="n">
        <v>8238</v>
      </c>
      <c r="B8238">
        <f>IF(INDEX('Data Entry'!$H$5:$BE$10004,8238-4,'Visual SPC'!$B$3)="",0,IF(AND(OR('Visual SPC'!$C$4="",'Data Entry'!$C8238&gt;='Visual SPC'!$C$4),OR('Visual SPC'!$E$4="",'Data Entry'!$C8238&lt;='Visual SPC'!$E$4),OR('Visual SPC'!$G$4="",'Data Entry'!$D8238='Visual SPC'!$G$4),OR('Visual SPC'!$I$4="",'Data Entry'!$E8238='Visual SPC'!$I$4),OR('Visual SPC'!$K$4="",'Data Entry'!$F8238='Visual SPC'!$K$4)),1,0))</f>
        <v/>
      </c>
      <c r="C8238">
        <f>C8237+B8238</f>
        <v/>
      </c>
      <c r="D8238">
        <f>IF(B8238=1,INDEX('Data Entry'!$H$5:$BE$10004,8238-4,'Visual SPC'!$B$3),"")</f>
        <v/>
      </c>
      <c r="E8238">
        <f>IF(B8238=1,D8238,E8237)</f>
        <v/>
      </c>
      <c r="F8238">
        <f>IF(AND(B8238=1,C8238&gt;1,E8237&lt;&gt;""),ABS(D8238-E8237),"")</f>
        <v/>
      </c>
    </row>
    <row r="8239">
      <c r="A8239" t="n">
        <v>8239</v>
      </c>
      <c r="B8239">
        <f>IF(INDEX('Data Entry'!$H$5:$BE$10004,8239-4,'Visual SPC'!$B$3)="",0,IF(AND(OR('Visual SPC'!$C$4="",'Data Entry'!$C8239&gt;='Visual SPC'!$C$4),OR('Visual SPC'!$E$4="",'Data Entry'!$C8239&lt;='Visual SPC'!$E$4),OR('Visual SPC'!$G$4="",'Data Entry'!$D8239='Visual SPC'!$G$4),OR('Visual SPC'!$I$4="",'Data Entry'!$E8239='Visual SPC'!$I$4),OR('Visual SPC'!$K$4="",'Data Entry'!$F8239='Visual SPC'!$K$4)),1,0))</f>
        <v/>
      </c>
      <c r="C8239">
        <f>C8238+B8239</f>
        <v/>
      </c>
      <c r="D8239">
        <f>IF(B8239=1,INDEX('Data Entry'!$H$5:$BE$10004,8239-4,'Visual SPC'!$B$3),"")</f>
        <v/>
      </c>
      <c r="E8239">
        <f>IF(B8239=1,D8239,E8238)</f>
        <v/>
      </c>
      <c r="F8239">
        <f>IF(AND(B8239=1,C8239&gt;1,E8238&lt;&gt;""),ABS(D8239-E8238),"")</f>
        <v/>
      </c>
    </row>
    <row r="8240">
      <c r="A8240" t="n">
        <v>8240</v>
      </c>
      <c r="B8240">
        <f>IF(INDEX('Data Entry'!$H$5:$BE$10004,8240-4,'Visual SPC'!$B$3)="",0,IF(AND(OR('Visual SPC'!$C$4="",'Data Entry'!$C8240&gt;='Visual SPC'!$C$4),OR('Visual SPC'!$E$4="",'Data Entry'!$C8240&lt;='Visual SPC'!$E$4),OR('Visual SPC'!$G$4="",'Data Entry'!$D8240='Visual SPC'!$G$4),OR('Visual SPC'!$I$4="",'Data Entry'!$E8240='Visual SPC'!$I$4),OR('Visual SPC'!$K$4="",'Data Entry'!$F8240='Visual SPC'!$K$4)),1,0))</f>
        <v/>
      </c>
      <c r="C8240">
        <f>C8239+B8240</f>
        <v/>
      </c>
      <c r="D8240">
        <f>IF(B8240=1,INDEX('Data Entry'!$H$5:$BE$10004,8240-4,'Visual SPC'!$B$3),"")</f>
        <v/>
      </c>
      <c r="E8240">
        <f>IF(B8240=1,D8240,E8239)</f>
        <v/>
      </c>
      <c r="F8240">
        <f>IF(AND(B8240=1,C8240&gt;1,E8239&lt;&gt;""),ABS(D8240-E8239),"")</f>
        <v/>
      </c>
    </row>
    <row r="8241">
      <c r="A8241" t="n">
        <v>8241</v>
      </c>
      <c r="B8241">
        <f>IF(INDEX('Data Entry'!$H$5:$BE$10004,8241-4,'Visual SPC'!$B$3)="",0,IF(AND(OR('Visual SPC'!$C$4="",'Data Entry'!$C8241&gt;='Visual SPC'!$C$4),OR('Visual SPC'!$E$4="",'Data Entry'!$C8241&lt;='Visual SPC'!$E$4),OR('Visual SPC'!$G$4="",'Data Entry'!$D8241='Visual SPC'!$G$4),OR('Visual SPC'!$I$4="",'Data Entry'!$E8241='Visual SPC'!$I$4),OR('Visual SPC'!$K$4="",'Data Entry'!$F8241='Visual SPC'!$K$4)),1,0))</f>
        <v/>
      </c>
      <c r="C8241">
        <f>C8240+B8241</f>
        <v/>
      </c>
      <c r="D8241">
        <f>IF(B8241=1,INDEX('Data Entry'!$H$5:$BE$10004,8241-4,'Visual SPC'!$B$3),"")</f>
        <v/>
      </c>
      <c r="E8241">
        <f>IF(B8241=1,D8241,E8240)</f>
        <v/>
      </c>
      <c r="F8241">
        <f>IF(AND(B8241=1,C8241&gt;1,E8240&lt;&gt;""),ABS(D8241-E8240),"")</f>
        <v/>
      </c>
    </row>
    <row r="8242">
      <c r="A8242" t="n">
        <v>8242</v>
      </c>
      <c r="B8242">
        <f>IF(INDEX('Data Entry'!$H$5:$BE$10004,8242-4,'Visual SPC'!$B$3)="",0,IF(AND(OR('Visual SPC'!$C$4="",'Data Entry'!$C8242&gt;='Visual SPC'!$C$4),OR('Visual SPC'!$E$4="",'Data Entry'!$C8242&lt;='Visual SPC'!$E$4),OR('Visual SPC'!$G$4="",'Data Entry'!$D8242='Visual SPC'!$G$4),OR('Visual SPC'!$I$4="",'Data Entry'!$E8242='Visual SPC'!$I$4),OR('Visual SPC'!$K$4="",'Data Entry'!$F8242='Visual SPC'!$K$4)),1,0))</f>
        <v/>
      </c>
      <c r="C8242">
        <f>C8241+B8242</f>
        <v/>
      </c>
      <c r="D8242">
        <f>IF(B8242=1,INDEX('Data Entry'!$H$5:$BE$10004,8242-4,'Visual SPC'!$B$3),"")</f>
        <v/>
      </c>
      <c r="E8242">
        <f>IF(B8242=1,D8242,E8241)</f>
        <v/>
      </c>
      <c r="F8242">
        <f>IF(AND(B8242=1,C8242&gt;1,E8241&lt;&gt;""),ABS(D8242-E8241),"")</f>
        <v/>
      </c>
    </row>
    <row r="8243">
      <c r="A8243" t="n">
        <v>8243</v>
      </c>
      <c r="B8243">
        <f>IF(INDEX('Data Entry'!$H$5:$BE$10004,8243-4,'Visual SPC'!$B$3)="",0,IF(AND(OR('Visual SPC'!$C$4="",'Data Entry'!$C8243&gt;='Visual SPC'!$C$4),OR('Visual SPC'!$E$4="",'Data Entry'!$C8243&lt;='Visual SPC'!$E$4),OR('Visual SPC'!$G$4="",'Data Entry'!$D8243='Visual SPC'!$G$4),OR('Visual SPC'!$I$4="",'Data Entry'!$E8243='Visual SPC'!$I$4),OR('Visual SPC'!$K$4="",'Data Entry'!$F8243='Visual SPC'!$K$4)),1,0))</f>
        <v/>
      </c>
      <c r="C8243">
        <f>C8242+B8243</f>
        <v/>
      </c>
      <c r="D8243">
        <f>IF(B8243=1,INDEX('Data Entry'!$H$5:$BE$10004,8243-4,'Visual SPC'!$B$3),"")</f>
        <v/>
      </c>
      <c r="E8243">
        <f>IF(B8243=1,D8243,E8242)</f>
        <v/>
      </c>
      <c r="F8243">
        <f>IF(AND(B8243=1,C8243&gt;1,E8242&lt;&gt;""),ABS(D8243-E8242),"")</f>
        <v/>
      </c>
    </row>
    <row r="8244">
      <c r="A8244" t="n">
        <v>8244</v>
      </c>
      <c r="B8244">
        <f>IF(INDEX('Data Entry'!$H$5:$BE$10004,8244-4,'Visual SPC'!$B$3)="",0,IF(AND(OR('Visual SPC'!$C$4="",'Data Entry'!$C8244&gt;='Visual SPC'!$C$4),OR('Visual SPC'!$E$4="",'Data Entry'!$C8244&lt;='Visual SPC'!$E$4),OR('Visual SPC'!$G$4="",'Data Entry'!$D8244='Visual SPC'!$G$4),OR('Visual SPC'!$I$4="",'Data Entry'!$E8244='Visual SPC'!$I$4),OR('Visual SPC'!$K$4="",'Data Entry'!$F8244='Visual SPC'!$K$4)),1,0))</f>
        <v/>
      </c>
      <c r="C8244">
        <f>C8243+B8244</f>
        <v/>
      </c>
      <c r="D8244">
        <f>IF(B8244=1,INDEX('Data Entry'!$H$5:$BE$10004,8244-4,'Visual SPC'!$B$3),"")</f>
        <v/>
      </c>
      <c r="E8244">
        <f>IF(B8244=1,D8244,E8243)</f>
        <v/>
      </c>
      <c r="F8244">
        <f>IF(AND(B8244=1,C8244&gt;1,E8243&lt;&gt;""),ABS(D8244-E8243),"")</f>
        <v/>
      </c>
    </row>
    <row r="8245">
      <c r="A8245" t="n">
        <v>8245</v>
      </c>
      <c r="B8245">
        <f>IF(INDEX('Data Entry'!$H$5:$BE$10004,8245-4,'Visual SPC'!$B$3)="",0,IF(AND(OR('Visual SPC'!$C$4="",'Data Entry'!$C8245&gt;='Visual SPC'!$C$4),OR('Visual SPC'!$E$4="",'Data Entry'!$C8245&lt;='Visual SPC'!$E$4),OR('Visual SPC'!$G$4="",'Data Entry'!$D8245='Visual SPC'!$G$4),OR('Visual SPC'!$I$4="",'Data Entry'!$E8245='Visual SPC'!$I$4),OR('Visual SPC'!$K$4="",'Data Entry'!$F8245='Visual SPC'!$K$4)),1,0))</f>
        <v/>
      </c>
      <c r="C8245">
        <f>C8244+B8245</f>
        <v/>
      </c>
      <c r="D8245">
        <f>IF(B8245=1,INDEX('Data Entry'!$H$5:$BE$10004,8245-4,'Visual SPC'!$B$3),"")</f>
        <v/>
      </c>
      <c r="E8245">
        <f>IF(B8245=1,D8245,E8244)</f>
        <v/>
      </c>
      <c r="F8245">
        <f>IF(AND(B8245=1,C8245&gt;1,E8244&lt;&gt;""),ABS(D8245-E8244),"")</f>
        <v/>
      </c>
    </row>
    <row r="8246">
      <c r="A8246" t="n">
        <v>8246</v>
      </c>
      <c r="B8246">
        <f>IF(INDEX('Data Entry'!$H$5:$BE$10004,8246-4,'Visual SPC'!$B$3)="",0,IF(AND(OR('Visual SPC'!$C$4="",'Data Entry'!$C8246&gt;='Visual SPC'!$C$4),OR('Visual SPC'!$E$4="",'Data Entry'!$C8246&lt;='Visual SPC'!$E$4),OR('Visual SPC'!$G$4="",'Data Entry'!$D8246='Visual SPC'!$G$4),OR('Visual SPC'!$I$4="",'Data Entry'!$E8246='Visual SPC'!$I$4),OR('Visual SPC'!$K$4="",'Data Entry'!$F8246='Visual SPC'!$K$4)),1,0))</f>
        <v/>
      </c>
      <c r="C8246">
        <f>C8245+B8246</f>
        <v/>
      </c>
      <c r="D8246">
        <f>IF(B8246=1,INDEX('Data Entry'!$H$5:$BE$10004,8246-4,'Visual SPC'!$B$3),"")</f>
        <v/>
      </c>
      <c r="E8246">
        <f>IF(B8246=1,D8246,E8245)</f>
        <v/>
      </c>
      <c r="F8246">
        <f>IF(AND(B8246=1,C8246&gt;1,E8245&lt;&gt;""),ABS(D8246-E8245),"")</f>
        <v/>
      </c>
    </row>
    <row r="8247">
      <c r="A8247" t="n">
        <v>8247</v>
      </c>
      <c r="B8247">
        <f>IF(INDEX('Data Entry'!$H$5:$BE$10004,8247-4,'Visual SPC'!$B$3)="",0,IF(AND(OR('Visual SPC'!$C$4="",'Data Entry'!$C8247&gt;='Visual SPC'!$C$4),OR('Visual SPC'!$E$4="",'Data Entry'!$C8247&lt;='Visual SPC'!$E$4),OR('Visual SPC'!$G$4="",'Data Entry'!$D8247='Visual SPC'!$G$4),OR('Visual SPC'!$I$4="",'Data Entry'!$E8247='Visual SPC'!$I$4),OR('Visual SPC'!$K$4="",'Data Entry'!$F8247='Visual SPC'!$K$4)),1,0))</f>
        <v/>
      </c>
      <c r="C8247">
        <f>C8246+B8247</f>
        <v/>
      </c>
      <c r="D8247">
        <f>IF(B8247=1,INDEX('Data Entry'!$H$5:$BE$10004,8247-4,'Visual SPC'!$B$3),"")</f>
        <v/>
      </c>
      <c r="E8247">
        <f>IF(B8247=1,D8247,E8246)</f>
        <v/>
      </c>
      <c r="F8247">
        <f>IF(AND(B8247=1,C8247&gt;1,E8246&lt;&gt;""),ABS(D8247-E8246),"")</f>
        <v/>
      </c>
    </row>
    <row r="8248">
      <c r="A8248" t="n">
        <v>8248</v>
      </c>
      <c r="B8248">
        <f>IF(INDEX('Data Entry'!$H$5:$BE$10004,8248-4,'Visual SPC'!$B$3)="",0,IF(AND(OR('Visual SPC'!$C$4="",'Data Entry'!$C8248&gt;='Visual SPC'!$C$4),OR('Visual SPC'!$E$4="",'Data Entry'!$C8248&lt;='Visual SPC'!$E$4),OR('Visual SPC'!$G$4="",'Data Entry'!$D8248='Visual SPC'!$G$4),OR('Visual SPC'!$I$4="",'Data Entry'!$E8248='Visual SPC'!$I$4),OR('Visual SPC'!$K$4="",'Data Entry'!$F8248='Visual SPC'!$K$4)),1,0))</f>
        <v/>
      </c>
      <c r="C8248">
        <f>C8247+B8248</f>
        <v/>
      </c>
      <c r="D8248">
        <f>IF(B8248=1,INDEX('Data Entry'!$H$5:$BE$10004,8248-4,'Visual SPC'!$B$3),"")</f>
        <v/>
      </c>
      <c r="E8248">
        <f>IF(B8248=1,D8248,E8247)</f>
        <v/>
      </c>
      <c r="F8248">
        <f>IF(AND(B8248=1,C8248&gt;1,E8247&lt;&gt;""),ABS(D8248-E8247),"")</f>
        <v/>
      </c>
    </row>
    <row r="8249">
      <c r="A8249" t="n">
        <v>8249</v>
      </c>
      <c r="B8249">
        <f>IF(INDEX('Data Entry'!$H$5:$BE$10004,8249-4,'Visual SPC'!$B$3)="",0,IF(AND(OR('Visual SPC'!$C$4="",'Data Entry'!$C8249&gt;='Visual SPC'!$C$4),OR('Visual SPC'!$E$4="",'Data Entry'!$C8249&lt;='Visual SPC'!$E$4),OR('Visual SPC'!$G$4="",'Data Entry'!$D8249='Visual SPC'!$G$4),OR('Visual SPC'!$I$4="",'Data Entry'!$E8249='Visual SPC'!$I$4),OR('Visual SPC'!$K$4="",'Data Entry'!$F8249='Visual SPC'!$K$4)),1,0))</f>
        <v/>
      </c>
      <c r="C8249">
        <f>C8248+B8249</f>
        <v/>
      </c>
      <c r="D8249">
        <f>IF(B8249=1,INDEX('Data Entry'!$H$5:$BE$10004,8249-4,'Visual SPC'!$B$3),"")</f>
        <v/>
      </c>
      <c r="E8249">
        <f>IF(B8249=1,D8249,E8248)</f>
        <v/>
      </c>
      <c r="F8249">
        <f>IF(AND(B8249=1,C8249&gt;1,E8248&lt;&gt;""),ABS(D8249-E8248),"")</f>
        <v/>
      </c>
    </row>
    <row r="8250">
      <c r="A8250" t="n">
        <v>8250</v>
      </c>
      <c r="B8250">
        <f>IF(INDEX('Data Entry'!$H$5:$BE$10004,8250-4,'Visual SPC'!$B$3)="",0,IF(AND(OR('Visual SPC'!$C$4="",'Data Entry'!$C8250&gt;='Visual SPC'!$C$4),OR('Visual SPC'!$E$4="",'Data Entry'!$C8250&lt;='Visual SPC'!$E$4),OR('Visual SPC'!$G$4="",'Data Entry'!$D8250='Visual SPC'!$G$4),OR('Visual SPC'!$I$4="",'Data Entry'!$E8250='Visual SPC'!$I$4),OR('Visual SPC'!$K$4="",'Data Entry'!$F8250='Visual SPC'!$K$4)),1,0))</f>
        <v/>
      </c>
      <c r="C8250">
        <f>C8249+B8250</f>
        <v/>
      </c>
      <c r="D8250">
        <f>IF(B8250=1,INDEX('Data Entry'!$H$5:$BE$10004,8250-4,'Visual SPC'!$B$3),"")</f>
        <v/>
      </c>
      <c r="E8250">
        <f>IF(B8250=1,D8250,E8249)</f>
        <v/>
      </c>
      <c r="F8250">
        <f>IF(AND(B8250=1,C8250&gt;1,E8249&lt;&gt;""),ABS(D8250-E8249),"")</f>
        <v/>
      </c>
    </row>
    <row r="8251">
      <c r="A8251" t="n">
        <v>8251</v>
      </c>
      <c r="B8251">
        <f>IF(INDEX('Data Entry'!$H$5:$BE$10004,8251-4,'Visual SPC'!$B$3)="",0,IF(AND(OR('Visual SPC'!$C$4="",'Data Entry'!$C8251&gt;='Visual SPC'!$C$4),OR('Visual SPC'!$E$4="",'Data Entry'!$C8251&lt;='Visual SPC'!$E$4),OR('Visual SPC'!$G$4="",'Data Entry'!$D8251='Visual SPC'!$G$4),OR('Visual SPC'!$I$4="",'Data Entry'!$E8251='Visual SPC'!$I$4),OR('Visual SPC'!$K$4="",'Data Entry'!$F8251='Visual SPC'!$K$4)),1,0))</f>
        <v/>
      </c>
      <c r="C8251">
        <f>C8250+B8251</f>
        <v/>
      </c>
      <c r="D8251">
        <f>IF(B8251=1,INDEX('Data Entry'!$H$5:$BE$10004,8251-4,'Visual SPC'!$B$3),"")</f>
        <v/>
      </c>
      <c r="E8251">
        <f>IF(B8251=1,D8251,E8250)</f>
        <v/>
      </c>
      <c r="F8251">
        <f>IF(AND(B8251=1,C8251&gt;1,E8250&lt;&gt;""),ABS(D8251-E8250),"")</f>
        <v/>
      </c>
    </row>
    <row r="8252">
      <c r="A8252" t="n">
        <v>8252</v>
      </c>
      <c r="B8252">
        <f>IF(INDEX('Data Entry'!$H$5:$BE$10004,8252-4,'Visual SPC'!$B$3)="",0,IF(AND(OR('Visual SPC'!$C$4="",'Data Entry'!$C8252&gt;='Visual SPC'!$C$4),OR('Visual SPC'!$E$4="",'Data Entry'!$C8252&lt;='Visual SPC'!$E$4),OR('Visual SPC'!$G$4="",'Data Entry'!$D8252='Visual SPC'!$G$4),OR('Visual SPC'!$I$4="",'Data Entry'!$E8252='Visual SPC'!$I$4),OR('Visual SPC'!$K$4="",'Data Entry'!$F8252='Visual SPC'!$K$4)),1,0))</f>
        <v/>
      </c>
      <c r="C8252">
        <f>C8251+B8252</f>
        <v/>
      </c>
      <c r="D8252">
        <f>IF(B8252=1,INDEX('Data Entry'!$H$5:$BE$10004,8252-4,'Visual SPC'!$B$3),"")</f>
        <v/>
      </c>
      <c r="E8252">
        <f>IF(B8252=1,D8252,E8251)</f>
        <v/>
      </c>
      <c r="F8252">
        <f>IF(AND(B8252=1,C8252&gt;1,E8251&lt;&gt;""),ABS(D8252-E8251),"")</f>
        <v/>
      </c>
    </row>
    <row r="8253">
      <c r="A8253" t="n">
        <v>8253</v>
      </c>
      <c r="B8253">
        <f>IF(INDEX('Data Entry'!$H$5:$BE$10004,8253-4,'Visual SPC'!$B$3)="",0,IF(AND(OR('Visual SPC'!$C$4="",'Data Entry'!$C8253&gt;='Visual SPC'!$C$4),OR('Visual SPC'!$E$4="",'Data Entry'!$C8253&lt;='Visual SPC'!$E$4),OR('Visual SPC'!$G$4="",'Data Entry'!$D8253='Visual SPC'!$G$4),OR('Visual SPC'!$I$4="",'Data Entry'!$E8253='Visual SPC'!$I$4),OR('Visual SPC'!$K$4="",'Data Entry'!$F8253='Visual SPC'!$K$4)),1,0))</f>
        <v/>
      </c>
      <c r="C8253">
        <f>C8252+B8253</f>
        <v/>
      </c>
      <c r="D8253">
        <f>IF(B8253=1,INDEX('Data Entry'!$H$5:$BE$10004,8253-4,'Visual SPC'!$B$3),"")</f>
        <v/>
      </c>
      <c r="E8253">
        <f>IF(B8253=1,D8253,E8252)</f>
        <v/>
      </c>
      <c r="F8253">
        <f>IF(AND(B8253=1,C8253&gt;1,E8252&lt;&gt;""),ABS(D8253-E8252),"")</f>
        <v/>
      </c>
    </row>
    <row r="8254">
      <c r="A8254" t="n">
        <v>8254</v>
      </c>
      <c r="B8254">
        <f>IF(INDEX('Data Entry'!$H$5:$BE$10004,8254-4,'Visual SPC'!$B$3)="",0,IF(AND(OR('Visual SPC'!$C$4="",'Data Entry'!$C8254&gt;='Visual SPC'!$C$4),OR('Visual SPC'!$E$4="",'Data Entry'!$C8254&lt;='Visual SPC'!$E$4),OR('Visual SPC'!$G$4="",'Data Entry'!$D8254='Visual SPC'!$G$4),OR('Visual SPC'!$I$4="",'Data Entry'!$E8254='Visual SPC'!$I$4),OR('Visual SPC'!$K$4="",'Data Entry'!$F8254='Visual SPC'!$K$4)),1,0))</f>
        <v/>
      </c>
      <c r="C8254">
        <f>C8253+B8254</f>
        <v/>
      </c>
      <c r="D8254">
        <f>IF(B8254=1,INDEX('Data Entry'!$H$5:$BE$10004,8254-4,'Visual SPC'!$B$3),"")</f>
        <v/>
      </c>
      <c r="E8254">
        <f>IF(B8254=1,D8254,E8253)</f>
        <v/>
      </c>
      <c r="F8254">
        <f>IF(AND(B8254=1,C8254&gt;1,E8253&lt;&gt;""),ABS(D8254-E8253),"")</f>
        <v/>
      </c>
    </row>
    <row r="8255">
      <c r="A8255" t="n">
        <v>8255</v>
      </c>
      <c r="B8255">
        <f>IF(INDEX('Data Entry'!$H$5:$BE$10004,8255-4,'Visual SPC'!$B$3)="",0,IF(AND(OR('Visual SPC'!$C$4="",'Data Entry'!$C8255&gt;='Visual SPC'!$C$4),OR('Visual SPC'!$E$4="",'Data Entry'!$C8255&lt;='Visual SPC'!$E$4),OR('Visual SPC'!$G$4="",'Data Entry'!$D8255='Visual SPC'!$G$4),OR('Visual SPC'!$I$4="",'Data Entry'!$E8255='Visual SPC'!$I$4),OR('Visual SPC'!$K$4="",'Data Entry'!$F8255='Visual SPC'!$K$4)),1,0))</f>
        <v/>
      </c>
      <c r="C8255">
        <f>C8254+B8255</f>
        <v/>
      </c>
      <c r="D8255">
        <f>IF(B8255=1,INDEX('Data Entry'!$H$5:$BE$10004,8255-4,'Visual SPC'!$B$3),"")</f>
        <v/>
      </c>
      <c r="E8255">
        <f>IF(B8255=1,D8255,E8254)</f>
        <v/>
      </c>
      <c r="F8255">
        <f>IF(AND(B8255=1,C8255&gt;1,E8254&lt;&gt;""),ABS(D8255-E8254),"")</f>
        <v/>
      </c>
    </row>
    <row r="8256">
      <c r="A8256" t="n">
        <v>8256</v>
      </c>
      <c r="B8256">
        <f>IF(INDEX('Data Entry'!$H$5:$BE$10004,8256-4,'Visual SPC'!$B$3)="",0,IF(AND(OR('Visual SPC'!$C$4="",'Data Entry'!$C8256&gt;='Visual SPC'!$C$4),OR('Visual SPC'!$E$4="",'Data Entry'!$C8256&lt;='Visual SPC'!$E$4),OR('Visual SPC'!$G$4="",'Data Entry'!$D8256='Visual SPC'!$G$4),OR('Visual SPC'!$I$4="",'Data Entry'!$E8256='Visual SPC'!$I$4),OR('Visual SPC'!$K$4="",'Data Entry'!$F8256='Visual SPC'!$K$4)),1,0))</f>
        <v/>
      </c>
      <c r="C8256">
        <f>C8255+B8256</f>
        <v/>
      </c>
      <c r="D8256">
        <f>IF(B8256=1,INDEX('Data Entry'!$H$5:$BE$10004,8256-4,'Visual SPC'!$B$3),"")</f>
        <v/>
      </c>
      <c r="E8256">
        <f>IF(B8256=1,D8256,E8255)</f>
        <v/>
      </c>
      <c r="F8256">
        <f>IF(AND(B8256=1,C8256&gt;1,E8255&lt;&gt;""),ABS(D8256-E8255),"")</f>
        <v/>
      </c>
    </row>
    <row r="8257">
      <c r="A8257" t="n">
        <v>8257</v>
      </c>
      <c r="B8257">
        <f>IF(INDEX('Data Entry'!$H$5:$BE$10004,8257-4,'Visual SPC'!$B$3)="",0,IF(AND(OR('Visual SPC'!$C$4="",'Data Entry'!$C8257&gt;='Visual SPC'!$C$4),OR('Visual SPC'!$E$4="",'Data Entry'!$C8257&lt;='Visual SPC'!$E$4),OR('Visual SPC'!$G$4="",'Data Entry'!$D8257='Visual SPC'!$G$4),OR('Visual SPC'!$I$4="",'Data Entry'!$E8257='Visual SPC'!$I$4),OR('Visual SPC'!$K$4="",'Data Entry'!$F8257='Visual SPC'!$K$4)),1,0))</f>
        <v/>
      </c>
      <c r="C8257">
        <f>C8256+B8257</f>
        <v/>
      </c>
      <c r="D8257">
        <f>IF(B8257=1,INDEX('Data Entry'!$H$5:$BE$10004,8257-4,'Visual SPC'!$B$3),"")</f>
        <v/>
      </c>
      <c r="E8257">
        <f>IF(B8257=1,D8257,E8256)</f>
        <v/>
      </c>
      <c r="F8257">
        <f>IF(AND(B8257=1,C8257&gt;1,E8256&lt;&gt;""),ABS(D8257-E8256),"")</f>
        <v/>
      </c>
    </row>
    <row r="8258">
      <c r="A8258" t="n">
        <v>8258</v>
      </c>
      <c r="B8258">
        <f>IF(INDEX('Data Entry'!$H$5:$BE$10004,8258-4,'Visual SPC'!$B$3)="",0,IF(AND(OR('Visual SPC'!$C$4="",'Data Entry'!$C8258&gt;='Visual SPC'!$C$4),OR('Visual SPC'!$E$4="",'Data Entry'!$C8258&lt;='Visual SPC'!$E$4),OR('Visual SPC'!$G$4="",'Data Entry'!$D8258='Visual SPC'!$G$4),OR('Visual SPC'!$I$4="",'Data Entry'!$E8258='Visual SPC'!$I$4),OR('Visual SPC'!$K$4="",'Data Entry'!$F8258='Visual SPC'!$K$4)),1,0))</f>
        <v/>
      </c>
      <c r="C8258">
        <f>C8257+B8258</f>
        <v/>
      </c>
      <c r="D8258">
        <f>IF(B8258=1,INDEX('Data Entry'!$H$5:$BE$10004,8258-4,'Visual SPC'!$B$3),"")</f>
        <v/>
      </c>
      <c r="E8258">
        <f>IF(B8258=1,D8258,E8257)</f>
        <v/>
      </c>
      <c r="F8258">
        <f>IF(AND(B8258=1,C8258&gt;1,E8257&lt;&gt;""),ABS(D8258-E8257),"")</f>
        <v/>
      </c>
    </row>
    <row r="8259">
      <c r="A8259" t="n">
        <v>8259</v>
      </c>
      <c r="B8259">
        <f>IF(INDEX('Data Entry'!$H$5:$BE$10004,8259-4,'Visual SPC'!$B$3)="",0,IF(AND(OR('Visual SPC'!$C$4="",'Data Entry'!$C8259&gt;='Visual SPC'!$C$4),OR('Visual SPC'!$E$4="",'Data Entry'!$C8259&lt;='Visual SPC'!$E$4),OR('Visual SPC'!$G$4="",'Data Entry'!$D8259='Visual SPC'!$G$4),OR('Visual SPC'!$I$4="",'Data Entry'!$E8259='Visual SPC'!$I$4),OR('Visual SPC'!$K$4="",'Data Entry'!$F8259='Visual SPC'!$K$4)),1,0))</f>
        <v/>
      </c>
      <c r="C8259">
        <f>C8258+B8259</f>
        <v/>
      </c>
      <c r="D8259">
        <f>IF(B8259=1,INDEX('Data Entry'!$H$5:$BE$10004,8259-4,'Visual SPC'!$B$3),"")</f>
        <v/>
      </c>
      <c r="E8259">
        <f>IF(B8259=1,D8259,E8258)</f>
        <v/>
      </c>
      <c r="F8259">
        <f>IF(AND(B8259=1,C8259&gt;1,E8258&lt;&gt;""),ABS(D8259-E8258),"")</f>
        <v/>
      </c>
    </row>
    <row r="8260">
      <c r="A8260" t="n">
        <v>8260</v>
      </c>
      <c r="B8260">
        <f>IF(INDEX('Data Entry'!$H$5:$BE$10004,8260-4,'Visual SPC'!$B$3)="",0,IF(AND(OR('Visual SPC'!$C$4="",'Data Entry'!$C8260&gt;='Visual SPC'!$C$4),OR('Visual SPC'!$E$4="",'Data Entry'!$C8260&lt;='Visual SPC'!$E$4),OR('Visual SPC'!$G$4="",'Data Entry'!$D8260='Visual SPC'!$G$4),OR('Visual SPC'!$I$4="",'Data Entry'!$E8260='Visual SPC'!$I$4),OR('Visual SPC'!$K$4="",'Data Entry'!$F8260='Visual SPC'!$K$4)),1,0))</f>
        <v/>
      </c>
      <c r="C8260">
        <f>C8259+B8260</f>
        <v/>
      </c>
      <c r="D8260">
        <f>IF(B8260=1,INDEX('Data Entry'!$H$5:$BE$10004,8260-4,'Visual SPC'!$B$3),"")</f>
        <v/>
      </c>
      <c r="E8260">
        <f>IF(B8260=1,D8260,E8259)</f>
        <v/>
      </c>
      <c r="F8260">
        <f>IF(AND(B8260=1,C8260&gt;1,E8259&lt;&gt;""),ABS(D8260-E8259),"")</f>
        <v/>
      </c>
    </row>
    <row r="8261">
      <c r="A8261" t="n">
        <v>8261</v>
      </c>
      <c r="B8261">
        <f>IF(INDEX('Data Entry'!$H$5:$BE$10004,8261-4,'Visual SPC'!$B$3)="",0,IF(AND(OR('Visual SPC'!$C$4="",'Data Entry'!$C8261&gt;='Visual SPC'!$C$4),OR('Visual SPC'!$E$4="",'Data Entry'!$C8261&lt;='Visual SPC'!$E$4),OR('Visual SPC'!$G$4="",'Data Entry'!$D8261='Visual SPC'!$G$4),OR('Visual SPC'!$I$4="",'Data Entry'!$E8261='Visual SPC'!$I$4),OR('Visual SPC'!$K$4="",'Data Entry'!$F8261='Visual SPC'!$K$4)),1,0))</f>
        <v/>
      </c>
      <c r="C8261">
        <f>C8260+B8261</f>
        <v/>
      </c>
      <c r="D8261">
        <f>IF(B8261=1,INDEX('Data Entry'!$H$5:$BE$10004,8261-4,'Visual SPC'!$B$3),"")</f>
        <v/>
      </c>
      <c r="E8261">
        <f>IF(B8261=1,D8261,E8260)</f>
        <v/>
      </c>
      <c r="F8261">
        <f>IF(AND(B8261=1,C8261&gt;1,E8260&lt;&gt;""),ABS(D8261-E8260),"")</f>
        <v/>
      </c>
    </row>
    <row r="8262">
      <c r="A8262" t="n">
        <v>8262</v>
      </c>
      <c r="B8262">
        <f>IF(INDEX('Data Entry'!$H$5:$BE$10004,8262-4,'Visual SPC'!$B$3)="",0,IF(AND(OR('Visual SPC'!$C$4="",'Data Entry'!$C8262&gt;='Visual SPC'!$C$4),OR('Visual SPC'!$E$4="",'Data Entry'!$C8262&lt;='Visual SPC'!$E$4),OR('Visual SPC'!$G$4="",'Data Entry'!$D8262='Visual SPC'!$G$4),OR('Visual SPC'!$I$4="",'Data Entry'!$E8262='Visual SPC'!$I$4),OR('Visual SPC'!$K$4="",'Data Entry'!$F8262='Visual SPC'!$K$4)),1,0))</f>
        <v/>
      </c>
      <c r="C8262">
        <f>C8261+B8262</f>
        <v/>
      </c>
      <c r="D8262">
        <f>IF(B8262=1,INDEX('Data Entry'!$H$5:$BE$10004,8262-4,'Visual SPC'!$B$3),"")</f>
        <v/>
      </c>
      <c r="E8262">
        <f>IF(B8262=1,D8262,E8261)</f>
        <v/>
      </c>
      <c r="F8262">
        <f>IF(AND(B8262=1,C8262&gt;1,E8261&lt;&gt;""),ABS(D8262-E8261),"")</f>
        <v/>
      </c>
    </row>
    <row r="8263">
      <c r="A8263" t="n">
        <v>8263</v>
      </c>
      <c r="B8263">
        <f>IF(INDEX('Data Entry'!$H$5:$BE$10004,8263-4,'Visual SPC'!$B$3)="",0,IF(AND(OR('Visual SPC'!$C$4="",'Data Entry'!$C8263&gt;='Visual SPC'!$C$4),OR('Visual SPC'!$E$4="",'Data Entry'!$C8263&lt;='Visual SPC'!$E$4),OR('Visual SPC'!$G$4="",'Data Entry'!$D8263='Visual SPC'!$G$4),OR('Visual SPC'!$I$4="",'Data Entry'!$E8263='Visual SPC'!$I$4),OR('Visual SPC'!$K$4="",'Data Entry'!$F8263='Visual SPC'!$K$4)),1,0))</f>
        <v/>
      </c>
      <c r="C8263">
        <f>C8262+B8263</f>
        <v/>
      </c>
      <c r="D8263">
        <f>IF(B8263=1,INDEX('Data Entry'!$H$5:$BE$10004,8263-4,'Visual SPC'!$B$3),"")</f>
        <v/>
      </c>
      <c r="E8263">
        <f>IF(B8263=1,D8263,E8262)</f>
        <v/>
      </c>
      <c r="F8263">
        <f>IF(AND(B8263=1,C8263&gt;1,E8262&lt;&gt;""),ABS(D8263-E8262),"")</f>
        <v/>
      </c>
    </row>
    <row r="8264">
      <c r="A8264" t="n">
        <v>8264</v>
      </c>
      <c r="B8264">
        <f>IF(INDEX('Data Entry'!$H$5:$BE$10004,8264-4,'Visual SPC'!$B$3)="",0,IF(AND(OR('Visual SPC'!$C$4="",'Data Entry'!$C8264&gt;='Visual SPC'!$C$4),OR('Visual SPC'!$E$4="",'Data Entry'!$C8264&lt;='Visual SPC'!$E$4),OR('Visual SPC'!$G$4="",'Data Entry'!$D8264='Visual SPC'!$G$4),OR('Visual SPC'!$I$4="",'Data Entry'!$E8264='Visual SPC'!$I$4),OR('Visual SPC'!$K$4="",'Data Entry'!$F8264='Visual SPC'!$K$4)),1,0))</f>
        <v/>
      </c>
      <c r="C8264">
        <f>C8263+B8264</f>
        <v/>
      </c>
      <c r="D8264">
        <f>IF(B8264=1,INDEX('Data Entry'!$H$5:$BE$10004,8264-4,'Visual SPC'!$B$3),"")</f>
        <v/>
      </c>
      <c r="E8264">
        <f>IF(B8264=1,D8264,E8263)</f>
        <v/>
      </c>
      <c r="F8264">
        <f>IF(AND(B8264=1,C8264&gt;1,E8263&lt;&gt;""),ABS(D8264-E8263),"")</f>
        <v/>
      </c>
    </row>
    <row r="8265">
      <c r="A8265" t="n">
        <v>8265</v>
      </c>
      <c r="B8265">
        <f>IF(INDEX('Data Entry'!$H$5:$BE$10004,8265-4,'Visual SPC'!$B$3)="",0,IF(AND(OR('Visual SPC'!$C$4="",'Data Entry'!$C8265&gt;='Visual SPC'!$C$4),OR('Visual SPC'!$E$4="",'Data Entry'!$C8265&lt;='Visual SPC'!$E$4),OR('Visual SPC'!$G$4="",'Data Entry'!$D8265='Visual SPC'!$G$4),OR('Visual SPC'!$I$4="",'Data Entry'!$E8265='Visual SPC'!$I$4),OR('Visual SPC'!$K$4="",'Data Entry'!$F8265='Visual SPC'!$K$4)),1,0))</f>
        <v/>
      </c>
      <c r="C8265">
        <f>C8264+B8265</f>
        <v/>
      </c>
      <c r="D8265">
        <f>IF(B8265=1,INDEX('Data Entry'!$H$5:$BE$10004,8265-4,'Visual SPC'!$B$3),"")</f>
        <v/>
      </c>
      <c r="E8265">
        <f>IF(B8265=1,D8265,E8264)</f>
        <v/>
      </c>
      <c r="F8265">
        <f>IF(AND(B8265=1,C8265&gt;1,E8264&lt;&gt;""),ABS(D8265-E8264),"")</f>
        <v/>
      </c>
    </row>
    <row r="8266">
      <c r="A8266" t="n">
        <v>8266</v>
      </c>
      <c r="B8266">
        <f>IF(INDEX('Data Entry'!$H$5:$BE$10004,8266-4,'Visual SPC'!$B$3)="",0,IF(AND(OR('Visual SPC'!$C$4="",'Data Entry'!$C8266&gt;='Visual SPC'!$C$4),OR('Visual SPC'!$E$4="",'Data Entry'!$C8266&lt;='Visual SPC'!$E$4),OR('Visual SPC'!$G$4="",'Data Entry'!$D8266='Visual SPC'!$G$4),OR('Visual SPC'!$I$4="",'Data Entry'!$E8266='Visual SPC'!$I$4),OR('Visual SPC'!$K$4="",'Data Entry'!$F8266='Visual SPC'!$K$4)),1,0))</f>
        <v/>
      </c>
      <c r="C8266">
        <f>C8265+B8266</f>
        <v/>
      </c>
      <c r="D8266">
        <f>IF(B8266=1,INDEX('Data Entry'!$H$5:$BE$10004,8266-4,'Visual SPC'!$B$3),"")</f>
        <v/>
      </c>
      <c r="E8266">
        <f>IF(B8266=1,D8266,E8265)</f>
        <v/>
      </c>
      <c r="F8266">
        <f>IF(AND(B8266=1,C8266&gt;1,E8265&lt;&gt;""),ABS(D8266-E8265),"")</f>
        <v/>
      </c>
    </row>
    <row r="8267">
      <c r="A8267" t="n">
        <v>8267</v>
      </c>
      <c r="B8267">
        <f>IF(INDEX('Data Entry'!$H$5:$BE$10004,8267-4,'Visual SPC'!$B$3)="",0,IF(AND(OR('Visual SPC'!$C$4="",'Data Entry'!$C8267&gt;='Visual SPC'!$C$4),OR('Visual SPC'!$E$4="",'Data Entry'!$C8267&lt;='Visual SPC'!$E$4),OR('Visual SPC'!$G$4="",'Data Entry'!$D8267='Visual SPC'!$G$4),OR('Visual SPC'!$I$4="",'Data Entry'!$E8267='Visual SPC'!$I$4),OR('Visual SPC'!$K$4="",'Data Entry'!$F8267='Visual SPC'!$K$4)),1,0))</f>
        <v/>
      </c>
      <c r="C8267">
        <f>C8266+B8267</f>
        <v/>
      </c>
      <c r="D8267">
        <f>IF(B8267=1,INDEX('Data Entry'!$H$5:$BE$10004,8267-4,'Visual SPC'!$B$3),"")</f>
        <v/>
      </c>
      <c r="E8267">
        <f>IF(B8267=1,D8267,E8266)</f>
        <v/>
      </c>
      <c r="F8267">
        <f>IF(AND(B8267=1,C8267&gt;1,E8266&lt;&gt;""),ABS(D8267-E8266),"")</f>
        <v/>
      </c>
    </row>
    <row r="8268">
      <c r="A8268" t="n">
        <v>8268</v>
      </c>
      <c r="B8268">
        <f>IF(INDEX('Data Entry'!$H$5:$BE$10004,8268-4,'Visual SPC'!$B$3)="",0,IF(AND(OR('Visual SPC'!$C$4="",'Data Entry'!$C8268&gt;='Visual SPC'!$C$4),OR('Visual SPC'!$E$4="",'Data Entry'!$C8268&lt;='Visual SPC'!$E$4),OR('Visual SPC'!$G$4="",'Data Entry'!$D8268='Visual SPC'!$G$4),OR('Visual SPC'!$I$4="",'Data Entry'!$E8268='Visual SPC'!$I$4),OR('Visual SPC'!$K$4="",'Data Entry'!$F8268='Visual SPC'!$K$4)),1,0))</f>
        <v/>
      </c>
      <c r="C8268">
        <f>C8267+B8268</f>
        <v/>
      </c>
      <c r="D8268">
        <f>IF(B8268=1,INDEX('Data Entry'!$H$5:$BE$10004,8268-4,'Visual SPC'!$B$3),"")</f>
        <v/>
      </c>
      <c r="E8268">
        <f>IF(B8268=1,D8268,E8267)</f>
        <v/>
      </c>
      <c r="F8268">
        <f>IF(AND(B8268=1,C8268&gt;1,E8267&lt;&gt;""),ABS(D8268-E8267),"")</f>
        <v/>
      </c>
    </row>
    <row r="8269">
      <c r="A8269" t="n">
        <v>8269</v>
      </c>
      <c r="B8269">
        <f>IF(INDEX('Data Entry'!$H$5:$BE$10004,8269-4,'Visual SPC'!$B$3)="",0,IF(AND(OR('Visual SPC'!$C$4="",'Data Entry'!$C8269&gt;='Visual SPC'!$C$4),OR('Visual SPC'!$E$4="",'Data Entry'!$C8269&lt;='Visual SPC'!$E$4),OR('Visual SPC'!$G$4="",'Data Entry'!$D8269='Visual SPC'!$G$4),OR('Visual SPC'!$I$4="",'Data Entry'!$E8269='Visual SPC'!$I$4),OR('Visual SPC'!$K$4="",'Data Entry'!$F8269='Visual SPC'!$K$4)),1,0))</f>
        <v/>
      </c>
      <c r="C8269">
        <f>C8268+B8269</f>
        <v/>
      </c>
      <c r="D8269">
        <f>IF(B8269=1,INDEX('Data Entry'!$H$5:$BE$10004,8269-4,'Visual SPC'!$B$3),"")</f>
        <v/>
      </c>
      <c r="E8269">
        <f>IF(B8269=1,D8269,E8268)</f>
        <v/>
      </c>
      <c r="F8269">
        <f>IF(AND(B8269=1,C8269&gt;1,E8268&lt;&gt;""),ABS(D8269-E8268),"")</f>
        <v/>
      </c>
    </row>
    <row r="8270">
      <c r="A8270" t="n">
        <v>8270</v>
      </c>
      <c r="B8270">
        <f>IF(INDEX('Data Entry'!$H$5:$BE$10004,8270-4,'Visual SPC'!$B$3)="",0,IF(AND(OR('Visual SPC'!$C$4="",'Data Entry'!$C8270&gt;='Visual SPC'!$C$4),OR('Visual SPC'!$E$4="",'Data Entry'!$C8270&lt;='Visual SPC'!$E$4),OR('Visual SPC'!$G$4="",'Data Entry'!$D8270='Visual SPC'!$G$4),OR('Visual SPC'!$I$4="",'Data Entry'!$E8270='Visual SPC'!$I$4),OR('Visual SPC'!$K$4="",'Data Entry'!$F8270='Visual SPC'!$K$4)),1,0))</f>
        <v/>
      </c>
      <c r="C8270">
        <f>C8269+B8270</f>
        <v/>
      </c>
      <c r="D8270">
        <f>IF(B8270=1,INDEX('Data Entry'!$H$5:$BE$10004,8270-4,'Visual SPC'!$B$3),"")</f>
        <v/>
      </c>
      <c r="E8270">
        <f>IF(B8270=1,D8270,E8269)</f>
        <v/>
      </c>
      <c r="F8270">
        <f>IF(AND(B8270=1,C8270&gt;1,E8269&lt;&gt;""),ABS(D8270-E8269),"")</f>
        <v/>
      </c>
    </row>
    <row r="8271">
      <c r="A8271" t="n">
        <v>8271</v>
      </c>
      <c r="B8271">
        <f>IF(INDEX('Data Entry'!$H$5:$BE$10004,8271-4,'Visual SPC'!$B$3)="",0,IF(AND(OR('Visual SPC'!$C$4="",'Data Entry'!$C8271&gt;='Visual SPC'!$C$4),OR('Visual SPC'!$E$4="",'Data Entry'!$C8271&lt;='Visual SPC'!$E$4),OR('Visual SPC'!$G$4="",'Data Entry'!$D8271='Visual SPC'!$G$4),OR('Visual SPC'!$I$4="",'Data Entry'!$E8271='Visual SPC'!$I$4),OR('Visual SPC'!$K$4="",'Data Entry'!$F8271='Visual SPC'!$K$4)),1,0))</f>
        <v/>
      </c>
      <c r="C8271">
        <f>C8270+B8271</f>
        <v/>
      </c>
      <c r="D8271">
        <f>IF(B8271=1,INDEX('Data Entry'!$H$5:$BE$10004,8271-4,'Visual SPC'!$B$3),"")</f>
        <v/>
      </c>
      <c r="E8271">
        <f>IF(B8271=1,D8271,E8270)</f>
        <v/>
      </c>
      <c r="F8271">
        <f>IF(AND(B8271=1,C8271&gt;1,E8270&lt;&gt;""),ABS(D8271-E8270),"")</f>
        <v/>
      </c>
    </row>
    <row r="8272">
      <c r="A8272" t="n">
        <v>8272</v>
      </c>
      <c r="B8272">
        <f>IF(INDEX('Data Entry'!$H$5:$BE$10004,8272-4,'Visual SPC'!$B$3)="",0,IF(AND(OR('Visual SPC'!$C$4="",'Data Entry'!$C8272&gt;='Visual SPC'!$C$4),OR('Visual SPC'!$E$4="",'Data Entry'!$C8272&lt;='Visual SPC'!$E$4),OR('Visual SPC'!$G$4="",'Data Entry'!$D8272='Visual SPC'!$G$4),OR('Visual SPC'!$I$4="",'Data Entry'!$E8272='Visual SPC'!$I$4),OR('Visual SPC'!$K$4="",'Data Entry'!$F8272='Visual SPC'!$K$4)),1,0))</f>
        <v/>
      </c>
      <c r="C8272">
        <f>C8271+B8272</f>
        <v/>
      </c>
      <c r="D8272">
        <f>IF(B8272=1,INDEX('Data Entry'!$H$5:$BE$10004,8272-4,'Visual SPC'!$B$3),"")</f>
        <v/>
      </c>
      <c r="E8272">
        <f>IF(B8272=1,D8272,E8271)</f>
        <v/>
      </c>
      <c r="F8272">
        <f>IF(AND(B8272=1,C8272&gt;1,E8271&lt;&gt;""),ABS(D8272-E8271),"")</f>
        <v/>
      </c>
    </row>
    <row r="8273">
      <c r="A8273" t="n">
        <v>8273</v>
      </c>
      <c r="B8273">
        <f>IF(INDEX('Data Entry'!$H$5:$BE$10004,8273-4,'Visual SPC'!$B$3)="",0,IF(AND(OR('Visual SPC'!$C$4="",'Data Entry'!$C8273&gt;='Visual SPC'!$C$4),OR('Visual SPC'!$E$4="",'Data Entry'!$C8273&lt;='Visual SPC'!$E$4),OR('Visual SPC'!$G$4="",'Data Entry'!$D8273='Visual SPC'!$G$4),OR('Visual SPC'!$I$4="",'Data Entry'!$E8273='Visual SPC'!$I$4),OR('Visual SPC'!$K$4="",'Data Entry'!$F8273='Visual SPC'!$K$4)),1,0))</f>
        <v/>
      </c>
      <c r="C8273">
        <f>C8272+B8273</f>
        <v/>
      </c>
      <c r="D8273">
        <f>IF(B8273=1,INDEX('Data Entry'!$H$5:$BE$10004,8273-4,'Visual SPC'!$B$3),"")</f>
        <v/>
      </c>
      <c r="E8273">
        <f>IF(B8273=1,D8273,E8272)</f>
        <v/>
      </c>
      <c r="F8273">
        <f>IF(AND(B8273=1,C8273&gt;1,E8272&lt;&gt;""),ABS(D8273-E8272),"")</f>
        <v/>
      </c>
    </row>
    <row r="8274">
      <c r="A8274" t="n">
        <v>8274</v>
      </c>
      <c r="B8274">
        <f>IF(INDEX('Data Entry'!$H$5:$BE$10004,8274-4,'Visual SPC'!$B$3)="",0,IF(AND(OR('Visual SPC'!$C$4="",'Data Entry'!$C8274&gt;='Visual SPC'!$C$4),OR('Visual SPC'!$E$4="",'Data Entry'!$C8274&lt;='Visual SPC'!$E$4),OR('Visual SPC'!$G$4="",'Data Entry'!$D8274='Visual SPC'!$G$4),OR('Visual SPC'!$I$4="",'Data Entry'!$E8274='Visual SPC'!$I$4),OR('Visual SPC'!$K$4="",'Data Entry'!$F8274='Visual SPC'!$K$4)),1,0))</f>
        <v/>
      </c>
      <c r="C8274">
        <f>C8273+B8274</f>
        <v/>
      </c>
      <c r="D8274">
        <f>IF(B8274=1,INDEX('Data Entry'!$H$5:$BE$10004,8274-4,'Visual SPC'!$B$3),"")</f>
        <v/>
      </c>
      <c r="E8274">
        <f>IF(B8274=1,D8274,E8273)</f>
        <v/>
      </c>
      <c r="F8274">
        <f>IF(AND(B8274=1,C8274&gt;1,E8273&lt;&gt;""),ABS(D8274-E8273),"")</f>
        <v/>
      </c>
    </row>
    <row r="8275">
      <c r="A8275" t="n">
        <v>8275</v>
      </c>
      <c r="B8275">
        <f>IF(INDEX('Data Entry'!$H$5:$BE$10004,8275-4,'Visual SPC'!$B$3)="",0,IF(AND(OR('Visual SPC'!$C$4="",'Data Entry'!$C8275&gt;='Visual SPC'!$C$4),OR('Visual SPC'!$E$4="",'Data Entry'!$C8275&lt;='Visual SPC'!$E$4),OR('Visual SPC'!$G$4="",'Data Entry'!$D8275='Visual SPC'!$G$4),OR('Visual SPC'!$I$4="",'Data Entry'!$E8275='Visual SPC'!$I$4),OR('Visual SPC'!$K$4="",'Data Entry'!$F8275='Visual SPC'!$K$4)),1,0))</f>
        <v/>
      </c>
      <c r="C8275">
        <f>C8274+B8275</f>
        <v/>
      </c>
      <c r="D8275">
        <f>IF(B8275=1,INDEX('Data Entry'!$H$5:$BE$10004,8275-4,'Visual SPC'!$B$3),"")</f>
        <v/>
      </c>
      <c r="E8275">
        <f>IF(B8275=1,D8275,E8274)</f>
        <v/>
      </c>
      <c r="F8275">
        <f>IF(AND(B8275=1,C8275&gt;1,E8274&lt;&gt;""),ABS(D8275-E8274),"")</f>
        <v/>
      </c>
    </row>
    <row r="8276">
      <c r="A8276" t="n">
        <v>8276</v>
      </c>
      <c r="B8276">
        <f>IF(INDEX('Data Entry'!$H$5:$BE$10004,8276-4,'Visual SPC'!$B$3)="",0,IF(AND(OR('Visual SPC'!$C$4="",'Data Entry'!$C8276&gt;='Visual SPC'!$C$4),OR('Visual SPC'!$E$4="",'Data Entry'!$C8276&lt;='Visual SPC'!$E$4),OR('Visual SPC'!$G$4="",'Data Entry'!$D8276='Visual SPC'!$G$4),OR('Visual SPC'!$I$4="",'Data Entry'!$E8276='Visual SPC'!$I$4),OR('Visual SPC'!$K$4="",'Data Entry'!$F8276='Visual SPC'!$K$4)),1,0))</f>
        <v/>
      </c>
      <c r="C8276">
        <f>C8275+B8276</f>
        <v/>
      </c>
      <c r="D8276">
        <f>IF(B8276=1,INDEX('Data Entry'!$H$5:$BE$10004,8276-4,'Visual SPC'!$B$3),"")</f>
        <v/>
      </c>
      <c r="E8276">
        <f>IF(B8276=1,D8276,E8275)</f>
        <v/>
      </c>
      <c r="F8276">
        <f>IF(AND(B8276=1,C8276&gt;1,E8275&lt;&gt;""),ABS(D8276-E8275),"")</f>
        <v/>
      </c>
    </row>
    <row r="8277">
      <c r="A8277" t="n">
        <v>8277</v>
      </c>
      <c r="B8277">
        <f>IF(INDEX('Data Entry'!$H$5:$BE$10004,8277-4,'Visual SPC'!$B$3)="",0,IF(AND(OR('Visual SPC'!$C$4="",'Data Entry'!$C8277&gt;='Visual SPC'!$C$4),OR('Visual SPC'!$E$4="",'Data Entry'!$C8277&lt;='Visual SPC'!$E$4),OR('Visual SPC'!$G$4="",'Data Entry'!$D8277='Visual SPC'!$G$4),OR('Visual SPC'!$I$4="",'Data Entry'!$E8277='Visual SPC'!$I$4),OR('Visual SPC'!$K$4="",'Data Entry'!$F8277='Visual SPC'!$K$4)),1,0))</f>
        <v/>
      </c>
      <c r="C8277">
        <f>C8276+B8277</f>
        <v/>
      </c>
      <c r="D8277">
        <f>IF(B8277=1,INDEX('Data Entry'!$H$5:$BE$10004,8277-4,'Visual SPC'!$B$3),"")</f>
        <v/>
      </c>
      <c r="E8277">
        <f>IF(B8277=1,D8277,E8276)</f>
        <v/>
      </c>
      <c r="F8277">
        <f>IF(AND(B8277=1,C8277&gt;1,E8276&lt;&gt;""),ABS(D8277-E8276),"")</f>
        <v/>
      </c>
    </row>
    <row r="8278">
      <c r="A8278" t="n">
        <v>8278</v>
      </c>
      <c r="B8278">
        <f>IF(INDEX('Data Entry'!$H$5:$BE$10004,8278-4,'Visual SPC'!$B$3)="",0,IF(AND(OR('Visual SPC'!$C$4="",'Data Entry'!$C8278&gt;='Visual SPC'!$C$4),OR('Visual SPC'!$E$4="",'Data Entry'!$C8278&lt;='Visual SPC'!$E$4),OR('Visual SPC'!$G$4="",'Data Entry'!$D8278='Visual SPC'!$G$4),OR('Visual SPC'!$I$4="",'Data Entry'!$E8278='Visual SPC'!$I$4),OR('Visual SPC'!$K$4="",'Data Entry'!$F8278='Visual SPC'!$K$4)),1,0))</f>
        <v/>
      </c>
      <c r="C8278">
        <f>C8277+B8278</f>
        <v/>
      </c>
      <c r="D8278">
        <f>IF(B8278=1,INDEX('Data Entry'!$H$5:$BE$10004,8278-4,'Visual SPC'!$B$3),"")</f>
        <v/>
      </c>
      <c r="E8278">
        <f>IF(B8278=1,D8278,E8277)</f>
        <v/>
      </c>
      <c r="F8278">
        <f>IF(AND(B8278=1,C8278&gt;1,E8277&lt;&gt;""),ABS(D8278-E8277),"")</f>
        <v/>
      </c>
    </row>
    <row r="8279">
      <c r="A8279" t="n">
        <v>8279</v>
      </c>
      <c r="B8279">
        <f>IF(INDEX('Data Entry'!$H$5:$BE$10004,8279-4,'Visual SPC'!$B$3)="",0,IF(AND(OR('Visual SPC'!$C$4="",'Data Entry'!$C8279&gt;='Visual SPC'!$C$4),OR('Visual SPC'!$E$4="",'Data Entry'!$C8279&lt;='Visual SPC'!$E$4),OR('Visual SPC'!$G$4="",'Data Entry'!$D8279='Visual SPC'!$G$4),OR('Visual SPC'!$I$4="",'Data Entry'!$E8279='Visual SPC'!$I$4),OR('Visual SPC'!$K$4="",'Data Entry'!$F8279='Visual SPC'!$K$4)),1,0))</f>
        <v/>
      </c>
      <c r="C8279">
        <f>C8278+B8279</f>
        <v/>
      </c>
      <c r="D8279">
        <f>IF(B8279=1,INDEX('Data Entry'!$H$5:$BE$10004,8279-4,'Visual SPC'!$B$3),"")</f>
        <v/>
      </c>
      <c r="E8279">
        <f>IF(B8279=1,D8279,E8278)</f>
        <v/>
      </c>
      <c r="F8279">
        <f>IF(AND(B8279=1,C8279&gt;1,E8278&lt;&gt;""),ABS(D8279-E8278),"")</f>
        <v/>
      </c>
    </row>
    <row r="8280">
      <c r="A8280" t="n">
        <v>8280</v>
      </c>
      <c r="B8280">
        <f>IF(INDEX('Data Entry'!$H$5:$BE$10004,8280-4,'Visual SPC'!$B$3)="",0,IF(AND(OR('Visual SPC'!$C$4="",'Data Entry'!$C8280&gt;='Visual SPC'!$C$4),OR('Visual SPC'!$E$4="",'Data Entry'!$C8280&lt;='Visual SPC'!$E$4),OR('Visual SPC'!$G$4="",'Data Entry'!$D8280='Visual SPC'!$G$4),OR('Visual SPC'!$I$4="",'Data Entry'!$E8280='Visual SPC'!$I$4),OR('Visual SPC'!$K$4="",'Data Entry'!$F8280='Visual SPC'!$K$4)),1,0))</f>
        <v/>
      </c>
      <c r="C8280">
        <f>C8279+B8280</f>
        <v/>
      </c>
      <c r="D8280">
        <f>IF(B8280=1,INDEX('Data Entry'!$H$5:$BE$10004,8280-4,'Visual SPC'!$B$3),"")</f>
        <v/>
      </c>
      <c r="E8280">
        <f>IF(B8280=1,D8280,E8279)</f>
        <v/>
      </c>
      <c r="F8280">
        <f>IF(AND(B8280=1,C8280&gt;1,E8279&lt;&gt;""),ABS(D8280-E8279),"")</f>
        <v/>
      </c>
    </row>
    <row r="8281">
      <c r="A8281" t="n">
        <v>8281</v>
      </c>
      <c r="B8281">
        <f>IF(INDEX('Data Entry'!$H$5:$BE$10004,8281-4,'Visual SPC'!$B$3)="",0,IF(AND(OR('Visual SPC'!$C$4="",'Data Entry'!$C8281&gt;='Visual SPC'!$C$4),OR('Visual SPC'!$E$4="",'Data Entry'!$C8281&lt;='Visual SPC'!$E$4),OR('Visual SPC'!$G$4="",'Data Entry'!$D8281='Visual SPC'!$G$4),OR('Visual SPC'!$I$4="",'Data Entry'!$E8281='Visual SPC'!$I$4),OR('Visual SPC'!$K$4="",'Data Entry'!$F8281='Visual SPC'!$K$4)),1,0))</f>
        <v/>
      </c>
      <c r="C8281">
        <f>C8280+B8281</f>
        <v/>
      </c>
      <c r="D8281">
        <f>IF(B8281=1,INDEX('Data Entry'!$H$5:$BE$10004,8281-4,'Visual SPC'!$B$3),"")</f>
        <v/>
      </c>
      <c r="E8281">
        <f>IF(B8281=1,D8281,E8280)</f>
        <v/>
      </c>
      <c r="F8281">
        <f>IF(AND(B8281=1,C8281&gt;1,E8280&lt;&gt;""),ABS(D8281-E8280),"")</f>
        <v/>
      </c>
    </row>
    <row r="8282">
      <c r="A8282" t="n">
        <v>8282</v>
      </c>
      <c r="B8282">
        <f>IF(INDEX('Data Entry'!$H$5:$BE$10004,8282-4,'Visual SPC'!$B$3)="",0,IF(AND(OR('Visual SPC'!$C$4="",'Data Entry'!$C8282&gt;='Visual SPC'!$C$4),OR('Visual SPC'!$E$4="",'Data Entry'!$C8282&lt;='Visual SPC'!$E$4),OR('Visual SPC'!$G$4="",'Data Entry'!$D8282='Visual SPC'!$G$4),OR('Visual SPC'!$I$4="",'Data Entry'!$E8282='Visual SPC'!$I$4),OR('Visual SPC'!$K$4="",'Data Entry'!$F8282='Visual SPC'!$K$4)),1,0))</f>
        <v/>
      </c>
      <c r="C8282">
        <f>C8281+B8282</f>
        <v/>
      </c>
      <c r="D8282">
        <f>IF(B8282=1,INDEX('Data Entry'!$H$5:$BE$10004,8282-4,'Visual SPC'!$B$3),"")</f>
        <v/>
      </c>
      <c r="E8282">
        <f>IF(B8282=1,D8282,E8281)</f>
        <v/>
      </c>
      <c r="F8282">
        <f>IF(AND(B8282=1,C8282&gt;1,E8281&lt;&gt;""),ABS(D8282-E8281),"")</f>
        <v/>
      </c>
    </row>
    <row r="8283">
      <c r="A8283" t="n">
        <v>8283</v>
      </c>
      <c r="B8283">
        <f>IF(INDEX('Data Entry'!$H$5:$BE$10004,8283-4,'Visual SPC'!$B$3)="",0,IF(AND(OR('Visual SPC'!$C$4="",'Data Entry'!$C8283&gt;='Visual SPC'!$C$4),OR('Visual SPC'!$E$4="",'Data Entry'!$C8283&lt;='Visual SPC'!$E$4),OR('Visual SPC'!$G$4="",'Data Entry'!$D8283='Visual SPC'!$G$4),OR('Visual SPC'!$I$4="",'Data Entry'!$E8283='Visual SPC'!$I$4),OR('Visual SPC'!$K$4="",'Data Entry'!$F8283='Visual SPC'!$K$4)),1,0))</f>
        <v/>
      </c>
      <c r="C8283">
        <f>C8282+B8283</f>
        <v/>
      </c>
      <c r="D8283">
        <f>IF(B8283=1,INDEX('Data Entry'!$H$5:$BE$10004,8283-4,'Visual SPC'!$B$3),"")</f>
        <v/>
      </c>
      <c r="E8283">
        <f>IF(B8283=1,D8283,E8282)</f>
        <v/>
      </c>
      <c r="F8283">
        <f>IF(AND(B8283=1,C8283&gt;1,E8282&lt;&gt;""),ABS(D8283-E8282),"")</f>
        <v/>
      </c>
    </row>
    <row r="8284">
      <c r="A8284" t="n">
        <v>8284</v>
      </c>
      <c r="B8284">
        <f>IF(INDEX('Data Entry'!$H$5:$BE$10004,8284-4,'Visual SPC'!$B$3)="",0,IF(AND(OR('Visual SPC'!$C$4="",'Data Entry'!$C8284&gt;='Visual SPC'!$C$4),OR('Visual SPC'!$E$4="",'Data Entry'!$C8284&lt;='Visual SPC'!$E$4),OR('Visual SPC'!$G$4="",'Data Entry'!$D8284='Visual SPC'!$G$4),OR('Visual SPC'!$I$4="",'Data Entry'!$E8284='Visual SPC'!$I$4),OR('Visual SPC'!$K$4="",'Data Entry'!$F8284='Visual SPC'!$K$4)),1,0))</f>
        <v/>
      </c>
      <c r="C8284">
        <f>C8283+B8284</f>
        <v/>
      </c>
      <c r="D8284">
        <f>IF(B8284=1,INDEX('Data Entry'!$H$5:$BE$10004,8284-4,'Visual SPC'!$B$3),"")</f>
        <v/>
      </c>
      <c r="E8284">
        <f>IF(B8284=1,D8284,E8283)</f>
        <v/>
      </c>
      <c r="F8284">
        <f>IF(AND(B8284=1,C8284&gt;1,E8283&lt;&gt;""),ABS(D8284-E8283),"")</f>
        <v/>
      </c>
    </row>
    <row r="8285">
      <c r="A8285" t="n">
        <v>8285</v>
      </c>
      <c r="B8285">
        <f>IF(INDEX('Data Entry'!$H$5:$BE$10004,8285-4,'Visual SPC'!$B$3)="",0,IF(AND(OR('Visual SPC'!$C$4="",'Data Entry'!$C8285&gt;='Visual SPC'!$C$4),OR('Visual SPC'!$E$4="",'Data Entry'!$C8285&lt;='Visual SPC'!$E$4),OR('Visual SPC'!$G$4="",'Data Entry'!$D8285='Visual SPC'!$G$4),OR('Visual SPC'!$I$4="",'Data Entry'!$E8285='Visual SPC'!$I$4),OR('Visual SPC'!$K$4="",'Data Entry'!$F8285='Visual SPC'!$K$4)),1,0))</f>
        <v/>
      </c>
      <c r="C8285">
        <f>C8284+B8285</f>
        <v/>
      </c>
      <c r="D8285">
        <f>IF(B8285=1,INDEX('Data Entry'!$H$5:$BE$10004,8285-4,'Visual SPC'!$B$3),"")</f>
        <v/>
      </c>
      <c r="E8285">
        <f>IF(B8285=1,D8285,E8284)</f>
        <v/>
      </c>
      <c r="F8285">
        <f>IF(AND(B8285=1,C8285&gt;1,E8284&lt;&gt;""),ABS(D8285-E8284),"")</f>
        <v/>
      </c>
    </row>
    <row r="8286">
      <c r="A8286" t="n">
        <v>8286</v>
      </c>
      <c r="B8286">
        <f>IF(INDEX('Data Entry'!$H$5:$BE$10004,8286-4,'Visual SPC'!$B$3)="",0,IF(AND(OR('Visual SPC'!$C$4="",'Data Entry'!$C8286&gt;='Visual SPC'!$C$4),OR('Visual SPC'!$E$4="",'Data Entry'!$C8286&lt;='Visual SPC'!$E$4),OR('Visual SPC'!$G$4="",'Data Entry'!$D8286='Visual SPC'!$G$4),OR('Visual SPC'!$I$4="",'Data Entry'!$E8286='Visual SPC'!$I$4),OR('Visual SPC'!$K$4="",'Data Entry'!$F8286='Visual SPC'!$K$4)),1,0))</f>
        <v/>
      </c>
      <c r="C8286">
        <f>C8285+B8286</f>
        <v/>
      </c>
      <c r="D8286">
        <f>IF(B8286=1,INDEX('Data Entry'!$H$5:$BE$10004,8286-4,'Visual SPC'!$B$3),"")</f>
        <v/>
      </c>
      <c r="E8286">
        <f>IF(B8286=1,D8286,E8285)</f>
        <v/>
      </c>
      <c r="F8286">
        <f>IF(AND(B8286=1,C8286&gt;1,E8285&lt;&gt;""),ABS(D8286-E8285),"")</f>
        <v/>
      </c>
    </row>
    <row r="8287">
      <c r="A8287" t="n">
        <v>8287</v>
      </c>
      <c r="B8287">
        <f>IF(INDEX('Data Entry'!$H$5:$BE$10004,8287-4,'Visual SPC'!$B$3)="",0,IF(AND(OR('Visual SPC'!$C$4="",'Data Entry'!$C8287&gt;='Visual SPC'!$C$4),OR('Visual SPC'!$E$4="",'Data Entry'!$C8287&lt;='Visual SPC'!$E$4),OR('Visual SPC'!$G$4="",'Data Entry'!$D8287='Visual SPC'!$G$4),OR('Visual SPC'!$I$4="",'Data Entry'!$E8287='Visual SPC'!$I$4),OR('Visual SPC'!$K$4="",'Data Entry'!$F8287='Visual SPC'!$K$4)),1,0))</f>
        <v/>
      </c>
      <c r="C8287">
        <f>C8286+B8287</f>
        <v/>
      </c>
      <c r="D8287">
        <f>IF(B8287=1,INDEX('Data Entry'!$H$5:$BE$10004,8287-4,'Visual SPC'!$B$3),"")</f>
        <v/>
      </c>
      <c r="E8287">
        <f>IF(B8287=1,D8287,E8286)</f>
        <v/>
      </c>
      <c r="F8287">
        <f>IF(AND(B8287=1,C8287&gt;1,E8286&lt;&gt;""),ABS(D8287-E8286),"")</f>
        <v/>
      </c>
    </row>
    <row r="8288">
      <c r="A8288" t="n">
        <v>8288</v>
      </c>
      <c r="B8288">
        <f>IF(INDEX('Data Entry'!$H$5:$BE$10004,8288-4,'Visual SPC'!$B$3)="",0,IF(AND(OR('Visual SPC'!$C$4="",'Data Entry'!$C8288&gt;='Visual SPC'!$C$4),OR('Visual SPC'!$E$4="",'Data Entry'!$C8288&lt;='Visual SPC'!$E$4),OR('Visual SPC'!$G$4="",'Data Entry'!$D8288='Visual SPC'!$G$4),OR('Visual SPC'!$I$4="",'Data Entry'!$E8288='Visual SPC'!$I$4),OR('Visual SPC'!$K$4="",'Data Entry'!$F8288='Visual SPC'!$K$4)),1,0))</f>
        <v/>
      </c>
      <c r="C8288">
        <f>C8287+B8288</f>
        <v/>
      </c>
      <c r="D8288">
        <f>IF(B8288=1,INDEX('Data Entry'!$H$5:$BE$10004,8288-4,'Visual SPC'!$B$3),"")</f>
        <v/>
      </c>
      <c r="E8288">
        <f>IF(B8288=1,D8288,E8287)</f>
        <v/>
      </c>
      <c r="F8288">
        <f>IF(AND(B8288=1,C8288&gt;1,E8287&lt;&gt;""),ABS(D8288-E8287),"")</f>
        <v/>
      </c>
    </row>
    <row r="8289">
      <c r="A8289" t="n">
        <v>8289</v>
      </c>
      <c r="B8289">
        <f>IF(INDEX('Data Entry'!$H$5:$BE$10004,8289-4,'Visual SPC'!$B$3)="",0,IF(AND(OR('Visual SPC'!$C$4="",'Data Entry'!$C8289&gt;='Visual SPC'!$C$4),OR('Visual SPC'!$E$4="",'Data Entry'!$C8289&lt;='Visual SPC'!$E$4),OR('Visual SPC'!$G$4="",'Data Entry'!$D8289='Visual SPC'!$G$4),OR('Visual SPC'!$I$4="",'Data Entry'!$E8289='Visual SPC'!$I$4),OR('Visual SPC'!$K$4="",'Data Entry'!$F8289='Visual SPC'!$K$4)),1,0))</f>
        <v/>
      </c>
      <c r="C8289">
        <f>C8288+B8289</f>
        <v/>
      </c>
      <c r="D8289">
        <f>IF(B8289=1,INDEX('Data Entry'!$H$5:$BE$10004,8289-4,'Visual SPC'!$B$3),"")</f>
        <v/>
      </c>
      <c r="E8289">
        <f>IF(B8289=1,D8289,E8288)</f>
        <v/>
      </c>
      <c r="F8289">
        <f>IF(AND(B8289=1,C8289&gt;1,E8288&lt;&gt;""),ABS(D8289-E8288),"")</f>
        <v/>
      </c>
    </row>
    <row r="8290">
      <c r="A8290" t="n">
        <v>8290</v>
      </c>
      <c r="B8290">
        <f>IF(INDEX('Data Entry'!$H$5:$BE$10004,8290-4,'Visual SPC'!$B$3)="",0,IF(AND(OR('Visual SPC'!$C$4="",'Data Entry'!$C8290&gt;='Visual SPC'!$C$4),OR('Visual SPC'!$E$4="",'Data Entry'!$C8290&lt;='Visual SPC'!$E$4),OR('Visual SPC'!$G$4="",'Data Entry'!$D8290='Visual SPC'!$G$4),OR('Visual SPC'!$I$4="",'Data Entry'!$E8290='Visual SPC'!$I$4),OR('Visual SPC'!$K$4="",'Data Entry'!$F8290='Visual SPC'!$K$4)),1,0))</f>
        <v/>
      </c>
      <c r="C8290">
        <f>C8289+B8290</f>
        <v/>
      </c>
      <c r="D8290">
        <f>IF(B8290=1,INDEX('Data Entry'!$H$5:$BE$10004,8290-4,'Visual SPC'!$B$3),"")</f>
        <v/>
      </c>
      <c r="E8290">
        <f>IF(B8290=1,D8290,E8289)</f>
        <v/>
      </c>
      <c r="F8290">
        <f>IF(AND(B8290=1,C8290&gt;1,E8289&lt;&gt;""),ABS(D8290-E8289),"")</f>
        <v/>
      </c>
    </row>
    <row r="8291">
      <c r="A8291" t="n">
        <v>8291</v>
      </c>
      <c r="B8291">
        <f>IF(INDEX('Data Entry'!$H$5:$BE$10004,8291-4,'Visual SPC'!$B$3)="",0,IF(AND(OR('Visual SPC'!$C$4="",'Data Entry'!$C8291&gt;='Visual SPC'!$C$4),OR('Visual SPC'!$E$4="",'Data Entry'!$C8291&lt;='Visual SPC'!$E$4),OR('Visual SPC'!$G$4="",'Data Entry'!$D8291='Visual SPC'!$G$4),OR('Visual SPC'!$I$4="",'Data Entry'!$E8291='Visual SPC'!$I$4),OR('Visual SPC'!$K$4="",'Data Entry'!$F8291='Visual SPC'!$K$4)),1,0))</f>
        <v/>
      </c>
      <c r="C8291">
        <f>C8290+B8291</f>
        <v/>
      </c>
      <c r="D8291">
        <f>IF(B8291=1,INDEX('Data Entry'!$H$5:$BE$10004,8291-4,'Visual SPC'!$B$3),"")</f>
        <v/>
      </c>
      <c r="E8291">
        <f>IF(B8291=1,D8291,E8290)</f>
        <v/>
      </c>
      <c r="F8291">
        <f>IF(AND(B8291=1,C8291&gt;1,E8290&lt;&gt;""),ABS(D8291-E8290),"")</f>
        <v/>
      </c>
    </row>
    <row r="8292">
      <c r="A8292" t="n">
        <v>8292</v>
      </c>
      <c r="B8292">
        <f>IF(INDEX('Data Entry'!$H$5:$BE$10004,8292-4,'Visual SPC'!$B$3)="",0,IF(AND(OR('Visual SPC'!$C$4="",'Data Entry'!$C8292&gt;='Visual SPC'!$C$4),OR('Visual SPC'!$E$4="",'Data Entry'!$C8292&lt;='Visual SPC'!$E$4),OR('Visual SPC'!$G$4="",'Data Entry'!$D8292='Visual SPC'!$G$4),OR('Visual SPC'!$I$4="",'Data Entry'!$E8292='Visual SPC'!$I$4),OR('Visual SPC'!$K$4="",'Data Entry'!$F8292='Visual SPC'!$K$4)),1,0))</f>
        <v/>
      </c>
      <c r="C8292">
        <f>C8291+B8292</f>
        <v/>
      </c>
      <c r="D8292">
        <f>IF(B8292=1,INDEX('Data Entry'!$H$5:$BE$10004,8292-4,'Visual SPC'!$B$3),"")</f>
        <v/>
      </c>
      <c r="E8292">
        <f>IF(B8292=1,D8292,E8291)</f>
        <v/>
      </c>
      <c r="F8292">
        <f>IF(AND(B8292=1,C8292&gt;1,E8291&lt;&gt;""),ABS(D8292-E8291),"")</f>
        <v/>
      </c>
    </row>
    <row r="8293">
      <c r="A8293" t="n">
        <v>8293</v>
      </c>
      <c r="B8293">
        <f>IF(INDEX('Data Entry'!$H$5:$BE$10004,8293-4,'Visual SPC'!$B$3)="",0,IF(AND(OR('Visual SPC'!$C$4="",'Data Entry'!$C8293&gt;='Visual SPC'!$C$4),OR('Visual SPC'!$E$4="",'Data Entry'!$C8293&lt;='Visual SPC'!$E$4),OR('Visual SPC'!$G$4="",'Data Entry'!$D8293='Visual SPC'!$G$4),OR('Visual SPC'!$I$4="",'Data Entry'!$E8293='Visual SPC'!$I$4),OR('Visual SPC'!$K$4="",'Data Entry'!$F8293='Visual SPC'!$K$4)),1,0))</f>
        <v/>
      </c>
      <c r="C8293">
        <f>C8292+B8293</f>
        <v/>
      </c>
      <c r="D8293">
        <f>IF(B8293=1,INDEX('Data Entry'!$H$5:$BE$10004,8293-4,'Visual SPC'!$B$3),"")</f>
        <v/>
      </c>
      <c r="E8293">
        <f>IF(B8293=1,D8293,E8292)</f>
        <v/>
      </c>
      <c r="F8293">
        <f>IF(AND(B8293=1,C8293&gt;1,E8292&lt;&gt;""),ABS(D8293-E8292),"")</f>
        <v/>
      </c>
    </row>
    <row r="8294">
      <c r="A8294" t="n">
        <v>8294</v>
      </c>
      <c r="B8294">
        <f>IF(INDEX('Data Entry'!$H$5:$BE$10004,8294-4,'Visual SPC'!$B$3)="",0,IF(AND(OR('Visual SPC'!$C$4="",'Data Entry'!$C8294&gt;='Visual SPC'!$C$4),OR('Visual SPC'!$E$4="",'Data Entry'!$C8294&lt;='Visual SPC'!$E$4),OR('Visual SPC'!$G$4="",'Data Entry'!$D8294='Visual SPC'!$G$4),OR('Visual SPC'!$I$4="",'Data Entry'!$E8294='Visual SPC'!$I$4),OR('Visual SPC'!$K$4="",'Data Entry'!$F8294='Visual SPC'!$K$4)),1,0))</f>
        <v/>
      </c>
      <c r="C8294">
        <f>C8293+B8294</f>
        <v/>
      </c>
      <c r="D8294">
        <f>IF(B8294=1,INDEX('Data Entry'!$H$5:$BE$10004,8294-4,'Visual SPC'!$B$3),"")</f>
        <v/>
      </c>
      <c r="E8294">
        <f>IF(B8294=1,D8294,E8293)</f>
        <v/>
      </c>
      <c r="F8294">
        <f>IF(AND(B8294=1,C8294&gt;1,E8293&lt;&gt;""),ABS(D8294-E8293),"")</f>
        <v/>
      </c>
    </row>
    <row r="8295">
      <c r="A8295" t="n">
        <v>8295</v>
      </c>
      <c r="B8295">
        <f>IF(INDEX('Data Entry'!$H$5:$BE$10004,8295-4,'Visual SPC'!$B$3)="",0,IF(AND(OR('Visual SPC'!$C$4="",'Data Entry'!$C8295&gt;='Visual SPC'!$C$4),OR('Visual SPC'!$E$4="",'Data Entry'!$C8295&lt;='Visual SPC'!$E$4),OR('Visual SPC'!$G$4="",'Data Entry'!$D8295='Visual SPC'!$G$4),OR('Visual SPC'!$I$4="",'Data Entry'!$E8295='Visual SPC'!$I$4),OR('Visual SPC'!$K$4="",'Data Entry'!$F8295='Visual SPC'!$K$4)),1,0))</f>
        <v/>
      </c>
      <c r="C8295">
        <f>C8294+B8295</f>
        <v/>
      </c>
      <c r="D8295">
        <f>IF(B8295=1,INDEX('Data Entry'!$H$5:$BE$10004,8295-4,'Visual SPC'!$B$3),"")</f>
        <v/>
      </c>
      <c r="E8295">
        <f>IF(B8295=1,D8295,E8294)</f>
        <v/>
      </c>
      <c r="F8295">
        <f>IF(AND(B8295=1,C8295&gt;1,E8294&lt;&gt;""),ABS(D8295-E8294),"")</f>
        <v/>
      </c>
    </row>
    <row r="8296">
      <c r="A8296" t="n">
        <v>8296</v>
      </c>
      <c r="B8296">
        <f>IF(INDEX('Data Entry'!$H$5:$BE$10004,8296-4,'Visual SPC'!$B$3)="",0,IF(AND(OR('Visual SPC'!$C$4="",'Data Entry'!$C8296&gt;='Visual SPC'!$C$4),OR('Visual SPC'!$E$4="",'Data Entry'!$C8296&lt;='Visual SPC'!$E$4),OR('Visual SPC'!$G$4="",'Data Entry'!$D8296='Visual SPC'!$G$4),OR('Visual SPC'!$I$4="",'Data Entry'!$E8296='Visual SPC'!$I$4),OR('Visual SPC'!$K$4="",'Data Entry'!$F8296='Visual SPC'!$K$4)),1,0))</f>
        <v/>
      </c>
      <c r="C8296">
        <f>C8295+B8296</f>
        <v/>
      </c>
      <c r="D8296">
        <f>IF(B8296=1,INDEX('Data Entry'!$H$5:$BE$10004,8296-4,'Visual SPC'!$B$3),"")</f>
        <v/>
      </c>
      <c r="E8296">
        <f>IF(B8296=1,D8296,E8295)</f>
        <v/>
      </c>
      <c r="F8296">
        <f>IF(AND(B8296=1,C8296&gt;1,E8295&lt;&gt;""),ABS(D8296-E8295),"")</f>
        <v/>
      </c>
    </row>
    <row r="8297">
      <c r="A8297" t="n">
        <v>8297</v>
      </c>
      <c r="B8297">
        <f>IF(INDEX('Data Entry'!$H$5:$BE$10004,8297-4,'Visual SPC'!$B$3)="",0,IF(AND(OR('Visual SPC'!$C$4="",'Data Entry'!$C8297&gt;='Visual SPC'!$C$4),OR('Visual SPC'!$E$4="",'Data Entry'!$C8297&lt;='Visual SPC'!$E$4),OR('Visual SPC'!$G$4="",'Data Entry'!$D8297='Visual SPC'!$G$4),OR('Visual SPC'!$I$4="",'Data Entry'!$E8297='Visual SPC'!$I$4),OR('Visual SPC'!$K$4="",'Data Entry'!$F8297='Visual SPC'!$K$4)),1,0))</f>
        <v/>
      </c>
      <c r="C8297">
        <f>C8296+B8297</f>
        <v/>
      </c>
      <c r="D8297">
        <f>IF(B8297=1,INDEX('Data Entry'!$H$5:$BE$10004,8297-4,'Visual SPC'!$B$3),"")</f>
        <v/>
      </c>
      <c r="E8297">
        <f>IF(B8297=1,D8297,E8296)</f>
        <v/>
      </c>
      <c r="F8297">
        <f>IF(AND(B8297=1,C8297&gt;1,E8296&lt;&gt;""),ABS(D8297-E8296),"")</f>
        <v/>
      </c>
    </row>
    <row r="8298">
      <c r="A8298" t="n">
        <v>8298</v>
      </c>
      <c r="B8298">
        <f>IF(INDEX('Data Entry'!$H$5:$BE$10004,8298-4,'Visual SPC'!$B$3)="",0,IF(AND(OR('Visual SPC'!$C$4="",'Data Entry'!$C8298&gt;='Visual SPC'!$C$4),OR('Visual SPC'!$E$4="",'Data Entry'!$C8298&lt;='Visual SPC'!$E$4),OR('Visual SPC'!$G$4="",'Data Entry'!$D8298='Visual SPC'!$G$4),OR('Visual SPC'!$I$4="",'Data Entry'!$E8298='Visual SPC'!$I$4),OR('Visual SPC'!$K$4="",'Data Entry'!$F8298='Visual SPC'!$K$4)),1,0))</f>
        <v/>
      </c>
      <c r="C8298">
        <f>C8297+B8298</f>
        <v/>
      </c>
      <c r="D8298">
        <f>IF(B8298=1,INDEX('Data Entry'!$H$5:$BE$10004,8298-4,'Visual SPC'!$B$3),"")</f>
        <v/>
      </c>
      <c r="E8298">
        <f>IF(B8298=1,D8298,E8297)</f>
        <v/>
      </c>
      <c r="F8298">
        <f>IF(AND(B8298=1,C8298&gt;1,E8297&lt;&gt;""),ABS(D8298-E8297),"")</f>
        <v/>
      </c>
    </row>
    <row r="8299">
      <c r="A8299" t="n">
        <v>8299</v>
      </c>
      <c r="B8299">
        <f>IF(INDEX('Data Entry'!$H$5:$BE$10004,8299-4,'Visual SPC'!$B$3)="",0,IF(AND(OR('Visual SPC'!$C$4="",'Data Entry'!$C8299&gt;='Visual SPC'!$C$4),OR('Visual SPC'!$E$4="",'Data Entry'!$C8299&lt;='Visual SPC'!$E$4),OR('Visual SPC'!$G$4="",'Data Entry'!$D8299='Visual SPC'!$G$4),OR('Visual SPC'!$I$4="",'Data Entry'!$E8299='Visual SPC'!$I$4),OR('Visual SPC'!$K$4="",'Data Entry'!$F8299='Visual SPC'!$K$4)),1,0))</f>
        <v/>
      </c>
      <c r="C8299">
        <f>C8298+B8299</f>
        <v/>
      </c>
      <c r="D8299">
        <f>IF(B8299=1,INDEX('Data Entry'!$H$5:$BE$10004,8299-4,'Visual SPC'!$B$3),"")</f>
        <v/>
      </c>
      <c r="E8299">
        <f>IF(B8299=1,D8299,E8298)</f>
        <v/>
      </c>
      <c r="F8299">
        <f>IF(AND(B8299=1,C8299&gt;1,E8298&lt;&gt;""),ABS(D8299-E8298),"")</f>
        <v/>
      </c>
    </row>
    <row r="8300">
      <c r="A8300" t="n">
        <v>8300</v>
      </c>
      <c r="B8300">
        <f>IF(INDEX('Data Entry'!$H$5:$BE$10004,8300-4,'Visual SPC'!$B$3)="",0,IF(AND(OR('Visual SPC'!$C$4="",'Data Entry'!$C8300&gt;='Visual SPC'!$C$4),OR('Visual SPC'!$E$4="",'Data Entry'!$C8300&lt;='Visual SPC'!$E$4),OR('Visual SPC'!$G$4="",'Data Entry'!$D8300='Visual SPC'!$G$4),OR('Visual SPC'!$I$4="",'Data Entry'!$E8300='Visual SPC'!$I$4),OR('Visual SPC'!$K$4="",'Data Entry'!$F8300='Visual SPC'!$K$4)),1,0))</f>
        <v/>
      </c>
      <c r="C8300">
        <f>C8299+B8300</f>
        <v/>
      </c>
      <c r="D8300">
        <f>IF(B8300=1,INDEX('Data Entry'!$H$5:$BE$10004,8300-4,'Visual SPC'!$B$3),"")</f>
        <v/>
      </c>
      <c r="E8300">
        <f>IF(B8300=1,D8300,E8299)</f>
        <v/>
      </c>
      <c r="F8300">
        <f>IF(AND(B8300=1,C8300&gt;1,E8299&lt;&gt;""),ABS(D8300-E8299),"")</f>
        <v/>
      </c>
    </row>
    <row r="8301">
      <c r="A8301" t="n">
        <v>8301</v>
      </c>
      <c r="B8301">
        <f>IF(INDEX('Data Entry'!$H$5:$BE$10004,8301-4,'Visual SPC'!$B$3)="",0,IF(AND(OR('Visual SPC'!$C$4="",'Data Entry'!$C8301&gt;='Visual SPC'!$C$4),OR('Visual SPC'!$E$4="",'Data Entry'!$C8301&lt;='Visual SPC'!$E$4),OR('Visual SPC'!$G$4="",'Data Entry'!$D8301='Visual SPC'!$G$4),OR('Visual SPC'!$I$4="",'Data Entry'!$E8301='Visual SPC'!$I$4),OR('Visual SPC'!$K$4="",'Data Entry'!$F8301='Visual SPC'!$K$4)),1,0))</f>
        <v/>
      </c>
      <c r="C8301">
        <f>C8300+B8301</f>
        <v/>
      </c>
      <c r="D8301">
        <f>IF(B8301=1,INDEX('Data Entry'!$H$5:$BE$10004,8301-4,'Visual SPC'!$B$3),"")</f>
        <v/>
      </c>
      <c r="E8301">
        <f>IF(B8301=1,D8301,E8300)</f>
        <v/>
      </c>
      <c r="F8301">
        <f>IF(AND(B8301=1,C8301&gt;1,E8300&lt;&gt;""),ABS(D8301-E8300),"")</f>
        <v/>
      </c>
    </row>
    <row r="8302">
      <c r="A8302" t="n">
        <v>8302</v>
      </c>
      <c r="B8302">
        <f>IF(INDEX('Data Entry'!$H$5:$BE$10004,8302-4,'Visual SPC'!$B$3)="",0,IF(AND(OR('Visual SPC'!$C$4="",'Data Entry'!$C8302&gt;='Visual SPC'!$C$4),OR('Visual SPC'!$E$4="",'Data Entry'!$C8302&lt;='Visual SPC'!$E$4),OR('Visual SPC'!$G$4="",'Data Entry'!$D8302='Visual SPC'!$G$4),OR('Visual SPC'!$I$4="",'Data Entry'!$E8302='Visual SPC'!$I$4),OR('Visual SPC'!$K$4="",'Data Entry'!$F8302='Visual SPC'!$K$4)),1,0))</f>
        <v/>
      </c>
      <c r="C8302">
        <f>C8301+B8302</f>
        <v/>
      </c>
      <c r="D8302">
        <f>IF(B8302=1,INDEX('Data Entry'!$H$5:$BE$10004,8302-4,'Visual SPC'!$B$3),"")</f>
        <v/>
      </c>
      <c r="E8302">
        <f>IF(B8302=1,D8302,E8301)</f>
        <v/>
      </c>
      <c r="F8302">
        <f>IF(AND(B8302=1,C8302&gt;1,E8301&lt;&gt;""),ABS(D8302-E8301),"")</f>
        <v/>
      </c>
    </row>
    <row r="8303">
      <c r="A8303" t="n">
        <v>8303</v>
      </c>
      <c r="B8303">
        <f>IF(INDEX('Data Entry'!$H$5:$BE$10004,8303-4,'Visual SPC'!$B$3)="",0,IF(AND(OR('Visual SPC'!$C$4="",'Data Entry'!$C8303&gt;='Visual SPC'!$C$4),OR('Visual SPC'!$E$4="",'Data Entry'!$C8303&lt;='Visual SPC'!$E$4),OR('Visual SPC'!$G$4="",'Data Entry'!$D8303='Visual SPC'!$G$4),OR('Visual SPC'!$I$4="",'Data Entry'!$E8303='Visual SPC'!$I$4),OR('Visual SPC'!$K$4="",'Data Entry'!$F8303='Visual SPC'!$K$4)),1,0))</f>
        <v/>
      </c>
      <c r="C8303">
        <f>C8302+B8303</f>
        <v/>
      </c>
      <c r="D8303">
        <f>IF(B8303=1,INDEX('Data Entry'!$H$5:$BE$10004,8303-4,'Visual SPC'!$B$3),"")</f>
        <v/>
      </c>
      <c r="E8303">
        <f>IF(B8303=1,D8303,E8302)</f>
        <v/>
      </c>
      <c r="F8303">
        <f>IF(AND(B8303=1,C8303&gt;1,E8302&lt;&gt;""),ABS(D8303-E8302),"")</f>
        <v/>
      </c>
    </row>
    <row r="8304">
      <c r="A8304" t="n">
        <v>8304</v>
      </c>
      <c r="B8304">
        <f>IF(INDEX('Data Entry'!$H$5:$BE$10004,8304-4,'Visual SPC'!$B$3)="",0,IF(AND(OR('Visual SPC'!$C$4="",'Data Entry'!$C8304&gt;='Visual SPC'!$C$4),OR('Visual SPC'!$E$4="",'Data Entry'!$C8304&lt;='Visual SPC'!$E$4),OR('Visual SPC'!$G$4="",'Data Entry'!$D8304='Visual SPC'!$G$4),OR('Visual SPC'!$I$4="",'Data Entry'!$E8304='Visual SPC'!$I$4),OR('Visual SPC'!$K$4="",'Data Entry'!$F8304='Visual SPC'!$K$4)),1,0))</f>
        <v/>
      </c>
      <c r="C8304">
        <f>C8303+B8304</f>
        <v/>
      </c>
      <c r="D8304">
        <f>IF(B8304=1,INDEX('Data Entry'!$H$5:$BE$10004,8304-4,'Visual SPC'!$B$3),"")</f>
        <v/>
      </c>
      <c r="E8304">
        <f>IF(B8304=1,D8304,E8303)</f>
        <v/>
      </c>
      <c r="F8304">
        <f>IF(AND(B8304=1,C8304&gt;1,E8303&lt;&gt;""),ABS(D8304-E8303),"")</f>
        <v/>
      </c>
    </row>
    <row r="8305">
      <c r="A8305" t="n">
        <v>8305</v>
      </c>
      <c r="B8305">
        <f>IF(INDEX('Data Entry'!$H$5:$BE$10004,8305-4,'Visual SPC'!$B$3)="",0,IF(AND(OR('Visual SPC'!$C$4="",'Data Entry'!$C8305&gt;='Visual SPC'!$C$4),OR('Visual SPC'!$E$4="",'Data Entry'!$C8305&lt;='Visual SPC'!$E$4),OR('Visual SPC'!$G$4="",'Data Entry'!$D8305='Visual SPC'!$G$4),OR('Visual SPC'!$I$4="",'Data Entry'!$E8305='Visual SPC'!$I$4),OR('Visual SPC'!$K$4="",'Data Entry'!$F8305='Visual SPC'!$K$4)),1,0))</f>
        <v/>
      </c>
      <c r="C8305">
        <f>C8304+B8305</f>
        <v/>
      </c>
      <c r="D8305">
        <f>IF(B8305=1,INDEX('Data Entry'!$H$5:$BE$10004,8305-4,'Visual SPC'!$B$3),"")</f>
        <v/>
      </c>
      <c r="E8305">
        <f>IF(B8305=1,D8305,E8304)</f>
        <v/>
      </c>
      <c r="F8305">
        <f>IF(AND(B8305=1,C8305&gt;1,E8304&lt;&gt;""),ABS(D8305-E8304),"")</f>
        <v/>
      </c>
    </row>
    <row r="8306">
      <c r="A8306" t="n">
        <v>8306</v>
      </c>
      <c r="B8306">
        <f>IF(INDEX('Data Entry'!$H$5:$BE$10004,8306-4,'Visual SPC'!$B$3)="",0,IF(AND(OR('Visual SPC'!$C$4="",'Data Entry'!$C8306&gt;='Visual SPC'!$C$4),OR('Visual SPC'!$E$4="",'Data Entry'!$C8306&lt;='Visual SPC'!$E$4),OR('Visual SPC'!$G$4="",'Data Entry'!$D8306='Visual SPC'!$G$4),OR('Visual SPC'!$I$4="",'Data Entry'!$E8306='Visual SPC'!$I$4),OR('Visual SPC'!$K$4="",'Data Entry'!$F8306='Visual SPC'!$K$4)),1,0))</f>
        <v/>
      </c>
      <c r="C8306">
        <f>C8305+B8306</f>
        <v/>
      </c>
      <c r="D8306">
        <f>IF(B8306=1,INDEX('Data Entry'!$H$5:$BE$10004,8306-4,'Visual SPC'!$B$3),"")</f>
        <v/>
      </c>
      <c r="E8306">
        <f>IF(B8306=1,D8306,E8305)</f>
        <v/>
      </c>
      <c r="F8306">
        <f>IF(AND(B8306=1,C8306&gt;1,E8305&lt;&gt;""),ABS(D8306-E8305),"")</f>
        <v/>
      </c>
    </row>
    <row r="8307">
      <c r="A8307" t="n">
        <v>8307</v>
      </c>
      <c r="B8307">
        <f>IF(INDEX('Data Entry'!$H$5:$BE$10004,8307-4,'Visual SPC'!$B$3)="",0,IF(AND(OR('Visual SPC'!$C$4="",'Data Entry'!$C8307&gt;='Visual SPC'!$C$4),OR('Visual SPC'!$E$4="",'Data Entry'!$C8307&lt;='Visual SPC'!$E$4),OR('Visual SPC'!$G$4="",'Data Entry'!$D8307='Visual SPC'!$G$4),OR('Visual SPC'!$I$4="",'Data Entry'!$E8307='Visual SPC'!$I$4),OR('Visual SPC'!$K$4="",'Data Entry'!$F8307='Visual SPC'!$K$4)),1,0))</f>
        <v/>
      </c>
      <c r="C8307">
        <f>C8306+B8307</f>
        <v/>
      </c>
      <c r="D8307">
        <f>IF(B8307=1,INDEX('Data Entry'!$H$5:$BE$10004,8307-4,'Visual SPC'!$B$3),"")</f>
        <v/>
      </c>
      <c r="E8307">
        <f>IF(B8307=1,D8307,E8306)</f>
        <v/>
      </c>
      <c r="F8307">
        <f>IF(AND(B8307=1,C8307&gt;1,E8306&lt;&gt;""),ABS(D8307-E8306),"")</f>
        <v/>
      </c>
    </row>
    <row r="8308">
      <c r="A8308" t="n">
        <v>8308</v>
      </c>
      <c r="B8308">
        <f>IF(INDEX('Data Entry'!$H$5:$BE$10004,8308-4,'Visual SPC'!$B$3)="",0,IF(AND(OR('Visual SPC'!$C$4="",'Data Entry'!$C8308&gt;='Visual SPC'!$C$4),OR('Visual SPC'!$E$4="",'Data Entry'!$C8308&lt;='Visual SPC'!$E$4),OR('Visual SPC'!$G$4="",'Data Entry'!$D8308='Visual SPC'!$G$4),OR('Visual SPC'!$I$4="",'Data Entry'!$E8308='Visual SPC'!$I$4),OR('Visual SPC'!$K$4="",'Data Entry'!$F8308='Visual SPC'!$K$4)),1,0))</f>
        <v/>
      </c>
      <c r="C8308">
        <f>C8307+B8308</f>
        <v/>
      </c>
      <c r="D8308">
        <f>IF(B8308=1,INDEX('Data Entry'!$H$5:$BE$10004,8308-4,'Visual SPC'!$B$3),"")</f>
        <v/>
      </c>
      <c r="E8308">
        <f>IF(B8308=1,D8308,E8307)</f>
        <v/>
      </c>
      <c r="F8308">
        <f>IF(AND(B8308=1,C8308&gt;1,E8307&lt;&gt;""),ABS(D8308-E8307),"")</f>
        <v/>
      </c>
    </row>
    <row r="8309">
      <c r="A8309" t="n">
        <v>8309</v>
      </c>
      <c r="B8309">
        <f>IF(INDEX('Data Entry'!$H$5:$BE$10004,8309-4,'Visual SPC'!$B$3)="",0,IF(AND(OR('Visual SPC'!$C$4="",'Data Entry'!$C8309&gt;='Visual SPC'!$C$4),OR('Visual SPC'!$E$4="",'Data Entry'!$C8309&lt;='Visual SPC'!$E$4),OR('Visual SPC'!$G$4="",'Data Entry'!$D8309='Visual SPC'!$G$4),OR('Visual SPC'!$I$4="",'Data Entry'!$E8309='Visual SPC'!$I$4),OR('Visual SPC'!$K$4="",'Data Entry'!$F8309='Visual SPC'!$K$4)),1,0))</f>
        <v/>
      </c>
      <c r="C8309">
        <f>C8308+B8309</f>
        <v/>
      </c>
      <c r="D8309">
        <f>IF(B8309=1,INDEX('Data Entry'!$H$5:$BE$10004,8309-4,'Visual SPC'!$B$3),"")</f>
        <v/>
      </c>
      <c r="E8309">
        <f>IF(B8309=1,D8309,E8308)</f>
        <v/>
      </c>
      <c r="F8309">
        <f>IF(AND(B8309=1,C8309&gt;1,E8308&lt;&gt;""),ABS(D8309-E8308),"")</f>
        <v/>
      </c>
    </row>
    <row r="8310">
      <c r="A8310" t="n">
        <v>8310</v>
      </c>
      <c r="B8310">
        <f>IF(INDEX('Data Entry'!$H$5:$BE$10004,8310-4,'Visual SPC'!$B$3)="",0,IF(AND(OR('Visual SPC'!$C$4="",'Data Entry'!$C8310&gt;='Visual SPC'!$C$4),OR('Visual SPC'!$E$4="",'Data Entry'!$C8310&lt;='Visual SPC'!$E$4),OR('Visual SPC'!$G$4="",'Data Entry'!$D8310='Visual SPC'!$G$4),OR('Visual SPC'!$I$4="",'Data Entry'!$E8310='Visual SPC'!$I$4),OR('Visual SPC'!$K$4="",'Data Entry'!$F8310='Visual SPC'!$K$4)),1,0))</f>
        <v/>
      </c>
      <c r="C8310">
        <f>C8309+B8310</f>
        <v/>
      </c>
      <c r="D8310">
        <f>IF(B8310=1,INDEX('Data Entry'!$H$5:$BE$10004,8310-4,'Visual SPC'!$B$3),"")</f>
        <v/>
      </c>
      <c r="E8310">
        <f>IF(B8310=1,D8310,E8309)</f>
        <v/>
      </c>
      <c r="F8310">
        <f>IF(AND(B8310=1,C8310&gt;1,E8309&lt;&gt;""),ABS(D8310-E8309),"")</f>
        <v/>
      </c>
    </row>
    <row r="8311">
      <c r="A8311" t="n">
        <v>8311</v>
      </c>
      <c r="B8311">
        <f>IF(INDEX('Data Entry'!$H$5:$BE$10004,8311-4,'Visual SPC'!$B$3)="",0,IF(AND(OR('Visual SPC'!$C$4="",'Data Entry'!$C8311&gt;='Visual SPC'!$C$4),OR('Visual SPC'!$E$4="",'Data Entry'!$C8311&lt;='Visual SPC'!$E$4),OR('Visual SPC'!$G$4="",'Data Entry'!$D8311='Visual SPC'!$G$4),OR('Visual SPC'!$I$4="",'Data Entry'!$E8311='Visual SPC'!$I$4),OR('Visual SPC'!$K$4="",'Data Entry'!$F8311='Visual SPC'!$K$4)),1,0))</f>
        <v/>
      </c>
      <c r="C8311">
        <f>C8310+B8311</f>
        <v/>
      </c>
      <c r="D8311">
        <f>IF(B8311=1,INDEX('Data Entry'!$H$5:$BE$10004,8311-4,'Visual SPC'!$B$3),"")</f>
        <v/>
      </c>
      <c r="E8311">
        <f>IF(B8311=1,D8311,E8310)</f>
        <v/>
      </c>
      <c r="F8311">
        <f>IF(AND(B8311=1,C8311&gt;1,E8310&lt;&gt;""),ABS(D8311-E8310),"")</f>
        <v/>
      </c>
    </row>
    <row r="8312">
      <c r="A8312" t="n">
        <v>8312</v>
      </c>
      <c r="B8312">
        <f>IF(INDEX('Data Entry'!$H$5:$BE$10004,8312-4,'Visual SPC'!$B$3)="",0,IF(AND(OR('Visual SPC'!$C$4="",'Data Entry'!$C8312&gt;='Visual SPC'!$C$4),OR('Visual SPC'!$E$4="",'Data Entry'!$C8312&lt;='Visual SPC'!$E$4),OR('Visual SPC'!$G$4="",'Data Entry'!$D8312='Visual SPC'!$G$4),OR('Visual SPC'!$I$4="",'Data Entry'!$E8312='Visual SPC'!$I$4),OR('Visual SPC'!$K$4="",'Data Entry'!$F8312='Visual SPC'!$K$4)),1,0))</f>
        <v/>
      </c>
      <c r="C8312">
        <f>C8311+B8312</f>
        <v/>
      </c>
      <c r="D8312">
        <f>IF(B8312=1,INDEX('Data Entry'!$H$5:$BE$10004,8312-4,'Visual SPC'!$B$3),"")</f>
        <v/>
      </c>
      <c r="E8312">
        <f>IF(B8312=1,D8312,E8311)</f>
        <v/>
      </c>
      <c r="F8312">
        <f>IF(AND(B8312=1,C8312&gt;1,E8311&lt;&gt;""),ABS(D8312-E8311),"")</f>
        <v/>
      </c>
    </row>
    <row r="8313">
      <c r="A8313" t="n">
        <v>8313</v>
      </c>
      <c r="B8313">
        <f>IF(INDEX('Data Entry'!$H$5:$BE$10004,8313-4,'Visual SPC'!$B$3)="",0,IF(AND(OR('Visual SPC'!$C$4="",'Data Entry'!$C8313&gt;='Visual SPC'!$C$4),OR('Visual SPC'!$E$4="",'Data Entry'!$C8313&lt;='Visual SPC'!$E$4),OR('Visual SPC'!$G$4="",'Data Entry'!$D8313='Visual SPC'!$G$4),OR('Visual SPC'!$I$4="",'Data Entry'!$E8313='Visual SPC'!$I$4),OR('Visual SPC'!$K$4="",'Data Entry'!$F8313='Visual SPC'!$K$4)),1,0))</f>
        <v/>
      </c>
      <c r="C8313">
        <f>C8312+B8313</f>
        <v/>
      </c>
      <c r="D8313">
        <f>IF(B8313=1,INDEX('Data Entry'!$H$5:$BE$10004,8313-4,'Visual SPC'!$B$3),"")</f>
        <v/>
      </c>
      <c r="E8313">
        <f>IF(B8313=1,D8313,E8312)</f>
        <v/>
      </c>
      <c r="F8313">
        <f>IF(AND(B8313=1,C8313&gt;1,E8312&lt;&gt;""),ABS(D8313-E8312),"")</f>
        <v/>
      </c>
    </row>
    <row r="8314">
      <c r="A8314" t="n">
        <v>8314</v>
      </c>
      <c r="B8314">
        <f>IF(INDEX('Data Entry'!$H$5:$BE$10004,8314-4,'Visual SPC'!$B$3)="",0,IF(AND(OR('Visual SPC'!$C$4="",'Data Entry'!$C8314&gt;='Visual SPC'!$C$4),OR('Visual SPC'!$E$4="",'Data Entry'!$C8314&lt;='Visual SPC'!$E$4),OR('Visual SPC'!$G$4="",'Data Entry'!$D8314='Visual SPC'!$G$4),OR('Visual SPC'!$I$4="",'Data Entry'!$E8314='Visual SPC'!$I$4),OR('Visual SPC'!$K$4="",'Data Entry'!$F8314='Visual SPC'!$K$4)),1,0))</f>
        <v/>
      </c>
      <c r="C8314">
        <f>C8313+B8314</f>
        <v/>
      </c>
      <c r="D8314">
        <f>IF(B8314=1,INDEX('Data Entry'!$H$5:$BE$10004,8314-4,'Visual SPC'!$B$3),"")</f>
        <v/>
      </c>
      <c r="E8314">
        <f>IF(B8314=1,D8314,E8313)</f>
        <v/>
      </c>
      <c r="F8314">
        <f>IF(AND(B8314=1,C8314&gt;1,E8313&lt;&gt;""),ABS(D8314-E8313),"")</f>
        <v/>
      </c>
    </row>
    <row r="8315">
      <c r="A8315" t="n">
        <v>8315</v>
      </c>
      <c r="B8315">
        <f>IF(INDEX('Data Entry'!$H$5:$BE$10004,8315-4,'Visual SPC'!$B$3)="",0,IF(AND(OR('Visual SPC'!$C$4="",'Data Entry'!$C8315&gt;='Visual SPC'!$C$4),OR('Visual SPC'!$E$4="",'Data Entry'!$C8315&lt;='Visual SPC'!$E$4),OR('Visual SPC'!$G$4="",'Data Entry'!$D8315='Visual SPC'!$G$4),OR('Visual SPC'!$I$4="",'Data Entry'!$E8315='Visual SPC'!$I$4),OR('Visual SPC'!$K$4="",'Data Entry'!$F8315='Visual SPC'!$K$4)),1,0))</f>
        <v/>
      </c>
      <c r="C8315">
        <f>C8314+B8315</f>
        <v/>
      </c>
      <c r="D8315">
        <f>IF(B8315=1,INDEX('Data Entry'!$H$5:$BE$10004,8315-4,'Visual SPC'!$B$3),"")</f>
        <v/>
      </c>
      <c r="E8315">
        <f>IF(B8315=1,D8315,E8314)</f>
        <v/>
      </c>
      <c r="F8315">
        <f>IF(AND(B8315=1,C8315&gt;1,E8314&lt;&gt;""),ABS(D8315-E8314),"")</f>
        <v/>
      </c>
    </row>
    <row r="8316">
      <c r="A8316" t="n">
        <v>8316</v>
      </c>
      <c r="B8316">
        <f>IF(INDEX('Data Entry'!$H$5:$BE$10004,8316-4,'Visual SPC'!$B$3)="",0,IF(AND(OR('Visual SPC'!$C$4="",'Data Entry'!$C8316&gt;='Visual SPC'!$C$4),OR('Visual SPC'!$E$4="",'Data Entry'!$C8316&lt;='Visual SPC'!$E$4),OR('Visual SPC'!$G$4="",'Data Entry'!$D8316='Visual SPC'!$G$4),OR('Visual SPC'!$I$4="",'Data Entry'!$E8316='Visual SPC'!$I$4),OR('Visual SPC'!$K$4="",'Data Entry'!$F8316='Visual SPC'!$K$4)),1,0))</f>
        <v/>
      </c>
      <c r="C8316">
        <f>C8315+B8316</f>
        <v/>
      </c>
      <c r="D8316">
        <f>IF(B8316=1,INDEX('Data Entry'!$H$5:$BE$10004,8316-4,'Visual SPC'!$B$3),"")</f>
        <v/>
      </c>
      <c r="E8316">
        <f>IF(B8316=1,D8316,E8315)</f>
        <v/>
      </c>
      <c r="F8316">
        <f>IF(AND(B8316=1,C8316&gt;1,E8315&lt;&gt;""),ABS(D8316-E8315),"")</f>
        <v/>
      </c>
    </row>
    <row r="8317">
      <c r="A8317" t="n">
        <v>8317</v>
      </c>
      <c r="B8317">
        <f>IF(INDEX('Data Entry'!$H$5:$BE$10004,8317-4,'Visual SPC'!$B$3)="",0,IF(AND(OR('Visual SPC'!$C$4="",'Data Entry'!$C8317&gt;='Visual SPC'!$C$4),OR('Visual SPC'!$E$4="",'Data Entry'!$C8317&lt;='Visual SPC'!$E$4),OR('Visual SPC'!$G$4="",'Data Entry'!$D8317='Visual SPC'!$G$4),OR('Visual SPC'!$I$4="",'Data Entry'!$E8317='Visual SPC'!$I$4),OR('Visual SPC'!$K$4="",'Data Entry'!$F8317='Visual SPC'!$K$4)),1,0))</f>
        <v/>
      </c>
      <c r="C8317">
        <f>C8316+B8317</f>
        <v/>
      </c>
      <c r="D8317">
        <f>IF(B8317=1,INDEX('Data Entry'!$H$5:$BE$10004,8317-4,'Visual SPC'!$B$3),"")</f>
        <v/>
      </c>
      <c r="E8317">
        <f>IF(B8317=1,D8317,E8316)</f>
        <v/>
      </c>
      <c r="F8317">
        <f>IF(AND(B8317=1,C8317&gt;1,E8316&lt;&gt;""),ABS(D8317-E8316),"")</f>
        <v/>
      </c>
    </row>
    <row r="8318">
      <c r="A8318" t="n">
        <v>8318</v>
      </c>
      <c r="B8318">
        <f>IF(INDEX('Data Entry'!$H$5:$BE$10004,8318-4,'Visual SPC'!$B$3)="",0,IF(AND(OR('Visual SPC'!$C$4="",'Data Entry'!$C8318&gt;='Visual SPC'!$C$4),OR('Visual SPC'!$E$4="",'Data Entry'!$C8318&lt;='Visual SPC'!$E$4),OR('Visual SPC'!$G$4="",'Data Entry'!$D8318='Visual SPC'!$G$4),OR('Visual SPC'!$I$4="",'Data Entry'!$E8318='Visual SPC'!$I$4),OR('Visual SPC'!$K$4="",'Data Entry'!$F8318='Visual SPC'!$K$4)),1,0))</f>
        <v/>
      </c>
      <c r="C8318">
        <f>C8317+B8318</f>
        <v/>
      </c>
      <c r="D8318">
        <f>IF(B8318=1,INDEX('Data Entry'!$H$5:$BE$10004,8318-4,'Visual SPC'!$B$3),"")</f>
        <v/>
      </c>
      <c r="E8318">
        <f>IF(B8318=1,D8318,E8317)</f>
        <v/>
      </c>
      <c r="F8318">
        <f>IF(AND(B8318=1,C8318&gt;1,E8317&lt;&gt;""),ABS(D8318-E8317),"")</f>
        <v/>
      </c>
    </row>
    <row r="8319">
      <c r="A8319" t="n">
        <v>8319</v>
      </c>
      <c r="B8319">
        <f>IF(INDEX('Data Entry'!$H$5:$BE$10004,8319-4,'Visual SPC'!$B$3)="",0,IF(AND(OR('Visual SPC'!$C$4="",'Data Entry'!$C8319&gt;='Visual SPC'!$C$4),OR('Visual SPC'!$E$4="",'Data Entry'!$C8319&lt;='Visual SPC'!$E$4),OR('Visual SPC'!$G$4="",'Data Entry'!$D8319='Visual SPC'!$G$4),OR('Visual SPC'!$I$4="",'Data Entry'!$E8319='Visual SPC'!$I$4),OR('Visual SPC'!$K$4="",'Data Entry'!$F8319='Visual SPC'!$K$4)),1,0))</f>
        <v/>
      </c>
      <c r="C8319">
        <f>C8318+B8319</f>
        <v/>
      </c>
      <c r="D8319">
        <f>IF(B8319=1,INDEX('Data Entry'!$H$5:$BE$10004,8319-4,'Visual SPC'!$B$3),"")</f>
        <v/>
      </c>
      <c r="E8319">
        <f>IF(B8319=1,D8319,E8318)</f>
        <v/>
      </c>
      <c r="F8319">
        <f>IF(AND(B8319=1,C8319&gt;1,E8318&lt;&gt;""),ABS(D8319-E8318),"")</f>
        <v/>
      </c>
    </row>
    <row r="8320">
      <c r="A8320" t="n">
        <v>8320</v>
      </c>
      <c r="B8320">
        <f>IF(INDEX('Data Entry'!$H$5:$BE$10004,8320-4,'Visual SPC'!$B$3)="",0,IF(AND(OR('Visual SPC'!$C$4="",'Data Entry'!$C8320&gt;='Visual SPC'!$C$4),OR('Visual SPC'!$E$4="",'Data Entry'!$C8320&lt;='Visual SPC'!$E$4),OR('Visual SPC'!$G$4="",'Data Entry'!$D8320='Visual SPC'!$G$4),OR('Visual SPC'!$I$4="",'Data Entry'!$E8320='Visual SPC'!$I$4),OR('Visual SPC'!$K$4="",'Data Entry'!$F8320='Visual SPC'!$K$4)),1,0))</f>
        <v/>
      </c>
      <c r="C8320">
        <f>C8319+B8320</f>
        <v/>
      </c>
      <c r="D8320">
        <f>IF(B8320=1,INDEX('Data Entry'!$H$5:$BE$10004,8320-4,'Visual SPC'!$B$3),"")</f>
        <v/>
      </c>
      <c r="E8320">
        <f>IF(B8320=1,D8320,E8319)</f>
        <v/>
      </c>
      <c r="F8320">
        <f>IF(AND(B8320=1,C8320&gt;1,E8319&lt;&gt;""),ABS(D8320-E8319),"")</f>
        <v/>
      </c>
    </row>
    <row r="8321">
      <c r="A8321" t="n">
        <v>8321</v>
      </c>
      <c r="B8321">
        <f>IF(INDEX('Data Entry'!$H$5:$BE$10004,8321-4,'Visual SPC'!$B$3)="",0,IF(AND(OR('Visual SPC'!$C$4="",'Data Entry'!$C8321&gt;='Visual SPC'!$C$4),OR('Visual SPC'!$E$4="",'Data Entry'!$C8321&lt;='Visual SPC'!$E$4),OR('Visual SPC'!$G$4="",'Data Entry'!$D8321='Visual SPC'!$G$4),OR('Visual SPC'!$I$4="",'Data Entry'!$E8321='Visual SPC'!$I$4),OR('Visual SPC'!$K$4="",'Data Entry'!$F8321='Visual SPC'!$K$4)),1,0))</f>
        <v/>
      </c>
      <c r="C8321">
        <f>C8320+B8321</f>
        <v/>
      </c>
      <c r="D8321">
        <f>IF(B8321=1,INDEX('Data Entry'!$H$5:$BE$10004,8321-4,'Visual SPC'!$B$3),"")</f>
        <v/>
      </c>
      <c r="E8321">
        <f>IF(B8321=1,D8321,E8320)</f>
        <v/>
      </c>
      <c r="F8321">
        <f>IF(AND(B8321=1,C8321&gt;1,E8320&lt;&gt;""),ABS(D8321-E8320),"")</f>
        <v/>
      </c>
    </row>
    <row r="8322">
      <c r="A8322" t="n">
        <v>8322</v>
      </c>
      <c r="B8322">
        <f>IF(INDEX('Data Entry'!$H$5:$BE$10004,8322-4,'Visual SPC'!$B$3)="",0,IF(AND(OR('Visual SPC'!$C$4="",'Data Entry'!$C8322&gt;='Visual SPC'!$C$4),OR('Visual SPC'!$E$4="",'Data Entry'!$C8322&lt;='Visual SPC'!$E$4),OR('Visual SPC'!$G$4="",'Data Entry'!$D8322='Visual SPC'!$G$4),OR('Visual SPC'!$I$4="",'Data Entry'!$E8322='Visual SPC'!$I$4),OR('Visual SPC'!$K$4="",'Data Entry'!$F8322='Visual SPC'!$K$4)),1,0))</f>
        <v/>
      </c>
      <c r="C8322">
        <f>C8321+B8322</f>
        <v/>
      </c>
      <c r="D8322">
        <f>IF(B8322=1,INDEX('Data Entry'!$H$5:$BE$10004,8322-4,'Visual SPC'!$B$3),"")</f>
        <v/>
      </c>
      <c r="E8322">
        <f>IF(B8322=1,D8322,E8321)</f>
        <v/>
      </c>
      <c r="F8322">
        <f>IF(AND(B8322=1,C8322&gt;1,E8321&lt;&gt;""),ABS(D8322-E8321),"")</f>
        <v/>
      </c>
    </row>
    <row r="8323">
      <c r="A8323" t="n">
        <v>8323</v>
      </c>
      <c r="B8323">
        <f>IF(INDEX('Data Entry'!$H$5:$BE$10004,8323-4,'Visual SPC'!$B$3)="",0,IF(AND(OR('Visual SPC'!$C$4="",'Data Entry'!$C8323&gt;='Visual SPC'!$C$4),OR('Visual SPC'!$E$4="",'Data Entry'!$C8323&lt;='Visual SPC'!$E$4),OR('Visual SPC'!$G$4="",'Data Entry'!$D8323='Visual SPC'!$G$4),OR('Visual SPC'!$I$4="",'Data Entry'!$E8323='Visual SPC'!$I$4),OR('Visual SPC'!$K$4="",'Data Entry'!$F8323='Visual SPC'!$K$4)),1,0))</f>
        <v/>
      </c>
      <c r="C8323">
        <f>C8322+B8323</f>
        <v/>
      </c>
      <c r="D8323">
        <f>IF(B8323=1,INDEX('Data Entry'!$H$5:$BE$10004,8323-4,'Visual SPC'!$B$3),"")</f>
        <v/>
      </c>
      <c r="E8323">
        <f>IF(B8323=1,D8323,E8322)</f>
        <v/>
      </c>
      <c r="F8323">
        <f>IF(AND(B8323=1,C8323&gt;1,E8322&lt;&gt;""),ABS(D8323-E8322),"")</f>
        <v/>
      </c>
    </row>
    <row r="8324">
      <c r="A8324" t="n">
        <v>8324</v>
      </c>
      <c r="B8324">
        <f>IF(INDEX('Data Entry'!$H$5:$BE$10004,8324-4,'Visual SPC'!$B$3)="",0,IF(AND(OR('Visual SPC'!$C$4="",'Data Entry'!$C8324&gt;='Visual SPC'!$C$4),OR('Visual SPC'!$E$4="",'Data Entry'!$C8324&lt;='Visual SPC'!$E$4),OR('Visual SPC'!$G$4="",'Data Entry'!$D8324='Visual SPC'!$G$4),OR('Visual SPC'!$I$4="",'Data Entry'!$E8324='Visual SPC'!$I$4),OR('Visual SPC'!$K$4="",'Data Entry'!$F8324='Visual SPC'!$K$4)),1,0))</f>
        <v/>
      </c>
      <c r="C8324">
        <f>C8323+B8324</f>
        <v/>
      </c>
      <c r="D8324">
        <f>IF(B8324=1,INDEX('Data Entry'!$H$5:$BE$10004,8324-4,'Visual SPC'!$B$3),"")</f>
        <v/>
      </c>
      <c r="E8324">
        <f>IF(B8324=1,D8324,E8323)</f>
        <v/>
      </c>
      <c r="F8324">
        <f>IF(AND(B8324=1,C8324&gt;1,E8323&lt;&gt;""),ABS(D8324-E8323),"")</f>
        <v/>
      </c>
    </row>
    <row r="8325">
      <c r="A8325" t="n">
        <v>8325</v>
      </c>
      <c r="B8325">
        <f>IF(INDEX('Data Entry'!$H$5:$BE$10004,8325-4,'Visual SPC'!$B$3)="",0,IF(AND(OR('Visual SPC'!$C$4="",'Data Entry'!$C8325&gt;='Visual SPC'!$C$4),OR('Visual SPC'!$E$4="",'Data Entry'!$C8325&lt;='Visual SPC'!$E$4),OR('Visual SPC'!$G$4="",'Data Entry'!$D8325='Visual SPC'!$G$4),OR('Visual SPC'!$I$4="",'Data Entry'!$E8325='Visual SPC'!$I$4),OR('Visual SPC'!$K$4="",'Data Entry'!$F8325='Visual SPC'!$K$4)),1,0))</f>
        <v/>
      </c>
      <c r="C8325">
        <f>C8324+B8325</f>
        <v/>
      </c>
      <c r="D8325">
        <f>IF(B8325=1,INDEX('Data Entry'!$H$5:$BE$10004,8325-4,'Visual SPC'!$B$3),"")</f>
        <v/>
      </c>
      <c r="E8325">
        <f>IF(B8325=1,D8325,E8324)</f>
        <v/>
      </c>
      <c r="F8325">
        <f>IF(AND(B8325=1,C8325&gt;1,E8324&lt;&gt;""),ABS(D8325-E8324),"")</f>
        <v/>
      </c>
    </row>
    <row r="8326">
      <c r="A8326" t="n">
        <v>8326</v>
      </c>
      <c r="B8326">
        <f>IF(INDEX('Data Entry'!$H$5:$BE$10004,8326-4,'Visual SPC'!$B$3)="",0,IF(AND(OR('Visual SPC'!$C$4="",'Data Entry'!$C8326&gt;='Visual SPC'!$C$4),OR('Visual SPC'!$E$4="",'Data Entry'!$C8326&lt;='Visual SPC'!$E$4),OR('Visual SPC'!$G$4="",'Data Entry'!$D8326='Visual SPC'!$G$4),OR('Visual SPC'!$I$4="",'Data Entry'!$E8326='Visual SPC'!$I$4),OR('Visual SPC'!$K$4="",'Data Entry'!$F8326='Visual SPC'!$K$4)),1,0))</f>
        <v/>
      </c>
      <c r="C8326">
        <f>C8325+B8326</f>
        <v/>
      </c>
      <c r="D8326">
        <f>IF(B8326=1,INDEX('Data Entry'!$H$5:$BE$10004,8326-4,'Visual SPC'!$B$3),"")</f>
        <v/>
      </c>
      <c r="E8326">
        <f>IF(B8326=1,D8326,E8325)</f>
        <v/>
      </c>
      <c r="F8326">
        <f>IF(AND(B8326=1,C8326&gt;1,E8325&lt;&gt;""),ABS(D8326-E8325),"")</f>
        <v/>
      </c>
    </row>
    <row r="8327">
      <c r="A8327" t="n">
        <v>8327</v>
      </c>
      <c r="B8327">
        <f>IF(INDEX('Data Entry'!$H$5:$BE$10004,8327-4,'Visual SPC'!$B$3)="",0,IF(AND(OR('Visual SPC'!$C$4="",'Data Entry'!$C8327&gt;='Visual SPC'!$C$4),OR('Visual SPC'!$E$4="",'Data Entry'!$C8327&lt;='Visual SPC'!$E$4),OR('Visual SPC'!$G$4="",'Data Entry'!$D8327='Visual SPC'!$G$4),OR('Visual SPC'!$I$4="",'Data Entry'!$E8327='Visual SPC'!$I$4),OR('Visual SPC'!$K$4="",'Data Entry'!$F8327='Visual SPC'!$K$4)),1,0))</f>
        <v/>
      </c>
      <c r="C8327">
        <f>C8326+B8327</f>
        <v/>
      </c>
      <c r="D8327">
        <f>IF(B8327=1,INDEX('Data Entry'!$H$5:$BE$10004,8327-4,'Visual SPC'!$B$3),"")</f>
        <v/>
      </c>
      <c r="E8327">
        <f>IF(B8327=1,D8327,E8326)</f>
        <v/>
      </c>
      <c r="F8327">
        <f>IF(AND(B8327=1,C8327&gt;1,E8326&lt;&gt;""),ABS(D8327-E8326),"")</f>
        <v/>
      </c>
    </row>
    <row r="8328">
      <c r="A8328" t="n">
        <v>8328</v>
      </c>
      <c r="B8328">
        <f>IF(INDEX('Data Entry'!$H$5:$BE$10004,8328-4,'Visual SPC'!$B$3)="",0,IF(AND(OR('Visual SPC'!$C$4="",'Data Entry'!$C8328&gt;='Visual SPC'!$C$4),OR('Visual SPC'!$E$4="",'Data Entry'!$C8328&lt;='Visual SPC'!$E$4),OR('Visual SPC'!$G$4="",'Data Entry'!$D8328='Visual SPC'!$G$4),OR('Visual SPC'!$I$4="",'Data Entry'!$E8328='Visual SPC'!$I$4),OR('Visual SPC'!$K$4="",'Data Entry'!$F8328='Visual SPC'!$K$4)),1,0))</f>
        <v/>
      </c>
      <c r="C8328">
        <f>C8327+B8328</f>
        <v/>
      </c>
      <c r="D8328">
        <f>IF(B8328=1,INDEX('Data Entry'!$H$5:$BE$10004,8328-4,'Visual SPC'!$B$3),"")</f>
        <v/>
      </c>
      <c r="E8328">
        <f>IF(B8328=1,D8328,E8327)</f>
        <v/>
      </c>
      <c r="F8328">
        <f>IF(AND(B8328=1,C8328&gt;1,E8327&lt;&gt;""),ABS(D8328-E8327),"")</f>
        <v/>
      </c>
    </row>
    <row r="8329">
      <c r="A8329" t="n">
        <v>8329</v>
      </c>
      <c r="B8329">
        <f>IF(INDEX('Data Entry'!$H$5:$BE$10004,8329-4,'Visual SPC'!$B$3)="",0,IF(AND(OR('Visual SPC'!$C$4="",'Data Entry'!$C8329&gt;='Visual SPC'!$C$4),OR('Visual SPC'!$E$4="",'Data Entry'!$C8329&lt;='Visual SPC'!$E$4),OR('Visual SPC'!$G$4="",'Data Entry'!$D8329='Visual SPC'!$G$4),OR('Visual SPC'!$I$4="",'Data Entry'!$E8329='Visual SPC'!$I$4),OR('Visual SPC'!$K$4="",'Data Entry'!$F8329='Visual SPC'!$K$4)),1,0))</f>
        <v/>
      </c>
      <c r="C8329">
        <f>C8328+B8329</f>
        <v/>
      </c>
      <c r="D8329">
        <f>IF(B8329=1,INDEX('Data Entry'!$H$5:$BE$10004,8329-4,'Visual SPC'!$B$3),"")</f>
        <v/>
      </c>
      <c r="E8329">
        <f>IF(B8329=1,D8329,E8328)</f>
        <v/>
      </c>
      <c r="F8329">
        <f>IF(AND(B8329=1,C8329&gt;1,E8328&lt;&gt;""),ABS(D8329-E8328),"")</f>
        <v/>
      </c>
    </row>
    <row r="8330">
      <c r="A8330" t="n">
        <v>8330</v>
      </c>
      <c r="B8330">
        <f>IF(INDEX('Data Entry'!$H$5:$BE$10004,8330-4,'Visual SPC'!$B$3)="",0,IF(AND(OR('Visual SPC'!$C$4="",'Data Entry'!$C8330&gt;='Visual SPC'!$C$4),OR('Visual SPC'!$E$4="",'Data Entry'!$C8330&lt;='Visual SPC'!$E$4),OR('Visual SPC'!$G$4="",'Data Entry'!$D8330='Visual SPC'!$G$4),OR('Visual SPC'!$I$4="",'Data Entry'!$E8330='Visual SPC'!$I$4),OR('Visual SPC'!$K$4="",'Data Entry'!$F8330='Visual SPC'!$K$4)),1,0))</f>
        <v/>
      </c>
      <c r="C8330">
        <f>C8329+B8330</f>
        <v/>
      </c>
      <c r="D8330">
        <f>IF(B8330=1,INDEX('Data Entry'!$H$5:$BE$10004,8330-4,'Visual SPC'!$B$3),"")</f>
        <v/>
      </c>
      <c r="E8330">
        <f>IF(B8330=1,D8330,E8329)</f>
        <v/>
      </c>
      <c r="F8330">
        <f>IF(AND(B8330=1,C8330&gt;1,E8329&lt;&gt;""),ABS(D8330-E8329),"")</f>
        <v/>
      </c>
    </row>
    <row r="8331">
      <c r="A8331" t="n">
        <v>8331</v>
      </c>
      <c r="B8331">
        <f>IF(INDEX('Data Entry'!$H$5:$BE$10004,8331-4,'Visual SPC'!$B$3)="",0,IF(AND(OR('Visual SPC'!$C$4="",'Data Entry'!$C8331&gt;='Visual SPC'!$C$4),OR('Visual SPC'!$E$4="",'Data Entry'!$C8331&lt;='Visual SPC'!$E$4),OR('Visual SPC'!$G$4="",'Data Entry'!$D8331='Visual SPC'!$G$4),OR('Visual SPC'!$I$4="",'Data Entry'!$E8331='Visual SPC'!$I$4),OR('Visual SPC'!$K$4="",'Data Entry'!$F8331='Visual SPC'!$K$4)),1,0))</f>
        <v/>
      </c>
      <c r="C8331">
        <f>C8330+B8331</f>
        <v/>
      </c>
      <c r="D8331">
        <f>IF(B8331=1,INDEX('Data Entry'!$H$5:$BE$10004,8331-4,'Visual SPC'!$B$3),"")</f>
        <v/>
      </c>
      <c r="E8331">
        <f>IF(B8331=1,D8331,E8330)</f>
        <v/>
      </c>
      <c r="F8331">
        <f>IF(AND(B8331=1,C8331&gt;1,E8330&lt;&gt;""),ABS(D8331-E8330),"")</f>
        <v/>
      </c>
    </row>
    <row r="8332">
      <c r="A8332" t="n">
        <v>8332</v>
      </c>
      <c r="B8332">
        <f>IF(INDEX('Data Entry'!$H$5:$BE$10004,8332-4,'Visual SPC'!$B$3)="",0,IF(AND(OR('Visual SPC'!$C$4="",'Data Entry'!$C8332&gt;='Visual SPC'!$C$4),OR('Visual SPC'!$E$4="",'Data Entry'!$C8332&lt;='Visual SPC'!$E$4),OR('Visual SPC'!$G$4="",'Data Entry'!$D8332='Visual SPC'!$G$4),OR('Visual SPC'!$I$4="",'Data Entry'!$E8332='Visual SPC'!$I$4),OR('Visual SPC'!$K$4="",'Data Entry'!$F8332='Visual SPC'!$K$4)),1,0))</f>
        <v/>
      </c>
      <c r="C8332">
        <f>C8331+B8332</f>
        <v/>
      </c>
      <c r="D8332">
        <f>IF(B8332=1,INDEX('Data Entry'!$H$5:$BE$10004,8332-4,'Visual SPC'!$B$3),"")</f>
        <v/>
      </c>
      <c r="E8332">
        <f>IF(B8332=1,D8332,E8331)</f>
        <v/>
      </c>
      <c r="F8332">
        <f>IF(AND(B8332=1,C8332&gt;1,E8331&lt;&gt;""),ABS(D8332-E8331),"")</f>
        <v/>
      </c>
    </row>
    <row r="8333">
      <c r="A8333" t="n">
        <v>8333</v>
      </c>
      <c r="B8333">
        <f>IF(INDEX('Data Entry'!$H$5:$BE$10004,8333-4,'Visual SPC'!$B$3)="",0,IF(AND(OR('Visual SPC'!$C$4="",'Data Entry'!$C8333&gt;='Visual SPC'!$C$4),OR('Visual SPC'!$E$4="",'Data Entry'!$C8333&lt;='Visual SPC'!$E$4),OR('Visual SPC'!$G$4="",'Data Entry'!$D8333='Visual SPC'!$G$4),OR('Visual SPC'!$I$4="",'Data Entry'!$E8333='Visual SPC'!$I$4),OR('Visual SPC'!$K$4="",'Data Entry'!$F8333='Visual SPC'!$K$4)),1,0))</f>
        <v/>
      </c>
      <c r="C8333">
        <f>C8332+B8333</f>
        <v/>
      </c>
      <c r="D8333">
        <f>IF(B8333=1,INDEX('Data Entry'!$H$5:$BE$10004,8333-4,'Visual SPC'!$B$3),"")</f>
        <v/>
      </c>
      <c r="E8333">
        <f>IF(B8333=1,D8333,E8332)</f>
        <v/>
      </c>
      <c r="F8333">
        <f>IF(AND(B8333=1,C8333&gt;1,E8332&lt;&gt;""),ABS(D8333-E8332),"")</f>
        <v/>
      </c>
    </row>
    <row r="8334">
      <c r="A8334" t="n">
        <v>8334</v>
      </c>
      <c r="B8334">
        <f>IF(INDEX('Data Entry'!$H$5:$BE$10004,8334-4,'Visual SPC'!$B$3)="",0,IF(AND(OR('Visual SPC'!$C$4="",'Data Entry'!$C8334&gt;='Visual SPC'!$C$4),OR('Visual SPC'!$E$4="",'Data Entry'!$C8334&lt;='Visual SPC'!$E$4),OR('Visual SPC'!$G$4="",'Data Entry'!$D8334='Visual SPC'!$G$4),OR('Visual SPC'!$I$4="",'Data Entry'!$E8334='Visual SPC'!$I$4),OR('Visual SPC'!$K$4="",'Data Entry'!$F8334='Visual SPC'!$K$4)),1,0))</f>
        <v/>
      </c>
      <c r="C8334">
        <f>C8333+B8334</f>
        <v/>
      </c>
      <c r="D8334">
        <f>IF(B8334=1,INDEX('Data Entry'!$H$5:$BE$10004,8334-4,'Visual SPC'!$B$3),"")</f>
        <v/>
      </c>
      <c r="E8334">
        <f>IF(B8334=1,D8334,E8333)</f>
        <v/>
      </c>
      <c r="F8334">
        <f>IF(AND(B8334=1,C8334&gt;1,E8333&lt;&gt;""),ABS(D8334-E8333),"")</f>
        <v/>
      </c>
    </row>
    <row r="8335">
      <c r="A8335" t="n">
        <v>8335</v>
      </c>
      <c r="B8335">
        <f>IF(INDEX('Data Entry'!$H$5:$BE$10004,8335-4,'Visual SPC'!$B$3)="",0,IF(AND(OR('Visual SPC'!$C$4="",'Data Entry'!$C8335&gt;='Visual SPC'!$C$4),OR('Visual SPC'!$E$4="",'Data Entry'!$C8335&lt;='Visual SPC'!$E$4),OR('Visual SPC'!$G$4="",'Data Entry'!$D8335='Visual SPC'!$G$4),OR('Visual SPC'!$I$4="",'Data Entry'!$E8335='Visual SPC'!$I$4),OR('Visual SPC'!$K$4="",'Data Entry'!$F8335='Visual SPC'!$K$4)),1,0))</f>
        <v/>
      </c>
      <c r="C8335">
        <f>C8334+B8335</f>
        <v/>
      </c>
      <c r="D8335">
        <f>IF(B8335=1,INDEX('Data Entry'!$H$5:$BE$10004,8335-4,'Visual SPC'!$B$3),"")</f>
        <v/>
      </c>
      <c r="E8335">
        <f>IF(B8335=1,D8335,E8334)</f>
        <v/>
      </c>
      <c r="F8335">
        <f>IF(AND(B8335=1,C8335&gt;1,E8334&lt;&gt;""),ABS(D8335-E8334),"")</f>
        <v/>
      </c>
    </row>
    <row r="8336">
      <c r="A8336" t="n">
        <v>8336</v>
      </c>
      <c r="B8336">
        <f>IF(INDEX('Data Entry'!$H$5:$BE$10004,8336-4,'Visual SPC'!$B$3)="",0,IF(AND(OR('Visual SPC'!$C$4="",'Data Entry'!$C8336&gt;='Visual SPC'!$C$4),OR('Visual SPC'!$E$4="",'Data Entry'!$C8336&lt;='Visual SPC'!$E$4),OR('Visual SPC'!$G$4="",'Data Entry'!$D8336='Visual SPC'!$G$4),OR('Visual SPC'!$I$4="",'Data Entry'!$E8336='Visual SPC'!$I$4),OR('Visual SPC'!$K$4="",'Data Entry'!$F8336='Visual SPC'!$K$4)),1,0))</f>
        <v/>
      </c>
      <c r="C8336">
        <f>C8335+B8336</f>
        <v/>
      </c>
      <c r="D8336">
        <f>IF(B8336=1,INDEX('Data Entry'!$H$5:$BE$10004,8336-4,'Visual SPC'!$B$3),"")</f>
        <v/>
      </c>
      <c r="E8336">
        <f>IF(B8336=1,D8336,E8335)</f>
        <v/>
      </c>
      <c r="F8336">
        <f>IF(AND(B8336=1,C8336&gt;1,E8335&lt;&gt;""),ABS(D8336-E8335),"")</f>
        <v/>
      </c>
    </row>
    <row r="8337">
      <c r="A8337" t="n">
        <v>8337</v>
      </c>
      <c r="B8337">
        <f>IF(INDEX('Data Entry'!$H$5:$BE$10004,8337-4,'Visual SPC'!$B$3)="",0,IF(AND(OR('Visual SPC'!$C$4="",'Data Entry'!$C8337&gt;='Visual SPC'!$C$4),OR('Visual SPC'!$E$4="",'Data Entry'!$C8337&lt;='Visual SPC'!$E$4),OR('Visual SPC'!$G$4="",'Data Entry'!$D8337='Visual SPC'!$G$4),OR('Visual SPC'!$I$4="",'Data Entry'!$E8337='Visual SPC'!$I$4),OR('Visual SPC'!$K$4="",'Data Entry'!$F8337='Visual SPC'!$K$4)),1,0))</f>
        <v/>
      </c>
      <c r="C8337">
        <f>C8336+B8337</f>
        <v/>
      </c>
      <c r="D8337">
        <f>IF(B8337=1,INDEX('Data Entry'!$H$5:$BE$10004,8337-4,'Visual SPC'!$B$3),"")</f>
        <v/>
      </c>
      <c r="E8337">
        <f>IF(B8337=1,D8337,E8336)</f>
        <v/>
      </c>
      <c r="F8337">
        <f>IF(AND(B8337=1,C8337&gt;1,E8336&lt;&gt;""),ABS(D8337-E8336),"")</f>
        <v/>
      </c>
    </row>
    <row r="8338">
      <c r="A8338" t="n">
        <v>8338</v>
      </c>
      <c r="B8338">
        <f>IF(INDEX('Data Entry'!$H$5:$BE$10004,8338-4,'Visual SPC'!$B$3)="",0,IF(AND(OR('Visual SPC'!$C$4="",'Data Entry'!$C8338&gt;='Visual SPC'!$C$4),OR('Visual SPC'!$E$4="",'Data Entry'!$C8338&lt;='Visual SPC'!$E$4),OR('Visual SPC'!$G$4="",'Data Entry'!$D8338='Visual SPC'!$G$4),OR('Visual SPC'!$I$4="",'Data Entry'!$E8338='Visual SPC'!$I$4),OR('Visual SPC'!$K$4="",'Data Entry'!$F8338='Visual SPC'!$K$4)),1,0))</f>
        <v/>
      </c>
      <c r="C8338">
        <f>C8337+B8338</f>
        <v/>
      </c>
      <c r="D8338">
        <f>IF(B8338=1,INDEX('Data Entry'!$H$5:$BE$10004,8338-4,'Visual SPC'!$B$3),"")</f>
        <v/>
      </c>
      <c r="E8338">
        <f>IF(B8338=1,D8338,E8337)</f>
        <v/>
      </c>
      <c r="F8338">
        <f>IF(AND(B8338=1,C8338&gt;1,E8337&lt;&gt;""),ABS(D8338-E8337),"")</f>
        <v/>
      </c>
    </row>
    <row r="8339">
      <c r="A8339" t="n">
        <v>8339</v>
      </c>
      <c r="B8339">
        <f>IF(INDEX('Data Entry'!$H$5:$BE$10004,8339-4,'Visual SPC'!$B$3)="",0,IF(AND(OR('Visual SPC'!$C$4="",'Data Entry'!$C8339&gt;='Visual SPC'!$C$4),OR('Visual SPC'!$E$4="",'Data Entry'!$C8339&lt;='Visual SPC'!$E$4),OR('Visual SPC'!$G$4="",'Data Entry'!$D8339='Visual SPC'!$G$4),OR('Visual SPC'!$I$4="",'Data Entry'!$E8339='Visual SPC'!$I$4),OR('Visual SPC'!$K$4="",'Data Entry'!$F8339='Visual SPC'!$K$4)),1,0))</f>
        <v/>
      </c>
      <c r="C8339">
        <f>C8338+B8339</f>
        <v/>
      </c>
      <c r="D8339">
        <f>IF(B8339=1,INDEX('Data Entry'!$H$5:$BE$10004,8339-4,'Visual SPC'!$B$3),"")</f>
        <v/>
      </c>
      <c r="E8339">
        <f>IF(B8339=1,D8339,E8338)</f>
        <v/>
      </c>
      <c r="F8339">
        <f>IF(AND(B8339=1,C8339&gt;1,E8338&lt;&gt;""),ABS(D8339-E8338),"")</f>
        <v/>
      </c>
    </row>
    <row r="8340">
      <c r="A8340" t="n">
        <v>8340</v>
      </c>
      <c r="B8340">
        <f>IF(INDEX('Data Entry'!$H$5:$BE$10004,8340-4,'Visual SPC'!$B$3)="",0,IF(AND(OR('Visual SPC'!$C$4="",'Data Entry'!$C8340&gt;='Visual SPC'!$C$4),OR('Visual SPC'!$E$4="",'Data Entry'!$C8340&lt;='Visual SPC'!$E$4),OR('Visual SPC'!$G$4="",'Data Entry'!$D8340='Visual SPC'!$G$4),OR('Visual SPC'!$I$4="",'Data Entry'!$E8340='Visual SPC'!$I$4),OR('Visual SPC'!$K$4="",'Data Entry'!$F8340='Visual SPC'!$K$4)),1,0))</f>
        <v/>
      </c>
      <c r="C8340">
        <f>C8339+B8340</f>
        <v/>
      </c>
      <c r="D8340">
        <f>IF(B8340=1,INDEX('Data Entry'!$H$5:$BE$10004,8340-4,'Visual SPC'!$B$3),"")</f>
        <v/>
      </c>
      <c r="E8340">
        <f>IF(B8340=1,D8340,E8339)</f>
        <v/>
      </c>
      <c r="F8340">
        <f>IF(AND(B8340=1,C8340&gt;1,E8339&lt;&gt;""),ABS(D8340-E8339),"")</f>
        <v/>
      </c>
    </row>
    <row r="8341">
      <c r="A8341" t="n">
        <v>8341</v>
      </c>
      <c r="B8341">
        <f>IF(INDEX('Data Entry'!$H$5:$BE$10004,8341-4,'Visual SPC'!$B$3)="",0,IF(AND(OR('Visual SPC'!$C$4="",'Data Entry'!$C8341&gt;='Visual SPC'!$C$4),OR('Visual SPC'!$E$4="",'Data Entry'!$C8341&lt;='Visual SPC'!$E$4),OR('Visual SPC'!$G$4="",'Data Entry'!$D8341='Visual SPC'!$G$4),OR('Visual SPC'!$I$4="",'Data Entry'!$E8341='Visual SPC'!$I$4),OR('Visual SPC'!$K$4="",'Data Entry'!$F8341='Visual SPC'!$K$4)),1,0))</f>
        <v/>
      </c>
      <c r="C8341">
        <f>C8340+B8341</f>
        <v/>
      </c>
      <c r="D8341">
        <f>IF(B8341=1,INDEX('Data Entry'!$H$5:$BE$10004,8341-4,'Visual SPC'!$B$3),"")</f>
        <v/>
      </c>
      <c r="E8341">
        <f>IF(B8341=1,D8341,E8340)</f>
        <v/>
      </c>
      <c r="F8341">
        <f>IF(AND(B8341=1,C8341&gt;1,E8340&lt;&gt;""),ABS(D8341-E8340),"")</f>
        <v/>
      </c>
    </row>
    <row r="8342">
      <c r="A8342" t="n">
        <v>8342</v>
      </c>
      <c r="B8342">
        <f>IF(INDEX('Data Entry'!$H$5:$BE$10004,8342-4,'Visual SPC'!$B$3)="",0,IF(AND(OR('Visual SPC'!$C$4="",'Data Entry'!$C8342&gt;='Visual SPC'!$C$4),OR('Visual SPC'!$E$4="",'Data Entry'!$C8342&lt;='Visual SPC'!$E$4),OR('Visual SPC'!$G$4="",'Data Entry'!$D8342='Visual SPC'!$G$4),OR('Visual SPC'!$I$4="",'Data Entry'!$E8342='Visual SPC'!$I$4),OR('Visual SPC'!$K$4="",'Data Entry'!$F8342='Visual SPC'!$K$4)),1,0))</f>
        <v/>
      </c>
      <c r="C8342">
        <f>C8341+B8342</f>
        <v/>
      </c>
      <c r="D8342">
        <f>IF(B8342=1,INDEX('Data Entry'!$H$5:$BE$10004,8342-4,'Visual SPC'!$B$3),"")</f>
        <v/>
      </c>
      <c r="E8342">
        <f>IF(B8342=1,D8342,E8341)</f>
        <v/>
      </c>
      <c r="F8342">
        <f>IF(AND(B8342=1,C8342&gt;1,E8341&lt;&gt;""),ABS(D8342-E8341),"")</f>
        <v/>
      </c>
    </row>
    <row r="8343">
      <c r="A8343" t="n">
        <v>8343</v>
      </c>
      <c r="B8343">
        <f>IF(INDEX('Data Entry'!$H$5:$BE$10004,8343-4,'Visual SPC'!$B$3)="",0,IF(AND(OR('Visual SPC'!$C$4="",'Data Entry'!$C8343&gt;='Visual SPC'!$C$4),OR('Visual SPC'!$E$4="",'Data Entry'!$C8343&lt;='Visual SPC'!$E$4),OR('Visual SPC'!$G$4="",'Data Entry'!$D8343='Visual SPC'!$G$4),OR('Visual SPC'!$I$4="",'Data Entry'!$E8343='Visual SPC'!$I$4),OR('Visual SPC'!$K$4="",'Data Entry'!$F8343='Visual SPC'!$K$4)),1,0))</f>
        <v/>
      </c>
      <c r="C8343">
        <f>C8342+B8343</f>
        <v/>
      </c>
      <c r="D8343">
        <f>IF(B8343=1,INDEX('Data Entry'!$H$5:$BE$10004,8343-4,'Visual SPC'!$B$3),"")</f>
        <v/>
      </c>
      <c r="E8343">
        <f>IF(B8343=1,D8343,E8342)</f>
        <v/>
      </c>
      <c r="F8343">
        <f>IF(AND(B8343=1,C8343&gt;1,E8342&lt;&gt;""),ABS(D8343-E8342),"")</f>
        <v/>
      </c>
    </row>
    <row r="8344">
      <c r="A8344" t="n">
        <v>8344</v>
      </c>
      <c r="B8344">
        <f>IF(INDEX('Data Entry'!$H$5:$BE$10004,8344-4,'Visual SPC'!$B$3)="",0,IF(AND(OR('Visual SPC'!$C$4="",'Data Entry'!$C8344&gt;='Visual SPC'!$C$4),OR('Visual SPC'!$E$4="",'Data Entry'!$C8344&lt;='Visual SPC'!$E$4),OR('Visual SPC'!$G$4="",'Data Entry'!$D8344='Visual SPC'!$G$4),OR('Visual SPC'!$I$4="",'Data Entry'!$E8344='Visual SPC'!$I$4),OR('Visual SPC'!$K$4="",'Data Entry'!$F8344='Visual SPC'!$K$4)),1,0))</f>
        <v/>
      </c>
      <c r="C8344">
        <f>C8343+B8344</f>
        <v/>
      </c>
      <c r="D8344">
        <f>IF(B8344=1,INDEX('Data Entry'!$H$5:$BE$10004,8344-4,'Visual SPC'!$B$3),"")</f>
        <v/>
      </c>
      <c r="E8344">
        <f>IF(B8344=1,D8344,E8343)</f>
        <v/>
      </c>
      <c r="F8344">
        <f>IF(AND(B8344=1,C8344&gt;1,E8343&lt;&gt;""),ABS(D8344-E8343),"")</f>
        <v/>
      </c>
    </row>
    <row r="8345">
      <c r="A8345" t="n">
        <v>8345</v>
      </c>
      <c r="B8345">
        <f>IF(INDEX('Data Entry'!$H$5:$BE$10004,8345-4,'Visual SPC'!$B$3)="",0,IF(AND(OR('Visual SPC'!$C$4="",'Data Entry'!$C8345&gt;='Visual SPC'!$C$4),OR('Visual SPC'!$E$4="",'Data Entry'!$C8345&lt;='Visual SPC'!$E$4),OR('Visual SPC'!$G$4="",'Data Entry'!$D8345='Visual SPC'!$G$4),OR('Visual SPC'!$I$4="",'Data Entry'!$E8345='Visual SPC'!$I$4),OR('Visual SPC'!$K$4="",'Data Entry'!$F8345='Visual SPC'!$K$4)),1,0))</f>
        <v/>
      </c>
      <c r="C8345">
        <f>C8344+B8345</f>
        <v/>
      </c>
      <c r="D8345">
        <f>IF(B8345=1,INDEX('Data Entry'!$H$5:$BE$10004,8345-4,'Visual SPC'!$B$3),"")</f>
        <v/>
      </c>
      <c r="E8345">
        <f>IF(B8345=1,D8345,E8344)</f>
        <v/>
      </c>
      <c r="F8345">
        <f>IF(AND(B8345=1,C8345&gt;1,E8344&lt;&gt;""),ABS(D8345-E8344),"")</f>
        <v/>
      </c>
    </row>
    <row r="8346">
      <c r="A8346" t="n">
        <v>8346</v>
      </c>
      <c r="B8346">
        <f>IF(INDEX('Data Entry'!$H$5:$BE$10004,8346-4,'Visual SPC'!$B$3)="",0,IF(AND(OR('Visual SPC'!$C$4="",'Data Entry'!$C8346&gt;='Visual SPC'!$C$4),OR('Visual SPC'!$E$4="",'Data Entry'!$C8346&lt;='Visual SPC'!$E$4),OR('Visual SPC'!$G$4="",'Data Entry'!$D8346='Visual SPC'!$G$4),OR('Visual SPC'!$I$4="",'Data Entry'!$E8346='Visual SPC'!$I$4),OR('Visual SPC'!$K$4="",'Data Entry'!$F8346='Visual SPC'!$K$4)),1,0))</f>
        <v/>
      </c>
      <c r="C8346">
        <f>C8345+B8346</f>
        <v/>
      </c>
      <c r="D8346">
        <f>IF(B8346=1,INDEX('Data Entry'!$H$5:$BE$10004,8346-4,'Visual SPC'!$B$3),"")</f>
        <v/>
      </c>
      <c r="E8346">
        <f>IF(B8346=1,D8346,E8345)</f>
        <v/>
      </c>
      <c r="F8346">
        <f>IF(AND(B8346=1,C8346&gt;1,E8345&lt;&gt;""),ABS(D8346-E8345),"")</f>
        <v/>
      </c>
    </row>
    <row r="8347">
      <c r="A8347" t="n">
        <v>8347</v>
      </c>
      <c r="B8347">
        <f>IF(INDEX('Data Entry'!$H$5:$BE$10004,8347-4,'Visual SPC'!$B$3)="",0,IF(AND(OR('Visual SPC'!$C$4="",'Data Entry'!$C8347&gt;='Visual SPC'!$C$4),OR('Visual SPC'!$E$4="",'Data Entry'!$C8347&lt;='Visual SPC'!$E$4),OR('Visual SPC'!$G$4="",'Data Entry'!$D8347='Visual SPC'!$G$4),OR('Visual SPC'!$I$4="",'Data Entry'!$E8347='Visual SPC'!$I$4),OR('Visual SPC'!$K$4="",'Data Entry'!$F8347='Visual SPC'!$K$4)),1,0))</f>
        <v/>
      </c>
      <c r="C8347">
        <f>C8346+B8347</f>
        <v/>
      </c>
      <c r="D8347">
        <f>IF(B8347=1,INDEX('Data Entry'!$H$5:$BE$10004,8347-4,'Visual SPC'!$B$3),"")</f>
        <v/>
      </c>
      <c r="E8347">
        <f>IF(B8347=1,D8347,E8346)</f>
        <v/>
      </c>
      <c r="F8347">
        <f>IF(AND(B8347=1,C8347&gt;1,E8346&lt;&gt;""),ABS(D8347-E8346),"")</f>
        <v/>
      </c>
    </row>
    <row r="8348">
      <c r="A8348" t="n">
        <v>8348</v>
      </c>
      <c r="B8348">
        <f>IF(INDEX('Data Entry'!$H$5:$BE$10004,8348-4,'Visual SPC'!$B$3)="",0,IF(AND(OR('Visual SPC'!$C$4="",'Data Entry'!$C8348&gt;='Visual SPC'!$C$4),OR('Visual SPC'!$E$4="",'Data Entry'!$C8348&lt;='Visual SPC'!$E$4),OR('Visual SPC'!$G$4="",'Data Entry'!$D8348='Visual SPC'!$G$4),OR('Visual SPC'!$I$4="",'Data Entry'!$E8348='Visual SPC'!$I$4),OR('Visual SPC'!$K$4="",'Data Entry'!$F8348='Visual SPC'!$K$4)),1,0))</f>
        <v/>
      </c>
      <c r="C8348">
        <f>C8347+B8348</f>
        <v/>
      </c>
      <c r="D8348">
        <f>IF(B8348=1,INDEX('Data Entry'!$H$5:$BE$10004,8348-4,'Visual SPC'!$B$3),"")</f>
        <v/>
      </c>
      <c r="E8348">
        <f>IF(B8348=1,D8348,E8347)</f>
        <v/>
      </c>
      <c r="F8348">
        <f>IF(AND(B8348=1,C8348&gt;1,E8347&lt;&gt;""),ABS(D8348-E8347),"")</f>
        <v/>
      </c>
    </row>
    <row r="8349">
      <c r="A8349" t="n">
        <v>8349</v>
      </c>
      <c r="B8349">
        <f>IF(INDEX('Data Entry'!$H$5:$BE$10004,8349-4,'Visual SPC'!$B$3)="",0,IF(AND(OR('Visual SPC'!$C$4="",'Data Entry'!$C8349&gt;='Visual SPC'!$C$4),OR('Visual SPC'!$E$4="",'Data Entry'!$C8349&lt;='Visual SPC'!$E$4),OR('Visual SPC'!$G$4="",'Data Entry'!$D8349='Visual SPC'!$G$4),OR('Visual SPC'!$I$4="",'Data Entry'!$E8349='Visual SPC'!$I$4),OR('Visual SPC'!$K$4="",'Data Entry'!$F8349='Visual SPC'!$K$4)),1,0))</f>
        <v/>
      </c>
      <c r="C8349">
        <f>C8348+B8349</f>
        <v/>
      </c>
      <c r="D8349">
        <f>IF(B8349=1,INDEX('Data Entry'!$H$5:$BE$10004,8349-4,'Visual SPC'!$B$3),"")</f>
        <v/>
      </c>
      <c r="E8349">
        <f>IF(B8349=1,D8349,E8348)</f>
        <v/>
      </c>
      <c r="F8349">
        <f>IF(AND(B8349=1,C8349&gt;1,E8348&lt;&gt;""),ABS(D8349-E8348),"")</f>
        <v/>
      </c>
    </row>
    <row r="8350">
      <c r="A8350" t="n">
        <v>8350</v>
      </c>
      <c r="B8350">
        <f>IF(INDEX('Data Entry'!$H$5:$BE$10004,8350-4,'Visual SPC'!$B$3)="",0,IF(AND(OR('Visual SPC'!$C$4="",'Data Entry'!$C8350&gt;='Visual SPC'!$C$4),OR('Visual SPC'!$E$4="",'Data Entry'!$C8350&lt;='Visual SPC'!$E$4),OR('Visual SPC'!$G$4="",'Data Entry'!$D8350='Visual SPC'!$G$4),OR('Visual SPC'!$I$4="",'Data Entry'!$E8350='Visual SPC'!$I$4),OR('Visual SPC'!$K$4="",'Data Entry'!$F8350='Visual SPC'!$K$4)),1,0))</f>
        <v/>
      </c>
      <c r="C8350">
        <f>C8349+B8350</f>
        <v/>
      </c>
      <c r="D8350">
        <f>IF(B8350=1,INDEX('Data Entry'!$H$5:$BE$10004,8350-4,'Visual SPC'!$B$3),"")</f>
        <v/>
      </c>
      <c r="E8350">
        <f>IF(B8350=1,D8350,E8349)</f>
        <v/>
      </c>
      <c r="F8350">
        <f>IF(AND(B8350=1,C8350&gt;1,E8349&lt;&gt;""),ABS(D8350-E8349),"")</f>
        <v/>
      </c>
    </row>
    <row r="8351">
      <c r="A8351" t="n">
        <v>8351</v>
      </c>
      <c r="B8351">
        <f>IF(INDEX('Data Entry'!$H$5:$BE$10004,8351-4,'Visual SPC'!$B$3)="",0,IF(AND(OR('Visual SPC'!$C$4="",'Data Entry'!$C8351&gt;='Visual SPC'!$C$4),OR('Visual SPC'!$E$4="",'Data Entry'!$C8351&lt;='Visual SPC'!$E$4),OR('Visual SPC'!$G$4="",'Data Entry'!$D8351='Visual SPC'!$G$4),OR('Visual SPC'!$I$4="",'Data Entry'!$E8351='Visual SPC'!$I$4),OR('Visual SPC'!$K$4="",'Data Entry'!$F8351='Visual SPC'!$K$4)),1,0))</f>
        <v/>
      </c>
      <c r="C8351">
        <f>C8350+B8351</f>
        <v/>
      </c>
      <c r="D8351">
        <f>IF(B8351=1,INDEX('Data Entry'!$H$5:$BE$10004,8351-4,'Visual SPC'!$B$3),"")</f>
        <v/>
      </c>
      <c r="E8351">
        <f>IF(B8351=1,D8351,E8350)</f>
        <v/>
      </c>
      <c r="F8351">
        <f>IF(AND(B8351=1,C8351&gt;1,E8350&lt;&gt;""),ABS(D8351-E8350),"")</f>
        <v/>
      </c>
    </row>
    <row r="8352">
      <c r="A8352" t="n">
        <v>8352</v>
      </c>
      <c r="B8352">
        <f>IF(INDEX('Data Entry'!$H$5:$BE$10004,8352-4,'Visual SPC'!$B$3)="",0,IF(AND(OR('Visual SPC'!$C$4="",'Data Entry'!$C8352&gt;='Visual SPC'!$C$4),OR('Visual SPC'!$E$4="",'Data Entry'!$C8352&lt;='Visual SPC'!$E$4),OR('Visual SPC'!$G$4="",'Data Entry'!$D8352='Visual SPC'!$G$4),OR('Visual SPC'!$I$4="",'Data Entry'!$E8352='Visual SPC'!$I$4),OR('Visual SPC'!$K$4="",'Data Entry'!$F8352='Visual SPC'!$K$4)),1,0))</f>
        <v/>
      </c>
      <c r="C8352">
        <f>C8351+B8352</f>
        <v/>
      </c>
      <c r="D8352">
        <f>IF(B8352=1,INDEX('Data Entry'!$H$5:$BE$10004,8352-4,'Visual SPC'!$B$3),"")</f>
        <v/>
      </c>
      <c r="E8352">
        <f>IF(B8352=1,D8352,E8351)</f>
        <v/>
      </c>
      <c r="F8352">
        <f>IF(AND(B8352=1,C8352&gt;1,E8351&lt;&gt;""),ABS(D8352-E8351),"")</f>
        <v/>
      </c>
    </row>
    <row r="8353">
      <c r="A8353" t="n">
        <v>8353</v>
      </c>
      <c r="B8353">
        <f>IF(INDEX('Data Entry'!$H$5:$BE$10004,8353-4,'Visual SPC'!$B$3)="",0,IF(AND(OR('Visual SPC'!$C$4="",'Data Entry'!$C8353&gt;='Visual SPC'!$C$4),OR('Visual SPC'!$E$4="",'Data Entry'!$C8353&lt;='Visual SPC'!$E$4),OR('Visual SPC'!$G$4="",'Data Entry'!$D8353='Visual SPC'!$G$4),OR('Visual SPC'!$I$4="",'Data Entry'!$E8353='Visual SPC'!$I$4),OR('Visual SPC'!$K$4="",'Data Entry'!$F8353='Visual SPC'!$K$4)),1,0))</f>
        <v/>
      </c>
      <c r="C8353">
        <f>C8352+B8353</f>
        <v/>
      </c>
      <c r="D8353">
        <f>IF(B8353=1,INDEX('Data Entry'!$H$5:$BE$10004,8353-4,'Visual SPC'!$B$3),"")</f>
        <v/>
      </c>
      <c r="E8353">
        <f>IF(B8353=1,D8353,E8352)</f>
        <v/>
      </c>
      <c r="F8353">
        <f>IF(AND(B8353=1,C8353&gt;1,E8352&lt;&gt;""),ABS(D8353-E8352),"")</f>
        <v/>
      </c>
    </row>
    <row r="8354">
      <c r="A8354" t="n">
        <v>8354</v>
      </c>
      <c r="B8354">
        <f>IF(INDEX('Data Entry'!$H$5:$BE$10004,8354-4,'Visual SPC'!$B$3)="",0,IF(AND(OR('Visual SPC'!$C$4="",'Data Entry'!$C8354&gt;='Visual SPC'!$C$4),OR('Visual SPC'!$E$4="",'Data Entry'!$C8354&lt;='Visual SPC'!$E$4),OR('Visual SPC'!$G$4="",'Data Entry'!$D8354='Visual SPC'!$G$4),OR('Visual SPC'!$I$4="",'Data Entry'!$E8354='Visual SPC'!$I$4),OR('Visual SPC'!$K$4="",'Data Entry'!$F8354='Visual SPC'!$K$4)),1,0))</f>
        <v/>
      </c>
      <c r="C8354">
        <f>C8353+B8354</f>
        <v/>
      </c>
      <c r="D8354">
        <f>IF(B8354=1,INDEX('Data Entry'!$H$5:$BE$10004,8354-4,'Visual SPC'!$B$3),"")</f>
        <v/>
      </c>
      <c r="E8354">
        <f>IF(B8354=1,D8354,E8353)</f>
        <v/>
      </c>
      <c r="F8354">
        <f>IF(AND(B8354=1,C8354&gt;1,E8353&lt;&gt;""),ABS(D8354-E8353),"")</f>
        <v/>
      </c>
    </row>
    <row r="8355">
      <c r="A8355" t="n">
        <v>8355</v>
      </c>
      <c r="B8355">
        <f>IF(INDEX('Data Entry'!$H$5:$BE$10004,8355-4,'Visual SPC'!$B$3)="",0,IF(AND(OR('Visual SPC'!$C$4="",'Data Entry'!$C8355&gt;='Visual SPC'!$C$4),OR('Visual SPC'!$E$4="",'Data Entry'!$C8355&lt;='Visual SPC'!$E$4),OR('Visual SPC'!$G$4="",'Data Entry'!$D8355='Visual SPC'!$G$4),OR('Visual SPC'!$I$4="",'Data Entry'!$E8355='Visual SPC'!$I$4),OR('Visual SPC'!$K$4="",'Data Entry'!$F8355='Visual SPC'!$K$4)),1,0))</f>
        <v/>
      </c>
      <c r="C8355">
        <f>C8354+B8355</f>
        <v/>
      </c>
      <c r="D8355">
        <f>IF(B8355=1,INDEX('Data Entry'!$H$5:$BE$10004,8355-4,'Visual SPC'!$B$3),"")</f>
        <v/>
      </c>
      <c r="E8355">
        <f>IF(B8355=1,D8355,E8354)</f>
        <v/>
      </c>
      <c r="F8355">
        <f>IF(AND(B8355=1,C8355&gt;1,E8354&lt;&gt;""),ABS(D8355-E8354),"")</f>
        <v/>
      </c>
    </row>
    <row r="8356">
      <c r="A8356" t="n">
        <v>8356</v>
      </c>
      <c r="B8356">
        <f>IF(INDEX('Data Entry'!$H$5:$BE$10004,8356-4,'Visual SPC'!$B$3)="",0,IF(AND(OR('Visual SPC'!$C$4="",'Data Entry'!$C8356&gt;='Visual SPC'!$C$4),OR('Visual SPC'!$E$4="",'Data Entry'!$C8356&lt;='Visual SPC'!$E$4),OR('Visual SPC'!$G$4="",'Data Entry'!$D8356='Visual SPC'!$G$4),OR('Visual SPC'!$I$4="",'Data Entry'!$E8356='Visual SPC'!$I$4),OR('Visual SPC'!$K$4="",'Data Entry'!$F8356='Visual SPC'!$K$4)),1,0))</f>
        <v/>
      </c>
      <c r="C8356">
        <f>C8355+B8356</f>
        <v/>
      </c>
      <c r="D8356">
        <f>IF(B8356=1,INDEX('Data Entry'!$H$5:$BE$10004,8356-4,'Visual SPC'!$B$3),"")</f>
        <v/>
      </c>
      <c r="E8356">
        <f>IF(B8356=1,D8356,E8355)</f>
        <v/>
      </c>
      <c r="F8356">
        <f>IF(AND(B8356=1,C8356&gt;1,E8355&lt;&gt;""),ABS(D8356-E8355),"")</f>
        <v/>
      </c>
    </row>
    <row r="8357">
      <c r="A8357" t="n">
        <v>8357</v>
      </c>
      <c r="B8357">
        <f>IF(INDEX('Data Entry'!$H$5:$BE$10004,8357-4,'Visual SPC'!$B$3)="",0,IF(AND(OR('Visual SPC'!$C$4="",'Data Entry'!$C8357&gt;='Visual SPC'!$C$4),OR('Visual SPC'!$E$4="",'Data Entry'!$C8357&lt;='Visual SPC'!$E$4),OR('Visual SPC'!$G$4="",'Data Entry'!$D8357='Visual SPC'!$G$4),OR('Visual SPC'!$I$4="",'Data Entry'!$E8357='Visual SPC'!$I$4),OR('Visual SPC'!$K$4="",'Data Entry'!$F8357='Visual SPC'!$K$4)),1,0))</f>
        <v/>
      </c>
      <c r="C8357">
        <f>C8356+B8357</f>
        <v/>
      </c>
      <c r="D8357">
        <f>IF(B8357=1,INDEX('Data Entry'!$H$5:$BE$10004,8357-4,'Visual SPC'!$B$3),"")</f>
        <v/>
      </c>
      <c r="E8357">
        <f>IF(B8357=1,D8357,E8356)</f>
        <v/>
      </c>
      <c r="F8357">
        <f>IF(AND(B8357=1,C8357&gt;1,E8356&lt;&gt;""),ABS(D8357-E8356),"")</f>
        <v/>
      </c>
    </row>
    <row r="8358">
      <c r="A8358" t="n">
        <v>8358</v>
      </c>
      <c r="B8358">
        <f>IF(INDEX('Data Entry'!$H$5:$BE$10004,8358-4,'Visual SPC'!$B$3)="",0,IF(AND(OR('Visual SPC'!$C$4="",'Data Entry'!$C8358&gt;='Visual SPC'!$C$4),OR('Visual SPC'!$E$4="",'Data Entry'!$C8358&lt;='Visual SPC'!$E$4),OR('Visual SPC'!$G$4="",'Data Entry'!$D8358='Visual SPC'!$G$4),OR('Visual SPC'!$I$4="",'Data Entry'!$E8358='Visual SPC'!$I$4),OR('Visual SPC'!$K$4="",'Data Entry'!$F8358='Visual SPC'!$K$4)),1,0))</f>
        <v/>
      </c>
      <c r="C8358">
        <f>C8357+B8358</f>
        <v/>
      </c>
      <c r="D8358">
        <f>IF(B8358=1,INDEX('Data Entry'!$H$5:$BE$10004,8358-4,'Visual SPC'!$B$3),"")</f>
        <v/>
      </c>
      <c r="E8358">
        <f>IF(B8358=1,D8358,E8357)</f>
        <v/>
      </c>
      <c r="F8358">
        <f>IF(AND(B8358=1,C8358&gt;1,E8357&lt;&gt;""),ABS(D8358-E8357),"")</f>
        <v/>
      </c>
    </row>
    <row r="8359">
      <c r="A8359" t="n">
        <v>8359</v>
      </c>
      <c r="B8359">
        <f>IF(INDEX('Data Entry'!$H$5:$BE$10004,8359-4,'Visual SPC'!$B$3)="",0,IF(AND(OR('Visual SPC'!$C$4="",'Data Entry'!$C8359&gt;='Visual SPC'!$C$4),OR('Visual SPC'!$E$4="",'Data Entry'!$C8359&lt;='Visual SPC'!$E$4),OR('Visual SPC'!$G$4="",'Data Entry'!$D8359='Visual SPC'!$G$4),OR('Visual SPC'!$I$4="",'Data Entry'!$E8359='Visual SPC'!$I$4),OR('Visual SPC'!$K$4="",'Data Entry'!$F8359='Visual SPC'!$K$4)),1,0))</f>
        <v/>
      </c>
      <c r="C8359">
        <f>C8358+B8359</f>
        <v/>
      </c>
      <c r="D8359">
        <f>IF(B8359=1,INDEX('Data Entry'!$H$5:$BE$10004,8359-4,'Visual SPC'!$B$3),"")</f>
        <v/>
      </c>
      <c r="E8359">
        <f>IF(B8359=1,D8359,E8358)</f>
        <v/>
      </c>
      <c r="F8359">
        <f>IF(AND(B8359=1,C8359&gt;1,E8358&lt;&gt;""),ABS(D8359-E8358),"")</f>
        <v/>
      </c>
    </row>
    <row r="8360">
      <c r="A8360" t="n">
        <v>8360</v>
      </c>
      <c r="B8360">
        <f>IF(INDEX('Data Entry'!$H$5:$BE$10004,8360-4,'Visual SPC'!$B$3)="",0,IF(AND(OR('Visual SPC'!$C$4="",'Data Entry'!$C8360&gt;='Visual SPC'!$C$4),OR('Visual SPC'!$E$4="",'Data Entry'!$C8360&lt;='Visual SPC'!$E$4),OR('Visual SPC'!$G$4="",'Data Entry'!$D8360='Visual SPC'!$G$4),OR('Visual SPC'!$I$4="",'Data Entry'!$E8360='Visual SPC'!$I$4),OR('Visual SPC'!$K$4="",'Data Entry'!$F8360='Visual SPC'!$K$4)),1,0))</f>
        <v/>
      </c>
      <c r="C8360">
        <f>C8359+B8360</f>
        <v/>
      </c>
      <c r="D8360">
        <f>IF(B8360=1,INDEX('Data Entry'!$H$5:$BE$10004,8360-4,'Visual SPC'!$B$3),"")</f>
        <v/>
      </c>
      <c r="E8360">
        <f>IF(B8360=1,D8360,E8359)</f>
        <v/>
      </c>
      <c r="F8360">
        <f>IF(AND(B8360=1,C8360&gt;1,E8359&lt;&gt;""),ABS(D8360-E8359),"")</f>
        <v/>
      </c>
    </row>
    <row r="8361">
      <c r="A8361" t="n">
        <v>8361</v>
      </c>
      <c r="B8361">
        <f>IF(INDEX('Data Entry'!$H$5:$BE$10004,8361-4,'Visual SPC'!$B$3)="",0,IF(AND(OR('Visual SPC'!$C$4="",'Data Entry'!$C8361&gt;='Visual SPC'!$C$4),OR('Visual SPC'!$E$4="",'Data Entry'!$C8361&lt;='Visual SPC'!$E$4),OR('Visual SPC'!$G$4="",'Data Entry'!$D8361='Visual SPC'!$G$4),OR('Visual SPC'!$I$4="",'Data Entry'!$E8361='Visual SPC'!$I$4),OR('Visual SPC'!$K$4="",'Data Entry'!$F8361='Visual SPC'!$K$4)),1,0))</f>
        <v/>
      </c>
      <c r="C8361">
        <f>C8360+B8361</f>
        <v/>
      </c>
      <c r="D8361">
        <f>IF(B8361=1,INDEX('Data Entry'!$H$5:$BE$10004,8361-4,'Visual SPC'!$B$3),"")</f>
        <v/>
      </c>
      <c r="E8361">
        <f>IF(B8361=1,D8361,E8360)</f>
        <v/>
      </c>
      <c r="F8361">
        <f>IF(AND(B8361=1,C8361&gt;1,E8360&lt;&gt;""),ABS(D8361-E8360),"")</f>
        <v/>
      </c>
    </row>
    <row r="8362">
      <c r="A8362" t="n">
        <v>8362</v>
      </c>
      <c r="B8362">
        <f>IF(INDEX('Data Entry'!$H$5:$BE$10004,8362-4,'Visual SPC'!$B$3)="",0,IF(AND(OR('Visual SPC'!$C$4="",'Data Entry'!$C8362&gt;='Visual SPC'!$C$4),OR('Visual SPC'!$E$4="",'Data Entry'!$C8362&lt;='Visual SPC'!$E$4),OR('Visual SPC'!$G$4="",'Data Entry'!$D8362='Visual SPC'!$G$4),OR('Visual SPC'!$I$4="",'Data Entry'!$E8362='Visual SPC'!$I$4),OR('Visual SPC'!$K$4="",'Data Entry'!$F8362='Visual SPC'!$K$4)),1,0))</f>
        <v/>
      </c>
      <c r="C8362">
        <f>C8361+B8362</f>
        <v/>
      </c>
      <c r="D8362">
        <f>IF(B8362=1,INDEX('Data Entry'!$H$5:$BE$10004,8362-4,'Visual SPC'!$B$3),"")</f>
        <v/>
      </c>
      <c r="E8362">
        <f>IF(B8362=1,D8362,E8361)</f>
        <v/>
      </c>
      <c r="F8362">
        <f>IF(AND(B8362=1,C8362&gt;1,E8361&lt;&gt;""),ABS(D8362-E8361),"")</f>
        <v/>
      </c>
    </row>
    <row r="8363">
      <c r="A8363" t="n">
        <v>8363</v>
      </c>
      <c r="B8363">
        <f>IF(INDEX('Data Entry'!$H$5:$BE$10004,8363-4,'Visual SPC'!$B$3)="",0,IF(AND(OR('Visual SPC'!$C$4="",'Data Entry'!$C8363&gt;='Visual SPC'!$C$4),OR('Visual SPC'!$E$4="",'Data Entry'!$C8363&lt;='Visual SPC'!$E$4),OR('Visual SPC'!$G$4="",'Data Entry'!$D8363='Visual SPC'!$G$4),OR('Visual SPC'!$I$4="",'Data Entry'!$E8363='Visual SPC'!$I$4),OR('Visual SPC'!$K$4="",'Data Entry'!$F8363='Visual SPC'!$K$4)),1,0))</f>
        <v/>
      </c>
      <c r="C8363">
        <f>C8362+B8363</f>
        <v/>
      </c>
      <c r="D8363">
        <f>IF(B8363=1,INDEX('Data Entry'!$H$5:$BE$10004,8363-4,'Visual SPC'!$B$3),"")</f>
        <v/>
      </c>
      <c r="E8363">
        <f>IF(B8363=1,D8363,E8362)</f>
        <v/>
      </c>
      <c r="F8363">
        <f>IF(AND(B8363=1,C8363&gt;1,E8362&lt;&gt;""),ABS(D8363-E8362),"")</f>
        <v/>
      </c>
    </row>
    <row r="8364">
      <c r="A8364" t="n">
        <v>8364</v>
      </c>
      <c r="B8364">
        <f>IF(INDEX('Data Entry'!$H$5:$BE$10004,8364-4,'Visual SPC'!$B$3)="",0,IF(AND(OR('Visual SPC'!$C$4="",'Data Entry'!$C8364&gt;='Visual SPC'!$C$4),OR('Visual SPC'!$E$4="",'Data Entry'!$C8364&lt;='Visual SPC'!$E$4),OR('Visual SPC'!$G$4="",'Data Entry'!$D8364='Visual SPC'!$G$4),OR('Visual SPC'!$I$4="",'Data Entry'!$E8364='Visual SPC'!$I$4),OR('Visual SPC'!$K$4="",'Data Entry'!$F8364='Visual SPC'!$K$4)),1,0))</f>
        <v/>
      </c>
      <c r="C8364">
        <f>C8363+B8364</f>
        <v/>
      </c>
      <c r="D8364">
        <f>IF(B8364=1,INDEX('Data Entry'!$H$5:$BE$10004,8364-4,'Visual SPC'!$B$3),"")</f>
        <v/>
      </c>
      <c r="E8364">
        <f>IF(B8364=1,D8364,E8363)</f>
        <v/>
      </c>
      <c r="F8364">
        <f>IF(AND(B8364=1,C8364&gt;1,E8363&lt;&gt;""),ABS(D8364-E8363),"")</f>
        <v/>
      </c>
    </row>
    <row r="8365">
      <c r="A8365" t="n">
        <v>8365</v>
      </c>
      <c r="B8365">
        <f>IF(INDEX('Data Entry'!$H$5:$BE$10004,8365-4,'Visual SPC'!$B$3)="",0,IF(AND(OR('Visual SPC'!$C$4="",'Data Entry'!$C8365&gt;='Visual SPC'!$C$4),OR('Visual SPC'!$E$4="",'Data Entry'!$C8365&lt;='Visual SPC'!$E$4),OR('Visual SPC'!$G$4="",'Data Entry'!$D8365='Visual SPC'!$G$4),OR('Visual SPC'!$I$4="",'Data Entry'!$E8365='Visual SPC'!$I$4),OR('Visual SPC'!$K$4="",'Data Entry'!$F8365='Visual SPC'!$K$4)),1,0))</f>
        <v/>
      </c>
      <c r="C8365">
        <f>C8364+B8365</f>
        <v/>
      </c>
      <c r="D8365">
        <f>IF(B8365=1,INDEX('Data Entry'!$H$5:$BE$10004,8365-4,'Visual SPC'!$B$3),"")</f>
        <v/>
      </c>
      <c r="E8365">
        <f>IF(B8365=1,D8365,E8364)</f>
        <v/>
      </c>
      <c r="F8365">
        <f>IF(AND(B8365=1,C8365&gt;1,E8364&lt;&gt;""),ABS(D8365-E8364),"")</f>
        <v/>
      </c>
    </row>
    <row r="8366">
      <c r="A8366" t="n">
        <v>8366</v>
      </c>
      <c r="B8366">
        <f>IF(INDEX('Data Entry'!$H$5:$BE$10004,8366-4,'Visual SPC'!$B$3)="",0,IF(AND(OR('Visual SPC'!$C$4="",'Data Entry'!$C8366&gt;='Visual SPC'!$C$4),OR('Visual SPC'!$E$4="",'Data Entry'!$C8366&lt;='Visual SPC'!$E$4),OR('Visual SPC'!$G$4="",'Data Entry'!$D8366='Visual SPC'!$G$4),OR('Visual SPC'!$I$4="",'Data Entry'!$E8366='Visual SPC'!$I$4),OR('Visual SPC'!$K$4="",'Data Entry'!$F8366='Visual SPC'!$K$4)),1,0))</f>
        <v/>
      </c>
      <c r="C8366">
        <f>C8365+B8366</f>
        <v/>
      </c>
      <c r="D8366">
        <f>IF(B8366=1,INDEX('Data Entry'!$H$5:$BE$10004,8366-4,'Visual SPC'!$B$3),"")</f>
        <v/>
      </c>
      <c r="E8366">
        <f>IF(B8366=1,D8366,E8365)</f>
        <v/>
      </c>
      <c r="F8366">
        <f>IF(AND(B8366=1,C8366&gt;1,E8365&lt;&gt;""),ABS(D8366-E8365),"")</f>
        <v/>
      </c>
    </row>
    <row r="8367">
      <c r="A8367" t="n">
        <v>8367</v>
      </c>
      <c r="B8367">
        <f>IF(INDEX('Data Entry'!$H$5:$BE$10004,8367-4,'Visual SPC'!$B$3)="",0,IF(AND(OR('Visual SPC'!$C$4="",'Data Entry'!$C8367&gt;='Visual SPC'!$C$4),OR('Visual SPC'!$E$4="",'Data Entry'!$C8367&lt;='Visual SPC'!$E$4),OR('Visual SPC'!$G$4="",'Data Entry'!$D8367='Visual SPC'!$G$4),OR('Visual SPC'!$I$4="",'Data Entry'!$E8367='Visual SPC'!$I$4),OR('Visual SPC'!$K$4="",'Data Entry'!$F8367='Visual SPC'!$K$4)),1,0))</f>
        <v/>
      </c>
      <c r="C8367">
        <f>C8366+B8367</f>
        <v/>
      </c>
      <c r="D8367">
        <f>IF(B8367=1,INDEX('Data Entry'!$H$5:$BE$10004,8367-4,'Visual SPC'!$B$3),"")</f>
        <v/>
      </c>
      <c r="E8367">
        <f>IF(B8367=1,D8367,E8366)</f>
        <v/>
      </c>
      <c r="F8367">
        <f>IF(AND(B8367=1,C8367&gt;1,E8366&lt;&gt;""),ABS(D8367-E8366),"")</f>
        <v/>
      </c>
    </row>
    <row r="8368">
      <c r="A8368" t="n">
        <v>8368</v>
      </c>
      <c r="B8368">
        <f>IF(INDEX('Data Entry'!$H$5:$BE$10004,8368-4,'Visual SPC'!$B$3)="",0,IF(AND(OR('Visual SPC'!$C$4="",'Data Entry'!$C8368&gt;='Visual SPC'!$C$4),OR('Visual SPC'!$E$4="",'Data Entry'!$C8368&lt;='Visual SPC'!$E$4),OR('Visual SPC'!$G$4="",'Data Entry'!$D8368='Visual SPC'!$G$4),OR('Visual SPC'!$I$4="",'Data Entry'!$E8368='Visual SPC'!$I$4),OR('Visual SPC'!$K$4="",'Data Entry'!$F8368='Visual SPC'!$K$4)),1,0))</f>
        <v/>
      </c>
      <c r="C8368">
        <f>C8367+B8368</f>
        <v/>
      </c>
      <c r="D8368">
        <f>IF(B8368=1,INDEX('Data Entry'!$H$5:$BE$10004,8368-4,'Visual SPC'!$B$3),"")</f>
        <v/>
      </c>
      <c r="E8368">
        <f>IF(B8368=1,D8368,E8367)</f>
        <v/>
      </c>
      <c r="F8368">
        <f>IF(AND(B8368=1,C8368&gt;1,E8367&lt;&gt;""),ABS(D8368-E8367),"")</f>
        <v/>
      </c>
    </row>
    <row r="8369">
      <c r="A8369" t="n">
        <v>8369</v>
      </c>
      <c r="B8369">
        <f>IF(INDEX('Data Entry'!$H$5:$BE$10004,8369-4,'Visual SPC'!$B$3)="",0,IF(AND(OR('Visual SPC'!$C$4="",'Data Entry'!$C8369&gt;='Visual SPC'!$C$4),OR('Visual SPC'!$E$4="",'Data Entry'!$C8369&lt;='Visual SPC'!$E$4),OR('Visual SPC'!$G$4="",'Data Entry'!$D8369='Visual SPC'!$G$4),OR('Visual SPC'!$I$4="",'Data Entry'!$E8369='Visual SPC'!$I$4),OR('Visual SPC'!$K$4="",'Data Entry'!$F8369='Visual SPC'!$K$4)),1,0))</f>
        <v/>
      </c>
      <c r="C8369">
        <f>C8368+B8369</f>
        <v/>
      </c>
      <c r="D8369">
        <f>IF(B8369=1,INDEX('Data Entry'!$H$5:$BE$10004,8369-4,'Visual SPC'!$B$3),"")</f>
        <v/>
      </c>
      <c r="E8369">
        <f>IF(B8369=1,D8369,E8368)</f>
        <v/>
      </c>
      <c r="F8369">
        <f>IF(AND(B8369=1,C8369&gt;1,E8368&lt;&gt;""),ABS(D8369-E8368),"")</f>
        <v/>
      </c>
    </row>
    <row r="8370">
      <c r="A8370" t="n">
        <v>8370</v>
      </c>
      <c r="B8370">
        <f>IF(INDEX('Data Entry'!$H$5:$BE$10004,8370-4,'Visual SPC'!$B$3)="",0,IF(AND(OR('Visual SPC'!$C$4="",'Data Entry'!$C8370&gt;='Visual SPC'!$C$4),OR('Visual SPC'!$E$4="",'Data Entry'!$C8370&lt;='Visual SPC'!$E$4),OR('Visual SPC'!$G$4="",'Data Entry'!$D8370='Visual SPC'!$G$4),OR('Visual SPC'!$I$4="",'Data Entry'!$E8370='Visual SPC'!$I$4),OR('Visual SPC'!$K$4="",'Data Entry'!$F8370='Visual SPC'!$K$4)),1,0))</f>
        <v/>
      </c>
      <c r="C8370">
        <f>C8369+B8370</f>
        <v/>
      </c>
      <c r="D8370">
        <f>IF(B8370=1,INDEX('Data Entry'!$H$5:$BE$10004,8370-4,'Visual SPC'!$B$3),"")</f>
        <v/>
      </c>
      <c r="E8370">
        <f>IF(B8370=1,D8370,E8369)</f>
        <v/>
      </c>
      <c r="F8370">
        <f>IF(AND(B8370=1,C8370&gt;1,E8369&lt;&gt;""),ABS(D8370-E8369),"")</f>
        <v/>
      </c>
    </row>
    <row r="8371">
      <c r="A8371" t="n">
        <v>8371</v>
      </c>
      <c r="B8371">
        <f>IF(INDEX('Data Entry'!$H$5:$BE$10004,8371-4,'Visual SPC'!$B$3)="",0,IF(AND(OR('Visual SPC'!$C$4="",'Data Entry'!$C8371&gt;='Visual SPC'!$C$4),OR('Visual SPC'!$E$4="",'Data Entry'!$C8371&lt;='Visual SPC'!$E$4),OR('Visual SPC'!$G$4="",'Data Entry'!$D8371='Visual SPC'!$G$4),OR('Visual SPC'!$I$4="",'Data Entry'!$E8371='Visual SPC'!$I$4),OR('Visual SPC'!$K$4="",'Data Entry'!$F8371='Visual SPC'!$K$4)),1,0))</f>
        <v/>
      </c>
      <c r="C8371">
        <f>C8370+B8371</f>
        <v/>
      </c>
      <c r="D8371">
        <f>IF(B8371=1,INDEX('Data Entry'!$H$5:$BE$10004,8371-4,'Visual SPC'!$B$3),"")</f>
        <v/>
      </c>
      <c r="E8371">
        <f>IF(B8371=1,D8371,E8370)</f>
        <v/>
      </c>
      <c r="F8371">
        <f>IF(AND(B8371=1,C8371&gt;1,E8370&lt;&gt;""),ABS(D8371-E8370),"")</f>
        <v/>
      </c>
    </row>
    <row r="8372">
      <c r="A8372" t="n">
        <v>8372</v>
      </c>
      <c r="B8372">
        <f>IF(INDEX('Data Entry'!$H$5:$BE$10004,8372-4,'Visual SPC'!$B$3)="",0,IF(AND(OR('Visual SPC'!$C$4="",'Data Entry'!$C8372&gt;='Visual SPC'!$C$4),OR('Visual SPC'!$E$4="",'Data Entry'!$C8372&lt;='Visual SPC'!$E$4),OR('Visual SPC'!$G$4="",'Data Entry'!$D8372='Visual SPC'!$G$4),OR('Visual SPC'!$I$4="",'Data Entry'!$E8372='Visual SPC'!$I$4),OR('Visual SPC'!$K$4="",'Data Entry'!$F8372='Visual SPC'!$K$4)),1,0))</f>
        <v/>
      </c>
      <c r="C8372">
        <f>C8371+B8372</f>
        <v/>
      </c>
      <c r="D8372">
        <f>IF(B8372=1,INDEX('Data Entry'!$H$5:$BE$10004,8372-4,'Visual SPC'!$B$3),"")</f>
        <v/>
      </c>
      <c r="E8372">
        <f>IF(B8372=1,D8372,E8371)</f>
        <v/>
      </c>
      <c r="F8372">
        <f>IF(AND(B8372=1,C8372&gt;1,E8371&lt;&gt;""),ABS(D8372-E8371),"")</f>
        <v/>
      </c>
    </row>
    <row r="8373">
      <c r="A8373" t="n">
        <v>8373</v>
      </c>
      <c r="B8373">
        <f>IF(INDEX('Data Entry'!$H$5:$BE$10004,8373-4,'Visual SPC'!$B$3)="",0,IF(AND(OR('Visual SPC'!$C$4="",'Data Entry'!$C8373&gt;='Visual SPC'!$C$4),OR('Visual SPC'!$E$4="",'Data Entry'!$C8373&lt;='Visual SPC'!$E$4),OR('Visual SPC'!$G$4="",'Data Entry'!$D8373='Visual SPC'!$G$4),OR('Visual SPC'!$I$4="",'Data Entry'!$E8373='Visual SPC'!$I$4),OR('Visual SPC'!$K$4="",'Data Entry'!$F8373='Visual SPC'!$K$4)),1,0))</f>
        <v/>
      </c>
      <c r="C8373">
        <f>C8372+B8373</f>
        <v/>
      </c>
      <c r="D8373">
        <f>IF(B8373=1,INDEX('Data Entry'!$H$5:$BE$10004,8373-4,'Visual SPC'!$B$3),"")</f>
        <v/>
      </c>
      <c r="E8373">
        <f>IF(B8373=1,D8373,E8372)</f>
        <v/>
      </c>
      <c r="F8373">
        <f>IF(AND(B8373=1,C8373&gt;1,E8372&lt;&gt;""),ABS(D8373-E8372),"")</f>
        <v/>
      </c>
    </row>
    <row r="8374">
      <c r="A8374" t="n">
        <v>8374</v>
      </c>
      <c r="B8374">
        <f>IF(INDEX('Data Entry'!$H$5:$BE$10004,8374-4,'Visual SPC'!$B$3)="",0,IF(AND(OR('Visual SPC'!$C$4="",'Data Entry'!$C8374&gt;='Visual SPC'!$C$4),OR('Visual SPC'!$E$4="",'Data Entry'!$C8374&lt;='Visual SPC'!$E$4),OR('Visual SPC'!$G$4="",'Data Entry'!$D8374='Visual SPC'!$G$4),OR('Visual SPC'!$I$4="",'Data Entry'!$E8374='Visual SPC'!$I$4),OR('Visual SPC'!$K$4="",'Data Entry'!$F8374='Visual SPC'!$K$4)),1,0))</f>
        <v/>
      </c>
      <c r="C8374">
        <f>C8373+B8374</f>
        <v/>
      </c>
      <c r="D8374">
        <f>IF(B8374=1,INDEX('Data Entry'!$H$5:$BE$10004,8374-4,'Visual SPC'!$B$3),"")</f>
        <v/>
      </c>
      <c r="E8374">
        <f>IF(B8374=1,D8374,E8373)</f>
        <v/>
      </c>
      <c r="F8374">
        <f>IF(AND(B8374=1,C8374&gt;1,E8373&lt;&gt;""),ABS(D8374-E8373),"")</f>
        <v/>
      </c>
    </row>
    <row r="8375">
      <c r="A8375" t="n">
        <v>8375</v>
      </c>
      <c r="B8375">
        <f>IF(INDEX('Data Entry'!$H$5:$BE$10004,8375-4,'Visual SPC'!$B$3)="",0,IF(AND(OR('Visual SPC'!$C$4="",'Data Entry'!$C8375&gt;='Visual SPC'!$C$4),OR('Visual SPC'!$E$4="",'Data Entry'!$C8375&lt;='Visual SPC'!$E$4),OR('Visual SPC'!$G$4="",'Data Entry'!$D8375='Visual SPC'!$G$4),OR('Visual SPC'!$I$4="",'Data Entry'!$E8375='Visual SPC'!$I$4),OR('Visual SPC'!$K$4="",'Data Entry'!$F8375='Visual SPC'!$K$4)),1,0))</f>
        <v/>
      </c>
      <c r="C8375">
        <f>C8374+B8375</f>
        <v/>
      </c>
      <c r="D8375">
        <f>IF(B8375=1,INDEX('Data Entry'!$H$5:$BE$10004,8375-4,'Visual SPC'!$B$3),"")</f>
        <v/>
      </c>
      <c r="E8375">
        <f>IF(B8375=1,D8375,E8374)</f>
        <v/>
      </c>
      <c r="F8375">
        <f>IF(AND(B8375=1,C8375&gt;1,E8374&lt;&gt;""),ABS(D8375-E8374),"")</f>
        <v/>
      </c>
    </row>
    <row r="8376">
      <c r="A8376" t="n">
        <v>8376</v>
      </c>
      <c r="B8376">
        <f>IF(INDEX('Data Entry'!$H$5:$BE$10004,8376-4,'Visual SPC'!$B$3)="",0,IF(AND(OR('Visual SPC'!$C$4="",'Data Entry'!$C8376&gt;='Visual SPC'!$C$4),OR('Visual SPC'!$E$4="",'Data Entry'!$C8376&lt;='Visual SPC'!$E$4),OR('Visual SPC'!$G$4="",'Data Entry'!$D8376='Visual SPC'!$G$4),OR('Visual SPC'!$I$4="",'Data Entry'!$E8376='Visual SPC'!$I$4),OR('Visual SPC'!$K$4="",'Data Entry'!$F8376='Visual SPC'!$K$4)),1,0))</f>
        <v/>
      </c>
      <c r="C8376">
        <f>C8375+B8376</f>
        <v/>
      </c>
      <c r="D8376">
        <f>IF(B8376=1,INDEX('Data Entry'!$H$5:$BE$10004,8376-4,'Visual SPC'!$B$3),"")</f>
        <v/>
      </c>
      <c r="E8376">
        <f>IF(B8376=1,D8376,E8375)</f>
        <v/>
      </c>
      <c r="F8376">
        <f>IF(AND(B8376=1,C8376&gt;1,E8375&lt;&gt;""),ABS(D8376-E8375),"")</f>
        <v/>
      </c>
    </row>
    <row r="8377">
      <c r="A8377" t="n">
        <v>8377</v>
      </c>
      <c r="B8377">
        <f>IF(INDEX('Data Entry'!$H$5:$BE$10004,8377-4,'Visual SPC'!$B$3)="",0,IF(AND(OR('Visual SPC'!$C$4="",'Data Entry'!$C8377&gt;='Visual SPC'!$C$4),OR('Visual SPC'!$E$4="",'Data Entry'!$C8377&lt;='Visual SPC'!$E$4),OR('Visual SPC'!$G$4="",'Data Entry'!$D8377='Visual SPC'!$G$4),OR('Visual SPC'!$I$4="",'Data Entry'!$E8377='Visual SPC'!$I$4),OR('Visual SPC'!$K$4="",'Data Entry'!$F8377='Visual SPC'!$K$4)),1,0))</f>
        <v/>
      </c>
      <c r="C8377">
        <f>C8376+B8377</f>
        <v/>
      </c>
      <c r="D8377">
        <f>IF(B8377=1,INDEX('Data Entry'!$H$5:$BE$10004,8377-4,'Visual SPC'!$B$3),"")</f>
        <v/>
      </c>
      <c r="E8377">
        <f>IF(B8377=1,D8377,E8376)</f>
        <v/>
      </c>
      <c r="F8377">
        <f>IF(AND(B8377=1,C8377&gt;1,E8376&lt;&gt;""),ABS(D8377-E8376),"")</f>
        <v/>
      </c>
    </row>
    <row r="8378">
      <c r="A8378" t="n">
        <v>8378</v>
      </c>
      <c r="B8378">
        <f>IF(INDEX('Data Entry'!$H$5:$BE$10004,8378-4,'Visual SPC'!$B$3)="",0,IF(AND(OR('Visual SPC'!$C$4="",'Data Entry'!$C8378&gt;='Visual SPC'!$C$4),OR('Visual SPC'!$E$4="",'Data Entry'!$C8378&lt;='Visual SPC'!$E$4),OR('Visual SPC'!$G$4="",'Data Entry'!$D8378='Visual SPC'!$G$4),OR('Visual SPC'!$I$4="",'Data Entry'!$E8378='Visual SPC'!$I$4),OR('Visual SPC'!$K$4="",'Data Entry'!$F8378='Visual SPC'!$K$4)),1,0))</f>
        <v/>
      </c>
      <c r="C8378">
        <f>C8377+B8378</f>
        <v/>
      </c>
      <c r="D8378">
        <f>IF(B8378=1,INDEX('Data Entry'!$H$5:$BE$10004,8378-4,'Visual SPC'!$B$3),"")</f>
        <v/>
      </c>
      <c r="E8378">
        <f>IF(B8378=1,D8378,E8377)</f>
        <v/>
      </c>
      <c r="F8378">
        <f>IF(AND(B8378=1,C8378&gt;1,E8377&lt;&gt;""),ABS(D8378-E8377),"")</f>
        <v/>
      </c>
    </row>
    <row r="8379">
      <c r="A8379" t="n">
        <v>8379</v>
      </c>
      <c r="B8379">
        <f>IF(INDEX('Data Entry'!$H$5:$BE$10004,8379-4,'Visual SPC'!$B$3)="",0,IF(AND(OR('Visual SPC'!$C$4="",'Data Entry'!$C8379&gt;='Visual SPC'!$C$4),OR('Visual SPC'!$E$4="",'Data Entry'!$C8379&lt;='Visual SPC'!$E$4),OR('Visual SPC'!$G$4="",'Data Entry'!$D8379='Visual SPC'!$G$4),OR('Visual SPC'!$I$4="",'Data Entry'!$E8379='Visual SPC'!$I$4),OR('Visual SPC'!$K$4="",'Data Entry'!$F8379='Visual SPC'!$K$4)),1,0))</f>
        <v/>
      </c>
      <c r="C8379">
        <f>C8378+B8379</f>
        <v/>
      </c>
      <c r="D8379">
        <f>IF(B8379=1,INDEX('Data Entry'!$H$5:$BE$10004,8379-4,'Visual SPC'!$B$3),"")</f>
        <v/>
      </c>
      <c r="E8379">
        <f>IF(B8379=1,D8379,E8378)</f>
        <v/>
      </c>
      <c r="F8379">
        <f>IF(AND(B8379=1,C8379&gt;1,E8378&lt;&gt;""),ABS(D8379-E8378),"")</f>
        <v/>
      </c>
    </row>
    <row r="8380">
      <c r="A8380" t="n">
        <v>8380</v>
      </c>
      <c r="B8380">
        <f>IF(INDEX('Data Entry'!$H$5:$BE$10004,8380-4,'Visual SPC'!$B$3)="",0,IF(AND(OR('Visual SPC'!$C$4="",'Data Entry'!$C8380&gt;='Visual SPC'!$C$4),OR('Visual SPC'!$E$4="",'Data Entry'!$C8380&lt;='Visual SPC'!$E$4),OR('Visual SPC'!$G$4="",'Data Entry'!$D8380='Visual SPC'!$G$4),OR('Visual SPC'!$I$4="",'Data Entry'!$E8380='Visual SPC'!$I$4),OR('Visual SPC'!$K$4="",'Data Entry'!$F8380='Visual SPC'!$K$4)),1,0))</f>
        <v/>
      </c>
      <c r="C8380">
        <f>C8379+B8380</f>
        <v/>
      </c>
      <c r="D8380">
        <f>IF(B8380=1,INDEX('Data Entry'!$H$5:$BE$10004,8380-4,'Visual SPC'!$B$3),"")</f>
        <v/>
      </c>
      <c r="E8380">
        <f>IF(B8380=1,D8380,E8379)</f>
        <v/>
      </c>
      <c r="F8380">
        <f>IF(AND(B8380=1,C8380&gt;1,E8379&lt;&gt;""),ABS(D8380-E8379),"")</f>
        <v/>
      </c>
    </row>
    <row r="8381">
      <c r="A8381" t="n">
        <v>8381</v>
      </c>
      <c r="B8381">
        <f>IF(INDEX('Data Entry'!$H$5:$BE$10004,8381-4,'Visual SPC'!$B$3)="",0,IF(AND(OR('Visual SPC'!$C$4="",'Data Entry'!$C8381&gt;='Visual SPC'!$C$4),OR('Visual SPC'!$E$4="",'Data Entry'!$C8381&lt;='Visual SPC'!$E$4),OR('Visual SPC'!$G$4="",'Data Entry'!$D8381='Visual SPC'!$G$4),OR('Visual SPC'!$I$4="",'Data Entry'!$E8381='Visual SPC'!$I$4),OR('Visual SPC'!$K$4="",'Data Entry'!$F8381='Visual SPC'!$K$4)),1,0))</f>
        <v/>
      </c>
      <c r="C8381">
        <f>C8380+B8381</f>
        <v/>
      </c>
      <c r="D8381">
        <f>IF(B8381=1,INDEX('Data Entry'!$H$5:$BE$10004,8381-4,'Visual SPC'!$B$3),"")</f>
        <v/>
      </c>
      <c r="E8381">
        <f>IF(B8381=1,D8381,E8380)</f>
        <v/>
      </c>
      <c r="F8381">
        <f>IF(AND(B8381=1,C8381&gt;1,E8380&lt;&gt;""),ABS(D8381-E8380),"")</f>
        <v/>
      </c>
    </row>
    <row r="8382">
      <c r="A8382" t="n">
        <v>8382</v>
      </c>
      <c r="B8382">
        <f>IF(INDEX('Data Entry'!$H$5:$BE$10004,8382-4,'Visual SPC'!$B$3)="",0,IF(AND(OR('Visual SPC'!$C$4="",'Data Entry'!$C8382&gt;='Visual SPC'!$C$4),OR('Visual SPC'!$E$4="",'Data Entry'!$C8382&lt;='Visual SPC'!$E$4),OR('Visual SPC'!$G$4="",'Data Entry'!$D8382='Visual SPC'!$G$4),OR('Visual SPC'!$I$4="",'Data Entry'!$E8382='Visual SPC'!$I$4),OR('Visual SPC'!$K$4="",'Data Entry'!$F8382='Visual SPC'!$K$4)),1,0))</f>
        <v/>
      </c>
      <c r="C8382">
        <f>C8381+B8382</f>
        <v/>
      </c>
      <c r="D8382">
        <f>IF(B8382=1,INDEX('Data Entry'!$H$5:$BE$10004,8382-4,'Visual SPC'!$B$3),"")</f>
        <v/>
      </c>
      <c r="E8382">
        <f>IF(B8382=1,D8382,E8381)</f>
        <v/>
      </c>
      <c r="F8382">
        <f>IF(AND(B8382=1,C8382&gt;1,E8381&lt;&gt;""),ABS(D8382-E8381),"")</f>
        <v/>
      </c>
    </row>
    <row r="8383">
      <c r="A8383" t="n">
        <v>8383</v>
      </c>
      <c r="B8383">
        <f>IF(INDEX('Data Entry'!$H$5:$BE$10004,8383-4,'Visual SPC'!$B$3)="",0,IF(AND(OR('Visual SPC'!$C$4="",'Data Entry'!$C8383&gt;='Visual SPC'!$C$4),OR('Visual SPC'!$E$4="",'Data Entry'!$C8383&lt;='Visual SPC'!$E$4),OR('Visual SPC'!$G$4="",'Data Entry'!$D8383='Visual SPC'!$G$4),OR('Visual SPC'!$I$4="",'Data Entry'!$E8383='Visual SPC'!$I$4),OR('Visual SPC'!$K$4="",'Data Entry'!$F8383='Visual SPC'!$K$4)),1,0))</f>
        <v/>
      </c>
      <c r="C8383">
        <f>C8382+B8383</f>
        <v/>
      </c>
      <c r="D8383">
        <f>IF(B8383=1,INDEX('Data Entry'!$H$5:$BE$10004,8383-4,'Visual SPC'!$B$3),"")</f>
        <v/>
      </c>
      <c r="E8383">
        <f>IF(B8383=1,D8383,E8382)</f>
        <v/>
      </c>
      <c r="F8383">
        <f>IF(AND(B8383=1,C8383&gt;1,E8382&lt;&gt;""),ABS(D8383-E8382),"")</f>
        <v/>
      </c>
    </row>
    <row r="8384">
      <c r="A8384" t="n">
        <v>8384</v>
      </c>
      <c r="B8384">
        <f>IF(INDEX('Data Entry'!$H$5:$BE$10004,8384-4,'Visual SPC'!$B$3)="",0,IF(AND(OR('Visual SPC'!$C$4="",'Data Entry'!$C8384&gt;='Visual SPC'!$C$4),OR('Visual SPC'!$E$4="",'Data Entry'!$C8384&lt;='Visual SPC'!$E$4),OR('Visual SPC'!$G$4="",'Data Entry'!$D8384='Visual SPC'!$G$4),OR('Visual SPC'!$I$4="",'Data Entry'!$E8384='Visual SPC'!$I$4),OR('Visual SPC'!$K$4="",'Data Entry'!$F8384='Visual SPC'!$K$4)),1,0))</f>
        <v/>
      </c>
      <c r="C8384">
        <f>C8383+B8384</f>
        <v/>
      </c>
      <c r="D8384">
        <f>IF(B8384=1,INDEX('Data Entry'!$H$5:$BE$10004,8384-4,'Visual SPC'!$B$3),"")</f>
        <v/>
      </c>
      <c r="E8384">
        <f>IF(B8384=1,D8384,E8383)</f>
        <v/>
      </c>
      <c r="F8384">
        <f>IF(AND(B8384=1,C8384&gt;1,E8383&lt;&gt;""),ABS(D8384-E8383),"")</f>
        <v/>
      </c>
    </row>
    <row r="8385">
      <c r="A8385" t="n">
        <v>8385</v>
      </c>
      <c r="B8385">
        <f>IF(INDEX('Data Entry'!$H$5:$BE$10004,8385-4,'Visual SPC'!$B$3)="",0,IF(AND(OR('Visual SPC'!$C$4="",'Data Entry'!$C8385&gt;='Visual SPC'!$C$4),OR('Visual SPC'!$E$4="",'Data Entry'!$C8385&lt;='Visual SPC'!$E$4),OR('Visual SPC'!$G$4="",'Data Entry'!$D8385='Visual SPC'!$G$4),OR('Visual SPC'!$I$4="",'Data Entry'!$E8385='Visual SPC'!$I$4),OR('Visual SPC'!$K$4="",'Data Entry'!$F8385='Visual SPC'!$K$4)),1,0))</f>
        <v/>
      </c>
      <c r="C8385">
        <f>C8384+B8385</f>
        <v/>
      </c>
      <c r="D8385">
        <f>IF(B8385=1,INDEX('Data Entry'!$H$5:$BE$10004,8385-4,'Visual SPC'!$B$3),"")</f>
        <v/>
      </c>
      <c r="E8385">
        <f>IF(B8385=1,D8385,E8384)</f>
        <v/>
      </c>
      <c r="F8385">
        <f>IF(AND(B8385=1,C8385&gt;1,E8384&lt;&gt;""),ABS(D8385-E8384),"")</f>
        <v/>
      </c>
    </row>
    <row r="8386">
      <c r="A8386" t="n">
        <v>8386</v>
      </c>
      <c r="B8386">
        <f>IF(INDEX('Data Entry'!$H$5:$BE$10004,8386-4,'Visual SPC'!$B$3)="",0,IF(AND(OR('Visual SPC'!$C$4="",'Data Entry'!$C8386&gt;='Visual SPC'!$C$4),OR('Visual SPC'!$E$4="",'Data Entry'!$C8386&lt;='Visual SPC'!$E$4),OR('Visual SPC'!$G$4="",'Data Entry'!$D8386='Visual SPC'!$G$4),OR('Visual SPC'!$I$4="",'Data Entry'!$E8386='Visual SPC'!$I$4),OR('Visual SPC'!$K$4="",'Data Entry'!$F8386='Visual SPC'!$K$4)),1,0))</f>
        <v/>
      </c>
      <c r="C8386">
        <f>C8385+B8386</f>
        <v/>
      </c>
      <c r="D8386">
        <f>IF(B8386=1,INDEX('Data Entry'!$H$5:$BE$10004,8386-4,'Visual SPC'!$B$3),"")</f>
        <v/>
      </c>
      <c r="E8386">
        <f>IF(B8386=1,D8386,E8385)</f>
        <v/>
      </c>
      <c r="F8386">
        <f>IF(AND(B8386=1,C8386&gt;1,E8385&lt;&gt;""),ABS(D8386-E8385),"")</f>
        <v/>
      </c>
    </row>
    <row r="8387">
      <c r="A8387" t="n">
        <v>8387</v>
      </c>
      <c r="B8387">
        <f>IF(INDEX('Data Entry'!$H$5:$BE$10004,8387-4,'Visual SPC'!$B$3)="",0,IF(AND(OR('Visual SPC'!$C$4="",'Data Entry'!$C8387&gt;='Visual SPC'!$C$4),OR('Visual SPC'!$E$4="",'Data Entry'!$C8387&lt;='Visual SPC'!$E$4),OR('Visual SPC'!$G$4="",'Data Entry'!$D8387='Visual SPC'!$G$4),OR('Visual SPC'!$I$4="",'Data Entry'!$E8387='Visual SPC'!$I$4),OR('Visual SPC'!$K$4="",'Data Entry'!$F8387='Visual SPC'!$K$4)),1,0))</f>
        <v/>
      </c>
      <c r="C8387">
        <f>C8386+B8387</f>
        <v/>
      </c>
      <c r="D8387">
        <f>IF(B8387=1,INDEX('Data Entry'!$H$5:$BE$10004,8387-4,'Visual SPC'!$B$3),"")</f>
        <v/>
      </c>
      <c r="E8387">
        <f>IF(B8387=1,D8387,E8386)</f>
        <v/>
      </c>
      <c r="F8387">
        <f>IF(AND(B8387=1,C8387&gt;1,E8386&lt;&gt;""),ABS(D8387-E8386),"")</f>
        <v/>
      </c>
    </row>
    <row r="8388">
      <c r="A8388" t="n">
        <v>8388</v>
      </c>
      <c r="B8388">
        <f>IF(INDEX('Data Entry'!$H$5:$BE$10004,8388-4,'Visual SPC'!$B$3)="",0,IF(AND(OR('Visual SPC'!$C$4="",'Data Entry'!$C8388&gt;='Visual SPC'!$C$4),OR('Visual SPC'!$E$4="",'Data Entry'!$C8388&lt;='Visual SPC'!$E$4),OR('Visual SPC'!$G$4="",'Data Entry'!$D8388='Visual SPC'!$G$4),OR('Visual SPC'!$I$4="",'Data Entry'!$E8388='Visual SPC'!$I$4),OR('Visual SPC'!$K$4="",'Data Entry'!$F8388='Visual SPC'!$K$4)),1,0))</f>
        <v/>
      </c>
      <c r="C8388">
        <f>C8387+B8388</f>
        <v/>
      </c>
      <c r="D8388">
        <f>IF(B8388=1,INDEX('Data Entry'!$H$5:$BE$10004,8388-4,'Visual SPC'!$B$3),"")</f>
        <v/>
      </c>
      <c r="E8388">
        <f>IF(B8388=1,D8388,E8387)</f>
        <v/>
      </c>
      <c r="F8388">
        <f>IF(AND(B8388=1,C8388&gt;1,E8387&lt;&gt;""),ABS(D8388-E8387),"")</f>
        <v/>
      </c>
    </row>
    <row r="8389">
      <c r="A8389" t="n">
        <v>8389</v>
      </c>
      <c r="B8389">
        <f>IF(INDEX('Data Entry'!$H$5:$BE$10004,8389-4,'Visual SPC'!$B$3)="",0,IF(AND(OR('Visual SPC'!$C$4="",'Data Entry'!$C8389&gt;='Visual SPC'!$C$4),OR('Visual SPC'!$E$4="",'Data Entry'!$C8389&lt;='Visual SPC'!$E$4),OR('Visual SPC'!$G$4="",'Data Entry'!$D8389='Visual SPC'!$G$4),OR('Visual SPC'!$I$4="",'Data Entry'!$E8389='Visual SPC'!$I$4),OR('Visual SPC'!$K$4="",'Data Entry'!$F8389='Visual SPC'!$K$4)),1,0))</f>
        <v/>
      </c>
      <c r="C8389">
        <f>C8388+B8389</f>
        <v/>
      </c>
      <c r="D8389">
        <f>IF(B8389=1,INDEX('Data Entry'!$H$5:$BE$10004,8389-4,'Visual SPC'!$B$3),"")</f>
        <v/>
      </c>
      <c r="E8389">
        <f>IF(B8389=1,D8389,E8388)</f>
        <v/>
      </c>
      <c r="F8389">
        <f>IF(AND(B8389=1,C8389&gt;1,E8388&lt;&gt;""),ABS(D8389-E8388),"")</f>
        <v/>
      </c>
    </row>
    <row r="8390">
      <c r="A8390" t="n">
        <v>8390</v>
      </c>
      <c r="B8390">
        <f>IF(INDEX('Data Entry'!$H$5:$BE$10004,8390-4,'Visual SPC'!$B$3)="",0,IF(AND(OR('Visual SPC'!$C$4="",'Data Entry'!$C8390&gt;='Visual SPC'!$C$4),OR('Visual SPC'!$E$4="",'Data Entry'!$C8390&lt;='Visual SPC'!$E$4),OR('Visual SPC'!$G$4="",'Data Entry'!$D8390='Visual SPC'!$G$4),OR('Visual SPC'!$I$4="",'Data Entry'!$E8390='Visual SPC'!$I$4),OR('Visual SPC'!$K$4="",'Data Entry'!$F8390='Visual SPC'!$K$4)),1,0))</f>
        <v/>
      </c>
      <c r="C8390">
        <f>C8389+B8390</f>
        <v/>
      </c>
      <c r="D8390">
        <f>IF(B8390=1,INDEX('Data Entry'!$H$5:$BE$10004,8390-4,'Visual SPC'!$B$3),"")</f>
        <v/>
      </c>
      <c r="E8390">
        <f>IF(B8390=1,D8390,E8389)</f>
        <v/>
      </c>
      <c r="F8390">
        <f>IF(AND(B8390=1,C8390&gt;1,E8389&lt;&gt;""),ABS(D8390-E8389),"")</f>
        <v/>
      </c>
    </row>
    <row r="8391">
      <c r="A8391" t="n">
        <v>8391</v>
      </c>
      <c r="B8391">
        <f>IF(INDEX('Data Entry'!$H$5:$BE$10004,8391-4,'Visual SPC'!$B$3)="",0,IF(AND(OR('Visual SPC'!$C$4="",'Data Entry'!$C8391&gt;='Visual SPC'!$C$4),OR('Visual SPC'!$E$4="",'Data Entry'!$C8391&lt;='Visual SPC'!$E$4),OR('Visual SPC'!$G$4="",'Data Entry'!$D8391='Visual SPC'!$G$4),OR('Visual SPC'!$I$4="",'Data Entry'!$E8391='Visual SPC'!$I$4),OR('Visual SPC'!$K$4="",'Data Entry'!$F8391='Visual SPC'!$K$4)),1,0))</f>
        <v/>
      </c>
      <c r="C8391">
        <f>C8390+B8391</f>
        <v/>
      </c>
      <c r="D8391">
        <f>IF(B8391=1,INDEX('Data Entry'!$H$5:$BE$10004,8391-4,'Visual SPC'!$B$3),"")</f>
        <v/>
      </c>
      <c r="E8391">
        <f>IF(B8391=1,D8391,E8390)</f>
        <v/>
      </c>
      <c r="F8391">
        <f>IF(AND(B8391=1,C8391&gt;1,E8390&lt;&gt;""),ABS(D8391-E8390),"")</f>
        <v/>
      </c>
    </row>
    <row r="8392">
      <c r="A8392" t="n">
        <v>8392</v>
      </c>
      <c r="B8392">
        <f>IF(INDEX('Data Entry'!$H$5:$BE$10004,8392-4,'Visual SPC'!$B$3)="",0,IF(AND(OR('Visual SPC'!$C$4="",'Data Entry'!$C8392&gt;='Visual SPC'!$C$4),OR('Visual SPC'!$E$4="",'Data Entry'!$C8392&lt;='Visual SPC'!$E$4),OR('Visual SPC'!$G$4="",'Data Entry'!$D8392='Visual SPC'!$G$4),OR('Visual SPC'!$I$4="",'Data Entry'!$E8392='Visual SPC'!$I$4),OR('Visual SPC'!$K$4="",'Data Entry'!$F8392='Visual SPC'!$K$4)),1,0))</f>
        <v/>
      </c>
      <c r="C8392">
        <f>C8391+B8392</f>
        <v/>
      </c>
      <c r="D8392">
        <f>IF(B8392=1,INDEX('Data Entry'!$H$5:$BE$10004,8392-4,'Visual SPC'!$B$3),"")</f>
        <v/>
      </c>
      <c r="E8392">
        <f>IF(B8392=1,D8392,E8391)</f>
        <v/>
      </c>
      <c r="F8392">
        <f>IF(AND(B8392=1,C8392&gt;1,E8391&lt;&gt;""),ABS(D8392-E8391),"")</f>
        <v/>
      </c>
    </row>
    <row r="8393">
      <c r="A8393" t="n">
        <v>8393</v>
      </c>
      <c r="B8393">
        <f>IF(INDEX('Data Entry'!$H$5:$BE$10004,8393-4,'Visual SPC'!$B$3)="",0,IF(AND(OR('Visual SPC'!$C$4="",'Data Entry'!$C8393&gt;='Visual SPC'!$C$4),OR('Visual SPC'!$E$4="",'Data Entry'!$C8393&lt;='Visual SPC'!$E$4),OR('Visual SPC'!$G$4="",'Data Entry'!$D8393='Visual SPC'!$G$4),OR('Visual SPC'!$I$4="",'Data Entry'!$E8393='Visual SPC'!$I$4),OR('Visual SPC'!$K$4="",'Data Entry'!$F8393='Visual SPC'!$K$4)),1,0))</f>
        <v/>
      </c>
      <c r="C8393">
        <f>C8392+B8393</f>
        <v/>
      </c>
      <c r="D8393">
        <f>IF(B8393=1,INDEX('Data Entry'!$H$5:$BE$10004,8393-4,'Visual SPC'!$B$3),"")</f>
        <v/>
      </c>
      <c r="E8393">
        <f>IF(B8393=1,D8393,E8392)</f>
        <v/>
      </c>
      <c r="F8393">
        <f>IF(AND(B8393=1,C8393&gt;1,E8392&lt;&gt;""),ABS(D8393-E8392),"")</f>
        <v/>
      </c>
    </row>
    <row r="8394">
      <c r="A8394" t="n">
        <v>8394</v>
      </c>
      <c r="B8394">
        <f>IF(INDEX('Data Entry'!$H$5:$BE$10004,8394-4,'Visual SPC'!$B$3)="",0,IF(AND(OR('Visual SPC'!$C$4="",'Data Entry'!$C8394&gt;='Visual SPC'!$C$4),OR('Visual SPC'!$E$4="",'Data Entry'!$C8394&lt;='Visual SPC'!$E$4),OR('Visual SPC'!$G$4="",'Data Entry'!$D8394='Visual SPC'!$G$4),OR('Visual SPC'!$I$4="",'Data Entry'!$E8394='Visual SPC'!$I$4),OR('Visual SPC'!$K$4="",'Data Entry'!$F8394='Visual SPC'!$K$4)),1,0))</f>
        <v/>
      </c>
      <c r="C8394">
        <f>C8393+B8394</f>
        <v/>
      </c>
      <c r="D8394">
        <f>IF(B8394=1,INDEX('Data Entry'!$H$5:$BE$10004,8394-4,'Visual SPC'!$B$3),"")</f>
        <v/>
      </c>
      <c r="E8394">
        <f>IF(B8394=1,D8394,E8393)</f>
        <v/>
      </c>
      <c r="F8394">
        <f>IF(AND(B8394=1,C8394&gt;1,E8393&lt;&gt;""),ABS(D8394-E8393),"")</f>
        <v/>
      </c>
    </row>
    <row r="8395">
      <c r="A8395" t="n">
        <v>8395</v>
      </c>
      <c r="B8395">
        <f>IF(INDEX('Data Entry'!$H$5:$BE$10004,8395-4,'Visual SPC'!$B$3)="",0,IF(AND(OR('Visual SPC'!$C$4="",'Data Entry'!$C8395&gt;='Visual SPC'!$C$4),OR('Visual SPC'!$E$4="",'Data Entry'!$C8395&lt;='Visual SPC'!$E$4),OR('Visual SPC'!$G$4="",'Data Entry'!$D8395='Visual SPC'!$G$4),OR('Visual SPC'!$I$4="",'Data Entry'!$E8395='Visual SPC'!$I$4),OR('Visual SPC'!$K$4="",'Data Entry'!$F8395='Visual SPC'!$K$4)),1,0))</f>
        <v/>
      </c>
      <c r="C8395">
        <f>C8394+B8395</f>
        <v/>
      </c>
      <c r="D8395">
        <f>IF(B8395=1,INDEX('Data Entry'!$H$5:$BE$10004,8395-4,'Visual SPC'!$B$3),"")</f>
        <v/>
      </c>
      <c r="E8395">
        <f>IF(B8395=1,D8395,E8394)</f>
        <v/>
      </c>
      <c r="F8395">
        <f>IF(AND(B8395=1,C8395&gt;1,E8394&lt;&gt;""),ABS(D8395-E8394),"")</f>
        <v/>
      </c>
    </row>
    <row r="8396">
      <c r="A8396" t="n">
        <v>8396</v>
      </c>
      <c r="B8396">
        <f>IF(INDEX('Data Entry'!$H$5:$BE$10004,8396-4,'Visual SPC'!$B$3)="",0,IF(AND(OR('Visual SPC'!$C$4="",'Data Entry'!$C8396&gt;='Visual SPC'!$C$4),OR('Visual SPC'!$E$4="",'Data Entry'!$C8396&lt;='Visual SPC'!$E$4),OR('Visual SPC'!$G$4="",'Data Entry'!$D8396='Visual SPC'!$G$4),OR('Visual SPC'!$I$4="",'Data Entry'!$E8396='Visual SPC'!$I$4),OR('Visual SPC'!$K$4="",'Data Entry'!$F8396='Visual SPC'!$K$4)),1,0))</f>
        <v/>
      </c>
      <c r="C8396">
        <f>C8395+B8396</f>
        <v/>
      </c>
      <c r="D8396">
        <f>IF(B8396=1,INDEX('Data Entry'!$H$5:$BE$10004,8396-4,'Visual SPC'!$B$3),"")</f>
        <v/>
      </c>
      <c r="E8396">
        <f>IF(B8396=1,D8396,E8395)</f>
        <v/>
      </c>
      <c r="F8396">
        <f>IF(AND(B8396=1,C8396&gt;1,E8395&lt;&gt;""),ABS(D8396-E8395),"")</f>
        <v/>
      </c>
    </row>
    <row r="8397">
      <c r="A8397" t="n">
        <v>8397</v>
      </c>
      <c r="B8397">
        <f>IF(INDEX('Data Entry'!$H$5:$BE$10004,8397-4,'Visual SPC'!$B$3)="",0,IF(AND(OR('Visual SPC'!$C$4="",'Data Entry'!$C8397&gt;='Visual SPC'!$C$4),OR('Visual SPC'!$E$4="",'Data Entry'!$C8397&lt;='Visual SPC'!$E$4),OR('Visual SPC'!$G$4="",'Data Entry'!$D8397='Visual SPC'!$G$4),OR('Visual SPC'!$I$4="",'Data Entry'!$E8397='Visual SPC'!$I$4),OR('Visual SPC'!$K$4="",'Data Entry'!$F8397='Visual SPC'!$K$4)),1,0))</f>
        <v/>
      </c>
      <c r="C8397">
        <f>C8396+B8397</f>
        <v/>
      </c>
      <c r="D8397">
        <f>IF(B8397=1,INDEX('Data Entry'!$H$5:$BE$10004,8397-4,'Visual SPC'!$B$3),"")</f>
        <v/>
      </c>
      <c r="E8397">
        <f>IF(B8397=1,D8397,E8396)</f>
        <v/>
      </c>
      <c r="F8397">
        <f>IF(AND(B8397=1,C8397&gt;1,E8396&lt;&gt;""),ABS(D8397-E8396),"")</f>
        <v/>
      </c>
    </row>
    <row r="8398">
      <c r="A8398" t="n">
        <v>8398</v>
      </c>
      <c r="B8398">
        <f>IF(INDEX('Data Entry'!$H$5:$BE$10004,8398-4,'Visual SPC'!$B$3)="",0,IF(AND(OR('Visual SPC'!$C$4="",'Data Entry'!$C8398&gt;='Visual SPC'!$C$4),OR('Visual SPC'!$E$4="",'Data Entry'!$C8398&lt;='Visual SPC'!$E$4),OR('Visual SPC'!$G$4="",'Data Entry'!$D8398='Visual SPC'!$G$4),OR('Visual SPC'!$I$4="",'Data Entry'!$E8398='Visual SPC'!$I$4),OR('Visual SPC'!$K$4="",'Data Entry'!$F8398='Visual SPC'!$K$4)),1,0))</f>
        <v/>
      </c>
      <c r="C8398">
        <f>C8397+B8398</f>
        <v/>
      </c>
      <c r="D8398">
        <f>IF(B8398=1,INDEX('Data Entry'!$H$5:$BE$10004,8398-4,'Visual SPC'!$B$3),"")</f>
        <v/>
      </c>
      <c r="E8398">
        <f>IF(B8398=1,D8398,E8397)</f>
        <v/>
      </c>
      <c r="F8398">
        <f>IF(AND(B8398=1,C8398&gt;1,E8397&lt;&gt;""),ABS(D8398-E8397),"")</f>
        <v/>
      </c>
    </row>
    <row r="8399">
      <c r="A8399" t="n">
        <v>8399</v>
      </c>
      <c r="B8399">
        <f>IF(INDEX('Data Entry'!$H$5:$BE$10004,8399-4,'Visual SPC'!$B$3)="",0,IF(AND(OR('Visual SPC'!$C$4="",'Data Entry'!$C8399&gt;='Visual SPC'!$C$4),OR('Visual SPC'!$E$4="",'Data Entry'!$C8399&lt;='Visual SPC'!$E$4),OR('Visual SPC'!$G$4="",'Data Entry'!$D8399='Visual SPC'!$G$4),OR('Visual SPC'!$I$4="",'Data Entry'!$E8399='Visual SPC'!$I$4),OR('Visual SPC'!$K$4="",'Data Entry'!$F8399='Visual SPC'!$K$4)),1,0))</f>
        <v/>
      </c>
      <c r="C8399">
        <f>C8398+B8399</f>
        <v/>
      </c>
      <c r="D8399">
        <f>IF(B8399=1,INDEX('Data Entry'!$H$5:$BE$10004,8399-4,'Visual SPC'!$B$3),"")</f>
        <v/>
      </c>
      <c r="E8399">
        <f>IF(B8399=1,D8399,E8398)</f>
        <v/>
      </c>
      <c r="F8399">
        <f>IF(AND(B8399=1,C8399&gt;1,E8398&lt;&gt;""),ABS(D8399-E8398),"")</f>
        <v/>
      </c>
    </row>
    <row r="8400">
      <c r="A8400" t="n">
        <v>8400</v>
      </c>
      <c r="B8400">
        <f>IF(INDEX('Data Entry'!$H$5:$BE$10004,8400-4,'Visual SPC'!$B$3)="",0,IF(AND(OR('Visual SPC'!$C$4="",'Data Entry'!$C8400&gt;='Visual SPC'!$C$4),OR('Visual SPC'!$E$4="",'Data Entry'!$C8400&lt;='Visual SPC'!$E$4),OR('Visual SPC'!$G$4="",'Data Entry'!$D8400='Visual SPC'!$G$4),OR('Visual SPC'!$I$4="",'Data Entry'!$E8400='Visual SPC'!$I$4),OR('Visual SPC'!$K$4="",'Data Entry'!$F8400='Visual SPC'!$K$4)),1,0))</f>
        <v/>
      </c>
      <c r="C8400">
        <f>C8399+B8400</f>
        <v/>
      </c>
      <c r="D8400">
        <f>IF(B8400=1,INDEX('Data Entry'!$H$5:$BE$10004,8400-4,'Visual SPC'!$B$3),"")</f>
        <v/>
      </c>
      <c r="E8400">
        <f>IF(B8400=1,D8400,E8399)</f>
        <v/>
      </c>
      <c r="F8400">
        <f>IF(AND(B8400=1,C8400&gt;1,E8399&lt;&gt;""),ABS(D8400-E8399),"")</f>
        <v/>
      </c>
    </row>
    <row r="8401">
      <c r="A8401" t="n">
        <v>8401</v>
      </c>
      <c r="B8401">
        <f>IF(INDEX('Data Entry'!$H$5:$BE$10004,8401-4,'Visual SPC'!$B$3)="",0,IF(AND(OR('Visual SPC'!$C$4="",'Data Entry'!$C8401&gt;='Visual SPC'!$C$4),OR('Visual SPC'!$E$4="",'Data Entry'!$C8401&lt;='Visual SPC'!$E$4),OR('Visual SPC'!$G$4="",'Data Entry'!$D8401='Visual SPC'!$G$4),OR('Visual SPC'!$I$4="",'Data Entry'!$E8401='Visual SPC'!$I$4),OR('Visual SPC'!$K$4="",'Data Entry'!$F8401='Visual SPC'!$K$4)),1,0))</f>
        <v/>
      </c>
      <c r="C8401">
        <f>C8400+B8401</f>
        <v/>
      </c>
      <c r="D8401">
        <f>IF(B8401=1,INDEX('Data Entry'!$H$5:$BE$10004,8401-4,'Visual SPC'!$B$3),"")</f>
        <v/>
      </c>
      <c r="E8401">
        <f>IF(B8401=1,D8401,E8400)</f>
        <v/>
      </c>
      <c r="F8401">
        <f>IF(AND(B8401=1,C8401&gt;1,E8400&lt;&gt;""),ABS(D8401-E8400),"")</f>
        <v/>
      </c>
    </row>
    <row r="8402">
      <c r="A8402" t="n">
        <v>8402</v>
      </c>
      <c r="B8402">
        <f>IF(INDEX('Data Entry'!$H$5:$BE$10004,8402-4,'Visual SPC'!$B$3)="",0,IF(AND(OR('Visual SPC'!$C$4="",'Data Entry'!$C8402&gt;='Visual SPC'!$C$4),OR('Visual SPC'!$E$4="",'Data Entry'!$C8402&lt;='Visual SPC'!$E$4),OR('Visual SPC'!$G$4="",'Data Entry'!$D8402='Visual SPC'!$G$4),OR('Visual SPC'!$I$4="",'Data Entry'!$E8402='Visual SPC'!$I$4),OR('Visual SPC'!$K$4="",'Data Entry'!$F8402='Visual SPC'!$K$4)),1,0))</f>
        <v/>
      </c>
      <c r="C8402">
        <f>C8401+B8402</f>
        <v/>
      </c>
      <c r="D8402">
        <f>IF(B8402=1,INDEX('Data Entry'!$H$5:$BE$10004,8402-4,'Visual SPC'!$B$3),"")</f>
        <v/>
      </c>
      <c r="E8402">
        <f>IF(B8402=1,D8402,E8401)</f>
        <v/>
      </c>
      <c r="F8402">
        <f>IF(AND(B8402=1,C8402&gt;1,E8401&lt;&gt;""),ABS(D8402-E8401),"")</f>
        <v/>
      </c>
    </row>
    <row r="8403">
      <c r="A8403" t="n">
        <v>8403</v>
      </c>
      <c r="B8403">
        <f>IF(INDEX('Data Entry'!$H$5:$BE$10004,8403-4,'Visual SPC'!$B$3)="",0,IF(AND(OR('Visual SPC'!$C$4="",'Data Entry'!$C8403&gt;='Visual SPC'!$C$4),OR('Visual SPC'!$E$4="",'Data Entry'!$C8403&lt;='Visual SPC'!$E$4),OR('Visual SPC'!$G$4="",'Data Entry'!$D8403='Visual SPC'!$G$4),OR('Visual SPC'!$I$4="",'Data Entry'!$E8403='Visual SPC'!$I$4),OR('Visual SPC'!$K$4="",'Data Entry'!$F8403='Visual SPC'!$K$4)),1,0))</f>
        <v/>
      </c>
      <c r="C8403">
        <f>C8402+B8403</f>
        <v/>
      </c>
      <c r="D8403">
        <f>IF(B8403=1,INDEX('Data Entry'!$H$5:$BE$10004,8403-4,'Visual SPC'!$B$3),"")</f>
        <v/>
      </c>
      <c r="E8403">
        <f>IF(B8403=1,D8403,E8402)</f>
        <v/>
      </c>
      <c r="F8403">
        <f>IF(AND(B8403=1,C8403&gt;1,E8402&lt;&gt;""),ABS(D8403-E8402),"")</f>
        <v/>
      </c>
    </row>
    <row r="8404">
      <c r="A8404" t="n">
        <v>8404</v>
      </c>
      <c r="B8404">
        <f>IF(INDEX('Data Entry'!$H$5:$BE$10004,8404-4,'Visual SPC'!$B$3)="",0,IF(AND(OR('Visual SPC'!$C$4="",'Data Entry'!$C8404&gt;='Visual SPC'!$C$4),OR('Visual SPC'!$E$4="",'Data Entry'!$C8404&lt;='Visual SPC'!$E$4),OR('Visual SPC'!$G$4="",'Data Entry'!$D8404='Visual SPC'!$G$4),OR('Visual SPC'!$I$4="",'Data Entry'!$E8404='Visual SPC'!$I$4),OR('Visual SPC'!$K$4="",'Data Entry'!$F8404='Visual SPC'!$K$4)),1,0))</f>
        <v/>
      </c>
      <c r="C8404">
        <f>C8403+B8404</f>
        <v/>
      </c>
      <c r="D8404">
        <f>IF(B8404=1,INDEX('Data Entry'!$H$5:$BE$10004,8404-4,'Visual SPC'!$B$3),"")</f>
        <v/>
      </c>
      <c r="E8404">
        <f>IF(B8404=1,D8404,E8403)</f>
        <v/>
      </c>
      <c r="F8404">
        <f>IF(AND(B8404=1,C8404&gt;1,E8403&lt;&gt;""),ABS(D8404-E8403),"")</f>
        <v/>
      </c>
    </row>
    <row r="8405">
      <c r="A8405" t="n">
        <v>8405</v>
      </c>
      <c r="B8405">
        <f>IF(INDEX('Data Entry'!$H$5:$BE$10004,8405-4,'Visual SPC'!$B$3)="",0,IF(AND(OR('Visual SPC'!$C$4="",'Data Entry'!$C8405&gt;='Visual SPC'!$C$4),OR('Visual SPC'!$E$4="",'Data Entry'!$C8405&lt;='Visual SPC'!$E$4),OR('Visual SPC'!$G$4="",'Data Entry'!$D8405='Visual SPC'!$G$4),OR('Visual SPC'!$I$4="",'Data Entry'!$E8405='Visual SPC'!$I$4),OR('Visual SPC'!$K$4="",'Data Entry'!$F8405='Visual SPC'!$K$4)),1,0))</f>
        <v/>
      </c>
      <c r="C8405">
        <f>C8404+B8405</f>
        <v/>
      </c>
      <c r="D8405">
        <f>IF(B8405=1,INDEX('Data Entry'!$H$5:$BE$10004,8405-4,'Visual SPC'!$B$3),"")</f>
        <v/>
      </c>
      <c r="E8405">
        <f>IF(B8405=1,D8405,E8404)</f>
        <v/>
      </c>
      <c r="F8405">
        <f>IF(AND(B8405=1,C8405&gt;1,E8404&lt;&gt;""),ABS(D8405-E8404),"")</f>
        <v/>
      </c>
    </row>
    <row r="8406">
      <c r="A8406" t="n">
        <v>8406</v>
      </c>
      <c r="B8406">
        <f>IF(INDEX('Data Entry'!$H$5:$BE$10004,8406-4,'Visual SPC'!$B$3)="",0,IF(AND(OR('Visual SPC'!$C$4="",'Data Entry'!$C8406&gt;='Visual SPC'!$C$4),OR('Visual SPC'!$E$4="",'Data Entry'!$C8406&lt;='Visual SPC'!$E$4),OR('Visual SPC'!$G$4="",'Data Entry'!$D8406='Visual SPC'!$G$4),OR('Visual SPC'!$I$4="",'Data Entry'!$E8406='Visual SPC'!$I$4),OR('Visual SPC'!$K$4="",'Data Entry'!$F8406='Visual SPC'!$K$4)),1,0))</f>
        <v/>
      </c>
      <c r="C8406">
        <f>C8405+B8406</f>
        <v/>
      </c>
      <c r="D8406">
        <f>IF(B8406=1,INDEX('Data Entry'!$H$5:$BE$10004,8406-4,'Visual SPC'!$B$3),"")</f>
        <v/>
      </c>
      <c r="E8406">
        <f>IF(B8406=1,D8406,E8405)</f>
        <v/>
      </c>
      <c r="F8406">
        <f>IF(AND(B8406=1,C8406&gt;1,E8405&lt;&gt;""),ABS(D8406-E8405),"")</f>
        <v/>
      </c>
    </row>
    <row r="8407">
      <c r="A8407" t="n">
        <v>8407</v>
      </c>
      <c r="B8407">
        <f>IF(INDEX('Data Entry'!$H$5:$BE$10004,8407-4,'Visual SPC'!$B$3)="",0,IF(AND(OR('Visual SPC'!$C$4="",'Data Entry'!$C8407&gt;='Visual SPC'!$C$4),OR('Visual SPC'!$E$4="",'Data Entry'!$C8407&lt;='Visual SPC'!$E$4),OR('Visual SPC'!$G$4="",'Data Entry'!$D8407='Visual SPC'!$G$4),OR('Visual SPC'!$I$4="",'Data Entry'!$E8407='Visual SPC'!$I$4),OR('Visual SPC'!$K$4="",'Data Entry'!$F8407='Visual SPC'!$K$4)),1,0))</f>
        <v/>
      </c>
      <c r="C8407">
        <f>C8406+B8407</f>
        <v/>
      </c>
      <c r="D8407">
        <f>IF(B8407=1,INDEX('Data Entry'!$H$5:$BE$10004,8407-4,'Visual SPC'!$B$3),"")</f>
        <v/>
      </c>
      <c r="E8407">
        <f>IF(B8407=1,D8407,E8406)</f>
        <v/>
      </c>
      <c r="F8407">
        <f>IF(AND(B8407=1,C8407&gt;1,E8406&lt;&gt;""),ABS(D8407-E8406),"")</f>
        <v/>
      </c>
    </row>
    <row r="8408">
      <c r="A8408" t="n">
        <v>8408</v>
      </c>
      <c r="B8408">
        <f>IF(INDEX('Data Entry'!$H$5:$BE$10004,8408-4,'Visual SPC'!$B$3)="",0,IF(AND(OR('Visual SPC'!$C$4="",'Data Entry'!$C8408&gt;='Visual SPC'!$C$4),OR('Visual SPC'!$E$4="",'Data Entry'!$C8408&lt;='Visual SPC'!$E$4),OR('Visual SPC'!$G$4="",'Data Entry'!$D8408='Visual SPC'!$G$4),OR('Visual SPC'!$I$4="",'Data Entry'!$E8408='Visual SPC'!$I$4),OR('Visual SPC'!$K$4="",'Data Entry'!$F8408='Visual SPC'!$K$4)),1,0))</f>
        <v/>
      </c>
      <c r="C8408">
        <f>C8407+B8408</f>
        <v/>
      </c>
      <c r="D8408">
        <f>IF(B8408=1,INDEX('Data Entry'!$H$5:$BE$10004,8408-4,'Visual SPC'!$B$3),"")</f>
        <v/>
      </c>
      <c r="E8408">
        <f>IF(B8408=1,D8408,E8407)</f>
        <v/>
      </c>
      <c r="F8408">
        <f>IF(AND(B8408=1,C8408&gt;1,E8407&lt;&gt;""),ABS(D8408-E8407),"")</f>
        <v/>
      </c>
    </row>
    <row r="8409">
      <c r="A8409" t="n">
        <v>8409</v>
      </c>
      <c r="B8409">
        <f>IF(INDEX('Data Entry'!$H$5:$BE$10004,8409-4,'Visual SPC'!$B$3)="",0,IF(AND(OR('Visual SPC'!$C$4="",'Data Entry'!$C8409&gt;='Visual SPC'!$C$4),OR('Visual SPC'!$E$4="",'Data Entry'!$C8409&lt;='Visual SPC'!$E$4),OR('Visual SPC'!$G$4="",'Data Entry'!$D8409='Visual SPC'!$G$4),OR('Visual SPC'!$I$4="",'Data Entry'!$E8409='Visual SPC'!$I$4),OR('Visual SPC'!$K$4="",'Data Entry'!$F8409='Visual SPC'!$K$4)),1,0))</f>
        <v/>
      </c>
      <c r="C8409">
        <f>C8408+B8409</f>
        <v/>
      </c>
      <c r="D8409">
        <f>IF(B8409=1,INDEX('Data Entry'!$H$5:$BE$10004,8409-4,'Visual SPC'!$B$3),"")</f>
        <v/>
      </c>
      <c r="E8409">
        <f>IF(B8409=1,D8409,E8408)</f>
        <v/>
      </c>
      <c r="F8409">
        <f>IF(AND(B8409=1,C8409&gt;1,E8408&lt;&gt;""),ABS(D8409-E8408),"")</f>
        <v/>
      </c>
    </row>
    <row r="8410">
      <c r="A8410" t="n">
        <v>8410</v>
      </c>
      <c r="B8410">
        <f>IF(INDEX('Data Entry'!$H$5:$BE$10004,8410-4,'Visual SPC'!$B$3)="",0,IF(AND(OR('Visual SPC'!$C$4="",'Data Entry'!$C8410&gt;='Visual SPC'!$C$4),OR('Visual SPC'!$E$4="",'Data Entry'!$C8410&lt;='Visual SPC'!$E$4),OR('Visual SPC'!$G$4="",'Data Entry'!$D8410='Visual SPC'!$G$4),OR('Visual SPC'!$I$4="",'Data Entry'!$E8410='Visual SPC'!$I$4),OR('Visual SPC'!$K$4="",'Data Entry'!$F8410='Visual SPC'!$K$4)),1,0))</f>
        <v/>
      </c>
      <c r="C8410">
        <f>C8409+B8410</f>
        <v/>
      </c>
      <c r="D8410">
        <f>IF(B8410=1,INDEX('Data Entry'!$H$5:$BE$10004,8410-4,'Visual SPC'!$B$3),"")</f>
        <v/>
      </c>
      <c r="E8410">
        <f>IF(B8410=1,D8410,E8409)</f>
        <v/>
      </c>
      <c r="F8410">
        <f>IF(AND(B8410=1,C8410&gt;1,E8409&lt;&gt;""),ABS(D8410-E8409),"")</f>
        <v/>
      </c>
    </row>
    <row r="8411">
      <c r="A8411" t="n">
        <v>8411</v>
      </c>
      <c r="B8411">
        <f>IF(INDEX('Data Entry'!$H$5:$BE$10004,8411-4,'Visual SPC'!$B$3)="",0,IF(AND(OR('Visual SPC'!$C$4="",'Data Entry'!$C8411&gt;='Visual SPC'!$C$4),OR('Visual SPC'!$E$4="",'Data Entry'!$C8411&lt;='Visual SPC'!$E$4),OR('Visual SPC'!$G$4="",'Data Entry'!$D8411='Visual SPC'!$G$4),OR('Visual SPC'!$I$4="",'Data Entry'!$E8411='Visual SPC'!$I$4),OR('Visual SPC'!$K$4="",'Data Entry'!$F8411='Visual SPC'!$K$4)),1,0))</f>
        <v/>
      </c>
      <c r="C8411">
        <f>C8410+B8411</f>
        <v/>
      </c>
      <c r="D8411">
        <f>IF(B8411=1,INDEX('Data Entry'!$H$5:$BE$10004,8411-4,'Visual SPC'!$B$3),"")</f>
        <v/>
      </c>
      <c r="E8411">
        <f>IF(B8411=1,D8411,E8410)</f>
        <v/>
      </c>
      <c r="F8411">
        <f>IF(AND(B8411=1,C8411&gt;1,E8410&lt;&gt;""),ABS(D8411-E8410),"")</f>
        <v/>
      </c>
    </row>
    <row r="8412">
      <c r="A8412" t="n">
        <v>8412</v>
      </c>
      <c r="B8412">
        <f>IF(INDEX('Data Entry'!$H$5:$BE$10004,8412-4,'Visual SPC'!$B$3)="",0,IF(AND(OR('Visual SPC'!$C$4="",'Data Entry'!$C8412&gt;='Visual SPC'!$C$4),OR('Visual SPC'!$E$4="",'Data Entry'!$C8412&lt;='Visual SPC'!$E$4),OR('Visual SPC'!$G$4="",'Data Entry'!$D8412='Visual SPC'!$G$4),OR('Visual SPC'!$I$4="",'Data Entry'!$E8412='Visual SPC'!$I$4),OR('Visual SPC'!$K$4="",'Data Entry'!$F8412='Visual SPC'!$K$4)),1,0))</f>
        <v/>
      </c>
      <c r="C8412">
        <f>C8411+B8412</f>
        <v/>
      </c>
      <c r="D8412">
        <f>IF(B8412=1,INDEX('Data Entry'!$H$5:$BE$10004,8412-4,'Visual SPC'!$B$3),"")</f>
        <v/>
      </c>
      <c r="E8412">
        <f>IF(B8412=1,D8412,E8411)</f>
        <v/>
      </c>
      <c r="F8412">
        <f>IF(AND(B8412=1,C8412&gt;1,E8411&lt;&gt;""),ABS(D8412-E8411),"")</f>
        <v/>
      </c>
    </row>
    <row r="8413">
      <c r="A8413" t="n">
        <v>8413</v>
      </c>
      <c r="B8413">
        <f>IF(INDEX('Data Entry'!$H$5:$BE$10004,8413-4,'Visual SPC'!$B$3)="",0,IF(AND(OR('Visual SPC'!$C$4="",'Data Entry'!$C8413&gt;='Visual SPC'!$C$4),OR('Visual SPC'!$E$4="",'Data Entry'!$C8413&lt;='Visual SPC'!$E$4),OR('Visual SPC'!$G$4="",'Data Entry'!$D8413='Visual SPC'!$G$4),OR('Visual SPC'!$I$4="",'Data Entry'!$E8413='Visual SPC'!$I$4),OR('Visual SPC'!$K$4="",'Data Entry'!$F8413='Visual SPC'!$K$4)),1,0))</f>
        <v/>
      </c>
      <c r="C8413">
        <f>C8412+B8413</f>
        <v/>
      </c>
      <c r="D8413">
        <f>IF(B8413=1,INDEX('Data Entry'!$H$5:$BE$10004,8413-4,'Visual SPC'!$B$3),"")</f>
        <v/>
      </c>
      <c r="E8413">
        <f>IF(B8413=1,D8413,E8412)</f>
        <v/>
      </c>
      <c r="F8413">
        <f>IF(AND(B8413=1,C8413&gt;1,E8412&lt;&gt;""),ABS(D8413-E8412),"")</f>
        <v/>
      </c>
    </row>
    <row r="8414">
      <c r="A8414" t="n">
        <v>8414</v>
      </c>
      <c r="B8414">
        <f>IF(INDEX('Data Entry'!$H$5:$BE$10004,8414-4,'Visual SPC'!$B$3)="",0,IF(AND(OR('Visual SPC'!$C$4="",'Data Entry'!$C8414&gt;='Visual SPC'!$C$4),OR('Visual SPC'!$E$4="",'Data Entry'!$C8414&lt;='Visual SPC'!$E$4),OR('Visual SPC'!$G$4="",'Data Entry'!$D8414='Visual SPC'!$G$4),OR('Visual SPC'!$I$4="",'Data Entry'!$E8414='Visual SPC'!$I$4),OR('Visual SPC'!$K$4="",'Data Entry'!$F8414='Visual SPC'!$K$4)),1,0))</f>
        <v/>
      </c>
      <c r="C8414">
        <f>C8413+B8414</f>
        <v/>
      </c>
      <c r="D8414">
        <f>IF(B8414=1,INDEX('Data Entry'!$H$5:$BE$10004,8414-4,'Visual SPC'!$B$3),"")</f>
        <v/>
      </c>
      <c r="E8414">
        <f>IF(B8414=1,D8414,E8413)</f>
        <v/>
      </c>
      <c r="F8414">
        <f>IF(AND(B8414=1,C8414&gt;1,E8413&lt;&gt;""),ABS(D8414-E8413),"")</f>
        <v/>
      </c>
    </row>
    <row r="8415">
      <c r="A8415" t="n">
        <v>8415</v>
      </c>
      <c r="B8415">
        <f>IF(INDEX('Data Entry'!$H$5:$BE$10004,8415-4,'Visual SPC'!$B$3)="",0,IF(AND(OR('Visual SPC'!$C$4="",'Data Entry'!$C8415&gt;='Visual SPC'!$C$4),OR('Visual SPC'!$E$4="",'Data Entry'!$C8415&lt;='Visual SPC'!$E$4),OR('Visual SPC'!$G$4="",'Data Entry'!$D8415='Visual SPC'!$G$4),OR('Visual SPC'!$I$4="",'Data Entry'!$E8415='Visual SPC'!$I$4),OR('Visual SPC'!$K$4="",'Data Entry'!$F8415='Visual SPC'!$K$4)),1,0))</f>
        <v/>
      </c>
      <c r="C8415">
        <f>C8414+B8415</f>
        <v/>
      </c>
      <c r="D8415">
        <f>IF(B8415=1,INDEX('Data Entry'!$H$5:$BE$10004,8415-4,'Visual SPC'!$B$3),"")</f>
        <v/>
      </c>
      <c r="E8415">
        <f>IF(B8415=1,D8415,E8414)</f>
        <v/>
      </c>
      <c r="F8415">
        <f>IF(AND(B8415=1,C8415&gt;1,E8414&lt;&gt;""),ABS(D8415-E8414),"")</f>
        <v/>
      </c>
    </row>
    <row r="8416">
      <c r="A8416" t="n">
        <v>8416</v>
      </c>
      <c r="B8416">
        <f>IF(INDEX('Data Entry'!$H$5:$BE$10004,8416-4,'Visual SPC'!$B$3)="",0,IF(AND(OR('Visual SPC'!$C$4="",'Data Entry'!$C8416&gt;='Visual SPC'!$C$4),OR('Visual SPC'!$E$4="",'Data Entry'!$C8416&lt;='Visual SPC'!$E$4),OR('Visual SPC'!$G$4="",'Data Entry'!$D8416='Visual SPC'!$G$4),OR('Visual SPC'!$I$4="",'Data Entry'!$E8416='Visual SPC'!$I$4),OR('Visual SPC'!$K$4="",'Data Entry'!$F8416='Visual SPC'!$K$4)),1,0))</f>
        <v/>
      </c>
      <c r="C8416">
        <f>C8415+B8416</f>
        <v/>
      </c>
      <c r="D8416">
        <f>IF(B8416=1,INDEX('Data Entry'!$H$5:$BE$10004,8416-4,'Visual SPC'!$B$3),"")</f>
        <v/>
      </c>
      <c r="E8416">
        <f>IF(B8416=1,D8416,E8415)</f>
        <v/>
      </c>
      <c r="F8416">
        <f>IF(AND(B8416=1,C8416&gt;1,E8415&lt;&gt;""),ABS(D8416-E8415),"")</f>
        <v/>
      </c>
    </row>
    <row r="8417">
      <c r="A8417" t="n">
        <v>8417</v>
      </c>
      <c r="B8417">
        <f>IF(INDEX('Data Entry'!$H$5:$BE$10004,8417-4,'Visual SPC'!$B$3)="",0,IF(AND(OR('Visual SPC'!$C$4="",'Data Entry'!$C8417&gt;='Visual SPC'!$C$4),OR('Visual SPC'!$E$4="",'Data Entry'!$C8417&lt;='Visual SPC'!$E$4),OR('Visual SPC'!$G$4="",'Data Entry'!$D8417='Visual SPC'!$G$4),OR('Visual SPC'!$I$4="",'Data Entry'!$E8417='Visual SPC'!$I$4),OR('Visual SPC'!$K$4="",'Data Entry'!$F8417='Visual SPC'!$K$4)),1,0))</f>
        <v/>
      </c>
      <c r="C8417">
        <f>C8416+B8417</f>
        <v/>
      </c>
      <c r="D8417">
        <f>IF(B8417=1,INDEX('Data Entry'!$H$5:$BE$10004,8417-4,'Visual SPC'!$B$3),"")</f>
        <v/>
      </c>
      <c r="E8417">
        <f>IF(B8417=1,D8417,E8416)</f>
        <v/>
      </c>
      <c r="F8417">
        <f>IF(AND(B8417=1,C8417&gt;1,E8416&lt;&gt;""),ABS(D8417-E8416),"")</f>
        <v/>
      </c>
    </row>
    <row r="8418">
      <c r="A8418" t="n">
        <v>8418</v>
      </c>
      <c r="B8418">
        <f>IF(INDEX('Data Entry'!$H$5:$BE$10004,8418-4,'Visual SPC'!$B$3)="",0,IF(AND(OR('Visual SPC'!$C$4="",'Data Entry'!$C8418&gt;='Visual SPC'!$C$4),OR('Visual SPC'!$E$4="",'Data Entry'!$C8418&lt;='Visual SPC'!$E$4),OR('Visual SPC'!$G$4="",'Data Entry'!$D8418='Visual SPC'!$G$4),OR('Visual SPC'!$I$4="",'Data Entry'!$E8418='Visual SPC'!$I$4),OR('Visual SPC'!$K$4="",'Data Entry'!$F8418='Visual SPC'!$K$4)),1,0))</f>
        <v/>
      </c>
      <c r="C8418">
        <f>C8417+B8418</f>
        <v/>
      </c>
      <c r="D8418">
        <f>IF(B8418=1,INDEX('Data Entry'!$H$5:$BE$10004,8418-4,'Visual SPC'!$B$3),"")</f>
        <v/>
      </c>
      <c r="E8418">
        <f>IF(B8418=1,D8418,E8417)</f>
        <v/>
      </c>
      <c r="F8418">
        <f>IF(AND(B8418=1,C8418&gt;1,E8417&lt;&gt;""),ABS(D8418-E8417),"")</f>
        <v/>
      </c>
    </row>
    <row r="8419">
      <c r="A8419" t="n">
        <v>8419</v>
      </c>
      <c r="B8419">
        <f>IF(INDEX('Data Entry'!$H$5:$BE$10004,8419-4,'Visual SPC'!$B$3)="",0,IF(AND(OR('Visual SPC'!$C$4="",'Data Entry'!$C8419&gt;='Visual SPC'!$C$4),OR('Visual SPC'!$E$4="",'Data Entry'!$C8419&lt;='Visual SPC'!$E$4),OR('Visual SPC'!$G$4="",'Data Entry'!$D8419='Visual SPC'!$G$4),OR('Visual SPC'!$I$4="",'Data Entry'!$E8419='Visual SPC'!$I$4),OR('Visual SPC'!$K$4="",'Data Entry'!$F8419='Visual SPC'!$K$4)),1,0))</f>
        <v/>
      </c>
      <c r="C8419">
        <f>C8418+B8419</f>
        <v/>
      </c>
      <c r="D8419">
        <f>IF(B8419=1,INDEX('Data Entry'!$H$5:$BE$10004,8419-4,'Visual SPC'!$B$3),"")</f>
        <v/>
      </c>
      <c r="E8419">
        <f>IF(B8419=1,D8419,E8418)</f>
        <v/>
      </c>
      <c r="F8419">
        <f>IF(AND(B8419=1,C8419&gt;1,E8418&lt;&gt;""),ABS(D8419-E8418),"")</f>
        <v/>
      </c>
    </row>
    <row r="8420">
      <c r="A8420" t="n">
        <v>8420</v>
      </c>
      <c r="B8420">
        <f>IF(INDEX('Data Entry'!$H$5:$BE$10004,8420-4,'Visual SPC'!$B$3)="",0,IF(AND(OR('Visual SPC'!$C$4="",'Data Entry'!$C8420&gt;='Visual SPC'!$C$4),OR('Visual SPC'!$E$4="",'Data Entry'!$C8420&lt;='Visual SPC'!$E$4),OR('Visual SPC'!$G$4="",'Data Entry'!$D8420='Visual SPC'!$G$4),OR('Visual SPC'!$I$4="",'Data Entry'!$E8420='Visual SPC'!$I$4),OR('Visual SPC'!$K$4="",'Data Entry'!$F8420='Visual SPC'!$K$4)),1,0))</f>
        <v/>
      </c>
      <c r="C8420">
        <f>C8419+B8420</f>
        <v/>
      </c>
      <c r="D8420">
        <f>IF(B8420=1,INDEX('Data Entry'!$H$5:$BE$10004,8420-4,'Visual SPC'!$B$3),"")</f>
        <v/>
      </c>
      <c r="E8420">
        <f>IF(B8420=1,D8420,E8419)</f>
        <v/>
      </c>
      <c r="F8420">
        <f>IF(AND(B8420=1,C8420&gt;1,E8419&lt;&gt;""),ABS(D8420-E8419),"")</f>
        <v/>
      </c>
    </row>
    <row r="8421">
      <c r="A8421" t="n">
        <v>8421</v>
      </c>
      <c r="B8421">
        <f>IF(INDEX('Data Entry'!$H$5:$BE$10004,8421-4,'Visual SPC'!$B$3)="",0,IF(AND(OR('Visual SPC'!$C$4="",'Data Entry'!$C8421&gt;='Visual SPC'!$C$4),OR('Visual SPC'!$E$4="",'Data Entry'!$C8421&lt;='Visual SPC'!$E$4),OR('Visual SPC'!$G$4="",'Data Entry'!$D8421='Visual SPC'!$G$4),OR('Visual SPC'!$I$4="",'Data Entry'!$E8421='Visual SPC'!$I$4),OR('Visual SPC'!$K$4="",'Data Entry'!$F8421='Visual SPC'!$K$4)),1,0))</f>
        <v/>
      </c>
      <c r="C8421">
        <f>C8420+B8421</f>
        <v/>
      </c>
      <c r="D8421">
        <f>IF(B8421=1,INDEX('Data Entry'!$H$5:$BE$10004,8421-4,'Visual SPC'!$B$3),"")</f>
        <v/>
      </c>
      <c r="E8421">
        <f>IF(B8421=1,D8421,E8420)</f>
        <v/>
      </c>
      <c r="F8421">
        <f>IF(AND(B8421=1,C8421&gt;1,E8420&lt;&gt;""),ABS(D8421-E8420),"")</f>
        <v/>
      </c>
    </row>
    <row r="8422">
      <c r="A8422" t="n">
        <v>8422</v>
      </c>
      <c r="B8422">
        <f>IF(INDEX('Data Entry'!$H$5:$BE$10004,8422-4,'Visual SPC'!$B$3)="",0,IF(AND(OR('Visual SPC'!$C$4="",'Data Entry'!$C8422&gt;='Visual SPC'!$C$4),OR('Visual SPC'!$E$4="",'Data Entry'!$C8422&lt;='Visual SPC'!$E$4),OR('Visual SPC'!$G$4="",'Data Entry'!$D8422='Visual SPC'!$G$4),OR('Visual SPC'!$I$4="",'Data Entry'!$E8422='Visual SPC'!$I$4),OR('Visual SPC'!$K$4="",'Data Entry'!$F8422='Visual SPC'!$K$4)),1,0))</f>
        <v/>
      </c>
      <c r="C8422">
        <f>C8421+B8422</f>
        <v/>
      </c>
      <c r="D8422">
        <f>IF(B8422=1,INDEX('Data Entry'!$H$5:$BE$10004,8422-4,'Visual SPC'!$B$3),"")</f>
        <v/>
      </c>
      <c r="E8422">
        <f>IF(B8422=1,D8422,E8421)</f>
        <v/>
      </c>
      <c r="F8422">
        <f>IF(AND(B8422=1,C8422&gt;1,E8421&lt;&gt;""),ABS(D8422-E8421),"")</f>
        <v/>
      </c>
    </row>
    <row r="8423">
      <c r="A8423" t="n">
        <v>8423</v>
      </c>
      <c r="B8423">
        <f>IF(INDEX('Data Entry'!$H$5:$BE$10004,8423-4,'Visual SPC'!$B$3)="",0,IF(AND(OR('Visual SPC'!$C$4="",'Data Entry'!$C8423&gt;='Visual SPC'!$C$4),OR('Visual SPC'!$E$4="",'Data Entry'!$C8423&lt;='Visual SPC'!$E$4),OR('Visual SPC'!$G$4="",'Data Entry'!$D8423='Visual SPC'!$G$4),OR('Visual SPC'!$I$4="",'Data Entry'!$E8423='Visual SPC'!$I$4),OR('Visual SPC'!$K$4="",'Data Entry'!$F8423='Visual SPC'!$K$4)),1,0))</f>
        <v/>
      </c>
      <c r="C8423">
        <f>C8422+B8423</f>
        <v/>
      </c>
      <c r="D8423">
        <f>IF(B8423=1,INDEX('Data Entry'!$H$5:$BE$10004,8423-4,'Visual SPC'!$B$3),"")</f>
        <v/>
      </c>
      <c r="E8423">
        <f>IF(B8423=1,D8423,E8422)</f>
        <v/>
      </c>
      <c r="F8423">
        <f>IF(AND(B8423=1,C8423&gt;1,E8422&lt;&gt;""),ABS(D8423-E8422),"")</f>
        <v/>
      </c>
    </row>
    <row r="8424">
      <c r="A8424" t="n">
        <v>8424</v>
      </c>
      <c r="B8424">
        <f>IF(INDEX('Data Entry'!$H$5:$BE$10004,8424-4,'Visual SPC'!$B$3)="",0,IF(AND(OR('Visual SPC'!$C$4="",'Data Entry'!$C8424&gt;='Visual SPC'!$C$4),OR('Visual SPC'!$E$4="",'Data Entry'!$C8424&lt;='Visual SPC'!$E$4),OR('Visual SPC'!$G$4="",'Data Entry'!$D8424='Visual SPC'!$G$4),OR('Visual SPC'!$I$4="",'Data Entry'!$E8424='Visual SPC'!$I$4),OR('Visual SPC'!$K$4="",'Data Entry'!$F8424='Visual SPC'!$K$4)),1,0))</f>
        <v/>
      </c>
      <c r="C8424">
        <f>C8423+B8424</f>
        <v/>
      </c>
      <c r="D8424">
        <f>IF(B8424=1,INDEX('Data Entry'!$H$5:$BE$10004,8424-4,'Visual SPC'!$B$3),"")</f>
        <v/>
      </c>
      <c r="E8424">
        <f>IF(B8424=1,D8424,E8423)</f>
        <v/>
      </c>
      <c r="F8424">
        <f>IF(AND(B8424=1,C8424&gt;1,E8423&lt;&gt;""),ABS(D8424-E8423),"")</f>
        <v/>
      </c>
    </row>
    <row r="8425">
      <c r="A8425" t="n">
        <v>8425</v>
      </c>
      <c r="B8425">
        <f>IF(INDEX('Data Entry'!$H$5:$BE$10004,8425-4,'Visual SPC'!$B$3)="",0,IF(AND(OR('Visual SPC'!$C$4="",'Data Entry'!$C8425&gt;='Visual SPC'!$C$4),OR('Visual SPC'!$E$4="",'Data Entry'!$C8425&lt;='Visual SPC'!$E$4),OR('Visual SPC'!$G$4="",'Data Entry'!$D8425='Visual SPC'!$G$4),OR('Visual SPC'!$I$4="",'Data Entry'!$E8425='Visual SPC'!$I$4),OR('Visual SPC'!$K$4="",'Data Entry'!$F8425='Visual SPC'!$K$4)),1,0))</f>
        <v/>
      </c>
      <c r="C8425">
        <f>C8424+B8425</f>
        <v/>
      </c>
      <c r="D8425">
        <f>IF(B8425=1,INDEX('Data Entry'!$H$5:$BE$10004,8425-4,'Visual SPC'!$B$3),"")</f>
        <v/>
      </c>
      <c r="E8425">
        <f>IF(B8425=1,D8425,E8424)</f>
        <v/>
      </c>
      <c r="F8425">
        <f>IF(AND(B8425=1,C8425&gt;1,E8424&lt;&gt;""),ABS(D8425-E8424),"")</f>
        <v/>
      </c>
    </row>
    <row r="8426">
      <c r="A8426" t="n">
        <v>8426</v>
      </c>
      <c r="B8426">
        <f>IF(INDEX('Data Entry'!$H$5:$BE$10004,8426-4,'Visual SPC'!$B$3)="",0,IF(AND(OR('Visual SPC'!$C$4="",'Data Entry'!$C8426&gt;='Visual SPC'!$C$4),OR('Visual SPC'!$E$4="",'Data Entry'!$C8426&lt;='Visual SPC'!$E$4),OR('Visual SPC'!$G$4="",'Data Entry'!$D8426='Visual SPC'!$G$4),OR('Visual SPC'!$I$4="",'Data Entry'!$E8426='Visual SPC'!$I$4),OR('Visual SPC'!$K$4="",'Data Entry'!$F8426='Visual SPC'!$K$4)),1,0))</f>
        <v/>
      </c>
      <c r="C8426">
        <f>C8425+B8426</f>
        <v/>
      </c>
      <c r="D8426">
        <f>IF(B8426=1,INDEX('Data Entry'!$H$5:$BE$10004,8426-4,'Visual SPC'!$B$3),"")</f>
        <v/>
      </c>
      <c r="E8426">
        <f>IF(B8426=1,D8426,E8425)</f>
        <v/>
      </c>
      <c r="F8426">
        <f>IF(AND(B8426=1,C8426&gt;1,E8425&lt;&gt;""),ABS(D8426-E8425),"")</f>
        <v/>
      </c>
    </row>
    <row r="8427">
      <c r="A8427" t="n">
        <v>8427</v>
      </c>
      <c r="B8427">
        <f>IF(INDEX('Data Entry'!$H$5:$BE$10004,8427-4,'Visual SPC'!$B$3)="",0,IF(AND(OR('Visual SPC'!$C$4="",'Data Entry'!$C8427&gt;='Visual SPC'!$C$4),OR('Visual SPC'!$E$4="",'Data Entry'!$C8427&lt;='Visual SPC'!$E$4),OR('Visual SPC'!$G$4="",'Data Entry'!$D8427='Visual SPC'!$G$4),OR('Visual SPC'!$I$4="",'Data Entry'!$E8427='Visual SPC'!$I$4),OR('Visual SPC'!$K$4="",'Data Entry'!$F8427='Visual SPC'!$K$4)),1,0))</f>
        <v/>
      </c>
      <c r="C8427">
        <f>C8426+B8427</f>
        <v/>
      </c>
      <c r="D8427">
        <f>IF(B8427=1,INDEX('Data Entry'!$H$5:$BE$10004,8427-4,'Visual SPC'!$B$3),"")</f>
        <v/>
      </c>
      <c r="E8427">
        <f>IF(B8427=1,D8427,E8426)</f>
        <v/>
      </c>
      <c r="F8427">
        <f>IF(AND(B8427=1,C8427&gt;1,E8426&lt;&gt;""),ABS(D8427-E8426),"")</f>
        <v/>
      </c>
    </row>
    <row r="8428">
      <c r="A8428" t="n">
        <v>8428</v>
      </c>
      <c r="B8428">
        <f>IF(INDEX('Data Entry'!$H$5:$BE$10004,8428-4,'Visual SPC'!$B$3)="",0,IF(AND(OR('Visual SPC'!$C$4="",'Data Entry'!$C8428&gt;='Visual SPC'!$C$4),OR('Visual SPC'!$E$4="",'Data Entry'!$C8428&lt;='Visual SPC'!$E$4),OR('Visual SPC'!$G$4="",'Data Entry'!$D8428='Visual SPC'!$G$4),OR('Visual SPC'!$I$4="",'Data Entry'!$E8428='Visual SPC'!$I$4),OR('Visual SPC'!$K$4="",'Data Entry'!$F8428='Visual SPC'!$K$4)),1,0))</f>
        <v/>
      </c>
      <c r="C8428">
        <f>C8427+B8428</f>
        <v/>
      </c>
      <c r="D8428">
        <f>IF(B8428=1,INDEX('Data Entry'!$H$5:$BE$10004,8428-4,'Visual SPC'!$B$3),"")</f>
        <v/>
      </c>
      <c r="E8428">
        <f>IF(B8428=1,D8428,E8427)</f>
        <v/>
      </c>
      <c r="F8428">
        <f>IF(AND(B8428=1,C8428&gt;1,E8427&lt;&gt;""),ABS(D8428-E8427),"")</f>
        <v/>
      </c>
    </row>
    <row r="8429">
      <c r="A8429" t="n">
        <v>8429</v>
      </c>
      <c r="B8429">
        <f>IF(INDEX('Data Entry'!$H$5:$BE$10004,8429-4,'Visual SPC'!$B$3)="",0,IF(AND(OR('Visual SPC'!$C$4="",'Data Entry'!$C8429&gt;='Visual SPC'!$C$4),OR('Visual SPC'!$E$4="",'Data Entry'!$C8429&lt;='Visual SPC'!$E$4),OR('Visual SPC'!$G$4="",'Data Entry'!$D8429='Visual SPC'!$G$4),OR('Visual SPC'!$I$4="",'Data Entry'!$E8429='Visual SPC'!$I$4),OR('Visual SPC'!$K$4="",'Data Entry'!$F8429='Visual SPC'!$K$4)),1,0))</f>
        <v/>
      </c>
      <c r="C8429">
        <f>C8428+B8429</f>
        <v/>
      </c>
      <c r="D8429">
        <f>IF(B8429=1,INDEX('Data Entry'!$H$5:$BE$10004,8429-4,'Visual SPC'!$B$3),"")</f>
        <v/>
      </c>
      <c r="E8429">
        <f>IF(B8429=1,D8429,E8428)</f>
        <v/>
      </c>
      <c r="F8429">
        <f>IF(AND(B8429=1,C8429&gt;1,E8428&lt;&gt;""),ABS(D8429-E8428),"")</f>
        <v/>
      </c>
    </row>
    <row r="8430">
      <c r="A8430" t="n">
        <v>8430</v>
      </c>
      <c r="B8430">
        <f>IF(INDEX('Data Entry'!$H$5:$BE$10004,8430-4,'Visual SPC'!$B$3)="",0,IF(AND(OR('Visual SPC'!$C$4="",'Data Entry'!$C8430&gt;='Visual SPC'!$C$4),OR('Visual SPC'!$E$4="",'Data Entry'!$C8430&lt;='Visual SPC'!$E$4),OR('Visual SPC'!$G$4="",'Data Entry'!$D8430='Visual SPC'!$G$4),OR('Visual SPC'!$I$4="",'Data Entry'!$E8430='Visual SPC'!$I$4),OR('Visual SPC'!$K$4="",'Data Entry'!$F8430='Visual SPC'!$K$4)),1,0))</f>
        <v/>
      </c>
      <c r="C8430">
        <f>C8429+B8430</f>
        <v/>
      </c>
      <c r="D8430">
        <f>IF(B8430=1,INDEX('Data Entry'!$H$5:$BE$10004,8430-4,'Visual SPC'!$B$3),"")</f>
        <v/>
      </c>
      <c r="E8430">
        <f>IF(B8430=1,D8430,E8429)</f>
        <v/>
      </c>
      <c r="F8430">
        <f>IF(AND(B8430=1,C8430&gt;1,E8429&lt;&gt;""),ABS(D8430-E8429),"")</f>
        <v/>
      </c>
    </row>
    <row r="8431">
      <c r="A8431" t="n">
        <v>8431</v>
      </c>
      <c r="B8431">
        <f>IF(INDEX('Data Entry'!$H$5:$BE$10004,8431-4,'Visual SPC'!$B$3)="",0,IF(AND(OR('Visual SPC'!$C$4="",'Data Entry'!$C8431&gt;='Visual SPC'!$C$4),OR('Visual SPC'!$E$4="",'Data Entry'!$C8431&lt;='Visual SPC'!$E$4),OR('Visual SPC'!$G$4="",'Data Entry'!$D8431='Visual SPC'!$G$4),OR('Visual SPC'!$I$4="",'Data Entry'!$E8431='Visual SPC'!$I$4),OR('Visual SPC'!$K$4="",'Data Entry'!$F8431='Visual SPC'!$K$4)),1,0))</f>
        <v/>
      </c>
      <c r="C8431">
        <f>C8430+B8431</f>
        <v/>
      </c>
      <c r="D8431">
        <f>IF(B8431=1,INDEX('Data Entry'!$H$5:$BE$10004,8431-4,'Visual SPC'!$B$3),"")</f>
        <v/>
      </c>
      <c r="E8431">
        <f>IF(B8431=1,D8431,E8430)</f>
        <v/>
      </c>
      <c r="F8431">
        <f>IF(AND(B8431=1,C8431&gt;1,E8430&lt;&gt;""),ABS(D8431-E8430),"")</f>
        <v/>
      </c>
    </row>
    <row r="8432">
      <c r="A8432" t="n">
        <v>8432</v>
      </c>
      <c r="B8432">
        <f>IF(INDEX('Data Entry'!$H$5:$BE$10004,8432-4,'Visual SPC'!$B$3)="",0,IF(AND(OR('Visual SPC'!$C$4="",'Data Entry'!$C8432&gt;='Visual SPC'!$C$4),OR('Visual SPC'!$E$4="",'Data Entry'!$C8432&lt;='Visual SPC'!$E$4),OR('Visual SPC'!$G$4="",'Data Entry'!$D8432='Visual SPC'!$G$4),OR('Visual SPC'!$I$4="",'Data Entry'!$E8432='Visual SPC'!$I$4),OR('Visual SPC'!$K$4="",'Data Entry'!$F8432='Visual SPC'!$K$4)),1,0))</f>
        <v/>
      </c>
      <c r="C8432">
        <f>C8431+B8432</f>
        <v/>
      </c>
      <c r="D8432">
        <f>IF(B8432=1,INDEX('Data Entry'!$H$5:$BE$10004,8432-4,'Visual SPC'!$B$3),"")</f>
        <v/>
      </c>
      <c r="E8432">
        <f>IF(B8432=1,D8432,E8431)</f>
        <v/>
      </c>
      <c r="F8432">
        <f>IF(AND(B8432=1,C8432&gt;1,E8431&lt;&gt;""),ABS(D8432-E8431),"")</f>
        <v/>
      </c>
    </row>
    <row r="8433">
      <c r="A8433" t="n">
        <v>8433</v>
      </c>
      <c r="B8433">
        <f>IF(INDEX('Data Entry'!$H$5:$BE$10004,8433-4,'Visual SPC'!$B$3)="",0,IF(AND(OR('Visual SPC'!$C$4="",'Data Entry'!$C8433&gt;='Visual SPC'!$C$4),OR('Visual SPC'!$E$4="",'Data Entry'!$C8433&lt;='Visual SPC'!$E$4),OR('Visual SPC'!$G$4="",'Data Entry'!$D8433='Visual SPC'!$G$4),OR('Visual SPC'!$I$4="",'Data Entry'!$E8433='Visual SPC'!$I$4),OR('Visual SPC'!$K$4="",'Data Entry'!$F8433='Visual SPC'!$K$4)),1,0))</f>
        <v/>
      </c>
      <c r="C8433">
        <f>C8432+B8433</f>
        <v/>
      </c>
      <c r="D8433">
        <f>IF(B8433=1,INDEX('Data Entry'!$H$5:$BE$10004,8433-4,'Visual SPC'!$B$3),"")</f>
        <v/>
      </c>
      <c r="E8433">
        <f>IF(B8433=1,D8433,E8432)</f>
        <v/>
      </c>
      <c r="F8433">
        <f>IF(AND(B8433=1,C8433&gt;1,E8432&lt;&gt;""),ABS(D8433-E8432),"")</f>
        <v/>
      </c>
    </row>
    <row r="8434">
      <c r="A8434" t="n">
        <v>8434</v>
      </c>
      <c r="B8434">
        <f>IF(INDEX('Data Entry'!$H$5:$BE$10004,8434-4,'Visual SPC'!$B$3)="",0,IF(AND(OR('Visual SPC'!$C$4="",'Data Entry'!$C8434&gt;='Visual SPC'!$C$4),OR('Visual SPC'!$E$4="",'Data Entry'!$C8434&lt;='Visual SPC'!$E$4),OR('Visual SPC'!$G$4="",'Data Entry'!$D8434='Visual SPC'!$G$4),OR('Visual SPC'!$I$4="",'Data Entry'!$E8434='Visual SPC'!$I$4),OR('Visual SPC'!$K$4="",'Data Entry'!$F8434='Visual SPC'!$K$4)),1,0))</f>
        <v/>
      </c>
      <c r="C8434">
        <f>C8433+B8434</f>
        <v/>
      </c>
      <c r="D8434">
        <f>IF(B8434=1,INDEX('Data Entry'!$H$5:$BE$10004,8434-4,'Visual SPC'!$B$3),"")</f>
        <v/>
      </c>
      <c r="E8434">
        <f>IF(B8434=1,D8434,E8433)</f>
        <v/>
      </c>
      <c r="F8434">
        <f>IF(AND(B8434=1,C8434&gt;1,E8433&lt;&gt;""),ABS(D8434-E8433),"")</f>
        <v/>
      </c>
    </row>
    <row r="8435">
      <c r="A8435" t="n">
        <v>8435</v>
      </c>
      <c r="B8435">
        <f>IF(INDEX('Data Entry'!$H$5:$BE$10004,8435-4,'Visual SPC'!$B$3)="",0,IF(AND(OR('Visual SPC'!$C$4="",'Data Entry'!$C8435&gt;='Visual SPC'!$C$4),OR('Visual SPC'!$E$4="",'Data Entry'!$C8435&lt;='Visual SPC'!$E$4),OR('Visual SPC'!$G$4="",'Data Entry'!$D8435='Visual SPC'!$G$4),OR('Visual SPC'!$I$4="",'Data Entry'!$E8435='Visual SPC'!$I$4),OR('Visual SPC'!$K$4="",'Data Entry'!$F8435='Visual SPC'!$K$4)),1,0))</f>
        <v/>
      </c>
      <c r="C8435">
        <f>C8434+B8435</f>
        <v/>
      </c>
      <c r="D8435">
        <f>IF(B8435=1,INDEX('Data Entry'!$H$5:$BE$10004,8435-4,'Visual SPC'!$B$3),"")</f>
        <v/>
      </c>
      <c r="E8435">
        <f>IF(B8435=1,D8435,E8434)</f>
        <v/>
      </c>
      <c r="F8435">
        <f>IF(AND(B8435=1,C8435&gt;1,E8434&lt;&gt;""),ABS(D8435-E8434),"")</f>
        <v/>
      </c>
    </row>
    <row r="8436">
      <c r="A8436" t="n">
        <v>8436</v>
      </c>
      <c r="B8436">
        <f>IF(INDEX('Data Entry'!$H$5:$BE$10004,8436-4,'Visual SPC'!$B$3)="",0,IF(AND(OR('Visual SPC'!$C$4="",'Data Entry'!$C8436&gt;='Visual SPC'!$C$4),OR('Visual SPC'!$E$4="",'Data Entry'!$C8436&lt;='Visual SPC'!$E$4),OR('Visual SPC'!$G$4="",'Data Entry'!$D8436='Visual SPC'!$G$4),OR('Visual SPC'!$I$4="",'Data Entry'!$E8436='Visual SPC'!$I$4),OR('Visual SPC'!$K$4="",'Data Entry'!$F8436='Visual SPC'!$K$4)),1,0))</f>
        <v/>
      </c>
      <c r="C8436">
        <f>C8435+B8436</f>
        <v/>
      </c>
      <c r="D8436">
        <f>IF(B8436=1,INDEX('Data Entry'!$H$5:$BE$10004,8436-4,'Visual SPC'!$B$3),"")</f>
        <v/>
      </c>
      <c r="E8436">
        <f>IF(B8436=1,D8436,E8435)</f>
        <v/>
      </c>
      <c r="F8436">
        <f>IF(AND(B8436=1,C8436&gt;1,E8435&lt;&gt;""),ABS(D8436-E8435),"")</f>
        <v/>
      </c>
    </row>
    <row r="8437">
      <c r="A8437" t="n">
        <v>8437</v>
      </c>
      <c r="B8437">
        <f>IF(INDEX('Data Entry'!$H$5:$BE$10004,8437-4,'Visual SPC'!$B$3)="",0,IF(AND(OR('Visual SPC'!$C$4="",'Data Entry'!$C8437&gt;='Visual SPC'!$C$4),OR('Visual SPC'!$E$4="",'Data Entry'!$C8437&lt;='Visual SPC'!$E$4),OR('Visual SPC'!$G$4="",'Data Entry'!$D8437='Visual SPC'!$G$4),OR('Visual SPC'!$I$4="",'Data Entry'!$E8437='Visual SPC'!$I$4),OR('Visual SPC'!$K$4="",'Data Entry'!$F8437='Visual SPC'!$K$4)),1,0))</f>
        <v/>
      </c>
      <c r="C8437">
        <f>C8436+B8437</f>
        <v/>
      </c>
      <c r="D8437">
        <f>IF(B8437=1,INDEX('Data Entry'!$H$5:$BE$10004,8437-4,'Visual SPC'!$B$3),"")</f>
        <v/>
      </c>
      <c r="E8437">
        <f>IF(B8437=1,D8437,E8436)</f>
        <v/>
      </c>
      <c r="F8437">
        <f>IF(AND(B8437=1,C8437&gt;1,E8436&lt;&gt;""),ABS(D8437-E8436),"")</f>
        <v/>
      </c>
    </row>
    <row r="8438">
      <c r="A8438" t="n">
        <v>8438</v>
      </c>
      <c r="B8438">
        <f>IF(INDEX('Data Entry'!$H$5:$BE$10004,8438-4,'Visual SPC'!$B$3)="",0,IF(AND(OR('Visual SPC'!$C$4="",'Data Entry'!$C8438&gt;='Visual SPC'!$C$4),OR('Visual SPC'!$E$4="",'Data Entry'!$C8438&lt;='Visual SPC'!$E$4),OR('Visual SPC'!$G$4="",'Data Entry'!$D8438='Visual SPC'!$G$4),OR('Visual SPC'!$I$4="",'Data Entry'!$E8438='Visual SPC'!$I$4),OR('Visual SPC'!$K$4="",'Data Entry'!$F8438='Visual SPC'!$K$4)),1,0))</f>
        <v/>
      </c>
      <c r="C8438">
        <f>C8437+B8438</f>
        <v/>
      </c>
      <c r="D8438">
        <f>IF(B8438=1,INDEX('Data Entry'!$H$5:$BE$10004,8438-4,'Visual SPC'!$B$3),"")</f>
        <v/>
      </c>
      <c r="E8438">
        <f>IF(B8438=1,D8438,E8437)</f>
        <v/>
      </c>
      <c r="F8438">
        <f>IF(AND(B8438=1,C8438&gt;1,E8437&lt;&gt;""),ABS(D8438-E8437),"")</f>
        <v/>
      </c>
    </row>
    <row r="8439">
      <c r="A8439" t="n">
        <v>8439</v>
      </c>
      <c r="B8439">
        <f>IF(INDEX('Data Entry'!$H$5:$BE$10004,8439-4,'Visual SPC'!$B$3)="",0,IF(AND(OR('Visual SPC'!$C$4="",'Data Entry'!$C8439&gt;='Visual SPC'!$C$4),OR('Visual SPC'!$E$4="",'Data Entry'!$C8439&lt;='Visual SPC'!$E$4),OR('Visual SPC'!$G$4="",'Data Entry'!$D8439='Visual SPC'!$G$4),OR('Visual SPC'!$I$4="",'Data Entry'!$E8439='Visual SPC'!$I$4),OR('Visual SPC'!$K$4="",'Data Entry'!$F8439='Visual SPC'!$K$4)),1,0))</f>
        <v/>
      </c>
      <c r="C8439">
        <f>C8438+B8439</f>
        <v/>
      </c>
      <c r="D8439">
        <f>IF(B8439=1,INDEX('Data Entry'!$H$5:$BE$10004,8439-4,'Visual SPC'!$B$3),"")</f>
        <v/>
      </c>
      <c r="E8439">
        <f>IF(B8439=1,D8439,E8438)</f>
        <v/>
      </c>
      <c r="F8439">
        <f>IF(AND(B8439=1,C8439&gt;1,E8438&lt;&gt;""),ABS(D8439-E8438),"")</f>
        <v/>
      </c>
    </row>
    <row r="8440">
      <c r="A8440" t="n">
        <v>8440</v>
      </c>
      <c r="B8440">
        <f>IF(INDEX('Data Entry'!$H$5:$BE$10004,8440-4,'Visual SPC'!$B$3)="",0,IF(AND(OR('Visual SPC'!$C$4="",'Data Entry'!$C8440&gt;='Visual SPC'!$C$4),OR('Visual SPC'!$E$4="",'Data Entry'!$C8440&lt;='Visual SPC'!$E$4),OR('Visual SPC'!$G$4="",'Data Entry'!$D8440='Visual SPC'!$G$4),OR('Visual SPC'!$I$4="",'Data Entry'!$E8440='Visual SPC'!$I$4),OR('Visual SPC'!$K$4="",'Data Entry'!$F8440='Visual SPC'!$K$4)),1,0))</f>
        <v/>
      </c>
      <c r="C8440">
        <f>C8439+B8440</f>
        <v/>
      </c>
      <c r="D8440">
        <f>IF(B8440=1,INDEX('Data Entry'!$H$5:$BE$10004,8440-4,'Visual SPC'!$B$3),"")</f>
        <v/>
      </c>
      <c r="E8440">
        <f>IF(B8440=1,D8440,E8439)</f>
        <v/>
      </c>
      <c r="F8440">
        <f>IF(AND(B8440=1,C8440&gt;1,E8439&lt;&gt;""),ABS(D8440-E8439),"")</f>
        <v/>
      </c>
    </row>
    <row r="8441">
      <c r="A8441" t="n">
        <v>8441</v>
      </c>
      <c r="B8441">
        <f>IF(INDEX('Data Entry'!$H$5:$BE$10004,8441-4,'Visual SPC'!$B$3)="",0,IF(AND(OR('Visual SPC'!$C$4="",'Data Entry'!$C8441&gt;='Visual SPC'!$C$4),OR('Visual SPC'!$E$4="",'Data Entry'!$C8441&lt;='Visual SPC'!$E$4),OR('Visual SPC'!$G$4="",'Data Entry'!$D8441='Visual SPC'!$G$4),OR('Visual SPC'!$I$4="",'Data Entry'!$E8441='Visual SPC'!$I$4),OR('Visual SPC'!$K$4="",'Data Entry'!$F8441='Visual SPC'!$K$4)),1,0))</f>
        <v/>
      </c>
      <c r="C8441">
        <f>C8440+B8441</f>
        <v/>
      </c>
      <c r="D8441">
        <f>IF(B8441=1,INDEX('Data Entry'!$H$5:$BE$10004,8441-4,'Visual SPC'!$B$3),"")</f>
        <v/>
      </c>
      <c r="E8441">
        <f>IF(B8441=1,D8441,E8440)</f>
        <v/>
      </c>
      <c r="F8441">
        <f>IF(AND(B8441=1,C8441&gt;1,E8440&lt;&gt;""),ABS(D8441-E8440),"")</f>
        <v/>
      </c>
    </row>
    <row r="8442">
      <c r="A8442" t="n">
        <v>8442</v>
      </c>
      <c r="B8442">
        <f>IF(INDEX('Data Entry'!$H$5:$BE$10004,8442-4,'Visual SPC'!$B$3)="",0,IF(AND(OR('Visual SPC'!$C$4="",'Data Entry'!$C8442&gt;='Visual SPC'!$C$4),OR('Visual SPC'!$E$4="",'Data Entry'!$C8442&lt;='Visual SPC'!$E$4),OR('Visual SPC'!$G$4="",'Data Entry'!$D8442='Visual SPC'!$G$4),OR('Visual SPC'!$I$4="",'Data Entry'!$E8442='Visual SPC'!$I$4),OR('Visual SPC'!$K$4="",'Data Entry'!$F8442='Visual SPC'!$K$4)),1,0))</f>
        <v/>
      </c>
      <c r="C8442">
        <f>C8441+B8442</f>
        <v/>
      </c>
      <c r="D8442">
        <f>IF(B8442=1,INDEX('Data Entry'!$H$5:$BE$10004,8442-4,'Visual SPC'!$B$3),"")</f>
        <v/>
      </c>
      <c r="E8442">
        <f>IF(B8442=1,D8442,E8441)</f>
        <v/>
      </c>
      <c r="F8442">
        <f>IF(AND(B8442=1,C8442&gt;1,E8441&lt;&gt;""),ABS(D8442-E8441),"")</f>
        <v/>
      </c>
    </row>
    <row r="8443">
      <c r="A8443" t="n">
        <v>8443</v>
      </c>
      <c r="B8443">
        <f>IF(INDEX('Data Entry'!$H$5:$BE$10004,8443-4,'Visual SPC'!$B$3)="",0,IF(AND(OR('Visual SPC'!$C$4="",'Data Entry'!$C8443&gt;='Visual SPC'!$C$4),OR('Visual SPC'!$E$4="",'Data Entry'!$C8443&lt;='Visual SPC'!$E$4),OR('Visual SPC'!$G$4="",'Data Entry'!$D8443='Visual SPC'!$G$4),OR('Visual SPC'!$I$4="",'Data Entry'!$E8443='Visual SPC'!$I$4),OR('Visual SPC'!$K$4="",'Data Entry'!$F8443='Visual SPC'!$K$4)),1,0))</f>
        <v/>
      </c>
      <c r="C8443">
        <f>C8442+B8443</f>
        <v/>
      </c>
      <c r="D8443">
        <f>IF(B8443=1,INDEX('Data Entry'!$H$5:$BE$10004,8443-4,'Visual SPC'!$B$3),"")</f>
        <v/>
      </c>
      <c r="E8443">
        <f>IF(B8443=1,D8443,E8442)</f>
        <v/>
      </c>
      <c r="F8443">
        <f>IF(AND(B8443=1,C8443&gt;1,E8442&lt;&gt;""),ABS(D8443-E8442),"")</f>
        <v/>
      </c>
    </row>
    <row r="8444">
      <c r="A8444" t="n">
        <v>8444</v>
      </c>
      <c r="B8444">
        <f>IF(INDEX('Data Entry'!$H$5:$BE$10004,8444-4,'Visual SPC'!$B$3)="",0,IF(AND(OR('Visual SPC'!$C$4="",'Data Entry'!$C8444&gt;='Visual SPC'!$C$4),OR('Visual SPC'!$E$4="",'Data Entry'!$C8444&lt;='Visual SPC'!$E$4),OR('Visual SPC'!$G$4="",'Data Entry'!$D8444='Visual SPC'!$G$4),OR('Visual SPC'!$I$4="",'Data Entry'!$E8444='Visual SPC'!$I$4),OR('Visual SPC'!$K$4="",'Data Entry'!$F8444='Visual SPC'!$K$4)),1,0))</f>
        <v/>
      </c>
      <c r="C8444">
        <f>C8443+B8444</f>
        <v/>
      </c>
      <c r="D8444">
        <f>IF(B8444=1,INDEX('Data Entry'!$H$5:$BE$10004,8444-4,'Visual SPC'!$B$3),"")</f>
        <v/>
      </c>
      <c r="E8444">
        <f>IF(B8444=1,D8444,E8443)</f>
        <v/>
      </c>
      <c r="F8444">
        <f>IF(AND(B8444=1,C8444&gt;1,E8443&lt;&gt;""),ABS(D8444-E8443),"")</f>
        <v/>
      </c>
    </row>
    <row r="8445">
      <c r="A8445" t="n">
        <v>8445</v>
      </c>
      <c r="B8445">
        <f>IF(INDEX('Data Entry'!$H$5:$BE$10004,8445-4,'Visual SPC'!$B$3)="",0,IF(AND(OR('Visual SPC'!$C$4="",'Data Entry'!$C8445&gt;='Visual SPC'!$C$4),OR('Visual SPC'!$E$4="",'Data Entry'!$C8445&lt;='Visual SPC'!$E$4),OR('Visual SPC'!$G$4="",'Data Entry'!$D8445='Visual SPC'!$G$4),OR('Visual SPC'!$I$4="",'Data Entry'!$E8445='Visual SPC'!$I$4),OR('Visual SPC'!$K$4="",'Data Entry'!$F8445='Visual SPC'!$K$4)),1,0))</f>
        <v/>
      </c>
      <c r="C8445">
        <f>C8444+B8445</f>
        <v/>
      </c>
      <c r="D8445">
        <f>IF(B8445=1,INDEX('Data Entry'!$H$5:$BE$10004,8445-4,'Visual SPC'!$B$3),"")</f>
        <v/>
      </c>
      <c r="E8445">
        <f>IF(B8445=1,D8445,E8444)</f>
        <v/>
      </c>
      <c r="F8445">
        <f>IF(AND(B8445=1,C8445&gt;1,E8444&lt;&gt;""),ABS(D8445-E8444),"")</f>
        <v/>
      </c>
    </row>
    <row r="8446">
      <c r="A8446" t="n">
        <v>8446</v>
      </c>
      <c r="B8446">
        <f>IF(INDEX('Data Entry'!$H$5:$BE$10004,8446-4,'Visual SPC'!$B$3)="",0,IF(AND(OR('Visual SPC'!$C$4="",'Data Entry'!$C8446&gt;='Visual SPC'!$C$4),OR('Visual SPC'!$E$4="",'Data Entry'!$C8446&lt;='Visual SPC'!$E$4),OR('Visual SPC'!$G$4="",'Data Entry'!$D8446='Visual SPC'!$G$4),OR('Visual SPC'!$I$4="",'Data Entry'!$E8446='Visual SPC'!$I$4),OR('Visual SPC'!$K$4="",'Data Entry'!$F8446='Visual SPC'!$K$4)),1,0))</f>
        <v/>
      </c>
      <c r="C8446">
        <f>C8445+B8446</f>
        <v/>
      </c>
      <c r="D8446">
        <f>IF(B8446=1,INDEX('Data Entry'!$H$5:$BE$10004,8446-4,'Visual SPC'!$B$3),"")</f>
        <v/>
      </c>
      <c r="E8446">
        <f>IF(B8446=1,D8446,E8445)</f>
        <v/>
      </c>
      <c r="F8446">
        <f>IF(AND(B8446=1,C8446&gt;1,E8445&lt;&gt;""),ABS(D8446-E8445),"")</f>
        <v/>
      </c>
    </row>
    <row r="8447">
      <c r="A8447" t="n">
        <v>8447</v>
      </c>
      <c r="B8447">
        <f>IF(INDEX('Data Entry'!$H$5:$BE$10004,8447-4,'Visual SPC'!$B$3)="",0,IF(AND(OR('Visual SPC'!$C$4="",'Data Entry'!$C8447&gt;='Visual SPC'!$C$4),OR('Visual SPC'!$E$4="",'Data Entry'!$C8447&lt;='Visual SPC'!$E$4),OR('Visual SPC'!$G$4="",'Data Entry'!$D8447='Visual SPC'!$G$4),OR('Visual SPC'!$I$4="",'Data Entry'!$E8447='Visual SPC'!$I$4),OR('Visual SPC'!$K$4="",'Data Entry'!$F8447='Visual SPC'!$K$4)),1,0))</f>
        <v/>
      </c>
      <c r="C8447">
        <f>C8446+B8447</f>
        <v/>
      </c>
      <c r="D8447">
        <f>IF(B8447=1,INDEX('Data Entry'!$H$5:$BE$10004,8447-4,'Visual SPC'!$B$3),"")</f>
        <v/>
      </c>
      <c r="E8447">
        <f>IF(B8447=1,D8447,E8446)</f>
        <v/>
      </c>
      <c r="F8447">
        <f>IF(AND(B8447=1,C8447&gt;1,E8446&lt;&gt;""),ABS(D8447-E8446),"")</f>
        <v/>
      </c>
    </row>
    <row r="8448">
      <c r="A8448" t="n">
        <v>8448</v>
      </c>
      <c r="B8448">
        <f>IF(INDEX('Data Entry'!$H$5:$BE$10004,8448-4,'Visual SPC'!$B$3)="",0,IF(AND(OR('Visual SPC'!$C$4="",'Data Entry'!$C8448&gt;='Visual SPC'!$C$4),OR('Visual SPC'!$E$4="",'Data Entry'!$C8448&lt;='Visual SPC'!$E$4),OR('Visual SPC'!$G$4="",'Data Entry'!$D8448='Visual SPC'!$G$4),OR('Visual SPC'!$I$4="",'Data Entry'!$E8448='Visual SPC'!$I$4),OR('Visual SPC'!$K$4="",'Data Entry'!$F8448='Visual SPC'!$K$4)),1,0))</f>
        <v/>
      </c>
      <c r="C8448">
        <f>C8447+B8448</f>
        <v/>
      </c>
      <c r="D8448">
        <f>IF(B8448=1,INDEX('Data Entry'!$H$5:$BE$10004,8448-4,'Visual SPC'!$B$3),"")</f>
        <v/>
      </c>
      <c r="E8448">
        <f>IF(B8448=1,D8448,E8447)</f>
        <v/>
      </c>
      <c r="F8448">
        <f>IF(AND(B8448=1,C8448&gt;1,E8447&lt;&gt;""),ABS(D8448-E8447),"")</f>
        <v/>
      </c>
    </row>
    <row r="8449">
      <c r="A8449" t="n">
        <v>8449</v>
      </c>
      <c r="B8449">
        <f>IF(INDEX('Data Entry'!$H$5:$BE$10004,8449-4,'Visual SPC'!$B$3)="",0,IF(AND(OR('Visual SPC'!$C$4="",'Data Entry'!$C8449&gt;='Visual SPC'!$C$4),OR('Visual SPC'!$E$4="",'Data Entry'!$C8449&lt;='Visual SPC'!$E$4),OR('Visual SPC'!$G$4="",'Data Entry'!$D8449='Visual SPC'!$G$4),OR('Visual SPC'!$I$4="",'Data Entry'!$E8449='Visual SPC'!$I$4),OR('Visual SPC'!$K$4="",'Data Entry'!$F8449='Visual SPC'!$K$4)),1,0))</f>
        <v/>
      </c>
      <c r="C8449">
        <f>C8448+B8449</f>
        <v/>
      </c>
      <c r="D8449">
        <f>IF(B8449=1,INDEX('Data Entry'!$H$5:$BE$10004,8449-4,'Visual SPC'!$B$3),"")</f>
        <v/>
      </c>
      <c r="E8449">
        <f>IF(B8449=1,D8449,E8448)</f>
        <v/>
      </c>
      <c r="F8449">
        <f>IF(AND(B8449=1,C8449&gt;1,E8448&lt;&gt;""),ABS(D8449-E8448),"")</f>
        <v/>
      </c>
    </row>
    <row r="8450">
      <c r="A8450" t="n">
        <v>8450</v>
      </c>
      <c r="B8450">
        <f>IF(INDEX('Data Entry'!$H$5:$BE$10004,8450-4,'Visual SPC'!$B$3)="",0,IF(AND(OR('Visual SPC'!$C$4="",'Data Entry'!$C8450&gt;='Visual SPC'!$C$4),OR('Visual SPC'!$E$4="",'Data Entry'!$C8450&lt;='Visual SPC'!$E$4),OR('Visual SPC'!$G$4="",'Data Entry'!$D8450='Visual SPC'!$G$4),OR('Visual SPC'!$I$4="",'Data Entry'!$E8450='Visual SPC'!$I$4),OR('Visual SPC'!$K$4="",'Data Entry'!$F8450='Visual SPC'!$K$4)),1,0))</f>
        <v/>
      </c>
      <c r="C8450">
        <f>C8449+B8450</f>
        <v/>
      </c>
      <c r="D8450">
        <f>IF(B8450=1,INDEX('Data Entry'!$H$5:$BE$10004,8450-4,'Visual SPC'!$B$3),"")</f>
        <v/>
      </c>
      <c r="E8450">
        <f>IF(B8450=1,D8450,E8449)</f>
        <v/>
      </c>
      <c r="F8450">
        <f>IF(AND(B8450=1,C8450&gt;1,E8449&lt;&gt;""),ABS(D8450-E8449),"")</f>
        <v/>
      </c>
    </row>
    <row r="8451">
      <c r="A8451" t="n">
        <v>8451</v>
      </c>
      <c r="B8451">
        <f>IF(INDEX('Data Entry'!$H$5:$BE$10004,8451-4,'Visual SPC'!$B$3)="",0,IF(AND(OR('Visual SPC'!$C$4="",'Data Entry'!$C8451&gt;='Visual SPC'!$C$4),OR('Visual SPC'!$E$4="",'Data Entry'!$C8451&lt;='Visual SPC'!$E$4),OR('Visual SPC'!$G$4="",'Data Entry'!$D8451='Visual SPC'!$G$4),OR('Visual SPC'!$I$4="",'Data Entry'!$E8451='Visual SPC'!$I$4),OR('Visual SPC'!$K$4="",'Data Entry'!$F8451='Visual SPC'!$K$4)),1,0))</f>
        <v/>
      </c>
      <c r="C8451">
        <f>C8450+B8451</f>
        <v/>
      </c>
      <c r="D8451">
        <f>IF(B8451=1,INDEX('Data Entry'!$H$5:$BE$10004,8451-4,'Visual SPC'!$B$3),"")</f>
        <v/>
      </c>
      <c r="E8451">
        <f>IF(B8451=1,D8451,E8450)</f>
        <v/>
      </c>
      <c r="F8451">
        <f>IF(AND(B8451=1,C8451&gt;1,E8450&lt;&gt;""),ABS(D8451-E8450),"")</f>
        <v/>
      </c>
    </row>
    <row r="8452">
      <c r="A8452" t="n">
        <v>8452</v>
      </c>
      <c r="B8452">
        <f>IF(INDEX('Data Entry'!$H$5:$BE$10004,8452-4,'Visual SPC'!$B$3)="",0,IF(AND(OR('Visual SPC'!$C$4="",'Data Entry'!$C8452&gt;='Visual SPC'!$C$4),OR('Visual SPC'!$E$4="",'Data Entry'!$C8452&lt;='Visual SPC'!$E$4),OR('Visual SPC'!$G$4="",'Data Entry'!$D8452='Visual SPC'!$G$4),OR('Visual SPC'!$I$4="",'Data Entry'!$E8452='Visual SPC'!$I$4),OR('Visual SPC'!$K$4="",'Data Entry'!$F8452='Visual SPC'!$K$4)),1,0))</f>
        <v/>
      </c>
      <c r="C8452">
        <f>C8451+B8452</f>
        <v/>
      </c>
      <c r="D8452">
        <f>IF(B8452=1,INDEX('Data Entry'!$H$5:$BE$10004,8452-4,'Visual SPC'!$B$3),"")</f>
        <v/>
      </c>
      <c r="E8452">
        <f>IF(B8452=1,D8452,E8451)</f>
        <v/>
      </c>
      <c r="F8452">
        <f>IF(AND(B8452=1,C8452&gt;1,E8451&lt;&gt;""),ABS(D8452-E8451),"")</f>
        <v/>
      </c>
    </row>
    <row r="8453">
      <c r="A8453" t="n">
        <v>8453</v>
      </c>
      <c r="B8453">
        <f>IF(INDEX('Data Entry'!$H$5:$BE$10004,8453-4,'Visual SPC'!$B$3)="",0,IF(AND(OR('Visual SPC'!$C$4="",'Data Entry'!$C8453&gt;='Visual SPC'!$C$4),OR('Visual SPC'!$E$4="",'Data Entry'!$C8453&lt;='Visual SPC'!$E$4),OR('Visual SPC'!$G$4="",'Data Entry'!$D8453='Visual SPC'!$G$4),OR('Visual SPC'!$I$4="",'Data Entry'!$E8453='Visual SPC'!$I$4),OR('Visual SPC'!$K$4="",'Data Entry'!$F8453='Visual SPC'!$K$4)),1,0))</f>
        <v/>
      </c>
      <c r="C8453">
        <f>C8452+B8453</f>
        <v/>
      </c>
      <c r="D8453">
        <f>IF(B8453=1,INDEX('Data Entry'!$H$5:$BE$10004,8453-4,'Visual SPC'!$B$3),"")</f>
        <v/>
      </c>
      <c r="E8453">
        <f>IF(B8453=1,D8453,E8452)</f>
        <v/>
      </c>
      <c r="F8453">
        <f>IF(AND(B8453=1,C8453&gt;1,E8452&lt;&gt;""),ABS(D8453-E8452),"")</f>
        <v/>
      </c>
    </row>
    <row r="8454">
      <c r="A8454" t="n">
        <v>8454</v>
      </c>
      <c r="B8454">
        <f>IF(INDEX('Data Entry'!$H$5:$BE$10004,8454-4,'Visual SPC'!$B$3)="",0,IF(AND(OR('Visual SPC'!$C$4="",'Data Entry'!$C8454&gt;='Visual SPC'!$C$4),OR('Visual SPC'!$E$4="",'Data Entry'!$C8454&lt;='Visual SPC'!$E$4),OR('Visual SPC'!$G$4="",'Data Entry'!$D8454='Visual SPC'!$G$4),OR('Visual SPC'!$I$4="",'Data Entry'!$E8454='Visual SPC'!$I$4),OR('Visual SPC'!$K$4="",'Data Entry'!$F8454='Visual SPC'!$K$4)),1,0))</f>
        <v/>
      </c>
      <c r="C8454">
        <f>C8453+B8454</f>
        <v/>
      </c>
      <c r="D8454">
        <f>IF(B8454=1,INDEX('Data Entry'!$H$5:$BE$10004,8454-4,'Visual SPC'!$B$3),"")</f>
        <v/>
      </c>
      <c r="E8454">
        <f>IF(B8454=1,D8454,E8453)</f>
        <v/>
      </c>
      <c r="F8454">
        <f>IF(AND(B8454=1,C8454&gt;1,E8453&lt;&gt;""),ABS(D8454-E8453),"")</f>
        <v/>
      </c>
    </row>
    <row r="8455">
      <c r="A8455" t="n">
        <v>8455</v>
      </c>
      <c r="B8455">
        <f>IF(INDEX('Data Entry'!$H$5:$BE$10004,8455-4,'Visual SPC'!$B$3)="",0,IF(AND(OR('Visual SPC'!$C$4="",'Data Entry'!$C8455&gt;='Visual SPC'!$C$4),OR('Visual SPC'!$E$4="",'Data Entry'!$C8455&lt;='Visual SPC'!$E$4),OR('Visual SPC'!$G$4="",'Data Entry'!$D8455='Visual SPC'!$G$4),OR('Visual SPC'!$I$4="",'Data Entry'!$E8455='Visual SPC'!$I$4),OR('Visual SPC'!$K$4="",'Data Entry'!$F8455='Visual SPC'!$K$4)),1,0))</f>
        <v/>
      </c>
      <c r="C8455">
        <f>C8454+B8455</f>
        <v/>
      </c>
      <c r="D8455">
        <f>IF(B8455=1,INDEX('Data Entry'!$H$5:$BE$10004,8455-4,'Visual SPC'!$B$3),"")</f>
        <v/>
      </c>
      <c r="E8455">
        <f>IF(B8455=1,D8455,E8454)</f>
        <v/>
      </c>
      <c r="F8455">
        <f>IF(AND(B8455=1,C8455&gt;1,E8454&lt;&gt;""),ABS(D8455-E8454),"")</f>
        <v/>
      </c>
    </row>
    <row r="8456">
      <c r="A8456" t="n">
        <v>8456</v>
      </c>
      <c r="B8456">
        <f>IF(INDEX('Data Entry'!$H$5:$BE$10004,8456-4,'Visual SPC'!$B$3)="",0,IF(AND(OR('Visual SPC'!$C$4="",'Data Entry'!$C8456&gt;='Visual SPC'!$C$4),OR('Visual SPC'!$E$4="",'Data Entry'!$C8456&lt;='Visual SPC'!$E$4),OR('Visual SPC'!$G$4="",'Data Entry'!$D8456='Visual SPC'!$G$4),OR('Visual SPC'!$I$4="",'Data Entry'!$E8456='Visual SPC'!$I$4),OR('Visual SPC'!$K$4="",'Data Entry'!$F8456='Visual SPC'!$K$4)),1,0))</f>
        <v/>
      </c>
      <c r="C8456">
        <f>C8455+B8456</f>
        <v/>
      </c>
      <c r="D8456">
        <f>IF(B8456=1,INDEX('Data Entry'!$H$5:$BE$10004,8456-4,'Visual SPC'!$B$3),"")</f>
        <v/>
      </c>
      <c r="E8456">
        <f>IF(B8456=1,D8456,E8455)</f>
        <v/>
      </c>
      <c r="F8456">
        <f>IF(AND(B8456=1,C8456&gt;1,E8455&lt;&gt;""),ABS(D8456-E8455),"")</f>
        <v/>
      </c>
    </row>
    <row r="8457">
      <c r="A8457" t="n">
        <v>8457</v>
      </c>
      <c r="B8457">
        <f>IF(INDEX('Data Entry'!$H$5:$BE$10004,8457-4,'Visual SPC'!$B$3)="",0,IF(AND(OR('Visual SPC'!$C$4="",'Data Entry'!$C8457&gt;='Visual SPC'!$C$4),OR('Visual SPC'!$E$4="",'Data Entry'!$C8457&lt;='Visual SPC'!$E$4),OR('Visual SPC'!$G$4="",'Data Entry'!$D8457='Visual SPC'!$G$4),OR('Visual SPC'!$I$4="",'Data Entry'!$E8457='Visual SPC'!$I$4),OR('Visual SPC'!$K$4="",'Data Entry'!$F8457='Visual SPC'!$K$4)),1,0))</f>
        <v/>
      </c>
      <c r="C8457">
        <f>C8456+B8457</f>
        <v/>
      </c>
      <c r="D8457">
        <f>IF(B8457=1,INDEX('Data Entry'!$H$5:$BE$10004,8457-4,'Visual SPC'!$B$3),"")</f>
        <v/>
      </c>
      <c r="E8457">
        <f>IF(B8457=1,D8457,E8456)</f>
        <v/>
      </c>
      <c r="F8457">
        <f>IF(AND(B8457=1,C8457&gt;1,E8456&lt;&gt;""),ABS(D8457-E8456),"")</f>
        <v/>
      </c>
    </row>
    <row r="8458">
      <c r="A8458" t="n">
        <v>8458</v>
      </c>
      <c r="B8458">
        <f>IF(INDEX('Data Entry'!$H$5:$BE$10004,8458-4,'Visual SPC'!$B$3)="",0,IF(AND(OR('Visual SPC'!$C$4="",'Data Entry'!$C8458&gt;='Visual SPC'!$C$4),OR('Visual SPC'!$E$4="",'Data Entry'!$C8458&lt;='Visual SPC'!$E$4),OR('Visual SPC'!$G$4="",'Data Entry'!$D8458='Visual SPC'!$G$4),OR('Visual SPC'!$I$4="",'Data Entry'!$E8458='Visual SPC'!$I$4),OR('Visual SPC'!$K$4="",'Data Entry'!$F8458='Visual SPC'!$K$4)),1,0))</f>
        <v/>
      </c>
      <c r="C8458">
        <f>C8457+B8458</f>
        <v/>
      </c>
      <c r="D8458">
        <f>IF(B8458=1,INDEX('Data Entry'!$H$5:$BE$10004,8458-4,'Visual SPC'!$B$3),"")</f>
        <v/>
      </c>
      <c r="E8458">
        <f>IF(B8458=1,D8458,E8457)</f>
        <v/>
      </c>
      <c r="F8458">
        <f>IF(AND(B8458=1,C8458&gt;1,E8457&lt;&gt;""),ABS(D8458-E8457),"")</f>
        <v/>
      </c>
    </row>
    <row r="8459">
      <c r="A8459" t="n">
        <v>8459</v>
      </c>
      <c r="B8459">
        <f>IF(INDEX('Data Entry'!$H$5:$BE$10004,8459-4,'Visual SPC'!$B$3)="",0,IF(AND(OR('Visual SPC'!$C$4="",'Data Entry'!$C8459&gt;='Visual SPC'!$C$4),OR('Visual SPC'!$E$4="",'Data Entry'!$C8459&lt;='Visual SPC'!$E$4),OR('Visual SPC'!$G$4="",'Data Entry'!$D8459='Visual SPC'!$G$4),OR('Visual SPC'!$I$4="",'Data Entry'!$E8459='Visual SPC'!$I$4),OR('Visual SPC'!$K$4="",'Data Entry'!$F8459='Visual SPC'!$K$4)),1,0))</f>
        <v/>
      </c>
      <c r="C8459">
        <f>C8458+B8459</f>
        <v/>
      </c>
      <c r="D8459">
        <f>IF(B8459=1,INDEX('Data Entry'!$H$5:$BE$10004,8459-4,'Visual SPC'!$B$3),"")</f>
        <v/>
      </c>
      <c r="E8459">
        <f>IF(B8459=1,D8459,E8458)</f>
        <v/>
      </c>
      <c r="F8459">
        <f>IF(AND(B8459=1,C8459&gt;1,E8458&lt;&gt;""),ABS(D8459-E8458),"")</f>
        <v/>
      </c>
    </row>
    <row r="8460">
      <c r="A8460" t="n">
        <v>8460</v>
      </c>
      <c r="B8460">
        <f>IF(INDEX('Data Entry'!$H$5:$BE$10004,8460-4,'Visual SPC'!$B$3)="",0,IF(AND(OR('Visual SPC'!$C$4="",'Data Entry'!$C8460&gt;='Visual SPC'!$C$4),OR('Visual SPC'!$E$4="",'Data Entry'!$C8460&lt;='Visual SPC'!$E$4),OR('Visual SPC'!$G$4="",'Data Entry'!$D8460='Visual SPC'!$G$4),OR('Visual SPC'!$I$4="",'Data Entry'!$E8460='Visual SPC'!$I$4),OR('Visual SPC'!$K$4="",'Data Entry'!$F8460='Visual SPC'!$K$4)),1,0))</f>
        <v/>
      </c>
      <c r="C8460">
        <f>C8459+B8460</f>
        <v/>
      </c>
      <c r="D8460">
        <f>IF(B8460=1,INDEX('Data Entry'!$H$5:$BE$10004,8460-4,'Visual SPC'!$B$3),"")</f>
        <v/>
      </c>
      <c r="E8460">
        <f>IF(B8460=1,D8460,E8459)</f>
        <v/>
      </c>
      <c r="F8460">
        <f>IF(AND(B8460=1,C8460&gt;1,E8459&lt;&gt;""),ABS(D8460-E8459),"")</f>
        <v/>
      </c>
    </row>
    <row r="8461">
      <c r="A8461" t="n">
        <v>8461</v>
      </c>
      <c r="B8461">
        <f>IF(INDEX('Data Entry'!$H$5:$BE$10004,8461-4,'Visual SPC'!$B$3)="",0,IF(AND(OR('Visual SPC'!$C$4="",'Data Entry'!$C8461&gt;='Visual SPC'!$C$4),OR('Visual SPC'!$E$4="",'Data Entry'!$C8461&lt;='Visual SPC'!$E$4),OR('Visual SPC'!$G$4="",'Data Entry'!$D8461='Visual SPC'!$G$4),OR('Visual SPC'!$I$4="",'Data Entry'!$E8461='Visual SPC'!$I$4),OR('Visual SPC'!$K$4="",'Data Entry'!$F8461='Visual SPC'!$K$4)),1,0))</f>
        <v/>
      </c>
      <c r="C8461">
        <f>C8460+B8461</f>
        <v/>
      </c>
      <c r="D8461">
        <f>IF(B8461=1,INDEX('Data Entry'!$H$5:$BE$10004,8461-4,'Visual SPC'!$B$3),"")</f>
        <v/>
      </c>
      <c r="E8461">
        <f>IF(B8461=1,D8461,E8460)</f>
        <v/>
      </c>
      <c r="F8461">
        <f>IF(AND(B8461=1,C8461&gt;1,E8460&lt;&gt;""),ABS(D8461-E8460),"")</f>
        <v/>
      </c>
    </row>
    <row r="8462">
      <c r="A8462" t="n">
        <v>8462</v>
      </c>
      <c r="B8462">
        <f>IF(INDEX('Data Entry'!$H$5:$BE$10004,8462-4,'Visual SPC'!$B$3)="",0,IF(AND(OR('Visual SPC'!$C$4="",'Data Entry'!$C8462&gt;='Visual SPC'!$C$4),OR('Visual SPC'!$E$4="",'Data Entry'!$C8462&lt;='Visual SPC'!$E$4),OR('Visual SPC'!$G$4="",'Data Entry'!$D8462='Visual SPC'!$G$4),OR('Visual SPC'!$I$4="",'Data Entry'!$E8462='Visual SPC'!$I$4),OR('Visual SPC'!$K$4="",'Data Entry'!$F8462='Visual SPC'!$K$4)),1,0))</f>
        <v/>
      </c>
      <c r="C8462">
        <f>C8461+B8462</f>
        <v/>
      </c>
      <c r="D8462">
        <f>IF(B8462=1,INDEX('Data Entry'!$H$5:$BE$10004,8462-4,'Visual SPC'!$B$3),"")</f>
        <v/>
      </c>
      <c r="E8462">
        <f>IF(B8462=1,D8462,E8461)</f>
        <v/>
      </c>
      <c r="F8462">
        <f>IF(AND(B8462=1,C8462&gt;1,E8461&lt;&gt;""),ABS(D8462-E8461),"")</f>
        <v/>
      </c>
    </row>
    <row r="8463">
      <c r="A8463" t="n">
        <v>8463</v>
      </c>
      <c r="B8463">
        <f>IF(INDEX('Data Entry'!$H$5:$BE$10004,8463-4,'Visual SPC'!$B$3)="",0,IF(AND(OR('Visual SPC'!$C$4="",'Data Entry'!$C8463&gt;='Visual SPC'!$C$4),OR('Visual SPC'!$E$4="",'Data Entry'!$C8463&lt;='Visual SPC'!$E$4),OR('Visual SPC'!$G$4="",'Data Entry'!$D8463='Visual SPC'!$G$4),OR('Visual SPC'!$I$4="",'Data Entry'!$E8463='Visual SPC'!$I$4),OR('Visual SPC'!$K$4="",'Data Entry'!$F8463='Visual SPC'!$K$4)),1,0))</f>
        <v/>
      </c>
      <c r="C8463">
        <f>C8462+B8463</f>
        <v/>
      </c>
      <c r="D8463">
        <f>IF(B8463=1,INDEX('Data Entry'!$H$5:$BE$10004,8463-4,'Visual SPC'!$B$3),"")</f>
        <v/>
      </c>
      <c r="E8463">
        <f>IF(B8463=1,D8463,E8462)</f>
        <v/>
      </c>
      <c r="F8463">
        <f>IF(AND(B8463=1,C8463&gt;1,E8462&lt;&gt;""),ABS(D8463-E8462),"")</f>
        <v/>
      </c>
    </row>
    <row r="8464">
      <c r="A8464" t="n">
        <v>8464</v>
      </c>
      <c r="B8464">
        <f>IF(INDEX('Data Entry'!$H$5:$BE$10004,8464-4,'Visual SPC'!$B$3)="",0,IF(AND(OR('Visual SPC'!$C$4="",'Data Entry'!$C8464&gt;='Visual SPC'!$C$4),OR('Visual SPC'!$E$4="",'Data Entry'!$C8464&lt;='Visual SPC'!$E$4),OR('Visual SPC'!$G$4="",'Data Entry'!$D8464='Visual SPC'!$G$4),OR('Visual SPC'!$I$4="",'Data Entry'!$E8464='Visual SPC'!$I$4),OR('Visual SPC'!$K$4="",'Data Entry'!$F8464='Visual SPC'!$K$4)),1,0))</f>
        <v/>
      </c>
      <c r="C8464">
        <f>C8463+B8464</f>
        <v/>
      </c>
      <c r="D8464">
        <f>IF(B8464=1,INDEX('Data Entry'!$H$5:$BE$10004,8464-4,'Visual SPC'!$B$3),"")</f>
        <v/>
      </c>
      <c r="E8464">
        <f>IF(B8464=1,D8464,E8463)</f>
        <v/>
      </c>
      <c r="F8464">
        <f>IF(AND(B8464=1,C8464&gt;1,E8463&lt;&gt;""),ABS(D8464-E8463),"")</f>
        <v/>
      </c>
    </row>
    <row r="8465">
      <c r="A8465" t="n">
        <v>8465</v>
      </c>
      <c r="B8465">
        <f>IF(INDEX('Data Entry'!$H$5:$BE$10004,8465-4,'Visual SPC'!$B$3)="",0,IF(AND(OR('Visual SPC'!$C$4="",'Data Entry'!$C8465&gt;='Visual SPC'!$C$4),OR('Visual SPC'!$E$4="",'Data Entry'!$C8465&lt;='Visual SPC'!$E$4),OR('Visual SPC'!$G$4="",'Data Entry'!$D8465='Visual SPC'!$G$4),OR('Visual SPC'!$I$4="",'Data Entry'!$E8465='Visual SPC'!$I$4),OR('Visual SPC'!$K$4="",'Data Entry'!$F8465='Visual SPC'!$K$4)),1,0))</f>
        <v/>
      </c>
      <c r="C8465">
        <f>C8464+B8465</f>
        <v/>
      </c>
      <c r="D8465">
        <f>IF(B8465=1,INDEX('Data Entry'!$H$5:$BE$10004,8465-4,'Visual SPC'!$B$3),"")</f>
        <v/>
      </c>
      <c r="E8465">
        <f>IF(B8465=1,D8465,E8464)</f>
        <v/>
      </c>
      <c r="F8465">
        <f>IF(AND(B8465=1,C8465&gt;1,E8464&lt;&gt;""),ABS(D8465-E8464),"")</f>
        <v/>
      </c>
    </row>
    <row r="8466">
      <c r="A8466" t="n">
        <v>8466</v>
      </c>
      <c r="B8466">
        <f>IF(INDEX('Data Entry'!$H$5:$BE$10004,8466-4,'Visual SPC'!$B$3)="",0,IF(AND(OR('Visual SPC'!$C$4="",'Data Entry'!$C8466&gt;='Visual SPC'!$C$4),OR('Visual SPC'!$E$4="",'Data Entry'!$C8466&lt;='Visual SPC'!$E$4),OR('Visual SPC'!$G$4="",'Data Entry'!$D8466='Visual SPC'!$G$4),OR('Visual SPC'!$I$4="",'Data Entry'!$E8466='Visual SPC'!$I$4),OR('Visual SPC'!$K$4="",'Data Entry'!$F8466='Visual SPC'!$K$4)),1,0))</f>
        <v/>
      </c>
      <c r="C8466">
        <f>C8465+B8466</f>
        <v/>
      </c>
      <c r="D8466">
        <f>IF(B8466=1,INDEX('Data Entry'!$H$5:$BE$10004,8466-4,'Visual SPC'!$B$3),"")</f>
        <v/>
      </c>
      <c r="E8466">
        <f>IF(B8466=1,D8466,E8465)</f>
        <v/>
      </c>
      <c r="F8466">
        <f>IF(AND(B8466=1,C8466&gt;1,E8465&lt;&gt;""),ABS(D8466-E8465),"")</f>
        <v/>
      </c>
    </row>
    <row r="8467">
      <c r="A8467" t="n">
        <v>8467</v>
      </c>
      <c r="B8467">
        <f>IF(INDEX('Data Entry'!$H$5:$BE$10004,8467-4,'Visual SPC'!$B$3)="",0,IF(AND(OR('Visual SPC'!$C$4="",'Data Entry'!$C8467&gt;='Visual SPC'!$C$4),OR('Visual SPC'!$E$4="",'Data Entry'!$C8467&lt;='Visual SPC'!$E$4),OR('Visual SPC'!$G$4="",'Data Entry'!$D8467='Visual SPC'!$G$4),OR('Visual SPC'!$I$4="",'Data Entry'!$E8467='Visual SPC'!$I$4),OR('Visual SPC'!$K$4="",'Data Entry'!$F8467='Visual SPC'!$K$4)),1,0))</f>
        <v/>
      </c>
      <c r="C8467">
        <f>C8466+B8467</f>
        <v/>
      </c>
      <c r="D8467">
        <f>IF(B8467=1,INDEX('Data Entry'!$H$5:$BE$10004,8467-4,'Visual SPC'!$B$3),"")</f>
        <v/>
      </c>
      <c r="E8467">
        <f>IF(B8467=1,D8467,E8466)</f>
        <v/>
      </c>
      <c r="F8467">
        <f>IF(AND(B8467=1,C8467&gt;1,E8466&lt;&gt;""),ABS(D8467-E8466),"")</f>
        <v/>
      </c>
    </row>
    <row r="8468">
      <c r="A8468" t="n">
        <v>8468</v>
      </c>
      <c r="B8468">
        <f>IF(INDEX('Data Entry'!$H$5:$BE$10004,8468-4,'Visual SPC'!$B$3)="",0,IF(AND(OR('Visual SPC'!$C$4="",'Data Entry'!$C8468&gt;='Visual SPC'!$C$4),OR('Visual SPC'!$E$4="",'Data Entry'!$C8468&lt;='Visual SPC'!$E$4),OR('Visual SPC'!$G$4="",'Data Entry'!$D8468='Visual SPC'!$G$4),OR('Visual SPC'!$I$4="",'Data Entry'!$E8468='Visual SPC'!$I$4),OR('Visual SPC'!$K$4="",'Data Entry'!$F8468='Visual SPC'!$K$4)),1,0))</f>
        <v/>
      </c>
      <c r="C8468">
        <f>C8467+B8468</f>
        <v/>
      </c>
      <c r="D8468">
        <f>IF(B8468=1,INDEX('Data Entry'!$H$5:$BE$10004,8468-4,'Visual SPC'!$B$3),"")</f>
        <v/>
      </c>
      <c r="E8468">
        <f>IF(B8468=1,D8468,E8467)</f>
        <v/>
      </c>
      <c r="F8468">
        <f>IF(AND(B8468=1,C8468&gt;1,E8467&lt;&gt;""),ABS(D8468-E8467),"")</f>
        <v/>
      </c>
    </row>
    <row r="8469">
      <c r="A8469" t="n">
        <v>8469</v>
      </c>
      <c r="B8469">
        <f>IF(INDEX('Data Entry'!$H$5:$BE$10004,8469-4,'Visual SPC'!$B$3)="",0,IF(AND(OR('Visual SPC'!$C$4="",'Data Entry'!$C8469&gt;='Visual SPC'!$C$4),OR('Visual SPC'!$E$4="",'Data Entry'!$C8469&lt;='Visual SPC'!$E$4),OR('Visual SPC'!$G$4="",'Data Entry'!$D8469='Visual SPC'!$G$4),OR('Visual SPC'!$I$4="",'Data Entry'!$E8469='Visual SPC'!$I$4),OR('Visual SPC'!$K$4="",'Data Entry'!$F8469='Visual SPC'!$K$4)),1,0))</f>
        <v/>
      </c>
      <c r="C8469">
        <f>C8468+B8469</f>
        <v/>
      </c>
      <c r="D8469">
        <f>IF(B8469=1,INDEX('Data Entry'!$H$5:$BE$10004,8469-4,'Visual SPC'!$B$3),"")</f>
        <v/>
      </c>
      <c r="E8469">
        <f>IF(B8469=1,D8469,E8468)</f>
        <v/>
      </c>
      <c r="F8469">
        <f>IF(AND(B8469=1,C8469&gt;1,E8468&lt;&gt;""),ABS(D8469-E8468),"")</f>
        <v/>
      </c>
    </row>
    <row r="8470">
      <c r="A8470" t="n">
        <v>8470</v>
      </c>
      <c r="B8470">
        <f>IF(INDEX('Data Entry'!$H$5:$BE$10004,8470-4,'Visual SPC'!$B$3)="",0,IF(AND(OR('Visual SPC'!$C$4="",'Data Entry'!$C8470&gt;='Visual SPC'!$C$4),OR('Visual SPC'!$E$4="",'Data Entry'!$C8470&lt;='Visual SPC'!$E$4),OR('Visual SPC'!$G$4="",'Data Entry'!$D8470='Visual SPC'!$G$4),OR('Visual SPC'!$I$4="",'Data Entry'!$E8470='Visual SPC'!$I$4),OR('Visual SPC'!$K$4="",'Data Entry'!$F8470='Visual SPC'!$K$4)),1,0))</f>
        <v/>
      </c>
      <c r="C8470">
        <f>C8469+B8470</f>
        <v/>
      </c>
      <c r="D8470">
        <f>IF(B8470=1,INDEX('Data Entry'!$H$5:$BE$10004,8470-4,'Visual SPC'!$B$3),"")</f>
        <v/>
      </c>
      <c r="E8470">
        <f>IF(B8470=1,D8470,E8469)</f>
        <v/>
      </c>
      <c r="F8470">
        <f>IF(AND(B8470=1,C8470&gt;1,E8469&lt;&gt;""),ABS(D8470-E8469),"")</f>
        <v/>
      </c>
    </row>
    <row r="8471">
      <c r="A8471" t="n">
        <v>8471</v>
      </c>
      <c r="B8471">
        <f>IF(INDEX('Data Entry'!$H$5:$BE$10004,8471-4,'Visual SPC'!$B$3)="",0,IF(AND(OR('Visual SPC'!$C$4="",'Data Entry'!$C8471&gt;='Visual SPC'!$C$4),OR('Visual SPC'!$E$4="",'Data Entry'!$C8471&lt;='Visual SPC'!$E$4),OR('Visual SPC'!$G$4="",'Data Entry'!$D8471='Visual SPC'!$G$4),OR('Visual SPC'!$I$4="",'Data Entry'!$E8471='Visual SPC'!$I$4),OR('Visual SPC'!$K$4="",'Data Entry'!$F8471='Visual SPC'!$K$4)),1,0))</f>
        <v/>
      </c>
      <c r="C8471">
        <f>C8470+B8471</f>
        <v/>
      </c>
      <c r="D8471">
        <f>IF(B8471=1,INDEX('Data Entry'!$H$5:$BE$10004,8471-4,'Visual SPC'!$B$3),"")</f>
        <v/>
      </c>
      <c r="E8471">
        <f>IF(B8471=1,D8471,E8470)</f>
        <v/>
      </c>
      <c r="F8471">
        <f>IF(AND(B8471=1,C8471&gt;1,E8470&lt;&gt;""),ABS(D8471-E8470),"")</f>
        <v/>
      </c>
    </row>
    <row r="8472">
      <c r="A8472" t="n">
        <v>8472</v>
      </c>
      <c r="B8472">
        <f>IF(INDEX('Data Entry'!$H$5:$BE$10004,8472-4,'Visual SPC'!$B$3)="",0,IF(AND(OR('Visual SPC'!$C$4="",'Data Entry'!$C8472&gt;='Visual SPC'!$C$4),OR('Visual SPC'!$E$4="",'Data Entry'!$C8472&lt;='Visual SPC'!$E$4),OR('Visual SPC'!$G$4="",'Data Entry'!$D8472='Visual SPC'!$G$4),OR('Visual SPC'!$I$4="",'Data Entry'!$E8472='Visual SPC'!$I$4),OR('Visual SPC'!$K$4="",'Data Entry'!$F8472='Visual SPC'!$K$4)),1,0))</f>
        <v/>
      </c>
      <c r="C8472">
        <f>C8471+B8472</f>
        <v/>
      </c>
      <c r="D8472">
        <f>IF(B8472=1,INDEX('Data Entry'!$H$5:$BE$10004,8472-4,'Visual SPC'!$B$3),"")</f>
        <v/>
      </c>
      <c r="E8472">
        <f>IF(B8472=1,D8472,E8471)</f>
        <v/>
      </c>
      <c r="F8472">
        <f>IF(AND(B8472=1,C8472&gt;1,E8471&lt;&gt;""),ABS(D8472-E8471),"")</f>
        <v/>
      </c>
    </row>
    <row r="8473">
      <c r="A8473" t="n">
        <v>8473</v>
      </c>
      <c r="B8473">
        <f>IF(INDEX('Data Entry'!$H$5:$BE$10004,8473-4,'Visual SPC'!$B$3)="",0,IF(AND(OR('Visual SPC'!$C$4="",'Data Entry'!$C8473&gt;='Visual SPC'!$C$4),OR('Visual SPC'!$E$4="",'Data Entry'!$C8473&lt;='Visual SPC'!$E$4),OR('Visual SPC'!$G$4="",'Data Entry'!$D8473='Visual SPC'!$G$4),OR('Visual SPC'!$I$4="",'Data Entry'!$E8473='Visual SPC'!$I$4),OR('Visual SPC'!$K$4="",'Data Entry'!$F8473='Visual SPC'!$K$4)),1,0))</f>
        <v/>
      </c>
      <c r="C8473">
        <f>C8472+B8473</f>
        <v/>
      </c>
      <c r="D8473">
        <f>IF(B8473=1,INDEX('Data Entry'!$H$5:$BE$10004,8473-4,'Visual SPC'!$B$3),"")</f>
        <v/>
      </c>
      <c r="E8473">
        <f>IF(B8473=1,D8473,E8472)</f>
        <v/>
      </c>
      <c r="F8473">
        <f>IF(AND(B8473=1,C8473&gt;1,E8472&lt;&gt;""),ABS(D8473-E8472),"")</f>
        <v/>
      </c>
    </row>
    <row r="8474">
      <c r="A8474" t="n">
        <v>8474</v>
      </c>
      <c r="B8474">
        <f>IF(INDEX('Data Entry'!$H$5:$BE$10004,8474-4,'Visual SPC'!$B$3)="",0,IF(AND(OR('Visual SPC'!$C$4="",'Data Entry'!$C8474&gt;='Visual SPC'!$C$4),OR('Visual SPC'!$E$4="",'Data Entry'!$C8474&lt;='Visual SPC'!$E$4),OR('Visual SPC'!$G$4="",'Data Entry'!$D8474='Visual SPC'!$G$4),OR('Visual SPC'!$I$4="",'Data Entry'!$E8474='Visual SPC'!$I$4),OR('Visual SPC'!$K$4="",'Data Entry'!$F8474='Visual SPC'!$K$4)),1,0))</f>
        <v/>
      </c>
      <c r="C8474">
        <f>C8473+B8474</f>
        <v/>
      </c>
      <c r="D8474">
        <f>IF(B8474=1,INDEX('Data Entry'!$H$5:$BE$10004,8474-4,'Visual SPC'!$B$3),"")</f>
        <v/>
      </c>
      <c r="E8474">
        <f>IF(B8474=1,D8474,E8473)</f>
        <v/>
      </c>
      <c r="F8474">
        <f>IF(AND(B8474=1,C8474&gt;1,E8473&lt;&gt;""),ABS(D8474-E8473),"")</f>
        <v/>
      </c>
    </row>
    <row r="8475">
      <c r="A8475" t="n">
        <v>8475</v>
      </c>
      <c r="B8475">
        <f>IF(INDEX('Data Entry'!$H$5:$BE$10004,8475-4,'Visual SPC'!$B$3)="",0,IF(AND(OR('Visual SPC'!$C$4="",'Data Entry'!$C8475&gt;='Visual SPC'!$C$4),OR('Visual SPC'!$E$4="",'Data Entry'!$C8475&lt;='Visual SPC'!$E$4),OR('Visual SPC'!$G$4="",'Data Entry'!$D8475='Visual SPC'!$G$4),OR('Visual SPC'!$I$4="",'Data Entry'!$E8475='Visual SPC'!$I$4),OR('Visual SPC'!$K$4="",'Data Entry'!$F8475='Visual SPC'!$K$4)),1,0))</f>
        <v/>
      </c>
      <c r="C8475">
        <f>C8474+B8475</f>
        <v/>
      </c>
      <c r="D8475">
        <f>IF(B8475=1,INDEX('Data Entry'!$H$5:$BE$10004,8475-4,'Visual SPC'!$B$3),"")</f>
        <v/>
      </c>
      <c r="E8475">
        <f>IF(B8475=1,D8475,E8474)</f>
        <v/>
      </c>
      <c r="F8475">
        <f>IF(AND(B8475=1,C8475&gt;1,E8474&lt;&gt;""),ABS(D8475-E8474),"")</f>
        <v/>
      </c>
    </row>
    <row r="8476">
      <c r="A8476" t="n">
        <v>8476</v>
      </c>
      <c r="B8476">
        <f>IF(INDEX('Data Entry'!$H$5:$BE$10004,8476-4,'Visual SPC'!$B$3)="",0,IF(AND(OR('Visual SPC'!$C$4="",'Data Entry'!$C8476&gt;='Visual SPC'!$C$4),OR('Visual SPC'!$E$4="",'Data Entry'!$C8476&lt;='Visual SPC'!$E$4),OR('Visual SPC'!$G$4="",'Data Entry'!$D8476='Visual SPC'!$G$4),OR('Visual SPC'!$I$4="",'Data Entry'!$E8476='Visual SPC'!$I$4),OR('Visual SPC'!$K$4="",'Data Entry'!$F8476='Visual SPC'!$K$4)),1,0))</f>
        <v/>
      </c>
      <c r="C8476">
        <f>C8475+B8476</f>
        <v/>
      </c>
      <c r="D8476">
        <f>IF(B8476=1,INDEX('Data Entry'!$H$5:$BE$10004,8476-4,'Visual SPC'!$B$3),"")</f>
        <v/>
      </c>
      <c r="E8476">
        <f>IF(B8476=1,D8476,E8475)</f>
        <v/>
      </c>
      <c r="F8476">
        <f>IF(AND(B8476=1,C8476&gt;1,E8475&lt;&gt;""),ABS(D8476-E8475),"")</f>
        <v/>
      </c>
    </row>
    <row r="8477">
      <c r="A8477" t="n">
        <v>8477</v>
      </c>
      <c r="B8477">
        <f>IF(INDEX('Data Entry'!$H$5:$BE$10004,8477-4,'Visual SPC'!$B$3)="",0,IF(AND(OR('Visual SPC'!$C$4="",'Data Entry'!$C8477&gt;='Visual SPC'!$C$4),OR('Visual SPC'!$E$4="",'Data Entry'!$C8477&lt;='Visual SPC'!$E$4),OR('Visual SPC'!$G$4="",'Data Entry'!$D8477='Visual SPC'!$G$4),OR('Visual SPC'!$I$4="",'Data Entry'!$E8477='Visual SPC'!$I$4),OR('Visual SPC'!$K$4="",'Data Entry'!$F8477='Visual SPC'!$K$4)),1,0))</f>
        <v/>
      </c>
      <c r="C8477">
        <f>C8476+B8477</f>
        <v/>
      </c>
      <c r="D8477">
        <f>IF(B8477=1,INDEX('Data Entry'!$H$5:$BE$10004,8477-4,'Visual SPC'!$B$3),"")</f>
        <v/>
      </c>
      <c r="E8477">
        <f>IF(B8477=1,D8477,E8476)</f>
        <v/>
      </c>
      <c r="F8477">
        <f>IF(AND(B8477=1,C8477&gt;1,E8476&lt;&gt;""),ABS(D8477-E8476),"")</f>
        <v/>
      </c>
    </row>
    <row r="8478">
      <c r="A8478" t="n">
        <v>8478</v>
      </c>
      <c r="B8478">
        <f>IF(INDEX('Data Entry'!$H$5:$BE$10004,8478-4,'Visual SPC'!$B$3)="",0,IF(AND(OR('Visual SPC'!$C$4="",'Data Entry'!$C8478&gt;='Visual SPC'!$C$4),OR('Visual SPC'!$E$4="",'Data Entry'!$C8478&lt;='Visual SPC'!$E$4),OR('Visual SPC'!$G$4="",'Data Entry'!$D8478='Visual SPC'!$G$4),OR('Visual SPC'!$I$4="",'Data Entry'!$E8478='Visual SPC'!$I$4),OR('Visual SPC'!$K$4="",'Data Entry'!$F8478='Visual SPC'!$K$4)),1,0))</f>
        <v/>
      </c>
      <c r="C8478">
        <f>C8477+B8478</f>
        <v/>
      </c>
      <c r="D8478">
        <f>IF(B8478=1,INDEX('Data Entry'!$H$5:$BE$10004,8478-4,'Visual SPC'!$B$3),"")</f>
        <v/>
      </c>
      <c r="E8478">
        <f>IF(B8478=1,D8478,E8477)</f>
        <v/>
      </c>
      <c r="F8478">
        <f>IF(AND(B8478=1,C8478&gt;1,E8477&lt;&gt;""),ABS(D8478-E8477),"")</f>
        <v/>
      </c>
    </row>
    <row r="8479">
      <c r="A8479" t="n">
        <v>8479</v>
      </c>
      <c r="B8479">
        <f>IF(INDEX('Data Entry'!$H$5:$BE$10004,8479-4,'Visual SPC'!$B$3)="",0,IF(AND(OR('Visual SPC'!$C$4="",'Data Entry'!$C8479&gt;='Visual SPC'!$C$4),OR('Visual SPC'!$E$4="",'Data Entry'!$C8479&lt;='Visual SPC'!$E$4),OR('Visual SPC'!$G$4="",'Data Entry'!$D8479='Visual SPC'!$G$4),OR('Visual SPC'!$I$4="",'Data Entry'!$E8479='Visual SPC'!$I$4),OR('Visual SPC'!$K$4="",'Data Entry'!$F8479='Visual SPC'!$K$4)),1,0))</f>
        <v/>
      </c>
      <c r="C8479">
        <f>C8478+B8479</f>
        <v/>
      </c>
      <c r="D8479">
        <f>IF(B8479=1,INDEX('Data Entry'!$H$5:$BE$10004,8479-4,'Visual SPC'!$B$3),"")</f>
        <v/>
      </c>
      <c r="E8479">
        <f>IF(B8479=1,D8479,E8478)</f>
        <v/>
      </c>
      <c r="F8479">
        <f>IF(AND(B8479=1,C8479&gt;1,E8478&lt;&gt;""),ABS(D8479-E8478),"")</f>
        <v/>
      </c>
    </row>
    <row r="8480">
      <c r="A8480" t="n">
        <v>8480</v>
      </c>
      <c r="B8480">
        <f>IF(INDEX('Data Entry'!$H$5:$BE$10004,8480-4,'Visual SPC'!$B$3)="",0,IF(AND(OR('Visual SPC'!$C$4="",'Data Entry'!$C8480&gt;='Visual SPC'!$C$4),OR('Visual SPC'!$E$4="",'Data Entry'!$C8480&lt;='Visual SPC'!$E$4),OR('Visual SPC'!$G$4="",'Data Entry'!$D8480='Visual SPC'!$G$4),OR('Visual SPC'!$I$4="",'Data Entry'!$E8480='Visual SPC'!$I$4),OR('Visual SPC'!$K$4="",'Data Entry'!$F8480='Visual SPC'!$K$4)),1,0))</f>
        <v/>
      </c>
      <c r="C8480">
        <f>C8479+B8480</f>
        <v/>
      </c>
      <c r="D8480">
        <f>IF(B8480=1,INDEX('Data Entry'!$H$5:$BE$10004,8480-4,'Visual SPC'!$B$3),"")</f>
        <v/>
      </c>
      <c r="E8480">
        <f>IF(B8480=1,D8480,E8479)</f>
        <v/>
      </c>
      <c r="F8480">
        <f>IF(AND(B8480=1,C8480&gt;1,E8479&lt;&gt;""),ABS(D8480-E8479),"")</f>
        <v/>
      </c>
    </row>
    <row r="8481">
      <c r="A8481" t="n">
        <v>8481</v>
      </c>
      <c r="B8481">
        <f>IF(INDEX('Data Entry'!$H$5:$BE$10004,8481-4,'Visual SPC'!$B$3)="",0,IF(AND(OR('Visual SPC'!$C$4="",'Data Entry'!$C8481&gt;='Visual SPC'!$C$4),OR('Visual SPC'!$E$4="",'Data Entry'!$C8481&lt;='Visual SPC'!$E$4),OR('Visual SPC'!$G$4="",'Data Entry'!$D8481='Visual SPC'!$G$4),OR('Visual SPC'!$I$4="",'Data Entry'!$E8481='Visual SPC'!$I$4),OR('Visual SPC'!$K$4="",'Data Entry'!$F8481='Visual SPC'!$K$4)),1,0))</f>
        <v/>
      </c>
      <c r="C8481">
        <f>C8480+B8481</f>
        <v/>
      </c>
      <c r="D8481">
        <f>IF(B8481=1,INDEX('Data Entry'!$H$5:$BE$10004,8481-4,'Visual SPC'!$B$3),"")</f>
        <v/>
      </c>
      <c r="E8481">
        <f>IF(B8481=1,D8481,E8480)</f>
        <v/>
      </c>
      <c r="F8481">
        <f>IF(AND(B8481=1,C8481&gt;1,E8480&lt;&gt;""),ABS(D8481-E8480),"")</f>
        <v/>
      </c>
    </row>
    <row r="8482">
      <c r="A8482" t="n">
        <v>8482</v>
      </c>
      <c r="B8482">
        <f>IF(INDEX('Data Entry'!$H$5:$BE$10004,8482-4,'Visual SPC'!$B$3)="",0,IF(AND(OR('Visual SPC'!$C$4="",'Data Entry'!$C8482&gt;='Visual SPC'!$C$4),OR('Visual SPC'!$E$4="",'Data Entry'!$C8482&lt;='Visual SPC'!$E$4),OR('Visual SPC'!$G$4="",'Data Entry'!$D8482='Visual SPC'!$G$4),OR('Visual SPC'!$I$4="",'Data Entry'!$E8482='Visual SPC'!$I$4),OR('Visual SPC'!$K$4="",'Data Entry'!$F8482='Visual SPC'!$K$4)),1,0))</f>
        <v/>
      </c>
      <c r="C8482">
        <f>C8481+B8482</f>
        <v/>
      </c>
      <c r="D8482">
        <f>IF(B8482=1,INDEX('Data Entry'!$H$5:$BE$10004,8482-4,'Visual SPC'!$B$3),"")</f>
        <v/>
      </c>
      <c r="E8482">
        <f>IF(B8482=1,D8482,E8481)</f>
        <v/>
      </c>
      <c r="F8482">
        <f>IF(AND(B8482=1,C8482&gt;1,E8481&lt;&gt;""),ABS(D8482-E8481),"")</f>
        <v/>
      </c>
    </row>
    <row r="8483">
      <c r="A8483" t="n">
        <v>8483</v>
      </c>
      <c r="B8483">
        <f>IF(INDEX('Data Entry'!$H$5:$BE$10004,8483-4,'Visual SPC'!$B$3)="",0,IF(AND(OR('Visual SPC'!$C$4="",'Data Entry'!$C8483&gt;='Visual SPC'!$C$4),OR('Visual SPC'!$E$4="",'Data Entry'!$C8483&lt;='Visual SPC'!$E$4),OR('Visual SPC'!$G$4="",'Data Entry'!$D8483='Visual SPC'!$G$4),OR('Visual SPC'!$I$4="",'Data Entry'!$E8483='Visual SPC'!$I$4),OR('Visual SPC'!$K$4="",'Data Entry'!$F8483='Visual SPC'!$K$4)),1,0))</f>
        <v/>
      </c>
      <c r="C8483">
        <f>C8482+B8483</f>
        <v/>
      </c>
      <c r="D8483">
        <f>IF(B8483=1,INDEX('Data Entry'!$H$5:$BE$10004,8483-4,'Visual SPC'!$B$3),"")</f>
        <v/>
      </c>
      <c r="E8483">
        <f>IF(B8483=1,D8483,E8482)</f>
        <v/>
      </c>
      <c r="F8483">
        <f>IF(AND(B8483=1,C8483&gt;1,E8482&lt;&gt;""),ABS(D8483-E8482),"")</f>
        <v/>
      </c>
    </row>
    <row r="8484">
      <c r="A8484" t="n">
        <v>8484</v>
      </c>
      <c r="B8484">
        <f>IF(INDEX('Data Entry'!$H$5:$BE$10004,8484-4,'Visual SPC'!$B$3)="",0,IF(AND(OR('Visual SPC'!$C$4="",'Data Entry'!$C8484&gt;='Visual SPC'!$C$4),OR('Visual SPC'!$E$4="",'Data Entry'!$C8484&lt;='Visual SPC'!$E$4),OR('Visual SPC'!$G$4="",'Data Entry'!$D8484='Visual SPC'!$G$4),OR('Visual SPC'!$I$4="",'Data Entry'!$E8484='Visual SPC'!$I$4),OR('Visual SPC'!$K$4="",'Data Entry'!$F8484='Visual SPC'!$K$4)),1,0))</f>
        <v/>
      </c>
      <c r="C8484">
        <f>C8483+B8484</f>
        <v/>
      </c>
      <c r="D8484">
        <f>IF(B8484=1,INDEX('Data Entry'!$H$5:$BE$10004,8484-4,'Visual SPC'!$B$3),"")</f>
        <v/>
      </c>
      <c r="E8484">
        <f>IF(B8484=1,D8484,E8483)</f>
        <v/>
      </c>
      <c r="F8484">
        <f>IF(AND(B8484=1,C8484&gt;1,E8483&lt;&gt;""),ABS(D8484-E8483),"")</f>
        <v/>
      </c>
    </row>
    <row r="8485">
      <c r="A8485" t="n">
        <v>8485</v>
      </c>
      <c r="B8485">
        <f>IF(INDEX('Data Entry'!$H$5:$BE$10004,8485-4,'Visual SPC'!$B$3)="",0,IF(AND(OR('Visual SPC'!$C$4="",'Data Entry'!$C8485&gt;='Visual SPC'!$C$4),OR('Visual SPC'!$E$4="",'Data Entry'!$C8485&lt;='Visual SPC'!$E$4),OR('Visual SPC'!$G$4="",'Data Entry'!$D8485='Visual SPC'!$G$4),OR('Visual SPC'!$I$4="",'Data Entry'!$E8485='Visual SPC'!$I$4),OR('Visual SPC'!$K$4="",'Data Entry'!$F8485='Visual SPC'!$K$4)),1,0))</f>
        <v/>
      </c>
      <c r="C8485">
        <f>C8484+B8485</f>
        <v/>
      </c>
      <c r="D8485">
        <f>IF(B8485=1,INDEX('Data Entry'!$H$5:$BE$10004,8485-4,'Visual SPC'!$B$3),"")</f>
        <v/>
      </c>
      <c r="E8485">
        <f>IF(B8485=1,D8485,E8484)</f>
        <v/>
      </c>
      <c r="F8485">
        <f>IF(AND(B8485=1,C8485&gt;1,E8484&lt;&gt;""),ABS(D8485-E8484),"")</f>
        <v/>
      </c>
    </row>
    <row r="8486">
      <c r="A8486" t="n">
        <v>8486</v>
      </c>
      <c r="B8486">
        <f>IF(INDEX('Data Entry'!$H$5:$BE$10004,8486-4,'Visual SPC'!$B$3)="",0,IF(AND(OR('Visual SPC'!$C$4="",'Data Entry'!$C8486&gt;='Visual SPC'!$C$4),OR('Visual SPC'!$E$4="",'Data Entry'!$C8486&lt;='Visual SPC'!$E$4),OR('Visual SPC'!$G$4="",'Data Entry'!$D8486='Visual SPC'!$G$4),OR('Visual SPC'!$I$4="",'Data Entry'!$E8486='Visual SPC'!$I$4),OR('Visual SPC'!$K$4="",'Data Entry'!$F8486='Visual SPC'!$K$4)),1,0))</f>
        <v/>
      </c>
      <c r="C8486">
        <f>C8485+B8486</f>
        <v/>
      </c>
      <c r="D8486">
        <f>IF(B8486=1,INDEX('Data Entry'!$H$5:$BE$10004,8486-4,'Visual SPC'!$B$3),"")</f>
        <v/>
      </c>
      <c r="E8486">
        <f>IF(B8486=1,D8486,E8485)</f>
        <v/>
      </c>
      <c r="F8486">
        <f>IF(AND(B8486=1,C8486&gt;1,E8485&lt;&gt;""),ABS(D8486-E8485),"")</f>
        <v/>
      </c>
    </row>
    <row r="8487">
      <c r="A8487" t="n">
        <v>8487</v>
      </c>
      <c r="B8487">
        <f>IF(INDEX('Data Entry'!$H$5:$BE$10004,8487-4,'Visual SPC'!$B$3)="",0,IF(AND(OR('Visual SPC'!$C$4="",'Data Entry'!$C8487&gt;='Visual SPC'!$C$4),OR('Visual SPC'!$E$4="",'Data Entry'!$C8487&lt;='Visual SPC'!$E$4),OR('Visual SPC'!$G$4="",'Data Entry'!$D8487='Visual SPC'!$G$4),OR('Visual SPC'!$I$4="",'Data Entry'!$E8487='Visual SPC'!$I$4),OR('Visual SPC'!$K$4="",'Data Entry'!$F8487='Visual SPC'!$K$4)),1,0))</f>
        <v/>
      </c>
      <c r="C8487">
        <f>C8486+B8487</f>
        <v/>
      </c>
      <c r="D8487">
        <f>IF(B8487=1,INDEX('Data Entry'!$H$5:$BE$10004,8487-4,'Visual SPC'!$B$3),"")</f>
        <v/>
      </c>
      <c r="E8487">
        <f>IF(B8487=1,D8487,E8486)</f>
        <v/>
      </c>
      <c r="F8487">
        <f>IF(AND(B8487=1,C8487&gt;1,E8486&lt;&gt;""),ABS(D8487-E8486),"")</f>
        <v/>
      </c>
    </row>
    <row r="8488">
      <c r="A8488" t="n">
        <v>8488</v>
      </c>
      <c r="B8488">
        <f>IF(INDEX('Data Entry'!$H$5:$BE$10004,8488-4,'Visual SPC'!$B$3)="",0,IF(AND(OR('Visual SPC'!$C$4="",'Data Entry'!$C8488&gt;='Visual SPC'!$C$4),OR('Visual SPC'!$E$4="",'Data Entry'!$C8488&lt;='Visual SPC'!$E$4),OR('Visual SPC'!$G$4="",'Data Entry'!$D8488='Visual SPC'!$G$4),OR('Visual SPC'!$I$4="",'Data Entry'!$E8488='Visual SPC'!$I$4),OR('Visual SPC'!$K$4="",'Data Entry'!$F8488='Visual SPC'!$K$4)),1,0))</f>
        <v/>
      </c>
      <c r="C8488">
        <f>C8487+B8488</f>
        <v/>
      </c>
      <c r="D8488">
        <f>IF(B8488=1,INDEX('Data Entry'!$H$5:$BE$10004,8488-4,'Visual SPC'!$B$3),"")</f>
        <v/>
      </c>
      <c r="E8488">
        <f>IF(B8488=1,D8488,E8487)</f>
        <v/>
      </c>
      <c r="F8488">
        <f>IF(AND(B8488=1,C8488&gt;1,E8487&lt;&gt;""),ABS(D8488-E8487),"")</f>
        <v/>
      </c>
    </row>
    <row r="8489">
      <c r="A8489" t="n">
        <v>8489</v>
      </c>
      <c r="B8489">
        <f>IF(INDEX('Data Entry'!$H$5:$BE$10004,8489-4,'Visual SPC'!$B$3)="",0,IF(AND(OR('Visual SPC'!$C$4="",'Data Entry'!$C8489&gt;='Visual SPC'!$C$4),OR('Visual SPC'!$E$4="",'Data Entry'!$C8489&lt;='Visual SPC'!$E$4),OR('Visual SPC'!$G$4="",'Data Entry'!$D8489='Visual SPC'!$G$4),OR('Visual SPC'!$I$4="",'Data Entry'!$E8489='Visual SPC'!$I$4),OR('Visual SPC'!$K$4="",'Data Entry'!$F8489='Visual SPC'!$K$4)),1,0))</f>
        <v/>
      </c>
      <c r="C8489">
        <f>C8488+B8489</f>
        <v/>
      </c>
      <c r="D8489">
        <f>IF(B8489=1,INDEX('Data Entry'!$H$5:$BE$10004,8489-4,'Visual SPC'!$B$3),"")</f>
        <v/>
      </c>
      <c r="E8489">
        <f>IF(B8489=1,D8489,E8488)</f>
        <v/>
      </c>
      <c r="F8489">
        <f>IF(AND(B8489=1,C8489&gt;1,E8488&lt;&gt;""),ABS(D8489-E8488),"")</f>
        <v/>
      </c>
    </row>
    <row r="8490">
      <c r="A8490" t="n">
        <v>8490</v>
      </c>
      <c r="B8490">
        <f>IF(INDEX('Data Entry'!$H$5:$BE$10004,8490-4,'Visual SPC'!$B$3)="",0,IF(AND(OR('Visual SPC'!$C$4="",'Data Entry'!$C8490&gt;='Visual SPC'!$C$4),OR('Visual SPC'!$E$4="",'Data Entry'!$C8490&lt;='Visual SPC'!$E$4),OR('Visual SPC'!$G$4="",'Data Entry'!$D8490='Visual SPC'!$G$4),OR('Visual SPC'!$I$4="",'Data Entry'!$E8490='Visual SPC'!$I$4),OR('Visual SPC'!$K$4="",'Data Entry'!$F8490='Visual SPC'!$K$4)),1,0))</f>
        <v/>
      </c>
      <c r="C8490">
        <f>C8489+B8490</f>
        <v/>
      </c>
      <c r="D8490">
        <f>IF(B8490=1,INDEX('Data Entry'!$H$5:$BE$10004,8490-4,'Visual SPC'!$B$3),"")</f>
        <v/>
      </c>
      <c r="E8490">
        <f>IF(B8490=1,D8490,E8489)</f>
        <v/>
      </c>
      <c r="F8490">
        <f>IF(AND(B8490=1,C8490&gt;1,E8489&lt;&gt;""),ABS(D8490-E8489),"")</f>
        <v/>
      </c>
    </row>
    <row r="8491">
      <c r="A8491" t="n">
        <v>8491</v>
      </c>
      <c r="B8491">
        <f>IF(INDEX('Data Entry'!$H$5:$BE$10004,8491-4,'Visual SPC'!$B$3)="",0,IF(AND(OR('Visual SPC'!$C$4="",'Data Entry'!$C8491&gt;='Visual SPC'!$C$4),OR('Visual SPC'!$E$4="",'Data Entry'!$C8491&lt;='Visual SPC'!$E$4),OR('Visual SPC'!$G$4="",'Data Entry'!$D8491='Visual SPC'!$G$4),OR('Visual SPC'!$I$4="",'Data Entry'!$E8491='Visual SPC'!$I$4),OR('Visual SPC'!$K$4="",'Data Entry'!$F8491='Visual SPC'!$K$4)),1,0))</f>
        <v/>
      </c>
      <c r="C8491">
        <f>C8490+B8491</f>
        <v/>
      </c>
      <c r="D8491">
        <f>IF(B8491=1,INDEX('Data Entry'!$H$5:$BE$10004,8491-4,'Visual SPC'!$B$3),"")</f>
        <v/>
      </c>
      <c r="E8491">
        <f>IF(B8491=1,D8491,E8490)</f>
        <v/>
      </c>
      <c r="F8491">
        <f>IF(AND(B8491=1,C8491&gt;1,E8490&lt;&gt;""),ABS(D8491-E8490),"")</f>
        <v/>
      </c>
    </row>
    <row r="8492">
      <c r="A8492" t="n">
        <v>8492</v>
      </c>
      <c r="B8492">
        <f>IF(INDEX('Data Entry'!$H$5:$BE$10004,8492-4,'Visual SPC'!$B$3)="",0,IF(AND(OR('Visual SPC'!$C$4="",'Data Entry'!$C8492&gt;='Visual SPC'!$C$4),OR('Visual SPC'!$E$4="",'Data Entry'!$C8492&lt;='Visual SPC'!$E$4),OR('Visual SPC'!$G$4="",'Data Entry'!$D8492='Visual SPC'!$G$4),OR('Visual SPC'!$I$4="",'Data Entry'!$E8492='Visual SPC'!$I$4),OR('Visual SPC'!$K$4="",'Data Entry'!$F8492='Visual SPC'!$K$4)),1,0))</f>
        <v/>
      </c>
      <c r="C8492">
        <f>C8491+B8492</f>
        <v/>
      </c>
      <c r="D8492">
        <f>IF(B8492=1,INDEX('Data Entry'!$H$5:$BE$10004,8492-4,'Visual SPC'!$B$3),"")</f>
        <v/>
      </c>
      <c r="E8492">
        <f>IF(B8492=1,D8492,E8491)</f>
        <v/>
      </c>
      <c r="F8492">
        <f>IF(AND(B8492=1,C8492&gt;1,E8491&lt;&gt;""),ABS(D8492-E8491),"")</f>
        <v/>
      </c>
    </row>
    <row r="8493">
      <c r="A8493" t="n">
        <v>8493</v>
      </c>
      <c r="B8493">
        <f>IF(INDEX('Data Entry'!$H$5:$BE$10004,8493-4,'Visual SPC'!$B$3)="",0,IF(AND(OR('Visual SPC'!$C$4="",'Data Entry'!$C8493&gt;='Visual SPC'!$C$4),OR('Visual SPC'!$E$4="",'Data Entry'!$C8493&lt;='Visual SPC'!$E$4),OR('Visual SPC'!$G$4="",'Data Entry'!$D8493='Visual SPC'!$G$4),OR('Visual SPC'!$I$4="",'Data Entry'!$E8493='Visual SPC'!$I$4),OR('Visual SPC'!$K$4="",'Data Entry'!$F8493='Visual SPC'!$K$4)),1,0))</f>
        <v/>
      </c>
      <c r="C8493">
        <f>C8492+B8493</f>
        <v/>
      </c>
      <c r="D8493">
        <f>IF(B8493=1,INDEX('Data Entry'!$H$5:$BE$10004,8493-4,'Visual SPC'!$B$3),"")</f>
        <v/>
      </c>
      <c r="E8493">
        <f>IF(B8493=1,D8493,E8492)</f>
        <v/>
      </c>
      <c r="F8493">
        <f>IF(AND(B8493=1,C8493&gt;1,E8492&lt;&gt;""),ABS(D8493-E8492),"")</f>
        <v/>
      </c>
    </row>
    <row r="8494">
      <c r="A8494" t="n">
        <v>8494</v>
      </c>
      <c r="B8494">
        <f>IF(INDEX('Data Entry'!$H$5:$BE$10004,8494-4,'Visual SPC'!$B$3)="",0,IF(AND(OR('Visual SPC'!$C$4="",'Data Entry'!$C8494&gt;='Visual SPC'!$C$4),OR('Visual SPC'!$E$4="",'Data Entry'!$C8494&lt;='Visual SPC'!$E$4),OR('Visual SPC'!$G$4="",'Data Entry'!$D8494='Visual SPC'!$G$4),OR('Visual SPC'!$I$4="",'Data Entry'!$E8494='Visual SPC'!$I$4),OR('Visual SPC'!$K$4="",'Data Entry'!$F8494='Visual SPC'!$K$4)),1,0))</f>
        <v/>
      </c>
      <c r="C8494">
        <f>C8493+B8494</f>
        <v/>
      </c>
      <c r="D8494">
        <f>IF(B8494=1,INDEX('Data Entry'!$H$5:$BE$10004,8494-4,'Visual SPC'!$B$3),"")</f>
        <v/>
      </c>
      <c r="E8494">
        <f>IF(B8494=1,D8494,E8493)</f>
        <v/>
      </c>
      <c r="F8494">
        <f>IF(AND(B8494=1,C8494&gt;1,E8493&lt;&gt;""),ABS(D8494-E8493),"")</f>
        <v/>
      </c>
    </row>
    <row r="8495">
      <c r="A8495" t="n">
        <v>8495</v>
      </c>
      <c r="B8495">
        <f>IF(INDEX('Data Entry'!$H$5:$BE$10004,8495-4,'Visual SPC'!$B$3)="",0,IF(AND(OR('Visual SPC'!$C$4="",'Data Entry'!$C8495&gt;='Visual SPC'!$C$4),OR('Visual SPC'!$E$4="",'Data Entry'!$C8495&lt;='Visual SPC'!$E$4),OR('Visual SPC'!$G$4="",'Data Entry'!$D8495='Visual SPC'!$G$4),OR('Visual SPC'!$I$4="",'Data Entry'!$E8495='Visual SPC'!$I$4),OR('Visual SPC'!$K$4="",'Data Entry'!$F8495='Visual SPC'!$K$4)),1,0))</f>
        <v/>
      </c>
      <c r="C8495">
        <f>C8494+B8495</f>
        <v/>
      </c>
      <c r="D8495">
        <f>IF(B8495=1,INDEX('Data Entry'!$H$5:$BE$10004,8495-4,'Visual SPC'!$B$3),"")</f>
        <v/>
      </c>
      <c r="E8495">
        <f>IF(B8495=1,D8495,E8494)</f>
        <v/>
      </c>
      <c r="F8495">
        <f>IF(AND(B8495=1,C8495&gt;1,E8494&lt;&gt;""),ABS(D8495-E8494),"")</f>
        <v/>
      </c>
    </row>
    <row r="8496">
      <c r="A8496" t="n">
        <v>8496</v>
      </c>
      <c r="B8496">
        <f>IF(INDEX('Data Entry'!$H$5:$BE$10004,8496-4,'Visual SPC'!$B$3)="",0,IF(AND(OR('Visual SPC'!$C$4="",'Data Entry'!$C8496&gt;='Visual SPC'!$C$4),OR('Visual SPC'!$E$4="",'Data Entry'!$C8496&lt;='Visual SPC'!$E$4),OR('Visual SPC'!$G$4="",'Data Entry'!$D8496='Visual SPC'!$G$4),OR('Visual SPC'!$I$4="",'Data Entry'!$E8496='Visual SPC'!$I$4),OR('Visual SPC'!$K$4="",'Data Entry'!$F8496='Visual SPC'!$K$4)),1,0))</f>
        <v/>
      </c>
      <c r="C8496">
        <f>C8495+B8496</f>
        <v/>
      </c>
      <c r="D8496">
        <f>IF(B8496=1,INDEX('Data Entry'!$H$5:$BE$10004,8496-4,'Visual SPC'!$B$3),"")</f>
        <v/>
      </c>
      <c r="E8496">
        <f>IF(B8496=1,D8496,E8495)</f>
        <v/>
      </c>
      <c r="F8496">
        <f>IF(AND(B8496=1,C8496&gt;1,E8495&lt;&gt;""),ABS(D8496-E8495),"")</f>
        <v/>
      </c>
    </row>
    <row r="8497">
      <c r="A8497" t="n">
        <v>8497</v>
      </c>
      <c r="B8497">
        <f>IF(INDEX('Data Entry'!$H$5:$BE$10004,8497-4,'Visual SPC'!$B$3)="",0,IF(AND(OR('Visual SPC'!$C$4="",'Data Entry'!$C8497&gt;='Visual SPC'!$C$4),OR('Visual SPC'!$E$4="",'Data Entry'!$C8497&lt;='Visual SPC'!$E$4),OR('Visual SPC'!$G$4="",'Data Entry'!$D8497='Visual SPC'!$G$4),OR('Visual SPC'!$I$4="",'Data Entry'!$E8497='Visual SPC'!$I$4),OR('Visual SPC'!$K$4="",'Data Entry'!$F8497='Visual SPC'!$K$4)),1,0))</f>
        <v/>
      </c>
      <c r="C8497">
        <f>C8496+B8497</f>
        <v/>
      </c>
      <c r="D8497">
        <f>IF(B8497=1,INDEX('Data Entry'!$H$5:$BE$10004,8497-4,'Visual SPC'!$B$3),"")</f>
        <v/>
      </c>
      <c r="E8497">
        <f>IF(B8497=1,D8497,E8496)</f>
        <v/>
      </c>
      <c r="F8497">
        <f>IF(AND(B8497=1,C8497&gt;1,E8496&lt;&gt;""),ABS(D8497-E8496),"")</f>
        <v/>
      </c>
    </row>
    <row r="8498">
      <c r="A8498" t="n">
        <v>8498</v>
      </c>
      <c r="B8498">
        <f>IF(INDEX('Data Entry'!$H$5:$BE$10004,8498-4,'Visual SPC'!$B$3)="",0,IF(AND(OR('Visual SPC'!$C$4="",'Data Entry'!$C8498&gt;='Visual SPC'!$C$4),OR('Visual SPC'!$E$4="",'Data Entry'!$C8498&lt;='Visual SPC'!$E$4),OR('Visual SPC'!$G$4="",'Data Entry'!$D8498='Visual SPC'!$G$4),OR('Visual SPC'!$I$4="",'Data Entry'!$E8498='Visual SPC'!$I$4),OR('Visual SPC'!$K$4="",'Data Entry'!$F8498='Visual SPC'!$K$4)),1,0))</f>
        <v/>
      </c>
      <c r="C8498">
        <f>C8497+B8498</f>
        <v/>
      </c>
      <c r="D8498">
        <f>IF(B8498=1,INDEX('Data Entry'!$H$5:$BE$10004,8498-4,'Visual SPC'!$B$3),"")</f>
        <v/>
      </c>
      <c r="E8498">
        <f>IF(B8498=1,D8498,E8497)</f>
        <v/>
      </c>
      <c r="F8498">
        <f>IF(AND(B8498=1,C8498&gt;1,E8497&lt;&gt;""),ABS(D8498-E8497),"")</f>
        <v/>
      </c>
    </row>
    <row r="8499">
      <c r="A8499" t="n">
        <v>8499</v>
      </c>
      <c r="B8499">
        <f>IF(INDEX('Data Entry'!$H$5:$BE$10004,8499-4,'Visual SPC'!$B$3)="",0,IF(AND(OR('Visual SPC'!$C$4="",'Data Entry'!$C8499&gt;='Visual SPC'!$C$4),OR('Visual SPC'!$E$4="",'Data Entry'!$C8499&lt;='Visual SPC'!$E$4),OR('Visual SPC'!$G$4="",'Data Entry'!$D8499='Visual SPC'!$G$4),OR('Visual SPC'!$I$4="",'Data Entry'!$E8499='Visual SPC'!$I$4),OR('Visual SPC'!$K$4="",'Data Entry'!$F8499='Visual SPC'!$K$4)),1,0))</f>
        <v/>
      </c>
      <c r="C8499">
        <f>C8498+B8499</f>
        <v/>
      </c>
      <c r="D8499">
        <f>IF(B8499=1,INDEX('Data Entry'!$H$5:$BE$10004,8499-4,'Visual SPC'!$B$3),"")</f>
        <v/>
      </c>
      <c r="E8499">
        <f>IF(B8499=1,D8499,E8498)</f>
        <v/>
      </c>
      <c r="F8499">
        <f>IF(AND(B8499=1,C8499&gt;1,E8498&lt;&gt;""),ABS(D8499-E8498),"")</f>
        <v/>
      </c>
    </row>
    <row r="8500">
      <c r="A8500" t="n">
        <v>8500</v>
      </c>
      <c r="B8500">
        <f>IF(INDEX('Data Entry'!$H$5:$BE$10004,8500-4,'Visual SPC'!$B$3)="",0,IF(AND(OR('Visual SPC'!$C$4="",'Data Entry'!$C8500&gt;='Visual SPC'!$C$4),OR('Visual SPC'!$E$4="",'Data Entry'!$C8500&lt;='Visual SPC'!$E$4),OR('Visual SPC'!$G$4="",'Data Entry'!$D8500='Visual SPC'!$G$4),OR('Visual SPC'!$I$4="",'Data Entry'!$E8500='Visual SPC'!$I$4),OR('Visual SPC'!$K$4="",'Data Entry'!$F8500='Visual SPC'!$K$4)),1,0))</f>
        <v/>
      </c>
      <c r="C8500">
        <f>C8499+B8500</f>
        <v/>
      </c>
      <c r="D8500">
        <f>IF(B8500=1,INDEX('Data Entry'!$H$5:$BE$10004,8500-4,'Visual SPC'!$B$3),"")</f>
        <v/>
      </c>
      <c r="E8500">
        <f>IF(B8500=1,D8500,E8499)</f>
        <v/>
      </c>
      <c r="F8500">
        <f>IF(AND(B8500=1,C8500&gt;1,E8499&lt;&gt;""),ABS(D8500-E8499),"")</f>
        <v/>
      </c>
    </row>
    <row r="8501">
      <c r="A8501" t="n">
        <v>8501</v>
      </c>
      <c r="B8501">
        <f>IF(INDEX('Data Entry'!$H$5:$BE$10004,8501-4,'Visual SPC'!$B$3)="",0,IF(AND(OR('Visual SPC'!$C$4="",'Data Entry'!$C8501&gt;='Visual SPC'!$C$4),OR('Visual SPC'!$E$4="",'Data Entry'!$C8501&lt;='Visual SPC'!$E$4),OR('Visual SPC'!$G$4="",'Data Entry'!$D8501='Visual SPC'!$G$4),OR('Visual SPC'!$I$4="",'Data Entry'!$E8501='Visual SPC'!$I$4),OR('Visual SPC'!$K$4="",'Data Entry'!$F8501='Visual SPC'!$K$4)),1,0))</f>
        <v/>
      </c>
      <c r="C8501">
        <f>C8500+B8501</f>
        <v/>
      </c>
      <c r="D8501">
        <f>IF(B8501=1,INDEX('Data Entry'!$H$5:$BE$10004,8501-4,'Visual SPC'!$B$3),"")</f>
        <v/>
      </c>
      <c r="E8501">
        <f>IF(B8501=1,D8501,E8500)</f>
        <v/>
      </c>
      <c r="F8501">
        <f>IF(AND(B8501=1,C8501&gt;1,E8500&lt;&gt;""),ABS(D8501-E8500),"")</f>
        <v/>
      </c>
    </row>
    <row r="8502">
      <c r="A8502" t="n">
        <v>8502</v>
      </c>
      <c r="B8502">
        <f>IF(INDEX('Data Entry'!$H$5:$BE$10004,8502-4,'Visual SPC'!$B$3)="",0,IF(AND(OR('Visual SPC'!$C$4="",'Data Entry'!$C8502&gt;='Visual SPC'!$C$4),OR('Visual SPC'!$E$4="",'Data Entry'!$C8502&lt;='Visual SPC'!$E$4),OR('Visual SPC'!$G$4="",'Data Entry'!$D8502='Visual SPC'!$G$4),OR('Visual SPC'!$I$4="",'Data Entry'!$E8502='Visual SPC'!$I$4),OR('Visual SPC'!$K$4="",'Data Entry'!$F8502='Visual SPC'!$K$4)),1,0))</f>
        <v/>
      </c>
      <c r="C8502">
        <f>C8501+B8502</f>
        <v/>
      </c>
      <c r="D8502">
        <f>IF(B8502=1,INDEX('Data Entry'!$H$5:$BE$10004,8502-4,'Visual SPC'!$B$3),"")</f>
        <v/>
      </c>
      <c r="E8502">
        <f>IF(B8502=1,D8502,E8501)</f>
        <v/>
      </c>
      <c r="F8502">
        <f>IF(AND(B8502=1,C8502&gt;1,E8501&lt;&gt;""),ABS(D8502-E8501),"")</f>
        <v/>
      </c>
    </row>
    <row r="8503">
      <c r="A8503" t="n">
        <v>8503</v>
      </c>
      <c r="B8503">
        <f>IF(INDEX('Data Entry'!$H$5:$BE$10004,8503-4,'Visual SPC'!$B$3)="",0,IF(AND(OR('Visual SPC'!$C$4="",'Data Entry'!$C8503&gt;='Visual SPC'!$C$4),OR('Visual SPC'!$E$4="",'Data Entry'!$C8503&lt;='Visual SPC'!$E$4),OR('Visual SPC'!$G$4="",'Data Entry'!$D8503='Visual SPC'!$G$4),OR('Visual SPC'!$I$4="",'Data Entry'!$E8503='Visual SPC'!$I$4),OR('Visual SPC'!$K$4="",'Data Entry'!$F8503='Visual SPC'!$K$4)),1,0))</f>
        <v/>
      </c>
      <c r="C8503">
        <f>C8502+B8503</f>
        <v/>
      </c>
      <c r="D8503">
        <f>IF(B8503=1,INDEX('Data Entry'!$H$5:$BE$10004,8503-4,'Visual SPC'!$B$3),"")</f>
        <v/>
      </c>
      <c r="E8503">
        <f>IF(B8503=1,D8503,E8502)</f>
        <v/>
      </c>
      <c r="F8503">
        <f>IF(AND(B8503=1,C8503&gt;1,E8502&lt;&gt;""),ABS(D8503-E8502),"")</f>
        <v/>
      </c>
    </row>
    <row r="8504">
      <c r="A8504" t="n">
        <v>8504</v>
      </c>
      <c r="B8504">
        <f>IF(INDEX('Data Entry'!$H$5:$BE$10004,8504-4,'Visual SPC'!$B$3)="",0,IF(AND(OR('Visual SPC'!$C$4="",'Data Entry'!$C8504&gt;='Visual SPC'!$C$4),OR('Visual SPC'!$E$4="",'Data Entry'!$C8504&lt;='Visual SPC'!$E$4),OR('Visual SPC'!$G$4="",'Data Entry'!$D8504='Visual SPC'!$G$4),OR('Visual SPC'!$I$4="",'Data Entry'!$E8504='Visual SPC'!$I$4),OR('Visual SPC'!$K$4="",'Data Entry'!$F8504='Visual SPC'!$K$4)),1,0))</f>
        <v/>
      </c>
      <c r="C8504">
        <f>C8503+B8504</f>
        <v/>
      </c>
      <c r="D8504">
        <f>IF(B8504=1,INDEX('Data Entry'!$H$5:$BE$10004,8504-4,'Visual SPC'!$B$3),"")</f>
        <v/>
      </c>
      <c r="E8504">
        <f>IF(B8504=1,D8504,E8503)</f>
        <v/>
      </c>
      <c r="F8504">
        <f>IF(AND(B8504=1,C8504&gt;1,E8503&lt;&gt;""),ABS(D8504-E8503),"")</f>
        <v/>
      </c>
    </row>
    <row r="8505">
      <c r="A8505" t="n">
        <v>8505</v>
      </c>
      <c r="B8505">
        <f>IF(INDEX('Data Entry'!$H$5:$BE$10004,8505-4,'Visual SPC'!$B$3)="",0,IF(AND(OR('Visual SPC'!$C$4="",'Data Entry'!$C8505&gt;='Visual SPC'!$C$4),OR('Visual SPC'!$E$4="",'Data Entry'!$C8505&lt;='Visual SPC'!$E$4),OR('Visual SPC'!$G$4="",'Data Entry'!$D8505='Visual SPC'!$G$4),OR('Visual SPC'!$I$4="",'Data Entry'!$E8505='Visual SPC'!$I$4),OR('Visual SPC'!$K$4="",'Data Entry'!$F8505='Visual SPC'!$K$4)),1,0))</f>
        <v/>
      </c>
      <c r="C8505">
        <f>C8504+B8505</f>
        <v/>
      </c>
      <c r="D8505">
        <f>IF(B8505=1,INDEX('Data Entry'!$H$5:$BE$10004,8505-4,'Visual SPC'!$B$3),"")</f>
        <v/>
      </c>
      <c r="E8505">
        <f>IF(B8505=1,D8505,E8504)</f>
        <v/>
      </c>
      <c r="F8505">
        <f>IF(AND(B8505=1,C8505&gt;1,E8504&lt;&gt;""),ABS(D8505-E8504),"")</f>
        <v/>
      </c>
    </row>
    <row r="8506">
      <c r="A8506" t="n">
        <v>8506</v>
      </c>
      <c r="B8506">
        <f>IF(INDEX('Data Entry'!$H$5:$BE$10004,8506-4,'Visual SPC'!$B$3)="",0,IF(AND(OR('Visual SPC'!$C$4="",'Data Entry'!$C8506&gt;='Visual SPC'!$C$4),OR('Visual SPC'!$E$4="",'Data Entry'!$C8506&lt;='Visual SPC'!$E$4),OR('Visual SPC'!$G$4="",'Data Entry'!$D8506='Visual SPC'!$G$4),OR('Visual SPC'!$I$4="",'Data Entry'!$E8506='Visual SPC'!$I$4),OR('Visual SPC'!$K$4="",'Data Entry'!$F8506='Visual SPC'!$K$4)),1,0))</f>
        <v/>
      </c>
      <c r="C8506">
        <f>C8505+B8506</f>
        <v/>
      </c>
      <c r="D8506">
        <f>IF(B8506=1,INDEX('Data Entry'!$H$5:$BE$10004,8506-4,'Visual SPC'!$B$3),"")</f>
        <v/>
      </c>
      <c r="E8506">
        <f>IF(B8506=1,D8506,E8505)</f>
        <v/>
      </c>
      <c r="F8506">
        <f>IF(AND(B8506=1,C8506&gt;1,E8505&lt;&gt;""),ABS(D8506-E8505),"")</f>
        <v/>
      </c>
    </row>
    <row r="8507">
      <c r="A8507" t="n">
        <v>8507</v>
      </c>
      <c r="B8507">
        <f>IF(INDEX('Data Entry'!$H$5:$BE$10004,8507-4,'Visual SPC'!$B$3)="",0,IF(AND(OR('Visual SPC'!$C$4="",'Data Entry'!$C8507&gt;='Visual SPC'!$C$4),OR('Visual SPC'!$E$4="",'Data Entry'!$C8507&lt;='Visual SPC'!$E$4),OR('Visual SPC'!$G$4="",'Data Entry'!$D8507='Visual SPC'!$G$4),OR('Visual SPC'!$I$4="",'Data Entry'!$E8507='Visual SPC'!$I$4),OR('Visual SPC'!$K$4="",'Data Entry'!$F8507='Visual SPC'!$K$4)),1,0))</f>
        <v/>
      </c>
      <c r="C8507">
        <f>C8506+B8507</f>
        <v/>
      </c>
      <c r="D8507">
        <f>IF(B8507=1,INDEX('Data Entry'!$H$5:$BE$10004,8507-4,'Visual SPC'!$B$3),"")</f>
        <v/>
      </c>
      <c r="E8507">
        <f>IF(B8507=1,D8507,E8506)</f>
        <v/>
      </c>
      <c r="F8507">
        <f>IF(AND(B8507=1,C8507&gt;1,E8506&lt;&gt;""),ABS(D8507-E8506),"")</f>
        <v/>
      </c>
    </row>
    <row r="8508">
      <c r="A8508" t="n">
        <v>8508</v>
      </c>
      <c r="B8508">
        <f>IF(INDEX('Data Entry'!$H$5:$BE$10004,8508-4,'Visual SPC'!$B$3)="",0,IF(AND(OR('Visual SPC'!$C$4="",'Data Entry'!$C8508&gt;='Visual SPC'!$C$4),OR('Visual SPC'!$E$4="",'Data Entry'!$C8508&lt;='Visual SPC'!$E$4),OR('Visual SPC'!$G$4="",'Data Entry'!$D8508='Visual SPC'!$G$4),OR('Visual SPC'!$I$4="",'Data Entry'!$E8508='Visual SPC'!$I$4),OR('Visual SPC'!$K$4="",'Data Entry'!$F8508='Visual SPC'!$K$4)),1,0))</f>
        <v/>
      </c>
      <c r="C8508">
        <f>C8507+B8508</f>
        <v/>
      </c>
      <c r="D8508">
        <f>IF(B8508=1,INDEX('Data Entry'!$H$5:$BE$10004,8508-4,'Visual SPC'!$B$3),"")</f>
        <v/>
      </c>
      <c r="E8508">
        <f>IF(B8508=1,D8508,E8507)</f>
        <v/>
      </c>
      <c r="F8508">
        <f>IF(AND(B8508=1,C8508&gt;1,E8507&lt;&gt;""),ABS(D8508-E8507),"")</f>
        <v/>
      </c>
    </row>
    <row r="8509">
      <c r="A8509" t="n">
        <v>8509</v>
      </c>
      <c r="B8509">
        <f>IF(INDEX('Data Entry'!$H$5:$BE$10004,8509-4,'Visual SPC'!$B$3)="",0,IF(AND(OR('Visual SPC'!$C$4="",'Data Entry'!$C8509&gt;='Visual SPC'!$C$4),OR('Visual SPC'!$E$4="",'Data Entry'!$C8509&lt;='Visual SPC'!$E$4),OR('Visual SPC'!$G$4="",'Data Entry'!$D8509='Visual SPC'!$G$4),OR('Visual SPC'!$I$4="",'Data Entry'!$E8509='Visual SPC'!$I$4),OR('Visual SPC'!$K$4="",'Data Entry'!$F8509='Visual SPC'!$K$4)),1,0))</f>
        <v/>
      </c>
      <c r="C8509">
        <f>C8508+B8509</f>
        <v/>
      </c>
      <c r="D8509">
        <f>IF(B8509=1,INDEX('Data Entry'!$H$5:$BE$10004,8509-4,'Visual SPC'!$B$3),"")</f>
        <v/>
      </c>
      <c r="E8509">
        <f>IF(B8509=1,D8509,E8508)</f>
        <v/>
      </c>
      <c r="F8509">
        <f>IF(AND(B8509=1,C8509&gt;1,E8508&lt;&gt;""),ABS(D8509-E8508),"")</f>
        <v/>
      </c>
    </row>
    <row r="8510">
      <c r="A8510" t="n">
        <v>8510</v>
      </c>
      <c r="B8510">
        <f>IF(INDEX('Data Entry'!$H$5:$BE$10004,8510-4,'Visual SPC'!$B$3)="",0,IF(AND(OR('Visual SPC'!$C$4="",'Data Entry'!$C8510&gt;='Visual SPC'!$C$4),OR('Visual SPC'!$E$4="",'Data Entry'!$C8510&lt;='Visual SPC'!$E$4),OR('Visual SPC'!$G$4="",'Data Entry'!$D8510='Visual SPC'!$G$4),OR('Visual SPC'!$I$4="",'Data Entry'!$E8510='Visual SPC'!$I$4),OR('Visual SPC'!$K$4="",'Data Entry'!$F8510='Visual SPC'!$K$4)),1,0))</f>
        <v/>
      </c>
      <c r="C8510">
        <f>C8509+B8510</f>
        <v/>
      </c>
      <c r="D8510">
        <f>IF(B8510=1,INDEX('Data Entry'!$H$5:$BE$10004,8510-4,'Visual SPC'!$B$3),"")</f>
        <v/>
      </c>
      <c r="E8510">
        <f>IF(B8510=1,D8510,E8509)</f>
        <v/>
      </c>
      <c r="F8510">
        <f>IF(AND(B8510=1,C8510&gt;1,E8509&lt;&gt;""),ABS(D8510-E8509),"")</f>
        <v/>
      </c>
    </row>
    <row r="8511">
      <c r="A8511" t="n">
        <v>8511</v>
      </c>
      <c r="B8511">
        <f>IF(INDEX('Data Entry'!$H$5:$BE$10004,8511-4,'Visual SPC'!$B$3)="",0,IF(AND(OR('Visual SPC'!$C$4="",'Data Entry'!$C8511&gt;='Visual SPC'!$C$4),OR('Visual SPC'!$E$4="",'Data Entry'!$C8511&lt;='Visual SPC'!$E$4),OR('Visual SPC'!$G$4="",'Data Entry'!$D8511='Visual SPC'!$G$4),OR('Visual SPC'!$I$4="",'Data Entry'!$E8511='Visual SPC'!$I$4),OR('Visual SPC'!$K$4="",'Data Entry'!$F8511='Visual SPC'!$K$4)),1,0))</f>
        <v/>
      </c>
      <c r="C8511">
        <f>C8510+B8511</f>
        <v/>
      </c>
      <c r="D8511">
        <f>IF(B8511=1,INDEX('Data Entry'!$H$5:$BE$10004,8511-4,'Visual SPC'!$B$3),"")</f>
        <v/>
      </c>
      <c r="E8511">
        <f>IF(B8511=1,D8511,E8510)</f>
        <v/>
      </c>
      <c r="F8511">
        <f>IF(AND(B8511=1,C8511&gt;1,E8510&lt;&gt;""),ABS(D8511-E8510),"")</f>
        <v/>
      </c>
    </row>
    <row r="8512">
      <c r="A8512" t="n">
        <v>8512</v>
      </c>
      <c r="B8512">
        <f>IF(INDEX('Data Entry'!$H$5:$BE$10004,8512-4,'Visual SPC'!$B$3)="",0,IF(AND(OR('Visual SPC'!$C$4="",'Data Entry'!$C8512&gt;='Visual SPC'!$C$4),OR('Visual SPC'!$E$4="",'Data Entry'!$C8512&lt;='Visual SPC'!$E$4),OR('Visual SPC'!$G$4="",'Data Entry'!$D8512='Visual SPC'!$G$4),OR('Visual SPC'!$I$4="",'Data Entry'!$E8512='Visual SPC'!$I$4),OR('Visual SPC'!$K$4="",'Data Entry'!$F8512='Visual SPC'!$K$4)),1,0))</f>
        <v/>
      </c>
      <c r="C8512">
        <f>C8511+B8512</f>
        <v/>
      </c>
      <c r="D8512">
        <f>IF(B8512=1,INDEX('Data Entry'!$H$5:$BE$10004,8512-4,'Visual SPC'!$B$3),"")</f>
        <v/>
      </c>
      <c r="E8512">
        <f>IF(B8512=1,D8512,E8511)</f>
        <v/>
      </c>
      <c r="F8512">
        <f>IF(AND(B8512=1,C8512&gt;1,E8511&lt;&gt;""),ABS(D8512-E8511),"")</f>
        <v/>
      </c>
    </row>
    <row r="8513">
      <c r="A8513" t="n">
        <v>8513</v>
      </c>
      <c r="B8513">
        <f>IF(INDEX('Data Entry'!$H$5:$BE$10004,8513-4,'Visual SPC'!$B$3)="",0,IF(AND(OR('Visual SPC'!$C$4="",'Data Entry'!$C8513&gt;='Visual SPC'!$C$4),OR('Visual SPC'!$E$4="",'Data Entry'!$C8513&lt;='Visual SPC'!$E$4),OR('Visual SPC'!$G$4="",'Data Entry'!$D8513='Visual SPC'!$G$4),OR('Visual SPC'!$I$4="",'Data Entry'!$E8513='Visual SPC'!$I$4),OR('Visual SPC'!$K$4="",'Data Entry'!$F8513='Visual SPC'!$K$4)),1,0))</f>
        <v/>
      </c>
      <c r="C8513">
        <f>C8512+B8513</f>
        <v/>
      </c>
      <c r="D8513">
        <f>IF(B8513=1,INDEX('Data Entry'!$H$5:$BE$10004,8513-4,'Visual SPC'!$B$3),"")</f>
        <v/>
      </c>
      <c r="E8513">
        <f>IF(B8513=1,D8513,E8512)</f>
        <v/>
      </c>
      <c r="F8513">
        <f>IF(AND(B8513=1,C8513&gt;1,E8512&lt;&gt;""),ABS(D8513-E8512),"")</f>
        <v/>
      </c>
    </row>
    <row r="8514">
      <c r="A8514" t="n">
        <v>8514</v>
      </c>
      <c r="B8514">
        <f>IF(INDEX('Data Entry'!$H$5:$BE$10004,8514-4,'Visual SPC'!$B$3)="",0,IF(AND(OR('Visual SPC'!$C$4="",'Data Entry'!$C8514&gt;='Visual SPC'!$C$4),OR('Visual SPC'!$E$4="",'Data Entry'!$C8514&lt;='Visual SPC'!$E$4),OR('Visual SPC'!$G$4="",'Data Entry'!$D8514='Visual SPC'!$G$4),OR('Visual SPC'!$I$4="",'Data Entry'!$E8514='Visual SPC'!$I$4),OR('Visual SPC'!$K$4="",'Data Entry'!$F8514='Visual SPC'!$K$4)),1,0))</f>
        <v/>
      </c>
      <c r="C8514">
        <f>C8513+B8514</f>
        <v/>
      </c>
      <c r="D8514">
        <f>IF(B8514=1,INDEX('Data Entry'!$H$5:$BE$10004,8514-4,'Visual SPC'!$B$3),"")</f>
        <v/>
      </c>
      <c r="E8514">
        <f>IF(B8514=1,D8514,E8513)</f>
        <v/>
      </c>
      <c r="F8514">
        <f>IF(AND(B8514=1,C8514&gt;1,E8513&lt;&gt;""),ABS(D8514-E8513),"")</f>
        <v/>
      </c>
    </row>
    <row r="8515">
      <c r="A8515" t="n">
        <v>8515</v>
      </c>
      <c r="B8515">
        <f>IF(INDEX('Data Entry'!$H$5:$BE$10004,8515-4,'Visual SPC'!$B$3)="",0,IF(AND(OR('Visual SPC'!$C$4="",'Data Entry'!$C8515&gt;='Visual SPC'!$C$4),OR('Visual SPC'!$E$4="",'Data Entry'!$C8515&lt;='Visual SPC'!$E$4),OR('Visual SPC'!$G$4="",'Data Entry'!$D8515='Visual SPC'!$G$4),OR('Visual SPC'!$I$4="",'Data Entry'!$E8515='Visual SPC'!$I$4),OR('Visual SPC'!$K$4="",'Data Entry'!$F8515='Visual SPC'!$K$4)),1,0))</f>
        <v/>
      </c>
      <c r="C8515">
        <f>C8514+B8515</f>
        <v/>
      </c>
      <c r="D8515">
        <f>IF(B8515=1,INDEX('Data Entry'!$H$5:$BE$10004,8515-4,'Visual SPC'!$B$3),"")</f>
        <v/>
      </c>
      <c r="E8515">
        <f>IF(B8515=1,D8515,E8514)</f>
        <v/>
      </c>
      <c r="F8515">
        <f>IF(AND(B8515=1,C8515&gt;1,E8514&lt;&gt;""),ABS(D8515-E8514),"")</f>
        <v/>
      </c>
    </row>
    <row r="8516">
      <c r="A8516" t="n">
        <v>8516</v>
      </c>
      <c r="B8516">
        <f>IF(INDEX('Data Entry'!$H$5:$BE$10004,8516-4,'Visual SPC'!$B$3)="",0,IF(AND(OR('Visual SPC'!$C$4="",'Data Entry'!$C8516&gt;='Visual SPC'!$C$4),OR('Visual SPC'!$E$4="",'Data Entry'!$C8516&lt;='Visual SPC'!$E$4),OR('Visual SPC'!$G$4="",'Data Entry'!$D8516='Visual SPC'!$G$4),OR('Visual SPC'!$I$4="",'Data Entry'!$E8516='Visual SPC'!$I$4),OR('Visual SPC'!$K$4="",'Data Entry'!$F8516='Visual SPC'!$K$4)),1,0))</f>
        <v/>
      </c>
      <c r="C8516">
        <f>C8515+B8516</f>
        <v/>
      </c>
      <c r="D8516">
        <f>IF(B8516=1,INDEX('Data Entry'!$H$5:$BE$10004,8516-4,'Visual SPC'!$B$3),"")</f>
        <v/>
      </c>
      <c r="E8516">
        <f>IF(B8516=1,D8516,E8515)</f>
        <v/>
      </c>
      <c r="F8516">
        <f>IF(AND(B8516=1,C8516&gt;1,E8515&lt;&gt;""),ABS(D8516-E8515),"")</f>
        <v/>
      </c>
    </row>
    <row r="8517">
      <c r="A8517" t="n">
        <v>8517</v>
      </c>
      <c r="B8517">
        <f>IF(INDEX('Data Entry'!$H$5:$BE$10004,8517-4,'Visual SPC'!$B$3)="",0,IF(AND(OR('Visual SPC'!$C$4="",'Data Entry'!$C8517&gt;='Visual SPC'!$C$4),OR('Visual SPC'!$E$4="",'Data Entry'!$C8517&lt;='Visual SPC'!$E$4),OR('Visual SPC'!$G$4="",'Data Entry'!$D8517='Visual SPC'!$G$4),OR('Visual SPC'!$I$4="",'Data Entry'!$E8517='Visual SPC'!$I$4),OR('Visual SPC'!$K$4="",'Data Entry'!$F8517='Visual SPC'!$K$4)),1,0))</f>
        <v/>
      </c>
      <c r="C8517">
        <f>C8516+B8517</f>
        <v/>
      </c>
      <c r="D8517">
        <f>IF(B8517=1,INDEX('Data Entry'!$H$5:$BE$10004,8517-4,'Visual SPC'!$B$3),"")</f>
        <v/>
      </c>
      <c r="E8517">
        <f>IF(B8517=1,D8517,E8516)</f>
        <v/>
      </c>
      <c r="F8517">
        <f>IF(AND(B8517=1,C8517&gt;1,E8516&lt;&gt;""),ABS(D8517-E8516),"")</f>
        <v/>
      </c>
    </row>
    <row r="8518">
      <c r="A8518" t="n">
        <v>8518</v>
      </c>
      <c r="B8518">
        <f>IF(INDEX('Data Entry'!$H$5:$BE$10004,8518-4,'Visual SPC'!$B$3)="",0,IF(AND(OR('Visual SPC'!$C$4="",'Data Entry'!$C8518&gt;='Visual SPC'!$C$4),OR('Visual SPC'!$E$4="",'Data Entry'!$C8518&lt;='Visual SPC'!$E$4),OR('Visual SPC'!$G$4="",'Data Entry'!$D8518='Visual SPC'!$G$4),OR('Visual SPC'!$I$4="",'Data Entry'!$E8518='Visual SPC'!$I$4),OR('Visual SPC'!$K$4="",'Data Entry'!$F8518='Visual SPC'!$K$4)),1,0))</f>
        <v/>
      </c>
      <c r="C8518">
        <f>C8517+B8518</f>
        <v/>
      </c>
      <c r="D8518">
        <f>IF(B8518=1,INDEX('Data Entry'!$H$5:$BE$10004,8518-4,'Visual SPC'!$B$3),"")</f>
        <v/>
      </c>
      <c r="E8518">
        <f>IF(B8518=1,D8518,E8517)</f>
        <v/>
      </c>
      <c r="F8518">
        <f>IF(AND(B8518=1,C8518&gt;1,E8517&lt;&gt;""),ABS(D8518-E8517),"")</f>
        <v/>
      </c>
    </row>
    <row r="8519">
      <c r="A8519" t="n">
        <v>8519</v>
      </c>
      <c r="B8519">
        <f>IF(INDEX('Data Entry'!$H$5:$BE$10004,8519-4,'Visual SPC'!$B$3)="",0,IF(AND(OR('Visual SPC'!$C$4="",'Data Entry'!$C8519&gt;='Visual SPC'!$C$4),OR('Visual SPC'!$E$4="",'Data Entry'!$C8519&lt;='Visual SPC'!$E$4),OR('Visual SPC'!$G$4="",'Data Entry'!$D8519='Visual SPC'!$G$4),OR('Visual SPC'!$I$4="",'Data Entry'!$E8519='Visual SPC'!$I$4),OR('Visual SPC'!$K$4="",'Data Entry'!$F8519='Visual SPC'!$K$4)),1,0))</f>
        <v/>
      </c>
      <c r="C8519">
        <f>C8518+B8519</f>
        <v/>
      </c>
      <c r="D8519">
        <f>IF(B8519=1,INDEX('Data Entry'!$H$5:$BE$10004,8519-4,'Visual SPC'!$B$3),"")</f>
        <v/>
      </c>
      <c r="E8519">
        <f>IF(B8519=1,D8519,E8518)</f>
        <v/>
      </c>
      <c r="F8519">
        <f>IF(AND(B8519=1,C8519&gt;1,E8518&lt;&gt;""),ABS(D8519-E8518),"")</f>
        <v/>
      </c>
    </row>
    <row r="8520">
      <c r="A8520" t="n">
        <v>8520</v>
      </c>
      <c r="B8520">
        <f>IF(INDEX('Data Entry'!$H$5:$BE$10004,8520-4,'Visual SPC'!$B$3)="",0,IF(AND(OR('Visual SPC'!$C$4="",'Data Entry'!$C8520&gt;='Visual SPC'!$C$4),OR('Visual SPC'!$E$4="",'Data Entry'!$C8520&lt;='Visual SPC'!$E$4),OR('Visual SPC'!$G$4="",'Data Entry'!$D8520='Visual SPC'!$G$4),OR('Visual SPC'!$I$4="",'Data Entry'!$E8520='Visual SPC'!$I$4),OR('Visual SPC'!$K$4="",'Data Entry'!$F8520='Visual SPC'!$K$4)),1,0))</f>
        <v/>
      </c>
      <c r="C8520">
        <f>C8519+B8520</f>
        <v/>
      </c>
      <c r="D8520">
        <f>IF(B8520=1,INDEX('Data Entry'!$H$5:$BE$10004,8520-4,'Visual SPC'!$B$3),"")</f>
        <v/>
      </c>
      <c r="E8520">
        <f>IF(B8520=1,D8520,E8519)</f>
        <v/>
      </c>
      <c r="F8520">
        <f>IF(AND(B8520=1,C8520&gt;1,E8519&lt;&gt;""),ABS(D8520-E8519),"")</f>
        <v/>
      </c>
    </row>
    <row r="8521">
      <c r="A8521" t="n">
        <v>8521</v>
      </c>
      <c r="B8521">
        <f>IF(INDEX('Data Entry'!$H$5:$BE$10004,8521-4,'Visual SPC'!$B$3)="",0,IF(AND(OR('Visual SPC'!$C$4="",'Data Entry'!$C8521&gt;='Visual SPC'!$C$4),OR('Visual SPC'!$E$4="",'Data Entry'!$C8521&lt;='Visual SPC'!$E$4),OR('Visual SPC'!$G$4="",'Data Entry'!$D8521='Visual SPC'!$G$4),OR('Visual SPC'!$I$4="",'Data Entry'!$E8521='Visual SPC'!$I$4),OR('Visual SPC'!$K$4="",'Data Entry'!$F8521='Visual SPC'!$K$4)),1,0))</f>
        <v/>
      </c>
      <c r="C8521">
        <f>C8520+B8521</f>
        <v/>
      </c>
      <c r="D8521">
        <f>IF(B8521=1,INDEX('Data Entry'!$H$5:$BE$10004,8521-4,'Visual SPC'!$B$3),"")</f>
        <v/>
      </c>
      <c r="E8521">
        <f>IF(B8521=1,D8521,E8520)</f>
        <v/>
      </c>
      <c r="F8521">
        <f>IF(AND(B8521=1,C8521&gt;1,E8520&lt;&gt;""),ABS(D8521-E8520),"")</f>
        <v/>
      </c>
    </row>
    <row r="8522">
      <c r="A8522" t="n">
        <v>8522</v>
      </c>
      <c r="B8522">
        <f>IF(INDEX('Data Entry'!$H$5:$BE$10004,8522-4,'Visual SPC'!$B$3)="",0,IF(AND(OR('Visual SPC'!$C$4="",'Data Entry'!$C8522&gt;='Visual SPC'!$C$4),OR('Visual SPC'!$E$4="",'Data Entry'!$C8522&lt;='Visual SPC'!$E$4),OR('Visual SPC'!$G$4="",'Data Entry'!$D8522='Visual SPC'!$G$4),OR('Visual SPC'!$I$4="",'Data Entry'!$E8522='Visual SPC'!$I$4),OR('Visual SPC'!$K$4="",'Data Entry'!$F8522='Visual SPC'!$K$4)),1,0))</f>
        <v/>
      </c>
      <c r="C8522">
        <f>C8521+B8522</f>
        <v/>
      </c>
      <c r="D8522">
        <f>IF(B8522=1,INDEX('Data Entry'!$H$5:$BE$10004,8522-4,'Visual SPC'!$B$3),"")</f>
        <v/>
      </c>
      <c r="E8522">
        <f>IF(B8522=1,D8522,E8521)</f>
        <v/>
      </c>
      <c r="F8522">
        <f>IF(AND(B8522=1,C8522&gt;1,E8521&lt;&gt;""),ABS(D8522-E8521),"")</f>
        <v/>
      </c>
    </row>
    <row r="8523">
      <c r="A8523" t="n">
        <v>8523</v>
      </c>
      <c r="B8523">
        <f>IF(INDEX('Data Entry'!$H$5:$BE$10004,8523-4,'Visual SPC'!$B$3)="",0,IF(AND(OR('Visual SPC'!$C$4="",'Data Entry'!$C8523&gt;='Visual SPC'!$C$4),OR('Visual SPC'!$E$4="",'Data Entry'!$C8523&lt;='Visual SPC'!$E$4),OR('Visual SPC'!$G$4="",'Data Entry'!$D8523='Visual SPC'!$G$4),OR('Visual SPC'!$I$4="",'Data Entry'!$E8523='Visual SPC'!$I$4),OR('Visual SPC'!$K$4="",'Data Entry'!$F8523='Visual SPC'!$K$4)),1,0))</f>
        <v/>
      </c>
      <c r="C8523">
        <f>C8522+B8523</f>
        <v/>
      </c>
      <c r="D8523">
        <f>IF(B8523=1,INDEX('Data Entry'!$H$5:$BE$10004,8523-4,'Visual SPC'!$B$3),"")</f>
        <v/>
      </c>
      <c r="E8523">
        <f>IF(B8523=1,D8523,E8522)</f>
        <v/>
      </c>
      <c r="F8523">
        <f>IF(AND(B8523=1,C8523&gt;1,E8522&lt;&gt;""),ABS(D8523-E8522),"")</f>
        <v/>
      </c>
    </row>
    <row r="8524">
      <c r="A8524" t="n">
        <v>8524</v>
      </c>
      <c r="B8524">
        <f>IF(INDEX('Data Entry'!$H$5:$BE$10004,8524-4,'Visual SPC'!$B$3)="",0,IF(AND(OR('Visual SPC'!$C$4="",'Data Entry'!$C8524&gt;='Visual SPC'!$C$4),OR('Visual SPC'!$E$4="",'Data Entry'!$C8524&lt;='Visual SPC'!$E$4),OR('Visual SPC'!$G$4="",'Data Entry'!$D8524='Visual SPC'!$G$4),OR('Visual SPC'!$I$4="",'Data Entry'!$E8524='Visual SPC'!$I$4),OR('Visual SPC'!$K$4="",'Data Entry'!$F8524='Visual SPC'!$K$4)),1,0))</f>
        <v/>
      </c>
      <c r="C8524">
        <f>C8523+B8524</f>
        <v/>
      </c>
      <c r="D8524">
        <f>IF(B8524=1,INDEX('Data Entry'!$H$5:$BE$10004,8524-4,'Visual SPC'!$B$3),"")</f>
        <v/>
      </c>
      <c r="E8524">
        <f>IF(B8524=1,D8524,E8523)</f>
        <v/>
      </c>
      <c r="F8524">
        <f>IF(AND(B8524=1,C8524&gt;1,E8523&lt;&gt;""),ABS(D8524-E8523),"")</f>
        <v/>
      </c>
    </row>
    <row r="8525">
      <c r="A8525" t="n">
        <v>8525</v>
      </c>
      <c r="B8525">
        <f>IF(INDEX('Data Entry'!$H$5:$BE$10004,8525-4,'Visual SPC'!$B$3)="",0,IF(AND(OR('Visual SPC'!$C$4="",'Data Entry'!$C8525&gt;='Visual SPC'!$C$4),OR('Visual SPC'!$E$4="",'Data Entry'!$C8525&lt;='Visual SPC'!$E$4),OR('Visual SPC'!$G$4="",'Data Entry'!$D8525='Visual SPC'!$G$4),OR('Visual SPC'!$I$4="",'Data Entry'!$E8525='Visual SPC'!$I$4),OR('Visual SPC'!$K$4="",'Data Entry'!$F8525='Visual SPC'!$K$4)),1,0))</f>
        <v/>
      </c>
      <c r="C8525">
        <f>C8524+B8525</f>
        <v/>
      </c>
      <c r="D8525">
        <f>IF(B8525=1,INDEX('Data Entry'!$H$5:$BE$10004,8525-4,'Visual SPC'!$B$3),"")</f>
        <v/>
      </c>
      <c r="E8525">
        <f>IF(B8525=1,D8525,E8524)</f>
        <v/>
      </c>
      <c r="F8525">
        <f>IF(AND(B8525=1,C8525&gt;1,E8524&lt;&gt;""),ABS(D8525-E8524),"")</f>
        <v/>
      </c>
    </row>
    <row r="8526">
      <c r="A8526" t="n">
        <v>8526</v>
      </c>
      <c r="B8526">
        <f>IF(INDEX('Data Entry'!$H$5:$BE$10004,8526-4,'Visual SPC'!$B$3)="",0,IF(AND(OR('Visual SPC'!$C$4="",'Data Entry'!$C8526&gt;='Visual SPC'!$C$4),OR('Visual SPC'!$E$4="",'Data Entry'!$C8526&lt;='Visual SPC'!$E$4),OR('Visual SPC'!$G$4="",'Data Entry'!$D8526='Visual SPC'!$G$4),OR('Visual SPC'!$I$4="",'Data Entry'!$E8526='Visual SPC'!$I$4),OR('Visual SPC'!$K$4="",'Data Entry'!$F8526='Visual SPC'!$K$4)),1,0))</f>
        <v/>
      </c>
      <c r="C8526">
        <f>C8525+B8526</f>
        <v/>
      </c>
      <c r="D8526">
        <f>IF(B8526=1,INDEX('Data Entry'!$H$5:$BE$10004,8526-4,'Visual SPC'!$B$3),"")</f>
        <v/>
      </c>
      <c r="E8526">
        <f>IF(B8526=1,D8526,E8525)</f>
        <v/>
      </c>
      <c r="F8526">
        <f>IF(AND(B8526=1,C8526&gt;1,E8525&lt;&gt;""),ABS(D8526-E8525),"")</f>
        <v/>
      </c>
    </row>
    <row r="8527">
      <c r="A8527" t="n">
        <v>8527</v>
      </c>
      <c r="B8527">
        <f>IF(INDEX('Data Entry'!$H$5:$BE$10004,8527-4,'Visual SPC'!$B$3)="",0,IF(AND(OR('Visual SPC'!$C$4="",'Data Entry'!$C8527&gt;='Visual SPC'!$C$4),OR('Visual SPC'!$E$4="",'Data Entry'!$C8527&lt;='Visual SPC'!$E$4),OR('Visual SPC'!$G$4="",'Data Entry'!$D8527='Visual SPC'!$G$4),OR('Visual SPC'!$I$4="",'Data Entry'!$E8527='Visual SPC'!$I$4),OR('Visual SPC'!$K$4="",'Data Entry'!$F8527='Visual SPC'!$K$4)),1,0))</f>
        <v/>
      </c>
      <c r="C8527">
        <f>C8526+B8527</f>
        <v/>
      </c>
      <c r="D8527">
        <f>IF(B8527=1,INDEX('Data Entry'!$H$5:$BE$10004,8527-4,'Visual SPC'!$B$3),"")</f>
        <v/>
      </c>
      <c r="E8527">
        <f>IF(B8527=1,D8527,E8526)</f>
        <v/>
      </c>
      <c r="F8527">
        <f>IF(AND(B8527=1,C8527&gt;1,E8526&lt;&gt;""),ABS(D8527-E8526),"")</f>
        <v/>
      </c>
    </row>
    <row r="8528">
      <c r="A8528" t="n">
        <v>8528</v>
      </c>
      <c r="B8528">
        <f>IF(INDEX('Data Entry'!$H$5:$BE$10004,8528-4,'Visual SPC'!$B$3)="",0,IF(AND(OR('Visual SPC'!$C$4="",'Data Entry'!$C8528&gt;='Visual SPC'!$C$4),OR('Visual SPC'!$E$4="",'Data Entry'!$C8528&lt;='Visual SPC'!$E$4),OR('Visual SPC'!$G$4="",'Data Entry'!$D8528='Visual SPC'!$G$4),OR('Visual SPC'!$I$4="",'Data Entry'!$E8528='Visual SPC'!$I$4),OR('Visual SPC'!$K$4="",'Data Entry'!$F8528='Visual SPC'!$K$4)),1,0))</f>
        <v/>
      </c>
      <c r="C8528">
        <f>C8527+B8528</f>
        <v/>
      </c>
      <c r="D8528">
        <f>IF(B8528=1,INDEX('Data Entry'!$H$5:$BE$10004,8528-4,'Visual SPC'!$B$3),"")</f>
        <v/>
      </c>
      <c r="E8528">
        <f>IF(B8528=1,D8528,E8527)</f>
        <v/>
      </c>
      <c r="F8528">
        <f>IF(AND(B8528=1,C8528&gt;1,E8527&lt;&gt;""),ABS(D8528-E8527),"")</f>
        <v/>
      </c>
    </row>
    <row r="8529">
      <c r="A8529" t="n">
        <v>8529</v>
      </c>
      <c r="B8529">
        <f>IF(INDEX('Data Entry'!$H$5:$BE$10004,8529-4,'Visual SPC'!$B$3)="",0,IF(AND(OR('Visual SPC'!$C$4="",'Data Entry'!$C8529&gt;='Visual SPC'!$C$4),OR('Visual SPC'!$E$4="",'Data Entry'!$C8529&lt;='Visual SPC'!$E$4),OR('Visual SPC'!$G$4="",'Data Entry'!$D8529='Visual SPC'!$G$4),OR('Visual SPC'!$I$4="",'Data Entry'!$E8529='Visual SPC'!$I$4),OR('Visual SPC'!$K$4="",'Data Entry'!$F8529='Visual SPC'!$K$4)),1,0))</f>
        <v/>
      </c>
      <c r="C8529">
        <f>C8528+B8529</f>
        <v/>
      </c>
      <c r="D8529">
        <f>IF(B8529=1,INDEX('Data Entry'!$H$5:$BE$10004,8529-4,'Visual SPC'!$B$3),"")</f>
        <v/>
      </c>
      <c r="E8529">
        <f>IF(B8529=1,D8529,E8528)</f>
        <v/>
      </c>
      <c r="F8529">
        <f>IF(AND(B8529=1,C8529&gt;1,E8528&lt;&gt;""),ABS(D8529-E8528),"")</f>
        <v/>
      </c>
    </row>
    <row r="8530">
      <c r="A8530" t="n">
        <v>8530</v>
      </c>
      <c r="B8530">
        <f>IF(INDEX('Data Entry'!$H$5:$BE$10004,8530-4,'Visual SPC'!$B$3)="",0,IF(AND(OR('Visual SPC'!$C$4="",'Data Entry'!$C8530&gt;='Visual SPC'!$C$4),OR('Visual SPC'!$E$4="",'Data Entry'!$C8530&lt;='Visual SPC'!$E$4),OR('Visual SPC'!$G$4="",'Data Entry'!$D8530='Visual SPC'!$G$4),OR('Visual SPC'!$I$4="",'Data Entry'!$E8530='Visual SPC'!$I$4),OR('Visual SPC'!$K$4="",'Data Entry'!$F8530='Visual SPC'!$K$4)),1,0))</f>
        <v/>
      </c>
      <c r="C8530">
        <f>C8529+B8530</f>
        <v/>
      </c>
      <c r="D8530">
        <f>IF(B8530=1,INDEX('Data Entry'!$H$5:$BE$10004,8530-4,'Visual SPC'!$B$3),"")</f>
        <v/>
      </c>
      <c r="E8530">
        <f>IF(B8530=1,D8530,E8529)</f>
        <v/>
      </c>
      <c r="F8530">
        <f>IF(AND(B8530=1,C8530&gt;1,E8529&lt;&gt;""),ABS(D8530-E8529),"")</f>
        <v/>
      </c>
    </row>
    <row r="8531">
      <c r="A8531" t="n">
        <v>8531</v>
      </c>
      <c r="B8531">
        <f>IF(INDEX('Data Entry'!$H$5:$BE$10004,8531-4,'Visual SPC'!$B$3)="",0,IF(AND(OR('Visual SPC'!$C$4="",'Data Entry'!$C8531&gt;='Visual SPC'!$C$4),OR('Visual SPC'!$E$4="",'Data Entry'!$C8531&lt;='Visual SPC'!$E$4),OR('Visual SPC'!$G$4="",'Data Entry'!$D8531='Visual SPC'!$G$4),OR('Visual SPC'!$I$4="",'Data Entry'!$E8531='Visual SPC'!$I$4),OR('Visual SPC'!$K$4="",'Data Entry'!$F8531='Visual SPC'!$K$4)),1,0))</f>
        <v/>
      </c>
      <c r="C8531">
        <f>C8530+B8531</f>
        <v/>
      </c>
      <c r="D8531">
        <f>IF(B8531=1,INDEX('Data Entry'!$H$5:$BE$10004,8531-4,'Visual SPC'!$B$3),"")</f>
        <v/>
      </c>
      <c r="E8531">
        <f>IF(B8531=1,D8531,E8530)</f>
        <v/>
      </c>
      <c r="F8531">
        <f>IF(AND(B8531=1,C8531&gt;1,E8530&lt;&gt;""),ABS(D8531-E8530),"")</f>
        <v/>
      </c>
    </row>
    <row r="8532">
      <c r="A8532" t="n">
        <v>8532</v>
      </c>
      <c r="B8532">
        <f>IF(INDEX('Data Entry'!$H$5:$BE$10004,8532-4,'Visual SPC'!$B$3)="",0,IF(AND(OR('Visual SPC'!$C$4="",'Data Entry'!$C8532&gt;='Visual SPC'!$C$4),OR('Visual SPC'!$E$4="",'Data Entry'!$C8532&lt;='Visual SPC'!$E$4),OR('Visual SPC'!$G$4="",'Data Entry'!$D8532='Visual SPC'!$G$4),OR('Visual SPC'!$I$4="",'Data Entry'!$E8532='Visual SPC'!$I$4),OR('Visual SPC'!$K$4="",'Data Entry'!$F8532='Visual SPC'!$K$4)),1,0))</f>
        <v/>
      </c>
      <c r="C8532">
        <f>C8531+B8532</f>
        <v/>
      </c>
      <c r="D8532">
        <f>IF(B8532=1,INDEX('Data Entry'!$H$5:$BE$10004,8532-4,'Visual SPC'!$B$3),"")</f>
        <v/>
      </c>
      <c r="E8532">
        <f>IF(B8532=1,D8532,E8531)</f>
        <v/>
      </c>
      <c r="F8532">
        <f>IF(AND(B8532=1,C8532&gt;1,E8531&lt;&gt;""),ABS(D8532-E8531),"")</f>
        <v/>
      </c>
    </row>
    <row r="8533">
      <c r="A8533" t="n">
        <v>8533</v>
      </c>
      <c r="B8533">
        <f>IF(INDEX('Data Entry'!$H$5:$BE$10004,8533-4,'Visual SPC'!$B$3)="",0,IF(AND(OR('Visual SPC'!$C$4="",'Data Entry'!$C8533&gt;='Visual SPC'!$C$4),OR('Visual SPC'!$E$4="",'Data Entry'!$C8533&lt;='Visual SPC'!$E$4),OR('Visual SPC'!$G$4="",'Data Entry'!$D8533='Visual SPC'!$G$4),OR('Visual SPC'!$I$4="",'Data Entry'!$E8533='Visual SPC'!$I$4),OR('Visual SPC'!$K$4="",'Data Entry'!$F8533='Visual SPC'!$K$4)),1,0))</f>
        <v/>
      </c>
      <c r="C8533">
        <f>C8532+B8533</f>
        <v/>
      </c>
      <c r="D8533">
        <f>IF(B8533=1,INDEX('Data Entry'!$H$5:$BE$10004,8533-4,'Visual SPC'!$B$3),"")</f>
        <v/>
      </c>
      <c r="E8533">
        <f>IF(B8533=1,D8533,E8532)</f>
        <v/>
      </c>
      <c r="F8533">
        <f>IF(AND(B8533=1,C8533&gt;1,E8532&lt;&gt;""),ABS(D8533-E8532),"")</f>
        <v/>
      </c>
    </row>
    <row r="8534">
      <c r="A8534" t="n">
        <v>8534</v>
      </c>
      <c r="B8534">
        <f>IF(INDEX('Data Entry'!$H$5:$BE$10004,8534-4,'Visual SPC'!$B$3)="",0,IF(AND(OR('Visual SPC'!$C$4="",'Data Entry'!$C8534&gt;='Visual SPC'!$C$4),OR('Visual SPC'!$E$4="",'Data Entry'!$C8534&lt;='Visual SPC'!$E$4),OR('Visual SPC'!$G$4="",'Data Entry'!$D8534='Visual SPC'!$G$4),OR('Visual SPC'!$I$4="",'Data Entry'!$E8534='Visual SPC'!$I$4),OR('Visual SPC'!$K$4="",'Data Entry'!$F8534='Visual SPC'!$K$4)),1,0))</f>
        <v/>
      </c>
      <c r="C8534">
        <f>C8533+B8534</f>
        <v/>
      </c>
      <c r="D8534">
        <f>IF(B8534=1,INDEX('Data Entry'!$H$5:$BE$10004,8534-4,'Visual SPC'!$B$3),"")</f>
        <v/>
      </c>
      <c r="E8534">
        <f>IF(B8534=1,D8534,E8533)</f>
        <v/>
      </c>
      <c r="F8534">
        <f>IF(AND(B8534=1,C8534&gt;1,E8533&lt;&gt;""),ABS(D8534-E8533),"")</f>
        <v/>
      </c>
    </row>
    <row r="8535">
      <c r="A8535" t="n">
        <v>8535</v>
      </c>
      <c r="B8535">
        <f>IF(INDEX('Data Entry'!$H$5:$BE$10004,8535-4,'Visual SPC'!$B$3)="",0,IF(AND(OR('Visual SPC'!$C$4="",'Data Entry'!$C8535&gt;='Visual SPC'!$C$4),OR('Visual SPC'!$E$4="",'Data Entry'!$C8535&lt;='Visual SPC'!$E$4),OR('Visual SPC'!$G$4="",'Data Entry'!$D8535='Visual SPC'!$G$4),OR('Visual SPC'!$I$4="",'Data Entry'!$E8535='Visual SPC'!$I$4),OR('Visual SPC'!$K$4="",'Data Entry'!$F8535='Visual SPC'!$K$4)),1,0))</f>
        <v/>
      </c>
      <c r="C8535">
        <f>C8534+B8535</f>
        <v/>
      </c>
      <c r="D8535">
        <f>IF(B8535=1,INDEX('Data Entry'!$H$5:$BE$10004,8535-4,'Visual SPC'!$B$3),"")</f>
        <v/>
      </c>
      <c r="E8535">
        <f>IF(B8535=1,D8535,E8534)</f>
        <v/>
      </c>
      <c r="F8535">
        <f>IF(AND(B8535=1,C8535&gt;1,E8534&lt;&gt;""),ABS(D8535-E8534),"")</f>
        <v/>
      </c>
    </row>
    <row r="8536">
      <c r="A8536" t="n">
        <v>8536</v>
      </c>
      <c r="B8536">
        <f>IF(INDEX('Data Entry'!$H$5:$BE$10004,8536-4,'Visual SPC'!$B$3)="",0,IF(AND(OR('Visual SPC'!$C$4="",'Data Entry'!$C8536&gt;='Visual SPC'!$C$4),OR('Visual SPC'!$E$4="",'Data Entry'!$C8536&lt;='Visual SPC'!$E$4),OR('Visual SPC'!$G$4="",'Data Entry'!$D8536='Visual SPC'!$G$4),OR('Visual SPC'!$I$4="",'Data Entry'!$E8536='Visual SPC'!$I$4),OR('Visual SPC'!$K$4="",'Data Entry'!$F8536='Visual SPC'!$K$4)),1,0))</f>
        <v/>
      </c>
      <c r="C8536">
        <f>C8535+B8536</f>
        <v/>
      </c>
      <c r="D8536">
        <f>IF(B8536=1,INDEX('Data Entry'!$H$5:$BE$10004,8536-4,'Visual SPC'!$B$3),"")</f>
        <v/>
      </c>
      <c r="E8536">
        <f>IF(B8536=1,D8536,E8535)</f>
        <v/>
      </c>
      <c r="F8536">
        <f>IF(AND(B8536=1,C8536&gt;1,E8535&lt;&gt;""),ABS(D8536-E8535),"")</f>
        <v/>
      </c>
    </row>
    <row r="8537">
      <c r="A8537" t="n">
        <v>8537</v>
      </c>
      <c r="B8537">
        <f>IF(INDEX('Data Entry'!$H$5:$BE$10004,8537-4,'Visual SPC'!$B$3)="",0,IF(AND(OR('Visual SPC'!$C$4="",'Data Entry'!$C8537&gt;='Visual SPC'!$C$4),OR('Visual SPC'!$E$4="",'Data Entry'!$C8537&lt;='Visual SPC'!$E$4),OR('Visual SPC'!$G$4="",'Data Entry'!$D8537='Visual SPC'!$G$4),OR('Visual SPC'!$I$4="",'Data Entry'!$E8537='Visual SPC'!$I$4),OR('Visual SPC'!$K$4="",'Data Entry'!$F8537='Visual SPC'!$K$4)),1,0))</f>
        <v/>
      </c>
      <c r="C8537">
        <f>C8536+B8537</f>
        <v/>
      </c>
      <c r="D8537">
        <f>IF(B8537=1,INDEX('Data Entry'!$H$5:$BE$10004,8537-4,'Visual SPC'!$B$3),"")</f>
        <v/>
      </c>
      <c r="E8537">
        <f>IF(B8537=1,D8537,E8536)</f>
        <v/>
      </c>
      <c r="F8537">
        <f>IF(AND(B8537=1,C8537&gt;1,E8536&lt;&gt;""),ABS(D8537-E8536),"")</f>
        <v/>
      </c>
    </row>
    <row r="8538">
      <c r="A8538" t="n">
        <v>8538</v>
      </c>
      <c r="B8538">
        <f>IF(INDEX('Data Entry'!$H$5:$BE$10004,8538-4,'Visual SPC'!$B$3)="",0,IF(AND(OR('Visual SPC'!$C$4="",'Data Entry'!$C8538&gt;='Visual SPC'!$C$4),OR('Visual SPC'!$E$4="",'Data Entry'!$C8538&lt;='Visual SPC'!$E$4),OR('Visual SPC'!$G$4="",'Data Entry'!$D8538='Visual SPC'!$G$4),OR('Visual SPC'!$I$4="",'Data Entry'!$E8538='Visual SPC'!$I$4),OR('Visual SPC'!$K$4="",'Data Entry'!$F8538='Visual SPC'!$K$4)),1,0))</f>
        <v/>
      </c>
      <c r="C8538">
        <f>C8537+B8538</f>
        <v/>
      </c>
      <c r="D8538">
        <f>IF(B8538=1,INDEX('Data Entry'!$H$5:$BE$10004,8538-4,'Visual SPC'!$B$3),"")</f>
        <v/>
      </c>
      <c r="E8538">
        <f>IF(B8538=1,D8538,E8537)</f>
        <v/>
      </c>
      <c r="F8538">
        <f>IF(AND(B8538=1,C8538&gt;1,E8537&lt;&gt;""),ABS(D8538-E8537),"")</f>
        <v/>
      </c>
    </row>
    <row r="8539">
      <c r="A8539" t="n">
        <v>8539</v>
      </c>
      <c r="B8539">
        <f>IF(INDEX('Data Entry'!$H$5:$BE$10004,8539-4,'Visual SPC'!$B$3)="",0,IF(AND(OR('Visual SPC'!$C$4="",'Data Entry'!$C8539&gt;='Visual SPC'!$C$4),OR('Visual SPC'!$E$4="",'Data Entry'!$C8539&lt;='Visual SPC'!$E$4),OR('Visual SPC'!$G$4="",'Data Entry'!$D8539='Visual SPC'!$G$4),OR('Visual SPC'!$I$4="",'Data Entry'!$E8539='Visual SPC'!$I$4),OR('Visual SPC'!$K$4="",'Data Entry'!$F8539='Visual SPC'!$K$4)),1,0))</f>
        <v/>
      </c>
      <c r="C8539">
        <f>C8538+B8539</f>
        <v/>
      </c>
      <c r="D8539">
        <f>IF(B8539=1,INDEX('Data Entry'!$H$5:$BE$10004,8539-4,'Visual SPC'!$B$3),"")</f>
        <v/>
      </c>
      <c r="E8539">
        <f>IF(B8539=1,D8539,E8538)</f>
        <v/>
      </c>
      <c r="F8539">
        <f>IF(AND(B8539=1,C8539&gt;1,E8538&lt;&gt;""),ABS(D8539-E8538),"")</f>
        <v/>
      </c>
    </row>
    <row r="8540">
      <c r="A8540" t="n">
        <v>8540</v>
      </c>
      <c r="B8540">
        <f>IF(INDEX('Data Entry'!$H$5:$BE$10004,8540-4,'Visual SPC'!$B$3)="",0,IF(AND(OR('Visual SPC'!$C$4="",'Data Entry'!$C8540&gt;='Visual SPC'!$C$4),OR('Visual SPC'!$E$4="",'Data Entry'!$C8540&lt;='Visual SPC'!$E$4),OR('Visual SPC'!$G$4="",'Data Entry'!$D8540='Visual SPC'!$G$4),OR('Visual SPC'!$I$4="",'Data Entry'!$E8540='Visual SPC'!$I$4),OR('Visual SPC'!$K$4="",'Data Entry'!$F8540='Visual SPC'!$K$4)),1,0))</f>
        <v/>
      </c>
      <c r="C8540">
        <f>C8539+B8540</f>
        <v/>
      </c>
      <c r="D8540">
        <f>IF(B8540=1,INDEX('Data Entry'!$H$5:$BE$10004,8540-4,'Visual SPC'!$B$3),"")</f>
        <v/>
      </c>
      <c r="E8540">
        <f>IF(B8540=1,D8540,E8539)</f>
        <v/>
      </c>
      <c r="F8540">
        <f>IF(AND(B8540=1,C8540&gt;1,E8539&lt;&gt;""),ABS(D8540-E8539),"")</f>
        <v/>
      </c>
    </row>
    <row r="8541">
      <c r="A8541" t="n">
        <v>8541</v>
      </c>
      <c r="B8541">
        <f>IF(INDEX('Data Entry'!$H$5:$BE$10004,8541-4,'Visual SPC'!$B$3)="",0,IF(AND(OR('Visual SPC'!$C$4="",'Data Entry'!$C8541&gt;='Visual SPC'!$C$4),OR('Visual SPC'!$E$4="",'Data Entry'!$C8541&lt;='Visual SPC'!$E$4),OR('Visual SPC'!$G$4="",'Data Entry'!$D8541='Visual SPC'!$G$4),OR('Visual SPC'!$I$4="",'Data Entry'!$E8541='Visual SPC'!$I$4),OR('Visual SPC'!$K$4="",'Data Entry'!$F8541='Visual SPC'!$K$4)),1,0))</f>
        <v/>
      </c>
      <c r="C8541">
        <f>C8540+B8541</f>
        <v/>
      </c>
      <c r="D8541">
        <f>IF(B8541=1,INDEX('Data Entry'!$H$5:$BE$10004,8541-4,'Visual SPC'!$B$3),"")</f>
        <v/>
      </c>
      <c r="E8541">
        <f>IF(B8541=1,D8541,E8540)</f>
        <v/>
      </c>
      <c r="F8541">
        <f>IF(AND(B8541=1,C8541&gt;1,E8540&lt;&gt;""),ABS(D8541-E8540),"")</f>
        <v/>
      </c>
    </row>
    <row r="8542">
      <c r="A8542" t="n">
        <v>8542</v>
      </c>
      <c r="B8542">
        <f>IF(INDEX('Data Entry'!$H$5:$BE$10004,8542-4,'Visual SPC'!$B$3)="",0,IF(AND(OR('Visual SPC'!$C$4="",'Data Entry'!$C8542&gt;='Visual SPC'!$C$4),OR('Visual SPC'!$E$4="",'Data Entry'!$C8542&lt;='Visual SPC'!$E$4),OR('Visual SPC'!$G$4="",'Data Entry'!$D8542='Visual SPC'!$G$4),OR('Visual SPC'!$I$4="",'Data Entry'!$E8542='Visual SPC'!$I$4),OR('Visual SPC'!$K$4="",'Data Entry'!$F8542='Visual SPC'!$K$4)),1,0))</f>
        <v/>
      </c>
      <c r="C8542">
        <f>C8541+B8542</f>
        <v/>
      </c>
      <c r="D8542">
        <f>IF(B8542=1,INDEX('Data Entry'!$H$5:$BE$10004,8542-4,'Visual SPC'!$B$3),"")</f>
        <v/>
      </c>
      <c r="E8542">
        <f>IF(B8542=1,D8542,E8541)</f>
        <v/>
      </c>
      <c r="F8542">
        <f>IF(AND(B8542=1,C8542&gt;1,E8541&lt;&gt;""),ABS(D8542-E8541),"")</f>
        <v/>
      </c>
    </row>
    <row r="8543">
      <c r="A8543" t="n">
        <v>8543</v>
      </c>
      <c r="B8543">
        <f>IF(INDEX('Data Entry'!$H$5:$BE$10004,8543-4,'Visual SPC'!$B$3)="",0,IF(AND(OR('Visual SPC'!$C$4="",'Data Entry'!$C8543&gt;='Visual SPC'!$C$4),OR('Visual SPC'!$E$4="",'Data Entry'!$C8543&lt;='Visual SPC'!$E$4),OR('Visual SPC'!$G$4="",'Data Entry'!$D8543='Visual SPC'!$G$4),OR('Visual SPC'!$I$4="",'Data Entry'!$E8543='Visual SPC'!$I$4),OR('Visual SPC'!$K$4="",'Data Entry'!$F8543='Visual SPC'!$K$4)),1,0))</f>
        <v/>
      </c>
      <c r="C8543">
        <f>C8542+B8543</f>
        <v/>
      </c>
      <c r="D8543">
        <f>IF(B8543=1,INDEX('Data Entry'!$H$5:$BE$10004,8543-4,'Visual SPC'!$B$3),"")</f>
        <v/>
      </c>
      <c r="E8543">
        <f>IF(B8543=1,D8543,E8542)</f>
        <v/>
      </c>
      <c r="F8543">
        <f>IF(AND(B8543=1,C8543&gt;1,E8542&lt;&gt;""),ABS(D8543-E8542),"")</f>
        <v/>
      </c>
    </row>
    <row r="8544">
      <c r="A8544" t="n">
        <v>8544</v>
      </c>
      <c r="B8544">
        <f>IF(INDEX('Data Entry'!$H$5:$BE$10004,8544-4,'Visual SPC'!$B$3)="",0,IF(AND(OR('Visual SPC'!$C$4="",'Data Entry'!$C8544&gt;='Visual SPC'!$C$4),OR('Visual SPC'!$E$4="",'Data Entry'!$C8544&lt;='Visual SPC'!$E$4),OR('Visual SPC'!$G$4="",'Data Entry'!$D8544='Visual SPC'!$G$4),OR('Visual SPC'!$I$4="",'Data Entry'!$E8544='Visual SPC'!$I$4),OR('Visual SPC'!$K$4="",'Data Entry'!$F8544='Visual SPC'!$K$4)),1,0))</f>
        <v/>
      </c>
      <c r="C8544">
        <f>C8543+B8544</f>
        <v/>
      </c>
      <c r="D8544">
        <f>IF(B8544=1,INDEX('Data Entry'!$H$5:$BE$10004,8544-4,'Visual SPC'!$B$3),"")</f>
        <v/>
      </c>
      <c r="E8544">
        <f>IF(B8544=1,D8544,E8543)</f>
        <v/>
      </c>
      <c r="F8544">
        <f>IF(AND(B8544=1,C8544&gt;1,E8543&lt;&gt;""),ABS(D8544-E8543),"")</f>
        <v/>
      </c>
    </row>
    <row r="8545">
      <c r="A8545" t="n">
        <v>8545</v>
      </c>
      <c r="B8545">
        <f>IF(INDEX('Data Entry'!$H$5:$BE$10004,8545-4,'Visual SPC'!$B$3)="",0,IF(AND(OR('Visual SPC'!$C$4="",'Data Entry'!$C8545&gt;='Visual SPC'!$C$4),OR('Visual SPC'!$E$4="",'Data Entry'!$C8545&lt;='Visual SPC'!$E$4),OR('Visual SPC'!$G$4="",'Data Entry'!$D8545='Visual SPC'!$G$4),OR('Visual SPC'!$I$4="",'Data Entry'!$E8545='Visual SPC'!$I$4),OR('Visual SPC'!$K$4="",'Data Entry'!$F8545='Visual SPC'!$K$4)),1,0))</f>
        <v/>
      </c>
      <c r="C8545">
        <f>C8544+B8545</f>
        <v/>
      </c>
      <c r="D8545">
        <f>IF(B8545=1,INDEX('Data Entry'!$H$5:$BE$10004,8545-4,'Visual SPC'!$B$3),"")</f>
        <v/>
      </c>
      <c r="E8545">
        <f>IF(B8545=1,D8545,E8544)</f>
        <v/>
      </c>
      <c r="F8545">
        <f>IF(AND(B8545=1,C8545&gt;1,E8544&lt;&gt;""),ABS(D8545-E8544),"")</f>
        <v/>
      </c>
    </row>
    <row r="8546">
      <c r="A8546" t="n">
        <v>8546</v>
      </c>
      <c r="B8546">
        <f>IF(INDEX('Data Entry'!$H$5:$BE$10004,8546-4,'Visual SPC'!$B$3)="",0,IF(AND(OR('Visual SPC'!$C$4="",'Data Entry'!$C8546&gt;='Visual SPC'!$C$4),OR('Visual SPC'!$E$4="",'Data Entry'!$C8546&lt;='Visual SPC'!$E$4),OR('Visual SPC'!$G$4="",'Data Entry'!$D8546='Visual SPC'!$G$4),OR('Visual SPC'!$I$4="",'Data Entry'!$E8546='Visual SPC'!$I$4),OR('Visual SPC'!$K$4="",'Data Entry'!$F8546='Visual SPC'!$K$4)),1,0))</f>
        <v/>
      </c>
      <c r="C8546">
        <f>C8545+B8546</f>
        <v/>
      </c>
      <c r="D8546">
        <f>IF(B8546=1,INDEX('Data Entry'!$H$5:$BE$10004,8546-4,'Visual SPC'!$B$3),"")</f>
        <v/>
      </c>
      <c r="E8546">
        <f>IF(B8546=1,D8546,E8545)</f>
        <v/>
      </c>
      <c r="F8546">
        <f>IF(AND(B8546=1,C8546&gt;1,E8545&lt;&gt;""),ABS(D8546-E8545),"")</f>
        <v/>
      </c>
    </row>
    <row r="8547">
      <c r="A8547" t="n">
        <v>8547</v>
      </c>
      <c r="B8547">
        <f>IF(INDEX('Data Entry'!$H$5:$BE$10004,8547-4,'Visual SPC'!$B$3)="",0,IF(AND(OR('Visual SPC'!$C$4="",'Data Entry'!$C8547&gt;='Visual SPC'!$C$4),OR('Visual SPC'!$E$4="",'Data Entry'!$C8547&lt;='Visual SPC'!$E$4),OR('Visual SPC'!$G$4="",'Data Entry'!$D8547='Visual SPC'!$G$4),OR('Visual SPC'!$I$4="",'Data Entry'!$E8547='Visual SPC'!$I$4),OR('Visual SPC'!$K$4="",'Data Entry'!$F8547='Visual SPC'!$K$4)),1,0))</f>
        <v/>
      </c>
      <c r="C8547">
        <f>C8546+B8547</f>
        <v/>
      </c>
      <c r="D8547">
        <f>IF(B8547=1,INDEX('Data Entry'!$H$5:$BE$10004,8547-4,'Visual SPC'!$B$3),"")</f>
        <v/>
      </c>
      <c r="E8547">
        <f>IF(B8547=1,D8547,E8546)</f>
        <v/>
      </c>
      <c r="F8547">
        <f>IF(AND(B8547=1,C8547&gt;1,E8546&lt;&gt;""),ABS(D8547-E8546),"")</f>
        <v/>
      </c>
    </row>
    <row r="8548">
      <c r="A8548" t="n">
        <v>8548</v>
      </c>
      <c r="B8548">
        <f>IF(INDEX('Data Entry'!$H$5:$BE$10004,8548-4,'Visual SPC'!$B$3)="",0,IF(AND(OR('Visual SPC'!$C$4="",'Data Entry'!$C8548&gt;='Visual SPC'!$C$4),OR('Visual SPC'!$E$4="",'Data Entry'!$C8548&lt;='Visual SPC'!$E$4),OR('Visual SPC'!$G$4="",'Data Entry'!$D8548='Visual SPC'!$G$4),OR('Visual SPC'!$I$4="",'Data Entry'!$E8548='Visual SPC'!$I$4),OR('Visual SPC'!$K$4="",'Data Entry'!$F8548='Visual SPC'!$K$4)),1,0))</f>
        <v/>
      </c>
      <c r="C8548">
        <f>C8547+B8548</f>
        <v/>
      </c>
      <c r="D8548">
        <f>IF(B8548=1,INDEX('Data Entry'!$H$5:$BE$10004,8548-4,'Visual SPC'!$B$3),"")</f>
        <v/>
      </c>
      <c r="E8548">
        <f>IF(B8548=1,D8548,E8547)</f>
        <v/>
      </c>
      <c r="F8548">
        <f>IF(AND(B8548=1,C8548&gt;1,E8547&lt;&gt;""),ABS(D8548-E8547),"")</f>
        <v/>
      </c>
    </row>
    <row r="8549">
      <c r="A8549" t="n">
        <v>8549</v>
      </c>
      <c r="B8549">
        <f>IF(INDEX('Data Entry'!$H$5:$BE$10004,8549-4,'Visual SPC'!$B$3)="",0,IF(AND(OR('Visual SPC'!$C$4="",'Data Entry'!$C8549&gt;='Visual SPC'!$C$4),OR('Visual SPC'!$E$4="",'Data Entry'!$C8549&lt;='Visual SPC'!$E$4),OR('Visual SPC'!$G$4="",'Data Entry'!$D8549='Visual SPC'!$G$4),OR('Visual SPC'!$I$4="",'Data Entry'!$E8549='Visual SPC'!$I$4),OR('Visual SPC'!$K$4="",'Data Entry'!$F8549='Visual SPC'!$K$4)),1,0))</f>
        <v/>
      </c>
      <c r="C8549">
        <f>C8548+B8549</f>
        <v/>
      </c>
      <c r="D8549">
        <f>IF(B8549=1,INDEX('Data Entry'!$H$5:$BE$10004,8549-4,'Visual SPC'!$B$3),"")</f>
        <v/>
      </c>
      <c r="E8549">
        <f>IF(B8549=1,D8549,E8548)</f>
        <v/>
      </c>
      <c r="F8549">
        <f>IF(AND(B8549=1,C8549&gt;1,E8548&lt;&gt;""),ABS(D8549-E8548),"")</f>
        <v/>
      </c>
    </row>
    <row r="8550">
      <c r="A8550" t="n">
        <v>8550</v>
      </c>
      <c r="B8550">
        <f>IF(INDEX('Data Entry'!$H$5:$BE$10004,8550-4,'Visual SPC'!$B$3)="",0,IF(AND(OR('Visual SPC'!$C$4="",'Data Entry'!$C8550&gt;='Visual SPC'!$C$4),OR('Visual SPC'!$E$4="",'Data Entry'!$C8550&lt;='Visual SPC'!$E$4),OR('Visual SPC'!$G$4="",'Data Entry'!$D8550='Visual SPC'!$G$4),OR('Visual SPC'!$I$4="",'Data Entry'!$E8550='Visual SPC'!$I$4),OR('Visual SPC'!$K$4="",'Data Entry'!$F8550='Visual SPC'!$K$4)),1,0))</f>
        <v/>
      </c>
      <c r="C8550">
        <f>C8549+B8550</f>
        <v/>
      </c>
      <c r="D8550">
        <f>IF(B8550=1,INDEX('Data Entry'!$H$5:$BE$10004,8550-4,'Visual SPC'!$B$3),"")</f>
        <v/>
      </c>
      <c r="E8550">
        <f>IF(B8550=1,D8550,E8549)</f>
        <v/>
      </c>
      <c r="F8550">
        <f>IF(AND(B8550=1,C8550&gt;1,E8549&lt;&gt;""),ABS(D8550-E8549),"")</f>
        <v/>
      </c>
    </row>
    <row r="8551">
      <c r="A8551" t="n">
        <v>8551</v>
      </c>
      <c r="B8551">
        <f>IF(INDEX('Data Entry'!$H$5:$BE$10004,8551-4,'Visual SPC'!$B$3)="",0,IF(AND(OR('Visual SPC'!$C$4="",'Data Entry'!$C8551&gt;='Visual SPC'!$C$4),OR('Visual SPC'!$E$4="",'Data Entry'!$C8551&lt;='Visual SPC'!$E$4),OR('Visual SPC'!$G$4="",'Data Entry'!$D8551='Visual SPC'!$G$4),OR('Visual SPC'!$I$4="",'Data Entry'!$E8551='Visual SPC'!$I$4),OR('Visual SPC'!$K$4="",'Data Entry'!$F8551='Visual SPC'!$K$4)),1,0))</f>
        <v/>
      </c>
      <c r="C8551">
        <f>C8550+B8551</f>
        <v/>
      </c>
      <c r="D8551">
        <f>IF(B8551=1,INDEX('Data Entry'!$H$5:$BE$10004,8551-4,'Visual SPC'!$B$3),"")</f>
        <v/>
      </c>
      <c r="E8551">
        <f>IF(B8551=1,D8551,E8550)</f>
        <v/>
      </c>
      <c r="F8551">
        <f>IF(AND(B8551=1,C8551&gt;1,E8550&lt;&gt;""),ABS(D8551-E8550),"")</f>
        <v/>
      </c>
    </row>
    <row r="8552">
      <c r="A8552" t="n">
        <v>8552</v>
      </c>
      <c r="B8552">
        <f>IF(INDEX('Data Entry'!$H$5:$BE$10004,8552-4,'Visual SPC'!$B$3)="",0,IF(AND(OR('Visual SPC'!$C$4="",'Data Entry'!$C8552&gt;='Visual SPC'!$C$4),OR('Visual SPC'!$E$4="",'Data Entry'!$C8552&lt;='Visual SPC'!$E$4),OR('Visual SPC'!$G$4="",'Data Entry'!$D8552='Visual SPC'!$G$4),OR('Visual SPC'!$I$4="",'Data Entry'!$E8552='Visual SPC'!$I$4),OR('Visual SPC'!$K$4="",'Data Entry'!$F8552='Visual SPC'!$K$4)),1,0))</f>
        <v/>
      </c>
      <c r="C8552">
        <f>C8551+B8552</f>
        <v/>
      </c>
      <c r="D8552">
        <f>IF(B8552=1,INDEX('Data Entry'!$H$5:$BE$10004,8552-4,'Visual SPC'!$B$3),"")</f>
        <v/>
      </c>
      <c r="E8552">
        <f>IF(B8552=1,D8552,E8551)</f>
        <v/>
      </c>
      <c r="F8552">
        <f>IF(AND(B8552=1,C8552&gt;1,E8551&lt;&gt;""),ABS(D8552-E8551),"")</f>
        <v/>
      </c>
    </row>
    <row r="8553">
      <c r="A8553" t="n">
        <v>8553</v>
      </c>
      <c r="B8553">
        <f>IF(INDEX('Data Entry'!$H$5:$BE$10004,8553-4,'Visual SPC'!$B$3)="",0,IF(AND(OR('Visual SPC'!$C$4="",'Data Entry'!$C8553&gt;='Visual SPC'!$C$4),OR('Visual SPC'!$E$4="",'Data Entry'!$C8553&lt;='Visual SPC'!$E$4),OR('Visual SPC'!$G$4="",'Data Entry'!$D8553='Visual SPC'!$G$4),OR('Visual SPC'!$I$4="",'Data Entry'!$E8553='Visual SPC'!$I$4),OR('Visual SPC'!$K$4="",'Data Entry'!$F8553='Visual SPC'!$K$4)),1,0))</f>
        <v/>
      </c>
      <c r="C8553">
        <f>C8552+B8553</f>
        <v/>
      </c>
      <c r="D8553">
        <f>IF(B8553=1,INDEX('Data Entry'!$H$5:$BE$10004,8553-4,'Visual SPC'!$B$3),"")</f>
        <v/>
      </c>
      <c r="E8553">
        <f>IF(B8553=1,D8553,E8552)</f>
        <v/>
      </c>
      <c r="F8553">
        <f>IF(AND(B8553=1,C8553&gt;1,E8552&lt;&gt;""),ABS(D8553-E8552),"")</f>
        <v/>
      </c>
    </row>
    <row r="8554">
      <c r="A8554" t="n">
        <v>8554</v>
      </c>
      <c r="B8554">
        <f>IF(INDEX('Data Entry'!$H$5:$BE$10004,8554-4,'Visual SPC'!$B$3)="",0,IF(AND(OR('Visual SPC'!$C$4="",'Data Entry'!$C8554&gt;='Visual SPC'!$C$4),OR('Visual SPC'!$E$4="",'Data Entry'!$C8554&lt;='Visual SPC'!$E$4),OR('Visual SPC'!$G$4="",'Data Entry'!$D8554='Visual SPC'!$G$4),OR('Visual SPC'!$I$4="",'Data Entry'!$E8554='Visual SPC'!$I$4),OR('Visual SPC'!$K$4="",'Data Entry'!$F8554='Visual SPC'!$K$4)),1,0))</f>
        <v/>
      </c>
      <c r="C8554">
        <f>C8553+B8554</f>
        <v/>
      </c>
      <c r="D8554">
        <f>IF(B8554=1,INDEX('Data Entry'!$H$5:$BE$10004,8554-4,'Visual SPC'!$B$3),"")</f>
        <v/>
      </c>
      <c r="E8554">
        <f>IF(B8554=1,D8554,E8553)</f>
        <v/>
      </c>
      <c r="F8554">
        <f>IF(AND(B8554=1,C8554&gt;1,E8553&lt;&gt;""),ABS(D8554-E8553),"")</f>
        <v/>
      </c>
    </row>
    <row r="8555">
      <c r="A8555" t="n">
        <v>8555</v>
      </c>
      <c r="B8555">
        <f>IF(INDEX('Data Entry'!$H$5:$BE$10004,8555-4,'Visual SPC'!$B$3)="",0,IF(AND(OR('Visual SPC'!$C$4="",'Data Entry'!$C8555&gt;='Visual SPC'!$C$4),OR('Visual SPC'!$E$4="",'Data Entry'!$C8555&lt;='Visual SPC'!$E$4),OR('Visual SPC'!$G$4="",'Data Entry'!$D8555='Visual SPC'!$G$4),OR('Visual SPC'!$I$4="",'Data Entry'!$E8555='Visual SPC'!$I$4),OR('Visual SPC'!$K$4="",'Data Entry'!$F8555='Visual SPC'!$K$4)),1,0))</f>
        <v/>
      </c>
      <c r="C8555">
        <f>C8554+B8555</f>
        <v/>
      </c>
      <c r="D8555">
        <f>IF(B8555=1,INDEX('Data Entry'!$H$5:$BE$10004,8555-4,'Visual SPC'!$B$3),"")</f>
        <v/>
      </c>
      <c r="E8555">
        <f>IF(B8555=1,D8555,E8554)</f>
        <v/>
      </c>
      <c r="F8555">
        <f>IF(AND(B8555=1,C8555&gt;1,E8554&lt;&gt;""),ABS(D8555-E8554),"")</f>
        <v/>
      </c>
    </row>
    <row r="8556">
      <c r="A8556" t="n">
        <v>8556</v>
      </c>
      <c r="B8556">
        <f>IF(INDEX('Data Entry'!$H$5:$BE$10004,8556-4,'Visual SPC'!$B$3)="",0,IF(AND(OR('Visual SPC'!$C$4="",'Data Entry'!$C8556&gt;='Visual SPC'!$C$4),OR('Visual SPC'!$E$4="",'Data Entry'!$C8556&lt;='Visual SPC'!$E$4),OR('Visual SPC'!$G$4="",'Data Entry'!$D8556='Visual SPC'!$G$4),OR('Visual SPC'!$I$4="",'Data Entry'!$E8556='Visual SPC'!$I$4),OR('Visual SPC'!$K$4="",'Data Entry'!$F8556='Visual SPC'!$K$4)),1,0))</f>
        <v/>
      </c>
      <c r="C8556">
        <f>C8555+B8556</f>
        <v/>
      </c>
      <c r="D8556">
        <f>IF(B8556=1,INDEX('Data Entry'!$H$5:$BE$10004,8556-4,'Visual SPC'!$B$3),"")</f>
        <v/>
      </c>
      <c r="E8556">
        <f>IF(B8556=1,D8556,E8555)</f>
        <v/>
      </c>
      <c r="F8556">
        <f>IF(AND(B8556=1,C8556&gt;1,E8555&lt;&gt;""),ABS(D8556-E8555),"")</f>
        <v/>
      </c>
    </row>
    <row r="8557">
      <c r="A8557" t="n">
        <v>8557</v>
      </c>
      <c r="B8557">
        <f>IF(INDEX('Data Entry'!$H$5:$BE$10004,8557-4,'Visual SPC'!$B$3)="",0,IF(AND(OR('Visual SPC'!$C$4="",'Data Entry'!$C8557&gt;='Visual SPC'!$C$4),OR('Visual SPC'!$E$4="",'Data Entry'!$C8557&lt;='Visual SPC'!$E$4),OR('Visual SPC'!$G$4="",'Data Entry'!$D8557='Visual SPC'!$G$4),OR('Visual SPC'!$I$4="",'Data Entry'!$E8557='Visual SPC'!$I$4),OR('Visual SPC'!$K$4="",'Data Entry'!$F8557='Visual SPC'!$K$4)),1,0))</f>
        <v/>
      </c>
      <c r="C8557">
        <f>C8556+B8557</f>
        <v/>
      </c>
      <c r="D8557">
        <f>IF(B8557=1,INDEX('Data Entry'!$H$5:$BE$10004,8557-4,'Visual SPC'!$B$3),"")</f>
        <v/>
      </c>
      <c r="E8557">
        <f>IF(B8557=1,D8557,E8556)</f>
        <v/>
      </c>
      <c r="F8557">
        <f>IF(AND(B8557=1,C8557&gt;1,E8556&lt;&gt;""),ABS(D8557-E8556),"")</f>
        <v/>
      </c>
    </row>
    <row r="8558">
      <c r="A8558" t="n">
        <v>8558</v>
      </c>
      <c r="B8558">
        <f>IF(INDEX('Data Entry'!$H$5:$BE$10004,8558-4,'Visual SPC'!$B$3)="",0,IF(AND(OR('Visual SPC'!$C$4="",'Data Entry'!$C8558&gt;='Visual SPC'!$C$4),OR('Visual SPC'!$E$4="",'Data Entry'!$C8558&lt;='Visual SPC'!$E$4),OR('Visual SPC'!$G$4="",'Data Entry'!$D8558='Visual SPC'!$G$4),OR('Visual SPC'!$I$4="",'Data Entry'!$E8558='Visual SPC'!$I$4),OR('Visual SPC'!$K$4="",'Data Entry'!$F8558='Visual SPC'!$K$4)),1,0))</f>
        <v/>
      </c>
      <c r="C8558">
        <f>C8557+B8558</f>
        <v/>
      </c>
      <c r="D8558">
        <f>IF(B8558=1,INDEX('Data Entry'!$H$5:$BE$10004,8558-4,'Visual SPC'!$B$3),"")</f>
        <v/>
      </c>
      <c r="E8558">
        <f>IF(B8558=1,D8558,E8557)</f>
        <v/>
      </c>
      <c r="F8558">
        <f>IF(AND(B8558=1,C8558&gt;1,E8557&lt;&gt;""),ABS(D8558-E8557),"")</f>
        <v/>
      </c>
    </row>
    <row r="8559">
      <c r="A8559" t="n">
        <v>8559</v>
      </c>
      <c r="B8559">
        <f>IF(INDEX('Data Entry'!$H$5:$BE$10004,8559-4,'Visual SPC'!$B$3)="",0,IF(AND(OR('Visual SPC'!$C$4="",'Data Entry'!$C8559&gt;='Visual SPC'!$C$4),OR('Visual SPC'!$E$4="",'Data Entry'!$C8559&lt;='Visual SPC'!$E$4),OR('Visual SPC'!$G$4="",'Data Entry'!$D8559='Visual SPC'!$G$4),OR('Visual SPC'!$I$4="",'Data Entry'!$E8559='Visual SPC'!$I$4),OR('Visual SPC'!$K$4="",'Data Entry'!$F8559='Visual SPC'!$K$4)),1,0))</f>
        <v/>
      </c>
      <c r="C8559">
        <f>C8558+B8559</f>
        <v/>
      </c>
      <c r="D8559">
        <f>IF(B8559=1,INDEX('Data Entry'!$H$5:$BE$10004,8559-4,'Visual SPC'!$B$3),"")</f>
        <v/>
      </c>
      <c r="E8559">
        <f>IF(B8559=1,D8559,E8558)</f>
        <v/>
      </c>
      <c r="F8559">
        <f>IF(AND(B8559=1,C8559&gt;1,E8558&lt;&gt;""),ABS(D8559-E8558),"")</f>
        <v/>
      </c>
    </row>
    <row r="8560">
      <c r="A8560" t="n">
        <v>8560</v>
      </c>
      <c r="B8560">
        <f>IF(INDEX('Data Entry'!$H$5:$BE$10004,8560-4,'Visual SPC'!$B$3)="",0,IF(AND(OR('Visual SPC'!$C$4="",'Data Entry'!$C8560&gt;='Visual SPC'!$C$4),OR('Visual SPC'!$E$4="",'Data Entry'!$C8560&lt;='Visual SPC'!$E$4),OR('Visual SPC'!$G$4="",'Data Entry'!$D8560='Visual SPC'!$G$4),OR('Visual SPC'!$I$4="",'Data Entry'!$E8560='Visual SPC'!$I$4),OR('Visual SPC'!$K$4="",'Data Entry'!$F8560='Visual SPC'!$K$4)),1,0))</f>
        <v/>
      </c>
      <c r="C8560">
        <f>C8559+B8560</f>
        <v/>
      </c>
      <c r="D8560">
        <f>IF(B8560=1,INDEX('Data Entry'!$H$5:$BE$10004,8560-4,'Visual SPC'!$B$3),"")</f>
        <v/>
      </c>
      <c r="E8560">
        <f>IF(B8560=1,D8560,E8559)</f>
        <v/>
      </c>
      <c r="F8560">
        <f>IF(AND(B8560=1,C8560&gt;1,E8559&lt;&gt;""),ABS(D8560-E8559),"")</f>
        <v/>
      </c>
    </row>
    <row r="8561">
      <c r="A8561" t="n">
        <v>8561</v>
      </c>
      <c r="B8561">
        <f>IF(INDEX('Data Entry'!$H$5:$BE$10004,8561-4,'Visual SPC'!$B$3)="",0,IF(AND(OR('Visual SPC'!$C$4="",'Data Entry'!$C8561&gt;='Visual SPC'!$C$4),OR('Visual SPC'!$E$4="",'Data Entry'!$C8561&lt;='Visual SPC'!$E$4),OR('Visual SPC'!$G$4="",'Data Entry'!$D8561='Visual SPC'!$G$4),OR('Visual SPC'!$I$4="",'Data Entry'!$E8561='Visual SPC'!$I$4),OR('Visual SPC'!$K$4="",'Data Entry'!$F8561='Visual SPC'!$K$4)),1,0))</f>
        <v/>
      </c>
      <c r="C8561">
        <f>C8560+B8561</f>
        <v/>
      </c>
      <c r="D8561">
        <f>IF(B8561=1,INDEX('Data Entry'!$H$5:$BE$10004,8561-4,'Visual SPC'!$B$3),"")</f>
        <v/>
      </c>
      <c r="E8561">
        <f>IF(B8561=1,D8561,E8560)</f>
        <v/>
      </c>
      <c r="F8561">
        <f>IF(AND(B8561=1,C8561&gt;1,E8560&lt;&gt;""),ABS(D8561-E8560),"")</f>
        <v/>
      </c>
    </row>
    <row r="8562">
      <c r="A8562" t="n">
        <v>8562</v>
      </c>
      <c r="B8562">
        <f>IF(INDEX('Data Entry'!$H$5:$BE$10004,8562-4,'Visual SPC'!$B$3)="",0,IF(AND(OR('Visual SPC'!$C$4="",'Data Entry'!$C8562&gt;='Visual SPC'!$C$4),OR('Visual SPC'!$E$4="",'Data Entry'!$C8562&lt;='Visual SPC'!$E$4),OR('Visual SPC'!$G$4="",'Data Entry'!$D8562='Visual SPC'!$G$4),OR('Visual SPC'!$I$4="",'Data Entry'!$E8562='Visual SPC'!$I$4),OR('Visual SPC'!$K$4="",'Data Entry'!$F8562='Visual SPC'!$K$4)),1,0))</f>
        <v/>
      </c>
      <c r="C8562">
        <f>C8561+B8562</f>
        <v/>
      </c>
      <c r="D8562">
        <f>IF(B8562=1,INDEX('Data Entry'!$H$5:$BE$10004,8562-4,'Visual SPC'!$B$3),"")</f>
        <v/>
      </c>
      <c r="E8562">
        <f>IF(B8562=1,D8562,E8561)</f>
        <v/>
      </c>
      <c r="F8562">
        <f>IF(AND(B8562=1,C8562&gt;1,E8561&lt;&gt;""),ABS(D8562-E8561),"")</f>
        <v/>
      </c>
    </row>
    <row r="8563">
      <c r="A8563" t="n">
        <v>8563</v>
      </c>
      <c r="B8563">
        <f>IF(INDEX('Data Entry'!$H$5:$BE$10004,8563-4,'Visual SPC'!$B$3)="",0,IF(AND(OR('Visual SPC'!$C$4="",'Data Entry'!$C8563&gt;='Visual SPC'!$C$4),OR('Visual SPC'!$E$4="",'Data Entry'!$C8563&lt;='Visual SPC'!$E$4),OR('Visual SPC'!$G$4="",'Data Entry'!$D8563='Visual SPC'!$G$4),OR('Visual SPC'!$I$4="",'Data Entry'!$E8563='Visual SPC'!$I$4),OR('Visual SPC'!$K$4="",'Data Entry'!$F8563='Visual SPC'!$K$4)),1,0))</f>
        <v/>
      </c>
      <c r="C8563">
        <f>C8562+B8563</f>
        <v/>
      </c>
      <c r="D8563">
        <f>IF(B8563=1,INDEX('Data Entry'!$H$5:$BE$10004,8563-4,'Visual SPC'!$B$3),"")</f>
        <v/>
      </c>
      <c r="E8563">
        <f>IF(B8563=1,D8563,E8562)</f>
        <v/>
      </c>
      <c r="F8563">
        <f>IF(AND(B8563=1,C8563&gt;1,E8562&lt;&gt;""),ABS(D8563-E8562),"")</f>
        <v/>
      </c>
    </row>
    <row r="8564">
      <c r="A8564" t="n">
        <v>8564</v>
      </c>
      <c r="B8564">
        <f>IF(INDEX('Data Entry'!$H$5:$BE$10004,8564-4,'Visual SPC'!$B$3)="",0,IF(AND(OR('Visual SPC'!$C$4="",'Data Entry'!$C8564&gt;='Visual SPC'!$C$4),OR('Visual SPC'!$E$4="",'Data Entry'!$C8564&lt;='Visual SPC'!$E$4),OR('Visual SPC'!$G$4="",'Data Entry'!$D8564='Visual SPC'!$G$4),OR('Visual SPC'!$I$4="",'Data Entry'!$E8564='Visual SPC'!$I$4),OR('Visual SPC'!$K$4="",'Data Entry'!$F8564='Visual SPC'!$K$4)),1,0))</f>
        <v/>
      </c>
      <c r="C8564">
        <f>C8563+B8564</f>
        <v/>
      </c>
      <c r="D8564">
        <f>IF(B8564=1,INDEX('Data Entry'!$H$5:$BE$10004,8564-4,'Visual SPC'!$B$3),"")</f>
        <v/>
      </c>
      <c r="E8564">
        <f>IF(B8564=1,D8564,E8563)</f>
        <v/>
      </c>
      <c r="F8564">
        <f>IF(AND(B8564=1,C8564&gt;1,E8563&lt;&gt;""),ABS(D8564-E8563),"")</f>
        <v/>
      </c>
    </row>
    <row r="8565">
      <c r="A8565" t="n">
        <v>8565</v>
      </c>
      <c r="B8565">
        <f>IF(INDEX('Data Entry'!$H$5:$BE$10004,8565-4,'Visual SPC'!$B$3)="",0,IF(AND(OR('Visual SPC'!$C$4="",'Data Entry'!$C8565&gt;='Visual SPC'!$C$4),OR('Visual SPC'!$E$4="",'Data Entry'!$C8565&lt;='Visual SPC'!$E$4),OR('Visual SPC'!$G$4="",'Data Entry'!$D8565='Visual SPC'!$G$4),OR('Visual SPC'!$I$4="",'Data Entry'!$E8565='Visual SPC'!$I$4),OR('Visual SPC'!$K$4="",'Data Entry'!$F8565='Visual SPC'!$K$4)),1,0))</f>
        <v/>
      </c>
      <c r="C8565">
        <f>C8564+B8565</f>
        <v/>
      </c>
      <c r="D8565">
        <f>IF(B8565=1,INDEX('Data Entry'!$H$5:$BE$10004,8565-4,'Visual SPC'!$B$3),"")</f>
        <v/>
      </c>
      <c r="E8565">
        <f>IF(B8565=1,D8565,E8564)</f>
        <v/>
      </c>
      <c r="F8565">
        <f>IF(AND(B8565=1,C8565&gt;1,E8564&lt;&gt;""),ABS(D8565-E8564),"")</f>
        <v/>
      </c>
    </row>
    <row r="8566">
      <c r="A8566" t="n">
        <v>8566</v>
      </c>
      <c r="B8566">
        <f>IF(INDEX('Data Entry'!$H$5:$BE$10004,8566-4,'Visual SPC'!$B$3)="",0,IF(AND(OR('Visual SPC'!$C$4="",'Data Entry'!$C8566&gt;='Visual SPC'!$C$4),OR('Visual SPC'!$E$4="",'Data Entry'!$C8566&lt;='Visual SPC'!$E$4),OR('Visual SPC'!$G$4="",'Data Entry'!$D8566='Visual SPC'!$G$4),OR('Visual SPC'!$I$4="",'Data Entry'!$E8566='Visual SPC'!$I$4),OR('Visual SPC'!$K$4="",'Data Entry'!$F8566='Visual SPC'!$K$4)),1,0))</f>
        <v/>
      </c>
      <c r="C8566">
        <f>C8565+B8566</f>
        <v/>
      </c>
      <c r="D8566">
        <f>IF(B8566=1,INDEX('Data Entry'!$H$5:$BE$10004,8566-4,'Visual SPC'!$B$3),"")</f>
        <v/>
      </c>
      <c r="E8566">
        <f>IF(B8566=1,D8566,E8565)</f>
        <v/>
      </c>
      <c r="F8566">
        <f>IF(AND(B8566=1,C8566&gt;1,E8565&lt;&gt;""),ABS(D8566-E8565),"")</f>
        <v/>
      </c>
    </row>
    <row r="8567">
      <c r="A8567" t="n">
        <v>8567</v>
      </c>
      <c r="B8567">
        <f>IF(INDEX('Data Entry'!$H$5:$BE$10004,8567-4,'Visual SPC'!$B$3)="",0,IF(AND(OR('Visual SPC'!$C$4="",'Data Entry'!$C8567&gt;='Visual SPC'!$C$4),OR('Visual SPC'!$E$4="",'Data Entry'!$C8567&lt;='Visual SPC'!$E$4),OR('Visual SPC'!$G$4="",'Data Entry'!$D8567='Visual SPC'!$G$4),OR('Visual SPC'!$I$4="",'Data Entry'!$E8567='Visual SPC'!$I$4),OR('Visual SPC'!$K$4="",'Data Entry'!$F8567='Visual SPC'!$K$4)),1,0))</f>
        <v/>
      </c>
      <c r="C8567">
        <f>C8566+B8567</f>
        <v/>
      </c>
      <c r="D8567">
        <f>IF(B8567=1,INDEX('Data Entry'!$H$5:$BE$10004,8567-4,'Visual SPC'!$B$3),"")</f>
        <v/>
      </c>
      <c r="E8567">
        <f>IF(B8567=1,D8567,E8566)</f>
        <v/>
      </c>
      <c r="F8567">
        <f>IF(AND(B8567=1,C8567&gt;1,E8566&lt;&gt;""),ABS(D8567-E8566),"")</f>
        <v/>
      </c>
    </row>
    <row r="8568">
      <c r="A8568" t="n">
        <v>8568</v>
      </c>
      <c r="B8568">
        <f>IF(INDEX('Data Entry'!$H$5:$BE$10004,8568-4,'Visual SPC'!$B$3)="",0,IF(AND(OR('Visual SPC'!$C$4="",'Data Entry'!$C8568&gt;='Visual SPC'!$C$4),OR('Visual SPC'!$E$4="",'Data Entry'!$C8568&lt;='Visual SPC'!$E$4),OR('Visual SPC'!$G$4="",'Data Entry'!$D8568='Visual SPC'!$G$4),OR('Visual SPC'!$I$4="",'Data Entry'!$E8568='Visual SPC'!$I$4),OR('Visual SPC'!$K$4="",'Data Entry'!$F8568='Visual SPC'!$K$4)),1,0))</f>
        <v/>
      </c>
      <c r="C8568">
        <f>C8567+B8568</f>
        <v/>
      </c>
      <c r="D8568">
        <f>IF(B8568=1,INDEX('Data Entry'!$H$5:$BE$10004,8568-4,'Visual SPC'!$B$3),"")</f>
        <v/>
      </c>
      <c r="E8568">
        <f>IF(B8568=1,D8568,E8567)</f>
        <v/>
      </c>
      <c r="F8568">
        <f>IF(AND(B8568=1,C8568&gt;1,E8567&lt;&gt;""),ABS(D8568-E8567),"")</f>
        <v/>
      </c>
    </row>
    <row r="8569">
      <c r="A8569" t="n">
        <v>8569</v>
      </c>
      <c r="B8569">
        <f>IF(INDEX('Data Entry'!$H$5:$BE$10004,8569-4,'Visual SPC'!$B$3)="",0,IF(AND(OR('Visual SPC'!$C$4="",'Data Entry'!$C8569&gt;='Visual SPC'!$C$4),OR('Visual SPC'!$E$4="",'Data Entry'!$C8569&lt;='Visual SPC'!$E$4),OR('Visual SPC'!$G$4="",'Data Entry'!$D8569='Visual SPC'!$G$4),OR('Visual SPC'!$I$4="",'Data Entry'!$E8569='Visual SPC'!$I$4),OR('Visual SPC'!$K$4="",'Data Entry'!$F8569='Visual SPC'!$K$4)),1,0))</f>
        <v/>
      </c>
      <c r="C8569">
        <f>C8568+B8569</f>
        <v/>
      </c>
      <c r="D8569">
        <f>IF(B8569=1,INDEX('Data Entry'!$H$5:$BE$10004,8569-4,'Visual SPC'!$B$3),"")</f>
        <v/>
      </c>
      <c r="E8569">
        <f>IF(B8569=1,D8569,E8568)</f>
        <v/>
      </c>
      <c r="F8569">
        <f>IF(AND(B8569=1,C8569&gt;1,E8568&lt;&gt;""),ABS(D8569-E8568),"")</f>
        <v/>
      </c>
    </row>
    <row r="8570">
      <c r="A8570" t="n">
        <v>8570</v>
      </c>
      <c r="B8570">
        <f>IF(INDEX('Data Entry'!$H$5:$BE$10004,8570-4,'Visual SPC'!$B$3)="",0,IF(AND(OR('Visual SPC'!$C$4="",'Data Entry'!$C8570&gt;='Visual SPC'!$C$4),OR('Visual SPC'!$E$4="",'Data Entry'!$C8570&lt;='Visual SPC'!$E$4),OR('Visual SPC'!$G$4="",'Data Entry'!$D8570='Visual SPC'!$G$4),OR('Visual SPC'!$I$4="",'Data Entry'!$E8570='Visual SPC'!$I$4),OR('Visual SPC'!$K$4="",'Data Entry'!$F8570='Visual SPC'!$K$4)),1,0))</f>
        <v/>
      </c>
      <c r="C8570">
        <f>C8569+B8570</f>
        <v/>
      </c>
      <c r="D8570">
        <f>IF(B8570=1,INDEX('Data Entry'!$H$5:$BE$10004,8570-4,'Visual SPC'!$B$3),"")</f>
        <v/>
      </c>
      <c r="E8570">
        <f>IF(B8570=1,D8570,E8569)</f>
        <v/>
      </c>
      <c r="F8570">
        <f>IF(AND(B8570=1,C8570&gt;1,E8569&lt;&gt;""),ABS(D8570-E8569),"")</f>
        <v/>
      </c>
    </row>
    <row r="8571">
      <c r="A8571" t="n">
        <v>8571</v>
      </c>
      <c r="B8571">
        <f>IF(INDEX('Data Entry'!$H$5:$BE$10004,8571-4,'Visual SPC'!$B$3)="",0,IF(AND(OR('Visual SPC'!$C$4="",'Data Entry'!$C8571&gt;='Visual SPC'!$C$4),OR('Visual SPC'!$E$4="",'Data Entry'!$C8571&lt;='Visual SPC'!$E$4),OR('Visual SPC'!$G$4="",'Data Entry'!$D8571='Visual SPC'!$G$4),OR('Visual SPC'!$I$4="",'Data Entry'!$E8571='Visual SPC'!$I$4),OR('Visual SPC'!$K$4="",'Data Entry'!$F8571='Visual SPC'!$K$4)),1,0))</f>
        <v/>
      </c>
      <c r="C8571">
        <f>C8570+B8571</f>
        <v/>
      </c>
      <c r="D8571">
        <f>IF(B8571=1,INDEX('Data Entry'!$H$5:$BE$10004,8571-4,'Visual SPC'!$B$3),"")</f>
        <v/>
      </c>
      <c r="E8571">
        <f>IF(B8571=1,D8571,E8570)</f>
        <v/>
      </c>
      <c r="F8571">
        <f>IF(AND(B8571=1,C8571&gt;1,E8570&lt;&gt;""),ABS(D8571-E8570),"")</f>
        <v/>
      </c>
    </row>
    <row r="8572">
      <c r="A8572" t="n">
        <v>8572</v>
      </c>
      <c r="B8572">
        <f>IF(INDEX('Data Entry'!$H$5:$BE$10004,8572-4,'Visual SPC'!$B$3)="",0,IF(AND(OR('Visual SPC'!$C$4="",'Data Entry'!$C8572&gt;='Visual SPC'!$C$4),OR('Visual SPC'!$E$4="",'Data Entry'!$C8572&lt;='Visual SPC'!$E$4),OR('Visual SPC'!$G$4="",'Data Entry'!$D8572='Visual SPC'!$G$4),OR('Visual SPC'!$I$4="",'Data Entry'!$E8572='Visual SPC'!$I$4),OR('Visual SPC'!$K$4="",'Data Entry'!$F8572='Visual SPC'!$K$4)),1,0))</f>
        <v/>
      </c>
      <c r="C8572">
        <f>C8571+B8572</f>
        <v/>
      </c>
      <c r="D8572">
        <f>IF(B8572=1,INDEX('Data Entry'!$H$5:$BE$10004,8572-4,'Visual SPC'!$B$3),"")</f>
        <v/>
      </c>
      <c r="E8572">
        <f>IF(B8572=1,D8572,E8571)</f>
        <v/>
      </c>
      <c r="F8572">
        <f>IF(AND(B8572=1,C8572&gt;1,E8571&lt;&gt;""),ABS(D8572-E8571),"")</f>
        <v/>
      </c>
    </row>
    <row r="8573">
      <c r="A8573" t="n">
        <v>8573</v>
      </c>
      <c r="B8573">
        <f>IF(INDEX('Data Entry'!$H$5:$BE$10004,8573-4,'Visual SPC'!$B$3)="",0,IF(AND(OR('Visual SPC'!$C$4="",'Data Entry'!$C8573&gt;='Visual SPC'!$C$4),OR('Visual SPC'!$E$4="",'Data Entry'!$C8573&lt;='Visual SPC'!$E$4),OR('Visual SPC'!$G$4="",'Data Entry'!$D8573='Visual SPC'!$G$4),OR('Visual SPC'!$I$4="",'Data Entry'!$E8573='Visual SPC'!$I$4),OR('Visual SPC'!$K$4="",'Data Entry'!$F8573='Visual SPC'!$K$4)),1,0))</f>
        <v/>
      </c>
      <c r="C8573">
        <f>C8572+B8573</f>
        <v/>
      </c>
      <c r="D8573">
        <f>IF(B8573=1,INDEX('Data Entry'!$H$5:$BE$10004,8573-4,'Visual SPC'!$B$3),"")</f>
        <v/>
      </c>
      <c r="E8573">
        <f>IF(B8573=1,D8573,E8572)</f>
        <v/>
      </c>
      <c r="F8573">
        <f>IF(AND(B8573=1,C8573&gt;1,E8572&lt;&gt;""),ABS(D8573-E8572),"")</f>
        <v/>
      </c>
    </row>
    <row r="8574">
      <c r="A8574" t="n">
        <v>8574</v>
      </c>
      <c r="B8574">
        <f>IF(INDEX('Data Entry'!$H$5:$BE$10004,8574-4,'Visual SPC'!$B$3)="",0,IF(AND(OR('Visual SPC'!$C$4="",'Data Entry'!$C8574&gt;='Visual SPC'!$C$4),OR('Visual SPC'!$E$4="",'Data Entry'!$C8574&lt;='Visual SPC'!$E$4),OR('Visual SPC'!$G$4="",'Data Entry'!$D8574='Visual SPC'!$G$4),OR('Visual SPC'!$I$4="",'Data Entry'!$E8574='Visual SPC'!$I$4),OR('Visual SPC'!$K$4="",'Data Entry'!$F8574='Visual SPC'!$K$4)),1,0))</f>
        <v/>
      </c>
      <c r="C8574">
        <f>C8573+B8574</f>
        <v/>
      </c>
      <c r="D8574">
        <f>IF(B8574=1,INDEX('Data Entry'!$H$5:$BE$10004,8574-4,'Visual SPC'!$B$3),"")</f>
        <v/>
      </c>
      <c r="E8574">
        <f>IF(B8574=1,D8574,E8573)</f>
        <v/>
      </c>
      <c r="F8574">
        <f>IF(AND(B8574=1,C8574&gt;1,E8573&lt;&gt;""),ABS(D8574-E8573),"")</f>
        <v/>
      </c>
    </row>
    <row r="8575">
      <c r="A8575" t="n">
        <v>8575</v>
      </c>
      <c r="B8575">
        <f>IF(INDEX('Data Entry'!$H$5:$BE$10004,8575-4,'Visual SPC'!$B$3)="",0,IF(AND(OR('Visual SPC'!$C$4="",'Data Entry'!$C8575&gt;='Visual SPC'!$C$4),OR('Visual SPC'!$E$4="",'Data Entry'!$C8575&lt;='Visual SPC'!$E$4),OR('Visual SPC'!$G$4="",'Data Entry'!$D8575='Visual SPC'!$G$4),OR('Visual SPC'!$I$4="",'Data Entry'!$E8575='Visual SPC'!$I$4),OR('Visual SPC'!$K$4="",'Data Entry'!$F8575='Visual SPC'!$K$4)),1,0))</f>
        <v/>
      </c>
      <c r="C8575">
        <f>C8574+B8575</f>
        <v/>
      </c>
      <c r="D8575">
        <f>IF(B8575=1,INDEX('Data Entry'!$H$5:$BE$10004,8575-4,'Visual SPC'!$B$3),"")</f>
        <v/>
      </c>
      <c r="E8575">
        <f>IF(B8575=1,D8575,E8574)</f>
        <v/>
      </c>
      <c r="F8575">
        <f>IF(AND(B8575=1,C8575&gt;1,E8574&lt;&gt;""),ABS(D8575-E8574),"")</f>
        <v/>
      </c>
    </row>
    <row r="8576">
      <c r="A8576" t="n">
        <v>8576</v>
      </c>
      <c r="B8576">
        <f>IF(INDEX('Data Entry'!$H$5:$BE$10004,8576-4,'Visual SPC'!$B$3)="",0,IF(AND(OR('Visual SPC'!$C$4="",'Data Entry'!$C8576&gt;='Visual SPC'!$C$4),OR('Visual SPC'!$E$4="",'Data Entry'!$C8576&lt;='Visual SPC'!$E$4),OR('Visual SPC'!$G$4="",'Data Entry'!$D8576='Visual SPC'!$G$4),OR('Visual SPC'!$I$4="",'Data Entry'!$E8576='Visual SPC'!$I$4),OR('Visual SPC'!$K$4="",'Data Entry'!$F8576='Visual SPC'!$K$4)),1,0))</f>
        <v/>
      </c>
      <c r="C8576">
        <f>C8575+B8576</f>
        <v/>
      </c>
      <c r="D8576">
        <f>IF(B8576=1,INDEX('Data Entry'!$H$5:$BE$10004,8576-4,'Visual SPC'!$B$3),"")</f>
        <v/>
      </c>
      <c r="E8576">
        <f>IF(B8576=1,D8576,E8575)</f>
        <v/>
      </c>
      <c r="F8576">
        <f>IF(AND(B8576=1,C8576&gt;1,E8575&lt;&gt;""),ABS(D8576-E8575),"")</f>
        <v/>
      </c>
    </row>
    <row r="8577">
      <c r="A8577" t="n">
        <v>8577</v>
      </c>
      <c r="B8577">
        <f>IF(INDEX('Data Entry'!$H$5:$BE$10004,8577-4,'Visual SPC'!$B$3)="",0,IF(AND(OR('Visual SPC'!$C$4="",'Data Entry'!$C8577&gt;='Visual SPC'!$C$4),OR('Visual SPC'!$E$4="",'Data Entry'!$C8577&lt;='Visual SPC'!$E$4),OR('Visual SPC'!$G$4="",'Data Entry'!$D8577='Visual SPC'!$G$4),OR('Visual SPC'!$I$4="",'Data Entry'!$E8577='Visual SPC'!$I$4),OR('Visual SPC'!$K$4="",'Data Entry'!$F8577='Visual SPC'!$K$4)),1,0))</f>
        <v/>
      </c>
      <c r="C8577">
        <f>C8576+B8577</f>
        <v/>
      </c>
      <c r="D8577">
        <f>IF(B8577=1,INDEX('Data Entry'!$H$5:$BE$10004,8577-4,'Visual SPC'!$B$3),"")</f>
        <v/>
      </c>
      <c r="E8577">
        <f>IF(B8577=1,D8577,E8576)</f>
        <v/>
      </c>
      <c r="F8577">
        <f>IF(AND(B8577=1,C8577&gt;1,E8576&lt;&gt;""),ABS(D8577-E8576),"")</f>
        <v/>
      </c>
    </row>
    <row r="8578">
      <c r="A8578" t="n">
        <v>8578</v>
      </c>
      <c r="B8578">
        <f>IF(INDEX('Data Entry'!$H$5:$BE$10004,8578-4,'Visual SPC'!$B$3)="",0,IF(AND(OR('Visual SPC'!$C$4="",'Data Entry'!$C8578&gt;='Visual SPC'!$C$4),OR('Visual SPC'!$E$4="",'Data Entry'!$C8578&lt;='Visual SPC'!$E$4),OR('Visual SPC'!$G$4="",'Data Entry'!$D8578='Visual SPC'!$G$4),OR('Visual SPC'!$I$4="",'Data Entry'!$E8578='Visual SPC'!$I$4),OR('Visual SPC'!$K$4="",'Data Entry'!$F8578='Visual SPC'!$K$4)),1,0))</f>
        <v/>
      </c>
      <c r="C8578">
        <f>C8577+B8578</f>
        <v/>
      </c>
      <c r="D8578">
        <f>IF(B8578=1,INDEX('Data Entry'!$H$5:$BE$10004,8578-4,'Visual SPC'!$B$3),"")</f>
        <v/>
      </c>
      <c r="E8578">
        <f>IF(B8578=1,D8578,E8577)</f>
        <v/>
      </c>
      <c r="F8578">
        <f>IF(AND(B8578=1,C8578&gt;1,E8577&lt;&gt;""),ABS(D8578-E8577),"")</f>
        <v/>
      </c>
    </row>
    <row r="8579">
      <c r="A8579" t="n">
        <v>8579</v>
      </c>
      <c r="B8579">
        <f>IF(INDEX('Data Entry'!$H$5:$BE$10004,8579-4,'Visual SPC'!$B$3)="",0,IF(AND(OR('Visual SPC'!$C$4="",'Data Entry'!$C8579&gt;='Visual SPC'!$C$4),OR('Visual SPC'!$E$4="",'Data Entry'!$C8579&lt;='Visual SPC'!$E$4),OR('Visual SPC'!$G$4="",'Data Entry'!$D8579='Visual SPC'!$G$4),OR('Visual SPC'!$I$4="",'Data Entry'!$E8579='Visual SPC'!$I$4),OR('Visual SPC'!$K$4="",'Data Entry'!$F8579='Visual SPC'!$K$4)),1,0))</f>
        <v/>
      </c>
      <c r="C8579">
        <f>C8578+B8579</f>
        <v/>
      </c>
      <c r="D8579">
        <f>IF(B8579=1,INDEX('Data Entry'!$H$5:$BE$10004,8579-4,'Visual SPC'!$B$3),"")</f>
        <v/>
      </c>
      <c r="E8579">
        <f>IF(B8579=1,D8579,E8578)</f>
        <v/>
      </c>
      <c r="F8579">
        <f>IF(AND(B8579=1,C8579&gt;1,E8578&lt;&gt;""),ABS(D8579-E8578),"")</f>
        <v/>
      </c>
    </row>
    <row r="8580">
      <c r="A8580" t="n">
        <v>8580</v>
      </c>
      <c r="B8580">
        <f>IF(INDEX('Data Entry'!$H$5:$BE$10004,8580-4,'Visual SPC'!$B$3)="",0,IF(AND(OR('Visual SPC'!$C$4="",'Data Entry'!$C8580&gt;='Visual SPC'!$C$4),OR('Visual SPC'!$E$4="",'Data Entry'!$C8580&lt;='Visual SPC'!$E$4),OR('Visual SPC'!$G$4="",'Data Entry'!$D8580='Visual SPC'!$G$4),OR('Visual SPC'!$I$4="",'Data Entry'!$E8580='Visual SPC'!$I$4),OR('Visual SPC'!$K$4="",'Data Entry'!$F8580='Visual SPC'!$K$4)),1,0))</f>
        <v/>
      </c>
      <c r="C8580">
        <f>C8579+B8580</f>
        <v/>
      </c>
      <c r="D8580">
        <f>IF(B8580=1,INDEX('Data Entry'!$H$5:$BE$10004,8580-4,'Visual SPC'!$B$3),"")</f>
        <v/>
      </c>
      <c r="E8580">
        <f>IF(B8580=1,D8580,E8579)</f>
        <v/>
      </c>
      <c r="F8580">
        <f>IF(AND(B8580=1,C8580&gt;1,E8579&lt;&gt;""),ABS(D8580-E8579),"")</f>
        <v/>
      </c>
    </row>
    <row r="8581">
      <c r="A8581" t="n">
        <v>8581</v>
      </c>
      <c r="B8581">
        <f>IF(INDEX('Data Entry'!$H$5:$BE$10004,8581-4,'Visual SPC'!$B$3)="",0,IF(AND(OR('Visual SPC'!$C$4="",'Data Entry'!$C8581&gt;='Visual SPC'!$C$4),OR('Visual SPC'!$E$4="",'Data Entry'!$C8581&lt;='Visual SPC'!$E$4),OR('Visual SPC'!$G$4="",'Data Entry'!$D8581='Visual SPC'!$G$4),OR('Visual SPC'!$I$4="",'Data Entry'!$E8581='Visual SPC'!$I$4),OR('Visual SPC'!$K$4="",'Data Entry'!$F8581='Visual SPC'!$K$4)),1,0))</f>
        <v/>
      </c>
      <c r="C8581">
        <f>C8580+B8581</f>
        <v/>
      </c>
      <c r="D8581">
        <f>IF(B8581=1,INDEX('Data Entry'!$H$5:$BE$10004,8581-4,'Visual SPC'!$B$3),"")</f>
        <v/>
      </c>
      <c r="E8581">
        <f>IF(B8581=1,D8581,E8580)</f>
        <v/>
      </c>
      <c r="F8581">
        <f>IF(AND(B8581=1,C8581&gt;1,E8580&lt;&gt;""),ABS(D8581-E8580),"")</f>
        <v/>
      </c>
    </row>
    <row r="8582">
      <c r="A8582" t="n">
        <v>8582</v>
      </c>
      <c r="B8582">
        <f>IF(INDEX('Data Entry'!$H$5:$BE$10004,8582-4,'Visual SPC'!$B$3)="",0,IF(AND(OR('Visual SPC'!$C$4="",'Data Entry'!$C8582&gt;='Visual SPC'!$C$4),OR('Visual SPC'!$E$4="",'Data Entry'!$C8582&lt;='Visual SPC'!$E$4),OR('Visual SPC'!$G$4="",'Data Entry'!$D8582='Visual SPC'!$G$4),OR('Visual SPC'!$I$4="",'Data Entry'!$E8582='Visual SPC'!$I$4),OR('Visual SPC'!$K$4="",'Data Entry'!$F8582='Visual SPC'!$K$4)),1,0))</f>
        <v/>
      </c>
      <c r="C8582">
        <f>C8581+B8582</f>
        <v/>
      </c>
      <c r="D8582">
        <f>IF(B8582=1,INDEX('Data Entry'!$H$5:$BE$10004,8582-4,'Visual SPC'!$B$3),"")</f>
        <v/>
      </c>
      <c r="E8582">
        <f>IF(B8582=1,D8582,E8581)</f>
        <v/>
      </c>
      <c r="F8582">
        <f>IF(AND(B8582=1,C8582&gt;1,E8581&lt;&gt;""),ABS(D8582-E8581),"")</f>
        <v/>
      </c>
    </row>
    <row r="8583">
      <c r="A8583" t="n">
        <v>8583</v>
      </c>
      <c r="B8583">
        <f>IF(INDEX('Data Entry'!$H$5:$BE$10004,8583-4,'Visual SPC'!$B$3)="",0,IF(AND(OR('Visual SPC'!$C$4="",'Data Entry'!$C8583&gt;='Visual SPC'!$C$4),OR('Visual SPC'!$E$4="",'Data Entry'!$C8583&lt;='Visual SPC'!$E$4),OR('Visual SPC'!$G$4="",'Data Entry'!$D8583='Visual SPC'!$G$4),OR('Visual SPC'!$I$4="",'Data Entry'!$E8583='Visual SPC'!$I$4),OR('Visual SPC'!$K$4="",'Data Entry'!$F8583='Visual SPC'!$K$4)),1,0))</f>
        <v/>
      </c>
      <c r="C8583">
        <f>C8582+B8583</f>
        <v/>
      </c>
      <c r="D8583">
        <f>IF(B8583=1,INDEX('Data Entry'!$H$5:$BE$10004,8583-4,'Visual SPC'!$B$3),"")</f>
        <v/>
      </c>
      <c r="E8583">
        <f>IF(B8583=1,D8583,E8582)</f>
        <v/>
      </c>
      <c r="F8583">
        <f>IF(AND(B8583=1,C8583&gt;1,E8582&lt;&gt;""),ABS(D8583-E8582),"")</f>
        <v/>
      </c>
    </row>
    <row r="8584">
      <c r="A8584" t="n">
        <v>8584</v>
      </c>
      <c r="B8584">
        <f>IF(INDEX('Data Entry'!$H$5:$BE$10004,8584-4,'Visual SPC'!$B$3)="",0,IF(AND(OR('Visual SPC'!$C$4="",'Data Entry'!$C8584&gt;='Visual SPC'!$C$4),OR('Visual SPC'!$E$4="",'Data Entry'!$C8584&lt;='Visual SPC'!$E$4),OR('Visual SPC'!$G$4="",'Data Entry'!$D8584='Visual SPC'!$G$4),OR('Visual SPC'!$I$4="",'Data Entry'!$E8584='Visual SPC'!$I$4),OR('Visual SPC'!$K$4="",'Data Entry'!$F8584='Visual SPC'!$K$4)),1,0))</f>
        <v/>
      </c>
      <c r="C8584">
        <f>C8583+B8584</f>
        <v/>
      </c>
      <c r="D8584">
        <f>IF(B8584=1,INDEX('Data Entry'!$H$5:$BE$10004,8584-4,'Visual SPC'!$B$3),"")</f>
        <v/>
      </c>
      <c r="E8584">
        <f>IF(B8584=1,D8584,E8583)</f>
        <v/>
      </c>
      <c r="F8584">
        <f>IF(AND(B8584=1,C8584&gt;1,E8583&lt;&gt;""),ABS(D8584-E8583),"")</f>
        <v/>
      </c>
    </row>
    <row r="8585">
      <c r="A8585" t="n">
        <v>8585</v>
      </c>
      <c r="B8585">
        <f>IF(INDEX('Data Entry'!$H$5:$BE$10004,8585-4,'Visual SPC'!$B$3)="",0,IF(AND(OR('Visual SPC'!$C$4="",'Data Entry'!$C8585&gt;='Visual SPC'!$C$4),OR('Visual SPC'!$E$4="",'Data Entry'!$C8585&lt;='Visual SPC'!$E$4),OR('Visual SPC'!$G$4="",'Data Entry'!$D8585='Visual SPC'!$G$4),OR('Visual SPC'!$I$4="",'Data Entry'!$E8585='Visual SPC'!$I$4),OR('Visual SPC'!$K$4="",'Data Entry'!$F8585='Visual SPC'!$K$4)),1,0))</f>
        <v/>
      </c>
      <c r="C8585">
        <f>C8584+B8585</f>
        <v/>
      </c>
      <c r="D8585">
        <f>IF(B8585=1,INDEX('Data Entry'!$H$5:$BE$10004,8585-4,'Visual SPC'!$B$3),"")</f>
        <v/>
      </c>
      <c r="E8585">
        <f>IF(B8585=1,D8585,E8584)</f>
        <v/>
      </c>
      <c r="F8585">
        <f>IF(AND(B8585=1,C8585&gt;1,E8584&lt;&gt;""),ABS(D8585-E8584),"")</f>
        <v/>
      </c>
    </row>
    <row r="8586">
      <c r="A8586" t="n">
        <v>8586</v>
      </c>
      <c r="B8586">
        <f>IF(INDEX('Data Entry'!$H$5:$BE$10004,8586-4,'Visual SPC'!$B$3)="",0,IF(AND(OR('Visual SPC'!$C$4="",'Data Entry'!$C8586&gt;='Visual SPC'!$C$4),OR('Visual SPC'!$E$4="",'Data Entry'!$C8586&lt;='Visual SPC'!$E$4),OR('Visual SPC'!$G$4="",'Data Entry'!$D8586='Visual SPC'!$G$4),OR('Visual SPC'!$I$4="",'Data Entry'!$E8586='Visual SPC'!$I$4),OR('Visual SPC'!$K$4="",'Data Entry'!$F8586='Visual SPC'!$K$4)),1,0))</f>
        <v/>
      </c>
      <c r="C8586">
        <f>C8585+B8586</f>
        <v/>
      </c>
      <c r="D8586">
        <f>IF(B8586=1,INDEX('Data Entry'!$H$5:$BE$10004,8586-4,'Visual SPC'!$B$3),"")</f>
        <v/>
      </c>
      <c r="E8586">
        <f>IF(B8586=1,D8586,E8585)</f>
        <v/>
      </c>
      <c r="F8586">
        <f>IF(AND(B8586=1,C8586&gt;1,E8585&lt;&gt;""),ABS(D8586-E8585),"")</f>
        <v/>
      </c>
    </row>
    <row r="8587">
      <c r="A8587" t="n">
        <v>8587</v>
      </c>
      <c r="B8587">
        <f>IF(INDEX('Data Entry'!$H$5:$BE$10004,8587-4,'Visual SPC'!$B$3)="",0,IF(AND(OR('Visual SPC'!$C$4="",'Data Entry'!$C8587&gt;='Visual SPC'!$C$4),OR('Visual SPC'!$E$4="",'Data Entry'!$C8587&lt;='Visual SPC'!$E$4),OR('Visual SPC'!$G$4="",'Data Entry'!$D8587='Visual SPC'!$G$4),OR('Visual SPC'!$I$4="",'Data Entry'!$E8587='Visual SPC'!$I$4),OR('Visual SPC'!$K$4="",'Data Entry'!$F8587='Visual SPC'!$K$4)),1,0))</f>
        <v/>
      </c>
      <c r="C8587">
        <f>C8586+B8587</f>
        <v/>
      </c>
      <c r="D8587">
        <f>IF(B8587=1,INDEX('Data Entry'!$H$5:$BE$10004,8587-4,'Visual SPC'!$B$3),"")</f>
        <v/>
      </c>
      <c r="E8587">
        <f>IF(B8587=1,D8587,E8586)</f>
        <v/>
      </c>
      <c r="F8587">
        <f>IF(AND(B8587=1,C8587&gt;1,E8586&lt;&gt;""),ABS(D8587-E8586),"")</f>
        <v/>
      </c>
    </row>
    <row r="8588">
      <c r="A8588" t="n">
        <v>8588</v>
      </c>
      <c r="B8588">
        <f>IF(INDEX('Data Entry'!$H$5:$BE$10004,8588-4,'Visual SPC'!$B$3)="",0,IF(AND(OR('Visual SPC'!$C$4="",'Data Entry'!$C8588&gt;='Visual SPC'!$C$4),OR('Visual SPC'!$E$4="",'Data Entry'!$C8588&lt;='Visual SPC'!$E$4),OR('Visual SPC'!$G$4="",'Data Entry'!$D8588='Visual SPC'!$G$4),OR('Visual SPC'!$I$4="",'Data Entry'!$E8588='Visual SPC'!$I$4),OR('Visual SPC'!$K$4="",'Data Entry'!$F8588='Visual SPC'!$K$4)),1,0))</f>
        <v/>
      </c>
      <c r="C8588">
        <f>C8587+B8588</f>
        <v/>
      </c>
      <c r="D8588">
        <f>IF(B8588=1,INDEX('Data Entry'!$H$5:$BE$10004,8588-4,'Visual SPC'!$B$3),"")</f>
        <v/>
      </c>
      <c r="E8588">
        <f>IF(B8588=1,D8588,E8587)</f>
        <v/>
      </c>
      <c r="F8588">
        <f>IF(AND(B8588=1,C8588&gt;1,E8587&lt;&gt;""),ABS(D8588-E8587),"")</f>
        <v/>
      </c>
    </row>
    <row r="8589">
      <c r="A8589" t="n">
        <v>8589</v>
      </c>
      <c r="B8589">
        <f>IF(INDEX('Data Entry'!$H$5:$BE$10004,8589-4,'Visual SPC'!$B$3)="",0,IF(AND(OR('Visual SPC'!$C$4="",'Data Entry'!$C8589&gt;='Visual SPC'!$C$4),OR('Visual SPC'!$E$4="",'Data Entry'!$C8589&lt;='Visual SPC'!$E$4),OR('Visual SPC'!$G$4="",'Data Entry'!$D8589='Visual SPC'!$G$4),OR('Visual SPC'!$I$4="",'Data Entry'!$E8589='Visual SPC'!$I$4),OR('Visual SPC'!$K$4="",'Data Entry'!$F8589='Visual SPC'!$K$4)),1,0))</f>
        <v/>
      </c>
      <c r="C8589">
        <f>C8588+B8589</f>
        <v/>
      </c>
      <c r="D8589">
        <f>IF(B8589=1,INDEX('Data Entry'!$H$5:$BE$10004,8589-4,'Visual SPC'!$B$3),"")</f>
        <v/>
      </c>
      <c r="E8589">
        <f>IF(B8589=1,D8589,E8588)</f>
        <v/>
      </c>
      <c r="F8589">
        <f>IF(AND(B8589=1,C8589&gt;1,E8588&lt;&gt;""),ABS(D8589-E8588),"")</f>
        <v/>
      </c>
    </row>
    <row r="8590">
      <c r="A8590" t="n">
        <v>8590</v>
      </c>
      <c r="B8590">
        <f>IF(INDEX('Data Entry'!$H$5:$BE$10004,8590-4,'Visual SPC'!$B$3)="",0,IF(AND(OR('Visual SPC'!$C$4="",'Data Entry'!$C8590&gt;='Visual SPC'!$C$4),OR('Visual SPC'!$E$4="",'Data Entry'!$C8590&lt;='Visual SPC'!$E$4),OR('Visual SPC'!$G$4="",'Data Entry'!$D8590='Visual SPC'!$G$4),OR('Visual SPC'!$I$4="",'Data Entry'!$E8590='Visual SPC'!$I$4),OR('Visual SPC'!$K$4="",'Data Entry'!$F8590='Visual SPC'!$K$4)),1,0))</f>
        <v/>
      </c>
      <c r="C8590">
        <f>C8589+B8590</f>
        <v/>
      </c>
      <c r="D8590">
        <f>IF(B8590=1,INDEX('Data Entry'!$H$5:$BE$10004,8590-4,'Visual SPC'!$B$3),"")</f>
        <v/>
      </c>
      <c r="E8590">
        <f>IF(B8590=1,D8590,E8589)</f>
        <v/>
      </c>
      <c r="F8590">
        <f>IF(AND(B8590=1,C8590&gt;1,E8589&lt;&gt;""),ABS(D8590-E8589),"")</f>
        <v/>
      </c>
    </row>
    <row r="8591">
      <c r="A8591" t="n">
        <v>8591</v>
      </c>
      <c r="B8591">
        <f>IF(INDEX('Data Entry'!$H$5:$BE$10004,8591-4,'Visual SPC'!$B$3)="",0,IF(AND(OR('Visual SPC'!$C$4="",'Data Entry'!$C8591&gt;='Visual SPC'!$C$4),OR('Visual SPC'!$E$4="",'Data Entry'!$C8591&lt;='Visual SPC'!$E$4),OR('Visual SPC'!$G$4="",'Data Entry'!$D8591='Visual SPC'!$G$4),OR('Visual SPC'!$I$4="",'Data Entry'!$E8591='Visual SPC'!$I$4),OR('Visual SPC'!$K$4="",'Data Entry'!$F8591='Visual SPC'!$K$4)),1,0))</f>
        <v/>
      </c>
      <c r="C8591">
        <f>C8590+B8591</f>
        <v/>
      </c>
      <c r="D8591">
        <f>IF(B8591=1,INDEX('Data Entry'!$H$5:$BE$10004,8591-4,'Visual SPC'!$B$3),"")</f>
        <v/>
      </c>
      <c r="E8591">
        <f>IF(B8591=1,D8591,E8590)</f>
        <v/>
      </c>
      <c r="F8591">
        <f>IF(AND(B8591=1,C8591&gt;1,E8590&lt;&gt;""),ABS(D8591-E8590),"")</f>
        <v/>
      </c>
    </row>
    <row r="8592">
      <c r="A8592" t="n">
        <v>8592</v>
      </c>
      <c r="B8592">
        <f>IF(INDEX('Data Entry'!$H$5:$BE$10004,8592-4,'Visual SPC'!$B$3)="",0,IF(AND(OR('Visual SPC'!$C$4="",'Data Entry'!$C8592&gt;='Visual SPC'!$C$4),OR('Visual SPC'!$E$4="",'Data Entry'!$C8592&lt;='Visual SPC'!$E$4),OR('Visual SPC'!$G$4="",'Data Entry'!$D8592='Visual SPC'!$G$4),OR('Visual SPC'!$I$4="",'Data Entry'!$E8592='Visual SPC'!$I$4),OR('Visual SPC'!$K$4="",'Data Entry'!$F8592='Visual SPC'!$K$4)),1,0))</f>
        <v/>
      </c>
      <c r="C8592">
        <f>C8591+B8592</f>
        <v/>
      </c>
      <c r="D8592">
        <f>IF(B8592=1,INDEX('Data Entry'!$H$5:$BE$10004,8592-4,'Visual SPC'!$B$3),"")</f>
        <v/>
      </c>
      <c r="E8592">
        <f>IF(B8592=1,D8592,E8591)</f>
        <v/>
      </c>
      <c r="F8592">
        <f>IF(AND(B8592=1,C8592&gt;1,E8591&lt;&gt;""),ABS(D8592-E8591),"")</f>
        <v/>
      </c>
    </row>
    <row r="8593">
      <c r="A8593" t="n">
        <v>8593</v>
      </c>
      <c r="B8593">
        <f>IF(INDEX('Data Entry'!$H$5:$BE$10004,8593-4,'Visual SPC'!$B$3)="",0,IF(AND(OR('Visual SPC'!$C$4="",'Data Entry'!$C8593&gt;='Visual SPC'!$C$4),OR('Visual SPC'!$E$4="",'Data Entry'!$C8593&lt;='Visual SPC'!$E$4),OR('Visual SPC'!$G$4="",'Data Entry'!$D8593='Visual SPC'!$G$4),OR('Visual SPC'!$I$4="",'Data Entry'!$E8593='Visual SPC'!$I$4),OR('Visual SPC'!$K$4="",'Data Entry'!$F8593='Visual SPC'!$K$4)),1,0))</f>
        <v/>
      </c>
      <c r="C8593">
        <f>C8592+B8593</f>
        <v/>
      </c>
      <c r="D8593">
        <f>IF(B8593=1,INDEX('Data Entry'!$H$5:$BE$10004,8593-4,'Visual SPC'!$B$3),"")</f>
        <v/>
      </c>
      <c r="E8593">
        <f>IF(B8593=1,D8593,E8592)</f>
        <v/>
      </c>
      <c r="F8593">
        <f>IF(AND(B8593=1,C8593&gt;1,E8592&lt;&gt;""),ABS(D8593-E8592),"")</f>
        <v/>
      </c>
    </row>
    <row r="8594">
      <c r="A8594" t="n">
        <v>8594</v>
      </c>
      <c r="B8594">
        <f>IF(INDEX('Data Entry'!$H$5:$BE$10004,8594-4,'Visual SPC'!$B$3)="",0,IF(AND(OR('Visual SPC'!$C$4="",'Data Entry'!$C8594&gt;='Visual SPC'!$C$4),OR('Visual SPC'!$E$4="",'Data Entry'!$C8594&lt;='Visual SPC'!$E$4),OR('Visual SPC'!$G$4="",'Data Entry'!$D8594='Visual SPC'!$G$4),OR('Visual SPC'!$I$4="",'Data Entry'!$E8594='Visual SPC'!$I$4),OR('Visual SPC'!$K$4="",'Data Entry'!$F8594='Visual SPC'!$K$4)),1,0))</f>
        <v/>
      </c>
      <c r="C8594">
        <f>C8593+B8594</f>
        <v/>
      </c>
      <c r="D8594">
        <f>IF(B8594=1,INDEX('Data Entry'!$H$5:$BE$10004,8594-4,'Visual SPC'!$B$3),"")</f>
        <v/>
      </c>
      <c r="E8594">
        <f>IF(B8594=1,D8594,E8593)</f>
        <v/>
      </c>
      <c r="F8594">
        <f>IF(AND(B8594=1,C8594&gt;1,E8593&lt;&gt;""),ABS(D8594-E8593),"")</f>
        <v/>
      </c>
    </row>
    <row r="8595">
      <c r="A8595" t="n">
        <v>8595</v>
      </c>
      <c r="B8595">
        <f>IF(INDEX('Data Entry'!$H$5:$BE$10004,8595-4,'Visual SPC'!$B$3)="",0,IF(AND(OR('Visual SPC'!$C$4="",'Data Entry'!$C8595&gt;='Visual SPC'!$C$4),OR('Visual SPC'!$E$4="",'Data Entry'!$C8595&lt;='Visual SPC'!$E$4),OR('Visual SPC'!$G$4="",'Data Entry'!$D8595='Visual SPC'!$G$4),OR('Visual SPC'!$I$4="",'Data Entry'!$E8595='Visual SPC'!$I$4),OR('Visual SPC'!$K$4="",'Data Entry'!$F8595='Visual SPC'!$K$4)),1,0))</f>
        <v/>
      </c>
      <c r="C8595">
        <f>C8594+B8595</f>
        <v/>
      </c>
      <c r="D8595">
        <f>IF(B8595=1,INDEX('Data Entry'!$H$5:$BE$10004,8595-4,'Visual SPC'!$B$3),"")</f>
        <v/>
      </c>
      <c r="E8595">
        <f>IF(B8595=1,D8595,E8594)</f>
        <v/>
      </c>
      <c r="F8595">
        <f>IF(AND(B8595=1,C8595&gt;1,E8594&lt;&gt;""),ABS(D8595-E8594),"")</f>
        <v/>
      </c>
    </row>
    <row r="8596">
      <c r="A8596" t="n">
        <v>8596</v>
      </c>
      <c r="B8596">
        <f>IF(INDEX('Data Entry'!$H$5:$BE$10004,8596-4,'Visual SPC'!$B$3)="",0,IF(AND(OR('Visual SPC'!$C$4="",'Data Entry'!$C8596&gt;='Visual SPC'!$C$4),OR('Visual SPC'!$E$4="",'Data Entry'!$C8596&lt;='Visual SPC'!$E$4),OR('Visual SPC'!$G$4="",'Data Entry'!$D8596='Visual SPC'!$G$4),OR('Visual SPC'!$I$4="",'Data Entry'!$E8596='Visual SPC'!$I$4),OR('Visual SPC'!$K$4="",'Data Entry'!$F8596='Visual SPC'!$K$4)),1,0))</f>
        <v/>
      </c>
      <c r="C8596">
        <f>C8595+B8596</f>
        <v/>
      </c>
      <c r="D8596">
        <f>IF(B8596=1,INDEX('Data Entry'!$H$5:$BE$10004,8596-4,'Visual SPC'!$B$3),"")</f>
        <v/>
      </c>
      <c r="E8596">
        <f>IF(B8596=1,D8596,E8595)</f>
        <v/>
      </c>
      <c r="F8596">
        <f>IF(AND(B8596=1,C8596&gt;1,E8595&lt;&gt;""),ABS(D8596-E8595),"")</f>
        <v/>
      </c>
    </row>
    <row r="8597">
      <c r="A8597" t="n">
        <v>8597</v>
      </c>
      <c r="B8597">
        <f>IF(INDEX('Data Entry'!$H$5:$BE$10004,8597-4,'Visual SPC'!$B$3)="",0,IF(AND(OR('Visual SPC'!$C$4="",'Data Entry'!$C8597&gt;='Visual SPC'!$C$4),OR('Visual SPC'!$E$4="",'Data Entry'!$C8597&lt;='Visual SPC'!$E$4),OR('Visual SPC'!$G$4="",'Data Entry'!$D8597='Visual SPC'!$G$4),OR('Visual SPC'!$I$4="",'Data Entry'!$E8597='Visual SPC'!$I$4),OR('Visual SPC'!$K$4="",'Data Entry'!$F8597='Visual SPC'!$K$4)),1,0))</f>
        <v/>
      </c>
      <c r="C8597">
        <f>C8596+B8597</f>
        <v/>
      </c>
      <c r="D8597">
        <f>IF(B8597=1,INDEX('Data Entry'!$H$5:$BE$10004,8597-4,'Visual SPC'!$B$3),"")</f>
        <v/>
      </c>
      <c r="E8597">
        <f>IF(B8597=1,D8597,E8596)</f>
        <v/>
      </c>
      <c r="F8597">
        <f>IF(AND(B8597=1,C8597&gt;1,E8596&lt;&gt;""),ABS(D8597-E8596),"")</f>
        <v/>
      </c>
    </row>
    <row r="8598">
      <c r="A8598" t="n">
        <v>8598</v>
      </c>
      <c r="B8598">
        <f>IF(INDEX('Data Entry'!$H$5:$BE$10004,8598-4,'Visual SPC'!$B$3)="",0,IF(AND(OR('Visual SPC'!$C$4="",'Data Entry'!$C8598&gt;='Visual SPC'!$C$4),OR('Visual SPC'!$E$4="",'Data Entry'!$C8598&lt;='Visual SPC'!$E$4),OR('Visual SPC'!$G$4="",'Data Entry'!$D8598='Visual SPC'!$G$4),OR('Visual SPC'!$I$4="",'Data Entry'!$E8598='Visual SPC'!$I$4),OR('Visual SPC'!$K$4="",'Data Entry'!$F8598='Visual SPC'!$K$4)),1,0))</f>
        <v/>
      </c>
      <c r="C8598">
        <f>C8597+B8598</f>
        <v/>
      </c>
      <c r="D8598">
        <f>IF(B8598=1,INDEX('Data Entry'!$H$5:$BE$10004,8598-4,'Visual SPC'!$B$3),"")</f>
        <v/>
      </c>
      <c r="E8598">
        <f>IF(B8598=1,D8598,E8597)</f>
        <v/>
      </c>
      <c r="F8598">
        <f>IF(AND(B8598=1,C8598&gt;1,E8597&lt;&gt;""),ABS(D8598-E8597),"")</f>
        <v/>
      </c>
    </row>
    <row r="8599">
      <c r="A8599" t="n">
        <v>8599</v>
      </c>
      <c r="B8599">
        <f>IF(INDEX('Data Entry'!$H$5:$BE$10004,8599-4,'Visual SPC'!$B$3)="",0,IF(AND(OR('Visual SPC'!$C$4="",'Data Entry'!$C8599&gt;='Visual SPC'!$C$4),OR('Visual SPC'!$E$4="",'Data Entry'!$C8599&lt;='Visual SPC'!$E$4),OR('Visual SPC'!$G$4="",'Data Entry'!$D8599='Visual SPC'!$G$4),OR('Visual SPC'!$I$4="",'Data Entry'!$E8599='Visual SPC'!$I$4),OR('Visual SPC'!$K$4="",'Data Entry'!$F8599='Visual SPC'!$K$4)),1,0))</f>
        <v/>
      </c>
      <c r="C8599">
        <f>C8598+B8599</f>
        <v/>
      </c>
      <c r="D8599">
        <f>IF(B8599=1,INDEX('Data Entry'!$H$5:$BE$10004,8599-4,'Visual SPC'!$B$3),"")</f>
        <v/>
      </c>
      <c r="E8599">
        <f>IF(B8599=1,D8599,E8598)</f>
        <v/>
      </c>
      <c r="F8599">
        <f>IF(AND(B8599=1,C8599&gt;1,E8598&lt;&gt;""),ABS(D8599-E8598),"")</f>
        <v/>
      </c>
    </row>
    <row r="8600">
      <c r="A8600" t="n">
        <v>8600</v>
      </c>
      <c r="B8600">
        <f>IF(INDEX('Data Entry'!$H$5:$BE$10004,8600-4,'Visual SPC'!$B$3)="",0,IF(AND(OR('Visual SPC'!$C$4="",'Data Entry'!$C8600&gt;='Visual SPC'!$C$4),OR('Visual SPC'!$E$4="",'Data Entry'!$C8600&lt;='Visual SPC'!$E$4),OR('Visual SPC'!$G$4="",'Data Entry'!$D8600='Visual SPC'!$G$4),OR('Visual SPC'!$I$4="",'Data Entry'!$E8600='Visual SPC'!$I$4),OR('Visual SPC'!$K$4="",'Data Entry'!$F8600='Visual SPC'!$K$4)),1,0))</f>
        <v/>
      </c>
      <c r="C8600">
        <f>C8599+B8600</f>
        <v/>
      </c>
      <c r="D8600">
        <f>IF(B8600=1,INDEX('Data Entry'!$H$5:$BE$10004,8600-4,'Visual SPC'!$B$3),"")</f>
        <v/>
      </c>
      <c r="E8600">
        <f>IF(B8600=1,D8600,E8599)</f>
        <v/>
      </c>
      <c r="F8600">
        <f>IF(AND(B8600=1,C8600&gt;1,E8599&lt;&gt;""),ABS(D8600-E8599),"")</f>
        <v/>
      </c>
    </row>
    <row r="8601">
      <c r="A8601" t="n">
        <v>8601</v>
      </c>
      <c r="B8601">
        <f>IF(INDEX('Data Entry'!$H$5:$BE$10004,8601-4,'Visual SPC'!$B$3)="",0,IF(AND(OR('Visual SPC'!$C$4="",'Data Entry'!$C8601&gt;='Visual SPC'!$C$4),OR('Visual SPC'!$E$4="",'Data Entry'!$C8601&lt;='Visual SPC'!$E$4),OR('Visual SPC'!$G$4="",'Data Entry'!$D8601='Visual SPC'!$G$4),OR('Visual SPC'!$I$4="",'Data Entry'!$E8601='Visual SPC'!$I$4),OR('Visual SPC'!$K$4="",'Data Entry'!$F8601='Visual SPC'!$K$4)),1,0))</f>
        <v/>
      </c>
      <c r="C8601">
        <f>C8600+B8601</f>
        <v/>
      </c>
      <c r="D8601">
        <f>IF(B8601=1,INDEX('Data Entry'!$H$5:$BE$10004,8601-4,'Visual SPC'!$B$3),"")</f>
        <v/>
      </c>
      <c r="E8601">
        <f>IF(B8601=1,D8601,E8600)</f>
        <v/>
      </c>
      <c r="F8601">
        <f>IF(AND(B8601=1,C8601&gt;1,E8600&lt;&gt;""),ABS(D8601-E8600),"")</f>
        <v/>
      </c>
    </row>
    <row r="8602">
      <c r="A8602" t="n">
        <v>8602</v>
      </c>
      <c r="B8602">
        <f>IF(INDEX('Data Entry'!$H$5:$BE$10004,8602-4,'Visual SPC'!$B$3)="",0,IF(AND(OR('Visual SPC'!$C$4="",'Data Entry'!$C8602&gt;='Visual SPC'!$C$4),OR('Visual SPC'!$E$4="",'Data Entry'!$C8602&lt;='Visual SPC'!$E$4),OR('Visual SPC'!$G$4="",'Data Entry'!$D8602='Visual SPC'!$G$4),OR('Visual SPC'!$I$4="",'Data Entry'!$E8602='Visual SPC'!$I$4),OR('Visual SPC'!$K$4="",'Data Entry'!$F8602='Visual SPC'!$K$4)),1,0))</f>
        <v/>
      </c>
      <c r="C8602">
        <f>C8601+B8602</f>
        <v/>
      </c>
      <c r="D8602">
        <f>IF(B8602=1,INDEX('Data Entry'!$H$5:$BE$10004,8602-4,'Visual SPC'!$B$3),"")</f>
        <v/>
      </c>
      <c r="E8602">
        <f>IF(B8602=1,D8602,E8601)</f>
        <v/>
      </c>
      <c r="F8602">
        <f>IF(AND(B8602=1,C8602&gt;1,E8601&lt;&gt;""),ABS(D8602-E8601),"")</f>
        <v/>
      </c>
    </row>
    <row r="8603">
      <c r="A8603" t="n">
        <v>8603</v>
      </c>
      <c r="B8603">
        <f>IF(INDEX('Data Entry'!$H$5:$BE$10004,8603-4,'Visual SPC'!$B$3)="",0,IF(AND(OR('Visual SPC'!$C$4="",'Data Entry'!$C8603&gt;='Visual SPC'!$C$4),OR('Visual SPC'!$E$4="",'Data Entry'!$C8603&lt;='Visual SPC'!$E$4),OR('Visual SPC'!$G$4="",'Data Entry'!$D8603='Visual SPC'!$G$4),OR('Visual SPC'!$I$4="",'Data Entry'!$E8603='Visual SPC'!$I$4),OR('Visual SPC'!$K$4="",'Data Entry'!$F8603='Visual SPC'!$K$4)),1,0))</f>
        <v/>
      </c>
      <c r="C8603">
        <f>C8602+B8603</f>
        <v/>
      </c>
      <c r="D8603">
        <f>IF(B8603=1,INDEX('Data Entry'!$H$5:$BE$10004,8603-4,'Visual SPC'!$B$3),"")</f>
        <v/>
      </c>
      <c r="E8603">
        <f>IF(B8603=1,D8603,E8602)</f>
        <v/>
      </c>
      <c r="F8603">
        <f>IF(AND(B8603=1,C8603&gt;1,E8602&lt;&gt;""),ABS(D8603-E8602),"")</f>
        <v/>
      </c>
    </row>
    <row r="8604">
      <c r="A8604" t="n">
        <v>8604</v>
      </c>
      <c r="B8604">
        <f>IF(INDEX('Data Entry'!$H$5:$BE$10004,8604-4,'Visual SPC'!$B$3)="",0,IF(AND(OR('Visual SPC'!$C$4="",'Data Entry'!$C8604&gt;='Visual SPC'!$C$4),OR('Visual SPC'!$E$4="",'Data Entry'!$C8604&lt;='Visual SPC'!$E$4),OR('Visual SPC'!$G$4="",'Data Entry'!$D8604='Visual SPC'!$G$4),OR('Visual SPC'!$I$4="",'Data Entry'!$E8604='Visual SPC'!$I$4),OR('Visual SPC'!$K$4="",'Data Entry'!$F8604='Visual SPC'!$K$4)),1,0))</f>
        <v/>
      </c>
      <c r="C8604">
        <f>C8603+B8604</f>
        <v/>
      </c>
      <c r="D8604">
        <f>IF(B8604=1,INDEX('Data Entry'!$H$5:$BE$10004,8604-4,'Visual SPC'!$B$3),"")</f>
        <v/>
      </c>
      <c r="E8604">
        <f>IF(B8604=1,D8604,E8603)</f>
        <v/>
      </c>
      <c r="F8604">
        <f>IF(AND(B8604=1,C8604&gt;1,E8603&lt;&gt;""),ABS(D8604-E8603),"")</f>
        <v/>
      </c>
    </row>
    <row r="8605">
      <c r="A8605" t="n">
        <v>8605</v>
      </c>
      <c r="B8605">
        <f>IF(INDEX('Data Entry'!$H$5:$BE$10004,8605-4,'Visual SPC'!$B$3)="",0,IF(AND(OR('Visual SPC'!$C$4="",'Data Entry'!$C8605&gt;='Visual SPC'!$C$4),OR('Visual SPC'!$E$4="",'Data Entry'!$C8605&lt;='Visual SPC'!$E$4),OR('Visual SPC'!$G$4="",'Data Entry'!$D8605='Visual SPC'!$G$4),OR('Visual SPC'!$I$4="",'Data Entry'!$E8605='Visual SPC'!$I$4),OR('Visual SPC'!$K$4="",'Data Entry'!$F8605='Visual SPC'!$K$4)),1,0))</f>
        <v/>
      </c>
      <c r="C8605">
        <f>C8604+B8605</f>
        <v/>
      </c>
      <c r="D8605">
        <f>IF(B8605=1,INDEX('Data Entry'!$H$5:$BE$10004,8605-4,'Visual SPC'!$B$3),"")</f>
        <v/>
      </c>
      <c r="E8605">
        <f>IF(B8605=1,D8605,E8604)</f>
        <v/>
      </c>
      <c r="F8605">
        <f>IF(AND(B8605=1,C8605&gt;1,E8604&lt;&gt;""),ABS(D8605-E8604),"")</f>
        <v/>
      </c>
    </row>
    <row r="8606">
      <c r="A8606" t="n">
        <v>8606</v>
      </c>
      <c r="B8606">
        <f>IF(INDEX('Data Entry'!$H$5:$BE$10004,8606-4,'Visual SPC'!$B$3)="",0,IF(AND(OR('Visual SPC'!$C$4="",'Data Entry'!$C8606&gt;='Visual SPC'!$C$4),OR('Visual SPC'!$E$4="",'Data Entry'!$C8606&lt;='Visual SPC'!$E$4),OR('Visual SPC'!$G$4="",'Data Entry'!$D8606='Visual SPC'!$G$4),OR('Visual SPC'!$I$4="",'Data Entry'!$E8606='Visual SPC'!$I$4),OR('Visual SPC'!$K$4="",'Data Entry'!$F8606='Visual SPC'!$K$4)),1,0))</f>
        <v/>
      </c>
      <c r="C8606">
        <f>C8605+B8606</f>
        <v/>
      </c>
      <c r="D8606">
        <f>IF(B8606=1,INDEX('Data Entry'!$H$5:$BE$10004,8606-4,'Visual SPC'!$B$3),"")</f>
        <v/>
      </c>
      <c r="E8606">
        <f>IF(B8606=1,D8606,E8605)</f>
        <v/>
      </c>
      <c r="F8606">
        <f>IF(AND(B8606=1,C8606&gt;1,E8605&lt;&gt;""),ABS(D8606-E8605),"")</f>
        <v/>
      </c>
    </row>
    <row r="8607">
      <c r="A8607" t="n">
        <v>8607</v>
      </c>
      <c r="B8607">
        <f>IF(INDEX('Data Entry'!$H$5:$BE$10004,8607-4,'Visual SPC'!$B$3)="",0,IF(AND(OR('Visual SPC'!$C$4="",'Data Entry'!$C8607&gt;='Visual SPC'!$C$4),OR('Visual SPC'!$E$4="",'Data Entry'!$C8607&lt;='Visual SPC'!$E$4),OR('Visual SPC'!$G$4="",'Data Entry'!$D8607='Visual SPC'!$G$4),OR('Visual SPC'!$I$4="",'Data Entry'!$E8607='Visual SPC'!$I$4),OR('Visual SPC'!$K$4="",'Data Entry'!$F8607='Visual SPC'!$K$4)),1,0))</f>
        <v/>
      </c>
      <c r="C8607">
        <f>C8606+B8607</f>
        <v/>
      </c>
      <c r="D8607">
        <f>IF(B8607=1,INDEX('Data Entry'!$H$5:$BE$10004,8607-4,'Visual SPC'!$B$3),"")</f>
        <v/>
      </c>
      <c r="E8607">
        <f>IF(B8607=1,D8607,E8606)</f>
        <v/>
      </c>
      <c r="F8607">
        <f>IF(AND(B8607=1,C8607&gt;1,E8606&lt;&gt;""),ABS(D8607-E8606),"")</f>
        <v/>
      </c>
    </row>
    <row r="8608">
      <c r="A8608" t="n">
        <v>8608</v>
      </c>
      <c r="B8608">
        <f>IF(INDEX('Data Entry'!$H$5:$BE$10004,8608-4,'Visual SPC'!$B$3)="",0,IF(AND(OR('Visual SPC'!$C$4="",'Data Entry'!$C8608&gt;='Visual SPC'!$C$4),OR('Visual SPC'!$E$4="",'Data Entry'!$C8608&lt;='Visual SPC'!$E$4),OR('Visual SPC'!$G$4="",'Data Entry'!$D8608='Visual SPC'!$G$4),OR('Visual SPC'!$I$4="",'Data Entry'!$E8608='Visual SPC'!$I$4),OR('Visual SPC'!$K$4="",'Data Entry'!$F8608='Visual SPC'!$K$4)),1,0))</f>
        <v/>
      </c>
      <c r="C8608">
        <f>C8607+B8608</f>
        <v/>
      </c>
      <c r="D8608">
        <f>IF(B8608=1,INDEX('Data Entry'!$H$5:$BE$10004,8608-4,'Visual SPC'!$B$3),"")</f>
        <v/>
      </c>
      <c r="E8608">
        <f>IF(B8608=1,D8608,E8607)</f>
        <v/>
      </c>
      <c r="F8608">
        <f>IF(AND(B8608=1,C8608&gt;1,E8607&lt;&gt;""),ABS(D8608-E8607),"")</f>
        <v/>
      </c>
    </row>
    <row r="8609">
      <c r="A8609" t="n">
        <v>8609</v>
      </c>
      <c r="B8609">
        <f>IF(INDEX('Data Entry'!$H$5:$BE$10004,8609-4,'Visual SPC'!$B$3)="",0,IF(AND(OR('Visual SPC'!$C$4="",'Data Entry'!$C8609&gt;='Visual SPC'!$C$4),OR('Visual SPC'!$E$4="",'Data Entry'!$C8609&lt;='Visual SPC'!$E$4),OR('Visual SPC'!$G$4="",'Data Entry'!$D8609='Visual SPC'!$G$4),OR('Visual SPC'!$I$4="",'Data Entry'!$E8609='Visual SPC'!$I$4),OR('Visual SPC'!$K$4="",'Data Entry'!$F8609='Visual SPC'!$K$4)),1,0))</f>
        <v/>
      </c>
      <c r="C8609">
        <f>C8608+B8609</f>
        <v/>
      </c>
      <c r="D8609">
        <f>IF(B8609=1,INDEX('Data Entry'!$H$5:$BE$10004,8609-4,'Visual SPC'!$B$3),"")</f>
        <v/>
      </c>
      <c r="E8609">
        <f>IF(B8609=1,D8609,E8608)</f>
        <v/>
      </c>
      <c r="F8609">
        <f>IF(AND(B8609=1,C8609&gt;1,E8608&lt;&gt;""),ABS(D8609-E8608),"")</f>
        <v/>
      </c>
    </row>
    <row r="8610">
      <c r="A8610" t="n">
        <v>8610</v>
      </c>
      <c r="B8610">
        <f>IF(INDEX('Data Entry'!$H$5:$BE$10004,8610-4,'Visual SPC'!$B$3)="",0,IF(AND(OR('Visual SPC'!$C$4="",'Data Entry'!$C8610&gt;='Visual SPC'!$C$4),OR('Visual SPC'!$E$4="",'Data Entry'!$C8610&lt;='Visual SPC'!$E$4),OR('Visual SPC'!$G$4="",'Data Entry'!$D8610='Visual SPC'!$G$4),OR('Visual SPC'!$I$4="",'Data Entry'!$E8610='Visual SPC'!$I$4),OR('Visual SPC'!$K$4="",'Data Entry'!$F8610='Visual SPC'!$K$4)),1,0))</f>
        <v/>
      </c>
      <c r="C8610">
        <f>C8609+B8610</f>
        <v/>
      </c>
      <c r="D8610">
        <f>IF(B8610=1,INDEX('Data Entry'!$H$5:$BE$10004,8610-4,'Visual SPC'!$B$3),"")</f>
        <v/>
      </c>
      <c r="E8610">
        <f>IF(B8610=1,D8610,E8609)</f>
        <v/>
      </c>
      <c r="F8610">
        <f>IF(AND(B8610=1,C8610&gt;1,E8609&lt;&gt;""),ABS(D8610-E8609),"")</f>
        <v/>
      </c>
    </row>
    <row r="8611">
      <c r="A8611" t="n">
        <v>8611</v>
      </c>
      <c r="B8611">
        <f>IF(INDEX('Data Entry'!$H$5:$BE$10004,8611-4,'Visual SPC'!$B$3)="",0,IF(AND(OR('Visual SPC'!$C$4="",'Data Entry'!$C8611&gt;='Visual SPC'!$C$4),OR('Visual SPC'!$E$4="",'Data Entry'!$C8611&lt;='Visual SPC'!$E$4),OR('Visual SPC'!$G$4="",'Data Entry'!$D8611='Visual SPC'!$G$4),OR('Visual SPC'!$I$4="",'Data Entry'!$E8611='Visual SPC'!$I$4),OR('Visual SPC'!$K$4="",'Data Entry'!$F8611='Visual SPC'!$K$4)),1,0))</f>
        <v/>
      </c>
      <c r="C8611">
        <f>C8610+B8611</f>
        <v/>
      </c>
      <c r="D8611">
        <f>IF(B8611=1,INDEX('Data Entry'!$H$5:$BE$10004,8611-4,'Visual SPC'!$B$3),"")</f>
        <v/>
      </c>
      <c r="E8611">
        <f>IF(B8611=1,D8611,E8610)</f>
        <v/>
      </c>
      <c r="F8611">
        <f>IF(AND(B8611=1,C8611&gt;1,E8610&lt;&gt;""),ABS(D8611-E8610),"")</f>
        <v/>
      </c>
    </row>
    <row r="8612">
      <c r="A8612" t="n">
        <v>8612</v>
      </c>
      <c r="B8612">
        <f>IF(INDEX('Data Entry'!$H$5:$BE$10004,8612-4,'Visual SPC'!$B$3)="",0,IF(AND(OR('Visual SPC'!$C$4="",'Data Entry'!$C8612&gt;='Visual SPC'!$C$4),OR('Visual SPC'!$E$4="",'Data Entry'!$C8612&lt;='Visual SPC'!$E$4),OR('Visual SPC'!$G$4="",'Data Entry'!$D8612='Visual SPC'!$G$4),OR('Visual SPC'!$I$4="",'Data Entry'!$E8612='Visual SPC'!$I$4),OR('Visual SPC'!$K$4="",'Data Entry'!$F8612='Visual SPC'!$K$4)),1,0))</f>
        <v/>
      </c>
      <c r="C8612">
        <f>C8611+B8612</f>
        <v/>
      </c>
      <c r="D8612">
        <f>IF(B8612=1,INDEX('Data Entry'!$H$5:$BE$10004,8612-4,'Visual SPC'!$B$3),"")</f>
        <v/>
      </c>
      <c r="E8612">
        <f>IF(B8612=1,D8612,E8611)</f>
        <v/>
      </c>
      <c r="F8612">
        <f>IF(AND(B8612=1,C8612&gt;1,E8611&lt;&gt;""),ABS(D8612-E8611),"")</f>
        <v/>
      </c>
    </row>
    <row r="8613">
      <c r="A8613" t="n">
        <v>8613</v>
      </c>
      <c r="B8613">
        <f>IF(INDEX('Data Entry'!$H$5:$BE$10004,8613-4,'Visual SPC'!$B$3)="",0,IF(AND(OR('Visual SPC'!$C$4="",'Data Entry'!$C8613&gt;='Visual SPC'!$C$4),OR('Visual SPC'!$E$4="",'Data Entry'!$C8613&lt;='Visual SPC'!$E$4),OR('Visual SPC'!$G$4="",'Data Entry'!$D8613='Visual SPC'!$G$4),OR('Visual SPC'!$I$4="",'Data Entry'!$E8613='Visual SPC'!$I$4),OR('Visual SPC'!$K$4="",'Data Entry'!$F8613='Visual SPC'!$K$4)),1,0))</f>
        <v/>
      </c>
      <c r="C8613">
        <f>C8612+B8613</f>
        <v/>
      </c>
      <c r="D8613">
        <f>IF(B8613=1,INDEX('Data Entry'!$H$5:$BE$10004,8613-4,'Visual SPC'!$B$3),"")</f>
        <v/>
      </c>
      <c r="E8613">
        <f>IF(B8613=1,D8613,E8612)</f>
        <v/>
      </c>
      <c r="F8613">
        <f>IF(AND(B8613=1,C8613&gt;1,E8612&lt;&gt;""),ABS(D8613-E8612),"")</f>
        <v/>
      </c>
    </row>
    <row r="8614">
      <c r="A8614" t="n">
        <v>8614</v>
      </c>
      <c r="B8614">
        <f>IF(INDEX('Data Entry'!$H$5:$BE$10004,8614-4,'Visual SPC'!$B$3)="",0,IF(AND(OR('Visual SPC'!$C$4="",'Data Entry'!$C8614&gt;='Visual SPC'!$C$4),OR('Visual SPC'!$E$4="",'Data Entry'!$C8614&lt;='Visual SPC'!$E$4),OR('Visual SPC'!$G$4="",'Data Entry'!$D8614='Visual SPC'!$G$4),OR('Visual SPC'!$I$4="",'Data Entry'!$E8614='Visual SPC'!$I$4),OR('Visual SPC'!$K$4="",'Data Entry'!$F8614='Visual SPC'!$K$4)),1,0))</f>
        <v/>
      </c>
      <c r="C8614">
        <f>C8613+B8614</f>
        <v/>
      </c>
      <c r="D8614">
        <f>IF(B8614=1,INDEX('Data Entry'!$H$5:$BE$10004,8614-4,'Visual SPC'!$B$3),"")</f>
        <v/>
      </c>
      <c r="E8614">
        <f>IF(B8614=1,D8614,E8613)</f>
        <v/>
      </c>
      <c r="F8614">
        <f>IF(AND(B8614=1,C8614&gt;1,E8613&lt;&gt;""),ABS(D8614-E8613),"")</f>
        <v/>
      </c>
    </row>
    <row r="8615">
      <c r="A8615" t="n">
        <v>8615</v>
      </c>
      <c r="B8615">
        <f>IF(INDEX('Data Entry'!$H$5:$BE$10004,8615-4,'Visual SPC'!$B$3)="",0,IF(AND(OR('Visual SPC'!$C$4="",'Data Entry'!$C8615&gt;='Visual SPC'!$C$4),OR('Visual SPC'!$E$4="",'Data Entry'!$C8615&lt;='Visual SPC'!$E$4),OR('Visual SPC'!$G$4="",'Data Entry'!$D8615='Visual SPC'!$G$4),OR('Visual SPC'!$I$4="",'Data Entry'!$E8615='Visual SPC'!$I$4),OR('Visual SPC'!$K$4="",'Data Entry'!$F8615='Visual SPC'!$K$4)),1,0))</f>
        <v/>
      </c>
      <c r="C8615">
        <f>C8614+B8615</f>
        <v/>
      </c>
      <c r="D8615">
        <f>IF(B8615=1,INDEX('Data Entry'!$H$5:$BE$10004,8615-4,'Visual SPC'!$B$3),"")</f>
        <v/>
      </c>
      <c r="E8615">
        <f>IF(B8615=1,D8615,E8614)</f>
        <v/>
      </c>
      <c r="F8615">
        <f>IF(AND(B8615=1,C8615&gt;1,E8614&lt;&gt;""),ABS(D8615-E8614),"")</f>
        <v/>
      </c>
    </row>
    <row r="8616">
      <c r="A8616" t="n">
        <v>8616</v>
      </c>
      <c r="B8616">
        <f>IF(INDEX('Data Entry'!$H$5:$BE$10004,8616-4,'Visual SPC'!$B$3)="",0,IF(AND(OR('Visual SPC'!$C$4="",'Data Entry'!$C8616&gt;='Visual SPC'!$C$4),OR('Visual SPC'!$E$4="",'Data Entry'!$C8616&lt;='Visual SPC'!$E$4),OR('Visual SPC'!$G$4="",'Data Entry'!$D8616='Visual SPC'!$G$4),OR('Visual SPC'!$I$4="",'Data Entry'!$E8616='Visual SPC'!$I$4),OR('Visual SPC'!$K$4="",'Data Entry'!$F8616='Visual SPC'!$K$4)),1,0))</f>
        <v/>
      </c>
      <c r="C8616">
        <f>C8615+B8616</f>
        <v/>
      </c>
      <c r="D8616">
        <f>IF(B8616=1,INDEX('Data Entry'!$H$5:$BE$10004,8616-4,'Visual SPC'!$B$3),"")</f>
        <v/>
      </c>
      <c r="E8616">
        <f>IF(B8616=1,D8616,E8615)</f>
        <v/>
      </c>
      <c r="F8616">
        <f>IF(AND(B8616=1,C8616&gt;1,E8615&lt;&gt;""),ABS(D8616-E8615),"")</f>
        <v/>
      </c>
    </row>
    <row r="8617">
      <c r="A8617" t="n">
        <v>8617</v>
      </c>
      <c r="B8617">
        <f>IF(INDEX('Data Entry'!$H$5:$BE$10004,8617-4,'Visual SPC'!$B$3)="",0,IF(AND(OR('Visual SPC'!$C$4="",'Data Entry'!$C8617&gt;='Visual SPC'!$C$4),OR('Visual SPC'!$E$4="",'Data Entry'!$C8617&lt;='Visual SPC'!$E$4),OR('Visual SPC'!$G$4="",'Data Entry'!$D8617='Visual SPC'!$G$4),OR('Visual SPC'!$I$4="",'Data Entry'!$E8617='Visual SPC'!$I$4),OR('Visual SPC'!$K$4="",'Data Entry'!$F8617='Visual SPC'!$K$4)),1,0))</f>
        <v/>
      </c>
      <c r="C8617">
        <f>C8616+B8617</f>
        <v/>
      </c>
      <c r="D8617">
        <f>IF(B8617=1,INDEX('Data Entry'!$H$5:$BE$10004,8617-4,'Visual SPC'!$B$3),"")</f>
        <v/>
      </c>
      <c r="E8617">
        <f>IF(B8617=1,D8617,E8616)</f>
        <v/>
      </c>
      <c r="F8617">
        <f>IF(AND(B8617=1,C8617&gt;1,E8616&lt;&gt;""),ABS(D8617-E8616),"")</f>
        <v/>
      </c>
    </row>
    <row r="8618">
      <c r="A8618" t="n">
        <v>8618</v>
      </c>
      <c r="B8618">
        <f>IF(INDEX('Data Entry'!$H$5:$BE$10004,8618-4,'Visual SPC'!$B$3)="",0,IF(AND(OR('Visual SPC'!$C$4="",'Data Entry'!$C8618&gt;='Visual SPC'!$C$4),OR('Visual SPC'!$E$4="",'Data Entry'!$C8618&lt;='Visual SPC'!$E$4),OR('Visual SPC'!$G$4="",'Data Entry'!$D8618='Visual SPC'!$G$4),OR('Visual SPC'!$I$4="",'Data Entry'!$E8618='Visual SPC'!$I$4),OR('Visual SPC'!$K$4="",'Data Entry'!$F8618='Visual SPC'!$K$4)),1,0))</f>
        <v/>
      </c>
      <c r="C8618">
        <f>C8617+B8618</f>
        <v/>
      </c>
      <c r="D8618">
        <f>IF(B8618=1,INDEX('Data Entry'!$H$5:$BE$10004,8618-4,'Visual SPC'!$B$3),"")</f>
        <v/>
      </c>
      <c r="E8618">
        <f>IF(B8618=1,D8618,E8617)</f>
        <v/>
      </c>
      <c r="F8618">
        <f>IF(AND(B8618=1,C8618&gt;1,E8617&lt;&gt;""),ABS(D8618-E8617),"")</f>
        <v/>
      </c>
    </row>
    <row r="8619">
      <c r="A8619" t="n">
        <v>8619</v>
      </c>
      <c r="B8619">
        <f>IF(INDEX('Data Entry'!$H$5:$BE$10004,8619-4,'Visual SPC'!$B$3)="",0,IF(AND(OR('Visual SPC'!$C$4="",'Data Entry'!$C8619&gt;='Visual SPC'!$C$4),OR('Visual SPC'!$E$4="",'Data Entry'!$C8619&lt;='Visual SPC'!$E$4),OR('Visual SPC'!$G$4="",'Data Entry'!$D8619='Visual SPC'!$G$4),OR('Visual SPC'!$I$4="",'Data Entry'!$E8619='Visual SPC'!$I$4),OR('Visual SPC'!$K$4="",'Data Entry'!$F8619='Visual SPC'!$K$4)),1,0))</f>
        <v/>
      </c>
      <c r="C8619">
        <f>C8618+B8619</f>
        <v/>
      </c>
      <c r="D8619">
        <f>IF(B8619=1,INDEX('Data Entry'!$H$5:$BE$10004,8619-4,'Visual SPC'!$B$3),"")</f>
        <v/>
      </c>
      <c r="E8619">
        <f>IF(B8619=1,D8619,E8618)</f>
        <v/>
      </c>
      <c r="F8619">
        <f>IF(AND(B8619=1,C8619&gt;1,E8618&lt;&gt;""),ABS(D8619-E8618),"")</f>
        <v/>
      </c>
    </row>
    <row r="8620">
      <c r="A8620" t="n">
        <v>8620</v>
      </c>
      <c r="B8620">
        <f>IF(INDEX('Data Entry'!$H$5:$BE$10004,8620-4,'Visual SPC'!$B$3)="",0,IF(AND(OR('Visual SPC'!$C$4="",'Data Entry'!$C8620&gt;='Visual SPC'!$C$4),OR('Visual SPC'!$E$4="",'Data Entry'!$C8620&lt;='Visual SPC'!$E$4),OR('Visual SPC'!$G$4="",'Data Entry'!$D8620='Visual SPC'!$G$4),OR('Visual SPC'!$I$4="",'Data Entry'!$E8620='Visual SPC'!$I$4),OR('Visual SPC'!$K$4="",'Data Entry'!$F8620='Visual SPC'!$K$4)),1,0))</f>
        <v/>
      </c>
      <c r="C8620">
        <f>C8619+B8620</f>
        <v/>
      </c>
      <c r="D8620">
        <f>IF(B8620=1,INDEX('Data Entry'!$H$5:$BE$10004,8620-4,'Visual SPC'!$B$3),"")</f>
        <v/>
      </c>
      <c r="E8620">
        <f>IF(B8620=1,D8620,E8619)</f>
        <v/>
      </c>
      <c r="F8620">
        <f>IF(AND(B8620=1,C8620&gt;1,E8619&lt;&gt;""),ABS(D8620-E8619),"")</f>
        <v/>
      </c>
    </row>
    <row r="8621">
      <c r="A8621" t="n">
        <v>8621</v>
      </c>
      <c r="B8621">
        <f>IF(INDEX('Data Entry'!$H$5:$BE$10004,8621-4,'Visual SPC'!$B$3)="",0,IF(AND(OR('Visual SPC'!$C$4="",'Data Entry'!$C8621&gt;='Visual SPC'!$C$4),OR('Visual SPC'!$E$4="",'Data Entry'!$C8621&lt;='Visual SPC'!$E$4),OR('Visual SPC'!$G$4="",'Data Entry'!$D8621='Visual SPC'!$G$4),OR('Visual SPC'!$I$4="",'Data Entry'!$E8621='Visual SPC'!$I$4),OR('Visual SPC'!$K$4="",'Data Entry'!$F8621='Visual SPC'!$K$4)),1,0))</f>
        <v/>
      </c>
      <c r="C8621">
        <f>C8620+B8621</f>
        <v/>
      </c>
      <c r="D8621">
        <f>IF(B8621=1,INDEX('Data Entry'!$H$5:$BE$10004,8621-4,'Visual SPC'!$B$3),"")</f>
        <v/>
      </c>
      <c r="E8621">
        <f>IF(B8621=1,D8621,E8620)</f>
        <v/>
      </c>
      <c r="F8621">
        <f>IF(AND(B8621=1,C8621&gt;1,E8620&lt;&gt;""),ABS(D8621-E8620),"")</f>
        <v/>
      </c>
    </row>
    <row r="8622">
      <c r="A8622" t="n">
        <v>8622</v>
      </c>
      <c r="B8622">
        <f>IF(INDEX('Data Entry'!$H$5:$BE$10004,8622-4,'Visual SPC'!$B$3)="",0,IF(AND(OR('Visual SPC'!$C$4="",'Data Entry'!$C8622&gt;='Visual SPC'!$C$4),OR('Visual SPC'!$E$4="",'Data Entry'!$C8622&lt;='Visual SPC'!$E$4),OR('Visual SPC'!$G$4="",'Data Entry'!$D8622='Visual SPC'!$G$4),OR('Visual SPC'!$I$4="",'Data Entry'!$E8622='Visual SPC'!$I$4),OR('Visual SPC'!$K$4="",'Data Entry'!$F8622='Visual SPC'!$K$4)),1,0))</f>
        <v/>
      </c>
      <c r="C8622">
        <f>C8621+B8622</f>
        <v/>
      </c>
      <c r="D8622">
        <f>IF(B8622=1,INDEX('Data Entry'!$H$5:$BE$10004,8622-4,'Visual SPC'!$B$3),"")</f>
        <v/>
      </c>
      <c r="E8622">
        <f>IF(B8622=1,D8622,E8621)</f>
        <v/>
      </c>
      <c r="F8622">
        <f>IF(AND(B8622=1,C8622&gt;1,E8621&lt;&gt;""),ABS(D8622-E8621),"")</f>
        <v/>
      </c>
    </row>
    <row r="8623">
      <c r="A8623" t="n">
        <v>8623</v>
      </c>
      <c r="B8623">
        <f>IF(INDEX('Data Entry'!$H$5:$BE$10004,8623-4,'Visual SPC'!$B$3)="",0,IF(AND(OR('Visual SPC'!$C$4="",'Data Entry'!$C8623&gt;='Visual SPC'!$C$4),OR('Visual SPC'!$E$4="",'Data Entry'!$C8623&lt;='Visual SPC'!$E$4),OR('Visual SPC'!$G$4="",'Data Entry'!$D8623='Visual SPC'!$G$4),OR('Visual SPC'!$I$4="",'Data Entry'!$E8623='Visual SPC'!$I$4),OR('Visual SPC'!$K$4="",'Data Entry'!$F8623='Visual SPC'!$K$4)),1,0))</f>
        <v/>
      </c>
      <c r="C8623">
        <f>C8622+B8623</f>
        <v/>
      </c>
      <c r="D8623">
        <f>IF(B8623=1,INDEX('Data Entry'!$H$5:$BE$10004,8623-4,'Visual SPC'!$B$3),"")</f>
        <v/>
      </c>
      <c r="E8623">
        <f>IF(B8623=1,D8623,E8622)</f>
        <v/>
      </c>
      <c r="F8623">
        <f>IF(AND(B8623=1,C8623&gt;1,E8622&lt;&gt;""),ABS(D8623-E8622),"")</f>
        <v/>
      </c>
    </row>
    <row r="8624">
      <c r="A8624" t="n">
        <v>8624</v>
      </c>
      <c r="B8624">
        <f>IF(INDEX('Data Entry'!$H$5:$BE$10004,8624-4,'Visual SPC'!$B$3)="",0,IF(AND(OR('Visual SPC'!$C$4="",'Data Entry'!$C8624&gt;='Visual SPC'!$C$4),OR('Visual SPC'!$E$4="",'Data Entry'!$C8624&lt;='Visual SPC'!$E$4),OR('Visual SPC'!$G$4="",'Data Entry'!$D8624='Visual SPC'!$G$4),OR('Visual SPC'!$I$4="",'Data Entry'!$E8624='Visual SPC'!$I$4),OR('Visual SPC'!$K$4="",'Data Entry'!$F8624='Visual SPC'!$K$4)),1,0))</f>
        <v/>
      </c>
      <c r="C8624">
        <f>C8623+B8624</f>
        <v/>
      </c>
      <c r="D8624">
        <f>IF(B8624=1,INDEX('Data Entry'!$H$5:$BE$10004,8624-4,'Visual SPC'!$B$3),"")</f>
        <v/>
      </c>
      <c r="E8624">
        <f>IF(B8624=1,D8624,E8623)</f>
        <v/>
      </c>
      <c r="F8624">
        <f>IF(AND(B8624=1,C8624&gt;1,E8623&lt;&gt;""),ABS(D8624-E8623),"")</f>
        <v/>
      </c>
    </row>
    <row r="8625">
      <c r="A8625" t="n">
        <v>8625</v>
      </c>
      <c r="B8625">
        <f>IF(INDEX('Data Entry'!$H$5:$BE$10004,8625-4,'Visual SPC'!$B$3)="",0,IF(AND(OR('Visual SPC'!$C$4="",'Data Entry'!$C8625&gt;='Visual SPC'!$C$4),OR('Visual SPC'!$E$4="",'Data Entry'!$C8625&lt;='Visual SPC'!$E$4),OR('Visual SPC'!$G$4="",'Data Entry'!$D8625='Visual SPC'!$G$4),OR('Visual SPC'!$I$4="",'Data Entry'!$E8625='Visual SPC'!$I$4),OR('Visual SPC'!$K$4="",'Data Entry'!$F8625='Visual SPC'!$K$4)),1,0))</f>
        <v/>
      </c>
      <c r="C8625">
        <f>C8624+B8625</f>
        <v/>
      </c>
      <c r="D8625">
        <f>IF(B8625=1,INDEX('Data Entry'!$H$5:$BE$10004,8625-4,'Visual SPC'!$B$3),"")</f>
        <v/>
      </c>
      <c r="E8625">
        <f>IF(B8625=1,D8625,E8624)</f>
        <v/>
      </c>
      <c r="F8625">
        <f>IF(AND(B8625=1,C8625&gt;1,E8624&lt;&gt;""),ABS(D8625-E8624),"")</f>
        <v/>
      </c>
    </row>
    <row r="8626">
      <c r="A8626" t="n">
        <v>8626</v>
      </c>
      <c r="B8626">
        <f>IF(INDEX('Data Entry'!$H$5:$BE$10004,8626-4,'Visual SPC'!$B$3)="",0,IF(AND(OR('Visual SPC'!$C$4="",'Data Entry'!$C8626&gt;='Visual SPC'!$C$4),OR('Visual SPC'!$E$4="",'Data Entry'!$C8626&lt;='Visual SPC'!$E$4),OR('Visual SPC'!$G$4="",'Data Entry'!$D8626='Visual SPC'!$G$4),OR('Visual SPC'!$I$4="",'Data Entry'!$E8626='Visual SPC'!$I$4),OR('Visual SPC'!$K$4="",'Data Entry'!$F8626='Visual SPC'!$K$4)),1,0))</f>
        <v/>
      </c>
      <c r="C8626">
        <f>C8625+B8626</f>
        <v/>
      </c>
      <c r="D8626">
        <f>IF(B8626=1,INDEX('Data Entry'!$H$5:$BE$10004,8626-4,'Visual SPC'!$B$3),"")</f>
        <v/>
      </c>
      <c r="E8626">
        <f>IF(B8626=1,D8626,E8625)</f>
        <v/>
      </c>
      <c r="F8626">
        <f>IF(AND(B8626=1,C8626&gt;1,E8625&lt;&gt;""),ABS(D8626-E8625),"")</f>
        <v/>
      </c>
    </row>
    <row r="8627">
      <c r="A8627" t="n">
        <v>8627</v>
      </c>
      <c r="B8627">
        <f>IF(INDEX('Data Entry'!$H$5:$BE$10004,8627-4,'Visual SPC'!$B$3)="",0,IF(AND(OR('Visual SPC'!$C$4="",'Data Entry'!$C8627&gt;='Visual SPC'!$C$4),OR('Visual SPC'!$E$4="",'Data Entry'!$C8627&lt;='Visual SPC'!$E$4),OR('Visual SPC'!$G$4="",'Data Entry'!$D8627='Visual SPC'!$G$4),OR('Visual SPC'!$I$4="",'Data Entry'!$E8627='Visual SPC'!$I$4),OR('Visual SPC'!$K$4="",'Data Entry'!$F8627='Visual SPC'!$K$4)),1,0))</f>
        <v/>
      </c>
      <c r="C8627">
        <f>C8626+B8627</f>
        <v/>
      </c>
      <c r="D8627">
        <f>IF(B8627=1,INDEX('Data Entry'!$H$5:$BE$10004,8627-4,'Visual SPC'!$B$3),"")</f>
        <v/>
      </c>
      <c r="E8627">
        <f>IF(B8627=1,D8627,E8626)</f>
        <v/>
      </c>
      <c r="F8627">
        <f>IF(AND(B8627=1,C8627&gt;1,E8626&lt;&gt;""),ABS(D8627-E8626),"")</f>
        <v/>
      </c>
    </row>
    <row r="8628">
      <c r="A8628" t="n">
        <v>8628</v>
      </c>
      <c r="B8628">
        <f>IF(INDEX('Data Entry'!$H$5:$BE$10004,8628-4,'Visual SPC'!$B$3)="",0,IF(AND(OR('Visual SPC'!$C$4="",'Data Entry'!$C8628&gt;='Visual SPC'!$C$4),OR('Visual SPC'!$E$4="",'Data Entry'!$C8628&lt;='Visual SPC'!$E$4),OR('Visual SPC'!$G$4="",'Data Entry'!$D8628='Visual SPC'!$G$4),OR('Visual SPC'!$I$4="",'Data Entry'!$E8628='Visual SPC'!$I$4),OR('Visual SPC'!$K$4="",'Data Entry'!$F8628='Visual SPC'!$K$4)),1,0))</f>
        <v/>
      </c>
      <c r="C8628">
        <f>C8627+B8628</f>
        <v/>
      </c>
      <c r="D8628">
        <f>IF(B8628=1,INDEX('Data Entry'!$H$5:$BE$10004,8628-4,'Visual SPC'!$B$3),"")</f>
        <v/>
      </c>
      <c r="E8628">
        <f>IF(B8628=1,D8628,E8627)</f>
        <v/>
      </c>
      <c r="F8628">
        <f>IF(AND(B8628=1,C8628&gt;1,E8627&lt;&gt;""),ABS(D8628-E8627),"")</f>
        <v/>
      </c>
    </row>
    <row r="8629">
      <c r="A8629" t="n">
        <v>8629</v>
      </c>
      <c r="B8629">
        <f>IF(INDEX('Data Entry'!$H$5:$BE$10004,8629-4,'Visual SPC'!$B$3)="",0,IF(AND(OR('Visual SPC'!$C$4="",'Data Entry'!$C8629&gt;='Visual SPC'!$C$4),OR('Visual SPC'!$E$4="",'Data Entry'!$C8629&lt;='Visual SPC'!$E$4),OR('Visual SPC'!$G$4="",'Data Entry'!$D8629='Visual SPC'!$G$4),OR('Visual SPC'!$I$4="",'Data Entry'!$E8629='Visual SPC'!$I$4),OR('Visual SPC'!$K$4="",'Data Entry'!$F8629='Visual SPC'!$K$4)),1,0))</f>
        <v/>
      </c>
      <c r="C8629">
        <f>C8628+B8629</f>
        <v/>
      </c>
      <c r="D8629">
        <f>IF(B8629=1,INDEX('Data Entry'!$H$5:$BE$10004,8629-4,'Visual SPC'!$B$3),"")</f>
        <v/>
      </c>
      <c r="E8629">
        <f>IF(B8629=1,D8629,E8628)</f>
        <v/>
      </c>
      <c r="F8629">
        <f>IF(AND(B8629=1,C8629&gt;1,E8628&lt;&gt;""),ABS(D8629-E8628),"")</f>
        <v/>
      </c>
    </row>
    <row r="8630">
      <c r="A8630" t="n">
        <v>8630</v>
      </c>
      <c r="B8630">
        <f>IF(INDEX('Data Entry'!$H$5:$BE$10004,8630-4,'Visual SPC'!$B$3)="",0,IF(AND(OR('Visual SPC'!$C$4="",'Data Entry'!$C8630&gt;='Visual SPC'!$C$4),OR('Visual SPC'!$E$4="",'Data Entry'!$C8630&lt;='Visual SPC'!$E$4),OR('Visual SPC'!$G$4="",'Data Entry'!$D8630='Visual SPC'!$G$4),OR('Visual SPC'!$I$4="",'Data Entry'!$E8630='Visual SPC'!$I$4),OR('Visual SPC'!$K$4="",'Data Entry'!$F8630='Visual SPC'!$K$4)),1,0))</f>
        <v/>
      </c>
      <c r="C8630">
        <f>C8629+B8630</f>
        <v/>
      </c>
      <c r="D8630">
        <f>IF(B8630=1,INDEX('Data Entry'!$H$5:$BE$10004,8630-4,'Visual SPC'!$B$3),"")</f>
        <v/>
      </c>
      <c r="E8630">
        <f>IF(B8630=1,D8630,E8629)</f>
        <v/>
      </c>
      <c r="F8630">
        <f>IF(AND(B8630=1,C8630&gt;1,E8629&lt;&gt;""),ABS(D8630-E8629),"")</f>
        <v/>
      </c>
    </row>
    <row r="8631">
      <c r="A8631" t="n">
        <v>8631</v>
      </c>
      <c r="B8631">
        <f>IF(INDEX('Data Entry'!$H$5:$BE$10004,8631-4,'Visual SPC'!$B$3)="",0,IF(AND(OR('Visual SPC'!$C$4="",'Data Entry'!$C8631&gt;='Visual SPC'!$C$4),OR('Visual SPC'!$E$4="",'Data Entry'!$C8631&lt;='Visual SPC'!$E$4),OR('Visual SPC'!$G$4="",'Data Entry'!$D8631='Visual SPC'!$G$4),OR('Visual SPC'!$I$4="",'Data Entry'!$E8631='Visual SPC'!$I$4),OR('Visual SPC'!$K$4="",'Data Entry'!$F8631='Visual SPC'!$K$4)),1,0))</f>
        <v/>
      </c>
      <c r="C8631">
        <f>C8630+B8631</f>
        <v/>
      </c>
      <c r="D8631">
        <f>IF(B8631=1,INDEX('Data Entry'!$H$5:$BE$10004,8631-4,'Visual SPC'!$B$3),"")</f>
        <v/>
      </c>
      <c r="E8631">
        <f>IF(B8631=1,D8631,E8630)</f>
        <v/>
      </c>
      <c r="F8631">
        <f>IF(AND(B8631=1,C8631&gt;1,E8630&lt;&gt;""),ABS(D8631-E8630),"")</f>
        <v/>
      </c>
    </row>
    <row r="8632">
      <c r="A8632" t="n">
        <v>8632</v>
      </c>
      <c r="B8632">
        <f>IF(INDEX('Data Entry'!$H$5:$BE$10004,8632-4,'Visual SPC'!$B$3)="",0,IF(AND(OR('Visual SPC'!$C$4="",'Data Entry'!$C8632&gt;='Visual SPC'!$C$4),OR('Visual SPC'!$E$4="",'Data Entry'!$C8632&lt;='Visual SPC'!$E$4),OR('Visual SPC'!$G$4="",'Data Entry'!$D8632='Visual SPC'!$G$4),OR('Visual SPC'!$I$4="",'Data Entry'!$E8632='Visual SPC'!$I$4),OR('Visual SPC'!$K$4="",'Data Entry'!$F8632='Visual SPC'!$K$4)),1,0))</f>
        <v/>
      </c>
      <c r="C8632">
        <f>C8631+B8632</f>
        <v/>
      </c>
      <c r="D8632">
        <f>IF(B8632=1,INDEX('Data Entry'!$H$5:$BE$10004,8632-4,'Visual SPC'!$B$3),"")</f>
        <v/>
      </c>
      <c r="E8632">
        <f>IF(B8632=1,D8632,E8631)</f>
        <v/>
      </c>
      <c r="F8632">
        <f>IF(AND(B8632=1,C8632&gt;1,E8631&lt;&gt;""),ABS(D8632-E8631),"")</f>
        <v/>
      </c>
    </row>
    <row r="8633">
      <c r="A8633" t="n">
        <v>8633</v>
      </c>
      <c r="B8633">
        <f>IF(INDEX('Data Entry'!$H$5:$BE$10004,8633-4,'Visual SPC'!$B$3)="",0,IF(AND(OR('Visual SPC'!$C$4="",'Data Entry'!$C8633&gt;='Visual SPC'!$C$4),OR('Visual SPC'!$E$4="",'Data Entry'!$C8633&lt;='Visual SPC'!$E$4),OR('Visual SPC'!$G$4="",'Data Entry'!$D8633='Visual SPC'!$G$4),OR('Visual SPC'!$I$4="",'Data Entry'!$E8633='Visual SPC'!$I$4),OR('Visual SPC'!$K$4="",'Data Entry'!$F8633='Visual SPC'!$K$4)),1,0))</f>
        <v/>
      </c>
      <c r="C8633">
        <f>C8632+B8633</f>
        <v/>
      </c>
      <c r="D8633">
        <f>IF(B8633=1,INDEX('Data Entry'!$H$5:$BE$10004,8633-4,'Visual SPC'!$B$3),"")</f>
        <v/>
      </c>
      <c r="E8633">
        <f>IF(B8633=1,D8633,E8632)</f>
        <v/>
      </c>
      <c r="F8633">
        <f>IF(AND(B8633=1,C8633&gt;1,E8632&lt;&gt;""),ABS(D8633-E8632),"")</f>
        <v/>
      </c>
    </row>
    <row r="8634">
      <c r="A8634" t="n">
        <v>8634</v>
      </c>
      <c r="B8634">
        <f>IF(INDEX('Data Entry'!$H$5:$BE$10004,8634-4,'Visual SPC'!$B$3)="",0,IF(AND(OR('Visual SPC'!$C$4="",'Data Entry'!$C8634&gt;='Visual SPC'!$C$4),OR('Visual SPC'!$E$4="",'Data Entry'!$C8634&lt;='Visual SPC'!$E$4),OR('Visual SPC'!$G$4="",'Data Entry'!$D8634='Visual SPC'!$G$4),OR('Visual SPC'!$I$4="",'Data Entry'!$E8634='Visual SPC'!$I$4),OR('Visual SPC'!$K$4="",'Data Entry'!$F8634='Visual SPC'!$K$4)),1,0))</f>
        <v/>
      </c>
      <c r="C8634">
        <f>C8633+B8634</f>
        <v/>
      </c>
      <c r="D8634">
        <f>IF(B8634=1,INDEX('Data Entry'!$H$5:$BE$10004,8634-4,'Visual SPC'!$B$3),"")</f>
        <v/>
      </c>
      <c r="E8634">
        <f>IF(B8634=1,D8634,E8633)</f>
        <v/>
      </c>
      <c r="F8634">
        <f>IF(AND(B8634=1,C8634&gt;1,E8633&lt;&gt;""),ABS(D8634-E8633),"")</f>
        <v/>
      </c>
    </row>
    <row r="8635">
      <c r="A8635" t="n">
        <v>8635</v>
      </c>
      <c r="B8635">
        <f>IF(INDEX('Data Entry'!$H$5:$BE$10004,8635-4,'Visual SPC'!$B$3)="",0,IF(AND(OR('Visual SPC'!$C$4="",'Data Entry'!$C8635&gt;='Visual SPC'!$C$4),OR('Visual SPC'!$E$4="",'Data Entry'!$C8635&lt;='Visual SPC'!$E$4),OR('Visual SPC'!$G$4="",'Data Entry'!$D8635='Visual SPC'!$G$4),OR('Visual SPC'!$I$4="",'Data Entry'!$E8635='Visual SPC'!$I$4),OR('Visual SPC'!$K$4="",'Data Entry'!$F8635='Visual SPC'!$K$4)),1,0))</f>
        <v/>
      </c>
      <c r="C8635">
        <f>C8634+B8635</f>
        <v/>
      </c>
      <c r="D8635">
        <f>IF(B8635=1,INDEX('Data Entry'!$H$5:$BE$10004,8635-4,'Visual SPC'!$B$3),"")</f>
        <v/>
      </c>
      <c r="E8635">
        <f>IF(B8635=1,D8635,E8634)</f>
        <v/>
      </c>
      <c r="F8635">
        <f>IF(AND(B8635=1,C8635&gt;1,E8634&lt;&gt;""),ABS(D8635-E8634),"")</f>
        <v/>
      </c>
    </row>
    <row r="8636">
      <c r="A8636" t="n">
        <v>8636</v>
      </c>
      <c r="B8636">
        <f>IF(INDEX('Data Entry'!$H$5:$BE$10004,8636-4,'Visual SPC'!$B$3)="",0,IF(AND(OR('Visual SPC'!$C$4="",'Data Entry'!$C8636&gt;='Visual SPC'!$C$4),OR('Visual SPC'!$E$4="",'Data Entry'!$C8636&lt;='Visual SPC'!$E$4),OR('Visual SPC'!$G$4="",'Data Entry'!$D8636='Visual SPC'!$G$4),OR('Visual SPC'!$I$4="",'Data Entry'!$E8636='Visual SPC'!$I$4),OR('Visual SPC'!$K$4="",'Data Entry'!$F8636='Visual SPC'!$K$4)),1,0))</f>
        <v/>
      </c>
      <c r="C8636">
        <f>C8635+B8636</f>
        <v/>
      </c>
      <c r="D8636">
        <f>IF(B8636=1,INDEX('Data Entry'!$H$5:$BE$10004,8636-4,'Visual SPC'!$B$3),"")</f>
        <v/>
      </c>
      <c r="E8636">
        <f>IF(B8636=1,D8636,E8635)</f>
        <v/>
      </c>
      <c r="F8636">
        <f>IF(AND(B8636=1,C8636&gt;1,E8635&lt;&gt;""),ABS(D8636-E8635),"")</f>
        <v/>
      </c>
    </row>
    <row r="8637">
      <c r="A8637" t="n">
        <v>8637</v>
      </c>
      <c r="B8637">
        <f>IF(INDEX('Data Entry'!$H$5:$BE$10004,8637-4,'Visual SPC'!$B$3)="",0,IF(AND(OR('Visual SPC'!$C$4="",'Data Entry'!$C8637&gt;='Visual SPC'!$C$4),OR('Visual SPC'!$E$4="",'Data Entry'!$C8637&lt;='Visual SPC'!$E$4),OR('Visual SPC'!$G$4="",'Data Entry'!$D8637='Visual SPC'!$G$4),OR('Visual SPC'!$I$4="",'Data Entry'!$E8637='Visual SPC'!$I$4),OR('Visual SPC'!$K$4="",'Data Entry'!$F8637='Visual SPC'!$K$4)),1,0))</f>
        <v/>
      </c>
      <c r="C8637">
        <f>C8636+B8637</f>
        <v/>
      </c>
      <c r="D8637">
        <f>IF(B8637=1,INDEX('Data Entry'!$H$5:$BE$10004,8637-4,'Visual SPC'!$B$3),"")</f>
        <v/>
      </c>
      <c r="E8637">
        <f>IF(B8637=1,D8637,E8636)</f>
        <v/>
      </c>
      <c r="F8637">
        <f>IF(AND(B8637=1,C8637&gt;1,E8636&lt;&gt;""),ABS(D8637-E8636),"")</f>
        <v/>
      </c>
    </row>
    <row r="8638">
      <c r="A8638" t="n">
        <v>8638</v>
      </c>
      <c r="B8638">
        <f>IF(INDEX('Data Entry'!$H$5:$BE$10004,8638-4,'Visual SPC'!$B$3)="",0,IF(AND(OR('Visual SPC'!$C$4="",'Data Entry'!$C8638&gt;='Visual SPC'!$C$4),OR('Visual SPC'!$E$4="",'Data Entry'!$C8638&lt;='Visual SPC'!$E$4),OR('Visual SPC'!$G$4="",'Data Entry'!$D8638='Visual SPC'!$G$4),OR('Visual SPC'!$I$4="",'Data Entry'!$E8638='Visual SPC'!$I$4),OR('Visual SPC'!$K$4="",'Data Entry'!$F8638='Visual SPC'!$K$4)),1,0))</f>
        <v/>
      </c>
      <c r="C8638">
        <f>C8637+B8638</f>
        <v/>
      </c>
      <c r="D8638">
        <f>IF(B8638=1,INDEX('Data Entry'!$H$5:$BE$10004,8638-4,'Visual SPC'!$B$3),"")</f>
        <v/>
      </c>
      <c r="E8638">
        <f>IF(B8638=1,D8638,E8637)</f>
        <v/>
      </c>
      <c r="F8638">
        <f>IF(AND(B8638=1,C8638&gt;1,E8637&lt;&gt;""),ABS(D8638-E8637),"")</f>
        <v/>
      </c>
    </row>
    <row r="8639">
      <c r="A8639" t="n">
        <v>8639</v>
      </c>
      <c r="B8639">
        <f>IF(INDEX('Data Entry'!$H$5:$BE$10004,8639-4,'Visual SPC'!$B$3)="",0,IF(AND(OR('Visual SPC'!$C$4="",'Data Entry'!$C8639&gt;='Visual SPC'!$C$4),OR('Visual SPC'!$E$4="",'Data Entry'!$C8639&lt;='Visual SPC'!$E$4),OR('Visual SPC'!$G$4="",'Data Entry'!$D8639='Visual SPC'!$G$4),OR('Visual SPC'!$I$4="",'Data Entry'!$E8639='Visual SPC'!$I$4),OR('Visual SPC'!$K$4="",'Data Entry'!$F8639='Visual SPC'!$K$4)),1,0))</f>
        <v/>
      </c>
      <c r="C8639">
        <f>C8638+B8639</f>
        <v/>
      </c>
      <c r="D8639">
        <f>IF(B8639=1,INDEX('Data Entry'!$H$5:$BE$10004,8639-4,'Visual SPC'!$B$3),"")</f>
        <v/>
      </c>
      <c r="E8639">
        <f>IF(B8639=1,D8639,E8638)</f>
        <v/>
      </c>
      <c r="F8639">
        <f>IF(AND(B8639=1,C8639&gt;1,E8638&lt;&gt;""),ABS(D8639-E8638),"")</f>
        <v/>
      </c>
    </row>
    <row r="8640">
      <c r="A8640" t="n">
        <v>8640</v>
      </c>
      <c r="B8640">
        <f>IF(INDEX('Data Entry'!$H$5:$BE$10004,8640-4,'Visual SPC'!$B$3)="",0,IF(AND(OR('Visual SPC'!$C$4="",'Data Entry'!$C8640&gt;='Visual SPC'!$C$4),OR('Visual SPC'!$E$4="",'Data Entry'!$C8640&lt;='Visual SPC'!$E$4),OR('Visual SPC'!$G$4="",'Data Entry'!$D8640='Visual SPC'!$G$4),OR('Visual SPC'!$I$4="",'Data Entry'!$E8640='Visual SPC'!$I$4),OR('Visual SPC'!$K$4="",'Data Entry'!$F8640='Visual SPC'!$K$4)),1,0))</f>
        <v/>
      </c>
      <c r="C8640">
        <f>C8639+B8640</f>
        <v/>
      </c>
      <c r="D8640">
        <f>IF(B8640=1,INDEX('Data Entry'!$H$5:$BE$10004,8640-4,'Visual SPC'!$B$3),"")</f>
        <v/>
      </c>
      <c r="E8640">
        <f>IF(B8640=1,D8640,E8639)</f>
        <v/>
      </c>
      <c r="F8640">
        <f>IF(AND(B8640=1,C8640&gt;1,E8639&lt;&gt;""),ABS(D8640-E8639),"")</f>
        <v/>
      </c>
    </row>
    <row r="8641">
      <c r="A8641" t="n">
        <v>8641</v>
      </c>
      <c r="B8641">
        <f>IF(INDEX('Data Entry'!$H$5:$BE$10004,8641-4,'Visual SPC'!$B$3)="",0,IF(AND(OR('Visual SPC'!$C$4="",'Data Entry'!$C8641&gt;='Visual SPC'!$C$4),OR('Visual SPC'!$E$4="",'Data Entry'!$C8641&lt;='Visual SPC'!$E$4),OR('Visual SPC'!$G$4="",'Data Entry'!$D8641='Visual SPC'!$G$4),OR('Visual SPC'!$I$4="",'Data Entry'!$E8641='Visual SPC'!$I$4),OR('Visual SPC'!$K$4="",'Data Entry'!$F8641='Visual SPC'!$K$4)),1,0))</f>
        <v/>
      </c>
      <c r="C8641">
        <f>C8640+B8641</f>
        <v/>
      </c>
      <c r="D8641">
        <f>IF(B8641=1,INDEX('Data Entry'!$H$5:$BE$10004,8641-4,'Visual SPC'!$B$3),"")</f>
        <v/>
      </c>
      <c r="E8641">
        <f>IF(B8641=1,D8641,E8640)</f>
        <v/>
      </c>
      <c r="F8641">
        <f>IF(AND(B8641=1,C8641&gt;1,E8640&lt;&gt;""),ABS(D8641-E8640),"")</f>
        <v/>
      </c>
    </row>
    <row r="8642">
      <c r="A8642" t="n">
        <v>8642</v>
      </c>
      <c r="B8642">
        <f>IF(INDEX('Data Entry'!$H$5:$BE$10004,8642-4,'Visual SPC'!$B$3)="",0,IF(AND(OR('Visual SPC'!$C$4="",'Data Entry'!$C8642&gt;='Visual SPC'!$C$4),OR('Visual SPC'!$E$4="",'Data Entry'!$C8642&lt;='Visual SPC'!$E$4),OR('Visual SPC'!$G$4="",'Data Entry'!$D8642='Visual SPC'!$G$4),OR('Visual SPC'!$I$4="",'Data Entry'!$E8642='Visual SPC'!$I$4),OR('Visual SPC'!$K$4="",'Data Entry'!$F8642='Visual SPC'!$K$4)),1,0))</f>
        <v/>
      </c>
      <c r="C8642">
        <f>C8641+B8642</f>
        <v/>
      </c>
      <c r="D8642">
        <f>IF(B8642=1,INDEX('Data Entry'!$H$5:$BE$10004,8642-4,'Visual SPC'!$B$3),"")</f>
        <v/>
      </c>
      <c r="E8642">
        <f>IF(B8642=1,D8642,E8641)</f>
        <v/>
      </c>
      <c r="F8642">
        <f>IF(AND(B8642=1,C8642&gt;1,E8641&lt;&gt;""),ABS(D8642-E8641),"")</f>
        <v/>
      </c>
    </row>
    <row r="8643">
      <c r="A8643" t="n">
        <v>8643</v>
      </c>
      <c r="B8643">
        <f>IF(INDEX('Data Entry'!$H$5:$BE$10004,8643-4,'Visual SPC'!$B$3)="",0,IF(AND(OR('Visual SPC'!$C$4="",'Data Entry'!$C8643&gt;='Visual SPC'!$C$4),OR('Visual SPC'!$E$4="",'Data Entry'!$C8643&lt;='Visual SPC'!$E$4),OR('Visual SPC'!$G$4="",'Data Entry'!$D8643='Visual SPC'!$G$4),OR('Visual SPC'!$I$4="",'Data Entry'!$E8643='Visual SPC'!$I$4),OR('Visual SPC'!$K$4="",'Data Entry'!$F8643='Visual SPC'!$K$4)),1,0))</f>
        <v/>
      </c>
      <c r="C8643">
        <f>C8642+B8643</f>
        <v/>
      </c>
      <c r="D8643">
        <f>IF(B8643=1,INDEX('Data Entry'!$H$5:$BE$10004,8643-4,'Visual SPC'!$B$3),"")</f>
        <v/>
      </c>
      <c r="E8643">
        <f>IF(B8643=1,D8643,E8642)</f>
        <v/>
      </c>
      <c r="F8643">
        <f>IF(AND(B8643=1,C8643&gt;1,E8642&lt;&gt;""),ABS(D8643-E8642),"")</f>
        <v/>
      </c>
    </row>
    <row r="8644">
      <c r="A8644" t="n">
        <v>8644</v>
      </c>
      <c r="B8644">
        <f>IF(INDEX('Data Entry'!$H$5:$BE$10004,8644-4,'Visual SPC'!$B$3)="",0,IF(AND(OR('Visual SPC'!$C$4="",'Data Entry'!$C8644&gt;='Visual SPC'!$C$4),OR('Visual SPC'!$E$4="",'Data Entry'!$C8644&lt;='Visual SPC'!$E$4),OR('Visual SPC'!$G$4="",'Data Entry'!$D8644='Visual SPC'!$G$4),OR('Visual SPC'!$I$4="",'Data Entry'!$E8644='Visual SPC'!$I$4),OR('Visual SPC'!$K$4="",'Data Entry'!$F8644='Visual SPC'!$K$4)),1,0))</f>
        <v/>
      </c>
      <c r="C8644">
        <f>C8643+B8644</f>
        <v/>
      </c>
      <c r="D8644">
        <f>IF(B8644=1,INDEX('Data Entry'!$H$5:$BE$10004,8644-4,'Visual SPC'!$B$3),"")</f>
        <v/>
      </c>
      <c r="E8644">
        <f>IF(B8644=1,D8644,E8643)</f>
        <v/>
      </c>
      <c r="F8644">
        <f>IF(AND(B8644=1,C8644&gt;1,E8643&lt;&gt;""),ABS(D8644-E8643),"")</f>
        <v/>
      </c>
    </row>
    <row r="8645">
      <c r="A8645" t="n">
        <v>8645</v>
      </c>
      <c r="B8645">
        <f>IF(INDEX('Data Entry'!$H$5:$BE$10004,8645-4,'Visual SPC'!$B$3)="",0,IF(AND(OR('Visual SPC'!$C$4="",'Data Entry'!$C8645&gt;='Visual SPC'!$C$4),OR('Visual SPC'!$E$4="",'Data Entry'!$C8645&lt;='Visual SPC'!$E$4),OR('Visual SPC'!$G$4="",'Data Entry'!$D8645='Visual SPC'!$G$4),OR('Visual SPC'!$I$4="",'Data Entry'!$E8645='Visual SPC'!$I$4),OR('Visual SPC'!$K$4="",'Data Entry'!$F8645='Visual SPC'!$K$4)),1,0))</f>
        <v/>
      </c>
      <c r="C8645">
        <f>C8644+B8645</f>
        <v/>
      </c>
      <c r="D8645">
        <f>IF(B8645=1,INDEX('Data Entry'!$H$5:$BE$10004,8645-4,'Visual SPC'!$B$3),"")</f>
        <v/>
      </c>
      <c r="E8645">
        <f>IF(B8645=1,D8645,E8644)</f>
        <v/>
      </c>
      <c r="F8645">
        <f>IF(AND(B8645=1,C8645&gt;1,E8644&lt;&gt;""),ABS(D8645-E8644),"")</f>
        <v/>
      </c>
    </row>
    <row r="8646">
      <c r="A8646" t="n">
        <v>8646</v>
      </c>
      <c r="B8646">
        <f>IF(INDEX('Data Entry'!$H$5:$BE$10004,8646-4,'Visual SPC'!$B$3)="",0,IF(AND(OR('Visual SPC'!$C$4="",'Data Entry'!$C8646&gt;='Visual SPC'!$C$4),OR('Visual SPC'!$E$4="",'Data Entry'!$C8646&lt;='Visual SPC'!$E$4),OR('Visual SPC'!$G$4="",'Data Entry'!$D8646='Visual SPC'!$G$4),OR('Visual SPC'!$I$4="",'Data Entry'!$E8646='Visual SPC'!$I$4),OR('Visual SPC'!$K$4="",'Data Entry'!$F8646='Visual SPC'!$K$4)),1,0))</f>
        <v/>
      </c>
      <c r="C8646">
        <f>C8645+B8646</f>
        <v/>
      </c>
      <c r="D8646">
        <f>IF(B8646=1,INDEX('Data Entry'!$H$5:$BE$10004,8646-4,'Visual SPC'!$B$3),"")</f>
        <v/>
      </c>
      <c r="E8646">
        <f>IF(B8646=1,D8646,E8645)</f>
        <v/>
      </c>
      <c r="F8646">
        <f>IF(AND(B8646=1,C8646&gt;1,E8645&lt;&gt;""),ABS(D8646-E8645),"")</f>
        <v/>
      </c>
    </row>
    <row r="8647">
      <c r="A8647" t="n">
        <v>8647</v>
      </c>
      <c r="B8647">
        <f>IF(INDEX('Data Entry'!$H$5:$BE$10004,8647-4,'Visual SPC'!$B$3)="",0,IF(AND(OR('Visual SPC'!$C$4="",'Data Entry'!$C8647&gt;='Visual SPC'!$C$4),OR('Visual SPC'!$E$4="",'Data Entry'!$C8647&lt;='Visual SPC'!$E$4),OR('Visual SPC'!$G$4="",'Data Entry'!$D8647='Visual SPC'!$G$4),OR('Visual SPC'!$I$4="",'Data Entry'!$E8647='Visual SPC'!$I$4),OR('Visual SPC'!$K$4="",'Data Entry'!$F8647='Visual SPC'!$K$4)),1,0))</f>
        <v/>
      </c>
      <c r="C8647">
        <f>C8646+B8647</f>
        <v/>
      </c>
      <c r="D8647">
        <f>IF(B8647=1,INDEX('Data Entry'!$H$5:$BE$10004,8647-4,'Visual SPC'!$B$3),"")</f>
        <v/>
      </c>
      <c r="E8647">
        <f>IF(B8647=1,D8647,E8646)</f>
        <v/>
      </c>
      <c r="F8647">
        <f>IF(AND(B8647=1,C8647&gt;1,E8646&lt;&gt;""),ABS(D8647-E8646),"")</f>
        <v/>
      </c>
    </row>
    <row r="8648">
      <c r="A8648" t="n">
        <v>8648</v>
      </c>
      <c r="B8648">
        <f>IF(INDEX('Data Entry'!$H$5:$BE$10004,8648-4,'Visual SPC'!$B$3)="",0,IF(AND(OR('Visual SPC'!$C$4="",'Data Entry'!$C8648&gt;='Visual SPC'!$C$4),OR('Visual SPC'!$E$4="",'Data Entry'!$C8648&lt;='Visual SPC'!$E$4),OR('Visual SPC'!$G$4="",'Data Entry'!$D8648='Visual SPC'!$G$4),OR('Visual SPC'!$I$4="",'Data Entry'!$E8648='Visual SPC'!$I$4),OR('Visual SPC'!$K$4="",'Data Entry'!$F8648='Visual SPC'!$K$4)),1,0))</f>
        <v/>
      </c>
      <c r="C8648">
        <f>C8647+B8648</f>
        <v/>
      </c>
      <c r="D8648">
        <f>IF(B8648=1,INDEX('Data Entry'!$H$5:$BE$10004,8648-4,'Visual SPC'!$B$3),"")</f>
        <v/>
      </c>
      <c r="E8648">
        <f>IF(B8648=1,D8648,E8647)</f>
        <v/>
      </c>
      <c r="F8648">
        <f>IF(AND(B8648=1,C8648&gt;1,E8647&lt;&gt;""),ABS(D8648-E8647),"")</f>
        <v/>
      </c>
    </row>
    <row r="8649">
      <c r="A8649" t="n">
        <v>8649</v>
      </c>
      <c r="B8649">
        <f>IF(INDEX('Data Entry'!$H$5:$BE$10004,8649-4,'Visual SPC'!$B$3)="",0,IF(AND(OR('Visual SPC'!$C$4="",'Data Entry'!$C8649&gt;='Visual SPC'!$C$4),OR('Visual SPC'!$E$4="",'Data Entry'!$C8649&lt;='Visual SPC'!$E$4),OR('Visual SPC'!$G$4="",'Data Entry'!$D8649='Visual SPC'!$G$4),OR('Visual SPC'!$I$4="",'Data Entry'!$E8649='Visual SPC'!$I$4),OR('Visual SPC'!$K$4="",'Data Entry'!$F8649='Visual SPC'!$K$4)),1,0))</f>
        <v/>
      </c>
      <c r="C8649">
        <f>C8648+B8649</f>
        <v/>
      </c>
      <c r="D8649">
        <f>IF(B8649=1,INDEX('Data Entry'!$H$5:$BE$10004,8649-4,'Visual SPC'!$B$3),"")</f>
        <v/>
      </c>
      <c r="E8649">
        <f>IF(B8649=1,D8649,E8648)</f>
        <v/>
      </c>
      <c r="F8649">
        <f>IF(AND(B8649=1,C8649&gt;1,E8648&lt;&gt;""),ABS(D8649-E8648),"")</f>
        <v/>
      </c>
    </row>
    <row r="8650">
      <c r="A8650" t="n">
        <v>8650</v>
      </c>
      <c r="B8650">
        <f>IF(INDEX('Data Entry'!$H$5:$BE$10004,8650-4,'Visual SPC'!$B$3)="",0,IF(AND(OR('Visual SPC'!$C$4="",'Data Entry'!$C8650&gt;='Visual SPC'!$C$4),OR('Visual SPC'!$E$4="",'Data Entry'!$C8650&lt;='Visual SPC'!$E$4),OR('Visual SPC'!$G$4="",'Data Entry'!$D8650='Visual SPC'!$G$4),OR('Visual SPC'!$I$4="",'Data Entry'!$E8650='Visual SPC'!$I$4),OR('Visual SPC'!$K$4="",'Data Entry'!$F8650='Visual SPC'!$K$4)),1,0))</f>
        <v/>
      </c>
      <c r="C8650">
        <f>C8649+B8650</f>
        <v/>
      </c>
      <c r="D8650">
        <f>IF(B8650=1,INDEX('Data Entry'!$H$5:$BE$10004,8650-4,'Visual SPC'!$B$3),"")</f>
        <v/>
      </c>
      <c r="E8650">
        <f>IF(B8650=1,D8650,E8649)</f>
        <v/>
      </c>
      <c r="F8650">
        <f>IF(AND(B8650=1,C8650&gt;1,E8649&lt;&gt;""),ABS(D8650-E8649),"")</f>
        <v/>
      </c>
    </row>
    <row r="8651">
      <c r="A8651" t="n">
        <v>8651</v>
      </c>
      <c r="B8651">
        <f>IF(INDEX('Data Entry'!$H$5:$BE$10004,8651-4,'Visual SPC'!$B$3)="",0,IF(AND(OR('Visual SPC'!$C$4="",'Data Entry'!$C8651&gt;='Visual SPC'!$C$4),OR('Visual SPC'!$E$4="",'Data Entry'!$C8651&lt;='Visual SPC'!$E$4),OR('Visual SPC'!$G$4="",'Data Entry'!$D8651='Visual SPC'!$G$4),OR('Visual SPC'!$I$4="",'Data Entry'!$E8651='Visual SPC'!$I$4),OR('Visual SPC'!$K$4="",'Data Entry'!$F8651='Visual SPC'!$K$4)),1,0))</f>
        <v/>
      </c>
      <c r="C8651">
        <f>C8650+B8651</f>
        <v/>
      </c>
      <c r="D8651">
        <f>IF(B8651=1,INDEX('Data Entry'!$H$5:$BE$10004,8651-4,'Visual SPC'!$B$3),"")</f>
        <v/>
      </c>
      <c r="E8651">
        <f>IF(B8651=1,D8651,E8650)</f>
        <v/>
      </c>
      <c r="F8651">
        <f>IF(AND(B8651=1,C8651&gt;1,E8650&lt;&gt;""),ABS(D8651-E8650),"")</f>
        <v/>
      </c>
    </row>
    <row r="8652">
      <c r="A8652" t="n">
        <v>8652</v>
      </c>
      <c r="B8652">
        <f>IF(INDEX('Data Entry'!$H$5:$BE$10004,8652-4,'Visual SPC'!$B$3)="",0,IF(AND(OR('Visual SPC'!$C$4="",'Data Entry'!$C8652&gt;='Visual SPC'!$C$4),OR('Visual SPC'!$E$4="",'Data Entry'!$C8652&lt;='Visual SPC'!$E$4),OR('Visual SPC'!$G$4="",'Data Entry'!$D8652='Visual SPC'!$G$4),OR('Visual SPC'!$I$4="",'Data Entry'!$E8652='Visual SPC'!$I$4),OR('Visual SPC'!$K$4="",'Data Entry'!$F8652='Visual SPC'!$K$4)),1,0))</f>
        <v/>
      </c>
      <c r="C8652">
        <f>C8651+B8652</f>
        <v/>
      </c>
      <c r="D8652">
        <f>IF(B8652=1,INDEX('Data Entry'!$H$5:$BE$10004,8652-4,'Visual SPC'!$B$3),"")</f>
        <v/>
      </c>
      <c r="E8652">
        <f>IF(B8652=1,D8652,E8651)</f>
        <v/>
      </c>
      <c r="F8652">
        <f>IF(AND(B8652=1,C8652&gt;1,E8651&lt;&gt;""),ABS(D8652-E8651),"")</f>
        <v/>
      </c>
    </row>
    <row r="8653">
      <c r="A8653" t="n">
        <v>8653</v>
      </c>
      <c r="B8653">
        <f>IF(INDEX('Data Entry'!$H$5:$BE$10004,8653-4,'Visual SPC'!$B$3)="",0,IF(AND(OR('Visual SPC'!$C$4="",'Data Entry'!$C8653&gt;='Visual SPC'!$C$4),OR('Visual SPC'!$E$4="",'Data Entry'!$C8653&lt;='Visual SPC'!$E$4),OR('Visual SPC'!$G$4="",'Data Entry'!$D8653='Visual SPC'!$G$4),OR('Visual SPC'!$I$4="",'Data Entry'!$E8653='Visual SPC'!$I$4),OR('Visual SPC'!$K$4="",'Data Entry'!$F8653='Visual SPC'!$K$4)),1,0))</f>
        <v/>
      </c>
      <c r="C8653">
        <f>C8652+B8653</f>
        <v/>
      </c>
      <c r="D8653">
        <f>IF(B8653=1,INDEX('Data Entry'!$H$5:$BE$10004,8653-4,'Visual SPC'!$B$3),"")</f>
        <v/>
      </c>
      <c r="E8653">
        <f>IF(B8653=1,D8653,E8652)</f>
        <v/>
      </c>
      <c r="F8653">
        <f>IF(AND(B8653=1,C8653&gt;1,E8652&lt;&gt;""),ABS(D8653-E8652),"")</f>
        <v/>
      </c>
    </row>
    <row r="8654">
      <c r="A8654" t="n">
        <v>8654</v>
      </c>
      <c r="B8654">
        <f>IF(INDEX('Data Entry'!$H$5:$BE$10004,8654-4,'Visual SPC'!$B$3)="",0,IF(AND(OR('Visual SPC'!$C$4="",'Data Entry'!$C8654&gt;='Visual SPC'!$C$4),OR('Visual SPC'!$E$4="",'Data Entry'!$C8654&lt;='Visual SPC'!$E$4),OR('Visual SPC'!$G$4="",'Data Entry'!$D8654='Visual SPC'!$G$4),OR('Visual SPC'!$I$4="",'Data Entry'!$E8654='Visual SPC'!$I$4),OR('Visual SPC'!$K$4="",'Data Entry'!$F8654='Visual SPC'!$K$4)),1,0))</f>
        <v/>
      </c>
      <c r="C8654">
        <f>C8653+B8654</f>
        <v/>
      </c>
      <c r="D8654">
        <f>IF(B8654=1,INDEX('Data Entry'!$H$5:$BE$10004,8654-4,'Visual SPC'!$B$3),"")</f>
        <v/>
      </c>
      <c r="E8654">
        <f>IF(B8654=1,D8654,E8653)</f>
        <v/>
      </c>
      <c r="F8654">
        <f>IF(AND(B8654=1,C8654&gt;1,E8653&lt;&gt;""),ABS(D8654-E8653),"")</f>
        <v/>
      </c>
    </row>
    <row r="8655">
      <c r="A8655" t="n">
        <v>8655</v>
      </c>
      <c r="B8655">
        <f>IF(INDEX('Data Entry'!$H$5:$BE$10004,8655-4,'Visual SPC'!$B$3)="",0,IF(AND(OR('Visual SPC'!$C$4="",'Data Entry'!$C8655&gt;='Visual SPC'!$C$4),OR('Visual SPC'!$E$4="",'Data Entry'!$C8655&lt;='Visual SPC'!$E$4),OR('Visual SPC'!$G$4="",'Data Entry'!$D8655='Visual SPC'!$G$4),OR('Visual SPC'!$I$4="",'Data Entry'!$E8655='Visual SPC'!$I$4),OR('Visual SPC'!$K$4="",'Data Entry'!$F8655='Visual SPC'!$K$4)),1,0))</f>
        <v/>
      </c>
      <c r="C8655">
        <f>C8654+B8655</f>
        <v/>
      </c>
      <c r="D8655">
        <f>IF(B8655=1,INDEX('Data Entry'!$H$5:$BE$10004,8655-4,'Visual SPC'!$B$3),"")</f>
        <v/>
      </c>
      <c r="E8655">
        <f>IF(B8655=1,D8655,E8654)</f>
        <v/>
      </c>
      <c r="F8655">
        <f>IF(AND(B8655=1,C8655&gt;1,E8654&lt;&gt;""),ABS(D8655-E8654),"")</f>
        <v/>
      </c>
    </row>
    <row r="8656">
      <c r="A8656" t="n">
        <v>8656</v>
      </c>
      <c r="B8656">
        <f>IF(INDEX('Data Entry'!$H$5:$BE$10004,8656-4,'Visual SPC'!$B$3)="",0,IF(AND(OR('Visual SPC'!$C$4="",'Data Entry'!$C8656&gt;='Visual SPC'!$C$4),OR('Visual SPC'!$E$4="",'Data Entry'!$C8656&lt;='Visual SPC'!$E$4),OR('Visual SPC'!$G$4="",'Data Entry'!$D8656='Visual SPC'!$G$4),OR('Visual SPC'!$I$4="",'Data Entry'!$E8656='Visual SPC'!$I$4),OR('Visual SPC'!$K$4="",'Data Entry'!$F8656='Visual SPC'!$K$4)),1,0))</f>
        <v/>
      </c>
      <c r="C8656">
        <f>C8655+B8656</f>
        <v/>
      </c>
      <c r="D8656">
        <f>IF(B8656=1,INDEX('Data Entry'!$H$5:$BE$10004,8656-4,'Visual SPC'!$B$3),"")</f>
        <v/>
      </c>
      <c r="E8656">
        <f>IF(B8656=1,D8656,E8655)</f>
        <v/>
      </c>
      <c r="F8656">
        <f>IF(AND(B8656=1,C8656&gt;1,E8655&lt;&gt;""),ABS(D8656-E8655),"")</f>
        <v/>
      </c>
    </row>
    <row r="8657">
      <c r="A8657" t="n">
        <v>8657</v>
      </c>
      <c r="B8657">
        <f>IF(INDEX('Data Entry'!$H$5:$BE$10004,8657-4,'Visual SPC'!$B$3)="",0,IF(AND(OR('Visual SPC'!$C$4="",'Data Entry'!$C8657&gt;='Visual SPC'!$C$4),OR('Visual SPC'!$E$4="",'Data Entry'!$C8657&lt;='Visual SPC'!$E$4),OR('Visual SPC'!$G$4="",'Data Entry'!$D8657='Visual SPC'!$G$4),OR('Visual SPC'!$I$4="",'Data Entry'!$E8657='Visual SPC'!$I$4),OR('Visual SPC'!$K$4="",'Data Entry'!$F8657='Visual SPC'!$K$4)),1,0))</f>
        <v/>
      </c>
      <c r="C8657">
        <f>C8656+B8657</f>
        <v/>
      </c>
      <c r="D8657">
        <f>IF(B8657=1,INDEX('Data Entry'!$H$5:$BE$10004,8657-4,'Visual SPC'!$B$3),"")</f>
        <v/>
      </c>
      <c r="E8657">
        <f>IF(B8657=1,D8657,E8656)</f>
        <v/>
      </c>
      <c r="F8657">
        <f>IF(AND(B8657=1,C8657&gt;1,E8656&lt;&gt;""),ABS(D8657-E8656),"")</f>
        <v/>
      </c>
    </row>
    <row r="8658">
      <c r="A8658" t="n">
        <v>8658</v>
      </c>
      <c r="B8658">
        <f>IF(INDEX('Data Entry'!$H$5:$BE$10004,8658-4,'Visual SPC'!$B$3)="",0,IF(AND(OR('Visual SPC'!$C$4="",'Data Entry'!$C8658&gt;='Visual SPC'!$C$4),OR('Visual SPC'!$E$4="",'Data Entry'!$C8658&lt;='Visual SPC'!$E$4),OR('Visual SPC'!$G$4="",'Data Entry'!$D8658='Visual SPC'!$G$4),OR('Visual SPC'!$I$4="",'Data Entry'!$E8658='Visual SPC'!$I$4),OR('Visual SPC'!$K$4="",'Data Entry'!$F8658='Visual SPC'!$K$4)),1,0))</f>
        <v/>
      </c>
      <c r="C8658">
        <f>C8657+B8658</f>
        <v/>
      </c>
      <c r="D8658">
        <f>IF(B8658=1,INDEX('Data Entry'!$H$5:$BE$10004,8658-4,'Visual SPC'!$B$3),"")</f>
        <v/>
      </c>
      <c r="E8658">
        <f>IF(B8658=1,D8658,E8657)</f>
        <v/>
      </c>
      <c r="F8658">
        <f>IF(AND(B8658=1,C8658&gt;1,E8657&lt;&gt;""),ABS(D8658-E8657),"")</f>
        <v/>
      </c>
    </row>
    <row r="8659">
      <c r="A8659" t="n">
        <v>8659</v>
      </c>
      <c r="B8659">
        <f>IF(INDEX('Data Entry'!$H$5:$BE$10004,8659-4,'Visual SPC'!$B$3)="",0,IF(AND(OR('Visual SPC'!$C$4="",'Data Entry'!$C8659&gt;='Visual SPC'!$C$4),OR('Visual SPC'!$E$4="",'Data Entry'!$C8659&lt;='Visual SPC'!$E$4),OR('Visual SPC'!$G$4="",'Data Entry'!$D8659='Visual SPC'!$G$4),OR('Visual SPC'!$I$4="",'Data Entry'!$E8659='Visual SPC'!$I$4),OR('Visual SPC'!$K$4="",'Data Entry'!$F8659='Visual SPC'!$K$4)),1,0))</f>
        <v/>
      </c>
      <c r="C8659">
        <f>C8658+B8659</f>
        <v/>
      </c>
      <c r="D8659">
        <f>IF(B8659=1,INDEX('Data Entry'!$H$5:$BE$10004,8659-4,'Visual SPC'!$B$3),"")</f>
        <v/>
      </c>
      <c r="E8659">
        <f>IF(B8659=1,D8659,E8658)</f>
        <v/>
      </c>
      <c r="F8659">
        <f>IF(AND(B8659=1,C8659&gt;1,E8658&lt;&gt;""),ABS(D8659-E8658),"")</f>
        <v/>
      </c>
    </row>
    <row r="8660">
      <c r="A8660" t="n">
        <v>8660</v>
      </c>
      <c r="B8660">
        <f>IF(INDEX('Data Entry'!$H$5:$BE$10004,8660-4,'Visual SPC'!$B$3)="",0,IF(AND(OR('Visual SPC'!$C$4="",'Data Entry'!$C8660&gt;='Visual SPC'!$C$4),OR('Visual SPC'!$E$4="",'Data Entry'!$C8660&lt;='Visual SPC'!$E$4),OR('Visual SPC'!$G$4="",'Data Entry'!$D8660='Visual SPC'!$G$4),OR('Visual SPC'!$I$4="",'Data Entry'!$E8660='Visual SPC'!$I$4),OR('Visual SPC'!$K$4="",'Data Entry'!$F8660='Visual SPC'!$K$4)),1,0))</f>
        <v/>
      </c>
      <c r="C8660">
        <f>C8659+B8660</f>
        <v/>
      </c>
      <c r="D8660">
        <f>IF(B8660=1,INDEX('Data Entry'!$H$5:$BE$10004,8660-4,'Visual SPC'!$B$3),"")</f>
        <v/>
      </c>
      <c r="E8660">
        <f>IF(B8660=1,D8660,E8659)</f>
        <v/>
      </c>
      <c r="F8660">
        <f>IF(AND(B8660=1,C8660&gt;1,E8659&lt;&gt;""),ABS(D8660-E8659),"")</f>
        <v/>
      </c>
    </row>
    <row r="8661">
      <c r="A8661" t="n">
        <v>8661</v>
      </c>
      <c r="B8661">
        <f>IF(INDEX('Data Entry'!$H$5:$BE$10004,8661-4,'Visual SPC'!$B$3)="",0,IF(AND(OR('Visual SPC'!$C$4="",'Data Entry'!$C8661&gt;='Visual SPC'!$C$4),OR('Visual SPC'!$E$4="",'Data Entry'!$C8661&lt;='Visual SPC'!$E$4),OR('Visual SPC'!$G$4="",'Data Entry'!$D8661='Visual SPC'!$G$4),OR('Visual SPC'!$I$4="",'Data Entry'!$E8661='Visual SPC'!$I$4),OR('Visual SPC'!$K$4="",'Data Entry'!$F8661='Visual SPC'!$K$4)),1,0))</f>
        <v/>
      </c>
      <c r="C8661">
        <f>C8660+B8661</f>
        <v/>
      </c>
      <c r="D8661">
        <f>IF(B8661=1,INDEX('Data Entry'!$H$5:$BE$10004,8661-4,'Visual SPC'!$B$3),"")</f>
        <v/>
      </c>
      <c r="E8661">
        <f>IF(B8661=1,D8661,E8660)</f>
        <v/>
      </c>
      <c r="F8661">
        <f>IF(AND(B8661=1,C8661&gt;1,E8660&lt;&gt;""),ABS(D8661-E8660),"")</f>
        <v/>
      </c>
    </row>
    <row r="8662">
      <c r="A8662" t="n">
        <v>8662</v>
      </c>
      <c r="B8662">
        <f>IF(INDEX('Data Entry'!$H$5:$BE$10004,8662-4,'Visual SPC'!$B$3)="",0,IF(AND(OR('Visual SPC'!$C$4="",'Data Entry'!$C8662&gt;='Visual SPC'!$C$4),OR('Visual SPC'!$E$4="",'Data Entry'!$C8662&lt;='Visual SPC'!$E$4),OR('Visual SPC'!$G$4="",'Data Entry'!$D8662='Visual SPC'!$G$4),OR('Visual SPC'!$I$4="",'Data Entry'!$E8662='Visual SPC'!$I$4),OR('Visual SPC'!$K$4="",'Data Entry'!$F8662='Visual SPC'!$K$4)),1,0))</f>
        <v/>
      </c>
      <c r="C8662">
        <f>C8661+B8662</f>
        <v/>
      </c>
      <c r="D8662">
        <f>IF(B8662=1,INDEX('Data Entry'!$H$5:$BE$10004,8662-4,'Visual SPC'!$B$3),"")</f>
        <v/>
      </c>
      <c r="E8662">
        <f>IF(B8662=1,D8662,E8661)</f>
        <v/>
      </c>
      <c r="F8662">
        <f>IF(AND(B8662=1,C8662&gt;1,E8661&lt;&gt;""),ABS(D8662-E8661),"")</f>
        <v/>
      </c>
    </row>
    <row r="8663">
      <c r="A8663" t="n">
        <v>8663</v>
      </c>
      <c r="B8663">
        <f>IF(INDEX('Data Entry'!$H$5:$BE$10004,8663-4,'Visual SPC'!$B$3)="",0,IF(AND(OR('Visual SPC'!$C$4="",'Data Entry'!$C8663&gt;='Visual SPC'!$C$4),OR('Visual SPC'!$E$4="",'Data Entry'!$C8663&lt;='Visual SPC'!$E$4),OR('Visual SPC'!$G$4="",'Data Entry'!$D8663='Visual SPC'!$G$4),OR('Visual SPC'!$I$4="",'Data Entry'!$E8663='Visual SPC'!$I$4),OR('Visual SPC'!$K$4="",'Data Entry'!$F8663='Visual SPC'!$K$4)),1,0))</f>
        <v/>
      </c>
      <c r="C8663">
        <f>C8662+B8663</f>
        <v/>
      </c>
      <c r="D8663">
        <f>IF(B8663=1,INDEX('Data Entry'!$H$5:$BE$10004,8663-4,'Visual SPC'!$B$3),"")</f>
        <v/>
      </c>
      <c r="E8663">
        <f>IF(B8663=1,D8663,E8662)</f>
        <v/>
      </c>
      <c r="F8663">
        <f>IF(AND(B8663=1,C8663&gt;1,E8662&lt;&gt;""),ABS(D8663-E8662),"")</f>
        <v/>
      </c>
    </row>
    <row r="8664">
      <c r="A8664" t="n">
        <v>8664</v>
      </c>
      <c r="B8664">
        <f>IF(INDEX('Data Entry'!$H$5:$BE$10004,8664-4,'Visual SPC'!$B$3)="",0,IF(AND(OR('Visual SPC'!$C$4="",'Data Entry'!$C8664&gt;='Visual SPC'!$C$4),OR('Visual SPC'!$E$4="",'Data Entry'!$C8664&lt;='Visual SPC'!$E$4),OR('Visual SPC'!$G$4="",'Data Entry'!$D8664='Visual SPC'!$G$4),OR('Visual SPC'!$I$4="",'Data Entry'!$E8664='Visual SPC'!$I$4),OR('Visual SPC'!$K$4="",'Data Entry'!$F8664='Visual SPC'!$K$4)),1,0))</f>
        <v/>
      </c>
      <c r="C8664">
        <f>C8663+B8664</f>
        <v/>
      </c>
      <c r="D8664">
        <f>IF(B8664=1,INDEX('Data Entry'!$H$5:$BE$10004,8664-4,'Visual SPC'!$B$3),"")</f>
        <v/>
      </c>
      <c r="E8664">
        <f>IF(B8664=1,D8664,E8663)</f>
        <v/>
      </c>
      <c r="F8664">
        <f>IF(AND(B8664=1,C8664&gt;1,E8663&lt;&gt;""),ABS(D8664-E8663),"")</f>
        <v/>
      </c>
    </row>
    <row r="8665">
      <c r="A8665" t="n">
        <v>8665</v>
      </c>
      <c r="B8665">
        <f>IF(INDEX('Data Entry'!$H$5:$BE$10004,8665-4,'Visual SPC'!$B$3)="",0,IF(AND(OR('Visual SPC'!$C$4="",'Data Entry'!$C8665&gt;='Visual SPC'!$C$4),OR('Visual SPC'!$E$4="",'Data Entry'!$C8665&lt;='Visual SPC'!$E$4),OR('Visual SPC'!$G$4="",'Data Entry'!$D8665='Visual SPC'!$G$4),OR('Visual SPC'!$I$4="",'Data Entry'!$E8665='Visual SPC'!$I$4),OR('Visual SPC'!$K$4="",'Data Entry'!$F8665='Visual SPC'!$K$4)),1,0))</f>
        <v/>
      </c>
      <c r="C8665">
        <f>C8664+B8665</f>
        <v/>
      </c>
      <c r="D8665">
        <f>IF(B8665=1,INDEX('Data Entry'!$H$5:$BE$10004,8665-4,'Visual SPC'!$B$3),"")</f>
        <v/>
      </c>
      <c r="E8665">
        <f>IF(B8665=1,D8665,E8664)</f>
        <v/>
      </c>
      <c r="F8665">
        <f>IF(AND(B8665=1,C8665&gt;1,E8664&lt;&gt;""),ABS(D8665-E8664),"")</f>
        <v/>
      </c>
    </row>
    <row r="8666">
      <c r="A8666" t="n">
        <v>8666</v>
      </c>
      <c r="B8666">
        <f>IF(INDEX('Data Entry'!$H$5:$BE$10004,8666-4,'Visual SPC'!$B$3)="",0,IF(AND(OR('Visual SPC'!$C$4="",'Data Entry'!$C8666&gt;='Visual SPC'!$C$4),OR('Visual SPC'!$E$4="",'Data Entry'!$C8666&lt;='Visual SPC'!$E$4),OR('Visual SPC'!$G$4="",'Data Entry'!$D8666='Visual SPC'!$G$4),OR('Visual SPC'!$I$4="",'Data Entry'!$E8666='Visual SPC'!$I$4),OR('Visual SPC'!$K$4="",'Data Entry'!$F8666='Visual SPC'!$K$4)),1,0))</f>
        <v/>
      </c>
      <c r="C8666">
        <f>C8665+B8666</f>
        <v/>
      </c>
      <c r="D8666">
        <f>IF(B8666=1,INDEX('Data Entry'!$H$5:$BE$10004,8666-4,'Visual SPC'!$B$3),"")</f>
        <v/>
      </c>
      <c r="E8666">
        <f>IF(B8666=1,D8666,E8665)</f>
        <v/>
      </c>
      <c r="F8666">
        <f>IF(AND(B8666=1,C8666&gt;1,E8665&lt;&gt;""),ABS(D8666-E8665),"")</f>
        <v/>
      </c>
    </row>
    <row r="8667">
      <c r="A8667" t="n">
        <v>8667</v>
      </c>
      <c r="B8667">
        <f>IF(INDEX('Data Entry'!$H$5:$BE$10004,8667-4,'Visual SPC'!$B$3)="",0,IF(AND(OR('Visual SPC'!$C$4="",'Data Entry'!$C8667&gt;='Visual SPC'!$C$4),OR('Visual SPC'!$E$4="",'Data Entry'!$C8667&lt;='Visual SPC'!$E$4),OR('Visual SPC'!$G$4="",'Data Entry'!$D8667='Visual SPC'!$G$4),OR('Visual SPC'!$I$4="",'Data Entry'!$E8667='Visual SPC'!$I$4),OR('Visual SPC'!$K$4="",'Data Entry'!$F8667='Visual SPC'!$K$4)),1,0))</f>
        <v/>
      </c>
      <c r="C8667">
        <f>C8666+B8667</f>
        <v/>
      </c>
      <c r="D8667">
        <f>IF(B8667=1,INDEX('Data Entry'!$H$5:$BE$10004,8667-4,'Visual SPC'!$B$3),"")</f>
        <v/>
      </c>
      <c r="E8667">
        <f>IF(B8667=1,D8667,E8666)</f>
        <v/>
      </c>
      <c r="F8667">
        <f>IF(AND(B8667=1,C8667&gt;1,E8666&lt;&gt;""),ABS(D8667-E8666),"")</f>
        <v/>
      </c>
    </row>
    <row r="8668">
      <c r="A8668" t="n">
        <v>8668</v>
      </c>
      <c r="B8668">
        <f>IF(INDEX('Data Entry'!$H$5:$BE$10004,8668-4,'Visual SPC'!$B$3)="",0,IF(AND(OR('Visual SPC'!$C$4="",'Data Entry'!$C8668&gt;='Visual SPC'!$C$4),OR('Visual SPC'!$E$4="",'Data Entry'!$C8668&lt;='Visual SPC'!$E$4),OR('Visual SPC'!$G$4="",'Data Entry'!$D8668='Visual SPC'!$G$4),OR('Visual SPC'!$I$4="",'Data Entry'!$E8668='Visual SPC'!$I$4),OR('Visual SPC'!$K$4="",'Data Entry'!$F8668='Visual SPC'!$K$4)),1,0))</f>
        <v/>
      </c>
      <c r="C8668">
        <f>C8667+B8668</f>
        <v/>
      </c>
      <c r="D8668">
        <f>IF(B8668=1,INDEX('Data Entry'!$H$5:$BE$10004,8668-4,'Visual SPC'!$B$3),"")</f>
        <v/>
      </c>
      <c r="E8668">
        <f>IF(B8668=1,D8668,E8667)</f>
        <v/>
      </c>
      <c r="F8668">
        <f>IF(AND(B8668=1,C8668&gt;1,E8667&lt;&gt;""),ABS(D8668-E8667),"")</f>
        <v/>
      </c>
    </row>
    <row r="8669">
      <c r="A8669" t="n">
        <v>8669</v>
      </c>
      <c r="B8669">
        <f>IF(INDEX('Data Entry'!$H$5:$BE$10004,8669-4,'Visual SPC'!$B$3)="",0,IF(AND(OR('Visual SPC'!$C$4="",'Data Entry'!$C8669&gt;='Visual SPC'!$C$4),OR('Visual SPC'!$E$4="",'Data Entry'!$C8669&lt;='Visual SPC'!$E$4),OR('Visual SPC'!$G$4="",'Data Entry'!$D8669='Visual SPC'!$G$4),OR('Visual SPC'!$I$4="",'Data Entry'!$E8669='Visual SPC'!$I$4),OR('Visual SPC'!$K$4="",'Data Entry'!$F8669='Visual SPC'!$K$4)),1,0))</f>
        <v/>
      </c>
      <c r="C8669">
        <f>C8668+B8669</f>
        <v/>
      </c>
      <c r="D8669">
        <f>IF(B8669=1,INDEX('Data Entry'!$H$5:$BE$10004,8669-4,'Visual SPC'!$B$3),"")</f>
        <v/>
      </c>
      <c r="E8669">
        <f>IF(B8669=1,D8669,E8668)</f>
        <v/>
      </c>
      <c r="F8669">
        <f>IF(AND(B8669=1,C8669&gt;1,E8668&lt;&gt;""),ABS(D8669-E8668),"")</f>
        <v/>
      </c>
    </row>
    <row r="8670">
      <c r="A8670" t="n">
        <v>8670</v>
      </c>
      <c r="B8670">
        <f>IF(INDEX('Data Entry'!$H$5:$BE$10004,8670-4,'Visual SPC'!$B$3)="",0,IF(AND(OR('Visual SPC'!$C$4="",'Data Entry'!$C8670&gt;='Visual SPC'!$C$4),OR('Visual SPC'!$E$4="",'Data Entry'!$C8670&lt;='Visual SPC'!$E$4),OR('Visual SPC'!$G$4="",'Data Entry'!$D8670='Visual SPC'!$G$4),OR('Visual SPC'!$I$4="",'Data Entry'!$E8670='Visual SPC'!$I$4),OR('Visual SPC'!$K$4="",'Data Entry'!$F8670='Visual SPC'!$K$4)),1,0))</f>
        <v/>
      </c>
      <c r="C8670">
        <f>C8669+B8670</f>
        <v/>
      </c>
      <c r="D8670">
        <f>IF(B8670=1,INDEX('Data Entry'!$H$5:$BE$10004,8670-4,'Visual SPC'!$B$3),"")</f>
        <v/>
      </c>
      <c r="E8670">
        <f>IF(B8670=1,D8670,E8669)</f>
        <v/>
      </c>
      <c r="F8670">
        <f>IF(AND(B8670=1,C8670&gt;1,E8669&lt;&gt;""),ABS(D8670-E8669),"")</f>
        <v/>
      </c>
    </row>
    <row r="8671">
      <c r="A8671" t="n">
        <v>8671</v>
      </c>
      <c r="B8671">
        <f>IF(INDEX('Data Entry'!$H$5:$BE$10004,8671-4,'Visual SPC'!$B$3)="",0,IF(AND(OR('Visual SPC'!$C$4="",'Data Entry'!$C8671&gt;='Visual SPC'!$C$4),OR('Visual SPC'!$E$4="",'Data Entry'!$C8671&lt;='Visual SPC'!$E$4),OR('Visual SPC'!$G$4="",'Data Entry'!$D8671='Visual SPC'!$G$4),OR('Visual SPC'!$I$4="",'Data Entry'!$E8671='Visual SPC'!$I$4),OR('Visual SPC'!$K$4="",'Data Entry'!$F8671='Visual SPC'!$K$4)),1,0))</f>
        <v/>
      </c>
      <c r="C8671">
        <f>C8670+B8671</f>
        <v/>
      </c>
      <c r="D8671">
        <f>IF(B8671=1,INDEX('Data Entry'!$H$5:$BE$10004,8671-4,'Visual SPC'!$B$3),"")</f>
        <v/>
      </c>
      <c r="E8671">
        <f>IF(B8671=1,D8671,E8670)</f>
        <v/>
      </c>
      <c r="F8671">
        <f>IF(AND(B8671=1,C8671&gt;1,E8670&lt;&gt;""),ABS(D8671-E8670),"")</f>
        <v/>
      </c>
    </row>
    <row r="8672">
      <c r="A8672" t="n">
        <v>8672</v>
      </c>
      <c r="B8672">
        <f>IF(INDEX('Data Entry'!$H$5:$BE$10004,8672-4,'Visual SPC'!$B$3)="",0,IF(AND(OR('Visual SPC'!$C$4="",'Data Entry'!$C8672&gt;='Visual SPC'!$C$4),OR('Visual SPC'!$E$4="",'Data Entry'!$C8672&lt;='Visual SPC'!$E$4),OR('Visual SPC'!$G$4="",'Data Entry'!$D8672='Visual SPC'!$G$4),OR('Visual SPC'!$I$4="",'Data Entry'!$E8672='Visual SPC'!$I$4),OR('Visual SPC'!$K$4="",'Data Entry'!$F8672='Visual SPC'!$K$4)),1,0))</f>
        <v/>
      </c>
      <c r="C8672">
        <f>C8671+B8672</f>
        <v/>
      </c>
      <c r="D8672">
        <f>IF(B8672=1,INDEX('Data Entry'!$H$5:$BE$10004,8672-4,'Visual SPC'!$B$3),"")</f>
        <v/>
      </c>
      <c r="E8672">
        <f>IF(B8672=1,D8672,E8671)</f>
        <v/>
      </c>
      <c r="F8672">
        <f>IF(AND(B8672=1,C8672&gt;1,E8671&lt;&gt;""),ABS(D8672-E8671),"")</f>
        <v/>
      </c>
    </row>
    <row r="8673">
      <c r="A8673" t="n">
        <v>8673</v>
      </c>
      <c r="B8673">
        <f>IF(INDEX('Data Entry'!$H$5:$BE$10004,8673-4,'Visual SPC'!$B$3)="",0,IF(AND(OR('Visual SPC'!$C$4="",'Data Entry'!$C8673&gt;='Visual SPC'!$C$4),OR('Visual SPC'!$E$4="",'Data Entry'!$C8673&lt;='Visual SPC'!$E$4),OR('Visual SPC'!$G$4="",'Data Entry'!$D8673='Visual SPC'!$G$4),OR('Visual SPC'!$I$4="",'Data Entry'!$E8673='Visual SPC'!$I$4),OR('Visual SPC'!$K$4="",'Data Entry'!$F8673='Visual SPC'!$K$4)),1,0))</f>
        <v/>
      </c>
      <c r="C8673">
        <f>C8672+B8673</f>
        <v/>
      </c>
      <c r="D8673">
        <f>IF(B8673=1,INDEX('Data Entry'!$H$5:$BE$10004,8673-4,'Visual SPC'!$B$3),"")</f>
        <v/>
      </c>
      <c r="E8673">
        <f>IF(B8673=1,D8673,E8672)</f>
        <v/>
      </c>
      <c r="F8673">
        <f>IF(AND(B8673=1,C8673&gt;1,E8672&lt;&gt;""),ABS(D8673-E8672),"")</f>
        <v/>
      </c>
    </row>
    <row r="8674">
      <c r="A8674" t="n">
        <v>8674</v>
      </c>
      <c r="B8674">
        <f>IF(INDEX('Data Entry'!$H$5:$BE$10004,8674-4,'Visual SPC'!$B$3)="",0,IF(AND(OR('Visual SPC'!$C$4="",'Data Entry'!$C8674&gt;='Visual SPC'!$C$4),OR('Visual SPC'!$E$4="",'Data Entry'!$C8674&lt;='Visual SPC'!$E$4),OR('Visual SPC'!$G$4="",'Data Entry'!$D8674='Visual SPC'!$G$4),OR('Visual SPC'!$I$4="",'Data Entry'!$E8674='Visual SPC'!$I$4),OR('Visual SPC'!$K$4="",'Data Entry'!$F8674='Visual SPC'!$K$4)),1,0))</f>
        <v/>
      </c>
      <c r="C8674">
        <f>C8673+B8674</f>
        <v/>
      </c>
      <c r="D8674">
        <f>IF(B8674=1,INDEX('Data Entry'!$H$5:$BE$10004,8674-4,'Visual SPC'!$B$3),"")</f>
        <v/>
      </c>
      <c r="E8674">
        <f>IF(B8674=1,D8674,E8673)</f>
        <v/>
      </c>
      <c r="F8674">
        <f>IF(AND(B8674=1,C8674&gt;1,E8673&lt;&gt;""),ABS(D8674-E8673),"")</f>
        <v/>
      </c>
    </row>
    <row r="8675">
      <c r="A8675" t="n">
        <v>8675</v>
      </c>
      <c r="B8675">
        <f>IF(INDEX('Data Entry'!$H$5:$BE$10004,8675-4,'Visual SPC'!$B$3)="",0,IF(AND(OR('Visual SPC'!$C$4="",'Data Entry'!$C8675&gt;='Visual SPC'!$C$4),OR('Visual SPC'!$E$4="",'Data Entry'!$C8675&lt;='Visual SPC'!$E$4),OR('Visual SPC'!$G$4="",'Data Entry'!$D8675='Visual SPC'!$G$4),OR('Visual SPC'!$I$4="",'Data Entry'!$E8675='Visual SPC'!$I$4),OR('Visual SPC'!$K$4="",'Data Entry'!$F8675='Visual SPC'!$K$4)),1,0))</f>
        <v/>
      </c>
      <c r="C8675">
        <f>C8674+B8675</f>
        <v/>
      </c>
      <c r="D8675">
        <f>IF(B8675=1,INDEX('Data Entry'!$H$5:$BE$10004,8675-4,'Visual SPC'!$B$3),"")</f>
        <v/>
      </c>
      <c r="E8675">
        <f>IF(B8675=1,D8675,E8674)</f>
        <v/>
      </c>
      <c r="F8675">
        <f>IF(AND(B8675=1,C8675&gt;1,E8674&lt;&gt;""),ABS(D8675-E8674),"")</f>
        <v/>
      </c>
    </row>
    <row r="8676">
      <c r="A8676" t="n">
        <v>8676</v>
      </c>
      <c r="B8676">
        <f>IF(INDEX('Data Entry'!$H$5:$BE$10004,8676-4,'Visual SPC'!$B$3)="",0,IF(AND(OR('Visual SPC'!$C$4="",'Data Entry'!$C8676&gt;='Visual SPC'!$C$4),OR('Visual SPC'!$E$4="",'Data Entry'!$C8676&lt;='Visual SPC'!$E$4),OR('Visual SPC'!$G$4="",'Data Entry'!$D8676='Visual SPC'!$G$4),OR('Visual SPC'!$I$4="",'Data Entry'!$E8676='Visual SPC'!$I$4),OR('Visual SPC'!$K$4="",'Data Entry'!$F8676='Visual SPC'!$K$4)),1,0))</f>
        <v/>
      </c>
      <c r="C8676">
        <f>C8675+B8676</f>
        <v/>
      </c>
      <c r="D8676">
        <f>IF(B8676=1,INDEX('Data Entry'!$H$5:$BE$10004,8676-4,'Visual SPC'!$B$3),"")</f>
        <v/>
      </c>
      <c r="E8676">
        <f>IF(B8676=1,D8676,E8675)</f>
        <v/>
      </c>
      <c r="F8676">
        <f>IF(AND(B8676=1,C8676&gt;1,E8675&lt;&gt;""),ABS(D8676-E8675),"")</f>
        <v/>
      </c>
    </row>
    <row r="8677">
      <c r="A8677" t="n">
        <v>8677</v>
      </c>
      <c r="B8677">
        <f>IF(INDEX('Data Entry'!$H$5:$BE$10004,8677-4,'Visual SPC'!$B$3)="",0,IF(AND(OR('Visual SPC'!$C$4="",'Data Entry'!$C8677&gt;='Visual SPC'!$C$4),OR('Visual SPC'!$E$4="",'Data Entry'!$C8677&lt;='Visual SPC'!$E$4),OR('Visual SPC'!$G$4="",'Data Entry'!$D8677='Visual SPC'!$G$4),OR('Visual SPC'!$I$4="",'Data Entry'!$E8677='Visual SPC'!$I$4),OR('Visual SPC'!$K$4="",'Data Entry'!$F8677='Visual SPC'!$K$4)),1,0))</f>
        <v/>
      </c>
      <c r="C8677">
        <f>C8676+B8677</f>
        <v/>
      </c>
      <c r="D8677">
        <f>IF(B8677=1,INDEX('Data Entry'!$H$5:$BE$10004,8677-4,'Visual SPC'!$B$3),"")</f>
        <v/>
      </c>
      <c r="E8677">
        <f>IF(B8677=1,D8677,E8676)</f>
        <v/>
      </c>
      <c r="F8677">
        <f>IF(AND(B8677=1,C8677&gt;1,E8676&lt;&gt;""),ABS(D8677-E8676),"")</f>
        <v/>
      </c>
    </row>
    <row r="8678">
      <c r="A8678" t="n">
        <v>8678</v>
      </c>
      <c r="B8678">
        <f>IF(INDEX('Data Entry'!$H$5:$BE$10004,8678-4,'Visual SPC'!$B$3)="",0,IF(AND(OR('Visual SPC'!$C$4="",'Data Entry'!$C8678&gt;='Visual SPC'!$C$4),OR('Visual SPC'!$E$4="",'Data Entry'!$C8678&lt;='Visual SPC'!$E$4),OR('Visual SPC'!$G$4="",'Data Entry'!$D8678='Visual SPC'!$G$4),OR('Visual SPC'!$I$4="",'Data Entry'!$E8678='Visual SPC'!$I$4),OR('Visual SPC'!$K$4="",'Data Entry'!$F8678='Visual SPC'!$K$4)),1,0))</f>
        <v/>
      </c>
      <c r="C8678">
        <f>C8677+B8678</f>
        <v/>
      </c>
      <c r="D8678">
        <f>IF(B8678=1,INDEX('Data Entry'!$H$5:$BE$10004,8678-4,'Visual SPC'!$B$3),"")</f>
        <v/>
      </c>
      <c r="E8678">
        <f>IF(B8678=1,D8678,E8677)</f>
        <v/>
      </c>
      <c r="F8678">
        <f>IF(AND(B8678=1,C8678&gt;1,E8677&lt;&gt;""),ABS(D8678-E8677),"")</f>
        <v/>
      </c>
    </row>
    <row r="8679">
      <c r="A8679" t="n">
        <v>8679</v>
      </c>
      <c r="B8679">
        <f>IF(INDEX('Data Entry'!$H$5:$BE$10004,8679-4,'Visual SPC'!$B$3)="",0,IF(AND(OR('Visual SPC'!$C$4="",'Data Entry'!$C8679&gt;='Visual SPC'!$C$4),OR('Visual SPC'!$E$4="",'Data Entry'!$C8679&lt;='Visual SPC'!$E$4),OR('Visual SPC'!$G$4="",'Data Entry'!$D8679='Visual SPC'!$G$4),OR('Visual SPC'!$I$4="",'Data Entry'!$E8679='Visual SPC'!$I$4),OR('Visual SPC'!$K$4="",'Data Entry'!$F8679='Visual SPC'!$K$4)),1,0))</f>
        <v/>
      </c>
      <c r="C8679">
        <f>C8678+B8679</f>
        <v/>
      </c>
      <c r="D8679">
        <f>IF(B8679=1,INDEX('Data Entry'!$H$5:$BE$10004,8679-4,'Visual SPC'!$B$3),"")</f>
        <v/>
      </c>
      <c r="E8679">
        <f>IF(B8679=1,D8679,E8678)</f>
        <v/>
      </c>
      <c r="F8679">
        <f>IF(AND(B8679=1,C8679&gt;1,E8678&lt;&gt;""),ABS(D8679-E8678),"")</f>
        <v/>
      </c>
    </row>
    <row r="8680">
      <c r="A8680" t="n">
        <v>8680</v>
      </c>
      <c r="B8680">
        <f>IF(INDEX('Data Entry'!$H$5:$BE$10004,8680-4,'Visual SPC'!$B$3)="",0,IF(AND(OR('Visual SPC'!$C$4="",'Data Entry'!$C8680&gt;='Visual SPC'!$C$4),OR('Visual SPC'!$E$4="",'Data Entry'!$C8680&lt;='Visual SPC'!$E$4),OR('Visual SPC'!$G$4="",'Data Entry'!$D8680='Visual SPC'!$G$4),OR('Visual SPC'!$I$4="",'Data Entry'!$E8680='Visual SPC'!$I$4),OR('Visual SPC'!$K$4="",'Data Entry'!$F8680='Visual SPC'!$K$4)),1,0))</f>
        <v/>
      </c>
      <c r="C8680">
        <f>C8679+B8680</f>
        <v/>
      </c>
      <c r="D8680">
        <f>IF(B8680=1,INDEX('Data Entry'!$H$5:$BE$10004,8680-4,'Visual SPC'!$B$3),"")</f>
        <v/>
      </c>
      <c r="E8680">
        <f>IF(B8680=1,D8680,E8679)</f>
        <v/>
      </c>
      <c r="F8680">
        <f>IF(AND(B8680=1,C8680&gt;1,E8679&lt;&gt;""),ABS(D8680-E8679),"")</f>
        <v/>
      </c>
    </row>
    <row r="8681">
      <c r="A8681" t="n">
        <v>8681</v>
      </c>
      <c r="B8681">
        <f>IF(INDEX('Data Entry'!$H$5:$BE$10004,8681-4,'Visual SPC'!$B$3)="",0,IF(AND(OR('Visual SPC'!$C$4="",'Data Entry'!$C8681&gt;='Visual SPC'!$C$4),OR('Visual SPC'!$E$4="",'Data Entry'!$C8681&lt;='Visual SPC'!$E$4),OR('Visual SPC'!$G$4="",'Data Entry'!$D8681='Visual SPC'!$G$4),OR('Visual SPC'!$I$4="",'Data Entry'!$E8681='Visual SPC'!$I$4),OR('Visual SPC'!$K$4="",'Data Entry'!$F8681='Visual SPC'!$K$4)),1,0))</f>
        <v/>
      </c>
      <c r="C8681">
        <f>C8680+B8681</f>
        <v/>
      </c>
      <c r="D8681">
        <f>IF(B8681=1,INDEX('Data Entry'!$H$5:$BE$10004,8681-4,'Visual SPC'!$B$3),"")</f>
        <v/>
      </c>
      <c r="E8681">
        <f>IF(B8681=1,D8681,E8680)</f>
        <v/>
      </c>
      <c r="F8681">
        <f>IF(AND(B8681=1,C8681&gt;1,E8680&lt;&gt;""),ABS(D8681-E8680),"")</f>
        <v/>
      </c>
    </row>
    <row r="8682">
      <c r="A8682" t="n">
        <v>8682</v>
      </c>
      <c r="B8682">
        <f>IF(INDEX('Data Entry'!$H$5:$BE$10004,8682-4,'Visual SPC'!$B$3)="",0,IF(AND(OR('Visual SPC'!$C$4="",'Data Entry'!$C8682&gt;='Visual SPC'!$C$4),OR('Visual SPC'!$E$4="",'Data Entry'!$C8682&lt;='Visual SPC'!$E$4),OR('Visual SPC'!$G$4="",'Data Entry'!$D8682='Visual SPC'!$G$4),OR('Visual SPC'!$I$4="",'Data Entry'!$E8682='Visual SPC'!$I$4),OR('Visual SPC'!$K$4="",'Data Entry'!$F8682='Visual SPC'!$K$4)),1,0))</f>
        <v/>
      </c>
      <c r="C8682">
        <f>C8681+B8682</f>
        <v/>
      </c>
      <c r="D8682">
        <f>IF(B8682=1,INDEX('Data Entry'!$H$5:$BE$10004,8682-4,'Visual SPC'!$B$3),"")</f>
        <v/>
      </c>
      <c r="E8682">
        <f>IF(B8682=1,D8682,E8681)</f>
        <v/>
      </c>
      <c r="F8682">
        <f>IF(AND(B8682=1,C8682&gt;1,E8681&lt;&gt;""),ABS(D8682-E8681),"")</f>
        <v/>
      </c>
    </row>
    <row r="8683">
      <c r="A8683" t="n">
        <v>8683</v>
      </c>
      <c r="B8683">
        <f>IF(INDEX('Data Entry'!$H$5:$BE$10004,8683-4,'Visual SPC'!$B$3)="",0,IF(AND(OR('Visual SPC'!$C$4="",'Data Entry'!$C8683&gt;='Visual SPC'!$C$4),OR('Visual SPC'!$E$4="",'Data Entry'!$C8683&lt;='Visual SPC'!$E$4),OR('Visual SPC'!$G$4="",'Data Entry'!$D8683='Visual SPC'!$G$4),OR('Visual SPC'!$I$4="",'Data Entry'!$E8683='Visual SPC'!$I$4),OR('Visual SPC'!$K$4="",'Data Entry'!$F8683='Visual SPC'!$K$4)),1,0))</f>
        <v/>
      </c>
      <c r="C8683">
        <f>C8682+B8683</f>
        <v/>
      </c>
      <c r="D8683">
        <f>IF(B8683=1,INDEX('Data Entry'!$H$5:$BE$10004,8683-4,'Visual SPC'!$B$3),"")</f>
        <v/>
      </c>
      <c r="E8683">
        <f>IF(B8683=1,D8683,E8682)</f>
        <v/>
      </c>
      <c r="F8683">
        <f>IF(AND(B8683=1,C8683&gt;1,E8682&lt;&gt;""),ABS(D8683-E8682),"")</f>
        <v/>
      </c>
    </row>
    <row r="8684">
      <c r="A8684" t="n">
        <v>8684</v>
      </c>
      <c r="B8684">
        <f>IF(INDEX('Data Entry'!$H$5:$BE$10004,8684-4,'Visual SPC'!$B$3)="",0,IF(AND(OR('Visual SPC'!$C$4="",'Data Entry'!$C8684&gt;='Visual SPC'!$C$4),OR('Visual SPC'!$E$4="",'Data Entry'!$C8684&lt;='Visual SPC'!$E$4),OR('Visual SPC'!$G$4="",'Data Entry'!$D8684='Visual SPC'!$G$4),OR('Visual SPC'!$I$4="",'Data Entry'!$E8684='Visual SPC'!$I$4),OR('Visual SPC'!$K$4="",'Data Entry'!$F8684='Visual SPC'!$K$4)),1,0))</f>
        <v/>
      </c>
      <c r="C8684">
        <f>C8683+B8684</f>
        <v/>
      </c>
      <c r="D8684">
        <f>IF(B8684=1,INDEX('Data Entry'!$H$5:$BE$10004,8684-4,'Visual SPC'!$B$3),"")</f>
        <v/>
      </c>
      <c r="E8684">
        <f>IF(B8684=1,D8684,E8683)</f>
        <v/>
      </c>
      <c r="F8684">
        <f>IF(AND(B8684=1,C8684&gt;1,E8683&lt;&gt;""),ABS(D8684-E8683),"")</f>
        <v/>
      </c>
    </row>
    <row r="8685">
      <c r="A8685" t="n">
        <v>8685</v>
      </c>
      <c r="B8685">
        <f>IF(INDEX('Data Entry'!$H$5:$BE$10004,8685-4,'Visual SPC'!$B$3)="",0,IF(AND(OR('Visual SPC'!$C$4="",'Data Entry'!$C8685&gt;='Visual SPC'!$C$4),OR('Visual SPC'!$E$4="",'Data Entry'!$C8685&lt;='Visual SPC'!$E$4),OR('Visual SPC'!$G$4="",'Data Entry'!$D8685='Visual SPC'!$G$4),OR('Visual SPC'!$I$4="",'Data Entry'!$E8685='Visual SPC'!$I$4),OR('Visual SPC'!$K$4="",'Data Entry'!$F8685='Visual SPC'!$K$4)),1,0))</f>
        <v/>
      </c>
      <c r="C8685">
        <f>C8684+B8685</f>
        <v/>
      </c>
      <c r="D8685">
        <f>IF(B8685=1,INDEX('Data Entry'!$H$5:$BE$10004,8685-4,'Visual SPC'!$B$3),"")</f>
        <v/>
      </c>
      <c r="E8685">
        <f>IF(B8685=1,D8685,E8684)</f>
        <v/>
      </c>
      <c r="F8685">
        <f>IF(AND(B8685=1,C8685&gt;1,E8684&lt;&gt;""),ABS(D8685-E8684),"")</f>
        <v/>
      </c>
    </row>
    <row r="8686">
      <c r="A8686" t="n">
        <v>8686</v>
      </c>
      <c r="B8686">
        <f>IF(INDEX('Data Entry'!$H$5:$BE$10004,8686-4,'Visual SPC'!$B$3)="",0,IF(AND(OR('Visual SPC'!$C$4="",'Data Entry'!$C8686&gt;='Visual SPC'!$C$4),OR('Visual SPC'!$E$4="",'Data Entry'!$C8686&lt;='Visual SPC'!$E$4),OR('Visual SPC'!$G$4="",'Data Entry'!$D8686='Visual SPC'!$G$4),OR('Visual SPC'!$I$4="",'Data Entry'!$E8686='Visual SPC'!$I$4),OR('Visual SPC'!$K$4="",'Data Entry'!$F8686='Visual SPC'!$K$4)),1,0))</f>
        <v/>
      </c>
      <c r="C8686">
        <f>C8685+B8686</f>
        <v/>
      </c>
      <c r="D8686">
        <f>IF(B8686=1,INDEX('Data Entry'!$H$5:$BE$10004,8686-4,'Visual SPC'!$B$3),"")</f>
        <v/>
      </c>
      <c r="E8686">
        <f>IF(B8686=1,D8686,E8685)</f>
        <v/>
      </c>
      <c r="F8686">
        <f>IF(AND(B8686=1,C8686&gt;1,E8685&lt;&gt;""),ABS(D8686-E8685),"")</f>
        <v/>
      </c>
    </row>
    <row r="8687">
      <c r="A8687" t="n">
        <v>8687</v>
      </c>
      <c r="B8687">
        <f>IF(INDEX('Data Entry'!$H$5:$BE$10004,8687-4,'Visual SPC'!$B$3)="",0,IF(AND(OR('Visual SPC'!$C$4="",'Data Entry'!$C8687&gt;='Visual SPC'!$C$4),OR('Visual SPC'!$E$4="",'Data Entry'!$C8687&lt;='Visual SPC'!$E$4),OR('Visual SPC'!$G$4="",'Data Entry'!$D8687='Visual SPC'!$G$4),OR('Visual SPC'!$I$4="",'Data Entry'!$E8687='Visual SPC'!$I$4),OR('Visual SPC'!$K$4="",'Data Entry'!$F8687='Visual SPC'!$K$4)),1,0))</f>
        <v/>
      </c>
      <c r="C8687">
        <f>C8686+B8687</f>
        <v/>
      </c>
      <c r="D8687">
        <f>IF(B8687=1,INDEX('Data Entry'!$H$5:$BE$10004,8687-4,'Visual SPC'!$B$3),"")</f>
        <v/>
      </c>
      <c r="E8687">
        <f>IF(B8687=1,D8687,E8686)</f>
        <v/>
      </c>
      <c r="F8687">
        <f>IF(AND(B8687=1,C8687&gt;1,E8686&lt;&gt;""),ABS(D8687-E8686),"")</f>
        <v/>
      </c>
    </row>
    <row r="8688">
      <c r="A8688" t="n">
        <v>8688</v>
      </c>
      <c r="B8688">
        <f>IF(INDEX('Data Entry'!$H$5:$BE$10004,8688-4,'Visual SPC'!$B$3)="",0,IF(AND(OR('Visual SPC'!$C$4="",'Data Entry'!$C8688&gt;='Visual SPC'!$C$4),OR('Visual SPC'!$E$4="",'Data Entry'!$C8688&lt;='Visual SPC'!$E$4),OR('Visual SPC'!$G$4="",'Data Entry'!$D8688='Visual SPC'!$G$4),OR('Visual SPC'!$I$4="",'Data Entry'!$E8688='Visual SPC'!$I$4),OR('Visual SPC'!$K$4="",'Data Entry'!$F8688='Visual SPC'!$K$4)),1,0))</f>
        <v/>
      </c>
      <c r="C8688">
        <f>C8687+B8688</f>
        <v/>
      </c>
      <c r="D8688">
        <f>IF(B8688=1,INDEX('Data Entry'!$H$5:$BE$10004,8688-4,'Visual SPC'!$B$3),"")</f>
        <v/>
      </c>
      <c r="E8688">
        <f>IF(B8688=1,D8688,E8687)</f>
        <v/>
      </c>
      <c r="F8688">
        <f>IF(AND(B8688=1,C8688&gt;1,E8687&lt;&gt;""),ABS(D8688-E8687),"")</f>
        <v/>
      </c>
    </row>
    <row r="8689">
      <c r="A8689" t="n">
        <v>8689</v>
      </c>
      <c r="B8689">
        <f>IF(INDEX('Data Entry'!$H$5:$BE$10004,8689-4,'Visual SPC'!$B$3)="",0,IF(AND(OR('Visual SPC'!$C$4="",'Data Entry'!$C8689&gt;='Visual SPC'!$C$4),OR('Visual SPC'!$E$4="",'Data Entry'!$C8689&lt;='Visual SPC'!$E$4),OR('Visual SPC'!$G$4="",'Data Entry'!$D8689='Visual SPC'!$G$4),OR('Visual SPC'!$I$4="",'Data Entry'!$E8689='Visual SPC'!$I$4),OR('Visual SPC'!$K$4="",'Data Entry'!$F8689='Visual SPC'!$K$4)),1,0))</f>
        <v/>
      </c>
      <c r="C8689">
        <f>C8688+B8689</f>
        <v/>
      </c>
      <c r="D8689">
        <f>IF(B8689=1,INDEX('Data Entry'!$H$5:$BE$10004,8689-4,'Visual SPC'!$B$3),"")</f>
        <v/>
      </c>
      <c r="E8689">
        <f>IF(B8689=1,D8689,E8688)</f>
        <v/>
      </c>
      <c r="F8689">
        <f>IF(AND(B8689=1,C8689&gt;1,E8688&lt;&gt;""),ABS(D8689-E8688),"")</f>
        <v/>
      </c>
    </row>
    <row r="8690">
      <c r="A8690" t="n">
        <v>8690</v>
      </c>
      <c r="B8690">
        <f>IF(INDEX('Data Entry'!$H$5:$BE$10004,8690-4,'Visual SPC'!$B$3)="",0,IF(AND(OR('Visual SPC'!$C$4="",'Data Entry'!$C8690&gt;='Visual SPC'!$C$4),OR('Visual SPC'!$E$4="",'Data Entry'!$C8690&lt;='Visual SPC'!$E$4),OR('Visual SPC'!$G$4="",'Data Entry'!$D8690='Visual SPC'!$G$4),OR('Visual SPC'!$I$4="",'Data Entry'!$E8690='Visual SPC'!$I$4),OR('Visual SPC'!$K$4="",'Data Entry'!$F8690='Visual SPC'!$K$4)),1,0))</f>
        <v/>
      </c>
      <c r="C8690">
        <f>C8689+B8690</f>
        <v/>
      </c>
      <c r="D8690">
        <f>IF(B8690=1,INDEX('Data Entry'!$H$5:$BE$10004,8690-4,'Visual SPC'!$B$3),"")</f>
        <v/>
      </c>
      <c r="E8690">
        <f>IF(B8690=1,D8690,E8689)</f>
        <v/>
      </c>
      <c r="F8690">
        <f>IF(AND(B8690=1,C8690&gt;1,E8689&lt;&gt;""),ABS(D8690-E8689),"")</f>
        <v/>
      </c>
    </row>
    <row r="8691">
      <c r="A8691" t="n">
        <v>8691</v>
      </c>
      <c r="B8691">
        <f>IF(INDEX('Data Entry'!$H$5:$BE$10004,8691-4,'Visual SPC'!$B$3)="",0,IF(AND(OR('Visual SPC'!$C$4="",'Data Entry'!$C8691&gt;='Visual SPC'!$C$4),OR('Visual SPC'!$E$4="",'Data Entry'!$C8691&lt;='Visual SPC'!$E$4),OR('Visual SPC'!$G$4="",'Data Entry'!$D8691='Visual SPC'!$G$4),OR('Visual SPC'!$I$4="",'Data Entry'!$E8691='Visual SPC'!$I$4),OR('Visual SPC'!$K$4="",'Data Entry'!$F8691='Visual SPC'!$K$4)),1,0))</f>
        <v/>
      </c>
      <c r="C8691">
        <f>C8690+B8691</f>
        <v/>
      </c>
      <c r="D8691">
        <f>IF(B8691=1,INDEX('Data Entry'!$H$5:$BE$10004,8691-4,'Visual SPC'!$B$3),"")</f>
        <v/>
      </c>
      <c r="E8691">
        <f>IF(B8691=1,D8691,E8690)</f>
        <v/>
      </c>
      <c r="F8691">
        <f>IF(AND(B8691=1,C8691&gt;1,E8690&lt;&gt;""),ABS(D8691-E8690),"")</f>
        <v/>
      </c>
    </row>
    <row r="8692">
      <c r="A8692" t="n">
        <v>8692</v>
      </c>
      <c r="B8692">
        <f>IF(INDEX('Data Entry'!$H$5:$BE$10004,8692-4,'Visual SPC'!$B$3)="",0,IF(AND(OR('Visual SPC'!$C$4="",'Data Entry'!$C8692&gt;='Visual SPC'!$C$4),OR('Visual SPC'!$E$4="",'Data Entry'!$C8692&lt;='Visual SPC'!$E$4),OR('Visual SPC'!$G$4="",'Data Entry'!$D8692='Visual SPC'!$G$4),OR('Visual SPC'!$I$4="",'Data Entry'!$E8692='Visual SPC'!$I$4),OR('Visual SPC'!$K$4="",'Data Entry'!$F8692='Visual SPC'!$K$4)),1,0))</f>
        <v/>
      </c>
      <c r="C8692">
        <f>C8691+B8692</f>
        <v/>
      </c>
      <c r="D8692">
        <f>IF(B8692=1,INDEX('Data Entry'!$H$5:$BE$10004,8692-4,'Visual SPC'!$B$3),"")</f>
        <v/>
      </c>
      <c r="E8692">
        <f>IF(B8692=1,D8692,E8691)</f>
        <v/>
      </c>
      <c r="F8692">
        <f>IF(AND(B8692=1,C8692&gt;1,E8691&lt;&gt;""),ABS(D8692-E8691),"")</f>
        <v/>
      </c>
    </row>
    <row r="8693">
      <c r="A8693" t="n">
        <v>8693</v>
      </c>
      <c r="B8693">
        <f>IF(INDEX('Data Entry'!$H$5:$BE$10004,8693-4,'Visual SPC'!$B$3)="",0,IF(AND(OR('Visual SPC'!$C$4="",'Data Entry'!$C8693&gt;='Visual SPC'!$C$4),OR('Visual SPC'!$E$4="",'Data Entry'!$C8693&lt;='Visual SPC'!$E$4),OR('Visual SPC'!$G$4="",'Data Entry'!$D8693='Visual SPC'!$G$4),OR('Visual SPC'!$I$4="",'Data Entry'!$E8693='Visual SPC'!$I$4),OR('Visual SPC'!$K$4="",'Data Entry'!$F8693='Visual SPC'!$K$4)),1,0))</f>
        <v/>
      </c>
      <c r="C8693">
        <f>C8692+B8693</f>
        <v/>
      </c>
      <c r="D8693">
        <f>IF(B8693=1,INDEX('Data Entry'!$H$5:$BE$10004,8693-4,'Visual SPC'!$B$3),"")</f>
        <v/>
      </c>
      <c r="E8693">
        <f>IF(B8693=1,D8693,E8692)</f>
        <v/>
      </c>
      <c r="F8693">
        <f>IF(AND(B8693=1,C8693&gt;1,E8692&lt;&gt;""),ABS(D8693-E8692),"")</f>
        <v/>
      </c>
    </row>
    <row r="8694">
      <c r="A8694" t="n">
        <v>8694</v>
      </c>
      <c r="B8694">
        <f>IF(INDEX('Data Entry'!$H$5:$BE$10004,8694-4,'Visual SPC'!$B$3)="",0,IF(AND(OR('Visual SPC'!$C$4="",'Data Entry'!$C8694&gt;='Visual SPC'!$C$4),OR('Visual SPC'!$E$4="",'Data Entry'!$C8694&lt;='Visual SPC'!$E$4),OR('Visual SPC'!$G$4="",'Data Entry'!$D8694='Visual SPC'!$G$4),OR('Visual SPC'!$I$4="",'Data Entry'!$E8694='Visual SPC'!$I$4),OR('Visual SPC'!$K$4="",'Data Entry'!$F8694='Visual SPC'!$K$4)),1,0))</f>
        <v/>
      </c>
      <c r="C8694">
        <f>C8693+B8694</f>
        <v/>
      </c>
      <c r="D8694">
        <f>IF(B8694=1,INDEX('Data Entry'!$H$5:$BE$10004,8694-4,'Visual SPC'!$B$3),"")</f>
        <v/>
      </c>
      <c r="E8694">
        <f>IF(B8694=1,D8694,E8693)</f>
        <v/>
      </c>
      <c r="F8694">
        <f>IF(AND(B8694=1,C8694&gt;1,E8693&lt;&gt;""),ABS(D8694-E8693),"")</f>
        <v/>
      </c>
    </row>
    <row r="8695">
      <c r="A8695" t="n">
        <v>8695</v>
      </c>
      <c r="B8695">
        <f>IF(INDEX('Data Entry'!$H$5:$BE$10004,8695-4,'Visual SPC'!$B$3)="",0,IF(AND(OR('Visual SPC'!$C$4="",'Data Entry'!$C8695&gt;='Visual SPC'!$C$4),OR('Visual SPC'!$E$4="",'Data Entry'!$C8695&lt;='Visual SPC'!$E$4),OR('Visual SPC'!$G$4="",'Data Entry'!$D8695='Visual SPC'!$G$4),OR('Visual SPC'!$I$4="",'Data Entry'!$E8695='Visual SPC'!$I$4),OR('Visual SPC'!$K$4="",'Data Entry'!$F8695='Visual SPC'!$K$4)),1,0))</f>
        <v/>
      </c>
      <c r="C8695">
        <f>C8694+B8695</f>
        <v/>
      </c>
      <c r="D8695">
        <f>IF(B8695=1,INDEX('Data Entry'!$H$5:$BE$10004,8695-4,'Visual SPC'!$B$3),"")</f>
        <v/>
      </c>
      <c r="E8695">
        <f>IF(B8695=1,D8695,E8694)</f>
        <v/>
      </c>
      <c r="F8695">
        <f>IF(AND(B8695=1,C8695&gt;1,E8694&lt;&gt;""),ABS(D8695-E8694),"")</f>
        <v/>
      </c>
    </row>
    <row r="8696">
      <c r="A8696" t="n">
        <v>8696</v>
      </c>
      <c r="B8696">
        <f>IF(INDEX('Data Entry'!$H$5:$BE$10004,8696-4,'Visual SPC'!$B$3)="",0,IF(AND(OR('Visual SPC'!$C$4="",'Data Entry'!$C8696&gt;='Visual SPC'!$C$4),OR('Visual SPC'!$E$4="",'Data Entry'!$C8696&lt;='Visual SPC'!$E$4),OR('Visual SPC'!$G$4="",'Data Entry'!$D8696='Visual SPC'!$G$4),OR('Visual SPC'!$I$4="",'Data Entry'!$E8696='Visual SPC'!$I$4),OR('Visual SPC'!$K$4="",'Data Entry'!$F8696='Visual SPC'!$K$4)),1,0))</f>
        <v/>
      </c>
      <c r="C8696">
        <f>C8695+B8696</f>
        <v/>
      </c>
      <c r="D8696">
        <f>IF(B8696=1,INDEX('Data Entry'!$H$5:$BE$10004,8696-4,'Visual SPC'!$B$3),"")</f>
        <v/>
      </c>
      <c r="E8696">
        <f>IF(B8696=1,D8696,E8695)</f>
        <v/>
      </c>
      <c r="F8696">
        <f>IF(AND(B8696=1,C8696&gt;1,E8695&lt;&gt;""),ABS(D8696-E8695),"")</f>
        <v/>
      </c>
    </row>
    <row r="8697">
      <c r="A8697" t="n">
        <v>8697</v>
      </c>
      <c r="B8697">
        <f>IF(INDEX('Data Entry'!$H$5:$BE$10004,8697-4,'Visual SPC'!$B$3)="",0,IF(AND(OR('Visual SPC'!$C$4="",'Data Entry'!$C8697&gt;='Visual SPC'!$C$4),OR('Visual SPC'!$E$4="",'Data Entry'!$C8697&lt;='Visual SPC'!$E$4),OR('Visual SPC'!$G$4="",'Data Entry'!$D8697='Visual SPC'!$G$4),OR('Visual SPC'!$I$4="",'Data Entry'!$E8697='Visual SPC'!$I$4),OR('Visual SPC'!$K$4="",'Data Entry'!$F8697='Visual SPC'!$K$4)),1,0))</f>
        <v/>
      </c>
      <c r="C8697">
        <f>C8696+B8697</f>
        <v/>
      </c>
      <c r="D8697">
        <f>IF(B8697=1,INDEX('Data Entry'!$H$5:$BE$10004,8697-4,'Visual SPC'!$B$3),"")</f>
        <v/>
      </c>
      <c r="E8697">
        <f>IF(B8697=1,D8697,E8696)</f>
        <v/>
      </c>
      <c r="F8697">
        <f>IF(AND(B8697=1,C8697&gt;1,E8696&lt;&gt;""),ABS(D8697-E8696),"")</f>
        <v/>
      </c>
    </row>
    <row r="8698">
      <c r="A8698" t="n">
        <v>8698</v>
      </c>
      <c r="B8698">
        <f>IF(INDEX('Data Entry'!$H$5:$BE$10004,8698-4,'Visual SPC'!$B$3)="",0,IF(AND(OR('Visual SPC'!$C$4="",'Data Entry'!$C8698&gt;='Visual SPC'!$C$4),OR('Visual SPC'!$E$4="",'Data Entry'!$C8698&lt;='Visual SPC'!$E$4),OR('Visual SPC'!$G$4="",'Data Entry'!$D8698='Visual SPC'!$G$4),OR('Visual SPC'!$I$4="",'Data Entry'!$E8698='Visual SPC'!$I$4),OR('Visual SPC'!$K$4="",'Data Entry'!$F8698='Visual SPC'!$K$4)),1,0))</f>
        <v/>
      </c>
      <c r="C8698">
        <f>C8697+B8698</f>
        <v/>
      </c>
      <c r="D8698">
        <f>IF(B8698=1,INDEX('Data Entry'!$H$5:$BE$10004,8698-4,'Visual SPC'!$B$3),"")</f>
        <v/>
      </c>
      <c r="E8698">
        <f>IF(B8698=1,D8698,E8697)</f>
        <v/>
      </c>
      <c r="F8698">
        <f>IF(AND(B8698=1,C8698&gt;1,E8697&lt;&gt;""),ABS(D8698-E8697),"")</f>
        <v/>
      </c>
    </row>
    <row r="8699">
      <c r="A8699" t="n">
        <v>8699</v>
      </c>
      <c r="B8699">
        <f>IF(INDEX('Data Entry'!$H$5:$BE$10004,8699-4,'Visual SPC'!$B$3)="",0,IF(AND(OR('Visual SPC'!$C$4="",'Data Entry'!$C8699&gt;='Visual SPC'!$C$4),OR('Visual SPC'!$E$4="",'Data Entry'!$C8699&lt;='Visual SPC'!$E$4),OR('Visual SPC'!$G$4="",'Data Entry'!$D8699='Visual SPC'!$G$4),OR('Visual SPC'!$I$4="",'Data Entry'!$E8699='Visual SPC'!$I$4),OR('Visual SPC'!$K$4="",'Data Entry'!$F8699='Visual SPC'!$K$4)),1,0))</f>
        <v/>
      </c>
      <c r="C8699">
        <f>C8698+B8699</f>
        <v/>
      </c>
      <c r="D8699">
        <f>IF(B8699=1,INDEX('Data Entry'!$H$5:$BE$10004,8699-4,'Visual SPC'!$B$3),"")</f>
        <v/>
      </c>
      <c r="E8699">
        <f>IF(B8699=1,D8699,E8698)</f>
        <v/>
      </c>
      <c r="F8699">
        <f>IF(AND(B8699=1,C8699&gt;1,E8698&lt;&gt;""),ABS(D8699-E8698),"")</f>
        <v/>
      </c>
    </row>
    <row r="8700">
      <c r="A8700" t="n">
        <v>8700</v>
      </c>
      <c r="B8700">
        <f>IF(INDEX('Data Entry'!$H$5:$BE$10004,8700-4,'Visual SPC'!$B$3)="",0,IF(AND(OR('Visual SPC'!$C$4="",'Data Entry'!$C8700&gt;='Visual SPC'!$C$4),OR('Visual SPC'!$E$4="",'Data Entry'!$C8700&lt;='Visual SPC'!$E$4),OR('Visual SPC'!$G$4="",'Data Entry'!$D8700='Visual SPC'!$G$4),OR('Visual SPC'!$I$4="",'Data Entry'!$E8700='Visual SPC'!$I$4),OR('Visual SPC'!$K$4="",'Data Entry'!$F8700='Visual SPC'!$K$4)),1,0))</f>
        <v/>
      </c>
      <c r="C8700">
        <f>C8699+B8700</f>
        <v/>
      </c>
      <c r="D8700">
        <f>IF(B8700=1,INDEX('Data Entry'!$H$5:$BE$10004,8700-4,'Visual SPC'!$B$3),"")</f>
        <v/>
      </c>
      <c r="E8700">
        <f>IF(B8700=1,D8700,E8699)</f>
        <v/>
      </c>
      <c r="F8700">
        <f>IF(AND(B8700=1,C8700&gt;1,E8699&lt;&gt;""),ABS(D8700-E8699),"")</f>
        <v/>
      </c>
    </row>
    <row r="8701">
      <c r="A8701" t="n">
        <v>8701</v>
      </c>
      <c r="B8701">
        <f>IF(INDEX('Data Entry'!$H$5:$BE$10004,8701-4,'Visual SPC'!$B$3)="",0,IF(AND(OR('Visual SPC'!$C$4="",'Data Entry'!$C8701&gt;='Visual SPC'!$C$4),OR('Visual SPC'!$E$4="",'Data Entry'!$C8701&lt;='Visual SPC'!$E$4),OR('Visual SPC'!$G$4="",'Data Entry'!$D8701='Visual SPC'!$G$4),OR('Visual SPC'!$I$4="",'Data Entry'!$E8701='Visual SPC'!$I$4),OR('Visual SPC'!$K$4="",'Data Entry'!$F8701='Visual SPC'!$K$4)),1,0))</f>
        <v/>
      </c>
      <c r="C8701">
        <f>C8700+B8701</f>
        <v/>
      </c>
      <c r="D8701">
        <f>IF(B8701=1,INDEX('Data Entry'!$H$5:$BE$10004,8701-4,'Visual SPC'!$B$3),"")</f>
        <v/>
      </c>
      <c r="E8701">
        <f>IF(B8701=1,D8701,E8700)</f>
        <v/>
      </c>
      <c r="F8701">
        <f>IF(AND(B8701=1,C8701&gt;1,E8700&lt;&gt;""),ABS(D8701-E8700),"")</f>
        <v/>
      </c>
    </row>
    <row r="8702">
      <c r="A8702" t="n">
        <v>8702</v>
      </c>
      <c r="B8702">
        <f>IF(INDEX('Data Entry'!$H$5:$BE$10004,8702-4,'Visual SPC'!$B$3)="",0,IF(AND(OR('Visual SPC'!$C$4="",'Data Entry'!$C8702&gt;='Visual SPC'!$C$4),OR('Visual SPC'!$E$4="",'Data Entry'!$C8702&lt;='Visual SPC'!$E$4),OR('Visual SPC'!$G$4="",'Data Entry'!$D8702='Visual SPC'!$G$4),OR('Visual SPC'!$I$4="",'Data Entry'!$E8702='Visual SPC'!$I$4),OR('Visual SPC'!$K$4="",'Data Entry'!$F8702='Visual SPC'!$K$4)),1,0))</f>
        <v/>
      </c>
      <c r="C8702">
        <f>C8701+B8702</f>
        <v/>
      </c>
      <c r="D8702">
        <f>IF(B8702=1,INDEX('Data Entry'!$H$5:$BE$10004,8702-4,'Visual SPC'!$B$3),"")</f>
        <v/>
      </c>
      <c r="E8702">
        <f>IF(B8702=1,D8702,E8701)</f>
        <v/>
      </c>
      <c r="F8702">
        <f>IF(AND(B8702=1,C8702&gt;1,E8701&lt;&gt;""),ABS(D8702-E8701),"")</f>
        <v/>
      </c>
    </row>
    <row r="8703">
      <c r="A8703" t="n">
        <v>8703</v>
      </c>
      <c r="B8703">
        <f>IF(INDEX('Data Entry'!$H$5:$BE$10004,8703-4,'Visual SPC'!$B$3)="",0,IF(AND(OR('Visual SPC'!$C$4="",'Data Entry'!$C8703&gt;='Visual SPC'!$C$4),OR('Visual SPC'!$E$4="",'Data Entry'!$C8703&lt;='Visual SPC'!$E$4),OR('Visual SPC'!$G$4="",'Data Entry'!$D8703='Visual SPC'!$G$4),OR('Visual SPC'!$I$4="",'Data Entry'!$E8703='Visual SPC'!$I$4),OR('Visual SPC'!$K$4="",'Data Entry'!$F8703='Visual SPC'!$K$4)),1,0))</f>
        <v/>
      </c>
      <c r="C8703">
        <f>C8702+B8703</f>
        <v/>
      </c>
      <c r="D8703">
        <f>IF(B8703=1,INDEX('Data Entry'!$H$5:$BE$10004,8703-4,'Visual SPC'!$B$3),"")</f>
        <v/>
      </c>
      <c r="E8703">
        <f>IF(B8703=1,D8703,E8702)</f>
        <v/>
      </c>
      <c r="F8703">
        <f>IF(AND(B8703=1,C8703&gt;1,E8702&lt;&gt;""),ABS(D8703-E8702),"")</f>
        <v/>
      </c>
    </row>
    <row r="8704">
      <c r="A8704" t="n">
        <v>8704</v>
      </c>
      <c r="B8704">
        <f>IF(INDEX('Data Entry'!$H$5:$BE$10004,8704-4,'Visual SPC'!$B$3)="",0,IF(AND(OR('Visual SPC'!$C$4="",'Data Entry'!$C8704&gt;='Visual SPC'!$C$4),OR('Visual SPC'!$E$4="",'Data Entry'!$C8704&lt;='Visual SPC'!$E$4),OR('Visual SPC'!$G$4="",'Data Entry'!$D8704='Visual SPC'!$G$4),OR('Visual SPC'!$I$4="",'Data Entry'!$E8704='Visual SPC'!$I$4),OR('Visual SPC'!$K$4="",'Data Entry'!$F8704='Visual SPC'!$K$4)),1,0))</f>
        <v/>
      </c>
      <c r="C8704">
        <f>C8703+B8704</f>
        <v/>
      </c>
      <c r="D8704">
        <f>IF(B8704=1,INDEX('Data Entry'!$H$5:$BE$10004,8704-4,'Visual SPC'!$B$3),"")</f>
        <v/>
      </c>
      <c r="E8704">
        <f>IF(B8704=1,D8704,E8703)</f>
        <v/>
      </c>
      <c r="F8704">
        <f>IF(AND(B8704=1,C8704&gt;1,E8703&lt;&gt;""),ABS(D8704-E8703),"")</f>
        <v/>
      </c>
    </row>
    <row r="8705">
      <c r="A8705" t="n">
        <v>8705</v>
      </c>
      <c r="B8705">
        <f>IF(INDEX('Data Entry'!$H$5:$BE$10004,8705-4,'Visual SPC'!$B$3)="",0,IF(AND(OR('Visual SPC'!$C$4="",'Data Entry'!$C8705&gt;='Visual SPC'!$C$4),OR('Visual SPC'!$E$4="",'Data Entry'!$C8705&lt;='Visual SPC'!$E$4),OR('Visual SPC'!$G$4="",'Data Entry'!$D8705='Visual SPC'!$G$4),OR('Visual SPC'!$I$4="",'Data Entry'!$E8705='Visual SPC'!$I$4),OR('Visual SPC'!$K$4="",'Data Entry'!$F8705='Visual SPC'!$K$4)),1,0))</f>
        <v/>
      </c>
      <c r="C8705">
        <f>C8704+B8705</f>
        <v/>
      </c>
      <c r="D8705">
        <f>IF(B8705=1,INDEX('Data Entry'!$H$5:$BE$10004,8705-4,'Visual SPC'!$B$3),"")</f>
        <v/>
      </c>
      <c r="E8705">
        <f>IF(B8705=1,D8705,E8704)</f>
        <v/>
      </c>
      <c r="F8705">
        <f>IF(AND(B8705=1,C8705&gt;1,E8704&lt;&gt;""),ABS(D8705-E8704),"")</f>
        <v/>
      </c>
    </row>
    <row r="8706">
      <c r="A8706" t="n">
        <v>8706</v>
      </c>
      <c r="B8706">
        <f>IF(INDEX('Data Entry'!$H$5:$BE$10004,8706-4,'Visual SPC'!$B$3)="",0,IF(AND(OR('Visual SPC'!$C$4="",'Data Entry'!$C8706&gt;='Visual SPC'!$C$4),OR('Visual SPC'!$E$4="",'Data Entry'!$C8706&lt;='Visual SPC'!$E$4),OR('Visual SPC'!$G$4="",'Data Entry'!$D8706='Visual SPC'!$G$4),OR('Visual SPC'!$I$4="",'Data Entry'!$E8706='Visual SPC'!$I$4),OR('Visual SPC'!$K$4="",'Data Entry'!$F8706='Visual SPC'!$K$4)),1,0))</f>
        <v/>
      </c>
      <c r="C8706">
        <f>C8705+B8706</f>
        <v/>
      </c>
      <c r="D8706">
        <f>IF(B8706=1,INDEX('Data Entry'!$H$5:$BE$10004,8706-4,'Visual SPC'!$B$3),"")</f>
        <v/>
      </c>
      <c r="E8706">
        <f>IF(B8706=1,D8706,E8705)</f>
        <v/>
      </c>
      <c r="F8706">
        <f>IF(AND(B8706=1,C8706&gt;1,E8705&lt;&gt;""),ABS(D8706-E8705),"")</f>
        <v/>
      </c>
    </row>
    <row r="8707">
      <c r="A8707" t="n">
        <v>8707</v>
      </c>
      <c r="B8707">
        <f>IF(INDEX('Data Entry'!$H$5:$BE$10004,8707-4,'Visual SPC'!$B$3)="",0,IF(AND(OR('Visual SPC'!$C$4="",'Data Entry'!$C8707&gt;='Visual SPC'!$C$4),OR('Visual SPC'!$E$4="",'Data Entry'!$C8707&lt;='Visual SPC'!$E$4),OR('Visual SPC'!$G$4="",'Data Entry'!$D8707='Visual SPC'!$G$4),OR('Visual SPC'!$I$4="",'Data Entry'!$E8707='Visual SPC'!$I$4),OR('Visual SPC'!$K$4="",'Data Entry'!$F8707='Visual SPC'!$K$4)),1,0))</f>
        <v/>
      </c>
      <c r="C8707">
        <f>C8706+B8707</f>
        <v/>
      </c>
      <c r="D8707">
        <f>IF(B8707=1,INDEX('Data Entry'!$H$5:$BE$10004,8707-4,'Visual SPC'!$B$3),"")</f>
        <v/>
      </c>
      <c r="E8707">
        <f>IF(B8707=1,D8707,E8706)</f>
        <v/>
      </c>
      <c r="F8707">
        <f>IF(AND(B8707=1,C8707&gt;1,E8706&lt;&gt;""),ABS(D8707-E8706),"")</f>
        <v/>
      </c>
    </row>
    <row r="8708">
      <c r="A8708" t="n">
        <v>8708</v>
      </c>
      <c r="B8708">
        <f>IF(INDEX('Data Entry'!$H$5:$BE$10004,8708-4,'Visual SPC'!$B$3)="",0,IF(AND(OR('Visual SPC'!$C$4="",'Data Entry'!$C8708&gt;='Visual SPC'!$C$4),OR('Visual SPC'!$E$4="",'Data Entry'!$C8708&lt;='Visual SPC'!$E$4),OR('Visual SPC'!$G$4="",'Data Entry'!$D8708='Visual SPC'!$G$4),OR('Visual SPC'!$I$4="",'Data Entry'!$E8708='Visual SPC'!$I$4),OR('Visual SPC'!$K$4="",'Data Entry'!$F8708='Visual SPC'!$K$4)),1,0))</f>
        <v/>
      </c>
      <c r="C8708">
        <f>C8707+B8708</f>
        <v/>
      </c>
      <c r="D8708">
        <f>IF(B8708=1,INDEX('Data Entry'!$H$5:$BE$10004,8708-4,'Visual SPC'!$B$3),"")</f>
        <v/>
      </c>
      <c r="E8708">
        <f>IF(B8708=1,D8708,E8707)</f>
        <v/>
      </c>
      <c r="F8708">
        <f>IF(AND(B8708=1,C8708&gt;1,E8707&lt;&gt;""),ABS(D8708-E8707),"")</f>
        <v/>
      </c>
    </row>
    <row r="8709">
      <c r="A8709" t="n">
        <v>8709</v>
      </c>
      <c r="B8709">
        <f>IF(INDEX('Data Entry'!$H$5:$BE$10004,8709-4,'Visual SPC'!$B$3)="",0,IF(AND(OR('Visual SPC'!$C$4="",'Data Entry'!$C8709&gt;='Visual SPC'!$C$4),OR('Visual SPC'!$E$4="",'Data Entry'!$C8709&lt;='Visual SPC'!$E$4),OR('Visual SPC'!$G$4="",'Data Entry'!$D8709='Visual SPC'!$G$4),OR('Visual SPC'!$I$4="",'Data Entry'!$E8709='Visual SPC'!$I$4),OR('Visual SPC'!$K$4="",'Data Entry'!$F8709='Visual SPC'!$K$4)),1,0))</f>
        <v/>
      </c>
      <c r="C8709">
        <f>C8708+B8709</f>
        <v/>
      </c>
      <c r="D8709">
        <f>IF(B8709=1,INDEX('Data Entry'!$H$5:$BE$10004,8709-4,'Visual SPC'!$B$3),"")</f>
        <v/>
      </c>
      <c r="E8709">
        <f>IF(B8709=1,D8709,E8708)</f>
        <v/>
      </c>
      <c r="F8709">
        <f>IF(AND(B8709=1,C8709&gt;1,E8708&lt;&gt;""),ABS(D8709-E8708),"")</f>
        <v/>
      </c>
    </row>
    <row r="8710">
      <c r="A8710" t="n">
        <v>8710</v>
      </c>
      <c r="B8710">
        <f>IF(INDEX('Data Entry'!$H$5:$BE$10004,8710-4,'Visual SPC'!$B$3)="",0,IF(AND(OR('Visual SPC'!$C$4="",'Data Entry'!$C8710&gt;='Visual SPC'!$C$4),OR('Visual SPC'!$E$4="",'Data Entry'!$C8710&lt;='Visual SPC'!$E$4),OR('Visual SPC'!$G$4="",'Data Entry'!$D8710='Visual SPC'!$G$4),OR('Visual SPC'!$I$4="",'Data Entry'!$E8710='Visual SPC'!$I$4),OR('Visual SPC'!$K$4="",'Data Entry'!$F8710='Visual SPC'!$K$4)),1,0))</f>
        <v/>
      </c>
      <c r="C8710">
        <f>C8709+B8710</f>
        <v/>
      </c>
      <c r="D8710">
        <f>IF(B8710=1,INDEX('Data Entry'!$H$5:$BE$10004,8710-4,'Visual SPC'!$B$3),"")</f>
        <v/>
      </c>
      <c r="E8710">
        <f>IF(B8710=1,D8710,E8709)</f>
        <v/>
      </c>
      <c r="F8710">
        <f>IF(AND(B8710=1,C8710&gt;1,E8709&lt;&gt;""),ABS(D8710-E8709),"")</f>
        <v/>
      </c>
    </row>
    <row r="8711">
      <c r="A8711" t="n">
        <v>8711</v>
      </c>
      <c r="B8711">
        <f>IF(INDEX('Data Entry'!$H$5:$BE$10004,8711-4,'Visual SPC'!$B$3)="",0,IF(AND(OR('Visual SPC'!$C$4="",'Data Entry'!$C8711&gt;='Visual SPC'!$C$4),OR('Visual SPC'!$E$4="",'Data Entry'!$C8711&lt;='Visual SPC'!$E$4),OR('Visual SPC'!$G$4="",'Data Entry'!$D8711='Visual SPC'!$G$4),OR('Visual SPC'!$I$4="",'Data Entry'!$E8711='Visual SPC'!$I$4),OR('Visual SPC'!$K$4="",'Data Entry'!$F8711='Visual SPC'!$K$4)),1,0))</f>
        <v/>
      </c>
      <c r="C8711">
        <f>C8710+B8711</f>
        <v/>
      </c>
      <c r="D8711">
        <f>IF(B8711=1,INDEX('Data Entry'!$H$5:$BE$10004,8711-4,'Visual SPC'!$B$3),"")</f>
        <v/>
      </c>
      <c r="E8711">
        <f>IF(B8711=1,D8711,E8710)</f>
        <v/>
      </c>
      <c r="F8711">
        <f>IF(AND(B8711=1,C8711&gt;1,E8710&lt;&gt;""),ABS(D8711-E8710),"")</f>
        <v/>
      </c>
    </row>
    <row r="8712">
      <c r="A8712" t="n">
        <v>8712</v>
      </c>
      <c r="B8712">
        <f>IF(INDEX('Data Entry'!$H$5:$BE$10004,8712-4,'Visual SPC'!$B$3)="",0,IF(AND(OR('Visual SPC'!$C$4="",'Data Entry'!$C8712&gt;='Visual SPC'!$C$4),OR('Visual SPC'!$E$4="",'Data Entry'!$C8712&lt;='Visual SPC'!$E$4),OR('Visual SPC'!$G$4="",'Data Entry'!$D8712='Visual SPC'!$G$4),OR('Visual SPC'!$I$4="",'Data Entry'!$E8712='Visual SPC'!$I$4),OR('Visual SPC'!$K$4="",'Data Entry'!$F8712='Visual SPC'!$K$4)),1,0))</f>
        <v/>
      </c>
      <c r="C8712">
        <f>C8711+B8712</f>
        <v/>
      </c>
      <c r="D8712">
        <f>IF(B8712=1,INDEX('Data Entry'!$H$5:$BE$10004,8712-4,'Visual SPC'!$B$3),"")</f>
        <v/>
      </c>
      <c r="E8712">
        <f>IF(B8712=1,D8712,E8711)</f>
        <v/>
      </c>
      <c r="F8712">
        <f>IF(AND(B8712=1,C8712&gt;1,E8711&lt;&gt;""),ABS(D8712-E8711),"")</f>
        <v/>
      </c>
    </row>
    <row r="8713">
      <c r="A8713" t="n">
        <v>8713</v>
      </c>
      <c r="B8713">
        <f>IF(INDEX('Data Entry'!$H$5:$BE$10004,8713-4,'Visual SPC'!$B$3)="",0,IF(AND(OR('Visual SPC'!$C$4="",'Data Entry'!$C8713&gt;='Visual SPC'!$C$4),OR('Visual SPC'!$E$4="",'Data Entry'!$C8713&lt;='Visual SPC'!$E$4),OR('Visual SPC'!$G$4="",'Data Entry'!$D8713='Visual SPC'!$G$4),OR('Visual SPC'!$I$4="",'Data Entry'!$E8713='Visual SPC'!$I$4),OR('Visual SPC'!$K$4="",'Data Entry'!$F8713='Visual SPC'!$K$4)),1,0))</f>
        <v/>
      </c>
      <c r="C8713">
        <f>C8712+B8713</f>
        <v/>
      </c>
      <c r="D8713">
        <f>IF(B8713=1,INDEX('Data Entry'!$H$5:$BE$10004,8713-4,'Visual SPC'!$B$3),"")</f>
        <v/>
      </c>
      <c r="E8713">
        <f>IF(B8713=1,D8713,E8712)</f>
        <v/>
      </c>
      <c r="F8713">
        <f>IF(AND(B8713=1,C8713&gt;1,E8712&lt;&gt;""),ABS(D8713-E8712),"")</f>
        <v/>
      </c>
    </row>
    <row r="8714">
      <c r="A8714" t="n">
        <v>8714</v>
      </c>
      <c r="B8714">
        <f>IF(INDEX('Data Entry'!$H$5:$BE$10004,8714-4,'Visual SPC'!$B$3)="",0,IF(AND(OR('Visual SPC'!$C$4="",'Data Entry'!$C8714&gt;='Visual SPC'!$C$4),OR('Visual SPC'!$E$4="",'Data Entry'!$C8714&lt;='Visual SPC'!$E$4),OR('Visual SPC'!$G$4="",'Data Entry'!$D8714='Visual SPC'!$G$4),OR('Visual SPC'!$I$4="",'Data Entry'!$E8714='Visual SPC'!$I$4),OR('Visual SPC'!$K$4="",'Data Entry'!$F8714='Visual SPC'!$K$4)),1,0))</f>
        <v/>
      </c>
      <c r="C8714">
        <f>C8713+B8714</f>
        <v/>
      </c>
      <c r="D8714">
        <f>IF(B8714=1,INDEX('Data Entry'!$H$5:$BE$10004,8714-4,'Visual SPC'!$B$3),"")</f>
        <v/>
      </c>
      <c r="E8714">
        <f>IF(B8714=1,D8714,E8713)</f>
        <v/>
      </c>
      <c r="F8714">
        <f>IF(AND(B8714=1,C8714&gt;1,E8713&lt;&gt;""),ABS(D8714-E8713),"")</f>
        <v/>
      </c>
    </row>
    <row r="8715">
      <c r="A8715" t="n">
        <v>8715</v>
      </c>
      <c r="B8715">
        <f>IF(INDEX('Data Entry'!$H$5:$BE$10004,8715-4,'Visual SPC'!$B$3)="",0,IF(AND(OR('Visual SPC'!$C$4="",'Data Entry'!$C8715&gt;='Visual SPC'!$C$4),OR('Visual SPC'!$E$4="",'Data Entry'!$C8715&lt;='Visual SPC'!$E$4),OR('Visual SPC'!$G$4="",'Data Entry'!$D8715='Visual SPC'!$G$4),OR('Visual SPC'!$I$4="",'Data Entry'!$E8715='Visual SPC'!$I$4),OR('Visual SPC'!$K$4="",'Data Entry'!$F8715='Visual SPC'!$K$4)),1,0))</f>
        <v/>
      </c>
      <c r="C8715">
        <f>C8714+B8715</f>
        <v/>
      </c>
      <c r="D8715">
        <f>IF(B8715=1,INDEX('Data Entry'!$H$5:$BE$10004,8715-4,'Visual SPC'!$B$3),"")</f>
        <v/>
      </c>
      <c r="E8715">
        <f>IF(B8715=1,D8715,E8714)</f>
        <v/>
      </c>
      <c r="F8715">
        <f>IF(AND(B8715=1,C8715&gt;1,E8714&lt;&gt;""),ABS(D8715-E8714),"")</f>
        <v/>
      </c>
    </row>
    <row r="8716">
      <c r="A8716" t="n">
        <v>8716</v>
      </c>
      <c r="B8716">
        <f>IF(INDEX('Data Entry'!$H$5:$BE$10004,8716-4,'Visual SPC'!$B$3)="",0,IF(AND(OR('Visual SPC'!$C$4="",'Data Entry'!$C8716&gt;='Visual SPC'!$C$4),OR('Visual SPC'!$E$4="",'Data Entry'!$C8716&lt;='Visual SPC'!$E$4),OR('Visual SPC'!$G$4="",'Data Entry'!$D8716='Visual SPC'!$G$4),OR('Visual SPC'!$I$4="",'Data Entry'!$E8716='Visual SPC'!$I$4),OR('Visual SPC'!$K$4="",'Data Entry'!$F8716='Visual SPC'!$K$4)),1,0))</f>
        <v/>
      </c>
      <c r="C8716">
        <f>C8715+B8716</f>
        <v/>
      </c>
      <c r="D8716">
        <f>IF(B8716=1,INDEX('Data Entry'!$H$5:$BE$10004,8716-4,'Visual SPC'!$B$3),"")</f>
        <v/>
      </c>
      <c r="E8716">
        <f>IF(B8716=1,D8716,E8715)</f>
        <v/>
      </c>
      <c r="F8716">
        <f>IF(AND(B8716=1,C8716&gt;1,E8715&lt;&gt;""),ABS(D8716-E8715),"")</f>
        <v/>
      </c>
    </row>
    <row r="8717">
      <c r="A8717" t="n">
        <v>8717</v>
      </c>
      <c r="B8717">
        <f>IF(INDEX('Data Entry'!$H$5:$BE$10004,8717-4,'Visual SPC'!$B$3)="",0,IF(AND(OR('Visual SPC'!$C$4="",'Data Entry'!$C8717&gt;='Visual SPC'!$C$4),OR('Visual SPC'!$E$4="",'Data Entry'!$C8717&lt;='Visual SPC'!$E$4),OR('Visual SPC'!$G$4="",'Data Entry'!$D8717='Visual SPC'!$G$4),OR('Visual SPC'!$I$4="",'Data Entry'!$E8717='Visual SPC'!$I$4),OR('Visual SPC'!$K$4="",'Data Entry'!$F8717='Visual SPC'!$K$4)),1,0))</f>
        <v/>
      </c>
      <c r="C8717">
        <f>C8716+B8717</f>
        <v/>
      </c>
      <c r="D8717">
        <f>IF(B8717=1,INDEX('Data Entry'!$H$5:$BE$10004,8717-4,'Visual SPC'!$B$3),"")</f>
        <v/>
      </c>
      <c r="E8717">
        <f>IF(B8717=1,D8717,E8716)</f>
        <v/>
      </c>
      <c r="F8717">
        <f>IF(AND(B8717=1,C8717&gt;1,E8716&lt;&gt;""),ABS(D8717-E8716),"")</f>
        <v/>
      </c>
    </row>
    <row r="8718">
      <c r="A8718" t="n">
        <v>8718</v>
      </c>
      <c r="B8718">
        <f>IF(INDEX('Data Entry'!$H$5:$BE$10004,8718-4,'Visual SPC'!$B$3)="",0,IF(AND(OR('Visual SPC'!$C$4="",'Data Entry'!$C8718&gt;='Visual SPC'!$C$4),OR('Visual SPC'!$E$4="",'Data Entry'!$C8718&lt;='Visual SPC'!$E$4),OR('Visual SPC'!$G$4="",'Data Entry'!$D8718='Visual SPC'!$G$4),OR('Visual SPC'!$I$4="",'Data Entry'!$E8718='Visual SPC'!$I$4),OR('Visual SPC'!$K$4="",'Data Entry'!$F8718='Visual SPC'!$K$4)),1,0))</f>
        <v/>
      </c>
      <c r="C8718">
        <f>C8717+B8718</f>
        <v/>
      </c>
      <c r="D8718">
        <f>IF(B8718=1,INDEX('Data Entry'!$H$5:$BE$10004,8718-4,'Visual SPC'!$B$3),"")</f>
        <v/>
      </c>
      <c r="E8718">
        <f>IF(B8718=1,D8718,E8717)</f>
        <v/>
      </c>
      <c r="F8718">
        <f>IF(AND(B8718=1,C8718&gt;1,E8717&lt;&gt;""),ABS(D8718-E8717),"")</f>
        <v/>
      </c>
    </row>
    <row r="8719">
      <c r="A8719" t="n">
        <v>8719</v>
      </c>
      <c r="B8719">
        <f>IF(INDEX('Data Entry'!$H$5:$BE$10004,8719-4,'Visual SPC'!$B$3)="",0,IF(AND(OR('Visual SPC'!$C$4="",'Data Entry'!$C8719&gt;='Visual SPC'!$C$4),OR('Visual SPC'!$E$4="",'Data Entry'!$C8719&lt;='Visual SPC'!$E$4),OR('Visual SPC'!$G$4="",'Data Entry'!$D8719='Visual SPC'!$G$4),OR('Visual SPC'!$I$4="",'Data Entry'!$E8719='Visual SPC'!$I$4),OR('Visual SPC'!$K$4="",'Data Entry'!$F8719='Visual SPC'!$K$4)),1,0))</f>
        <v/>
      </c>
      <c r="C8719">
        <f>C8718+B8719</f>
        <v/>
      </c>
      <c r="D8719">
        <f>IF(B8719=1,INDEX('Data Entry'!$H$5:$BE$10004,8719-4,'Visual SPC'!$B$3),"")</f>
        <v/>
      </c>
      <c r="E8719">
        <f>IF(B8719=1,D8719,E8718)</f>
        <v/>
      </c>
      <c r="F8719">
        <f>IF(AND(B8719=1,C8719&gt;1,E8718&lt;&gt;""),ABS(D8719-E8718),"")</f>
        <v/>
      </c>
    </row>
    <row r="8720">
      <c r="A8720" t="n">
        <v>8720</v>
      </c>
      <c r="B8720">
        <f>IF(INDEX('Data Entry'!$H$5:$BE$10004,8720-4,'Visual SPC'!$B$3)="",0,IF(AND(OR('Visual SPC'!$C$4="",'Data Entry'!$C8720&gt;='Visual SPC'!$C$4),OR('Visual SPC'!$E$4="",'Data Entry'!$C8720&lt;='Visual SPC'!$E$4),OR('Visual SPC'!$G$4="",'Data Entry'!$D8720='Visual SPC'!$G$4),OR('Visual SPC'!$I$4="",'Data Entry'!$E8720='Visual SPC'!$I$4),OR('Visual SPC'!$K$4="",'Data Entry'!$F8720='Visual SPC'!$K$4)),1,0))</f>
        <v/>
      </c>
      <c r="C8720">
        <f>C8719+B8720</f>
        <v/>
      </c>
      <c r="D8720">
        <f>IF(B8720=1,INDEX('Data Entry'!$H$5:$BE$10004,8720-4,'Visual SPC'!$B$3),"")</f>
        <v/>
      </c>
      <c r="E8720">
        <f>IF(B8720=1,D8720,E8719)</f>
        <v/>
      </c>
      <c r="F8720">
        <f>IF(AND(B8720=1,C8720&gt;1,E8719&lt;&gt;""),ABS(D8720-E8719),"")</f>
        <v/>
      </c>
    </row>
    <row r="8721">
      <c r="A8721" t="n">
        <v>8721</v>
      </c>
      <c r="B8721">
        <f>IF(INDEX('Data Entry'!$H$5:$BE$10004,8721-4,'Visual SPC'!$B$3)="",0,IF(AND(OR('Visual SPC'!$C$4="",'Data Entry'!$C8721&gt;='Visual SPC'!$C$4),OR('Visual SPC'!$E$4="",'Data Entry'!$C8721&lt;='Visual SPC'!$E$4),OR('Visual SPC'!$G$4="",'Data Entry'!$D8721='Visual SPC'!$G$4),OR('Visual SPC'!$I$4="",'Data Entry'!$E8721='Visual SPC'!$I$4),OR('Visual SPC'!$K$4="",'Data Entry'!$F8721='Visual SPC'!$K$4)),1,0))</f>
        <v/>
      </c>
      <c r="C8721">
        <f>C8720+B8721</f>
        <v/>
      </c>
      <c r="D8721">
        <f>IF(B8721=1,INDEX('Data Entry'!$H$5:$BE$10004,8721-4,'Visual SPC'!$B$3),"")</f>
        <v/>
      </c>
      <c r="E8721">
        <f>IF(B8721=1,D8721,E8720)</f>
        <v/>
      </c>
      <c r="F8721">
        <f>IF(AND(B8721=1,C8721&gt;1,E8720&lt;&gt;""),ABS(D8721-E8720),"")</f>
        <v/>
      </c>
    </row>
    <row r="8722">
      <c r="A8722" t="n">
        <v>8722</v>
      </c>
      <c r="B8722">
        <f>IF(INDEX('Data Entry'!$H$5:$BE$10004,8722-4,'Visual SPC'!$B$3)="",0,IF(AND(OR('Visual SPC'!$C$4="",'Data Entry'!$C8722&gt;='Visual SPC'!$C$4),OR('Visual SPC'!$E$4="",'Data Entry'!$C8722&lt;='Visual SPC'!$E$4),OR('Visual SPC'!$G$4="",'Data Entry'!$D8722='Visual SPC'!$G$4),OR('Visual SPC'!$I$4="",'Data Entry'!$E8722='Visual SPC'!$I$4),OR('Visual SPC'!$K$4="",'Data Entry'!$F8722='Visual SPC'!$K$4)),1,0))</f>
        <v/>
      </c>
      <c r="C8722">
        <f>C8721+B8722</f>
        <v/>
      </c>
      <c r="D8722">
        <f>IF(B8722=1,INDEX('Data Entry'!$H$5:$BE$10004,8722-4,'Visual SPC'!$B$3),"")</f>
        <v/>
      </c>
      <c r="E8722">
        <f>IF(B8722=1,D8722,E8721)</f>
        <v/>
      </c>
      <c r="F8722">
        <f>IF(AND(B8722=1,C8722&gt;1,E8721&lt;&gt;""),ABS(D8722-E8721),"")</f>
        <v/>
      </c>
    </row>
    <row r="8723">
      <c r="A8723" t="n">
        <v>8723</v>
      </c>
      <c r="B8723">
        <f>IF(INDEX('Data Entry'!$H$5:$BE$10004,8723-4,'Visual SPC'!$B$3)="",0,IF(AND(OR('Visual SPC'!$C$4="",'Data Entry'!$C8723&gt;='Visual SPC'!$C$4),OR('Visual SPC'!$E$4="",'Data Entry'!$C8723&lt;='Visual SPC'!$E$4),OR('Visual SPC'!$G$4="",'Data Entry'!$D8723='Visual SPC'!$G$4),OR('Visual SPC'!$I$4="",'Data Entry'!$E8723='Visual SPC'!$I$4),OR('Visual SPC'!$K$4="",'Data Entry'!$F8723='Visual SPC'!$K$4)),1,0))</f>
        <v/>
      </c>
      <c r="C8723">
        <f>C8722+B8723</f>
        <v/>
      </c>
      <c r="D8723">
        <f>IF(B8723=1,INDEX('Data Entry'!$H$5:$BE$10004,8723-4,'Visual SPC'!$B$3),"")</f>
        <v/>
      </c>
      <c r="E8723">
        <f>IF(B8723=1,D8723,E8722)</f>
        <v/>
      </c>
      <c r="F8723">
        <f>IF(AND(B8723=1,C8723&gt;1,E8722&lt;&gt;""),ABS(D8723-E8722),"")</f>
        <v/>
      </c>
    </row>
    <row r="8724">
      <c r="A8724" t="n">
        <v>8724</v>
      </c>
      <c r="B8724">
        <f>IF(INDEX('Data Entry'!$H$5:$BE$10004,8724-4,'Visual SPC'!$B$3)="",0,IF(AND(OR('Visual SPC'!$C$4="",'Data Entry'!$C8724&gt;='Visual SPC'!$C$4),OR('Visual SPC'!$E$4="",'Data Entry'!$C8724&lt;='Visual SPC'!$E$4),OR('Visual SPC'!$G$4="",'Data Entry'!$D8724='Visual SPC'!$G$4),OR('Visual SPC'!$I$4="",'Data Entry'!$E8724='Visual SPC'!$I$4),OR('Visual SPC'!$K$4="",'Data Entry'!$F8724='Visual SPC'!$K$4)),1,0))</f>
        <v/>
      </c>
      <c r="C8724">
        <f>C8723+B8724</f>
        <v/>
      </c>
      <c r="D8724">
        <f>IF(B8724=1,INDEX('Data Entry'!$H$5:$BE$10004,8724-4,'Visual SPC'!$B$3),"")</f>
        <v/>
      </c>
      <c r="E8724">
        <f>IF(B8724=1,D8724,E8723)</f>
        <v/>
      </c>
      <c r="F8724">
        <f>IF(AND(B8724=1,C8724&gt;1,E8723&lt;&gt;""),ABS(D8724-E8723),"")</f>
        <v/>
      </c>
    </row>
    <row r="8725">
      <c r="A8725" t="n">
        <v>8725</v>
      </c>
      <c r="B8725">
        <f>IF(INDEX('Data Entry'!$H$5:$BE$10004,8725-4,'Visual SPC'!$B$3)="",0,IF(AND(OR('Visual SPC'!$C$4="",'Data Entry'!$C8725&gt;='Visual SPC'!$C$4),OR('Visual SPC'!$E$4="",'Data Entry'!$C8725&lt;='Visual SPC'!$E$4),OR('Visual SPC'!$G$4="",'Data Entry'!$D8725='Visual SPC'!$G$4),OR('Visual SPC'!$I$4="",'Data Entry'!$E8725='Visual SPC'!$I$4),OR('Visual SPC'!$K$4="",'Data Entry'!$F8725='Visual SPC'!$K$4)),1,0))</f>
        <v/>
      </c>
      <c r="C8725">
        <f>C8724+B8725</f>
        <v/>
      </c>
      <c r="D8725">
        <f>IF(B8725=1,INDEX('Data Entry'!$H$5:$BE$10004,8725-4,'Visual SPC'!$B$3),"")</f>
        <v/>
      </c>
      <c r="E8725">
        <f>IF(B8725=1,D8725,E8724)</f>
        <v/>
      </c>
      <c r="F8725">
        <f>IF(AND(B8725=1,C8725&gt;1,E8724&lt;&gt;""),ABS(D8725-E8724),"")</f>
        <v/>
      </c>
    </row>
    <row r="8726">
      <c r="A8726" t="n">
        <v>8726</v>
      </c>
      <c r="B8726">
        <f>IF(INDEX('Data Entry'!$H$5:$BE$10004,8726-4,'Visual SPC'!$B$3)="",0,IF(AND(OR('Visual SPC'!$C$4="",'Data Entry'!$C8726&gt;='Visual SPC'!$C$4),OR('Visual SPC'!$E$4="",'Data Entry'!$C8726&lt;='Visual SPC'!$E$4),OR('Visual SPC'!$G$4="",'Data Entry'!$D8726='Visual SPC'!$G$4),OR('Visual SPC'!$I$4="",'Data Entry'!$E8726='Visual SPC'!$I$4),OR('Visual SPC'!$K$4="",'Data Entry'!$F8726='Visual SPC'!$K$4)),1,0))</f>
        <v/>
      </c>
      <c r="C8726">
        <f>C8725+B8726</f>
        <v/>
      </c>
      <c r="D8726">
        <f>IF(B8726=1,INDEX('Data Entry'!$H$5:$BE$10004,8726-4,'Visual SPC'!$B$3),"")</f>
        <v/>
      </c>
      <c r="E8726">
        <f>IF(B8726=1,D8726,E8725)</f>
        <v/>
      </c>
      <c r="F8726">
        <f>IF(AND(B8726=1,C8726&gt;1,E8725&lt;&gt;""),ABS(D8726-E8725),"")</f>
        <v/>
      </c>
    </row>
    <row r="8727">
      <c r="A8727" t="n">
        <v>8727</v>
      </c>
      <c r="B8727">
        <f>IF(INDEX('Data Entry'!$H$5:$BE$10004,8727-4,'Visual SPC'!$B$3)="",0,IF(AND(OR('Visual SPC'!$C$4="",'Data Entry'!$C8727&gt;='Visual SPC'!$C$4),OR('Visual SPC'!$E$4="",'Data Entry'!$C8727&lt;='Visual SPC'!$E$4),OR('Visual SPC'!$G$4="",'Data Entry'!$D8727='Visual SPC'!$G$4),OR('Visual SPC'!$I$4="",'Data Entry'!$E8727='Visual SPC'!$I$4),OR('Visual SPC'!$K$4="",'Data Entry'!$F8727='Visual SPC'!$K$4)),1,0))</f>
        <v/>
      </c>
      <c r="C8727">
        <f>C8726+B8727</f>
        <v/>
      </c>
      <c r="D8727">
        <f>IF(B8727=1,INDEX('Data Entry'!$H$5:$BE$10004,8727-4,'Visual SPC'!$B$3),"")</f>
        <v/>
      </c>
      <c r="E8727">
        <f>IF(B8727=1,D8727,E8726)</f>
        <v/>
      </c>
      <c r="F8727">
        <f>IF(AND(B8727=1,C8727&gt;1,E8726&lt;&gt;""),ABS(D8727-E8726),"")</f>
        <v/>
      </c>
    </row>
    <row r="8728">
      <c r="A8728" t="n">
        <v>8728</v>
      </c>
      <c r="B8728">
        <f>IF(INDEX('Data Entry'!$H$5:$BE$10004,8728-4,'Visual SPC'!$B$3)="",0,IF(AND(OR('Visual SPC'!$C$4="",'Data Entry'!$C8728&gt;='Visual SPC'!$C$4),OR('Visual SPC'!$E$4="",'Data Entry'!$C8728&lt;='Visual SPC'!$E$4),OR('Visual SPC'!$G$4="",'Data Entry'!$D8728='Visual SPC'!$G$4),OR('Visual SPC'!$I$4="",'Data Entry'!$E8728='Visual SPC'!$I$4),OR('Visual SPC'!$K$4="",'Data Entry'!$F8728='Visual SPC'!$K$4)),1,0))</f>
        <v/>
      </c>
      <c r="C8728">
        <f>C8727+B8728</f>
        <v/>
      </c>
      <c r="D8728">
        <f>IF(B8728=1,INDEX('Data Entry'!$H$5:$BE$10004,8728-4,'Visual SPC'!$B$3),"")</f>
        <v/>
      </c>
      <c r="E8728">
        <f>IF(B8728=1,D8728,E8727)</f>
        <v/>
      </c>
      <c r="F8728">
        <f>IF(AND(B8728=1,C8728&gt;1,E8727&lt;&gt;""),ABS(D8728-E8727),"")</f>
        <v/>
      </c>
    </row>
    <row r="8729">
      <c r="A8729" t="n">
        <v>8729</v>
      </c>
      <c r="B8729">
        <f>IF(INDEX('Data Entry'!$H$5:$BE$10004,8729-4,'Visual SPC'!$B$3)="",0,IF(AND(OR('Visual SPC'!$C$4="",'Data Entry'!$C8729&gt;='Visual SPC'!$C$4),OR('Visual SPC'!$E$4="",'Data Entry'!$C8729&lt;='Visual SPC'!$E$4),OR('Visual SPC'!$G$4="",'Data Entry'!$D8729='Visual SPC'!$G$4),OR('Visual SPC'!$I$4="",'Data Entry'!$E8729='Visual SPC'!$I$4),OR('Visual SPC'!$K$4="",'Data Entry'!$F8729='Visual SPC'!$K$4)),1,0))</f>
        <v/>
      </c>
      <c r="C8729">
        <f>C8728+B8729</f>
        <v/>
      </c>
      <c r="D8729">
        <f>IF(B8729=1,INDEX('Data Entry'!$H$5:$BE$10004,8729-4,'Visual SPC'!$B$3),"")</f>
        <v/>
      </c>
      <c r="E8729">
        <f>IF(B8729=1,D8729,E8728)</f>
        <v/>
      </c>
      <c r="F8729">
        <f>IF(AND(B8729=1,C8729&gt;1,E8728&lt;&gt;""),ABS(D8729-E8728),"")</f>
        <v/>
      </c>
    </row>
    <row r="8730">
      <c r="A8730" t="n">
        <v>8730</v>
      </c>
      <c r="B8730">
        <f>IF(INDEX('Data Entry'!$H$5:$BE$10004,8730-4,'Visual SPC'!$B$3)="",0,IF(AND(OR('Visual SPC'!$C$4="",'Data Entry'!$C8730&gt;='Visual SPC'!$C$4),OR('Visual SPC'!$E$4="",'Data Entry'!$C8730&lt;='Visual SPC'!$E$4),OR('Visual SPC'!$G$4="",'Data Entry'!$D8730='Visual SPC'!$G$4),OR('Visual SPC'!$I$4="",'Data Entry'!$E8730='Visual SPC'!$I$4),OR('Visual SPC'!$K$4="",'Data Entry'!$F8730='Visual SPC'!$K$4)),1,0))</f>
        <v/>
      </c>
      <c r="C8730">
        <f>C8729+B8730</f>
        <v/>
      </c>
      <c r="D8730">
        <f>IF(B8730=1,INDEX('Data Entry'!$H$5:$BE$10004,8730-4,'Visual SPC'!$B$3),"")</f>
        <v/>
      </c>
      <c r="E8730">
        <f>IF(B8730=1,D8730,E8729)</f>
        <v/>
      </c>
      <c r="F8730">
        <f>IF(AND(B8730=1,C8730&gt;1,E8729&lt;&gt;""),ABS(D8730-E8729),"")</f>
        <v/>
      </c>
    </row>
    <row r="8731">
      <c r="A8731" t="n">
        <v>8731</v>
      </c>
      <c r="B8731">
        <f>IF(INDEX('Data Entry'!$H$5:$BE$10004,8731-4,'Visual SPC'!$B$3)="",0,IF(AND(OR('Visual SPC'!$C$4="",'Data Entry'!$C8731&gt;='Visual SPC'!$C$4),OR('Visual SPC'!$E$4="",'Data Entry'!$C8731&lt;='Visual SPC'!$E$4),OR('Visual SPC'!$G$4="",'Data Entry'!$D8731='Visual SPC'!$G$4),OR('Visual SPC'!$I$4="",'Data Entry'!$E8731='Visual SPC'!$I$4),OR('Visual SPC'!$K$4="",'Data Entry'!$F8731='Visual SPC'!$K$4)),1,0))</f>
        <v/>
      </c>
      <c r="C8731">
        <f>C8730+B8731</f>
        <v/>
      </c>
      <c r="D8731">
        <f>IF(B8731=1,INDEX('Data Entry'!$H$5:$BE$10004,8731-4,'Visual SPC'!$B$3),"")</f>
        <v/>
      </c>
      <c r="E8731">
        <f>IF(B8731=1,D8731,E8730)</f>
        <v/>
      </c>
      <c r="F8731">
        <f>IF(AND(B8731=1,C8731&gt;1,E8730&lt;&gt;""),ABS(D8731-E8730),"")</f>
        <v/>
      </c>
    </row>
    <row r="8732">
      <c r="A8732" t="n">
        <v>8732</v>
      </c>
      <c r="B8732">
        <f>IF(INDEX('Data Entry'!$H$5:$BE$10004,8732-4,'Visual SPC'!$B$3)="",0,IF(AND(OR('Visual SPC'!$C$4="",'Data Entry'!$C8732&gt;='Visual SPC'!$C$4),OR('Visual SPC'!$E$4="",'Data Entry'!$C8732&lt;='Visual SPC'!$E$4),OR('Visual SPC'!$G$4="",'Data Entry'!$D8732='Visual SPC'!$G$4),OR('Visual SPC'!$I$4="",'Data Entry'!$E8732='Visual SPC'!$I$4),OR('Visual SPC'!$K$4="",'Data Entry'!$F8732='Visual SPC'!$K$4)),1,0))</f>
        <v/>
      </c>
      <c r="C8732">
        <f>C8731+B8732</f>
        <v/>
      </c>
      <c r="D8732">
        <f>IF(B8732=1,INDEX('Data Entry'!$H$5:$BE$10004,8732-4,'Visual SPC'!$B$3),"")</f>
        <v/>
      </c>
      <c r="E8732">
        <f>IF(B8732=1,D8732,E8731)</f>
        <v/>
      </c>
      <c r="F8732">
        <f>IF(AND(B8732=1,C8732&gt;1,E8731&lt;&gt;""),ABS(D8732-E8731),"")</f>
        <v/>
      </c>
    </row>
    <row r="8733">
      <c r="A8733" t="n">
        <v>8733</v>
      </c>
      <c r="B8733">
        <f>IF(INDEX('Data Entry'!$H$5:$BE$10004,8733-4,'Visual SPC'!$B$3)="",0,IF(AND(OR('Visual SPC'!$C$4="",'Data Entry'!$C8733&gt;='Visual SPC'!$C$4),OR('Visual SPC'!$E$4="",'Data Entry'!$C8733&lt;='Visual SPC'!$E$4),OR('Visual SPC'!$G$4="",'Data Entry'!$D8733='Visual SPC'!$G$4),OR('Visual SPC'!$I$4="",'Data Entry'!$E8733='Visual SPC'!$I$4),OR('Visual SPC'!$K$4="",'Data Entry'!$F8733='Visual SPC'!$K$4)),1,0))</f>
        <v/>
      </c>
      <c r="C8733">
        <f>C8732+B8733</f>
        <v/>
      </c>
      <c r="D8733">
        <f>IF(B8733=1,INDEX('Data Entry'!$H$5:$BE$10004,8733-4,'Visual SPC'!$B$3),"")</f>
        <v/>
      </c>
      <c r="E8733">
        <f>IF(B8733=1,D8733,E8732)</f>
        <v/>
      </c>
      <c r="F8733">
        <f>IF(AND(B8733=1,C8733&gt;1,E8732&lt;&gt;""),ABS(D8733-E8732),"")</f>
        <v/>
      </c>
    </row>
    <row r="8734">
      <c r="A8734" t="n">
        <v>8734</v>
      </c>
      <c r="B8734">
        <f>IF(INDEX('Data Entry'!$H$5:$BE$10004,8734-4,'Visual SPC'!$B$3)="",0,IF(AND(OR('Visual SPC'!$C$4="",'Data Entry'!$C8734&gt;='Visual SPC'!$C$4),OR('Visual SPC'!$E$4="",'Data Entry'!$C8734&lt;='Visual SPC'!$E$4),OR('Visual SPC'!$G$4="",'Data Entry'!$D8734='Visual SPC'!$G$4),OR('Visual SPC'!$I$4="",'Data Entry'!$E8734='Visual SPC'!$I$4),OR('Visual SPC'!$K$4="",'Data Entry'!$F8734='Visual SPC'!$K$4)),1,0))</f>
        <v/>
      </c>
      <c r="C8734">
        <f>C8733+B8734</f>
        <v/>
      </c>
      <c r="D8734">
        <f>IF(B8734=1,INDEX('Data Entry'!$H$5:$BE$10004,8734-4,'Visual SPC'!$B$3),"")</f>
        <v/>
      </c>
      <c r="E8734">
        <f>IF(B8734=1,D8734,E8733)</f>
        <v/>
      </c>
      <c r="F8734">
        <f>IF(AND(B8734=1,C8734&gt;1,E8733&lt;&gt;""),ABS(D8734-E8733),"")</f>
        <v/>
      </c>
    </row>
    <row r="8735">
      <c r="A8735" t="n">
        <v>8735</v>
      </c>
      <c r="B8735">
        <f>IF(INDEX('Data Entry'!$H$5:$BE$10004,8735-4,'Visual SPC'!$B$3)="",0,IF(AND(OR('Visual SPC'!$C$4="",'Data Entry'!$C8735&gt;='Visual SPC'!$C$4),OR('Visual SPC'!$E$4="",'Data Entry'!$C8735&lt;='Visual SPC'!$E$4),OR('Visual SPC'!$G$4="",'Data Entry'!$D8735='Visual SPC'!$G$4),OR('Visual SPC'!$I$4="",'Data Entry'!$E8735='Visual SPC'!$I$4),OR('Visual SPC'!$K$4="",'Data Entry'!$F8735='Visual SPC'!$K$4)),1,0))</f>
        <v/>
      </c>
      <c r="C8735">
        <f>C8734+B8735</f>
        <v/>
      </c>
      <c r="D8735">
        <f>IF(B8735=1,INDEX('Data Entry'!$H$5:$BE$10004,8735-4,'Visual SPC'!$B$3),"")</f>
        <v/>
      </c>
      <c r="E8735">
        <f>IF(B8735=1,D8735,E8734)</f>
        <v/>
      </c>
      <c r="F8735">
        <f>IF(AND(B8735=1,C8735&gt;1,E8734&lt;&gt;""),ABS(D8735-E8734),"")</f>
        <v/>
      </c>
    </row>
    <row r="8736">
      <c r="A8736" t="n">
        <v>8736</v>
      </c>
      <c r="B8736">
        <f>IF(INDEX('Data Entry'!$H$5:$BE$10004,8736-4,'Visual SPC'!$B$3)="",0,IF(AND(OR('Visual SPC'!$C$4="",'Data Entry'!$C8736&gt;='Visual SPC'!$C$4),OR('Visual SPC'!$E$4="",'Data Entry'!$C8736&lt;='Visual SPC'!$E$4),OR('Visual SPC'!$G$4="",'Data Entry'!$D8736='Visual SPC'!$G$4),OR('Visual SPC'!$I$4="",'Data Entry'!$E8736='Visual SPC'!$I$4),OR('Visual SPC'!$K$4="",'Data Entry'!$F8736='Visual SPC'!$K$4)),1,0))</f>
        <v/>
      </c>
      <c r="C8736">
        <f>C8735+B8736</f>
        <v/>
      </c>
      <c r="D8736">
        <f>IF(B8736=1,INDEX('Data Entry'!$H$5:$BE$10004,8736-4,'Visual SPC'!$B$3),"")</f>
        <v/>
      </c>
      <c r="E8736">
        <f>IF(B8736=1,D8736,E8735)</f>
        <v/>
      </c>
      <c r="F8736">
        <f>IF(AND(B8736=1,C8736&gt;1,E8735&lt;&gt;""),ABS(D8736-E8735),"")</f>
        <v/>
      </c>
    </row>
    <row r="8737">
      <c r="A8737" t="n">
        <v>8737</v>
      </c>
      <c r="B8737">
        <f>IF(INDEX('Data Entry'!$H$5:$BE$10004,8737-4,'Visual SPC'!$B$3)="",0,IF(AND(OR('Visual SPC'!$C$4="",'Data Entry'!$C8737&gt;='Visual SPC'!$C$4),OR('Visual SPC'!$E$4="",'Data Entry'!$C8737&lt;='Visual SPC'!$E$4),OR('Visual SPC'!$G$4="",'Data Entry'!$D8737='Visual SPC'!$G$4),OR('Visual SPC'!$I$4="",'Data Entry'!$E8737='Visual SPC'!$I$4),OR('Visual SPC'!$K$4="",'Data Entry'!$F8737='Visual SPC'!$K$4)),1,0))</f>
        <v/>
      </c>
      <c r="C8737">
        <f>C8736+B8737</f>
        <v/>
      </c>
      <c r="D8737">
        <f>IF(B8737=1,INDEX('Data Entry'!$H$5:$BE$10004,8737-4,'Visual SPC'!$B$3),"")</f>
        <v/>
      </c>
      <c r="E8737">
        <f>IF(B8737=1,D8737,E8736)</f>
        <v/>
      </c>
      <c r="F8737">
        <f>IF(AND(B8737=1,C8737&gt;1,E8736&lt;&gt;""),ABS(D8737-E8736),"")</f>
        <v/>
      </c>
    </row>
    <row r="8738">
      <c r="A8738" t="n">
        <v>8738</v>
      </c>
      <c r="B8738">
        <f>IF(INDEX('Data Entry'!$H$5:$BE$10004,8738-4,'Visual SPC'!$B$3)="",0,IF(AND(OR('Visual SPC'!$C$4="",'Data Entry'!$C8738&gt;='Visual SPC'!$C$4),OR('Visual SPC'!$E$4="",'Data Entry'!$C8738&lt;='Visual SPC'!$E$4),OR('Visual SPC'!$G$4="",'Data Entry'!$D8738='Visual SPC'!$G$4),OR('Visual SPC'!$I$4="",'Data Entry'!$E8738='Visual SPC'!$I$4),OR('Visual SPC'!$K$4="",'Data Entry'!$F8738='Visual SPC'!$K$4)),1,0))</f>
        <v/>
      </c>
      <c r="C8738">
        <f>C8737+B8738</f>
        <v/>
      </c>
      <c r="D8738">
        <f>IF(B8738=1,INDEX('Data Entry'!$H$5:$BE$10004,8738-4,'Visual SPC'!$B$3),"")</f>
        <v/>
      </c>
      <c r="E8738">
        <f>IF(B8738=1,D8738,E8737)</f>
        <v/>
      </c>
      <c r="F8738">
        <f>IF(AND(B8738=1,C8738&gt;1,E8737&lt;&gt;""),ABS(D8738-E8737),"")</f>
        <v/>
      </c>
    </row>
    <row r="8739">
      <c r="A8739" t="n">
        <v>8739</v>
      </c>
      <c r="B8739">
        <f>IF(INDEX('Data Entry'!$H$5:$BE$10004,8739-4,'Visual SPC'!$B$3)="",0,IF(AND(OR('Visual SPC'!$C$4="",'Data Entry'!$C8739&gt;='Visual SPC'!$C$4),OR('Visual SPC'!$E$4="",'Data Entry'!$C8739&lt;='Visual SPC'!$E$4),OR('Visual SPC'!$G$4="",'Data Entry'!$D8739='Visual SPC'!$G$4),OR('Visual SPC'!$I$4="",'Data Entry'!$E8739='Visual SPC'!$I$4),OR('Visual SPC'!$K$4="",'Data Entry'!$F8739='Visual SPC'!$K$4)),1,0))</f>
        <v/>
      </c>
      <c r="C8739">
        <f>C8738+B8739</f>
        <v/>
      </c>
      <c r="D8739">
        <f>IF(B8739=1,INDEX('Data Entry'!$H$5:$BE$10004,8739-4,'Visual SPC'!$B$3),"")</f>
        <v/>
      </c>
      <c r="E8739">
        <f>IF(B8739=1,D8739,E8738)</f>
        <v/>
      </c>
      <c r="F8739">
        <f>IF(AND(B8739=1,C8739&gt;1,E8738&lt;&gt;""),ABS(D8739-E8738),"")</f>
        <v/>
      </c>
    </row>
    <row r="8740">
      <c r="A8740" t="n">
        <v>8740</v>
      </c>
      <c r="B8740">
        <f>IF(INDEX('Data Entry'!$H$5:$BE$10004,8740-4,'Visual SPC'!$B$3)="",0,IF(AND(OR('Visual SPC'!$C$4="",'Data Entry'!$C8740&gt;='Visual SPC'!$C$4),OR('Visual SPC'!$E$4="",'Data Entry'!$C8740&lt;='Visual SPC'!$E$4),OR('Visual SPC'!$G$4="",'Data Entry'!$D8740='Visual SPC'!$G$4),OR('Visual SPC'!$I$4="",'Data Entry'!$E8740='Visual SPC'!$I$4),OR('Visual SPC'!$K$4="",'Data Entry'!$F8740='Visual SPC'!$K$4)),1,0))</f>
        <v/>
      </c>
      <c r="C8740">
        <f>C8739+B8740</f>
        <v/>
      </c>
      <c r="D8740">
        <f>IF(B8740=1,INDEX('Data Entry'!$H$5:$BE$10004,8740-4,'Visual SPC'!$B$3),"")</f>
        <v/>
      </c>
      <c r="E8740">
        <f>IF(B8740=1,D8740,E8739)</f>
        <v/>
      </c>
      <c r="F8740">
        <f>IF(AND(B8740=1,C8740&gt;1,E8739&lt;&gt;""),ABS(D8740-E8739),"")</f>
        <v/>
      </c>
    </row>
    <row r="8741">
      <c r="A8741" t="n">
        <v>8741</v>
      </c>
      <c r="B8741">
        <f>IF(INDEX('Data Entry'!$H$5:$BE$10004,8741-4,'Visual SPC'!$B$3)="",0,IF(AND(OR('Visual SPC'!$C$4="",'Data Entry'!$C8741&gt;='Visual SPC'!$C$4),OR('Visual SPC'!$E$4="",'Data Entry'!$C8741&lt;='Visual SPC'!$E$4),OR('Visual SPC'!$G$4="",'Data Entry'!$D8741='Visual SPC'!$G$4),OR('Visual SPC'!$I$4="",'Data Entry'!$E8741='Visual SPC'!$I$4),OR('Visual SPC'!$K$4="",'Data Entry'!$F8741='Visual SPC'!$K$4)),1,0))</f>
        <v/>
      </c>
      <c r="C8741">
        <f>C8740+B8741</f>
        <v/>
      </c>
      <c r="D8741">
        <f>IF(B8741=1,INDEX('Data Entry'!$H$5:$BE$10004,8741-4,'Visual SPC'!$B$3),"")</f>
        <v/>
      </c>
      <c r="E8741">
        <f>IF(B8741=1,D8741,E8740)</f>
        <v/>
      </c>
      <c r="F8741">
        <f>IF(AND(B8741=1,C8741&gt;1,E8740&lt;&gt;""),ABS(D8741-E8740),"")</f>
        <v/>
      </c>
    </row>
    <row r="8742">
      <c r="A8742" t="n">
        <v>8742</v>
      </c>
      <c r="B8742">
        <f>IF(INDEX('Data Entry'!$H$5:$BE$10004,8742-4,'Visual SPC'!$B$3)="",0,IF(AND(OR('Visual SPC'!$C$4="",'Data Entry'!$C8742&gt;='Visual SPC'!$C$4),OR('Visual SPC'!$E$4="",'Data Entry'!$C8742&lt;='Visual SPC'!$E$4),OR('Visual SPC'!$G$4="",'Data Entry'!$D8742='Visual SPC'!$G$4),OR('Visual SPC'!$I$4="",'Data Entry'!$E8742='Visual SPC'!$I$4),OR('Visual SPC'!$K$4="",'Data Entry'!$F8742='Visual SPC'!$K$4)),1,0))</f>
        <v/>
      </c>
      <c r="C8742">
        <f>C8741+B8742</f>
        <v/>
      </c>
      <c r="D8742">
        <f>IF(B8742=1,INDEX('Data Entry'!$H$5:$BE$10004,8742-4,'Visual SPC'!$B$3),"")</f>
        <v/>
      </c>
      <c r="E8742">
        <f>IF(B8742=1,D8742,E8741)</f>
        <v/>
      </c>
      <c r="F8742">
        <f>IF(AND(B8742=1,C8742&gt;1,E8741&lt;&gt;""),ABS(D8742-E8741),"")</f>
        <v/>
      </c>
    </row>
    <row r="8743">
      <c r="A8743" t="n">
        <v>8743</v>
      </c>
      <c r="B8743">
        <f>IF(INDEX('Data Entry'!$H$5:$BE$10004,8743-4,'Visual SPC'!$B$3)="",0,IF(AND(OR('Visual SPC'!$C$4="",'Data Entry'!$C8743&gt;='Visual SPC'!$C$4),OR('Visual SPC'!$E$4="",'Data Entry'!$C8743&lt;='Visual SPC'!$E$4),OR('Visual SPC'!$G$4="",'Data Entry'!$D8743='Visual SPC'!$G$4),OR('Visual SPC'!$I$4="",'Data Entry'!$E8743='Visual SPC'!$I$4),OR('Visual SPC'!$K$4="",'Data Entry'!$F8743='Visual SPC'!$K$4)),1,0))</f>
        <v/>
      </c>
      <c r="C8743">
        <f>C8742+B8743</f>
        <v/>
      </c>
      <c r="D8743">
        <f>IF(B8743=1,INDEX('Data Entry'!$H$5:$BE$10004,8743-4,'Visual SPC'!$B$3),"")</f>
        <v/>
      </c>
      <c r="E8743">
        <f>IF(B8743=1,D8743,E8742)</f>
        <v/>
      </c>
      <c r="F8743">
        <f>IF(AND(B8743=1,C8743&gt;1,E8742&lt;&gt;""),ABS(D8743-E8742),"")</f>
        <v/>
      </c>
    </row>
    <row r="8744">
      <c r="A8744" t="n">
        <v>8744</v>
      </c>
      <c r="B8744">
        <f>IF(INDEX('Data Entry'!$H$5:$BE$10004,8744-4,'Visual SPC'!$B$3)="",0,IF(AND(OR('Visual SPC'!$C$4="",'Data Entry'!$C8744&gt;='Visual SPC'!$C$4),OR('Visual SPC'!$E$4="",'Data Entry'!$C8744&lt;='Visual SPC'!$E$4),OR('Visual SPC'!$G$4="",'Data Entry'!$D8744='Visual SPC'!$G$4),OR('Visual SPC'!$I$4="",'Data Entry'!$E8744='Visual SPC'!$I$4),OR('Visual SPC'!$K$4="",'Data Entry'!$F8744='Visual SPC'!$K$4)),1,0))</f>
        <v/>
      </c>
      <c r="C8744">
        <f>C8743+B8744</f>
        <v/>
      </c>
      <c r="D8744">
        <f>IF(B8744=1,INDEX('Data Entry'!$H$5:$BE$10004,8744-4,'Visual SPC'!$B$3),"")</f>
        <v/>
      </c>
      <c r="E8744">
        <f>IF(B8744=1,D8744,E8743)</f>
        <v/>
      </c>
      <c r="F8744">
        <f>IF(AND(B8744=1,C8744&gt;1,E8743&lt;&gt;""),ABS(D8744-E8743),"")</f>
        <v/>
      </c>
    </row>
    <row r="8745">
      <c r="A8745" t="n">
        <v>8745</v>
      </c>
      <c r="B8745">
        <f>IF(INDEX('Data Entry'!$H$5:$BE$10004,8745-4,'Visual SPC'!$B$3)="",0,IF(AND(OR('Visual SPC'!$C$4="",'Data Entry'!$C8745&gt;='Visual SPC'!$C$4),OR('Visual SPC'!$E$4="",'Data Entry'!$C8745&lt;='Visual SPC'!$E$4),OR('Visual SPC'!$G$4="",'Data Entry'!$D8745='Visual SPC'!$G$4),OR('Visual SPC'!$I$4="",'Data Entry'!$E8745='Visual SPC'!$I$4),OR('Visual SPC'!$K$4="",'Data Entry'!$F8745='Visual SPC'!$K$4)),1,0))</f>
        <v/>
      </c>
      <c r="C8745">
        <f>C8744+B8745</f>
        <v/>
      </c>
      <c r="D8745">
        <f>IF(B8745=1,INDEX('Data Entry'!$H$5:$BE$10004,8745-4,'Visual SPC'!$B$3),"")</f>
        <v/>
      </c>
      <c r="E8745">
        <f>IF(B8745=1,D8745,E8744)</f>
        <v/>
      </c>
      <c r="F8745">
        <f>IF(AND(B8745=1,C8745&gt;1,E8744&lt;&gt;""),ABS(D8745-E8744),"")</f>
        <v/>
      </c>
    </row>
    <row r="8746">
      <c r="A8746" t="n">
        <v>8746</v>
      </c>
      <c r="B8746">
        <f>IF(INDEX('Data Entry'!$H$5:$BE$10004,8746-4,'Visual SPC'!$B$3)="",0,IF(AND(OR('Visual SPC'!$C$4="",'Data Entry'!$C8746&gt;='Visual SPC'!$C$4),OR('Visual SPC'!$E$4="",'Data Entry'!$C8746&lt;='Visual SPC'!$E$4),OR('Visual SPC'!$G$4="",'Data Entry'!$D8746='Visual SPC'!$G$4),OR('Visual SPC'!$I$4="",'Data Entry'!$E8746='Visual SPC'!$I$4),OR('Visual SPC'!$K$4="",'Data Entry'!$F8746='Visual SPC'!$K$4)),1,0))</f>
        <v/>
      </c>
      <c r="C8746">
        <f>C8745+B8746</f>
        <v/>
      </c>
      <c r="D8746">
        <f>IF(B8746=1,INDEX('Data Entry'!$H$5:$BE$10004,8746-4,'Visual SPC'!$B$3),"")</f>
        <v/>
      </c>
      <c r="E8746">
        <f>IF(B8746=1,D8746,E8745)</f>
        <v/>
      </c>
      <c r="F8746">
        <f>IF(AND(B8746=1,C8746&gt;1,E8745&lt;&gt;""),ABS(D8746-E8745),"")</f>
        <v/>
      </c>
    </row>
    <row r="8747">
      <c r="A8747" t="n">
        <v>8747</v>
      </c>
      <c r="B8747">
        <f>IF(INDEX('Data Entry'!$H$5:$BE$10004,8747-4,'Visual SPC'!$B$3)="",0,IF(AND(OR('Visual SPC'!$C$4="",'Data Entry'!$C8747&gt;='Visual SPC'!$C$4),OR('Visual SPC'!$E$4="",'Data Entry'!$C8747&lt;='Visual SPC'!$E$4),OR('Visual SPC'!$G$4="",'Data Entry'!$D8747='Visual SPC'!$G$4),OR('Visual SPC'!$I$4="",'Data Entry'!$E8747='Visual SPC'!$I$4),OR('Visual SPC'!$K$4="",'Data Entry'!$F8747='Visual SPC'!$K$4)),1,0))</f>
        <v/>
      </c>
      <c r="C8747">
        <f>C8746+B8747</f>
        <v/>
      </c>
      <c r="D8747">
        <f>IF(B8747=1,INDEX('Data Entry'!$H$5:$BE$10004,8747-4,'Visual SPC'!$B$3),"")</f>
        <v/>
      </c>
      <c r="E8747">
        <f>IF(B8747=1,D8747,E8746)</f>
        <v/>
      </c>
      <c r="F8747">
        <f>IF(AND(B8747=1,C8747&gt;1,E8746&lt;&gt;""),ABS(D8747-E8746),"")</f>
        <v/>
      </c>
    </row>
    <row r="8748">
      <c r="A8748" t="n">
        <v>8748</v>
      </c>
      <c r="B8748">
        <f>IF(INDEX('Data Entry'!$H$5:$BE$10004,8748-4,'Visual SPC'!$B$3)="",0,IF(AND(OR('Visual SPC'!$C$4="",'Data Entry'!$C8748&gt;='Visual SPC'!$C$4),OR('Visual SPC'!$E$4="",'Data Entry'!$C8748&lt;='Visual SPC'!$E$4),OR('Visual SPC'!$G$4="",'Data Entry'!$D8748='Visual SPC'!$G$4),OR('Visual SPC'!$I$4="",'Data Entry'!$E8748='Visual SPC'!$I$4),OR('Visual SPC'!$K$4="",'Data Entry'!$F8748='Visual SPC'!$K$4)),1,0))</f>
        <v/>
      </c>
      <c r="C8748">
        <f>C8747+B8748</f>
        <v/>
      </c>
      <c r="D8748">
        <f>IF(B8748=1,INDEX('Data Entry'!$H$5:$BE$10004,8748-4,'Visual SPC'!$B$3),"")</f>
        <v/>
      </c>
      <c r="E8748">
        <f>IF(B8748=1,D8748,E8747)</f>
        <v/>
      </c>
      <c r="F8748">
        <f>IF(AND(B8748=1,C8748&gt;1,E8747&lt;&gt;""),ABS(D8748-E8747),"")</f>
        <v/>
      </c>
    </row>
    <row r="8749">
      <c r="A8749" t="n">
        <v>8749</v>
      </c>
      <c r="B8749">
        <f>IF(INDEX('Data Entry'!$H$5:$BE$10004,8749-4,'Visual SPC'!$B$3)="",0,IF(AND(OR('Visual SPC'!$C$4="",'Data Entry'!$C8749&gt;='Visual SPC'!$C$4),OR('Visual SPC'!$E$4="",'Data Entry'!$C8749&lt;='Visual SPC'!$E$4),OR('Visual SPC'!$G$4="",'Data Entry'!$D8749='Visual SPC'!$G$4),OR('Visual SPC'!$I$4="",'Data Entry'!$E8749='Visual SPC'!$I$4),OR('Visual SPC'!$K$4="",'Data Entry'!$F8749='Visual SPC'!$K$4)),1,0))</f>
        <v/>
      </c>
      <c r="C8749">
        <f>C8748+B8749</f>
        <v/>
      </c>
      <c r="D8749">
        <f>IF(B8749=1,INDEX('Data Entry'!$H$5:$BE$10004,8749-4,'Visual SPC'!$B$3),"")</f>
        <v/>
      </c>
      <c r="E8749">
        <f>IF(B8749=1,D8749,E8748)</f>
        <v/>
      </c>
      <c r="F8749">
        <f>IF(AND(B8749=1,C8749&gt;1,E8748&lt;&gt;""),ABS(D8749-E8748),"")</f>
        <v/>
      </c>
    </row>
    <row r="8750">
      <c r="A8750" t="n">
        <v>8750</v>
      </c>
      <c r="B8750">
        <f>IF(INDEX('Data Entry'!$H$5:$BE$10004,8750-4,'Visual SPC'!$B$3)="",0,IF(AND(OR('Visual SPC'!$C$4="",'Data Entry'!$C8750&gt;='Visual SPC'!$C$4),OR('Visual SPC'!$E$4="",'Data Entry'!$C8750&lt;='Visual SPC'!$E$4),OR('Visual SPC'!$G$4="",'Data Entry'!$D8750='Visual SPC'!$G$4),OR('Visual SPC'!$I$4="",'Data Entry'!$E8750='Visual SPC'!$I$4),OR('Visual SPC'!$K$4="",'Data Entry'!$F8750='Visual SPC'!$K$4)),1,0))</f>
        <v/>
      </c>
      <c r="C8750">
        <f>C8749+B8750</f>
        <v/>
      </c>
      <c r="D8750">
        <f>IF(B8750=1,INDEX('Data Entry'!$H$5:$BE$10004,8750-4,'Visual SPC'!$B$3),"")</f>
        <v/>
      </c>
      <c r="E8750">
        <f>IF(B8750=1,D8750,E8749)</f>
        <v/>
      </c>
      <c r="F8750">
        <f>IF(AND(B8750=1,C8750&gt;1,E8749&lt;&gt;""),ABS(D8750-E8749),"")</f>
        <v/>
      </c>
    </row>
    <row r="8751">
      <c r="A8751" t="n">
        <v>8751</v>
      </c>
      <c r="B8751">
        <f>IF(INDEX('Data Entry'!$H$5:$BE$10004,8751-4,'Visual SPC'!$B$3)="",0,IF(AND(OR('Visual SPC'!$C$4="",'Data Entry'!$C8751&gt;='Visual SPC'!$C$4),OR('Visual SPC'!$E$4="",'Data Entry'!$C8751&lt;='Visual SPC'!$E$4),OR('Visual SPC'!$G$4="",'Data Entry'!$D8751='Visual SPC'!$G$4),OR('Visual SPC'!$I$4="",'Data Entry'!$E8751='Visual SPC'!$I$4),OR('Visual SPC'!$K$4="",'Data Entry'!$F8751='Visual SPC'!$K$4)),1,0))</f>
        <v/>
      </c>
      <c r="C8751">
        <f>C8750+B8751</f>
        <v/>
      </c>
      <c r="D8751">
        <f>IF(B8751=1,INDEX('Data Entry'!$H$5:$BE$10004,8751-4,'Visual SPC'!$B$3),"")</f>
        <v/>
      </c>
      <c r="E8751">
        <f>IF(B8751=1,D8751,E8750)</f>
        <v/>
      </c>
      <c r="F8751">
        <f>IF(AND(B8751=1,C8751&gt;1,E8750&lt;&gt;""),ABS(D8751-E8750),"")</f>
        <v/>
      </c>
    </row>
    <row r="8752">
      <c r="A8752" t="n">
        <v>8752</v>
      </c>
      <c r="B8752">
        <f>IF(INDEX('Data Entry'!$H$5:$BE$10004,8752-4,'Visual SPC'!$B$3)="",0,IF(AND(OR('Visual SPC'!$C$4="",'Data Entry'!$C8752&gt;='Visual SPC'!$C$4),OR('Visual SPC'!$E$4="",'Data Entry'!$C8752&lt;='Visual SPC'!$E$4),OR('Visual SPC'!$G$4="",'Data Entry'!$D8752='Visual SPC'!$G$4),OR('Visual SPC'!$I$4="",'Data Entry'!$E8752='Visual SPC'!$I$4),OR('Visual SPC'!$K$4="",'Data Entry'!$F8752='Visual SPC'!$K$4)),1,0))</f>
        <v/>
      </c>
      <c r="C8752">
        <f>C8751+B8752</f>
        <v/>
      </c>
      <c r="D8752">
        <f>IF(B8752=1,INDEX('Data Entry'!$H$5:$BE$10004,8752-4,'Visual SPC'!$B$3),"")</f>
        <v/>
      </c>
      <c r="E8752">
        <f>IF(B8752=1,D8752,E8751)</f>
        <v/>
      </c>
      <c r="F8752">
        <f>IF(AND(B8752=1,C8752&gt;1,E8751&lt;&gt;""),ABS(D8752-E8751),"")</f>
        <v/>
      </c>
    </row>
    <row r="8753">
      <c r="A8753" t="n">
        <v>8753</v>
      </c>
      <c r="B8753">
        <f>IF(INDEX('Data Entry'!$H$5:$BE$10004,8753-4,'Visual SPC'!$B$3)="",0,IF(AND(OR('Visual SPC'!$C$4="",'Data Entry'!$C8753&gt;='Visual SPC'!$C$4),OR('Visual SPC'!$E$4="",'Data Entry'!$C8753&lt;='Visual SPC'!$E$4),OR('Visual SPC'!$G$4="",'Data Entry'!$D8753='Visual SPC'!$G$4),OR('Visual SPC'!$I$4="",'Data Entry'!$E8753='Visual SPC'!$I$4),OR('Visual SPC'!$K$4="",'Data Entry'!$F8753='Visual SPC'!$K$4)),1,0))</f>
        <v/>
      </c>
      <c r="C8753">
        <f>C8752+B8753</f>
        <v/>
      </c>
      <c r="D8753">
        <f>IF(B8753=1,INDEX('Data Entry'!$H$5:$BE$10004,8753-4,'Visual SPC'!$B$3),"")</f>
        <v/>
      </c>
      <c r="E8753">
        <f>IF(B8753=1,D8753,E8752)</f>
        <v/>
      </c>
      <c r="F8753">
        <f>IF(AND(B8753=1,C8753&gt;1,E8752&lt;&gt;""),ABS(D8753-E8752),"")</f>
        <v/>
      </c>
    </row>
    <row r="8754">
      <c r="A8754" t="n">
        <v>8754</v>
      </c>
      <c r="B8754">
        <f>IF(INDEX('Data Entry'!$H$5:$BE$10004,8754-4,'Visual SPC'!$B$3)="",0,IF(AND(OR('Visual SPC'!$C$4="",'Data Entry'!$C8754&gt;='Visual SPC'!$C$4),OR('Visual SPC'!$E$4="",'Data Entry'!$C8754&lt;='Visual SPC'!$E$4),OR('Visual SPC'!$G$4="",'Data Entry'!$D8754='Visual SPC'!$G$4),OR('Visual SPC'!$I$4="",'Data Entry'!$E8754='Visual SPC'!$I$4),OR('Visual SPC'!$K$4="",'Data Entry'!$F8754='Visual SPC'!$K$4)),1,0))</f>
        <v/>
      </c>
      <c r="C8754">
        <f>C8753+B8754</f>
        <v/>
      </c>
      <c r="D8754">
        <f>IF(B8754=1,INDEX('Data Entry'!$H$5:$BE$10004,8754-4,'Visual SPC'!$B$3),"")</f>
        <v/>
      </c>
      <c r="E8754">
        <f>IF(B8754=1,D8754,E8753)</f>
        <v/>
      </c>
      <c r="F8754">
        <f>IF(AND(B8754=1,C8754&gt;1,E8753&lt;&gt;""),ABS(D8754-E8753),"")</f>
        <v/>
      </c>
    </row>
    <row r="8755">
      <c r="A8755" t="n">
        <v>8755</v>
      </c>
      <c r="B8755">
        <f>IF(INDEX('Data Entry'!$H$5:$BE$10004,8755-4,'Visual SPC'!$B$3)="",0,IF(AND(OR('Visual SPC'!$C$4="",'Data Entry'!$C8755&gt;='Visual SPC'!$C$4),OR('Visual SPC'!$E$4="",'Data Entry'!$C8755&lt;='Visual SPC'!$E$4),OR('Visual SPC'!$G$4="",'Data Entry'!$D8755='Visual SPC'!$G$4),OR('Visual SPC'!$I$4="",'Data Entry'!$E8755='Visual SPC'!$I$4),OR('Visual SPC'!$K$4="",'Data Entry'!$F8755='Visual SPC'!$K$4)),1,0))</f>
        <v/>
      </c>
      <c r="C8755">
        <f>C8754+B8755</f>
        <v/>
      </c>
      <c r="D8755">
        <f>IF(B8755=1,INDEX('Data Entry'!$H$5:$BE$10004,8755-4,'Visual SPC'!$B$3),"")</f>
        <v/>
      </c>
      <c r="E8755">
        <f>IF(B8755=1,D8755,E8754)</f>
        <v/>
      </c>
      <c r="F8755">
        <f>IF(AND(B8755=1,C8755&gt;1,E8754&lt;&gt;""),ABS(D8755-E8754),"")</f>
        <v/>
      </c>
    </row>
    <row r="8756">
      <c r="A8756" t="n">
        <v>8756</v>
      </c>
      <c r="B8756">
        <f>IF(INDEX('Data Entry'!$H$5:$BE$10004,8756-4,'Visual SPC'!$B$3)="",0,IF(AND(OR('Visual SPC'!$C$4="",'Data Entry'!$C8756&gt;='Visual SPC'!$C$4),OR('Visual SPC'!$E$4="",'Data Entry'!$C8756&lt;='Visual SPC'!$E$4),OR('Visual SPC'!$G$4="",'Data Entry'!$D8756='Visual SPC'!$G$4),OR('Visual SPC'!$I$4="",'Data Entry'!$E8756='Visual SPC'!$I$4),OR('Visual SPC'!$K$4="",'Data Entry'!$F8756='Visual SPC'!$K$4)),1,0))</f>
        <v/>
      </c>
      <c r="C8756">
        <f>C8755+B8756</f>
        <v/>
      </c>
      <c r="D8756">
        <f>IF(B8756=1,INDEX('Data Entry'!$H$5:$BE$10004,8756-4,'Visual SPC'!$B$3),"")</f>
        <v/>
      </c>
      <c r="E8756">
        <f>IF(B8756=1,D8756,E8755)</f>
        <v/>
      </c>
      <c r="F8756">
        <f>IF(AND(B8756=1,C8756&gt;1,E8755&lt;&gt;""),ABS(D8756-E8755),"")</f>
        <v/>
      </c>
    </row>
    <row r="8757">
      <c r="A8757" t="n">
        <v>8757</v>
      </c>
      <c r="B8757">
        <f>IF(INDEX('Data Entry'!$H$5:$BE$10004,8757-4,'Visual SPC'!$B$3)="",0,IF(AND(OR('Visual SPC'!$C$4="",'Data Entry'!$C8757&gt;='Visual SPC'!$C$4),OR('Visual SPC'!$E$4="",'Data Entry'!$C8757&lt;='Visual SPC'!$E$4),OR('Visual SPC'!$G$4="",'Data Entry'!$D8757='Visual SPC'!$G$4),OR('Visual SPC'!$I$4="",'Data Entry'!$E8757='Visual SPC'!$I$4),OR('Visual SPC'!$K$4="",'Data Entry'!$F8757='Visual SPC'!$K$4)),1,0))</f>
        <v/>
      </c>
      <c r="C8757">
        <f>C8756+B8757</f>
        <v/>
      </c>
      <c r="D8757">
        <f>IF(B8757=1,INDEX('Data Entry'!$H$5:$BE$10004,8757-4,'Visual SPC'!$B$3),"")</f>
        <v/>
      </c>
      <c r="E8757">
        <f>IF(B8757=1,D8757,E8756)</f>
        <v/>
      </c>
      <c r="F8757">
        <f>IF(AND(B8757=1,C8757&gt;1,E8756&lt;&gt;""),ABS(D8757-E8756),"")</f>
        <v/>
      </c>
    </row>
    <row r="8758">
      <c r="A8758" t="n">
        <v>8758</v>
      </c>
      <c r="B8758">
        <f>IF(INDEX('Data Entry'!$H$5:$BE$10004,8758-4,'Visual SPC'!$B$3)="",0,IF(AND(OR('Visual SPC'!$C$4="",'Data Entry'!$C8758&gt;='Visual SPC'!$C$4),OR('Visual SPC'!$E$4="",'Data Entry'!$C8758&lt;='Visual SPC'!$E$4),OR('Visual SPC'!$G$4="",'Data Entry'!$D8758='Visual SPC'!$G$4),OR('Visual SPC'!$I$4="",'Data Entry'!$E8758='Visual SPC'!$I$4),OR('Visual SPC'!$K$4="",'Data Entry'!$F8758='Visual SPC'!$K$4)),1,0))</f>
        <v/>
      </c>
      <c r="C8758">
        <f>C8757+B8758</f>
        <v/>
      </c>
      <c r="D8758">
        <f>IF(B8758=1,INDEX('Data Entry'!$H$5:$BE$10004,8758-4,'Visual SPC'!$B$3),"")</f>
        <v/>
      </c>
      <c r="E8758">
        <f>IF(B8758=1,D8758,E8757)</f>
        <v/>
      </c>
      <c r="F8758">
        <f>IF(AND(B8758=1,C8758&gt;1,E8757&lt;&gt;""),ABS(D8758-E8757),"")</f>
        <v/>
      </c>
    </row>
    <row r="8759">
      <c r="A8759" t="n">
        <v>8759</v>
      </c>
      <c r="B8759">
        <f>IF(INDEX('Data Entry'!$H$5:$BE$10004,8759-4,'Visual SPC'!$B$3)="",0,IF(AND(OR('Visual SPC'!$C$4="",'Data Entry'!$C8759&gt;='Visual SPC'!$C$4),OR('Visual SPC'!$E$4="",'Data Entry'!$C8759&lt;='Visual SPC'!$E$4),OR('Visual SPC'!$G$4="",'Data Entry'!$D8759='Visual SPC'!$G$4),OR('Visual SPC'!$I$4="",'Data Entry'!$E8759='Visual SPC'!$I$4),OR('Visual SPC'!$K$4="",'Data Entry'!$F8759='Visual SPC'!$K$4)),1,0))</f>
        <v/>
      </c>
      <c r="C8759">
        <f>C8758+B8759</f>
        <v/>
      </c>
      <c r="D8759">
        <f>IF(B8759=1,INDEX('Data Entry'!$H$5:$BE$10004,8759-4,'Visual SPC'!$B$3),"")</f>
        <v/>
      </c>
      <c r="E8759">
        <f>IF(B8759=1,D8759,E8758)</f>
        <v/>
      </c>
      <c r="F8759">
        <f>IF(AND(B8759=1,C8759&gt;1,E8758&lt;&gt;""),ABS(D8759-E8758),"")</f>
        <v/>
      </c>
    </row>
    <row r="8760">
      <c r="A8760" t="n">
        <v>8760</v>
      </c>
      <c r="B8760">
        <f>IF(INDEX('Data Entry'!$H$5:$BE$10004,8760-4,'Visual SPC'!$B$3)="",0,IF(AND(OR('Visual SPC'!$C$4="",'Data Entry'!$C8760&gt;='Visual SPC'!$C$4),OR('Visual SPC'!$E$4="",'Data Entry'!$C8760&lt;='Visual SPC'!$E$4),OR('Visual SPC'!$G$4="",'Data Entry'!$D8760='Visual SPC'!$G$4),OR('Visual SPC'!$I$4="",'Data Entry'!$E8760='Visual SPC'!$I$4),OR('Visual SPC'!$K$4="",'Data Entry'!$F8760='Visual SPC'!$K$4)),1,0))</f>
        <v/>
      </c>
      <c r="C8760">
        <f>C8759+B8760</f>
        <v/>
      </c>
      <c r="D8760">
        <f>IF(B8760=1,INDEX('Data Entry'!$H$5:$BE$10004,8760-4,'Visual SPC'!$B$3),"")</f>
        <v/>
      </c>
      <c r="E8760">
        <f>IF(B8760=1,D8760,E8759)</f>
        <v/>
      </c>
      <c r="F8760">
        <f>IF(AND(B8760=1,C8760&gt;1,E8759&lt;&gt;""),ABS(D8760-E8759),"")</f>
        <v/>
      </c>
    </row>
    <row r="8761">
      <c r="A8761" t="n">
        <v>8761</v>
      </c>
      <c r="B8761">
        <f>IF(INDEX('Data Entry'!$H$5:$BE$10004,8761-4,'Visual SPC'!$B$3)="",0,IF(AND(OR('Visual SPC'!$C$4="",'Data Entry'!$C8761&gt;='Visual SPC'!$C$4),OR('Visual SPC'!$E$4="",'Data Entry'!$C8761&lt;='Visual SPC'!$E$4),OR('Visual SPC'!$G$4="",'Data Entry'!$D8761='Visual SPC'!$G$4),OR('Visual SPC'!$I$4="",'Data Entry'!$E8761='Visual SPC'!$I$4),OR('Visual SPC'!$K$4="",'Data Entry'!$F8761='Visual SPC'!$K$4)),1,0))</f>
        <v/>
      </c>
      <c r="C8761">
        <f>C8760+B8761</f>
        <v/>
      </c>
      <c r="D8761">
        <f>IF(B8761=1,INDEX('Data Entry'!$H$5:$BE$10004,8761-4,'Visual SPC'!$B$3),"")</f>
        <v/>
      </c>
      <c r="E8761">
        <f>IF(B8761=1,D8761,E8760)</f>
        <v/>
      </c>
      <c r="F8761">
        <f>IF(AND(B8761=1,C8761&gt;1,E8760&lt;&gt;""),ABS(D8761-E8760),"")</f>
        <v/>
      </c>
    </row>
    <row r="8762">
      <c r="A8762" t="n">
        <v>8762</v>
      </c>
      <c r="B8762">
        <f>IF(INDEX('Data Entry'!$H$5:$BE$10004,8762-4,'Visual SPC'!$B$3)="",0,IF(AND(OR('Visual SPC'!$C$4="",'Data Entry'!$C8762&gt;='Visual SPC'!$C$4),OR('Visual SPC'!$E$4="",'Data Entry'!$C8762&lt;='Visual SPC'!$E$4),OR('Visual SPC'!$G$4="",'Data Entry'!$D8762='Visual SPC'!$G$4),OR('Visual SPC'!$I$4="",'Data Entry'!$E8762='Visual SPC'!$I$4),OR('Visual SPC'!$K$4="",'Data Entry'!$F8762='Visual SPC'!$K$4)),1,0))</f>
        <v/>
      </c>
      <c r="C8762">
        <f>C8761+B8762</f>
        <v/>
      </c>
      <c r="D8762">
        <f>IF(B8762=1,INDEX('Data Entry'!$H$5:$BE$10004,8762-4,'Visual SPC'!$B$3),"")</f>
        <v/>
      </c>
      <c r="E8762">
        <f>IF(B8762=1,D8762,E8761)</f>
        <v/>
      </c>
      <c r="F8762">
        <f>IF(AND(B8762=1,C8762&gt;1,E8761&lt;&gt;""),ABS(D8762-E8761),"")</f>
        <v/>
      </c>
    </row>
    <row r="8763">
      <c r="A8763" t="n">
        <v>8763</v>
      </c>
      <c r="B8763">
        <f>IF(INDEX('Data Entry'!$H$5:$BE$10004,8763-4,'Visual SPC'!$B$3)="",0,IF(AND(OR('Visual SPC'!$C$4="",'Data Entry'!$C8763&gt;='Visual SPC'!$C$4),OR('Visual SPC'!$E$4="",'Data Entry'!$C8763&lt;='Visual SPC'!$E$4),OR('Visual SPC'!$G$4="",'Data Entry'!$D8763='Visual SPC'!$G$4),OR('Visual SPC'!$I$4="",'Data Entry'!$E8763='Visual SPC'!$I$4),OR('Visual SPC'!$K$4="",'Data Entry'!$F8763='Visual SPC'!$K$4)),1,0))</f>
        <v/>
      </c>
      <c r="C8763">
        <f>C8762+B8763</f>
        <v/>
      </c>
      <c r="D8763">
        <f>IF(B8763=1,INDEX('Data Entry'!$H$5:$BE$10004,8763-4,'Visual SPC'!$B$3),"")</f>
        <v/>
      </c>
      <c r="E8763">
        <f>IF(B8763=1,D8763,E8762)</f>
        <v/>
      </c>
      <c r="F8763">
        <f>IF(AND(B8763=1,C8763&gt;1,E8762&lt;&gt;""),ABS(D8763-E8762),"")</f>
        <v/>
      </c>
    </row>
    <row r="8764">
      <c r="A8764" t="n">
        <v>8764</v>
      </c>
      <c r="B8764">
        <f>IF(INDEX('Data Entry'!$H$5:$BE$10004,8764-4,'Visual SPC'!$B$3)="",0,IF(AND(OR('Visual SPC'!$C$4="",'Data Entry'!$C8764&gt;='Visual SPC'!$C$4),OR('Visual SPC'!$E$4="",'Data Entry'!$C8764&lt;='Visual SPC'!$E$4),OR('Visual SPC'!$G$4="",'Data Entry'!$D8764='Visual SPC'!$G$4),OR('Visual SPC'!$I$4="",'Data Entry'!$E8764='Visual SPC'!$I$4),OR('Visual SPC'!$K$4="",'Data Entry'!$F8764='Visual SPC'!$K$4)),1,0))</f>
        <v/>
      </c>
      <c r="C8764">
        <f>C8763+B8764</f>
        <v/>
      </c>
      <c r="D8764">
        <f>IF(B8764=1,INDEX('Data Entry'!$H$5:$BE$10004,8764-4,'Visual SPC'!$B$3),"")</f>
        <v/>
      </c>
      <c r="E8764">
        <f>IF(B8764=1,D8764,E8763)</f>
        <v/>
      </c>
      <c r="F8764">
        <f>IF(AND(B8764=1,C8764&gt;1,E8763&lt;&gt;""),ABS(D8764-E8763),"")</f>
        <v/>
      </c>
    </row>
    <row r="8765">
      <c r="A8765" t="n">
        <v>8765</v>
      </c>
      <c r="B8765">
        <f>IF(INDEX('Data Entry'!$H$5:$BE$10004,8765-4,'Visual SPC'!$B$3)="",0,IF(AND(OR('Visual SPC'!$C$4="",'Data Entry'!$C8765&gt;='Visual SPC'!$C$4),OR('Visual SPC'!$E$4="",'Data Entry'!$C8765&lt;='Visual SPC'!$E$4),OR('Visual SPC'!$G$4="",'Data Entry'!$D8765='Visual SPC'!$G$4),OR('Visual SPC'!$I$4="",'Data Entry'!$E8765='Visual SPC'!$I$4),OR('Visual SPC'!$K$4="",'Data Entry'!$F8765='Visual SPC'!$K$4)),1,0))</f>
        <v/>
      </c>
      <c r="C8765">
        <f>C8764+B8765</f>
        <v/>
      </c>
      <c r="D8765">
        <f>IF(B8765=1,INDEX('Data Entry'!$H$5:$BE$10004,8765-4,'Visual SPC'!$B$3),"")</f>
        <v/>
      </c>
      <c r="E8765">
        <f>IF(B8765=1,D8765,E8764)</f>
        <v/>
      </c>
      <c r="F8765">
        <f>IF(AND(B8765=1,C8765&gt;1,E8764&lt;&gt;""),ABS(D8765-E8764),"")</f>
        <v/>
      </c>
    </row>
    <row r="8766">
      <c r="A8766" t="n">
        <v>8766</v>
      </c>
      <c r="B8766">
        <f>IF(INDEX('Data Entry'!$H$5:$BE$10004,8766-4,'Visual SPC'!$B$3)="",0,IF(AND(OR('Visual SPC'!$C$4="",'Data Entry'!$C8766&gt;='Visual SPC'!$C$4),OR('Visual SPC'!$E$4="",'Data Entry'!$C8766&lt;='Visual SPC'!$E$4),OR('Visual SPC'!$G$4="",'Data Entry'!$D8766='Visual SPC'!$G$4),OR('Visual SPC'!$I$4="",'Data Entry'!$E8766='Visual SPC'!$I$4),OR('Visual SPC'!$K$4="",'Data Entry'!$F8766='Visual SPC'!$K$4)),1,0))</f>
        <v/>
      </c>
      <c r="C8766">
        <f>C8765+B8766</f>
        <v/>
      </c>
      <c r="D8766">
        <f>IF(B8766=1,INDEX('Data Entry'!$H$5:$BE$10004,8766-4,'Visual SPC'!$B$3),"")</f>
        <v/>
      </c>
      <c r="E8766">
        <f>IF(B8766=1,D8766,E8765)</f>
        <v/>
      </c>
      <c r="F8766">
        <f>IF(AND(B8766=1,C8766&gt;1,E8765&lt;&gt;""),ABS(D8766-E8765),"")</f>
        <v/>
      </c>
    </row>
    <row r="8767">
      <c r="A8767" t="n">
        <v>8767</v>
      </c>
      <c r="B8767">
        <f>IF(INDEX('Data Entry'!$H$5:$BE$10004,8767-4,'Visual SPC'!$B$3)="",0,IF(AND(OR('Visual SPC'!$C$4="",'Data Entry'!$C8767&gt;='Visual SPC'!$C$4),OR('Visual SPC'!$E$4="",'Data Entry'!$C8767&lt;='Visual SPC'!$E$4),OR('Visual SPC'!$G$4="",'Data Entry'!$D8767='Visual SPC'!$G$4),OR('Visual SPC'!$I$4="",'Data Entry'!$E8767='Visual SPC'!$I$4),OR('Visual SPC'!$K$4="",'Data Entry'!$F8767='Visual SPC'!$K$4)),1,0))</f>
        <v/>
      </c>
      <c r="C8767">
        <f>C8766+B8767</f>
        <v/>
      </c>
      <c r="D8767">
        <f>IF(B8767=1,INDEX('Data Entry'!$H$5:$BE$10004,8767-4,'Visual SPC'!$B$3),"")</f>
        <v/>
      </c>
      <c r="E8767">
        <f>IF(B8767=1,D8767,E8766)</f>
        <v/>
      </c>
      <c r="F8767">
        <f>IF(AND(B8767=1,C8767&gt;1,E8766&lt;&gt;""),ABS(D8767-E8766),"")</f>
        <v/>
      </c>
    </row>
    <row r="8768">
      <c r="A8768" t="n">
        <v>8768</v>
      </c>
      <c r="B8768">
        <f>IF(INDEX('Data Entry'!$H$5:$BE$10004,8768-4,'Visual SPC'!$B$3)="",0,IF(AND(OR('Visual SPC'!$C$4="",'Data Entry'!$C8768&gt;='Visual SPC'!$C$4),OR('Visual SPC'!$E$4="",'Data Entry'!$C8768&lt;='Visual SPC'!$E$4),OR('Visual SPC'!$G$4="",'Data Entry'!$D8768='Visual SPC'!$G$4),OR('Visual SPC'!$I$4="",'Data Entry'!$E8768='Visual SPC'!$I$4),OR('Visual SPC'!$K$4="",'Data Entry'!$F8768='Visual SPC'!$K$4)),1,0))</f>
        <v/>
      </c>
      <c r="C8768">
        <f>C8767+B8768</f>
        <v/>
      </c>
      <c r="D8768">
        <f>IF(B8768=1,INDEX('Data Entry'!$H$5:$BE$10004,8768-4,'Visual SPC'!$B$3),"")</f>
        <v/>
      </c>
      <c r="E8768">
        <f>IF(B8768=1,D8768,E8767)</f>
        <v/>
      </c>
      <c r="F8768">
        <f>IF(AND(B8768=1,C8768&gt;1,E8767&lt;&gt;""),ABS(D8768-E8767),"")</f>
        <v/>
      </c>
    </row>
    <row r="8769">
      <c r="A8769" t="n">
        <v>8769</v>
      </c>
      <c r="B8769">
        <f>IF(INDEX('Data Entry'!$H$5:$BE$10004,8769-4,'Visual SPC'!$B$3)="",0,IF(AND(OR('Visual SPC'!$C$4="",'Data Entry'!$C8769&gt;='Visual SPC'!$C$4),OR('Visual SPC'!$E$4="",'Data Entry'!$C8769&lt;='Visual SPC'!$E$4),OR('Visual SPC'!$G$4="",'Data Entry'!$D8769='Visual SPC'!$G$4),OR('Visual SPC'!$I$4="",'Data Entry'!$E8769='Visual SPC'!$I$4),OR('Visual SPC'!$K$4="",'Data Entry'!$F8769='Visual SPC'!$K$4)),1,0))</f>
        <v/>
      </c>
      <c r="C8769">
        <f>C8768+B8769</f>
        <v/>
      </c>
      <c r="D8769">
        <f>IF(B8769=1,INDEX('Data Entry'!$H$5:$BE$10004,8769-4,'Visual SPC'!$B$3),"")</f>
        <v/>
      </c>
      <c r="E8769">
        <f>IF(B8769=1,D8769,E8768)</f>
        <v/>
      </c>
      <c r="F8769">
        <f>IF(AND(B8769=1,C8769&gt;1,E8768&lt;&gt;""),ABS(D8769-E8768),"")</f>
        <v/>
      </c>
    </row>
    <row r="8770">
      <c r="A8770" t="n">
        <v>8770</v>
      </c>
      <c r="B8770">
        <f>IF(INDEX('Data Entry'!$H$5:$BE$10004,8770-4,'Visual SPC'!$B$3)="",0,IF(AND(OR('Visual SPC'!$C$4="",'Data Entry'!$C8770&gt;='Visual SPC'!$C$4),OR('Visual SPC'!$E$4="",'Data Entry'!$C8770&lt;='Visual SPC'!$E$4),OR('Visual SPC'!$G$4="",'Data Entry'!$D8770='Visual SPC'!$G$4),OR('Visual SPC'!$I$4="",'Data Entry'!$E8770='Visual SPC'!$I$4),OR('Visual SPC'!$K$4="",'Data Entry'!$F8770='Visual SPC'!$K$4)),1,0))</f>
        <v/>
      </c>
      <c r="C8770">
        <f>C8769+B8770</f>
        <v/>
      </c>
      <c r="D8770">
        <f>IF(B8770=1,INDEX('Data Entry'!$H$5:$BE$10004,8770-4,'Visual SPC'!$B$3),"")</f>
        <v/>
      </c>
      <c r="E8770">
        <f>IF(B8770=1,D8770,E8769)</f>
        <v/>
      </c>
      <c r="F8770">
        <f>IF(AND(B8770=1,C8770&gt;1,E8769&lt;&gt;""),ABS(D8770-E8769),"")</f>
        <v/>
      </c>
    </row>
    <row r="8771">
      <c r="A8771" t="n">
        <v>8771</v>
      </c>
      <c r="B8771">
        <f>IF(INDEX('Data Entry'!$H$5:$BE$10004,8771-4,'Visual SPC'!$B$3)="",0,IF(AND(OR('Visual SPC'!$C$4="",'Data Entry'!$C8771&gt;='Visual SPC'!$C$4),OR('Visual SPC'!$E$4="",'Data Entry'!$C8771&lt;='Visual SPC'!$E$4),OR('Visual SPC'!$G$4="",'Data Entry'!$D8771='Visual SPC'!$G$4),OR('Visual SPC'!$I$4="",'Data Entry'!$E8771='Visual SPC'!$I$4),OR('Visual SPC'!$K$4="",'Data Entry'!$F8771='Visual SPC'!$K$4)),1,0))</f>
        <v/>
      </c>
      <c r="C8771">
        <f>C8770+B8771</f>
        <v/>
      </c>
      <c r="D8771">
        <f>IF(B8771=1,INDEX('Data Entry'!$H$5:$BE$10004,8771-4,'Visual SPC'!$B$3),"")</f>
        <v/>
      </c>
      <c r="E8771">
        <f>IF(B8771=1,D8771,E8770)</f>
        <v/>
      </c>
      <c r="F8771">
        <f>IF(AND(B8771=1,C8771&gt;1,E8770&lt;&gt;""),ABS(D8771-E8770),"")</f>
        <v/>
      </c>
    </row>
    <row r="8772">
      <c r="A8772" t="n">
        <v>8772</v>
      </c>
      <c r="B8772">
        <f>IF(INDEX('Data Entry'!$H$5:$BE$10004,8772-4,'Visual SPC'!$B$3)="",0,IF(AND(OR('Visual SPC'!$C$4="",'Data Entry'!$C8772&gt;='Visual SPC'!$C$4),OR('Visual SPC'!$E$4="",'Data Entry'!$C8772&lt;='Visual SPC'!$E$4),OR('Visual SPC'!$G$4="",'Data Entry'!$D8772='Visual SPC'!$G$4),OR('Visual SPC'!$I$4="",'Data Entry'!$E8772='Visual SPC'!$I$4),OR('Visual SPC'!$K$4="",'Data Entry'!$F8772='Visual SPC'!$K$4)),1,0))</f>
        <v/>
      </c>
      <c r="C8772">
        <f>C8771+B8772</f>
        <v/>
      </c>
      <c r="D8772">
        <f>IF(B8772=1,INDEX('Data Entry'!$H$5:$BE$10004,8772-4,'Visual SPC'!$B$3),"")</f>
        <v/>
      </c>
      <c r="E8772">
        <f>IF(B8772=1,D8772,E8771)</f>
        <v/>
      </c>
      <c r="F8772">
        <f>IF(AND(B8772=1,C8772&gt;1,E8771&lt;&gt;""),ABS(D8772-E8771),"")</f>
        <v/>
      </c>
    </row>
    <row r="8773">
      <c r="A8773" t="n">
        <v>8773</v>
      </c>
      <c r="B8773">
        <f>IF(INDEX('Data Entry'!$H$5:$BE$10004,8773-4,'Visual SPC'!$B$3)="",0,IF(AND(OR('Visual SPC'!$C$4="",'Data Entry'!$C8773&gt;='Visual SPC'!$C$4),OR('Visual SPC'!$E$4="",'Data Entry'!$C8773&lt;='Visual SPC'!$E$4),OR('Visual SPC'!$G$4="",'Data Entry'!$D8773='Visual SPC'!$G$4),OR('Visual SPC'!$I$4="",'Data Entry'!$E8773='Visual SPC'!$I$4),OR('Visual SPC'!$K$4="",'Data Entry'!$F8773='Visual SPC'!$K$4)),1,0))</f>
        <v/>
      </c>
      <c r="C8773">
        <f>C8772+B8773</f>
        <v/>
      </c>
      <c r="D8773">
        <f>IF(B8773=1,INDEX('Data Entry'!$H$5:$BE$10004,8773-4,'Visual SPC'!$B$3),"")</f>
        <v/>
      </c>
      <c r="E8773">
        <f>IF(B8773=1,D8773,E8772)</f>
        <v/>
      </c>
      <c r="F8773">
        <f>IF(AND(B8773=1,C8773&gt;1,E8772&lt;&gt;""),ABS(D8773-E8772),"")</f>
        <v/>
      </c>
    </row>
    <row r="8774">
      <c r="A8774" t="n">
        <v>8774</v>
      </c>
      <c r="B8774">
        <f>IF(INDEX('Data Entry'!$H$5:$BE$10004,8774-4,'Visual SPC'!$B$3)="",0,IF(AND(OR('Visual SPC'!$C$4="",'Data Entry'!$C8774&gt;='Visual SPC'!$C$4),OR('Visual SPC'!$E$4="",'Data Entry'!$C8774&lt;='Visual SPC'!$E$4),OR('Visual SPC'!$G$4="",'Data Entry'!$D8774='Visual SPC'!$G$4),OR('Visual SPC'!$I$4="",'Data Entry'!$E8774='Visual SPC'!$I$4),OR('Visual SPC'!$K$4="",'Data Entry'!$F8774='Visual SPC'!$K$4)),1,0))</f>
        <v/>
      </c>
      <c r="C8774">
        <f>C8773+B8774</f>
        <v/>
      </c>
      <c r="D8774">
        <f>IF(B8774=1,INDEX('Data Entry'!$H$5:$BE$10004,8774-4,'Visual SPC'!$B$3),"")</f>
        <v/>
      </c>
      <c r="E8774">
        <f>IF(B8774=1,D8774,E8773)</f>
        <v/>
      </c>
      <c r="F8774">
        <f>IF(AND(B8774=1,C8774&gt;1,E8773&lt;&gt;""),ABS(D8774-E8773),"")</f>
        <v/>
      </c>
    </row>
    <row r="8775">
      <c r="A8775" t="n">
        <v>8775</v>
      </c>
      <c r="B8775">
        <f>IF(INDEX('Data Entry'!$H$5:$BE$10004,8775-4,'Visual SPC'!$B$3)="",0,IF(AND(OR('Visual SPC'!$C$4="",'Data Entry'!$C8775&gt;='Visual SPC'!$C$4),OR('Visual SPC'!$E$4="",'Data Entry'!$C8775&lt;='Visual SPC'!$E$4),OR('Visual SPC'!$G$4="",'Data Entry'!$D8775='Visual SPC'!$G$4),OR('Visual SPC'!$I$4="",'Data Entry'!$E8775='Visual SPC'!$I$4),OR('Visual SPC'!$K$4="",'Data Entry'!$F8775='Visual SPC'!$K$4)),1,0))</f>
        <v/>
      </c>
      <c r="C8775">
        <f>C8774+B8775</f>
        <v/>
      </c>
      <c r="D8775">
        <f>IF(B8775=1,INDEX('Data Entry'!$H$5:$BE$10004,8775-4,'Visual SPC'!$B$3),"")</f>
        <v/>
      </c>
      <c r="E8775">
        <f>IF(B8775=1,D8775,E8774)</f>
        <v/>
      </c>
      <c r="F8775">
        <f>IF(AND(B8775=1,C8775&gt;1,E8774&lt;&gt;""),ABS(D8775-E8774),"")</f>
        <v/>
      </c>
    </row>
    <row r="8776">
      <c r="A8776" t="n">
        <v>8776</v>
      </c>
      <c r="B8776">
        <f>IF(INDEX('Data Entry'!$H$5:$BE$10004,8776-4,'Visual SPC'!$B$3)="",0,IF(AND(OR('Visual SPC'!$C$4="",'Data Entry'!$C8776&gt;='Visual SPC'!$C$4),OR('Visual SPC'!$E$4="",'Data Entry'!$C8776&lt;='Visual SPC'!$E$4),OR('Visual SPC'!$G$4="",'Data Entry'!$D8776='Visual SPC'!$G$4),OR('Visual SPC'!$I$4="",'Data Entry'!$E8776='Visual SPC'!$I$4),OR('Visual SPC'!$K$4="",'Data Entry'!$F8776='Visual SPC'!$K$4)),1,0))</f>
        <v/>
      </c>
      <c r="C8776">
        <f>C8775+B8776</f>
        <v/>
      </c>
      <c r="D8776">
        <f>IF(B8776=1,INDEX('Data Entry'!$H$5:$BE$10004,8776-4,'Visual SPC'!$B$3),"")</f>
        <v/>
      </c>
      <c r="E8776">
        <f>IF(B8776=1,D8776,E8775)</f>
        <v/>
      </c>
      <c r="F8776">
        <f>IF(AND(B8776=1,C8776&gt;1,E8775&lt;&gt;""),ABS(D8776-E8775),"")</f>
        <v/>
      </c>
    </row>
    <row r="8777">
      <c r="A8777" t="n">
        <v>8777</v>
      </c>
      <c r="B8777">
        <f>IF(INDEX('Data Entry'!$H$5:$BE$10004,8777-4,'Visual SPC'!$B$3)="",0,IF(AND(OR('Visual SPC'!$C$4="",'Data Entry'!$C8777&gt;='Visual SPC'!$C$4),OR('Visual SPC'!$E$4="",'Data Entry'!$C8777&lt;='Visual SPC'!$E$4),OR('Visual SPC'!$G$4="",'Data Entry'!$D8777='Visual SPC'!$G$4),OR('Visual SPC'!$I$4="",'Data Entry'!$E8777='Visual SPC'!$I$4),OR('Visual SPC'!$K$4="",'Data Entry'!$F8777='Visual SPC'!$K$4)),1,0))</f>
        <v/>
      </c>
      <c r="C8777">
        <f>C8776+B8777</f>
        <v/>
      </c>
      <c r="D8777">
        <f>IF(B8777=1,INDEX('Data Entry'!$H$5:$BE$10004,8777-4,'Visual SPC'!$B$3),"")</f>
        <v/>
      </c>
      <c r="E8777">
        <f>IF(B8777=1,D8777,E8776)</f>
        <v/>
      </c>
      <c r="F8777">
        <f>IF(AND(B8777=1,C8777&gt;1,E8776&lt;&gt;""),ABS(D8777-E8776),"")</f>
        <v/>
      </c>
    </row>
    <row r="8778">
      <c r="A8778" t="n">
        <v>8778</v>
      </c>
      <c r="B8778">
        <f>IF(INDEX('Data Entry'!$H$5:$BE$10004,8778-4,'Visual SPC'!$B$3)="",0,IF(AND(OR('Visual SPC'!$C$4="",'Data Entry'!$C8778&gt;='Visual SPC'!$C$4),OR('Visual SPC'!$E$4="",'Data Entry'!$C8778&lt;='Visual SPC'!$E$4),OR('Visual SPC'!$G$4="",'Data Entry'!$D8778='Visual SPC'!$G$4),OR('Visual SPC'!$I$4="",'Data Entry'!$E8778='Visual SPC'!$I$4),OR('Visual SPC'!$K$4="",'Data Entry'!$F8778='Visual SPC'!$K$4)),1,0))</f>
        <v/>
      </c>
      <c r="C8778">
        <f>C8777+B8778</f>
        <v/>
      </c>
      <c r="D8778">
        <f>IF(B8778=1,INDEX('Data Entry'!$H$5:$BE$10004,8778-4,'Visual SPC'!$B$3),"")</f>
        <v/>
      </c>
      <c r="E8778">
        <f>IF(B8778=1,D8778,E8777)</f>
        <v/>
      </c>
      <c r="F8778">
        <f>IF(AND(B8778=1,C8778&gt;1,E8777&lt;&gt;""),ABS(D8778-E8777),"")</f>
        <v/>
      </c>
    </row>
    <row r="8779">
      <c r="A8779" t="n">
        <v>8779</v>
      </c>
      <c r="B8779">
        <f>IF(INDEX('Data Entry'!$H$5:$BE$10004,8779-4,'Visual SPC'!$B$3)="",0,IF(AND(OR('Visual SPC'!$C$4="",'Data Entry'!$C8779&gt;='Visual SPC'!$C$4),OR('Visual SPC'!$E$4="",'Data Entry'!$C8779&lt;='Visual SPC'!$E$4),OR('Visual SPC'!$G$4="",'Data Entry'!$D8779='Visual SPC'!$G$4),OR('Visual SPC'!$I$4="",'Data Entry'!$E8779='Visual SPC'!$I$4),OR('Visual SPC'!$K$4="",'Data Entry'!$F8779='Visual SPC'!$K$4)),1,0))</f>
        <v/>
      </c>
      <c r="C8779">
        <f>C8778+B8779</f>
        <v/>
      </c>
      <c r="D8779">
        <f>IF(B8779=1,INDEX('Data Entry'!$H$5:$BE$10004,8779-4,'Visual SPC'!$B$3),"")</f>
        <v/>
      </c>
      <c r="E8779">
        <f>IF(B8779=1,D8779,E8778)</f>
        <v/>
      </c>
      <c r="F8779">
        <f>IF(AND(B8779=1,C8779&gt;1,E8778&lt;&gt;""),ABS(D8779-E8778),"")</f>
        <v/>
      </c>
    </row>
    <row r="8780">
      <c r="A8780" t="n">
        <v>8780</v>
      </c>
      <c r="B8780">
        <f>IF(INDEX('Data Entry'!$H$5:$BE$10004,8780-4,'Visual SPC'!$B$3)="",0,IF(AND(OR('Visual SPC'!$C$4="",'Data Entry'!$C8780&gt;='Visual SPC'!$C$4),OR('Visual SPC'!$E$4="",'Data Entry'!$C8780&lt;='Visual SPC'!$E$4),OR('Visual SPC'!$G$4="",'Data Entry'!$D8780='Visual SPC'!$G$4),OR('Visual SPC'!$I$4="",'Data Entry'!$E8780='Visual SPC'!$I$4),OR('Visual SPC'!$K$4="",'Data Entry'!$F8780='Visual SPC'!$K$4)),1,0))</f>
        <v/>
      </c>
      <c r="C8780">
        <f>C8779+B8780</f>
        <v/>
      </c>
      <c r="D8780">
        <f>IF(B8780=1,INDEX('Data Entry'!$H$5:$BE$10004,8780-4,'Visual SPC'!$B$3),"")</f>
        <v/>
      </c>
      <c r="E8780">
        <f>IF(B8780=1,D8780,E8779)</f>
        <v/>
      </c>
      <c r="F8780">
        <f>IF(AND(B8780=1,C8780&gt;1,E8779&lt;&gt;""),ABS(D8780-E8779),"")</f>
        <v/>
      </c>
    </row>
    <row r="8781">
      <c r="A8781" t="n">
        <v>8781</v>
      </c>
      <c r="B8781">
        <f>IF(INDEX('Data Entry'!$H$5:$BE$10004,8781-4,'Visual SPC'!$B$3)="",0,IF(AND(OR('Visual SPC'!$C$4="",'Data Entry'!$C8781&gt;='Visual SPC'!$C$4),OR('Visual SPC'!$E$4="",'Data Entry'!$C8781&lt;='Visual SPC'!$E$4),OR('Visual SPC'!$G$4="",'Data Entry'!$D8781='Visual SPC'!$G$4),OR('Visual SPC'!$I$4="",'Data Entry'!$E8781='Visual SPC'!$I$4),OR('Visual SPC'!$K$4="",'Data Entry'!$F8781='Visual SPC'!$K$4)),1,0))</f>
        <v/>
      </c>
      <c r="C8781">
        <f>C8780+B8781</f>
        <v/>
      </c>
      <c r="D8781">
        <f>IF(B8781=1,INDEX('Data Entry'!$H$5:$BE$10004,8781-4,'Visual SPC'!$B$3),"")</f>
        <v/>
      </c>
      <c r="E8781">
        <f>IF(B8781=1,D8781,E8780)</f>
        <v/>
      </c>
      <c r="F8781">
        <f>IF(AND(B8781=1,C8781&gt;1,E8780&lt;&gt;""),ABS(D8781-E8780),"")</f>
        <v/>
      </c>
    </row>
    <row r="8782">
      <c r="A8782" t="n">
        <v>8782</v>
      </c>
      <c r="B8782">
        <f>IF(INDEX('Data Entry'!$H$5:$BE$10004,8782-4,'Visual SPC'!$B$3)="",0,IF(AND(OR('Visual SPC'!$C$4="",'Data Entry'!$C8782&gt;='Visual SPC'!$C$4),OR('Visual SPC'!$E$4="",'Data Entry'!$C8782&lt;='Visual SPC'!$E$4),OR('Visual SPC'!$G$4="",'Data Entry'!$D8782='Visual SPC'!$G$4),OR('Visual SPC'!$I$4="",'Data Entry'!$E8782='Visual SPC'!$I$4),OR('Visual SPC'!$K$4="",'Data Entry'!$F8782='Visual SPC'!$K$4)),1,0))</f>
        <v/>
      </c>
      <c r="C8782">
        <f>C8781+B8782</f>
        <v/>
      </c>
      <c r="D8782">
        <f>IF(B8782=1,INDEX('Data Entry'!$H$5:$BE$10004,8782-4,'Visual SPC'!$B$3),"")</f>
        <v/>
      </c>
      <c r="E8782">
        <f>IF(B8782=1,D8782,E8781)</f>
        <v/>
      </c>
      <c r="F8782">
        <f>IF(AND(B8782=1,C8782&gt;1,E8781&lt;&gt;""),ABS(D8782-E8781),"")</f>
        <v/>
      </c>
    </row>
    <row r="8783">
      <c r="A8783" t="n">
        <v>8783</v>
      </c>
      <c r="B8783">
        <f>IF(INDEX('Data Entry'!$H$5:$BE$10004,8783-4,'Visual SPC'!$B$3)="",0,IF(AND(OR('Visual SPC'!$C$4="",'Data Entry'!$C8783&gt;='Visual SPC'!$C$4),OR('Visual SPC'!$E$4="",'Data Entry'!$C8783&lt;='Visual SPC'!$E$4),OR('Visual SPC'!$G$4="",'Data Entry'!$D8783='Visual SPC'!$G$4),OR('Visual SPC'!$I$4="",'Data Entry'!$E8783='Visual SPC'!$I$4),OR('Visual SPC'!$K$4="",'Data Entry'!$F8783='Visual SPC'!$K$4)),1,0))</f>
        <v/>
      </c>
      <c r="C8783">
        <f>C8782+B8783</f>
        <v/>
      </c>
      <c r="D8783">
        <f>IF(B8783=1,INDEX('Data Entry'!$H$5:$BE$10004,8783-4,'Visual SPC'!$B$3),"")</f>
        <v/>
      </c>
      <c r="E8783">
        <f>IF(B8783=1,D8783,E8782)</f>
        <v/>
      </c>
      <c r="F8783">
        <f>IF(AND(B8783=1,C8783&gt;1,E8782&lt;&gt;""),ABS(D8783-E8782),"")</f>
        <v/>
      </c>
    </row>
    <row r="8784">
      <c r="A8784" t="n">
        <v>8784</v>
      </c>
      <c r="B8784">
        <f>IF(INDEX('Data Entry'!$H$5:$BE$10004,8784-4,'Visual SPC'!$B$3)="",0,IF(AND(OR('Visual SPC'!$C$4="",'Data Entry'!$C8784&gt;='Visual SPC'!$C$4),OR('Visual SPC'!$E$4="",'Data Entry'!$C8784&lt;='Visual SPC'!$E$4),OR('Visual SPC'!$G$4="",'Data Entry'!$D8784='Visual SPC'!$G$4),OR('Visual SPC'!$I$4="",'Data Entry'!$E8784='Visual SPC'!$I$4),OR('Visual SPC'!$K$4="",'Data Entry'!$F8784='Visual SPC'!$K$4)),1,0))</f>
        <v/>
      </c>
      <c r="C8784">
        <f>C8783+B8784</f>
        <v/>
      </c>
      <c r="D8784">
        <f>IF(B8784=1,INDEX('Data Entry'!$H$5:$BE$10004,8784-4,'Visual SPC'!$B$3),"")</f>
        <v/>
      </c>
      <c r="E8784">
        <f>IF(B8784=1,D8784,E8783)</f>
        <v/>
      </c>
      <c r="F8784">
        <f>IF(AND(B8784=1,C8784&gt;1,E8783&lt;&gt;""),ABS(D8784-E8783),"")</f>
        <v/>
      </c>
    </row>
    <row r="8785">
      <c r="A8785" t="n">
        <v>8785</v>
      </c>
      <c r="B8785">
        <f>IF(INDEX('Data Entry'!$H$5:$BE$10004,8785-4,'Visual SPC'!$B$3)="",0,IF(AND(OR('Visual SPC'!$C$4="",'Data Entry'!$C8785&gt;='Visual SPC'!$C$4),OR('Visual SPC'!$E$4="",'Data Entry'!$C8785&lt;='Visual SPC'!$E$4),OR('Visual SPC'!$G$4="",'Data Entry'!$D8785='Visual SPC'!$G$4),OR('Visual SPC'!$I$4="",'Data Entry'!$E8785='Visual SPC'!$I$4),OR('Visual SPC'!$K$4="",'Data Entry'!$F8785='Visual SPC'!$K$4)),1,0))</f>
        <v/>
      </c>
      <c r="C8785">
        <f>C8784+B8785</f>
        <v/>
      </c>
      <c r="D8785">
        <f>IF(B8785=1,INDEX('Data Entry'!$H$5:$BE$10004,8785-4,'Visual SPC'!$B$3),"")</f>
        <v/>
      </c>
      <c r="E8785">
        <f>IF(B8785=1,D8785,E8784)</f>
        <v/>
      </c>
      <c r="F8785">
        <f>IF(AND(B8785=1,C8785&gt;1,E8784&lt;&gt;""),ABS(D8785-E8784),"")</f>
        <v/>
      </c>
    </row>
    <row r="8786">
      <c r="A8786" t="n">
        <v>8786</v>
      </c>
      <c r="B8786">
        <f>IF(INDEX('Data Entry'!$H$5:$BE$10004,8786-4,'Visual SPC'!$B$3)="",0,IF(AND(OR('Visual SPC'!$C$4="",'Data Entry'!$C8786&gt;='Visual SPC'!$C$4),OR('Visual SPC'!$E$4="",'Data Entry'!$C8786&lt;='Visual SPC'!$E$4),OR('Visual SPC'!$G$4="",'Data Entry'!$D8786='Visual SPC'!$G$4),OR('Visual SPC'!$I$4="",'Data Entry'!$E8786='Visual SPC'!$I$4),OR('Visual SPC'!$K$4="",'Data Entry'!$F8786='Visual SPC'!$K$4)),1,0))</f>
        <v/>
      </c>
      <c r="C8786">
        <f>C8785+B8786</f>
        <v/>
      </c>
      <c r="D8786">
        <f>IF(B8786=1,INDEX('Data Entry'!$H$5:$BE$10004,8786-4,'Visual SPC'!$B$3),"")</f>
        <v/>
      </c>
      <c r="E8786">
        <f>IF(B8786=1,D8786,E8785)</f>
        <v/>
      </c>
      <c r="F8786">
        <f>IF(AND(B8786=1,C8786&gt;1,E8785&lt;&gt;""),ABS(D8786-E8785),"")</f>
        <v/>
      </c>
    </row>
    <row r="8787">
      <c r="A8787" t="n">
        <v>8787</v>
      </c>
      <c r="B8787">
        <f>IF(INDEX('Data Entry'!$H$5:$BE$10004,8787-4,'Visual SPC'!$B$3)="",0,IF(AND(OR('Visual SPC'!$C$4="",'Data Entry'!$C8787&gt;='Visual SPC'!$C$4),OR('Visual SPC'!$E$4="",'Data Entry'!$C8787&lt;='Visual SPC'!$E$4),OR('Visual SPC'!$G$4="",'Data Entry'!$D8787='Visual SPC'!$G$4),OR('Visual SPC'!$I$4="",'Data Entry'!$E8787='Visual SPC'!$I$4),OR('Visual SPC'!$K$4="",'Data Entry'!$F8787='Visual SPC'!$K$4)),1,0))</f>
        <v/>
      </c>
      <c r="C8787">
        <f>C8786+B8787</f>
        <v/>
      </c>
      <c r="D8787">
        <f>IF(B8787=1,INDEX('Data Entry'!$H$5:$BE$10004,8787-4,'Visual SPC'!$B$3),"")</f>
        <v/>
      </c>
      <c r="E8787">
        <f>IF(B8787=1,D8787,E8786)</f>
        <v/>
      </c>
      <c r="F8787">
        <f>IF(AND(B8787=1,C8787&gt;1,E8786&lt;&gt;""),ABS(D8787-E8786),"")</f>
        <v/>
      </c>
    </row>
    <row r="8788">
      <c r="A8788" t="n">
        <v>8788</v>
      </c>
      <c r="B8788">
        <f>IF(INDEX('Data Entry'!$H$5:$BE$10004,8788-4,'Visual SPC'!$B$3)="",0,IF(AND(OR('Visual SPC'!$C$4="",'Data Entry'!$C8788&gt;='Visual SPC'!$C$4),OR('Visual SPC'!$E$4="",'Data Entry'!$C8788&lt;='Visual SPC'!$E$4),OR('Visual SPC'!$G$4="",'Data Entry'!$D8788='Visual SPC'!$G$4),OR('Visual SPC'!$I$4="",'Data Entry'!$E8788='Visual SPC'!$I$4),OR('Visual SPC'!$K$4="",'Data Entry'!$F8788='Visual SPC'!$K$4)),1,0))</f>
        <v/>
      </c>
      <c r="C8788">
        <f>C8787+B8788</f>
        <v/>
      </c>
      <c r="D8788">
        <f>IF(B8788=1,INDEX('Data Entry'!$H$5:$BE$10004,8788-4,'Visual SPC'!$B$3),"")</f>
        <v/>
      </c>
      <c r="E8788">
        <f>IF(B8788=1,D8788,E8787)</f>
        <v/>
      </c>
      <c r="F8788">
        <f>IF(AND(B8788=1,C8788&gt;1,E8787&lt;&gt;""),ABS(D8788-E8787),"")</f>
        <v/>
      </c>
    </row>
    <row r="8789">
      <c r="A8789" t="n">
        <v>8789</v>
      </c>
      <c r="B8789">
        <f>IF(INDEX('Data Entry'!$H$5:$BE$10004,8789-4,'Visual SPC'!$B$3)="",0,IF(AND(OR('Visual SPC'!$C$4="",'Data Entry'!$C8789&gt;='Visual SPC'!$C$4),OR('Visual SPC'!$E$4="",'Data Entry'!$C8789&lt;='Visual SPC'!$E$4),OR('Visual SPC'!$G$4="",'Data Entry'!$D8789='Visual SPC'!$G$4),OR('Visual SPC'!$I$4="",'Data Entry'!$E8789='Visual SPC'!$I$4),OR('Visual SPC'!$K$4="",'Data Entry'!$F8789='Visual SPC'!$K$4)),1,0))</f>
        <v/>
      </c>
      <c r="C8789">
        <f>C8788+B8789</f>
        <v/>
      </c>
      <c r="D8789">
        <f>IF(B8789=1,INDEX('Data Entry'!$H$5:$BE$10004,8789-4,'Visual SPC'!$B$3),"")</f>
        <v/>
      </c>
      <c r="E8789">
        <f>IF(B8789=1,D8789,E8788)</f>
        <v/>
      </c>
      <c r="F8789">
        <f>IF(AND(B8789=1,C8789&gt;1,E8788&lt;&gt;""),ABS(D8789-E8788),"")</f>
        <v/>
      </c>
    </row>
    <row r="8790">
      <c r="A8790" t="n">
        <v>8790</v>
      </c>
      <c r="B8790">
        <f>IF(INDEX('Data Entry'!$H$5:$BE$10004,8790-4,'Visual SPC'!$B$3)="",0,IF(AND(OR('Visual SPC'!$C$4="",'Data Entry'!$C8790&gt;='Visual SPC'!$C$4),OR('Visual SPC'!$E$4="",'Data Entry'!$C8790&lt;='Visual SPC'!$E$4),OR('Visual SPC'!$G$4="",'Data Entry'!$D8790='Visual SPC'!$G$4),OR('Visual SPC'!$I$4="",'Data Entry'!$E8790='Visual SPC'!$I$4),OR('Visual SPC'!$K$4="",'Data Entry'!$F8790='Visual SPC'!$K$4)),1,0))</f>
        <v/>
      </c>
      <c r="C8790">
        <f>C8789+B8790</f>
        <v/>
      </c>
      <c r="D8790">
        <f>IF(B8790=1,INDEX('Data Entry'!$H$5:$BE$10004,8790-4,'Visual SPC'!$B$3),"")</f>
        <v/>
      </c>
      <c r="E8790">
        <f>IF(B8790=1,D8790,E8789)</f>
        <v/>
      </c>
      <c r="F8790">
        <f>IF(AND(B8790=1,C8790&gt;1,E8789&lt;&gt;""),ABS(D8790-E8789),"")</f>
        <v/>
      </c>
    </row>
    <row r="8791">
      <c r="A8791" t="n">
        <v>8791</v>
      </c>
      <c r="B8791">
        <f>IF(INDEX('Data Entry'!$H$5:$BE$10004,8791-4,'Visual SPC'!$B$3)="",0,IF(AND(OR('Visual SPC'!$C$4="",'Data Entry'!$C8791&gt;='Visual SPC'!$C$4),OR('Visual SPC'!$E$4="",'Data Entry'!$C8791&lt;='Visual SPC'!$E$4),OR('Visual SPC'!$G$4="",'Data Entry'!$D8791='Visual SPC'!$G$4),OR('Visual SPC'!$I$4="",'Data Entry'!$E8791='Visual SPC'!$I$4),OR('Visual SPC'!$K$4="",'Data Entry'!$F8791='Visual SPC'!$K$4)),1,0))</f>
        <v/>
      </c>
      <c r="C8791">
        <f>C8790+B8791</f>
        <v/>
      </c>
      <c r="D8791">
        <f>IF(B8791=1,INDEX('Data Entry'!$H$5:$BE$10004,8791-4,'Visual SPC'!$B$3),"")</f>
        <v/>
      </c>
      <c r="E8791">
        <f>IF(B8791=1,D8791,E8790)</f>
        <v/>
      </c>
      <c r="F8791">
        <f>IF(AND(B8791=1,C8791&gt;1,E8790&lt;&gt;""),ABS(D8791-E8790),"")</f>
        <v/>
      </c>
    </row>
    <row r="8792">
      <c r="A8792" t="n">
        <v>8792</v>
      </c>
      <c r="B8792">
        <f>IF(INDEX('Data Entry'!$H$5:$BE$10004,8792-4,'Visual SPC'!$B$3)="",0,IF(AND(OR('Visual SPC'!$C$4="",'Data Entry'!$C8792&gt;='Visual SPC'!$C$4),OR('Visual SPC'!$E$4="",'Data Entry'!$C8792&lt;='Visual SPC'!$E$4),OR('Visual SPC'!$G$4="",'Data Entry'!$D8792='Visual SPC'!$G$4),OR('Visual SPC'!$I$4="",'Data Entry'!$E8792='Visual SPC'!$I$4),OR('Visual SPC'!$K$4="",'Data Entry'!$F8792='Visual SPC'!$K$4)),1,0))</f>
        <v/>
      </c>
      <c r="C8792">
        <f>C8791+B8792</f>
        <v/>
      </c>
      <c r="D8792">
        <f>IF(B8792=1,INDEX('Data Entry'!$H$5:$BE$10004,8792-4,'Visual SPC'!$B$3),"")</f>
        <v/>
      </c>
      <c r="E8792">
        <f>IF(B8792=1,D8792,E8791)</f>
        <v/>
      </c>
      <c r="F8792">
        <f>IF(AND(B8792=1,C8792&gt;1,E8791&lt;&gt;""),ABS(D8792-E8791),"")</f>
        <v/>
      </c>
    </row>
    <row r="8793">
      <c r="A8793" t="n">
        <v>8793</v>
      </c>
      <c r="B8793">
        <f>IF(INDEX('Data Entry'!$H$5:$BE$10004,8793-4,'Visual SPC'!$B$3)="",0,IF(AND(OR('Visual SPC'!$C$4="",'Data Entry'!$C8793&gt;='Visual SPC'!$C$4),OR('Visual SPC'!$E$4="",'Data Entry'!$C8793&lt;='Visual SPC'!$E$4),OR('Visual SPC'!$G$4="",'Data Entry'!$D8793='Visual SPC'!$G$4),OR('Visual SPC'!$I$4="",'Data Entry'!$E8793='Visual SPC'!$I$4),OR('Visual SPC'!$K$4="",'Data Entry'!$F8793='Visual SPC'!$K$4)),1,0))</f>
        <v/>
      </c>
      <c r="C8793">
        <f>C8792+B8793</f>
        <v/>
      </c>
      <c r="D8793">
        <f>IF(B8793=1,INDEX('Data Entry'!$H$5:$BE$10004,8793-4,'Visual SPC'!$B$3),"")</f>
        <v/>
      </c>
      <c r="E8793">
        <f>IF(B8793=1,D8793,E8792)</f>
        <v/>
      </c>
      <c r="F8793">
        <f>IF(AND(B8793=1,C8793&gt;1,E8792&lt;&gt;""),ABS(D8793-E8792),"")</f>
        <v/>
      </c>
    </row>
    <row r="8794">
      <c r="A8794" t="n">
        <v>8794</v>
      </c>
      <c r="B8794">
        <f>IF(INDEX('Data Entry'!$H$5:$BE$10004,8794-4,'Visual SPC'!$B$3)="",0,IF(AND(OR('Visual SPC'!$C$4="",'Data Entry'!$C8794&gt;='Visual SPC'!$C$4),OR('Visual SPC'!$E$4="",'Data Entry'!$C8794&lt;='Visual SPC'!$E$4),OR('Visual SPC'!$G$4="",'Data Entry'!$D8794='Visual SPC'!$G$4),OR('Visual SPC'!$I$4="",'Data Entry'!$E8794='Visual SPC'!$I$4),OR('Visual SPC'!$K$4="",'Data Entry'!$F8794='Visual SPC'!$K$4)),1,0))</f>
        <v/>
      </c>
      <c r="C8794">
        <f>C8793+B8794</f>
        <v/>
      </c>
      <c r="D8794">
        <f>IF(B8794=1,INDEX('Data Entry'!$H$5:$BE$10004,8794-4,'Visual SPC'!$B$3),"")</f>
        <v/>
      </c>
      <c r="E8794">
        <f>IF(B8794=1,D8794,E8793)</f>
        <v/>
      </c>
      <c r="F8794">
        <f>IF(AND(B8794=1,C8794&gt;1,E8793&lt;&gt;""),ABS(D8794-E8793),"")</f>
        <v/>
      </c>
    </row>
    <row r="8795">
      <c r="A8795" t="n">
        <v>8795</v>
      </c>
      <c r="B8795">
        <f>IF(INDEX('Data Entry'!$H$5:$BE$10004,8795-4,'Visual SPC'!$B$3)="",0,IF(AND(OR('Visual SPC'!$C$4="",'Data Entry'!$C8795&gt;='Visual SPC'!$C$4),OR('Visual SPC'!$E$4="",'Data Entry'!$C8795&lt;='Visual SPC'!$E$4),OR('Visual SPC'!$G$4="",'Data Entry'!$D8795='Visual SPC'!$G$4),OR('Visual SPC'!$I$4="",'Data Entry'!$E8795='Visual SPC'!$I$4),OR('Visual SPC'!$K$4="",'Data Entry'!$F8795='Visual SPC'!$K$4)),1,0))</f>
        <v/>
      </c>
      <c r="C8795">
        <f>C8794+B8795</f>
        <v/>
      </c>
      <c r="D8795">
        <f>IF(B8795=1,INDEX('Data Entry'!$H$5:$BE$10004,8795-4,'Visual SPC'!$B$3),"")</f>
        <v/>
      </c>
      <c r="E8795">
        <f>IF(B8795=1,D8795,E8794)</f>
        <v/>
      </c>
      <c r="F8795">
        <f>IF(AND(B8795=1,C8795&gt;1,E8794&lt;&gt;""),ABS(D8795-E8794),"")</f>
        <v/>
      </c>
    </row>
    <row r="8796">
      <c r="A8796" t="n">
        <v>8796</v>
      </c>
      <c r="B8796">
        <f>IF(INDEX('Data Entry'!$H$5:$BE$10004,8796-4,'Visual SPC'!$B$3)="",0,IF(AND(OR('Visual SPC'!$C$4="",'Data Entry'!$C8796&gt;='Visual SPC'!$C$4),OR('Visual SPC'!$E$4="",'Data Entry'!$C8796&lt;='Visual SPC'!$E$4),OR('Visual SPC'!$G$4="",'Data Entry'!$D8796='Visual SPC'!$G$4),OR('Visual SPC'!$I$4="",'Data Entry'!$E8796='Visual SPC'!$I$4),OR('Visual SPC'!$K$4="",'Data Entry'!$F8796='Visual SPC'!$K$4)),1,0))</f>
        <v/>
      </c>
      <c r="C8796">
        <f>C8795+B8796</f>
        <v/>
      </c>
      <c r="D8796">
        <f>IF(B8796=1,INDEX('Data Entry'!$H$5:$BE$10004,8796-4,'Visual SPC'!$B$3),"")</f>
        <v/>
      </c>
      <c r="E8796">
        <f>IF(B8796=1,D8796,E8795)</f>
        <v/>
      </c>
      <c r="F8796">
        <f>IF(AND(B8796=1,C8796&gt;1,E8795&lt;&gt;""),ABS(D8796-E8795),"")</f>
        <v/>
      </c>
    </row>
    <row r="8797">
      <c r="A8797" t="n">
        <v>8797</v>
      </c>
      <c r="B8797">
        <f>IF(INDEX('Data Entry'!$H$5:$BE$10004,8797-4,'Visual SPC'!$B$3)="",0,IF(AND(OR('Visual SPC'!$C$4="",'Data Entry'!$C8797&gt;='Visual SPC'!$C$4),OR('Visual SPC'!$E$4="",'Data Entry'!$C8797&lt;='Visual SPC'!$E$4),OR('Visual SPC'!$G$4="",'Data Entry'!$D8797='Visual SPC'!$G$4),OR('Visual SPC'!$I$4="",'Data Entry'!$E8797='Visual SPC'!$I$4),OR('Visual SPC'!$K$4="",'Data Entry'!$F8797='Visual SPC'!$K$4)),1,0))</f>
        <v/>
      </c>
      <c r="C8797">
        <f>C8796+B8797</f>
        <v/>
      </c>
      <c r="D8797">
        <f>IF(B8797=1,INDEX('Data Entry'!$H$5:$BE$10004,8797-4,'Visual SPC'!$B$3),"")</f>
        <v/>
      </c>
      <c r="E8797">
        <f>IF(B8797=1,D8797,E8796)</f>
        <v/>
      </c>
      <c r="F8797">
        <f>IF(AND(B8797=1,C8797&gt;1,E8796&lt;&gt;""),ABS(D8797-E8796),"")</f>
        <v/>
      </c>
    </row>
    <row r="8798">
      <c r="A8798" t="n">
        <v>8798</v>
      </c>
      <c r="B8798">
        <f>IF(INDEX('Data Entry'!$H$5:$BE$10004,8798-4,'Visual SPC'!$B$3)="",0,IF(AND(OR('Visual SPC'!$C$4="",'Data Entry'!$C8798&gt;='Visual SPC'!$C$4),OR('Visual SPC'!$E$4="",'Data Entry'!$C8798&lt;='Visual SPC'!$E$4),OR('Visual SPC'!$G$4="",'Data Entry'!$D8798='Visual SPC'!$G$4),OR('Visual SPC'!$I$4="",'Data Entry'!$E8798='Visual SPC'!$I$4),OR('Visual SPC'!$K$4="",'Data Entry'!$F8798='Visual SPC'!$K$4)),1,0))</f>
        <v/>
      </c>
      <c r="C8798">
        <f>C8797+B8798</f>
        <v/>
      </c>
      <c r="D8798">
        <f>IF(B8798=1,INDEX('Data Entry'!$H$5:$BE$10004,8798-4,'Visual SPC'!$B$3),"")</f>
        <v/>
      </c>
      <c r="E8798">
        <f>IF(B8798=1,D8798,E8797)</f>
        <v/>
      </c>
      <c r="F8798">
        <f>IF(AND(B8798=1,C8798&gt;1,E8797&lt;&gt;""),ABS(D8798-E8797),"")</f>
        <v/>
      </c>
    </row>
    <row r="8799">
      <c r="A8799" t="n">
        <v>8799</v>
      </c>
      <c r="B8799">
        <f>IF(INDEX('Data Entry'!$H$5:$BE$10004,8799-4,'Visual SPC'!$B$3)="",0,IF(AND(OR('Visual SPC'!$C$4="",'Data Entry'!$C8799&gt;='Visual SPC'!$C$4),OR('Visual SPC'!$E$4="",'Data Entry'!$C8799&lt;='Visual SPC'!$E$4),OR('Visual SPC'!$G$4="",'Data Entry'!$D8799='Visual SPC'!$G$4),OR('Visual SPC'!$I$4="",'Data Entry'!$E8799='Visual SPC'!$I$4),OR('Visual SPC'!$K$4="",'Data Entry'!$F8799='Visual SPC'!$K$4)),1,0))</f>
        <v/>
      </c>
      <c r="C8799">
        <f>C8798+B8799</f>
        <v/>
      </c>
      <c r="D8799">
        <f>IF(B8799=1,INDEX('Data Entry'!$H$5:$BE$10004,8799-4,'Visual SPC'!$B$3),"")</f>
        <v/>
      </c>
      <c r="E8799">
        <f>IF(B8799=1,D8799,E8798)</f>
        <v/>
      </c>
      <c r="F8799">
        <f>IF(AND(B8799=1,C8799&gt;1,E8798&lt;&gt;""),ABS(D8799-E8798),"")</f>
        <v/>
      </c>
    </row>
    <row r="8800">
      <c r="A8800" t="n">
        <v>8800</v>
      </c>
      <c r="B8800">
        <f>IF(INDEX('Data Entry'!$H$5:$BE$10004,8800-4,'Visual SPC'!$B$3)="",0,IF(AND(OR('Visual SPC'!$C$4="",'Data Entry'!$C8800&gt;='Visual SPC'!$C$4),OR('Visual SPC'!$E$4="",'Data Entry'!$C8800&lt;='Visual SPC'!$E$4),OR('Visual SPC'!$G$4="",'Data Entry'!$D8800='Visual SPC'!$G$4),OR('Visual SPC'!$I$4="",'Data Entry'!$E8800='Visual SPC'!$I$4),OR('Visual SPC'!$K$4="",'Data Entry'!$F8800='Visual SPC'!$K$4)),1,0))</f>
        <v/>
      </c>
      <c r="C8800">
        <f>C8799+B8800</f>
        <v/>
      </c>
      <c r="D8800">
        <f>IF(B8800=1,INDEX('Data Entry'!$H$5:$BE$10004,8800-4,'Visual SPC'!$B$3),"")</f>
        <v/>
      </c>
      <c r="E8800">
        <f>IF(B8800=1,D8800,E8799)</f>
        <v/>
      </c>
      <c r="F8800">
        <f>IF(AND(B8800=1,C8800&gt;1,E8799&lt;&gt;""),ABS(D8800-E8799),"")</f>
        <v/>
      </c>
    </row>
    <row r="8801">
      <c r="A8801" t="n">
        <v>8801</v>
      </c>
      <c r="B8801">
        <f>IF(INDEX('Data Entry'!$H$5:$BE$10004,8801-4,'Visual SPC'!$B$3)="",0,IF(AND(OR('Visual SPC'!$C$4="",'Data Entry'!$C8801&gt;='Visual SPC'!$C$4),OR('Visual SPC'!$E$4="",'Data Entry'!$C8801&lt;='Visual SPC'!$E$4),OR('Visual SPC'!$G$4="",'Data Entry'!$D8801='Visual SPC'!$G$4),OR('Visual SPC'!$I$4="",'Data Entry'!$E8801='Visual SPC'!$I$4),OR('Visual SPC'!$K$4="",'Data Entry'!$F8801='Visual SPC'!$K$4)),1,0))</f>
        <v/>
      </c>
      <c r="C8801">
        <f>C8800+B8801</f>
        <v/>
      </c>
      <c r="D8801">
        <f>IF(B8801=1,INDEX('Data Entry'!$H$5:$BE$10004,8801-4,'Visual SPC'!$B$3),"")</f>
        <v/>
      </c>
      <c r="E8801">
        <f>IF(B8801=1,D8801,E8800)</f>
        <v/>
      </c>
      <c r="F8801">
        <f>IF(AND(B8801=1,C8801&gt;1,E8800&lt;&gt;""),ABS(D8801-E8800),"")</f>
        <v/>
      </c>
    </row>
    <row r="8802">
      <c r="A8802" t="n">
        <v>8802</v>
      </c>
      <c r="B8802">
        <f>IF(INDEX('Data Entry'!$H$5:$BE$10004,8802-4,'Visual SPC'!$B$3)="",0,IF(AND(OR('Visual SPC'!$C$4="",'Data Entry'!$C8802&gt;='Visual SPC'!$C$4),OR('Visual SPC'!$E$4="",'Data Entry'!$C8802&lt;='Visual SPC'!$E$4),OR('Visual SPC'!$G$4="",'Data Entry'!$D8802='Visual SPC'!$G$4),OR('Visual SPC'!$I$4="",'Data Entry'!$E8802='Visual SPC'!$I$4),OR('Visual SPC'!$K$4="",'Data Entry'!$F8802='Visual SPC'!$K$4)),1,0))</f>
        <v/>
      </c>
      <c r="C8802">
        <f>C8801+B8802</f>
        <v/>
      </c>
      <c r="D8802">
        <f>IF(B8802=1,INDEX('Data Entry'!$H$5:$BE$10004,8802-4,'Visual SPC'!$B$3),"")</f>
        <v/>
      </c>
      <c r="E8802">
        <f>IF(B8802=1,D8802,E8801)</f>
        <v/>
      </c>
      <c r="F8802">
        <f>IF(AND(B8802=1,C8802&gt;1,E8801&lt;&gt;""),ABS(D8802-E8801),"")</f>
        <v/>
      </c>
    </row>
    <row r="8803">
      <c r="A8803" t="n">
        <v>8803</v>
      </c>
      <c r="B8803">
        <f>IF(INDEX('Data Entry'!$H$5:$BE$10004,8803-4,'Visual SPC'!$B$3)="",0,IF(AND(OR('Visual SPC'!$C$4="",'Data Entry'!$C8803&gt;='Visual SPC'!$C$4),OR('Visual SPC'!$E$4="",'Data Entry'!$C8803&lt;='Visual SPC'!$E$4),OR('Visual SPC'!$G$4="",'Data Entry'!$D8803='Visual SPC'!$G$4),OR('Visual SPC'!$I$4="",'Data Entry'!$E8803='Visual SPC'!$I$4),OR('Visual SPC'!$K$4="",'Data Entry'!$F8803='Visual SPC'!$K$4)),1,0))</f>
        <v/>
      </c>
      <c r="C8803">
        <f>C8802+B8803</f>
        <v/>
      </c>
      <c r="D8803">
        <f>IF(B8803=1,INDEX('Data Entry'!$H$5:$BE$10004,8803-4,'Visual SPC'!$B$3),"")</f>
        <v/>
      </c>
      <c r="E8803">
        <f>IF(B8803=1,D8803,E8802)</f>
        <v/>
      </c>
      <c r="F8803">
        <f>IF(AND(B8803=1,C8803&gt;1,E8802&lt;&gt;""),ABS(D8803-E8802),"")</f>
        <v/>
      </c>
    </row>
    <row r="8804">
      <c r="A8804" t="n">
        <v>8804</v>
      </c>
      <c r="B8804">
        <f>IF(INDEX('Data Entry'!$H$5:$BE$10004,8804-4,'Visual SPC'!$B$3)="",0,IF(AND(OR('Visual SPC'!$C$4="",'Data Entry'!$C8804&gt;='Visual SPC'!$C$4),OR('Visual SPC'!$E$4="",'Data Entry'!$C8804&lt;='Visual SPC'!$E$4),OR('Visual SPC'!$G$4="",'Data Entry'!$D8804='Visual SPC'!$G$4),OR('Visual SPC'!$I$4="",'Data Entry'!$E8804='Visual SPC'!$I$4),OR('Visual SPC'!$K$4="",'Data Entry'!$F8804='Visual SPC'!$K$4)),1,0))</f>
        <v/>
      </c>
      <c r="C8804">
        <f>C8803+B8804</f>
        <v/>
      </c>
      <c r="D8804">
        <f>IF(B8804=1,INDEX('Data Entry'!$H$5:$BE$10004,8804-4,'Visual SPC'!$B$3),"")</f>
        <v/>
      </c>
      <c r="E8804">
        <f>IF(B8804=1,D8804,E8803)</f>
        <v/>
      </c>
      <c r="F8804">
        <f>IF(AND(B8804=1,C8804&gt;1,E8803&lt;&gt;""),ABS(D8804-E8803),"")</f>
        <v/>
      </c>
    </row>
    <row r="8805">
      <c r="A8805" t="n">
        <v>8805</v>
      </c>
      <c r="B8805">
        <f>IF(INDEX('Data Entry'!$H$5:$BE$10004,8805-4,'Visual SPC'!$B$3)="",0,IF(AND(OR('Visual SPC'!$C$4="",'Data Entry'!$C8805&gt;='Visual SPC'!$C$4),OR('Visual SPC'!$E$4="",'Data Entry'!$C8805&lt;='Visual SPC'!$E$4),OR('Visual SPC'!$G$4="",'Data Entry'!$D8805='Visual SPC'!$G$4),OR('Visual SPC'!$I$4="",'Data Entry'!$E8805='Visual SPC'!$I$4),OR('Visual SPC'!$K$4="",'Data Entry'!$F8805='Visual SPC'!$K$4)),1,0))</f>
        <v/>
      </c>
      <c r="C8805">
        <f>C8804+B8805</f>
        <v/>
      </c>
      <c r="D8805">
        <f>IF(B8805=1,INDEX('Data Entry'!$H$5:$BE$10004,8805-4,'Visual SPC'!$B$3),"")</f>
        <v/>
      </c>
      <c r="E8805">
        <f>IF(B8805=1,D8805,E8804)</f>
        <v/>
      </c>
      <c r="F8805">
        <f>IF(AND(B8805=1,C8805&gt;1,E8804&lt;&gt;""),ABS(D8805-E8804),"")</f>
        <v/>
      </c>
    </row>
    <row r="8806">
      <c r="A8806" t="n">
        <v>8806</v>
      </c>
      <c r="B8806">
        <f>IF(INDEX('Data Entry'!$H$5:$BE$10004,8806-4,'Visual SPC'!$B$3)="",0,IF(AND(OR('Visual SPC'!$C$4="",'Data Entry'!$C8806&gt;='Visual SPC'!$C$4),OR('Visual SPC'!$E$4="",'Data Entry'!$C8806&lt;='Visual SPC'!$E$4),OR('Visual SPC'!$G$4="",'Data Entry'!$D8806='Visual SPC'!$G$4),OR('Visual SPC'!$I$4="",'Data Entry'!$E8806='Visual SPC'!$I$4),OR('Visual SPC'!$K$4="",'Data Entry'!$F8806='Visual SPC'!$K$4)),1,0))</f>
        <v/>
      </c>
      <c r="C8806">
        <f>C8805+B8806</f>
        <v/>
      </c>
      <c r="D8806">
        <f>IF(B8806=1,INDEX('Data Entry'!$H$5:$BE$10004,8806-4,'Visual SPC'!$B$3),"")</f>
        <v/>
      </c>
      <c r="E8806">
        <f>IF(B8806=1,D8806,E8805)</f>
        <v/>
      </c>
      <c r="F8806">
        <f>IF(AND(B8806=1,C8806&gt;1,E8805&lt;&gt;""),ABS(D8806-E8805),"")</f>
        <v/>
      </c>
    </row>
    <row r="8807">
      <c r="A8807" t="n">
        <v>8807</v>
      </c>
      <c r="B8807">
        <f>IF(INDEX('Data Entry'!$H$5:$BE$10004,8807-4,'Visual SPC'!$B$3)="",0,IF(AND(OR('Visual SPC'!$C$4="",'Data Entry'!$C8807&gt;='Visual SPC'!$C$4),OR('Visual SPC'!$E$4="",'Data Entry'!$C8807&lt;='Visual SPC'!$E$4),OR('Visual SPC'!$G$4="",'Data Entry'!$D8807='Visual SPC'!$G$4),OR('Visual SPC'!$I$4="",'Data Entry'!$E8807='Visual SPC'!$I$4),OR('Visual SPC'!$K$4="",'Data Entry'!$F8807='Visual SPC'!$K$4)),1,0))</f>
        <v/>
      </c>
      <c r="C8807">
        <f>C8806+B8807</f>
        <v/>
      </c>
      <c r="D8807">
        <f>IF(B8807=1,INDEX('Data Entry'!$H$5:$BE$10004,8807-4,'Visual SPC'!$B$3),"")</f>
        <v/>
      </c>
      <c r="E8807">
        <f>IF(B8807=1,D8807,E8806)</f>
        <v/>
      </c>
      <c r="F8807">
        <f>IF(AND(B8807=1,C8807&gt;1,E8806&lt;&gt;""),ABS(D8807-E8806),"")</f>
        <v/>
      </c>
    </row>
    <row r="8808">
      <c r="A8808" t="n">
        <v>8808</v>
      </c>
      <c r="B8808">
        <f>IF(INDEX('Data Entry'!$H$5:$BE$10004,8808-4,'Visual SPC'!$B$3)="",0,IF(AND(OR('Visual SPC'!$C$4="",'Data Entry'!$C8808&gt;='Visual SPC'!$C$4),OR('Visual SPC'!$E$4="",'Data Entry'!$C8808&lt;='Visual SPC'!$E$4),OR('Visual SPC'!$G$4="",'Data Entry'!$D8808='Visual SPC'!$G$4),OR('Visual SPC'!$I$4="",'Data Entry'!$E8808='Visual SPC'!$I$4),OR('Visual SPC'!$K$4="",'Data Entry'!$F8808='Visual SPC'!$K$4)),1,0))</f>
        <v/>
      </c>
      <c r="C8808">
        <f>C8807+B8808</f>
        <v/>
      </c>
      <c r="D8808">
        <f>IF(B8808=1,INDEX('Data Entry'!$H$5:$BE$10004,8808-4,'Visual SPC'!$B$3),"")</f>
        <v/>
      </c>
      <c r="E8808">
        <f>IF(B8808=1,D8808,E8807)</f>
        <v/>
      </c>
      <c r="F8808">
        <f>IF(AND(B8808=1,C8808&gt;1,E8807&lt;&gt;""),ABS(D8808-E8807),"")</f>
        <v/>
      </c>
    </row>
    <row r="8809">
      <c r="A8809" t="n">
        <v>8809</v>
      </c>
      <c r="B8809">
        <f>IF(INDEX('Data Entry'!$H$5:$BE$10004,8809-4,'Visual SPC'!$B$3)="",0,IF(AND(OR('Visual SPC'!$C$4="",'Data Entry'!$C8809&gt;='Visual SPC'!$C$4),OR('Visual SPC'!$E$4="",'Data Entry'!$C8809&lt;='Visual SPC'!$E$4),OR('Visual SPC'!$G$4="",'Data Entry'!$D8809='Visual SPC'!$G$4),OR('Visual SPC'!$I$4="",'Data Entry'!$E8809='Visual SPC'!$I$4),OR('Visual SPC'!$K$4="",'Data Entry'!$F8809='Visual SPC'!$K$4)),1,0))</f>
        <v/>
      </c>
      <c r="C8809">
        <f>C8808+B8809</f>
        <v/>
      </c>
      <c r="D8809">
        <f>IF(B8809=1,INDEX('Data Entry'!$H$5:$BE$10004,8809-4,'Visual SPC'!$B$3),"")</f>
        <v/>
      </c>
      <c r="E8809">
        <f>IF(B8809=1,D8809,E8808)</f>
        <v/>
      </c>
      <c r="F8809">
        <f>IF(AND(B8809=1,C8809&gt;1,E8808&lt;&gt;""),ABS(D8809-E8808),"")</f>
        <v/>
      </c>
    </row>
    <row r="8810">
      <c r="A8810" t="n">
        <v>8810</v>
      </c>
      <c r="B8810">
        <f>IF(INDEX('Data Entry'!$H$5:$BE$10004,8810-4,'Visual SPC'!$B$3)="",0,IF(AND(OR('Visual SPC'!$C$4="",'Data Entry'!$C8810&gt;='Visual SPC'!$C$4),OR('Visual SPC'!$E$4="",'Data Entry'!$C8810&lt;='Visual SPC'!$E$4),OR('Visual SPC'!$G$4="",'Data Entry'!$D8810='Visual SPC'!$G$4),OR('Visual SPC'!$I$4="",'Data Entry'!$E8810='Visual SPC'!$I$4),OR('Visual SPC'!$K$4="",'Data Entry'!$F8810='Visual SPC'!$K$4)),1,0))</f>
        <v/>
      </c>
      <c r="C8810">
        <f>C8809+B8810</f>
        <v/>
      </c>
      <c r="D8810">
        <f>IF(B8810=1,INDEX('Data Entry'!$H$5:$BE$10004,8810-4,'Visual SPC'!$B$3),"")</f>
        <v/>
      </c>
      <c r="E8810">
        <f>IF(B8810=1,D8810,E8809)</f>
        <v/>
      </c>
      <c r="F8810">
        <f>IF(AND(B8810=1,C8810&gt;1,E8809&lt;&gt;""),ABS(D8810-E8809),"")</f>
        <v/>
      </c>
    </row>
    <row r="8811">
      <c r="A8811" t="n">
        <v>8811</v>
      </c>
      <c r="B8811">
        <f>IF(INDEX('Data Entry'!$H$5:$BE$10004,8811-4,'Visual SPC'!$B$3)="",0,IF(AND(OR('Visual SPC'!$C$4="",'Data Entry'!$C8811&gt;='Visual SPC'!$C$4),OR('Visual SPC'!$E$4="",'Data Entry'!$C8811&lt;='Visual SPC'!$E$4),OR('Visual SPC'!$G$4="",'Data Entry'!$D8811='Visual SPC'!$G$4),OR('Visual SPC'!$I$4="",'Data Entry'!$E8811='Visual SPC'!$I$4),OR('Visual SPC'!$K$4="",'Data Entry'!$F8811='Visual SPC'!$K$4)),1,0))</f>
        <v/>
      </c>
      <c r="C8811">
        <f>C8810+B8811</f>
        <v/>
      </c>
      <c r="D8811">
        <f>IF(B8811=1,INDEX('Data Entry'!$H$5:$BE$10004,8811-4,'Visual SPC'!$B$3),"")</f>
        <v/>
      </c>
      <c r="E8811">
        <f>IF(B8811=1,D8811,E8810)</f>
        <v/>
      </c>
      <c r="F8811">
        <f>IF(AND(B8811=1,C8811&gt;1,E8810&lt;&gt;""),ABS(D8811-E8810),"")</f>
        <v/>
      </c>
    </row>
    <row r="8812">
      <c r="A8812" t="n">
        <v>8812</v>
      </c>
      <c r="B8812">
        <f>IF(INDEX('Data Entry'!$H$5:$BE$10004,8812-4,'Visual SPC'!$B$3)="",0,IF(AND(OR('Visual SPC'!$C$4="",'Data Entry'!$C8812&gt;='Visual SPC'!$C$4),OR('Visual SPC'!$E$4="",'Data Entry'!$C8812&lt;='Visual SPC'!$E$4),OR('Visual SPC'!$G$4="",'Data Entry'!$D8812='Visual SPC'!$G$4),OR('Visual SPC'!$I$4="",'Data Entry'!$E8812='Visual SPC'!$I$4),OR('Visual SPC'!$K$4="",'Data Entry'!$F8812='Visual SPC'!$K$4)),1,0))</f>
        <v/>
      </c>
      <c r="C8812">
        <f>C8811+B8812</f>
        <v/>
      </c>
      <c r="D8812">
        <f>IF(B8812=1,INDEX('Data Entry'!$H$5:$BE$10004,8812-4,'Visual SPC'!$B$3),"")</f>
        <v/>
      </c>
      <c r="E8812">
        <f>IF(B8812=1,D8812,E8811)</f>
        <v/>
      </c>
      <c r="F8812">
        <f>IF(AND(B8812=1,C8812&gt;1,E8811&lt;&gt;""),ABS(D8812-E8811),"")</f>
        <v/>
      </c>
    </row>
    <row r="8813">
      <c r="A8813" t="n">
        <v>8813</v>
      </c>
      <c r="B8813">
        <f>IF(INDEX('Data Entry'!$H$5:$BE$10004,8813-4,'Visual SPC'!$B$3)="",0,IF(AND(OR('Visual SPC'!$C$4="",'Data Entry'!$C8813&gt;='Visual SPC'!$C$4),OR('Visual SPC'!$E$4="",'Data Entry'!$C8813&lt;='Visual SPC'!$E$4),OR('Visual SPC'!$G$4="",'Data Entry'!$D8813='Visual SPC'!$G$4),OR('Visual SPC'!$I$4="",'Data Entry'!$E8813='Visual SPC'!$I$4),OR('Visual SPC'!$K$4="",'Data Entry'!$F8813='Visual SPC'!$K$4)),1,0))</f>
        <v/>
      </c>
      <c r="C8813">
        <f>C8812+B8813</f>
        <v/>
      </c>
      <c r="D8813">
        <f>IF(B8813=1,INDEX('Data Entry'!$H$5:$BE$10004,8813-4,'Visual SPC'!$B$3),"")</f>
        <v/>
      </c>
      <c r="E8813">
        <f>IF(B8813=1,D8813,E8812)</f>
        <v/>
      </c>
      <c r="F8813">
        <f>IF(AND(B8813=1,C8813&gt;1,E8812&lt;&gt;""),ABS(D8813-E8812),"")</f>
        <v/>
      </c>
    </row>
    <row r="8814">
      <c r="A8814" t="n">
        <v>8814</v>
      </c>
      <c r="B8814">
        <f>IF(INDEX('Data Entry'!$H$5:$BE$10004,8814-4,'Visual SPC'!$B$3)="",0,IF(AND(OR('Visual SPC'!$C$4="",'Data Entry'!$C8814&gt;='Visual SPC'!$C$4),OR('Visual SPC'!$E$4="",'Data Entry'!$C8814&lt;='Visual SPC'!$E$4),OR('Visual SPC'!$G$4="",'Data Entry'!$D8814='Visual SPC'!$G$4),OR('Visual SPC'!$I$4="",'Data Entry'!$E8814='Visual SPC'!$I$4),OR('Visual SPC'!$K$4="",'Data Entry'!$F8814='Visual SPC'!$K$4)),1,0))</f>
        <v/>
      </c>
      <c r="C8814">
        <f>C8813+B8814</f>
        <v/>
      </c>
      <c r="D8814">
        <f>IF(B8814=1,INDEX('Data Entry'!$H$5:$BE$10004,8814-4,'Visual SPC'!$B$3),"")</f>
        <v/>
      </c>
      <c r="E8814">
        <f>IF(B8814=1,D8814,E8813)</f>
        <v/>
      </c>
      <c r="F8814">
        <f>IF(AND(B8814=1,C8814&gt;1,E8813&lt;&gt;""),ABS(D8814-E8813),"")</f>
        <v/>
      </c>
    </row>
    <row r="8815">
      <c r="A8815" t="n">
        <v>8815</v>
      </c>
      <c r="B8815">
        <f>IF(INDEX('Data Entry'!$H$5:$BE$10004,8815-4,'Visual SPC'!$B$3)="",0,IF(AND(OR('Visual SPC'!$C$4="",'Data Entry'!$C8815&gt;='Visual SPC'!$C$4),OR('Visual SPC'!$E$4="",'Data Entry'!$C8815&lt;='Visual SPC'!$E$4),OR('Visual SPC'!$G$4="",'Data Entry'!$D8815='Visual SPC'!$G$4),OR('Visual SPC'!$I$4="",'Data Entry'!$E8815='Visual SPC'!$I$4),OR('Visual SPC'!$K$4="",'Data Entry'!$F8815='Visual SPC'!$K$4)),1,0))</f>
        <v/>
      </c>
      <c r="C8815">
        <f>C8814+B8815</f>
        <v/>
      </c>
      <c r="D8815">
        <f>IF(B8815=1,INDEX('Data Entry'!$H$5:$BE$10004,8815-4,'Visual SPC'!$B$3),"")</f>
        <v/>
      </c>
      <c r="E8815">
        <f>IF(B8815=1,D8815,E8814)</f>
        <v/>
      </c>
      <c r="F8815">
        <f>IF(AND(B8815=1,C8815&gt;1,E8814&lt;&gt;""),ABS(D8815-E8814),"")</f>
        <v/>
      </c>
    </row>
    <row r="8816">
      <c r="A8816" t="n">
        <v>8816</v>
      </c>
      <c r="B8816">
        <f>IF(INDEX('Data Entry'!$H$5:$BE$10004,8816-4,'Visual SPC'!$B$3)="",0,IF(AND(OR('Visual SPC'!$C$4="",'Data Entry'!$C8816&gt;='Visual SPC'!$C$4),OR('Visual SPC'!$E$4="",'Data Entry'!$C8816&lt;='Visual SPC'!$E$4),OR('Visual SPC'!$G$4="",'Data Entry'!$D8816='Visual SPC'!$G$4),OR('Visual SPC'!$I$4="",'Data Entry'!$E8816='Visual SPC'!$I$4),OR('Visual SPC'!$K$4="",'Data Entry'!$F8816='Visual SPC'!$K$4)),1,0))</f>
        <v/>
      </c>
      <c r="C8816">
        <f>C8815+B8816</f>
        <v/>
      </c>
      <c r="D8816">
        <f>IF(B8816=1,INDEX('Data Entry'!$H$5:$BE$10004,8816-4,'Visual SPC'!$B$3),"")</f>
        <v/>
      </c>
      <c r="E8816">
        <f>IF(B8816=1,D8816,E8815)</f>
        <v/>
      </c>
      <c r="F8816">
        <f>IF(AND(B8816=1,C8816&gt;1,E8815&lt;&gt;""),ABS(D8816-E8815),"")</f>
        <v/>
      </c>
    </row>
    <row r="8817">
      <c r="A8817" t="n">
        <v>8817</v>
      </c>
      <c r="B8817">
        <f>IF(INDEX('Data Entry'!$H$5:$BE$10004,8817-4,'Visual SPC'!$B$3)="",0,IF(AND(OR('Visual SPC'!$C$4="",'Data Entry'!$C8817&gt;='Visual SPC'!$C$4),OR('Visual SPC'!$E$4="",'Data Entry'!$C8817&lt;='Visual SPC'!$E$4),OR('Visual SPC'!$G$4="",'Data Entry'!$D8817='Visual SPC'!$G$4),OR('Visual SPC'!$I$4="",'Data Entry'!$E8817='Visual SPC'!$I$4),OR('Visual SPC'!$K$4="",'Data Entry'!$F8817='Visual SPC'!$K$4)),1,0))</f>
        <v/>
      </c>
      <c r="C8817">
        <f>C8816+B8817</f>
        <v/>
      </c>
      <c r="D8817">
        <f>IF(B8817=1,INDEX('Data Entry'!$H$5:$BE$10004,8817-4,'Visual SPC'!$B$3),"")</f>
        <v/>
      </c>
      <c r="E8817">
        <f>IF(B8817=1,D8817,E8816)</f>
        <v/>
      </c>
      <c r="F8817">
        <f>IF(AND(B8817=1,C8817&gt;1,E8816&lt;&gt;""),ABS(D8817-E8816),"")</f>
        <v/>
      </c>
    </row>
    <row r="8818">
      <c r="A8818" t="n">
        <v>8818</v>
      </c>
      <c r="B8818">
        <f>IF(INDEX('Data Entry'!$H$5:$BE$10004,8818-4,'Visual SPC'!$B$3)="",0,IF(AND(OR('Visual SPC'!$C$4="",'Data Entry'!$C8818&gt;='Visual SPC'!$C$4),OR('Visual SPC'!$E$4="",'Data Entry'!$C8818&lt;='Visual SPC'!$E$4),OR('Visual SPC'!$G$4="",'Data Entry'!$D8818='Visual SPC'!$G$4),OR('Visual SPC'!$I$4="",'Data Entry'!$E8818='Visual SPC'!$I$4),OR('Visual SPC'!$K$4="",'Data Entry'!$F8818='Visual SPC'!$K$4)),1,0))</f>
        <v/>
      </c>
      <c r="C8818">
        <f>C8817+B8818</f>
        <v/>
      </c>
      <c r="D8818">
        <f>IF(B8818=1,INDEX('Data Entry'!$H$5:$BE$10004,8818-4,'Visual SPC'!$B$3),"")</f>
        <v/>
      </c>
      <c r="E8818">
        <f>IF(B8818=1,D8818,E8817)</f>
        <v/>
      </c>
      <c r="F8818">
        <f>IF(AND(B8818=1,C8818&gt;1,E8817&lt;&gt;""),ABS(D8818-E8817),"")</f>
        <v/>
      </c>
    </row>
    <row r="8819">
      <c r="A8819" t="n">
        <v>8819</v>
      </c>
      <c r="B8819">
        <f>IF(INDEX('Data Entry'!$H$5:$BE$10004,8819-4,'Visual SPC'!$B$3)="",0,IF(AND(OR('Visual SPC'!$C$4="",'Data Entry'!$C8819&gt;='Visual SPC'!$C$4),OR('Visual SPC'!$E$4="",'Data Entry'!$C8819&lt;='Visual SPC'!$E$4),OR('Visual SPC'!$G$4="",'Data Entry'!$D8819='Visual SPC'!$G$4),OR('Visual SPC'!$I$4="",'Data Entry'!$E8819='Visual SPC'!$I$4),OR('Visual SPC'!$K$4="",'Data Entry'!$F8819='Visual SPC'!$K$4)),1,0))</f>
        <v/>
      </c>
      <c r="C8819">
        <f>C8818+B8819</f>
        <v/>
      </c>
      <c r="D8819">
        <f>IF(B8819=1,INDEX('Data Entry'!$H$5:$BE$10004,8819-4,'Visual SPC'!$B$3),"")</f>
        <v/>
      </c>
      <c r="E8819">
        <f>IF(B8819=1,D8819,E8818)</f>
        <v/>
      </c>
      <c r="F8819">
        <f>IF(AND(B8819=1,C8819&gt;1,E8818&lt;&gt;""),ABS(D8819-E8818),"")</f>
        <v/>
      </c>
    </row>
    <row r="8820">
      <c r="A8820" t="n">
        <v>8820</v>
      </c>
      <c r="B8820">
        <f>IF(INDEX('Data Entry'!$H$5:$BE$10004,8820-4,'Visual SPC'!$B$3)="",0,IF(AND(OR('Visual SPC'!$C$4="",'Data Entry'!$C8820&gt;='Visual SPC'!$C$4),OR('Visual SPC'!$E$4="",'Data Entry'!$C8820&lt;='Visual SPC'!$E$4),OR('Visual SPC'!$G$4="",'Data Entry'!$D8820='Visual SPC'!$G$4),OR('Visual SPC'!$I$4="",'Data Entry'!$E8820='Visual SPC'!$I$4),OR('Visual SPC'!$K$4="",'Data Entry'!$F8820='Visual SPC'!$K$4)),1,0))</f>
        <v/>
      </c>
      <c r="C8820">
        <f>C8819+B8820</f>
        <v/>
      </c>
      <c r="D8820">
        <f>IF(B8820=1,INDEX('Data Entry'!$H$5:$BE$10004,8820-4,'Visual SPC'!$B$3),"")</f>
        <v/>
      </c>
      <c r="E8820">
        <f>IF(B8820=1,D8820,E8819)</f>
        <v/>
      </c>
      <c r="F8820">
        <f>IF(AND(B8820=1,C8820&gt;1,E8819&lt;&gt;""),ABS(D8820-E8819),"")</f>
        <v/>
      </c>
    </row>
    <row r="8821">
      <c r="A8821" t="n">
        <v>8821</v>
      </c>
      <c r="B8821">
        <f>IF(INDEX('Data Entry'!$H$5:$BE$10004,8821-4,'Visual SPC'!$B$3)="",0,IF(AND(OR('Visual SPC'!$C$4="",'Data Entry'!$C8821&gt;='Visual SPC'!$C$4),OR('Visual SPC'!$E$4="",'Data Entry'!$C8821&lt;='Visual SPC'!$E$4),OR('Visual SPC'!$G$4="",'Data Entry'!$D8821='Visual SPC'!$G$4),OR('Visual SPC'!$I$4="",'Data Entry'!$E8821='Visual SPC'!$I$4),OR('Visual SPC'!$K$4="",'Data Entry'!$F8821='Visual SPC'!$K$4)),1,0))</f>
        <v/>
      </c>
      <c r="C8821">
        <f>C8820+B8821</f>
        <v/>
      </c>
      <c r="D8821">
        <f>IF(B8821=1,INDEX('Data Entry'!$H$5:$BE$10004,8821-4,'Visual SPC'!$B$3),"")</f>
        <v/>
      </c>
      <c r="E8821">
        <f>IF(B8821=1,D8821,E8820)</f>
        <v/>
      </c>
      <c r="F8821">
        <f>IF(AND(B8821=1,C8821&gt;1,E8820&lt;&gt;""),ABS(D8821-E8820),"")</f>
        <v/>
      </c>
    </row>
    <row r="8822">
      <c r="A8822" t="n">
        <v>8822</v>
      </c>
      <c r="B8822">
        <f>IF(INDEX('Data Entry'!$H$5:$BE$10004,8822-4,'Visual SPC'!$B$3)="",0,IF(AND(OR('Visual SPC'!$C$4="",'Data Entry'!$C8822&gt;='Visual SPC'!$C$4),OR('Visual SPC'!$E$4="",'Data Entry'!$C8822&lt;='Visual SPC'!$E$4),OR('Visual SPC'!$G$4="",'Data Entry'!$D8822='Visual SPC'!$G$4),OR('Visual SPC'!$I$4="",'Data Entry'!$E8822='Visual SPC'!$I$4),OR('Visual SPC'!$K$4="",'Data Entry'!$F8822='Visual SPC'!$K$4)),1,0))</f>
        <v/>
      </c>
      <c r="C8822">
        <f>C8821+B8822</f>
        <v/>
      </c>
      <c r="D8822">
        <f>IF(B8822=1,INDEX('Data Entry'!$H$5:$BE$10004,8822-4,'Visual SPC'!$B$3),"")</f>
        <v/>
      </c>
      <c r="E8822">
        <f>IF(B8822=1,D8822,E8821)</f>
        <v/>
      </c>
      <c r="F8822">
        <f>IF(AND(B8822=1,C8822&gt;1,E8821&lt;&gt;""),ABS(D8822-E8821),"")</f>
        <v/>
      </c>
    </row>
    <row r="8823">
      <c r="A8823" t="n">
        <v>8823</v>
      </c>
      <c r="B8823">
        <f>IF(INDEX('Data Entry'!$H$5:$BE$10004,8823-4,'Visual SPC'!$B$3)="",0,IF(AND(OR('Visual SPC'!$C$4="",'Data Entry'!$C8823&gt;='Visual SPC'!$C$4),OR('Visual SPC'!$E$4="",'Data Entry'!$C8823&lt;='Visual SPC'!$E$4),OR('Visual SPC'!$G$4="",'Data Entry'!$D8823='Visual SPC'!$G$4),OR('Visual SPC'!$I$4="",'Data Entry'!$E8823='Visual SPC'!$I$4),OR('Visual SPC'!$K$4="",'Data Entry'!$F8823='Visual SPC'!$K$4)),1,0))</f>
        <v/>
      </c>
      <c r="C8823">
        <f>C8822+B8823</f>
        <v/>
      </c>
      <c r="D8823">
        <f>IF(B8823=1,INDEX('Data Entry'!$H$5:$BE$10004,8823-4,'Visual SPC'!$B$3),"")</f>
        <v/>
      </c>
      <c r="E8823">
        <f>IF(B8823=1,D8823,E8822)</f>
        <v/>
      </c>
      <c r="F8823">
        <f>IF(AND(B8823=1,C8823&gt;1,E8822&lt;&gt;""),ABS(D8823-E8822),"")</f>
        <v/>
      </c>
    </row>
    <row r="8824">
      <c r="A8824" t="n">
        <v>8824</v>
      </c>
      <c r="B8824">
        <f>IF(INDEX('Data Entry'!$H$5:$BE$10004,8824-4,'Visual SPC'!$B$3)="",0,IF(AND(OR('Visual SPC'!$C$4="",'Data Entry'!$C8824&gt;='Visual SPC'!$C$4),OR('Visual SPC'!$E$4="",'Data Entry'!$C8824&lt;='Visual SPC'!$E$4),OR('Visual SPC'!$G$4="",'Data Entry'!$D8824='Visual SPC'!$G$4),OR('Visual SPC'!$I$4="",'Data Entry'!$E8824='Visual SPC'!$I$4),OR('Visual SPC'!$K$4="",'Data Entry'!$F8824='Visual SPC'!$K$4)),1,0))</f>
        <v/>
      </c>
      <c r="C8824">
        <f>C8823+B8824</f>
        <v/>
      </c>
      <c r="D8824">
        <f>IF(B8824=1,INDEX('Data Entry'!$H$5:$BE$10004,8824-4,'Visual SPC'!$B$3),"")</f>
        <v/>
      </c>
      <c r="E8824">
        <f>IF(B8824=1,D8824,E8823)</f>
        <v/>
      </c>
      <c r="F8824">
        <f>IF(AND(B8824=1,C8824&gt;1,E8823&lt;&gt;""),ABS(D8824-E8823),"")</f>
        <v/>
      </c>
    </row>
    <row r="8825">
      <c r="A8825" t="n">
        <v>8825</v>
      </c>
      <c r="B8825">
        <f>IF(INDEX('Data Entry'!$H$5:$BE$10004,8825-4,'Visual SPC'!$B$3)="",0,IF(AND(OR('Visual SPC'!$C$4="",'Data Entry'!$C8825&gt;='Visual SPC'!$C$4),OR('Visual SPC'!$E$4="",'Data Entry'!$C8825&lt;='Visual SPC'!$E$4),OR('Visual SPC'!$G$4="",'Data Entry'!$D8825='Visual SPC'!$G$4),OR('Visual SPC'!$I$4="",'Data Entry'!$E8825='Visual SPC'!$I$4),OR('Visual SPC'!$K$4="",'Data Entry'!$F8825='Visual SPC'!$K$4)),1,0))</f>
        <v/>
      </c>
      <c r="C8825">
        <f>C8824+B8825</f>
        <v/>
      </c>
      <c r="D8825">
        <f>IF(B8825=1,INDEX('Data Entry'!$H$5:$BE$10004,8825-4,'Visual SPC'!$B$3),"")</f>
        <v/>
      </c>
      <c r="E8825">
        <f>IF(B8825=1,D8825,E8824)</f>
        <v/>
      </c>
      <c r="F8825">
        <f>IF(AND(B8825=1,C8825&gt;1,E8824&lt;&gt;""),ABS(D8825-E8824),"")</f>
        <v/>
      </c>
    </row>
    <row r="8826">
      <c r="A8826" t="n">
        <v>8826</v>
      </c>
      <c r="B8826">
        <f>IF(INDEX('Data Entry'!$H$5:$BE$10004,8826-4,'Visual SPC'!$B$3)="",0,IF(AND(OR('Visual SPC'!$C$4="",'Data Entry'!$C8826&gt;='Visual SPC'!$C$4),OR('Visual SPC'!$E$4="",'Data Entry'!$C8826&lt;='Visual SPC'!$E$4),OR('Visual SPC'!$G$4="",'Data Entry'!$D8826='Visual SPC'!$G$4),OR('Visual SPC'!$I$4="",'Data Entry'!$E8826='Visual SPC'!$I$4),OR('Visual SPC'!$K$4="",'Data Entry'!$F8826='Visual SPC'!$K$4)),1,0))</f>
        <v/>
      </c>
      <c r="C8826">
        <f>C8825+B8826</f>
        <v/>
      </c>
      <c r="D8826">
        <f>IF(B8826=1,INDEX('Data Entry'!$H$5:$BE$10004,8826-4,'Visual SPC'!$B$3),"")</f>
        <v/>
      </c>
      <c r="E8826">
        <f>IF(B8826=1,D8826,E8825)</f>
        <v/>
      </c>
      <c r="F8826">
        <f>IF(AND(B8826=1,C8826&gt;1,E8825&lt;&gt;""),ABS(D8826-E8825),"")</f>
        <v/>
      </c>
    </row>
    <row r="8827">
      <c r="A8827" t="n">
        <v>8827</v>
      </c>
      <c r="B8827">
        <f>IF(INDEX('Data Entry'!$H$5:$BE$10004,8827-4,'Visual SPC'!$B$3)="",0,IF(AND(OR('Visual SPC'!$C$4="",'Data Entry'!$C8827&gt;='Visual SPC'!$C$4),OR('Visual SPC'!$E$4="",'Data Entry'!$C8827&lt;='Visual SPC'!$E$4),OR('Visual SPC'!$G$4="",'Data Entry'!$D8827='Visual SPC'!$G$4),OR('Visual SPC'!$I$4="",'Data Entry'!$E8827='Visual SPC'!$I$4),OR('Visual SPC'!$K$4="",'Data Entry'!$F8827='Visual SPC'!$K$4)),1,0))</f>
        <v/>
      </c>
      <c r="C8827">
        <f>C8826+B8827</f>
        <v/>
      </c>
      <c r="D8827">
        <f>IF(B8827=1,INDEX('Data Entry'!$H$5:$BE$10004,8827-4,'Visual SPC'!$B$3),"")</f>
        <v/>
      </c>
      <c r="E8827">
        <f>IF(B8827=1,D8827,E8826)</f>
        <v/>
      </c>
      <c r="F8827">
        <f>IF(AND(B8827=1,C8827&gt;1,E8826&lt;&gt;""),ABS(D8827-E8826),"")</f>
        <v/>
      </c>
    </row>
    <row r="8828">
      <c r="A8828" t="n">
        <v>8828</v>
      </c>
      <c r="B8828">
        <f>IF(INDEX('Data Entry'!$H$5:$BE$10004,8828-4,'Visual SPC'!$B$3)="",0,IF(AND(OR('Visual SPC'!$C$4="",'Data Entry'!$C8828&gt;='Visual SPC'!$C$4),OR('Visual SPC'!$E$4="",'Data Entry'!$C8828&lt;='Visual SPC'!$E$4),OR('Visual SPC'!$G$4="",'Data Entry'!$D8828='Visual SPC'!$G$4),OR('Visual SPC'!$I$4="",'Data Entry'!$E8828='Visual SPC'!$I$4),OR('Visual SPC'!$K$4="",'Data Entry'!$F8828='Visual SPC'!$K$4)),1,0))</f>
        <v/>
      </c>
      <c r="C8828">
        <f>C8827+B8828</f>
        <v/>
      </c>
      <c r="D8828">
        <f>IF(B8828=1,INDEX('Data Entry'!$H$5:$BE$10004,8828-4,'Visual SPC'!$B$3),"")</f>
        <v/>
      </c>
      <c r="E8828">
        <f>IF(B8828=1,D8828,E8827)</f>
        <v/>
      </c>
      <c r="F8828">
        <f>IF(AND(B8828=1,C8828&gt;1,E8827&lt;&gt;""),ABS(D8828-E8827),"")</f>
        <v/>
      </c>
    </row>
    <row r="8829">
      <c r="A8829" t="n">
        <v>8829</v>
      </c>
      <c r="B8829">
        <f>IF(INDEX('Data Entry'!$H$5:$BE$10004,8829-4,'Visual SPC'!$B$3)="",0,IF(AND(OR('Visual SPC'!$C$4="",'Data Entry'!$C8829&gt;='Visual SPC'!$C$4),OR('Visual SPC'!$E$4="",'Data Entry'!$C8829&lt;='Visual SPC'!$E$4),OR('Visual SPC'!$G$4="",'Data Entry'!$D8829='Visual SPC'!$G$4),OR('Visual SPC'!$I$4="",'Data Entry'!$E8829='Visual SPC'!$I$4),OR('Visual SPC'!$K$4="",'Data Entry'!$F8829='Visual SPC'!$K$4)),1,0))</f>
        <v/>
      </c>
      <c r="C8829">
        <f>C8828+B8829</f>
        <v/>
      </c>
      <c r="D8829">
        <f>IF(B8829=1,INDEX('Data Entry'!$H$5:$BE$10004,8829-4,'Visual SPC'!$B$3),"")</f>
        <v/>
      </c>
      <c r="E8829">
        <f>IF(B8829=1,D8829,E8828)</f>
        <v/>
      </c>
      <c r="F8829">
        <f>IF(AND(B8829=1,C8829&gt;1,E8828&lt;&gt;""),ABS(D8829-E8828),"")</f>
        <v/>
      </c>
    </row>
    <row r="8830">
      <c r="A8830" t="n">
        <v>8830</v>
      </c>
      <c r="B8830">
        <f>IF(INDEX('Data Entry'!$H$5:$BE$10004,8830-4,'Visual SPC'!$B$3)="",0,IF(AND(OR('Visual SPC'!$C$4="",'Data Entry'!$C8830&gt;='Visual SPC'!$C$4),OR('Visual SPC'!$E$4="",'Data Entry'!$C8830&lt;='Visual SPC'!$E$4),OR('Visual SPC'!$G$4="",'Data Entry'!$D8830='Visual SPC'!$G$4),OR('Visual SPC'!$I$4="",'Data Entry'!$E8830='Visual SPC'!$I$4),OR('Visual SPC'!$K$4="",'Data Entry'!$F8830='Visual SPC'!$K$4)),1,0))</f>
        <v/>
      </c>
      <c r="C8830">
        <f>C8829+B8830</f>
        <v/>
      </c>
      <c r="D8830">
        <f>IF(B8830=1,INDEX('Data Entry'!$H$5:$BE$10004,8830-4,'Visual SPC'!$B$3),"")</f>
        <v/>
      </c>
      <c r="E8830">
        <f>IF(B8830=1,D8830,E8829)</f>
        <v/>
      </c>
      <c r="F8830">
        <f>IF(AND(B8830=1,C8830&gt;1,E8829&lt;&gt;""),ABS(D8830-E8829),"")</f>
        <v/>
      </c>
    </row>
    <row r="8831">
      <c r="A8831" t="n">
        <v>8831</v>
      </c>
      <c r="B8831">
        <f>IF(INDEX('Data Entry'!$H$5:$BE$10004,8831-4,'Visual SPC'!$B$3)="",0,IF(AND(OR('Visual SPC'!$C$4="",'Data Entry'!$C8831&gt;='Visual SPC'!$C$4),OR('Visual SPC'!$E$4="",'Data Entry'!$C8831&lt;='Visual SPC'!$E$4),OR('Visual SPC'!$G$4="",'Data Entry'!$D8831='Visual SPC'!$G$4),OR('Visual SPC'!$I$4="",'Data Entry'!$E8831='Visual SPC'!$I$4),OR('Visual SPC'!$K$4="",'Data Entry'!$F8831='Visual SPC'!$K$4)),1,0))</f>
        <v/>
      </c>
      <c r="C8831">
        <f>C8830+B8831</f>
        <v/>
      </c>
      <c r="D8831">
        <f>IF(B8831=1,INDEX('Data Entry'!$H$5:$BE$10004,8831-4,'Visual SPC'!$B$3),"")</f>
        <v/>
      </c>
      <c r="E8831">
        <f>IF(B8831=1,D8831,E8830)</f>
        <v/>
      </c>
      <c r="F8831">
        <f>IF(AND(B8831=1,C8831&gt;1,E8830&lt;&gt;""),ABS(D8831-E8830),"")</f>
        <v/>
      </c>
    </row>
    <row r="8832">
      <c r="A8832" t="n">
        <v>8832</v>
      </c>
      <c r="B8832">
        <f>IF(INDEX('Data Entry'!$H$5:$BE$10004,8832-4,'Visual SPC'!$B$3)="",0,IF(AND(OR('Visual SPC'!$C$4="",'Data Entry'!$C8832&gt;='Visual SPC'!$C$4),OR('Visual SPC'!$E$4="",'Data Entry'!$C8832&lt;='Visual SPC'!$E$4),OR('Visual SPC'!$G$4="",'Data Entry'!$D8832='Visual SPC'!$G$4),OR('Visual SPC'!$I$4="",'Data Entry'!$E8832='Visual SPC'!$I$4),OR('Visual SPC'!$K$4="",'Data Entry'!$F8832='Visual SPC'!$K$4)),1,0))</f>
        <v/>
      </c>
      <c r="C8832">
        <f>C8831+B8832</f>
        <v/>
      </c>
      <c r="D8832">
        <f>IF(B8832=1,INDEX('Data Entry'!$H$5:$BE$10004,8832-4,'Visual SPC'!$B$3),"")</f>
        <v/>
      </c>
      <c r="E8832">
        <f>IF(B8832=1,D8832,E8831)</f>
        <v/>
      </c>
      <c r="F8832">
        <f>IF(AND(B8832=1,C8832&gt;1,E8831&lt;&gt;""),ABS(D8832-E8831),"")</f>
        <v/>
      </c>
    </row>
    <row r="8833">
      <c r="A8833" t="n">
        <v>8833</v>
      </c>
      <c r="B8833">
        <f>IF(INDEX('Data Entry'!$H$5:$BE$10004,8833-4,'Visual SPC'!$B$3)="",0,IF(AND(OR('Visual SPC'!$C$4="",'Data Entry'!$C8833&gt;='Visual SPC'!$C$4),OR('Visual SPC'!$E$4="",'Data Entry'!$C8833&lt;='Visual SPC'!$E$4),OR('Visual SPC'!$G$4="",'Data Entry'!$D8833='Visual SPC'!$G$4),OR('Visual SPC'!$I$4="",'Data Entry'!$E8833='Visual SPC'!$I$4),OR('Visual SPC'!$K$4="",'Data Entry'!$F8833='Visual SPC'!$K$4)),1,0))</f>
        <v/>
      </c>
      <c r="C8833">
        <f>C8832+B8833</f>
        <v/>
      </c>
      <c r="D8833">
        <f>IF(B8833=1,INDEX('Data Entry'!$H$5:$BE$10004,8833-4,'Visual SPC'!$B$3),"")</f>
        <v/>
      </c>
      <c r="E8833">
        <f>IF(B8833=1,D8833,E8832)</f>
        <v/>
      </c>
      <c r="F8833">
        <f>IF(AND(B8833=1,C8833&gt;1,E8832&lt;&gt;""),ABS(D8833-E8832),"")</f>
        <v/>
      </c>
    </row>
    <row r="8834">
      <c r="A8834" t="n">
        <v>8834</v>
      </c>
      <c r="B8834">
        <f>IF(INDEX('Data Entry'!$H$5:$BE$10004,8834-4,'Visual SPC'!$B$3)="",0,IF(AND(OR('Visual SPC'!$C$4="",'Data Entry'!$C8834&gt;='Visual SPC'!$C$4),OR('Visual SPC'!$E$4="",'Data Entry'!$C8834&lt;='Visual SPC'!$E$4),OR('Visual SPC'!$G$4="",'Data Entry'!$D8834='Visual SPC'!$G$4),OR('Visual SPC'!$I$4="",'Data Entry'!$E8834='Visual SPC'!$I$4),OR('Visual SPC'!$K$4="",'Data Entry'!$F8834='Visual SPC'!$K$4)),1,0))</f>
        <v/>
      </c>
      <c r="C8834">
        <f>C8833+B8834</f>
        <v/>
      </c>
      <c r="D8834">
        <f>IF(B8834=1,INDEX('Data Entry'!$H$5:$BE$10004,8834-4,'Visual SPC'!$B$3),"")</f>
        <v/>
      </c>
      <c r="E8834">
        <f>IF(B8834=1,D8834,E8833)</f>
        <v/>
      </c>
      <c r="F8834">
        <f>IF(AND(B8834=1,C8834&gt;1,E8833&lt;&gt;""),ABS(D8834-E8833),"")</f>
        <v/>
      </c>
    </row>
    <row r="8835">
      <c r="A8835" t="n">
        <v>8835</v>
      </c>
      <c r="B8835">
        <f>IF(INDEX('Data Entry'!$H$5:$BE$10004,8835-4,'Visual SPC'!$B$3)="",0,IF(AND(OR('Visual SPC'!$C$4="",'Data Entry'!$C8835&gt;='Visual SPC'!$C$4),OR('Visual SPC'!$E$4="",'Data Entry'!$C8835&lt;='Visual SPC'!$E$4),OR('Visual SPC'!$G$4="",'Data Entry'!$D8835='Visual SPC'!$G$4),OR('Visual SPC'!$I$4="",'Data Entry'!$E8835='Visual SPC'!$I$4),OR('Visual SPC'!$K$4="",'Data Entry'!$F8835='Visual SPC'!$K$4)),1,0))</f>
        <v/>
      </c>
      <c r="C8835">
        <f>C8834+B8835</f>
        <v/>
      </c>
      <c r="D8835">
        <f>IF(B8835=1,INDEX('Data Entry'!$H$5:$BE$10004,8835-4,'Visual SPC'!$B$3),"")</f>
        <v/>
      </c>
      <c r="E8835">
        <f>IF(B8835=1,D8835,E8834)</f>
        <v/>
      </c>
      <c r="F8835">
        <f>IF(AND(B8835=1,C8835&gt;1,E8834&lt;&gt;""),ABS(D8835-E8834),"")</f>
        <v/>
      </c>
    </row>
    <row r="8836">
      <c r="A8836" t="n">
        <v>8836</v>
      </c>
      <c r="B8836">
        <f>IF(INDEX('Data Entry'!$H$5:$BE$10004,8836-4,'Visual SPC'!$B$3)="",0,IF(AND(OR('Visual SPC'!$C$4="",'Data Entry'!$C8836&gt;='Visual SPC'!$C$4),OR('Visual SPC'!$E$4="",'Data Entry'!$C8836&lt;='Visual SPC'!$E$4),OR('Visual SPC'!$G$4="",'Data Entry'!$D8836='Visual SPC'!$G$4),OR('Visual SPC'!$I$4="",'Data Entry'!$E8836='Visual SPC'!$I$4),OR('Visual SPC'!$K$4="",'Data Entry'!$F8836='Visual SPC'!$K$4)),1,0))</f>
        <v/>
      </c>
      <c r="C8836">
        <f>C8835+B8836</f>
        <v/>
      </c>
      <c r="D8836">
        <f>IF(B8836=1,INDEX('Data Entry'!$H$5:$BE$10004,8836-4,'Visual SPC'!$B$3),"")</f>
        <v/>
      </c>
      <c r="E8836">
        <f>IF(B8836=1,D8836,E8835)</f>
        <v/>
      </c>
      <c r="F8836">
        <f>IF(AND(B8836=1,C8836&gt;1,E8835&lt;&gt;""),ABS(D8836-E8835),"")</f>
        <v/>
      </c>
    </row>
    <row r="8837">
      <c r="A8837" t="n">
        <v>8837</v>
      </c>
      <c r="B8837">
        <f>IF(INDEX('Data Entry'!$H$5:$BE$10004,8837-4,'Visual SPC'!$B$3)="",0,IF(AND(OR('Visual SPC'!$C$4="",'Data Entry'!$C8837&gt;='Visual SPC'!$C$4),OR('Visual SPC'!$E$4="",'Data Entry'!$C8837&lt;='Visual SPC'!$E$4),OR('Visual SPC'!$G$4="",'Data Entry'!$D8837='Visual SPC'!$G$4),OR('Visual SPC'!$I$4="",'Data Entry'!$E8837='Visual SPC'!$I$4),OR('Visual SPC'!$K$4="",'Data Entry'!$F8837='Visual SPC'!$K$4)),1,0))</f>
        <v/>
      </c>
      <c r="C8837">
        <f>C8836+B8837</f>
        <v/>
      </c>
      <c r="D8837">
        <f>IF(B8837=1,INDEX('Data Entry'!$H$5:$BE$10004,8837-4,'Visual SPC'!$B$3),"")</f>
        <v/>
      </c>
      <c r="E8837">
        <f>IF(B8837=1,D8837,E8836)</f>
        <v/>
      </c>
      <c r="F8837">
        <f>IF(AND(B8837=1,C8837&gt;1,E8836&lt;&gt;""),ABS(D8837-E8836),"")</f>
        <v/>
      </c>
    </row>
    <row r="8838">
      <c r="A8838" t="n">
        <v>8838</v>
      </c>
      <c r="B8838">
        <f>IF(INDEX('Data Entry'!$H$5:$BE$10004,8838-4,'Visual SPC'!$B$3)="",0,IF(AND(OR('Visual SPC'!$C$4="",'Data Entry'!$C8838&gt;='Visual SPC'!$C$4),OR('Visual SPC'!$E$4="",'Data Entry'!$C8838&lt;='Visual SPC'!$E$4),OR('Visual SPC'!$G$4="",'Data Entry'!$D8838='Visual SPC'!$G$4),OR('Visual SPC'!$I$4="",'Data Entry'!$E8838='Visual SPC'!$I$4),OR('Visual SPC'!$K$4="",'Data Entry'!$F8838='Visual SPC'!$K$4)),1,0))</f>
        <v/>
      </c>
      <c r="C8838">
        <f>C8837+B8838</f>
        <v/>
      </c>
      <c r="D8838">
        <f>IF(B8838=1,INDEX('Data Entry'!$H$5:$BE$10004,8838-4,'Visual SPC'!$B$3),"")</f>
        <v/>
      </c>
      <c r="E8838">
        <f>IF(B8838=1,D8838,E8837)</f>
        <v/>
      </c>
      <c r="F8838">
        <f>IF(AND(B8838=1,C8838&gt;1,E8837&lt;&gt;""),ABS(D8838-E8837),"")</f>
        <v/>
      </c>
    </row>
    <row r="8839">
      <c r="A8839" t="n">
        <v>8839</v>
      </c>
      <c r="B8839">
        <f>IF(INDEX('Data Entry'!$H$5:$BE$10004,8839-4,'Visual SPC'!$B$3)="",0,IF(AND(OR('Visual SPC'!$C$4="",'Data Entry'!$C8839&gt;='Visual SPC'!$C$4),OR('Visual SPC'!$E$4="",'Data Entry'!$C8839&lt;='Visual SPC'!$E$4),OR('Visual SPC'!$G$4="",'Data Entry'!$D8839='Visual SPC'!$G$4),OR('Visual SPC'!$I$4="",'Data Entry'!$E8839='Visual SPC'!$I$4),OR('Visual SPC'!$K$4="",'Data Entry'!$F8839='Visual SPC'!$K$4)),1,0))</f>
        <v/>
      </c>
      <c r="C8839">
        <f>C8838+B8839</f>
        <v/>
      </c>
      <c r="D8839">
        <f>IF(B8839=1,INDEX('Data Entry'!$H$5:$BE$10004,8839-4,'Visual SPC'!$B$3),"")</f>
        <v/>
      </c>
      <c r="E8839">
        <f>IF(B8839=1,D8839,E8838)</f>
        <v/>
      </c>
      <c r="F8839">
        <f>IF(AND(B8839=1,C8839&gt;1,E8838&lt;&gt;""),ABS(D8839-E8838),"")</f>
        <v/>
      </c>
    </row>
    <row r="8840">
      <c r="A8840" t="n">
        <v>8840</v>
      </c>
      <c r="B8840">
        <f>IF(INDEX('Data Entry'!$H$5:$BE$10004,8840-4,'Visual SPC'!$B$3)="",0,IF(AND(OR('Visual SPC'!$C$4="",'Data Entry'!$C8840&gt;='Visual SPC'!$C$4),OR('Visual SPC'!$E$4="",'Data Entry'!$C8840&lt;='Visual SPC'!$E$4),OR('Visual SPC'!$G$4="",'Data Entry'!$D8840='Visual SPC'!$G$4),OR('Visual SPC'!$I$4="",'Data Entry'!$E8840='Visual SPC'!$I$4),OR('Visual SPC'!$K$4="",'Data Entry'!$F8840='Visual SPC'!$K$4)),1,0))</f>
        <v/>
      </c>
      <c r="C8840">
        <f>C8839+B8840</f>
        <v/>
      </c>
      <c r="D8840">
        <f>IF(B8840=1,INDEX('Data Entry'!$H$5:$BE$10004,8840-4,'Visual SPC'!$B$3),"")</f>
        <v/>
      </c>
      <c r="E8840">
        <f>IF(B8840=1,D8840,E8839)</f>
        <v/>
      </c>
      <c r="F8840">
        <f>IF(AND(B8840=1,C8840&gt;1,E8839&lt;&gt;""),ABS(D8840-E8839),"")</f>
        <v/>
      </c>
    </row>
    <row r="8841">
      <c r="A8841" t="n">
        <v>8841</v>
      </c>
      <c r="B8841">
        <f>IF(INDEX('Data Entry'!$H$5:$BE$10004,8841-4,'Visual SPC'!$B$3)="",0,IF(AND(OR('Visual SPC'!$C$4="",'Data Entry'!$C8841&gt;='Visual SPC'!$C$4),OR('Visual SPC'!$E$4="",'Data Entry'!$C8841&lt;='Visual SPC'!$E$4),OR('Visual SPC'!$G$4="",'Data Entry'!$D8841='Visual SPC'!$G$4),OR('Visual SPC'!$I$4="",'Data Entry'!$E8841='Visual SPC'!$I$4),OR('Visual SPC'!$K$4="",'Data Entry'!$F8841='Visual SPC'!$K$4)),1,0))</f>
        <v/>
      </c>
      <c r="C8841">
        <f>C8840+B8841</f>
        <v/>
      </c>
      <c r="D8841">
        <f>IF(B8841=1,INDEX('Data Entry'!$H$5:$BE$10004,8841-4,'Visual SPC'!$B$3),"")</f>
        <v/>
      </c>
      <c r="E8841">
        <f>IF(B8841=1,D8841,E8840)</f>
        <v/>
      </c>
      <c r="F8841">
        <f>IF(AND(B8841=1,C8841&gt;1,E8840&lt;&gt;""),ABS(D8841-E8840),"")</f>
        <v/>
      </c>
    </row>
    <row r="8842">
      <c r="A8842" t="n">
        <v>8842</v>
      </c>
      <c r="B8842">
        <f>IF(INDEX('Data Entry'!$H$5:$BE$10004,8842-4,'Visual SPC'!$B$3)="",0,IF(AND(OR('Visual SPC'!$C$4="",'Data Entry'!$C8842&gt;='Visual SPC'!$C$4),OR('Visual SPC'!$E$4="",'Data Entry'!$C8842&lt;='Visual SPC'!$E$4),OR('Visual SPC'!$G$4="",'Data Entry'!$D8842='Visual SPC'!$G$4),OR('Visual SPC'!$I$4="",'Data Entry'!$E8842='Visual SPC'!$I$4),OR('Visual SPC'!$K$4="",'Data Entry'!$F8842='Visual SPC'!$K$4)),1,0))</f>
        <v/>
      </c>
      <c r="C8842">
        <f>C8841+B8842</f>
        <v/>
      </c>
      <c r="D8842">
        <f>IF(B8842=1,INDEX('Data Entry'!$H$5:$BE$10004,8842-4,'Visual SPC'!$B$3),"")</f>
        <v/>
      </c>
      <c r="E8842">
        <f>IF(B8842=1,D8842,E8841)</f>
        <v/>
      </c>
      <c r="F8842">
        <f>IF(AND(B8842=1,C8842&gt;1,E8841&lt;&gt;""),ABS(D8842-E8841),"")</f>
        <v/>
      </c>
    </row>
    <row r="8843">
      <c r="A8843" t="n">
        <v>8843</v>
      </c>
      <c r="B8843">
        <f>IF(INDEX('Data Entry'!$H$5:$BE$10004,8843-4,'Visual SPC'!$B$3)="",0,IF(AND(OR('Visual SPC'!$C$4="",'Data Entry'!$C8843&gt;='Visual SPC'!$C$4),OR('Visual SPC'!$E$4="",'Data Entry'!$C8843&lt;='Visual SPC'!$E$4),OR('Visual SPC'!$G$4="",'Data Entry'!$D8843='Visual SPC'!$G$4),OR('Visual SPC'!$I$4="",'Data Entry'!$E8843='Visual SPC'!$I$4),OR('Visual SPC'!$K$4="",'Data Entry'!$F8843='Visual SPC'!$K$4)),1,0))</f>
        <v/>
      </c>
      <c r="C8843">
        <f>C8842+B8843</f>
        <v/>
      </c>
      <c r="D8843">
        <f>IF(B8843=1,INDEX('Data Entry'!$H$5:$BE$10004,8843-4,'Visual SPC'!$B$3),"")</f>
        <v/>
      </c>
      <c r="E8843">
        <f>IF(B8843=1,D8843,E8842)</f>
        <v/>
      </c>
      <c r="F8843">
        <f>IF(AND(B8843=1,C8843&gt;1,E8842&lt;&gt;""),ABS(D8843-E8842),"")</f>
        <v/>
      </c>
    </row>
    <row r="8844">
      <c r="A8844" t="n">
        <v>8844</v>
      </c>
      <c r="B8844">
        <f>IF(INDEX('Data Entry'!$H$5:$BE$10004,8844-4,'Visual SPC'!$B$3)="",0,IF(AND(OR('Visual SPC'!$C$4="",'Data Entry'!$C8844&gt;='Visual SPC'!$C$4),OR('Visual SPC'!$E$4="",'Data Entry'!$C8844&lt;='Visual SPC'!$E$4),OR('Visual SPC'!$G$4="",'Data Entry'!$D8844='Visual SPC'!$G$4),OR('Visual SPC'!$I$4="",'Data Entry'!$E8844='Visual SPC'!$I$4),OR('Visual SPC'!$K$4="",'Data Entry'!$F8844='Visual SPC'!$K$4)),1,0))</f>
        <v/>
      </c>
      <c r="C8844">
        <f>C8843+B8844</f>
        <v/>
      </c>
      <c r="D8844">
        <f>IF(B8844=1,INDEX('Data Entry'!$H$5:$BE$10004,8844-4,'Visual SPC'!$B$3),"")</f>
        <v/>
      </c>
      <c r="E8844">
        <f>IF(B8844=1,D8844,E8843)</f>
        <v/>
      </c>
      <c r="F8844">
        <f>IF(AND(B8844=1,C8844&gt;1,E8843&lt;&gt;""),ABS(D8844-E8843),"")</f>
        <v/>
      </c>
    </row>
    <row r="8845">
      <c r="A8845" t="n">
        <v>8845</v>
      </c>
      <c r="B8845">
        <f>IF(INDEX('Data Entry'!$H$5:$BE$10004,8845-4,'Visual SPC'!$B$3)="",0,IF(AND(OR('Visual SPC'!$C$4="",'Data Entry'!$C8845&gt;='Visual SPC'!$C$4),OR('Visual SPC'!$E$4="",'Data Entry'!$C8845&lt;='Visual SPC'!$E$4),OR('Visual SPC'!$G$4="",'Data Entry'!$D8845='Visual SPC'!$G$4),OR('Visual SPC'!$I$4="",'Data Entry'!$E8845='Visual SPC'!$I$4),OR('Visual SPC'!$K$4="",'Data Entry'!$F8845='Visual SPC'!$K$4)),1,0))</f>
        <v/>
      </c>
      <c r="C8845">
        <f>C8844+B8845</f>
        <v/>
      </c>
      <c r="D8845">
        <f>IF(B8845=1,INDEX('Data Entry'!$H$5:$BE$10004,8845-4,'Visual SPC'!$B$3),"")</f>
        <v/>
      </c>
      <c r="E8845">
        <f>IF(B8845=1,D8845,E8844)</f>
        <v/>
      </c>
      <c r="F8845">
        <f>IF(AND(B8845=1,C8845&gt;1,E8844&lt;&gt;""),ABS(D8845-E8844),"")</f>
        <v/>
      </c>
    </row>
    <row r="8846">
      <c r="A8846" t="n">
        <v>8846</v>
      </c>
      <c r="B8846">
        <f>IF(INDEX('Data Entry'!$H$5:$BE$10004,8846-4,'Visual SPC'!$B$3)="",0,IF(AND(OR('Visual SPC'!$C$4="",'Data Entry'!$C8846&gt;='Visual SPC'!$C$4),OR('Visual SPC'!$E$4="",'Data Entry'!$C8846&lt;='Visual SPC'!$E$4),OR('Visual SPC'!$G$4="",'Data Entry'!$D8846='Visual SPC'!$G$4),OR('Visual SPC'!$I$4="",'Data Entry'!$E8846='Visual SPC'!$I$4),OR('Visual SPC'!$K$4="",'Data Entry'!$F8846='Visual SPC'!$K$4)),1,0))</f>
        <v/>
      </c>
      <c r="C8846">
        <f>C8845+B8846</f>
        <v/>
      </c>
      <c r="D8846">
        <f>IF(B8846=1,INDEX('Data Entry'!$H$5:$BE$10004,8846-4,'Visual SPC'!$B$3),"")</f>
        <v/>
      </c>
      <c r="E8846">
        <f>IF(B8846=1,D8846,E8845)</f>
        <v/>
      </c>
      <c r="F8846">
        <f>IF(AND(B8846=1,C8846&gt;1,E8845&lt;&gt;""),ABS(D8846-E8845),"")</f>
        <v/>
      </c>
    </row>
    <row r="8847">
      <c r="A8847" t="n">
        <v>8847</v>
      </c>
      <c r="B8847">
        <f>IF(INDEX('Data Entry'!$H$5:$BE$10004,8847-4,'Visual SPC'!$B$3)="",0,IF(AND(OR('Visual SPC'!$C$4="",'Data Entry'!$C8847&gt;='Visual SPC'!$C$4),OR('Visual SPC'!$E$4="",'Data Entry'!$C8847&lt;='Visual SPC'!$E$4),OR('Visual SPC'!$G$4="",'Data Entry'!$D8847='Visual SPC'!$G$4),OR('Visual SPC'!$I$4="",'Data Entry'!$E8847='Visual SPC'!$I$4),OR('Visual SPC'!$K$4="",'Data Entry'!$F8847='Visual SPC'!$K$4)),1,0))</f>
        <v/>
      </c>
      <c r="C8847">
        <f>C8846+B8847</f>
        <v/>
      </c>
      <c r="D8847">
        <f>IF(B8847=1,INDEX('Data Entry'!$H$5:$BE$10004,8847-4,'Visual SPC'!$B$3),"")</f>
        <v/>
      </c>
      <c r="E8847">
        <f>IF(B8847=1,D8847,E8846)</f>
        <v/>
      </c>
      <c r="F8847">
        <f>IF(AND(B8847=1,C8847&gt;1,E8846&lt;&gt;""),ABS(D8847-E8846),"")</f>
        <v/>
      </c>
    </row>
    <row r="8848">
      <c r="A8848" t="n">
        <v>8848</v>
      </c>
      <c r="B8848">
        <f>IF(INDEX('Data Entry'!$H$5:$BE$10004,8848-4,'Visual SPC'!$B$3)="",0,IF(AND(OR('Visual SPC'!$C$4="",'Data Entry'!$C8848&gt;='Visual SPC'!$C$4),OR('Visual SPC'!$E$4="",'Data Entry'!$C8848&lt;='Visual SPC'!$E$4),OR('Visual SPC'!$G$4="",'Data Entry'!$D8848='Visual SPC'!$G$4),OR('Visual SPC'!$I$4="",'Data Entry'!$E8848='Visual SPC'!$I$4),OR('Visual SPC'!$K$4="",'Data Entry'!$F8848='Visual SPC'!$K$4)),1,0))</f>
        <v/>
      </c>
      <c r="C8848">
        <f>C8847+B8848</f>
        <v/>
      </c>
      <c r="D8848">
        <f>IF(B8848=1,INDEX('Data Entry'!$H$5:$BE$10004,8848-4,'Visual SPC'!$B$3),"")</f>
        <v/>
      </c>
      <c r="E8848">
        <f>IF(B8848=1,D8848,E8847)</f>
        <v/>
      </c>
      <c r="F8848">
        <f>IF(AND(B8848=1,C8848&gt;1,E8847&lt;&gt;""),ABS(D8848-E8847),"")</f>
        <v/>
      </c>
    </row>
    <row r="8849">
      <c r="A8849" t="n">
        <v>8849</v>
      </c>
      <c r="B8849">
        <f>IF(INDEX('Data Entry'!$H$5:$BE$10004,8849-4,'Visual SPC'!$B$3)="",0,IF(AND(OR('Visual SPC'!$C$4="",'Data Entry'!$C8849&gt;='Visual SPC'!$C$4),OR('Visual SPC'!$E$4="",'Data Entry'!$C8849&lt;='Visual SPC'!$E$4),OR('Visual SPC'!$G$4="",'Data Entry'!$D8849='Visual SPC'!$G$4),OR('Visual SPC'!$I$4="",'Data Entry'!$E8849='Visual SPC'!$I$4),OR('Visual SPC'!$K$4="",'Data Entry'!$F8849='Visual SPC'!$K$4)),1,0))</f>
        <v/>
      </c>
      <c r="C8849">
        <f>C8848+B8849</f>
        <v/>
      </c>
      <c r="D8849">
        <f>IF(B8849=1,INDEX('Data Entry'!$H$5:$BE$10004,8849-4,'Visual SPC'!$B$3),"")</f>
        <v/>
      </c>
      <c r="E8849">
        <f>IF(B8849=1,D8849,E8848)</f>
        <v/>
      </c>
      <c r="F8849">
        <f>IF(AND(B8849=1,C8849&gt;1,E8848&lt;&gt;""),ABS(D8849-E8848),"")</f>
        <v/>
      </c>
    </row>
    <row r="8850">
      <c r="A8850" t="n">
        <v>8850</v>
      </c>
      <c r="B8850">
        <f>IF(INDEX('Data Entry'!$H$5:$BE$10004,8850-4,'Visual SPC'!$B$3)="",0,IF(AND(OR('Visual SPC'!$C$4="",'Data Entry'!$C8850&gt;='Visual SPC'!$C$4),OR('Visual SPC'!$E$4="",'Data Entry'!$C8850&lt;='Visual SPC'!$E$4),OR('Visual SPC'!$G$4="",'Data Entry'!$D8850='Visual SPC'!$G$4),OR('Visual SPC'!$I$4="",'Data Entry'!$E8850='Visual SPC'!$I$4),OR('Visual SPC'!$K$4="",'Data Entry'!$F8850='Visual SPC'!$K$4)),1,0))</f>
        <v/>
      </c>
      <c r="C8850">
        <f>C8849+B8850</f>
        <v/>
      </c>
      <c r="D8850">
        <f>IF(B8850=1,INDEX('Data Entry'!$H$5:$BE$10004,8850-4,'Visual SPC'!$B$3),"")</f>
        <v/>
      </c>
      <c r="E8850">
        <f>IF(B8850=1,D8850,E8849)</f>
        <v/>
      </c>
      <c r="F8850">
        <f>IF(AND(B8850=1,C8850&gt;1,E8849&lt;&gt;""),ABS(D8850-E8849),"")</f>
        <v/>
      </c>
    </row>
    <row r="8851">
      <c r="A8851" t="n">
        <v>8851</v>
      </c>
      <c r="B8851">
        <f>IF(INDEX('Data Entry'!$H$5:$BE$10004,8851-4,'Visual SPC'!$B$3)="",0,IF(AND(OR('Visual SPC'!$C$4="",'Data Entry'!$C8851&gt;='Visual SPC'!$C$4),OR('Visual SPC'!$E$4="",'Data Entry'!$C8851&lt;='Visual SPC'!$E$4),OR('Visual SPC'!$G$4="",'Data Entry'!$D8851='Visual SPC'!$G$4),OR('Visual SPC'!$I$4="",'Data Entry'!$E8851='Visual SPC'!$I$4),OR('Visual SPC'!$K$4="",'Data Entry'!$F8851='Visual SPC'!$K$4)),1,0))</f>
        <v/>
      </c>
      <c r="C8851">
        <f>C8850+B8851</f>
        <v/>
      </c>
      <c r="D8851">
        <f>IF(B8851=1,INDEX('Data Entry'!$H$5:$BE$10004,8851-4,'Visual SPC'!$B$3),"")</f>
        <v/>
      </c>
      <c r="E8851">
        <f>IF(B8851=1,D8851,E8850)</f>
        <v/>
      </c>
      <c r="F8851">
        <f>IF(AND(B8851=1,C8851&gt;1,E8850&lt;&gt;""),ABS(D8851-E8850),"")</f>
        <v/>
      </c>
    </row>
    <row r="8852">
      <c r="A8852" t="n">
        <v>8852</v>
      </c>
      <c r="B8852">
        <f>IF(INDEX('Data Entry'!$H$5:$BE$10004,8852-4,'Visual SPC'!$B$3)="",0,IF(AND(OR('Visual SPC'!$C$4="",'Data Entry'!$C8852&gt;='Visual SPC'!$C$4),OR('Visual SPC'!$E$4="",'Data Entry'!$C8852&lt;='Visual SPC'!$E$4),OR('Visual SPC'!$G$4="",'Data Entry'!$D8852='Visual SPC'!$G$4),OR('Visual SPC'!$I$4="",'Data Entry'!$E8852='Visual SPC'!$I$4),OR('Visual SPC'!$K$4="",'Data Entry'!$F8852='Visual SPC'!$K$4)),1,0))</f>
        <v/>
      </c>
      <c r="C8852">
        <f>C8851+B8852</f>
        <v/>
      </c>
      <c r="D8852">
        <f>IF(B8852=1,INDEX('Data Entry'!$H$5:$BE$10004,8852-4,'Visual SPC'!$B$3),"")</f>
        <v/>
      </c>
      <c r="E8852">
        <f>IF(B8852=1,D8852,E8851)</f>
        <v/>
      </c>
      <c r="F8852">
        <f>IF(AND(B8852=1,C8852&gt;1,E8851&lt;&gt;""),ABS(D8852-E8851),"")</f>
        <v/>
      </c>
    </row>
    <row r="8853">
      <c r="A8853" t="n">
        <v>8853</v>
      </c>
      <c r="B8853">
        <f>IF(INDEX('Data Entry'!$H$5:$BE$10004,8853-4,'Visual SPC'!$B$3)="",0,IF(AND(OR('Visual SPC'!$C$4="",'Data Entry'!$C8853&gt;='Visual SPC'!$C$4),OR('Visual SPC'!$E$4="",'Data Entry'!$C8853&lt;='Visual SPC'!$E$4),OR('Visual SPC'!$G$4="",'Data Entry'!$D8853='Visual SPC'!$G$4),OR('Visual SPC'!$I$4="",'Data Entry'!$E8853='Visual SPC'!$I$4),OR('Visual SPC'!$K$4="",'Data Entry'!$F8853='Visual SPC'!$K$4)),1,0))</f>
        <v/>
      </c>
      <c r="C8853">
        <f>C8852+B8853</f>
        <v/>
      </c>
      <c r="D8853">
        <f>IF(B8853=1,INDEX('Data Entry'!$H$5:$BE$10004,8853-4,'Visual SPC'!$B$3),"")</f>
        <v/>
      </c>
      <c r="E8853">
        <f>IF(B8853=1,D8853,E8852)</f>
        <v/>
      </c>
      <c r="F8853">
        <f>IF(AND(B8853=1,C8853&gt;1,E8852&lt;&gt;""),ABS(D8853-E8852),"")</f>
        <v/>
      </c>
    </row>
    <row r="8854">
      <c r="A8854" t="n">
        <v>8854</v>
      </c>
      <c r="B8854">
        <f>IF(INDEX('Data Entry'!$H$5:$BE$10004,8854-4,'Visual SPC'!$B$3)="",0,IF(AND(OR('Visual SPC'!$C$4="",'Data Entry'!$C8854&gt;='Visual SPC'!$C$4),OR('Visual SPC'!$E$4="",'Data Entry'!$C8854&lt;='Visual SPC'!$E$4),OR('Visual SPC'!$G$4="",'Data Entry'!$D8854='Visual SPC'!$G$4),OR('Visual SPC'!$I$4="",'Data Entry'!$E8854='Visual SPC'!$I$4),OR('Visual SPC'!$K$4="",'Data Entry'!$F8854='Visual SPC'!$K$4)),1,0))</f>
        <v/>
      </c>
      <c r="C8854">
        <f>C8853+B8854</f>
        <v/>
      </c>
      <c r="D8854">
        <f>IF(B8854=1,INDEX('Data Entry'!$H$5:$BE$10004,8854-4,'Visual SPC'!$B$3),"")</f>
        <v/>
      </c>
      <c r="E8854">
        <f>IF(B8854=1,D8854,E8853)</f>
        <v/>
      </c>
      <c r="F8854">
        <f>IF(AND(B8854=1,C8854&gt;1,E8853&lt;&gt;""),ABS(D8854-E8853),"")</f>
        <v/>
      </c>
    </row>
    <row r="8855">
      <c r="A8855" t="n">
        <v>8855</v>
      </c>
      <c r="B8855">
        <f>IF(INDEX('Data Entry'!$H$5:$BE$10004,8855-4,'Visual SPC'!$B$3)="",0,IF(AND(OR('Visual SPC'!$C$4="",'Data Entry'!$C8855&gt;='Visual SPC'!$C$4),OR('Visual SPC'!$E$4="",'Data Entry'!$C8855&lt;='Visual SPC'!$E$4),OR('Visual SPC'!$G$4="",'Data Entry'!$D8855='Visual SPC'!$G$4),OR('Visual SPC'!$I$4="",'Data Entry'!$E8855='Visual SPC'!$I$4),OR('Visual SPC'!$K$4="",'Data Entry'!$F8855='Visual SPC'!$K$4)),1,0))</f>
        <v/>
      </c>
      <c r="C8855">
        <f>C8854+B8855</f>
        <v/>
      </c>
      <c r="D8855">
        <f>IF(B8855=1,INDEX('Data Entry'!$H$5:$BE$10004,8855-4,'Visual SPC'!$B$3),"")</f>
        <v/>
      </c>
      <c r="E8855">
        <f>IF(B8855=1,D8855,E8854)</f>
        <v/>
      </c>
      <c r="F8855">
        <f>IF(AND(B8855=1,C8855&gt;1,E8854&lt;&gt;""),ABS(D8855-E8854),"")</f>
        <v/>
      </c>
    </row>
    <row r="8856">
      <c r="A8856" t="n">
        <v>8856</v>
      </c>
      <c r="B8856">
        <f>IF(INDEX('Data Entry'!$H$5:$BE$10004,8856-4,'Visual SPC'!$B$3)="",0,IF(AND(OR('Visual SPC'!$C$4="",'Data Entry'!$C8856&gt;='Visual SPC'!$C$4),OR('Visual SPC'!$E$4="",'Data Entry'!$C8856&lt;='Visual SPC'!$E$4),OR('Visual SPC'!$G$4="",'Data Entry'!$D8856='Visual SPC'!$G$4),OR('Visual SPC'!$I$4="",'Data Entry'!$E8856='Visual SPC'!$I$4),OR('Visual SPC'!$K$4="",'Data Entry'!$F8856='Visual SPC'!$K$4)),1,0))</f>
        <v/>
      </c>
      <c r="C8856">
        <f>C8855+B8856</f>
        <v/>
      </c>
      <c r="D8856">
        <f>IF(B8856=1,INDEX('Data Entry'!$H$5:$BE$10004,8856-4,'Visual SPC'!$B$3),"")</f>
        <v/>
      </c>
      <c r="E8856">
        <f>IF(B8856=1,D8856,E8855)</f>
        <v/>
      </c>
      <c r="F8856">
        <f>IF(AND(B8856=1,C8856&gt;1,E8855&lt;&gt;""),ABS(D8856-E8855),"")</f>
        <v/>
      </c>
    </row>
    <row r="8857">
      <c r="A8857" t="n">
        <v>8857</v>
      </c>
      <c r="B8857">
        <f>IF(INDEX('Data Entry'!$H$5:$BE$10004,8857-4,'Visual SPC'!$B$3)="",0,IF(AND(OR('Visual SPC'!$C$4="",'Data Entry'!$C8857&gt;='Visual SPC'!$C$4),OR('Visual SPC'!$E$4="",'Data Entry'!$C8857&lt;='Visual SPC'!$E$4),OR('Visual SPC'!$G$4="",'Data Entry'!$D8857='Visual SPC'!$G$4),OR('Visual SPC'!$I$4="",'Data Entry'!$E8857='Visual SPC'!$I$4),OR('Visual SPC'!$K$4="",'Data Entry'!$F8857='Visual SPC'!$K$4)),1,0))</f>
        <v/>
      </c>
      <c r="C8857">
        <f>C8856+B8857</f>
        <v/>
      </c>
      <c r="D8857">
        <f>IF(B8857=1,INDEX('Data Entry'!$H$5:$BE$10004,8857-4,'Visual SPC'!$B$3),"")</f>
        <v/>
      </c>
      <c r="E8857">
        <f>IF(B8857=1,D8857,E8856)</f>
        <v/>
      </c>
      <c r="F8857">
        <f>IF(AND(B8857=1,C8857&gt;1,E8856&lt;&gt;""),ABS(D8857-E8856),"")</f>
        <v/>
      </c>
    </row>
    <row r="8858">
      <c r="A8858" t="n">
        <v>8858</v>
      </c>
      <c r="B8858">
        <f>IF(INDEX('Data Entry'!$H$5:$BE$10004,8858-4,'Visual SPC'!$B$3)="",0,IF(AND(OR('Visual SPC'!$C$4="",'Data Entry'!$C8858&gt;='Visual SPC'!$C$4),OR('Visual SPC'!$E$4="",'Data Entry'!$C8858&lt;='Visual SPC'!$E$4),OR('Visual SPC'!$G$4="",'Data Entry'!$D8858='Visual SPC'!$G$4),OR('Visual SPC'!$I$4="",'Data Entry'!$E8858='Visual SPC'!$I$4),OR('Visual SPC'!$K$4="",'Data Entry'!$F8858='Visual SPC'!$K$4)),1,0))</f>
        <v/>
      </c>
      <c r="C8858">
        <f>C8857+B8858</f>
        <v/>
      </c>
      <c r="D8858">
        <f>IF(B8858=1,INDEX('Data Entry'!$H$5:$BE$10004,8858-4,'Visual SPC'!$B$3),"")</f>
        <v/>
      </c>
      <c r="E8858">
        <f>IF(B8858=1,D8858,E8857)</f>
        <v/>
      </c>
      <c r="F8858">
        <f>IF(AND(B8858=1,C8858&gt;1,E8857&lt;&gt;""),ABS(D8858-E8857),"")</f>
        <v/>
      </c>
    </row>
    <row r="8859">
      <c r="A8859" t="n">
        <v>8859</v>
      </c>
      <c r="B8859">
        <f>IF(INDEX('Data Entry'!$H$5:$BE$10004,8859-4,'Visual SPC'!$B$3)="",0,IF(AND(OR('Visual SPC'!$C$4="",'Data Entry'!$C8859&gt;='Visual SPC'!$C$4),OR('Visual SPC'!$E$4="",'Data Entry'!$C8859&lt;='Visual SPC'!$E$4),OR('Visual SPC'!$G$4="",'Data Entry'!$D8859='Visual SPC'!$G$4),OR('Visual SPC'!$I$4="",'Data Entry'!$E8859='Visual SPC'!$I$4),OR('Visual SPC'!$K$4="",'Data Entry'!$F8859='Visual SPC'!$K$4)),1,0))</f>
        <v/>
      </c>
      <c r="C8859">
        <f>C8858+B8859</f>
        <v/>
      </c>
      <c r="D8859">
        <f>IF(B8859=1,INDEX('Data Entry'!$H$5:$BE$10004,8859-4,'Visual SPC'!$B$3),"")</f>
        <v/>
      </c>
      <c r="E8859">
        <f>IF(B8859=1,D8859,E8858)</f>
        <v/>
      </c>
      <c r="F8859">
        <f>IF(AND(B8859=1,C8859&gt;1,E8858&lt;&gt;""),ABS(D8859-E8858),"")</f>
        <v/>
      </c>
    </row>
    <row r="8860">
      <c r="A8860" t="n">
        <v>8860</v>
      </c>
      <c r="B8860">
        <f>IF(INDEX('Data Entry'!$H$5:$BE$10004,8860-4,'Visual SPC'!$B$3)="",0,IF(AND(OR('Visual SPC'!$C$4="",'Data Entry'!$C8860&gt;='Visual SPC'!$C$4),OR('Visual SPC'!$E$4="",'Data Entry'!$C8860&lt;='Visual SPC'!$E$4),OR('Visual SPC'!$G$4="",'Data Entry'!$D8860='Visual SPC'!$G$4),OR('Visual SPC'!$I$4="",'Data Entry'!$E8860='Visual SPC'!$I$4),OR('Visual SPC'!$K$4="",'Data Entry'!$F8860='Visual SPC'!$K$4)),1,0))</f>
        <v/>
      </c>
      <c r="C8860">
        <f>C8859+B8860</f>
        <v/>
      </c>
      <c r="D8860">
        <f>IF(B8860=1,INDEX('Data Entry'!$H$5:$BE$10004,8860-4,'Visual SPC'!$B$3),"")</f>
        <v/>
      </c>
      <c r="E8860">
        <f>IF(B8860=1,D8860,E8859)</f>
        <v/>
      </c>
      <c r="F8860">
        <f>IF(AND(B8860=1,C8860&gt;1,E8859&lt;&gt;""),ABS(D8860-E8859),"")</f>
        <v/>
      </c>
    </row>
    <row r="8861">
      <c r="A8861" t="n">
        <v>8861</v>
      </c>
      <c r="B8861">
        <f>IF(INDEX('Data Entry'!$H$5:$BE$10004,8861-4,'Visual SPC'!$B$3)="",0,IF(AND(OR('Visual SPC'!$C$4="",'Data Entry'!$C8861&gt;='Visual SPC'!$C$4),OR('Visual SPC'!$E$4="",'Data Entry'!$C8861&lt;='Visual SPC'!$E$4),OR('Visual SPC'!$G$4="",'Data Entry'!$D8861='Visual SPC'!$G$4),OR('Visual SPC'!$I$4="",'Data Entry'!$E8861='Visual SPC'!$I$4),OR('Visual SPC'!$K$4="",'Data Entry'!$F8861='Visual SPC'!$K$4)),1,0))</f>
        <v/>
      </c>
      <c r="C8861">
        <f>C8860+B8861</f>
        <v/>
      </c>
      <c r="D8861">
        <f>IF(B8861=1,INDEX('Data Entry'!$H$5:$BE$10004,8861-4,'Visual SPC'!$B$3),"")</f>
        <v/>
      </c>
      <c r="E8861">
        <f>IF(B8861=1,D8861,E8860)</f>
        <v/>
      </c>
      <c r="F8861">
        <f>IF(AND(B8861=1,C8861&gt;1,E8860&lt;&gt;""),ABS(D8861-E8860),"")</f>
        <v/>
      </c>
    </row>
    <row r="8862">
      <c r="A8862" t="n">
        <v>8862</v>
      </c>
      <c r="B8862">
        <f>IF(INDEX('Data Entry'!$H$5:$BE$10004,8862-4,'Visual SPC'!$B$3)="",0,IF(AND(OR('Visual SPC'!$C$4="",'Data Entry'!$C8862&gt;='Visual SPC'!$C$4),OR('Visual SPC'!$E$4="",'Data Entry'!$C8862&lt;='Visual SPC'!$E$4),OR('Visual SPC'!$G$4="",'Data Entry'!$D8862='Visual SPC'!$G$4),OR('Visual SPC'!$I$4="",'Data Entry'!$E8862='Visual SPC'!$I$4),OR('Visual SPC'!$K$4="",'Data Entry'!$F8862='Visual SPC'!$K$4)),1,0))</f>
        <v/>
      </c>
      <c r="C8862">
        <f>C8861+B8862</f>
        <v/>
      </c>
      <c r="D8862">
        <f>IF(B8862=1,INDEX('Data Entry'!$H$5:$BE$10004,8862-4,'Visual SPC'!$B$3),"")</f>
        <v/>
      </c>
      <c r="E8862">
        <f>IF(B8862=1,D8862,E8861)</f>
        <v/>
      </c>
      <c r="F8862">
        <f>IF(AND(B8862=1,C8862&gt;1,E8861&lt;&gt;""),ABS(D8862-E8861),"")</f>
        <v/>
      </c>
    </row>
    <row r="8863">
      <c r="A8863" t="n">
        <v>8863</v>
      </c>
      <c r="B8863">
        <f>IF(INDEX('Data Entry'!$H$5:$BE$10004,8863-4,'Visual SPC'!$B$3)="",0,IF(AND(OR('Visual SPC'!$C$4="",'Data Entry'!$C8863&gt;='Visual SPC'!$C$4),OR('Visual SPC'!$E$4="",'Data Entry'!$C8863&lt;='Visual SPC'!$E$4),OR('Visual SPC'!$G$4="",'Data Entry'!$D8863='Visual SPC'!$G$4),OR('Visual SPC'!$I$4="",'Data Entry'!$E8863='Visual SPC'!$I$4),OR('Visual SPC'!$K$4="",'Data Entry'!$F8863='Visual SPC'!$K$4)),1,0))</f>
        <v/>
      </c>
      <c r="C8863">
        <f>C8862+B8863</f>
        <v/>
      </c>
      <c r="D8863">
        <f>IF(B8863=1,INDEX('Data Entry'!$H$5:$BE$10004,8863-4,'Visual SPC'!$B$3),"")</f>
        <v/>
      </c>
      <c r="E8863">
        <f>IF(B8863=1,D8863,E8862)</f>
        <v/>
      </c>
      <c r="F8863">
        <f>IF(AND(B8863=1,C8863&gt;1,E8862&lt;&gt;""),ABS(D8863-E8862),"")</f>
        <v/>
      </c>
    </row>
    <row r="8864">
      <c r="A8864" t="n">
        <v>8864</v>
      </c>
      <c r="B8864">
        <f>IF(INDEX('Data Entry'!$H$5:$BE$10004,8864-4,'Visual SPC'!$B$3)="",0,IF(AND(OR('Visual SPC'!$C$4="",'Data Entry'!$C8864&gt;='Visual SPC'!$C$4),OR('Visual SPC'!$E$4="",'Data Entry'!$C8864&lt;='Visual SPC'!$E$4),OR('Visual SPC'!$G$4="",'Data Entry'!$D8864='Visual SPC'!$G$4),OR('Visual SPC'!$I$4="",'Data Entry'!$E8864='Visual SPC'!$I$4),OR('Visual SPC'!$K$4="",'Data Entry'!$F8864='Visual SPC'!$K$4)),1,0))</f>
        <v/>
      </c>
      <c r="C8864">
        <f>C8863+B8864</f>
        <v/>
      </c>
      <c r="D8864">
        <f>IF(B8864=1,INDEX('Data Entry'!$H$5:$BE$10004,8864-4,'Visual SPC'!$B$3),"")</f>
        <v/>
      </c>
      <c r="E8864">
        <f>IF(B8864=1,D8864,E8863)</f>
        <v/>
      </c>
      <c r="F8864">
        <f>IF(AND(B8864=1,C8864&gt;1,E8863&lt;&gt;""),ABS(D8864-E8863),"")</f>
        <v/>
      </c>
    </row>
    <row r="8865">
      <c r="A8865" t="n">
        <v>8865</v>
      </c>
      <c r="B8865">
        <f>IF(INDEX('Data Entry'!$H$5:$BE$10004,8865-4,'Visual SPC'!$B$3)="",0,IF(AND(OR('Visual SPC'!$C$4="",'Data Entry'!$C8865&gt;='Visual SPC'!$C$4),OR('Visual SPC'!$E$4="",'Data Entry'!$C8865&lt;='Visual SPC'!$E$4),OR('Visual SPC'!$G$4="",'Data Entry'!$D8865='Visual SPC'!$G$4),OR('Visual SPC'!$I$4="",'Data Entry'!$E8865='Visual SPC'!$I$4),OR('Visual SPC'!$K$4="",'Data Entry'!$F8865='Visual SPC'!$K$4)),1,0))</f>
        <v/>
      </c>
      <c r="C8865">
        <f>C8864+B8865</f>
        <v/>
      </c>
      <c r="D8865">
        <f>IF(B8865=1,INDEX('Data Entry'!$H$5:$BE$10004,8865-4,'Visual SPC'!$B$3),"")</f>
        <v/>
      </c>
      <c r="E8865">
        <f>IF(B8865=1,D8865,E8864)</f>
        <v/>
      </c>
      <c r="F8865">
        <f>IF(AND(B8865=1,C8865&gt;1,E8864&lt;&gt;""),ABS(D8865-E8864),"")</f>
        <v/>
      </c>
    </row>
    <row r="8866">
      <c r="A8866" t="n">
        <v>8866</v>
      </c>
      <c r="B8866">
        <f>IF(INDEX('Data Entry'!$H$5:$BE$10004,8866-4,'Visual SPC'!$B$3)="",0,IF(AND(OR('Visual SPC'!$C$4="",'Data Entry'!$C8866&gt;='Visual SPC'!$C$4),OR('Visual SPC'!$E$4="",'Data Entry'!$C8866&lt;='Visual SPC'!$E$4),OR('Visual SPC'!$G$4="",'Data Entry'!$D8866='Visual SPC'!$G$4),OR('Visual SPC'!$I$4="",'Data Entry'!$E8866='Visual SPC'!$I$4),OR('Visual SPC'!$K$4="",'Data Entry'!$F8866='Visual SPC'!$K$4)),1,0))</f>
        <v/>
      </c>
      <c r="C8866">
        <f>C8865+B8866</f>
        <v/>
      </c>
      <c r="D8866">
        <f>IF(B8866=1,INDEX('Data Entry'!$H$5:$BE$10004,8866-4,'Visual SPC'!$B$3),"")</f>
        <v/>
      </c>
      <c r="E8866">
        <f>IF(B8866=1,D8866,E8865)</f>
        <v/>
      </c>
      <c r="F8866">
        <f>IF(AND(B8866=1,C8866&gt;1,E8865&lt;&gt;""),ABS(D8866-E8865),"")</f>
        <v/>
      </c>
    </row>
    <row r="8867">
      <c r="A8867" t="n">
        <v>8867</v>
      </c>
      <c r="B8867">
        <f>IF(INDEX('Data Entry'!$H$5:$BE$10004,8867-4,'Visual SPC'!$B$3)="",0,IF(AND(OR('Visual SPC'!$C$4="",'Data Entry'!$C8867&gt;='Visual SPC'!$C$4),OR('Visual SPC'!$E$4="",'Data Entry'!$C8867&lt;='Visual SPC'!$E$4),OR('Visual SPC'!$G$4="",'Data Entry'!$D8867='Visual SPC'!$G$4),OR('Visual SPC'!$I$4="",'Data Entry'!$E8867='Visual SPC'!$I$4),OR('Visual SPC'!$K$4="",'Data Entry'!$F8867='Visual SPC'!$K$4)),1,0))</f>
        <v/>
      </c>
      <c r="C8867">
        <f>C8866+B8867</f>
        <v/>
      </c>
      <c r="D8867">
        <f>IF(B8867=1,INDEX('Data Entry'!$H$5:$BE$10004,8867-4,'Visual SPC'!$B$3),"")</f>
        <v/>
      </c>
      <c r="E8867">
        <f>IF(B8867=1,D8867,E8866)</f>
        <v/>
      </c>
      <c r="F8867">
        <f>IF(AND(B8867=1,C8867&gt;1,E8866&lt;&gt;""),ABS(D8867-E8866),"")</f>
        <v/>
      </c>
    </row>
    <row r="8868">
      <c r="A8868" t="n">
        <v>8868</v>
      </c>
      <c r="B8868">
        <f>IF(INDEX('Data Entry'!$H$5:$BE$10004,8868-4,'Visual SPC'!$B$3)="",0,IF(AND(OR('Visual SPC'!$C$4="",'Data Entry'!$C8868&gt;='Visual SPC'!$C$4),OR('Visual SPC'!$E$4="",'Data Entry'!$C8868&lt;='Visual SPC'!$E$4),OR('Visual SPC'!$G$4="",'Data Entry'!$D8868='Visual SPC'!$G$4),OR('Visual SPC'!$I$4="",'Data Entry'!$E8868='Visual SPC'!$I$4),OR('Visual SPC'!$K$4="",'Data Entry'!$F8868='Visual SPC'!$K$4)),1,0))</f>
        <v/>
      </c>
      <c r="C8868">
        <f>C8867+B8868</f>
        <v/>
      </c>
      <c r="D8868">
        <f>IF(B8868=1,INDEX('Data Entry'!$H$5:$BE$10004,8868-4,'Visual SPC'!$B$3),"")</f>
        <v/>
      </c>
      <c r="E8868">
        <f>IF(B8868=1,D8868,E8867)</f>
        <v/>
      </c>
      <c r="F8868">
        <f>IF(AND(B8868=1,C8868&gt;1,E8867&lt;&gt;""),ABS(D8868-E8867),"")</f>
        <v/>
      </c>
    </row>
    <row r="8869">
      <c r="A8869" t="n">
        <v>8869</v>
      </c>
      <c r="B8869">
        <f>IF(INDEX('Data Entry'!$H$5:$BE$10004,8869-4,'Visual SPC'!$B$3)="",0,IF(AND(OR('Visual SPC'!$C$4="",'Data Entry'!$C8869&gt;='Visual SPC'!$C$4),OR('Visual SPC'!$E$4="",'Data Entry'!$C8869&lt;='Visual SPC'!$E$4),OR('Visual SPC'!$G$4="",'Data Entry'!$D8869='Visual SPC'!$G$4),OR('Visual SPC'!$I$4="",'Data Entry'!$E8869='Visual SPC'!$I$4),OR('Visual SPC'!$K$4="",'Data Entry'!$F8869='Visual SPC'!$K$4)),1,0))</f>
        <v/>
      </c>
      <c r="C8869">
        <f>C8868+B8869</f>
        <v/>
      </c>
      <c r="D8869">
        <f>IF(B8869=1,INDEX('Data Entry'!$H$5:$BE$10004,8869-4,'Visual SPC'!$B$3),"")</f>
        <v/>
      </c>
      <c r="E8869">
        <f>IF(B8869=1,D8869,E8868)</f>
        <v/>
      </c>
      <c r="F8869">
        <f>IF(AND(B8869=1,C8869&gt;1,E8868&lt;&gt;""),ABS(D8869-E8868),"")</f>
        <v/>
      </c>
    </row>
    <row r="8870">
      <c r="A8870" t="n">
        <v>8870</v>
      </c>
      <c r="B8870">
        <f>IF(INDEX('Data Entry'!$H$5:$BE$10004,8870-4,'Visual SPC'!$B$3)="",0,IF(AND(OR('Visual SPC'!$C$4="",'Data Entry'!$C8870&gt;='Visual SPC'!$C$4),OR('Visual SPC'!$E$4="",'Data Entry'!$C8870&lt;='Visual SPC'!$E$4),OR('Visual SPC'!$G$4="",'Data Entry'!$D8870='Visual SPC'!$G$4),OR('Visual SPC'!$I$4="",'Data Entry'!$E8870='Visual SPC'!$I$4),OR('Visual SPC'!$K$4="",'Data Entry'!$F8870='Visual SPC'!$K$4)),1,0))</f>
        <v/>
      </c>
      <c r="C8870">
        <f>C8869+B8870</f>
        <v/>
      </c>
      <c r="D8870">
        <f>IF(B8870=1,INDEX('Data Entry'!$H$5:$BE$10004,8870-4,'Visual SPC'!$B$3),"")</f>
        <v/>
      </c>
      <c r="E8870">
        <f>IF(B8870=1,D8870,E8869)</f>
        <v/>
      </c>
      <c r="F8870">
        <f>IF(AND(B8870=1,C8870&gt;1,E8869&lt;&gt;""),ABS(D8870-E8869),"")</f>
        <v/>
      </c>
    </row>
    <row r="8871">
      <c r="A8871" t="n">
        <v>8871</v>
      </c>
      <c r="B8871">
        <f>IF(INDEX('Data Entry'!$H$5:$BE$10004,8871-4,'Visual SPC'!$B$3)="",0,IF(AND(OR('Visual SPC'!$C$4="",'Data Entry'!$C8871&gt;='Visual SPC'!$C$4),OR('Visual SPC'!$E$4="",'Data Entry'!$C8871&lt;='Visual SPC'!$E$4),OR('Visual SPC'!$G$4="",'Data Entry'!$D8871='Visual SPC'!$G$4),OR('Visual SPC'!$I$4="",'Data Entry'!$E8871='Visual SPC'!$I$4),OR('Visual SPC'!$K$4="",'Data Entry'!$F8871='Visual SPC'!$K$4)),1,0))</f>
        <v/>
      </c>
      <c r="C8871">
        <f>C8870+B8871</f>
        <v/>
      </c>
      <c r="D8871">
        <f>IF(B8871=1,INDEX('Data Entry'!$H$5:$BE$10004,8871-4,'Visual SPC'!$B$3),"")</f>
        <v/>
      </c>
      <c r="E8871">
        <f>IF(B8871=1,D8871,E8870)</f>
        <v/>
      </c>
      <c r="F8871">
        <f>IF(AND(B8871=1,C8871&gt;1,E8870&lt;&gt;""),ABS(D8871-E8870),"")</f>
        <v/>
      </c>
    </row>
    <row r="8872">
      <c r="A8872" t="n">
        <v>8872</v>
      </c>
      <c r="B8872">
        <f>IF(INDEX('Data Entry'!$H$5:$BE$10004,8872-4,'Visual SPC'!$B$3)="",0,IF(AND(OR('Visual SPC'!$C$4="",'Data Entry'!$C8872&gt;='Visual SPC'!$C$4),OR('Visual SPC'!$E$4="",'Data Entry'!$C8872&lt;='Visual SPC'!$E$4),OR('Visual SPC'!$G$4="",'Data Entry'!$D8872='Visual SPC'!$G$4),OR('Visual SPC'!$I$4="",'Data Entry'!$E8872='Visual SPC'!$I$4),OR('Visual SPC'!$K$4="",'Data Entry'!$F8872='Visual SPC'!$K$4)),1,0))</f>
        <v/>
      </c>
      <c r="C8872">
        <f>C8871+B8872</f>
        <v/>
      </c>
      <c r="D8872">
        <f>IF(B8872=1,INDEX('Data Entry'!$H$5:$BE$10004,8872-4,'Visual SPC'!$B$3),"")</f>
        <v/>
      </c>
      <c r="E8872">
        <f>IF(B8872=1,D8872,E8871)</f>
        <v/>
      </c>
      <c r="F8872">
        <f>IF(AND(B8872=1,C8872&gt;1,E8871&lt;&gt;""),ABS(D8872-E8871),"")</f>
        <v/>
      </c>
    </row>
    <row r="8873">
      <c r="A8873" t="n">
        <v>8873</v>
      </c>
      <c r="B8873">
        <f>IF(INDEX('Data Entry'!$H$5:$BE$10004,8873-4,'Visual SPC'!$B$3)="",0,IF(AND(OR('Visual SPC'!$C$4="",'Data Entry'!$C8873&gt;='Visual SPC'!$C$4),OR('Visual SPC'!$E$4="",'Data Entry'!$C8873&lt;='Visual SPC'!$E$4),OR('Visual SPC'!$G$4="",'Data Entry'!$D8873='Visual SPC'!$G$4),OR('Visual SPC'!$I$4="",'Data Entry'!$E8873='Visual SPC'!$I$4),OR('Visual SPC'!$K$4="",'Data Entry'!$F8873='Visual SPC'!$K$4)),1,0))</f>
        <v/>
      </c>
      <c r="C8873">
        <f>C8872+B8873</f>
        <v/>
      </c>
      <c r="D8873">
        <f>IF(B8873=1,INDEX('Data Entry'!$H$5:$BE$10004,8873-4,'Visual SPC'!$B$3),"")</f>
        <v/>
      </c>
      <c r="E8873">
        <f>IF(B8873=1,D8873,E8872)</f>
        <v/>
      </c>
      <c r="F8873">
        <f>IF(AND(B8873=1,C8873&gt;1,E8872&lt;&gt;""),ABS(D8873-E8872),"")</f>
        <v/>
      </c>
    </row>
    <row r="8874">
      <c r="A8874" t="n">
        <v>8874</v>
      </c>
      <c r="B8874">
        <f>IF(INDEX('Data Entry'!$H$5:$BE$10004,8874-4,'Visual SPC'!$B$3)="",0,IF(AND(OR('Visual SPC'!$C$4="",'Data Entry'!$C8874&gt;='Visual SPC'!$C$4),OR('Visual SPC'!$E$4="",'Data Entry'!$C8874&lt;='Visual SPC'!$E$4),OR('Visual SPC'!$G$4="",'Data Entry'!$D8874='Visual SPC'!$G$4),OR('Visual SPC'!$I$4="",'Data Entry'!$E8874='Visual SPC'!$I$4),OR('Visual SPC'!$K$4="",'Data Entry'!$F8874='Visual SPC'!$K$4)),1,0))</f>
        <v/>
      </c>
      <c r="C8874">
        <f>C8873+B8874</f>
        <v/>
      </c>
      <c r="D8874">
        <f>IF(B8874=1,INDEX('Data Entry'!$H$5:$BE$10004,8874-4,'Visual SPC'!$B$3),"")</f>
        <v/>
      </c>
      <c r="E8874">
        <f>IF(B8874=1,D8874,E8873)</f>
        <v/>
      </c>
      <c r="F8874">
        <f>IF(AND(B8874=1,C8874&gt;1,E8873&lt;&gt;""),ABS(D8874-E8873),"")</f>
        <v/>
      </c>
    </row>
    <row r="8875">
      <c r="A8875" t="n">
        <v>8875</v>
      </c>
      <c r="B8875">
        <f>IF(INDEX('Data Entry'!$H$5:$BE$10004,8875-4,'Visual SPC'!$B$3)="",0,IF(AND(OR('Visual SPC'!$C$4="",'Data Entry'!$C8875&gt;='Visual SPC'!$C$4),OR('Visual SPC'!$E$4="",'Data Entry'!$C8875&lt;='Visual SPC'!$E$4),OR('Visual SPC'!$G$4="",'Data Entry'!$D8875='Visual SPC'!$G$4),OR('Visual SPC'!$I$4="",'Data Entry'!$E8875='Visual SPC'!$I$4),OR('Visual SPC'!$K$4="",'Data Entry'!$F8875='Visual SPC'!$K$4)),1,0))</f>
        <v/>
      </c>
      <c r="C8875">
        <f>C8874+B8875</f>
        <v/>
      </c>
      <c r="D8875">
        <f>IF(B8875=1,INDEX('Data Entry'!$H$5:$BE$10004,8875-4,'Visual SPC'!$B$3),"")</f>
        <v/>
      </c>
      <c r="E8875">
        <f>IF(B8875=1,D8875,E8874)</f>
        <v/>
      </c>
      <c r="F8875">
        <f>IF(AND(B8875=1,C8875&gt;1,E8874&lt;&gt;""),ABS(D8875-E8874),"")</f>
        <v/>
      </c>
    </row>
    <row r="8876">
      <c r="A8876" t="n">
        <v>8876</v>
      </c>
      <c r="B8876">
        <f>IF(INDEX('Data Entry'!$H$5:$BE$10004,8876-4,'Visual SPC'!$B$3)="",0,IF(AND(OR('Visual SPC'!$C$4="",'Data Entry'!$C8876&gt;='Visual SPC'!$C$4),OR('Visual SPC'!$E$4="",'Data Entry'!$C8876&lt;='Visual SPC'!$E$4),OR('Visual SPC'!$G$4="",'Data Entry'!$D8876='Visual SPC'!$G$4),OR('Visual SPC'!$I$4="",'Data Entry'!$E8876='Visual SPC'!$I$4),OR('Visual SPC'!$K$4="",'Data Entry'!$F8876='Visual SPC'!$K$4)),1,0))</f>
        <v/>
      </c>
      <c r="C8876">
        <f>C8875+B8876</f>
        <v/>
      </c>
      <c r="D8876">
        <f>IF(B8876=1,INDEX('Data Entry'!$H$5:$BE$10004,8876-4,'Visual SPC'!$B$3),"")</f>
        <v/>
      </c>
      <c r="E8876">
        <f>IF(B8876=1,D8876,E8875)</f>
        <v/>
      </c>
      <c r="F8876">
        <f>IF(AND(B8876=1,C8876&gt;1,E8875&lt;&gt;""),ABS(D8876-E8875),"")</f>
        <v/>
      </c>
    </row>
    <row r="8877">
      <c r="A8877" t="n">
        <v>8877</v>
      </c>
      <c r="B8877">
        <f>IF(INDEX('Data Entry'!$H$5:$BE$10004,8877-4,'Visual SPC'!$B$3)="",0,IF(AND(OR('Visual SPC'!$C$4="",'Data Entry'!$C8877&gt;='Visual SPC'!$C$4),OR('Visual SPC'!$E$4="",'Data Entry'!$C8877&lt;='Visual SPC'!$E$4),OR('Visual SPC'!$G$4="",'Data Entry'!$D8877='Visual SPC'!$G$4),OR('Visual SPC'!$I$4="",'Data Entry'!$E8877='Visual SPC'!$I$4),OR('Visual SPC'!$K$4="",'Data Entry'!$F8877='Visual SPC'!$K$4)),1,0))</f>
        <v/>
      </c>
      <c r="C8877">
        <f>C8876+B8877</f>
        <v/>
      </c>
      <c r="D8877">
        <f>IF(B8877=1,INDEX('Data Entry'!$H$5:$BE$10004,8877-4,'Visual SPC'!$B$3),"")</f>
        <v/>
      </c>
      <c r="E8877">
        <f>IF(B8877=1,D8877,E8876)</f>
        <v/>
      </c>
      <c r="F8877">
        <f>IF(AND(B8877=1,C8877&gt;1,E8876&lt;&gt;""),ABS(D8877-E8876),"")</f>
        <v/>
      </c>
    </row>
    <row r="8878">
      <c r="A8878" t="n">
        <v>8878</v>
      </c>
      <c r="B8878">
        <f>IF(INDEX('Data Entry'!$H$5:$BE$10004,8878-4,'Visual SPC'!$B$3)="",0,IF(AND(OR('Visual SPC'!$C$4="",'Data Entry'!$C8878&gt;='Visual SPC'!$C$4),OR('Visual SPC'!$E$4="",'Data Entry'!$C8878&lt;='Visual SPC'!$E$4),OR('Visual SPC'!$G$4="",'Data Entry'!$D8878='Visual SPC'!$G$4),OR('Visual SPC'!$I$4="",'Data Entry'!$E8878='Visual SPC'!$I$4),OR('Visual SPC'!$K$4="",'Data Entry'!$F8878='Visual SPC'!$K$4)),1,0))</f>
        <v/>
      </c>
      <c r="C8878">
        <f>C8877+B8878</f>
        <v/>
      </c>
      <c r="D8878">
        <f>IF(B8878=1,INDEX('Data Entry'!$H$5:$BE$10004,8878-4,'Visual SPC'!$B$3),"")</f>
        <v/>
      </c>
      <c r="E8878">
        <f>IF(B8878=1,D8878,E8877)</f>
        <v/>
      </c>
      <c r="F8878">
        <f>IF(AND(B8878=1,C8878&gt;1,E8877&lt;&gt;""),ABS(D8878-E8877),"")</f>
        <v/>
      </c>
    </row>
    <row r="8879">
      <c r="A8879" t="n">
        <v>8879</v>
      </c>
      <c r="B8879">
        <f>IF(INDEX('Data Entry'!$H$5:$BE$10004,8879-4,'Visual SPC'!$B$3)="",0,IF(AND(OR('Visual SPC'!$C$4="",'Data Entry'!$C8879&gt;='Visual SPC'!$C$4),OR('Visual SPC'!$E$4="",'Data Entry'!$C8879&lt;='Visual SPC'!$E$4),OR('Visual SPC'!$G$4="",'Data Entry'!$D8879='Visual SPC'!$G$4),OR('Visual SPC'!$I$4="",'Data Entry'!$E8879='Visual SPC'!$I$4),OR('Visual SPC'!$K$4="",'Data Entry'!$F8879='Visual SPC'!$K$4)),1,0))</f>
        <v/>
      </c>
      <c r="C8879">
        <f>C8878+B8879</f>
        <v/>
      </c>
      <c r="D8879">
        <f>IF(B8879=1,INDEX('Data Entry'!$H$5:$BE$10004,8879-4,'Visual SPC'!$B$3),"")</f>
        <v/>
      </c>
      <c r="E8879">
        <f>IF(B8879=1,D8879,E8878)</f>
        <v/>
      </c>
      <c r="F8879">
        <f>IF(AND(B8879=1,C8879&gt;1,E8878&lt;&gt;""),ABS(D8879-E8878),"")</f>
        <v/>
      </c>
    </row>
    <row r="8880">
      <c r="A8880" t="n">
        <v>8880</v>
      </c>
      <c r="B8880">
        <f>IF(INDEX('Data Entry'!$H$5:$BE$10004,8880-4,'Visual SPC'!$B$3)="",0,IF(AND(OR('Visual SPC'!$C$4="",'Data Entry'!$C8880&gt;='Visual SPC'!$C$4),OR('Visual SPC'!$E$4="",'Data Entry'!$C8880&lt;='Visual SPC'!$E$4),OR('Visual SPC'!$G$4="",'Data Entry'!$D8880='Visual SPC'!$G$4),OR('Visual SPC'!$I$4="",'Data Entry'!$E8880='Visual SPC'!$I$4),OR('Visual SPC'!$K$4="",'Data Entry'!$F8880='Visual SPC'!$K$4)),1,0))</f>
        <v/>
      </c>
      <c r="C8880">
        <f>C8879+B8880</f>
        <v/>
      </c>
      <c r="D8880">
        <f>IF(B8880=1,INDEX('Data Entry'!$H$5:$BE$10004,8880-4,'Visual SPC'!$B$3),"")</f>
        <v/>
      </c>
      <c r="E8880">
        <f>IF(B8880=1,D8880,E8879)</f>
        <v/>
      </c>
      <c r="F8880">
        <f>IF(AND(B8880=1,C8880&gt;1,E8879&lt;&gt;""),ABS(D8880-E8879),"")</f>
        <v/>
      </c>
    </row>
    <row r="8881">
      <c r="A8881" t="n">
        <v>8881</v>
      </c>
      <c r="B8881">
        <f>IF(INDEX('Data Entry'!$H$5:$BE$10004,8881-4,'Visual SPC'!$B$3)="",0,IF(AND(OR('Visual SPC'!$C$4="",'Data Entry'!$C8881&gt;='Visual SPC'!$C$4),OR('Visual SPC'!$E$4="",'Data Entry'!$C8881&lt;='Visual SPC'!$E$4),OR('Visual SPC'!$G$4="",'Data Entry'!$D8881='Visual SPC'!$G$4),OR('Visual SPC'!$I$4="",'Data Entry'!$E8881='Visual SPC'!$I$4),OR('Visual SPC'!$K$4="",'Data Entry'!$F8881='Visual SPC'!$K$4)),1,0))</f>
        <v/>
      </c>
      <c r="C8881">
        <f>C8880+B8881</f>
        <v/>
      </c>
      <c r="D8881">
        <f>IF(B8881=1,INDEX('Data Entry'!$H$5:$BE$10004,8881-4,'Visual SPC'!$B$3),"")</f>
        <v/>
      </c>
      <c r="E8881">
        <f>IF(B8881=1,D8881,E8880)</f>
        <v/>
      </c>
      <c r="F8881">
        <f>IF(AND(B8881=1,C8881&gt;1,E8880&lt;&gt;""),ABS(D8881-E8880),"")</f>
        <v/>
      </c>
    </row>
    <row r="8882">
      <c r="A8882" t="n">
        <v>8882</v>
      </c>
      <c r="B8882">
        <f>IF(INDEX('Data Entry'!$H$5:$BE$10004,8882-4,'Visual SPC'!$B$3)="",0,IF(AND(OR('Visual SPC'!$C$4="",'Data Entry'!$C8882&gt;='Visual SPC'!$C$4),OR('Visual SPC'!$E$4="",'Data Entry'!$C8882&lt;='Visual SPC'!$E$4),OR('Visual SPC'!$G$4="",'Data Entry'!$D8882='Visual SPC'!$G$4),OR('Visual SPC'!$I$4="",'Data Entry'!$E8882='Visual SPC'!$I$4),OR('Visual SPC'!$K$4="",'Data Entry'!$F8882='Visual SPC'!$K$4)),1,0))</f>
        <v/>
      </c>
      <c r="C8882">
        <f>C8881+B8882</f>
        <v/>
      </c>
      <c r="D8882">
        <f>IF(B8882=1,INDEX('Data Entry'!$H$5:$BE$10004,8882-4,'Visual SPC'!$B$3),"")</f>
        <v/>
      </c>
      <c r="E8882">
        <f>IF(B8882=1,D8882,E8881)</f>
        <v/>
      </c>
      <c r="F8882">
        <f>IF(AND(B8882=1,C8882&gt;1,E8881&lt;&gt;""),ABS(D8882-E8881),"")</f>
        <v/>
      </c>
    </row>
    <row r="8883">
      <c r="A8883" t="n">
        <v>8883</v>
      </c>
      <c r="B8883">
        <f>IF(INDEX('Data Entry'!$H$5:$BE$10004,8883-4,'Visual SPC'!$B$3)="",0,IF(AND(OR('Visual SPC'!$C$4="",'Data Entry'!$C8883&gt;='Visual SPC'!$C$4),OR('Visual SPC'!$E$4="",'Data Entry'!$C8883&lt;='Visual SPC'!$E$4),OR('Visual SPC'!$G$4="",'Data Entry'!$D8883='Visual SPC'!$G$4),OR('Visual SPC'!$I$4="",'Data Entry'!$E8883='Visual SPC'!$I$4),OR('Visual SPC'!$K$4="",'Data Entry'!$F8883='Visual SPC'!$K$4)),1,0))</f>
        <v/>
      </c>
      <c r="C8883">
        <f>C8882+B8883</f>
        <v/>
      </c>
      <c r="D8883">
        <f>IF(B8883=1,INDEX('Data Entry'!$H$5:$BE$10004,8883-4,'Visual SPC'!$B$3),"")</f>
        <v/>
      </c>
      <c r="E8883">
        <f>IF(B8883=1,D8883,E8882)</f>
        <v/>
      </c>
      <c r="F8883">
        <f>IF(AND(B8883=1,C8883&gt;1,E8882&lt;&gt;""),ABS(D8883-E8882),"")</f>
        <v/>
      </c>
    </row>
    <row r="8884">
      <c r="A8884" t="n">
        <v>8884</v>
      </c>
      <c r="B8884">
        <f>IF(INDEX('Data Entry'!$H$5:$BE$10004,8884-4,'Visual SPC'!$B$3)="",0,IF(AND(OR('Visual SPC'!$C$4="",'Data Entry'!$C8884&gt;='Visual SPC'!$C$4),OR('Visual SPC'!$E$4="",'Data Entry'!$C8884&lt;='Visual SPC'!$E$4),OR('Visual SPC'!$G$4="",'Data Entry'!$D8884='Visual SPC'!$G$4),OR('Visual SPC'!$I$4="",'Data Entry'!$E8884='Visual SPC'!$I$4),OR('Visual SPC'!$K$4="",'Data Entry'!$F8884='Visual SPC'!$K$4)),1,0))</f>
        <v/>
      </c>
      <c r="C8884">
        <f>C8883+B8884</f>
        <v/>
      </c>
      <c r="D8884">
        <f>IF(B8884=1,INDEX('Data Entry'!$H$5:$BE$10004,8884-4,'Visual SPC'!$B$3),"")</f>
        <v/>
      </c>
      <c r="E8884">
        <f>IF(B8884=1,D8884,E8883)</f>
        <v/>
      </c>
      <c r="F8884">
        <f>IF(AND(B8884=1,C8884&gt;1,E8883&lt;&gt;""),ABS(D8884-E8883),"")</f>
        <v/>
      </c>
    </row>
    <row r="8885">
      <c r="A8885" t="n">
        <v>8885</v>
      </c>
      <c r="B8885">
        <f>IF(INDEX('Data Entry'!$H$5:$BE$10004,8885-4,'Visual SPC'!$B$3)="",0,IF(AND(OR('Visual SPC'!$C$4="",'Data Entry'!$C8885&gt;='Visual SPC'!$C$4),OR('Visual SPC'!$E$4="",'Data Entry'!$C8885&lt;='Visual SPC'!$E$4),OR('Visual SPC'!$G$4="",'Data Entry'!$D8885='Visual SPC'!$G$4),OR('Visual SPC'!$I$4="",'Data Entry'!$E8885='Visual SPC'!$I$4),OR('Visual SPC'!$K$4="",'Data Entry'!$F8885='Visual SPC'!$K$4)),1,0))</f>
        <v/>
      </c>
      <c r="C8885">
        <f>C8884+B8885</f>
        <v/>
      </c>
      <c r="D8885">
        <f>IF(B8885=1,INDEX('Data Entry'!$H$5:$BE$10004,8885-4,'Visual SPC'!$B$3),"")</f>
        <v/>
      </c>
      <c r="E8885">
        <f>IF(B8885=1,D8885,E8884)</f>
        <v/>
      </c>
      <c r="F8885">
        <f>IF(AND(B8885=1,C8885&gt;1,E8884&lt;&gt;""),ABS(D8885-E8884),"")</f>
        <v/>
      </c>
    </row>
    <row r="8886">
      <c r="A8886" t="n">
        <v>8886</v>
      </c>
      <c r="B8886">
        <f>IF(INDEX('Data Entry'!$H$5:$BE$10004,8886-4,'Visual SPC'!$B$3)="",0,IF(AND(OR('Visual SPC'!$C$4="",'Data Entry'!$C8886&gt;='Visual SPC'!$C$4),OR('Visual SPC'!$E$4="",'Data Entry'!$C8886&lt;='Visual SPC'!$E$4),OR('Visual SPC'!$G$4="",'Data Entry'!$D8886='Visual SPC'!$G$4),OR('Visual SPC'!$I$4="",'Data Entry'!$E8886='Visual SPC'!$I$4),OR('Visual SPC'!$K$4="",'Data Entry'!$F8886='Visual SPC'!$K$4)),1,0))</f>
        <v/>
      </c>
      <c r="C8886">
        <f>C8885+B8886</f>
        <v/>
      </c>
      <c r="D8886">
        <f>IF(B8886=1,INDEX('Data Entry'!$H$5:$BE$10004,8886-4,'Visual SPC'!$B$3),"")</f>
        <v/>
      </c>
      <c r="E8886">
        <f>IF(B8886=1,D8886,E8885)</f>
        <v/>
      </c>
      <c r="F8886">
        <f>IF(AND(B8886=1,C8886&gt;1,E8885&lt;&gt;""),ABS(D8886-E8885),"")</f>
        <v/>
      </c>
    </row>
    <row r="8887">
      <c r="A8887" t="n">
        <v>8887</v>
      </c>
      <c r="B8887">
        <f>IF(INDEX('Data Entry'!$H$5:$BE$10004,8887-4,'Visual SPC'!$B$3)="",0,IF(AND(OR('Visual SPC'!$C$4="",'Data Entry'!$C8887&gt;='Visual SPC'!$C$4),OR('Visual SPC'!$E$4="",'Data Entry'!$C8887&lt;='Visual SPC'!$E$4),OR('Visual SPC'!$G$4="",'Data Entry'!$D8887='Visual SPC'!$G$4),OR('Visual SPC'!$I$4="",'Data Entry'!$E8887='Visual SPC'!$I$4),OR('Visual SPC'!$K$4="",'Data Entry'!$F8887='Visual SPC'!$K$4)),1,0))</f>
        <v/>
      </c>
      <c r="C8887">
        <f>C8886+B8887</f>
        <v/>
      </c>
      <c r="D8887">
        <f>IF(B8887=1,INDEX('Data Entry'!$H$5:$BE$10004,8887-4,'Visual SPC'!$B$3),"")</f>
        <v/>
      </c>
      <c r="E8887">
        <f>IF(B8887=1,D8887,E8886)</f>
        <v/>
      </c>
      <c r="F8887">
        <f>IF(AND(B8887=1,C8887&gt;1,E8886&lt;&gt;""),ABS(D8887-E8886),"")</f>
        <v/>
      </c>
    </row>
    <row r="8888">
      <c r="A8888" t="n">
        <v>8888</v>
      </c>
      <c r="B8888">
        <f>IF(INDEX('Data Entry'!$H$5:$BE$10004,8888-4,'Visual SPC'!$B$3)="",0,IF(AND(OR('Visual SPC'!$C$4="",'Data Entry'!$C8888&gt;='Visual SPC'!$C$4),OR('Visual SPC'!$E$4="",'Data Entry'!$C8888&lt;='Visual SPC'!$E$4),OR('Visual SPC'!$G$4="",'Data Entry'!$D8888='Visual SPC'!$G$4),OR('Visual SPC'!$I$4="",'Data Entry'!$E8888='Visual SPC'!$I$4),OR('Visual SPC'!$K$4="",'Data Entry'!$F8888='Visual SPC'!$K$4)),1,0))</f>
        <v/>
      </c>
      <c r="C8888">
        <f>C8887+B8888</f>
        <v/>
      </c>
      <c r="D8888">
        <f>IF(B8888=1,INDEX('Data Entry'!$H$5:$BE$10004,8888-4,'Visual SPC'!$B$3),"")</f>
        <v/>
      </c>
      <c r="E8888">
        <f>IF(B8888=1,D8888,E8887)</f>
        <v/>
      </c>
      <c r="F8888">
        <f>IF(AND(B8888=1,C8888&gt;1,E8887&lt;&gt;""),ABS(D8888-E8887),"")</f>
        <v/>
      </c>
    </row>
    <row r="8889">
      <c r="A8889" t="n">
        <v>8889</v>
      </c>
      <c r="B8889">
        <f>IF(INDEX('Data Entry'!$H$5:$BE$10004,8889-4,'Visual SPC'!$B$3)="",0,IF(AND(OR('Visual SPC'!$C$4="",'Data Entry'!$C8889&gt;='Visual SPC'!$C$4),OR('Visual SPC'!$E$4="",'Data Entry'!$C8889&lt;='Visual SPC'!$E$4),OR('Visual SPC'!$G$4="",'Data Entry'!$D8889='Visual SPC'!$G$4),OR('Visual SPC'!$I$4="",'Data Entry'!$E8889='Visual SPC'!$I$4),OR('Visual SPC'!$K$4="",'Data Entry'!$F8889='Visual SPC'!$K$4)),1,0))</f>
        <v/>
      </c>
      <c r="C8889">
        <f>C8888+B8889</f>
        <v/>
      </c>
      <c r="D8889">
        <f>IF(B8889=1,INDEX('Data Entry'!$H$5:$BE$10004,8889-4,'Visual SPC'!$B$3),"")</f>
        <v/>
      </c>
      <c r="E8889">
        <f>IF(B8889=1,D8889,E8888)</f>
        <v/>
      </c>
      <c r="F8889">
        <f>IF(AND(B8889=1,C8889&gt;1,E8888&lt;&gt;""),ABS(D8889-E8888),"")</f>
        <v/>
      </c>
    </row>
    <row r="8890">
      <c r="A8890" t="n">
        <v>8890</v>
      </c>
      <c r="B8890">
        <f>IF(INDEX('Data Entry'!$H$5:$BE$10004,8890-4,'Visual SPC'!$B$3)="",0,IF(AND(OR('Visual SPC'!$C$4="",'Data Entry'!$C8890&gt;='Visual SPC'!$C$4),OR('Visual SPC'!$E$4="",'Data Entry'!$C8890&lt;='Visual SPC'!$E$4),OR('Visual SPC'!$G$4="",'Data Entry'!$D8890='Visual SPC'!$G$4),OR('Visual SPC'!$I$4="",'Data Entry'!$E8890='Visual SPC'!$I$4),OR('Visual SPC'!$K$4="",'Data Entry'!$F8890='Visual SPC'!$K$4)),1,0))</f>
        <v/>
      </c>
      <c r="C8890">
        <f>C8889+B8890</f>
        <v/>
      </c>
      <c r="D8890">
        <f>IF(B8890=1,INDEX('Data Entry'!$H$5:$BE$10004,8890-4,'Visual SPC'!$B$3),"")</f>
        <v/>
      </c>
      <c r="E8890">
        <f>IF(B8890=1,D8890,E8889)</f>
        <v/>
      </c>
      <c r="F8890">
        <f>IF(AND(B8890=1,C8890&gt;1,E8889&lt;&gt;""),ABS(D8890-E8889),"")</f>
        <v/>
      </c>
    </row>
    <row r="8891">
      <c r="A8891" t="n">
        <v>8891</v>
      </c>
      <c r="B8891">
        <f>IF(INDEX('Data Entry'!$H$5:$BE$10004,8891-4,'Visual SPC'!$B$3)="",0,IF(AND(OR('Visual SPC'!$C$4="",'Data Entry'!$C8891&gt;='Visual SPC'!$C$4),OR('Visual SPC'!$E$4="",'Data Entry'!$C8891&lt;='Visual SPC'!$E$4),OR('Visual SPC'!$G$4="",'Data Entry'!$D8891='Visual SPC'!$G$4),OR('Visual SPC'!$I$4="",'Data Entry'!$E8891='Visual SPC'!$I$4),OR('Visual SPC'!$K$4="",'Data Entry'!$F8891='Visual SPC'!$K$4)),1,0))</f>
        <v/>
      </c>
      <c r="C8891">
        <f>C8890+B8891</f>
        <v/>
      </c>
      <c r="D8891">
        <f>IF(B8891=1,INDEX('Data Entry'!$H$5:$BE$10004,8891-4,'Visual SPC'!$B$3),"")</f>
        <v/>
      </c>
      <c r="E8891">
        <f>IF(B8891=1,D8891,E8890)</f>
        <v/>
      </c>
      <c r="F8891">
        <f>IF(AND(B8891=1,C8891&gt;1,E8890&lt;&gt;""),ABS(D8891-E8890),"")</f>
        <v/>
      </c>
    </row>
    <row r="8892">
      <c r="A8892" t="n">
        <v>8892</v>
      </c>
      <c r="B8892">
        <f>IF(INDEX('Data Entry'!$H$5:$BE$10004,8892-4,'Visual SPC'!$B$3)="",0,IF(AND(OR('Visual SPC'!$C$4="",'Data Entry'!$C8892&gt;='Visual SPC'!$C$4),OR('Visual SPC'!$E$4="",'Data Entry'!$C8892&lt;='Visual SPC'!$E$4),OR('Visual SPC'!$G$4="",'Data Entry'!$D8892='Visual SPC'!$G$4),OR('Visual SPC'!$I$4="",'Data Entry'!$E8892='Visual SPC'!$I$4),OR('Visual SPC'!$K$4="",'Data Entry'!$F8892='Visual SPC'!$K$4)),1,0))</f>
        <v/>
      </c>
      <c r="C8892">
        <f>C8891+B8892</f>
        <v/>
      </c>
      <c r="D8892">
        <f>IF(B8892=1,INDEX('Data Entry'!$H$5:$BE$10004,8892-4,'Visual SPC'!$B$3),"")</f>
        <v/>
      </c>
      <c r="E8892">
        <f>IF(B8892=1,D8892,E8891)</f>
        <v/>
      </c>
      <c r="F8892">
        <f>IF(AND(B8892=1,C8892&gt;1,E8891&lt;&gt;""),ABS(D8892-E8891),"")</f>
        <v/>
      </c>
    </row>
    <row r="8893">
      <c r="A8893" t="n">
        <v>8893</v>
      </c>
      <c r="B8893">
        <f>IF(INDEX('Data Entry'!$H$5:$BE$10004,8893-4,'Visual SPC'!$B$3)="",0,IF(AND(OR('Visual SPC'!$C$4="",'Data Entry'!$C8893&gt;='Visual SPC'!$C$4),OR('Visual SPC'!$E$4="",'Data Entry'!$C8893&lt;='Visual SPC'!$E$4),OR('Visual SPC'!$G$4="",'Data Entry'!$D8893='Visual SPC'!$G$4),OR('Visual SPC'!$I$4="",'Data Entry'!$E8893='Visual SPC'!$I$4),OR('Visual SPC'!$K$4="",'Data Entry'!$F8893='Visual SPC'!$K$4)),1,0))</f>
        <v/>
      </c>
      <c r="C8893">
        <f>C8892+B8893</f>
        <v/>
      </c>
      <c r="D8893">
        <f>IF(B8893=1,INDEX('Data Entry'!$H$5:$BE$10004,8893-4,'Visual SPC'!$B$3),"")</f>
        <v/>
      </c>
      <c r="E8893">
        <f>IF(B8893=1,D8893,E8892)</f>
        <v/>
      </c>
      <c r="F8893">
        <f>IF(AND(B8893=1,C8893&gt;1,E8892&lt;&gt;""),ABS(D8893-E8892),"")</f>
        <v/>
      </c>
    </row>
    <row r="8894">
      <c r="A8894" t="n">
        <v>8894</v>
      </c>
      <c r="B8894">
        <f>IF(INDEX('Data Entry'!$H$5:$BE$10004,8894-4,'Visual SPC'!$B$3)="",0,IF(AND(OR('Visual SPC'!$C$4="",'Data Entry'!$C8894&gt;='Visual SPC'!$C$4),OR('Visual SPC'!$E$4="",'Data Entry'!$C8894&lt;='Visual SPC'!$E$4),OR('Visual SPC'!$G$4="",'Data Entry'!$D8894='Visual SPC'!$G$4),OR('Visual SPC'!$I$4="",'Data Entry'!$E8894='Visual SPC'!$I$4),OR('Visual SPC'!$K$4="",'Data Entry'!$F8894='Visual SPC'!$K$4)),1,0))</f>
        <v/>
      </c>
      <c r="C8894">
        <f>C8893+B8894</f>
        <v/>
      </c>
      <c r="D8894">
        <f>IF(B8894=1,INDEX('Data Entry'!$H$5:$BE$10004,8894-4,'Visual SPC'!$B$3),"")</f>
        <v/>
      </c>
      <c r="E8894">
        <f>IF(B8894=1,D8894,E8893)</f>
        <v/>
      </c>
      <c r="F8894">
        <f>IF(AND(B8894=1,C8894&gt;1,E8893&lt;&gt;""),ABS(D8894-E8893),"")</f>
        <v/>
      </c>
    </row>
    <row r="8895">
      <c r="A8895" t="n">
        <v>8895</v>
      </c>
      <c r="B8895">
        <f>IF(INDEX('Data Entry'!$H$5:$BE$10004,8895-4,'Visual SPC'!$B$3)="",0,IF(AND(OR('Visual SPC'!$C$4="",'Data Entry'!$C8895&gt;='Visual SPC'!$C$4),OR('Visual SPC'!$E$4="",'Data Entry'!$C8895&lt;='Visual SPC'!$E$4),OR('Visual SPC'!$G$4="",'Data Entry'!$D8895='Visual SPC'!$G$4),OR('Visual SPC'!$I$4="",'Data Entry'!$E8895='Visual SPC'!$I$4),OR('Visual SPC'!$K$4="",'Data Entry'!$F8895='Visual SPC'!$K$4)),1,0))</f>
        <v/>
      </c>
      <c r="C8895">
        <f>C8894+B8895</f>
        <v/>
      </c>
      <c r="D8895">
        <f>IF(B8895=1,INDEX('Data Entry'!$H$5:$BE$10004,8895-4,'Visual SPC'!$B$3),"")</f>
        <v/>
      </c>
      <c r="E8895">
        <f>IF(B8895=1,D8895,E8894)</f>
        <v/>
      </c>
      <c r="F8895">
        <f>IF(AND(B8895=1,C8895&gt;1,E8894&lt;&gt;""),ABS(D8895-E8894),"")</f>
        <v/>
      </c>
    </row>
    <row r="8896">
      <c r="A8896" t="n">
        <v>8896</v>
      </c>
      <c r="B8896">
        <f>IF(INDEX('Data Entry'!$H$5:$BE$10004,8896-4,'Visual SPC'!$B$3)="",0,IF(AND(OR('Visual SPC'!$C$4="",'Data Entry'!$C8896&gt;='Visual SPC'!$C$4),OR('Visual SPC'!$E$4="",'Data Entry'!$C8896&lt;='Visual SPC'!$E$4),OR('Visual SPC'!$G$4="",'Data Entry'!$D8896='Visual SPC'!$G$4),OR('Visual SPC'!$I$4="",'Data Entry'!$E8896='Visual SPC'!$I$4),OR('Visual SPC'!$K$4="",'Data Entry'!$F8896='Visual SPC'!$K$4)),1,0))</f>
        <v/>
      </c>
      <c r="C8896">
        <f>C8895+B8896</f>
        <v/>
      </c>
      <c r="D8896">
        <f>IF(B8896=1,INDEX('Data Entry'!$H$5:$BE$10004,8896-4,'Visual SPC'!$B$3),"")</f>
        <v/>
      </c>
      <c r="E8896">
        <f>IF(B8896=1,D8896,E8895)</f>
        <v/>
      </c>
      <c r="F8896">
        <f>IF(AND(B8896=1,C8896&gt;1,E8895&lt;&gt;""),ABS(D8896-E8895),"")</f>
        <v/>
      </c>
    </row>
    <row r="8897">
      <c r="A8897" t="n">
        <v>8897</v>
      </c>
      <c r="B8897">
        <f>IF(INDEX('Data Entry'!$H$5:$BE$10004,8897-4,'Visual SPC'!$B$3)="",0,IF(AND(OR('Visual SPC'!$C$4="",'Data Entry'!$C8897&gt;='Visual SPC'!$C$4),OR('Visual SPC'!$E$4="",'Data Entry'!$C8897&lt;='Visual SPC'!$E$4),OR('Visual SPC'!$G$4="",'Data Entry'!$D8897='Visual SPC'!$G$4),OR('Visual SPC'!$I$4="",'Data Entry'!$E8897='Visual SPC'!$I$4),OR('Visual SPC'!$K$4="",'Data Entry'!$F8897='Visual SPC'!$K$4)),1,0))</f>
        <v/>
      </c>
      <c r="C8897">
        <f>C8896+B8897</f>
        <v/>
      </c>
      <c r="D8897">
        <f>IF(B8897=1,INDEX('Data Entry'!$H$5:$BE$10004,8897-4,'Visual SPC'!$B$3),"")</f>
        <v/>
      </c>
      <c r="E8897">
        <f>IF(B8897=1,D8897,E8896)</f>
        <v/>
      </c>
      <c r="F8897">
        <f>IF(AND(B8897=1,C8897&gt;1,E8896&lt;&gt;""),ABS(D8897-E8896),"")</f>
        <v/>
      </c>
    </row>
    <row r="8898">
      <c r="A8898" t="n">
        <v>8898</v>
      </c>
      <c r="B8898">
        <f>IF(INDEX('Data Entry'!$H$5:$BE$10004,8898-4,'Visual SPC'!$B$3)="",0,IF(AND(OR('Visual SPC'!$C$4="",'Data Entry'!$C8898&gt;='Visual SPC'!$C$4),OR('Visual SPC'!$E$4="",'Data Entry'!$C8898&lt;='Visual SPC'!$E$4),OR('Visual SPC'!$G$4="",'Data Entry'!$D8898='Visual SPC'!$G$4),OR('Visual SPC'!$I$4="",'Data Entry'!$E8898='Visual SPC'!$I$4),OR('Visual SPC'!$K$4="",'Data Entry'!$F8898='Visual SPC'!$K$4)),1,0))</f>
        <v/>
      </c>
      <c r="C8898">
        <f>C8897+B8898</f>
        <v/>
      </c>
      <c r="D8898">
        <f>IF(B8898=1,INDEX('Data Entry'!$H$5:$BE$10004,8898-4,'Visual SPC'!$B$3),"")</f>
        <v/>
      </c>
      <c r="E8898">
        <f>IF(B8898=1,D8898,E8897)</f>
        <v/>
      </c>
      <c r="F8898">
        <f>IF(AND(B8898=1,C8898&gt;1,E8897&lt;&gt;""),ABS(D8898-E8897),"")</f>
        <v/>
      </c>
    </row>
    <row r="8899">
      <c r="A8899" t="n">
        <v>8899</v>
      </c>
      <c r="B8899">
        <f>IF(INDEX('Data Entry'!$H$5:$BE$10004,8899-4,'Visual SPC'!$B$3)="",0,IF(AND(OR('Visual SPC'!$C$4="",'Data Entry'!$C8899&gt;='Visual SPC'!$C$4),OR('Visual SPC'!$E$4="",'Data Entry'!$C8899&lt;='Visual SPC'!$E$4),OR('Visual SPC'!$G$4="",'Data Entry'!$D8899='Visual SPC'!$G$4),OR('Visual SPC'!$I$4="",'Data Entry'!$E8899='Visual SPC'!$I$4),OR('Visual SPC'!$K$4="",'Data Entry'!$F8899='Visual SPC'!$K$4)),1,0))</f>
        <v/>
      </c>
      <c r="C8899">
        <f>C8898+B8899</f>
        <v/>
      </c>
      <c r="D8899">
        <f>IF(B8899=1,INDEX('Data Entry'!$H$5:$BE$10004,8899-4,'Visual SPC'!$B$3),"")</f>
        <v/>
      </c>
      <c r="E8899">
        <f>IF(B8899=1,D8899,E8898)</f>
        <v/>
      </c>
      <c r="F8899">
        <f>IF(AND(B8899=1,C8899&gt;1,E8898&lt;&gt;""),ABS(D8899-E8898),"")</f>
        <v/>
      </c>
    </row>
    <row r="8900">
      <c r="A8900" t="n">
        <v>8900</v>
      </c>
      <c r="B8900">
        <f>IF(INDEX('Data Entry'!$H$5:$BE$10004,8900-4,'Visual SPC'!$B$3)="",0,IF(AND(OR('Visual SPC'!$C$4="",'Data Entry'!$C8900&gt;='Visual SPC'!$C$4),OR('Visual SPC'!$E$4="",'Data Entry'!$C8900&lt;='Visual SPC'!$E$4),OR('Visual SPC'!$G$4="",'Data Entry'!$D8900='Visual SPC'!$G$4),OR('Visual SPC'!$I$4="",'Data Entry'!$E8900='Visual SPC'!$I$4),OR('Visual SPC'!$K$4="",'Data Entry'!$F8900='Visual SPC'!$K$4)),1,0))</f>
        <v/>
      </c>
      <c r="C8900">
        <f>C8899+B8900</f>
        <v/>
      </c>
      <c r="D8900">
        <f>IF(B8900=1,INDEX('Data Entry'!$H$5:$BE$10004,8900-4,'Visual SPC'!$B$3),"")</f>
        <v/>
      </c>
      <c r="E8900">
        <f>IF(B8900=1,D8900,E8899)</f>
        <v/>
      </c>
      <c r="F8900">
        <f>IF(AND(B8900=1,C8900&gt;1,E8899&lt;&gt;""),ABS(D8900-E8899),"")</f>
        <v/>
      </c>
    </row>
    <row r="8901">
      <c r="A8901" t="n">
        <v>8901</v>
      </c>
      <c r="B8901">
        <f>IF(INDEX('Data Entry'!$H$5:$BE$10004,8901-4,'Visual SPC'!$B$3)="",0,IF(AND(OR('Visual SPC'!$C$4="",'Data Entry'!$C8901&gt;='Visual SPC'!$C$4),OR('Visual SPC'!$E$4="",'Data Entry'!$C8901&lt;='Visual SPC'!$E$4),OR('Visual SPC'!$G$4="",'Data Entry'!$D8901='Visual SPC'!$G$4),OR('Visual SPC'!$I$4="",'Data Entry'!$E8901='Visual SPC'!$I$4),OR('Visual SPC'!$K$4="",'Data Entry'!$F8901='Visual SPC'!$K$4)),1,0))</f>
        <v/>
      </c>
      <c r="C8901">
        <f>C8900+B8901</f>
        <v/>
      </c>
      <c r="D8901">
        <f>IF(B8901=1,INDEX('Data Entry'!$H$5:$BE$10004,8901-4,'Visual SPC'!$B$3),"")</f>
        <v/>
      </c>
      <c r="E8901">
        <f>IF(B8901=1,D8901,E8900)</f>
        <v/>
      </c>
      <c r="F8901">
        <f>IF(AND(B8901=1,C8901&gt;1,E8900&lt;&gt;""),ABS(D8901-E8900),"")</f>
        <v/>
      </c>
    </row>
    <row r="8902">
      <c r="A8902" t="n">
        <v>8902</v>
      </c>
      <c r="B8902">
        <f>IF(INDEX('Data Entry'!$H$5:$BE$10004,8902-4,'Visual SPC'!$B$3)="",0,IF(AND(OR('Visual SPC'!$C$4="",'Data Entry'!$C8902&gt;='Visual SPC'!$C$4),OR('Visual SPC'!$E$4="",'Data Entry'!$C8902&lt;='Visual SPC'!$E$4),OR('Visual SPC'!$G$4="",'Data Entry'!$D8902='Visual SPC'!$G$4),OR('Visual SPC'!$I$4="",'Data Entry'!$E8902='Visual SPC'!$I$4),OR('Visual SPC'!$K$4="",'Data Entry'!$F8902='Visual SPC'!$K$4)),1,0))</f>
        <v/>
      </c>
      <c r="C8902">
        <f>C8901+B8902</f>
        <v/>
      </c>
      <c r="D8902">
        <f>IF(B8902=1,INDEX('Data Entry'!$H$5:$BE$10004,8902-4,'Visual SPC'!$B$3),"")</f>
        <v/>
      </c>
      <c r="E8902">
        <f>IF(B8902=1,D8902,E8901)</f>
        <v/>
      </c>
      <c r="F8902">
        <f>IF(AND(B8902=1,C8902&gt;1,E8901&lt;&gt;""),ABS(D8902-E8901),"")</f>
        <v/>
      </c>
    </row>
    <row r="8903">
      <c r="A8903" t="n">
        <v>8903</v>
      </c>
      <c r="B8903">
        <f>IF(INDEX('Data Entry'!$H$5:$BE$10004,8903-4,'Visual SPC'!$B$3)="",0,IF(AND(OR('Visual SPC'!$C$4="",'Data Entry'!$C8903&gt;='Visual SPC'!$C$4),OR('Visual SPC'!$E$4="",'Data Entry'!$C8903&lt;='Visual SPC'!$E$4),OR('Visual SPC'!$G$4="",'Data Entry'!$D8903='Visual SPC'!$G$4),OR('Visual SPC'!$I$4="",'Data Entry'!$E8903='Visual SPC'!$I$4),OR('Visual SPC'!$K$4="",'Data Entry'!$F8903='Visual SPC'!$K$4)),1,0))</f>
        <v/>
      </c>
      <c r="C8903">
        <f>C8902+B8903</f>
        <v/>
      </c>
      <c r="D8903">
        <f>IF(B8903=1,INDEX('Data Entry'!$H$5:$BE$10004,8903-4,'Visual SPC'!$B$3),"")</f>
        <v/>
      </c>
      <c r="E8903">
        <f>IF(B8903=1,D8903,E8902)</f>
        <v/>
      </c>
      <c r="F8903">
        <f>IF(AND(B8903=1,C8903&gt;1,E8902&lt;&gt;""),ABS(D8903-E8902),"")</f>
        <v/>
      </c>
    </row>
    <row r="8904">
      <c r="A8904" t="n">
        <v>8904</v>
      </c>
      <c r="B8904">
        <f>IF(INDEX('Data Entry'!$H$5:$BE$10004,8904-4,'Visual SPC'!$B$3)="",0,IF(AND(OR('Visual SPC'!$C$4="",'Data Entry'!$C8904&gt;='Visual SPC'!$C$4),OR('Visual SPC'!$E$4="",'Data Entry'!$C8904&lt;='Visual SPC'!$E$4),OR('Visual SPC'!$G$4="",'Data Entry'!$D8904='Visual SPC'!$G$4),OR('Visual SPC'!$I$4="",'Data Entry'!$E8904='Visual SPC'!$I$4),OR('Visual SPC'!$K$4="",'Data Entry'!$F8904='Visual SPC'!$K$4)),1,0))</f>
        <v/>
      </c>
      <c r="C8904">
        <f>C8903+B8904</f>
        <v/>
      </c>
      <c r="D8904">
        <f>IF(B8904=1,INDEX('Data Entry'!$H$5:$BE$10004,8904-4,'Visual SPC'!$B$3),"")</f>
        <v/>
      </c>
      <c r="E8904">
        <f>IF(B8904=1,D8904,E8903)</f>
        <v/>
      </c>
      <c r="F8904">
        <f>IF(AND(B8904=1,C8904&gt;1,E8903&lt;&gt;""),ABS(D8904-E8903),"")</f>
        <v/>
      </c>
    </row>
    <row r="8905">
      <c r="A8905" t="n">
        <v>8905</v>
      </c>
      <c r="B8905">
        <f>IF(INDEX('Data Entry'!$H$5:$BE$10004,8905-4,'Visual SPC'!$B$3)="",0,IF(AND(OR('Visual SPC'!$C$4="",'Data Entry'!$C8905&gt;='Visual SPC'!$C$4),OR('Visual SPC'!$E$4="",'Data Entry'!$C8905&lt;='Visual SPC'!$E$4),OR('Visual SPC'!$G$4="",'Data Entry'!$D8905='Visual SPC'!$G$4),OR('Visual SPC'!$I$4="",'Data Entry'!$E8905='Visual SPC'!$I$4),OR('Visual SPC'!$K$4="",'Data Entry'!$F8905='Visual SPC'!$K$4)),1,0))</f>
        <v/>
      </c>
      <c r="C8905">
        <f>C8904+B8905</f>
        <v/>
      </c>
      <c r="D8905">
        <f>IF(B8905=1,INDEX('Data Entry'!$H$5:$BE$10004,8905-4,'Visual SPC'!$B$3),"")</f>
        <v/>
      </c>
      <c r="E8905">
        <f>IF(B8905=1,D8905,E8904)</f>
        <v/>
      </c>
      <c r="F8905">
        <f>IF(AND(B8905=1,C8905&gt;1,E8904&lt;&gt;""),ABS(D8905-E8904),"")</f>
        <v/>
      </c>
    </row>
    <row r="8906">
      <c r="A8906" t="n">
        <v>8906</v>
      </c>
      <c r="B8906">
        <f>IF(INDEX('Data Entry'!$H$5:$BE$10004,8906-4,'Visual SPC'!$B$3)="",0,IF(AND(OR('Visual SPC'!$C$4="",'Data Entry'!$C8906&gt;='Visual SPC'!$C$4),OR('Visual SPC'!$E$4="",'Data Entry'!$C8906&lt;='Visual SPC'!$E$4),OR('Visual SPC'!$G$4="",'Data Entry'!$D8906='Visual SPC'!$G$4),OR('Visual SPC'!$I$4="",'Data Entry'!$E8906='Visual SPC'!$I$4),OR('Visual SPC'!$K$4="",'Data Entry'!$F8906='Visual SPC'!$K$4)),1,0))</f>
        <v/>
      </c>
      <c r="C8906">
        <f>C8905+B8906</f>
        <v/>
      </c>
      <c r="D8906">
        <f>IF(B8906=1,INDEX('Data Entry'!$H$5:$BE$10004,8906-4,'Visual SPC'!$B$3),"")</f>
        <v/>
      </c>
      <c r="E8906">
        <f>IF(B8906=1,D8906,E8905)</f>
        <v/>
      </c>
      <c r="F8906">
        <f>IF(AND(B8906=1,C8906&gt;1,E8905&lt;&gt;""),ABS(D8906-E8905),"")</f>
        <v/>
      </c>
    </row>
    <row r="8907">
      <c r="A8907" t="n">
        <v>8907</v>
      </c>
      <c r="B8907">
        <f>IF(INDEX('Data Entry'!$H$5:$BE$10004,8907-4,'Visual SPC'!$B$3)="",0,IF(AND(OR('Visual SPC'!$C$4="",'Data Entry'!$C8907&gt;='Visual SPC'!$C$4),OR('Visual SPC'!$E$4="",'Data Entry'!$C8907&lt;='Visual SPC'!$E$4),OR('Visual SPC'!$G$4="",'Data Entry'!$D8907='Visual SPC'!$G$4),OR('Visual SPC'!$I$4="",'Data Entry'!$E8907='Visual SPC'!$I$4),OR('Visual SPC'!$K$4="",'Data Entry'!$F8907='Visual SPC'!$K$4)),1,0))</f>
        <v/>
      </c>
      <c r="C8907">
        <f>C8906+B8907</f>
        <v/>
      </c>
      <c r="D8907">
        <f>IF(B8907=1,INDEX('Data Entry'!$H$5:$BE$10004,8907-4,'Visual SPC'!$B$3),"")</f>
        <v/>
      </c>
      <c r="E8907">
        <f>IF(B8907=1,D8907,E8906)</f>
        <v/>
      </c>
      <c r="F8907">
        <f>IF(AND(B8907=1,C8907&gt;1,E8906&lt;&gt;""),ABS(D8907-E8906),"")</f>
        <v/>
      </c>
    </row>
    <row r="8908">
      <c r="A8908" t="n">
        <v>8908</v>
      </c>
      <c r="B8908">
        <f>IF(INDEX('Data Entry'!$H$5:$BE$10004,8908-4,'Visual SPC'!$B$3)="",0,IF(AND(OR('Visual SPC'!$C$4="",'Data Entry'!$C8908&gt;='Visual SPC'!$C$4),OR('Visual SPC'!$E$4="",'Data Entry'!$C8908&lt;='Visual SPC'!$E$4),OR('Visual SPC'!$G$4="",'Data Entry'!$D8908='Visual SPC'!$G$4),OR('Visual SPC'!$I$4="",'Data Entry'!$E8908='Visual SPC'!$I$4),OR('Visual SPC'!$K$4="",'Data Entry'!$F8908='Visual SPC'!$K$4)),1,0))</f>
        <v/>
      </c>
      <c r="C8908">
        <f>C8907+B8908</f>
        <v/>
      </c>
      <c r="D8908">
        <f>IF(B8908=1,INDEX('Data Entry'!$H$5:$BE$10004,8908-4,'Visual SPC'!$B$3),"")</f>
        <v/>
      </c>
      <c r="E8908">
        <f>IF(B8908=1,D8908,E8907)</f>
        <v/>
      </c>
      <c r="F8908">
        <f>IF(AND(B8908=1,C8908&gt;1,E8907&lt;&gt;""),ABS(D8908-E8907),"")</f>
        <v/>
      </c>
    </row>
    <row r="8909">
      <c r="A8909" t="n">
        <v>8909</v>
      </c>
      <c r="B8909">
        <f>IF(INDEX('Data Entry'!$H$5:$BE$10004,8909-4,'Visual SPC'!$B$3)="",0,IF(AND(OR('Visual SPC'!$C$4="",'Data Entry'!$C8909&gt;='Visual SPC'!$C$4),OR('Visual SPC'!$E$4="",'Data Entry'!$C8909&lt;='Visual SPC'!$E$4),OR('Visual SPC'!$G$4="",'Data Entry'!$D8909='Visual SPC'!$G$4),OR('Visual SPC'!$I$4="",'Data Entry'!$E8909='Visual SPC'!$I$4),OR('Visual SPC'!$K$4="",'Data Entry'!$F8909='Visual SPC'!$K$4)),1,0))</f>
        <v/>
      </c>
      <c r="C8909">
        <f>C8908+B8909</f>
        <v/>
      </c>
      <c r="D8909">
        <f>IF(B8909=1,INDEX('Data Entry'!$H$5:$BE$10004,8909-4,'Visual SPC'!$B$3),"")</f>
        <v/>
      </c>
      <c r="E8909">
        <f>IF(B8909=1,D8909,E8908)</f>
        <v/>
      </c>
      <c r="F8909">
        <f>IF(AND(B8909=1,C8909&gt;1,E8908&lt;&gt;""),ABS(D8909-E8908),"")</f>
        <v/>
      </c>
    </row>
    <row r="8910">
      <c r="A8910" t="n">
        <v>8910</v>
      </c>
      <c r="B8910">
        <f>IF(INDEX('Data Entry'!$H$5:$BE$10004,8910-4,'Visual SPC'!$B$3)="",0,IF(AND(OR('Visual SPC'!$C$4="",'Data Entry'!$C8910&gt;='Visual SPC'!$C$4),OR('Visual SPC'!$E$4="",'Data Entry'!$C8910&lt;='Visual SPC'!$E$4),OR('Visual SPC'!$G$4="",'Data Entry'!$D8910='Visual SPC'!$G$4),OR('Visual SPC'!$I$4="",'Data Entry'!$E8910='Visual SPC'!$I$4),OR('Visual SPC'!$K$4="",'Data Entry'!$F8910='Visual SPC'!$K$4)),1,0))</f>
        <v/>
      </c>
      <c r="C8910">
        <f>C8909+B8910</f>
        <v/>
      </c>
      <c r="D8910">
        <f>IF(B8910=1,INDEX('Data Entry'!$H$5:$BE$10004,8910-4,'Visual SPC'!$B$3),"")</f>
        <v/>
      </c>
      <c r="E8910">
        <f>IF(B8910=1,D8910,E8909)</f>
        <v/>
      </c>
      <c r="F8910">
        <f>IF(AND(B8910=1,C8910&gt;1,E8909&lt;&gt;""),ABS(D8910-E8909),"")</f>
        <v/>
      </c>
    </row>
    <row r="8911">
      <c r="A8911" t="n">
        <v>8911</v>
      </c>
      <c r="B8911">
        <f>IF(INDEX('Data Entry'!$H$5:$BE$10004,8911-4,'Visual SPC'!$B$3)="",0,IF(AND(OR('Visual SPC'!$C$4="",'Data Entry'!$C8911&gt;='Visual SPC'!$C$4),OR('Visual SPC'!$E$4="",'Data Entry'!$C8911&lt;='Visual SPC'!$E$4),OR('Visual SPC'!$G$4="",'Data Entry'!$D8911='Visual SPC'!$G$4),OR('Visual SPC'!$I$4="",'Data Entry'!$E8911='Visual SPC'!$I$4),OR('Visual SPC'!$K$4="",'Data Entry'!$F8911='Visual SPC'!$K$4)),1,0))</f>
        <v/>
      </c>
      <c r="C8911">
        <f>C8910+B8911</f>
        <v/>
      </c>
      <c r="D8911">
        <f>IF(B8911=1,INDEX('Data Entry'!$H$5:$BE$10004,8911-4,'Visual SPC'!$B$3),"")</f>
        <v/>
      </c>
      <c r="E8911">
        <f>IF(B8911=1,D8911,E8910)</f>
        <v/>
      </c>
      <c r="F8911">
        <f>IF(AND(B8911=1,C8911&gt;1,E8910&lt;&gt;""),ABS(D8911-E8910),"")</f>
        <v/>
      </c>
    </row>
    <row r="8912">
      <c r="A8912" t="n">
        <v>8912</v>
      </c>
      <c r="B8912">
        <f>IF(INDEX('Data Entry'!$H$5:$BE$10004,8912-4,'Visual SPC'!$B$3)="",0,IF(AND(OR('Visual SPC'!$C$4="",'Data Entry'!$C8912&gt;='Visual SPC'!$C$4),OR('Visual SPC'!$E$4="",'Data Entry'!$C8912&lt;='Visual SPC'!$E$4),OR('Visual SPC'!$G$4="",'Data Entry'!$D8912='Visual SPC'!$G$4),OR('Visual SPC'!$I$4="",'Data Entry'!$E8912='Visual SPC'!$I$4),OR('Visual SPC'!$K$4="",'Data Entry'!$F8912='Visual SPC'!$K$4)),1,0))</f>
        <v/>
      </c>
      <c r="C8912">
        <f>C8911+B8912</f>
        <v/>
      </c>
      <c r="D8912">
        <f>IF(B8912=1,INDEX('Data Entry'!$H$5:$BE$10004,8912-4,'Visual SPC'!$B$3),"")</f>
        <v/>
      </c>
      <c r="E8912">
        <f>IF(B8912=1,D8912,E8911)</f>
        <v/>
      </c>
      <c r="F8912">
        <f>IF(AND(B8912=1,C8912&gt;1,E8911&lt;&gt;""),ABS(D8912-E8911),"")</f>
        <v/>
      </c>
    </row>
    <row r="8913">
      <c r="A8913" t="n">
        <v>8913</v>
      </c>
      <c r="B8913">
        <f>IF(INDEX('Data Entry'!$H$5:$BE$10004,8913-4,'Visual SPC'!$B$3)="",0,IF(AND(OR('Visual SPC'!$C$4="",'Data Entry'!$C8913&gt;='Visual SPC'!$C$4),OR('Visual SPC'!$E$4="",'Data Entry'!$C8913&lt;='Visual SPC'!$E$4),OR('Visual SPC'!$G$4="",'Data Entry'!$D8913='Visual SPC'!$G$4),OR('Visual SPC'!$I$4="",'Data Entry'!$E8913='Visual SPC'!$I$4),OR('Visual SPC'!$K$4="",'Data Entry'!$F8913='Visual SPC'!$K$4)),1,0))</f>
        <v/>
      </c>
      <c r="C8913">
        <f>C8912+B8913</f>
        <v/>
      </c>
      <c r="D8913">
        <f>IF(B8913=1,INDEX('Data Entry'!$H$5:$BE$10004,8913-4,'Visual SPC'!$B$3),"")</f>
        <v/>
      </c>
      <c r="E8913">
        <f>IF(B8913=1,D8913,E8912)</f>
        <v/>
      </c>
      <c r="F8913">
        <f>IF(AND(B8913=1,C8913&gt;1,E8912&lt;&gt;""),ABS(D8913-E8912),"")</f>
        <v/>
      </c>
    </row>
    <row r="8914">
      <c r="A8914" t="n">
        <v>8914</v>
      </c>
      <c r="B8914">
        <f>IF(INDEX('Data Entry'!$H$5:$BE$10004,8914-4,'Visual SPC'!$B$3)="",0,IF(AND(OR('Visual SPC'!$C$4="",'Data Entry'!$C8914&gt;='Visual SPC'!$C$4),OR('Visual SPC'!$E$4="",'Data Entry'!$C8914&lt;='Visual SPC'!$E$4),OR('Visual SPC'!$G$4="",'Data Entry'!$D8914='Visual SPC'!$G$4),OR('Visual SPC'!$I$4="",'Data Entry'!$E8914='Visual SPC'!$I$4),OR('Visual SPC'!$K$4="",'Data Entry'!$F8914='Visual SPC'!$K$4)),1,0))</f>
        <v/>
      </c>
      <c r="C8914">
        <f>C8913+B8914</f>
        <v/>
      </c>
      <c r="D8914">
        <f>IF(B8914=1,INDEX('Data Entry'!$H$5:$BE$10004,8914-4,'Visual SPC'!$B$3),"")</f>
        <v/>
      </c>
      <c r="E8914">
        <f>IF(B8914=1,D8914,E8913)</f>
        <v/>
      </c>
      <c r="F8914">
        <f>IF(AND(B8914=1,C8914&gt;1,E8913&lt;&gt;""),ABS(D8914-E8913),"")</f>
        <v/>
      </c>
    </row>
    <row r="8915">
      <c r="A8915" t="n">
        <v>8915</v>
      </c>
      <c r="B8915">
        <f>IF(INDEX('Data Entry'!$H$5:$BE$10004,8915-4,'Visual SPC'!$B$3)="",0,IF(AND(OR('Visual SPC'!$C$4="",'Data Entry'!$C8915&gt;='Visual SPC'!$C$4),OR('Visual SPC'!$E$4="",'Data Entry'!$C8915&lt;='Visual SPC'!$E$4),OR('Visual SPC'!$G$4="",'Data Entry'!$D8915='Visual SPC'!$G$4),OR('Visual SPC'!$I$4="",'Data Entry'!$E8915='Visual SPC'!$I$4),OR('Visual SPC'!$K$4="",'Data Entry'!$F8915='Visual SPC'!$K$4)),1,0))</f>
        <v/>
      </c>
      <c r="C8915">
        <f>C8914+B8915</f>
        <v/>
      </c>
      <c r="D8915">
        <f>IF(B8915=1,INDEX('Data Entry'!$H$5:$BE$10004,8915-4,'Visual SPC'!$B$3),"")</f>
        <v/>
      </c>
      <c r="E8915">
        <f>IF(B8915=1,D8915,E8914)</f>
        <v/>
      </c>
      <c r="F8915">
        <f>IF(AND(B8915=1,C8915&gt;1,E8914&lt;&gt;""),ABS(D8915-E8914),"")</f>
        <v/>
      </c>
    </row>
    <row r="8916">
      <c r="A8916" t="n">
        <v>8916</v>
      </c>
      <c r="B8916">
        <f>IF(INDEX('Data Entry'!$H$5:$BE$10004,8916-4,'Visual SPC'!$B$3)="",0,IF(AND(OR('Visual SPC'!$C$4="",'Data Entry'!$C8916&gt;='Visual SPC'!$C$4),OR('Visual SPC'!$E$4="",'Data Entry'!$C8916&lt;='Visual SPC'!$E$4),OR('Visual SPC'!$G$4="",'Data Entry'!$D8916='Visual SPC'!$G$4),OR('Visual SPC'!$I$4="",'Data Entry'!$E8916='Visual SPC'!$I$4),OR('Visual SPC'!$K$4="",'Data Entry'!$F8916='Visual SPC'!$K$4)),1,0))</f>
        <v/>
      </c>
      <c r="C8916">
        <f>C8915+B8916</f>
        <v/>
      </c>
      <c r="D8916">
        <f>IF(B8916=1,INDEX('Data Entry'!$H$5:$BE$10004,8916-4,'Visual SPC'!$B$3),"")</f>
        <v/>
      </c>
      <c r="E8916">
        <f>IF(B8916=1,D8916,E8915)</f>
        <v/>
      </c>
      <c r="F8916">
        <f>IF(AND(B8916=1,C8916&gt;1,E8915&lt;&gt;""),ABS(D8916-E8915),"")</f>
        <v/>
      </c>
    </row>
    <row r="8917">
      <c r="A8917" t="n">
        <v>8917</v>
      </c>
      <c r="B8917">
        <f>IF(INDEX('Data Entry'!$H$5:$BE$10004,8917-4,'Visual SPC'!$B$3)="",0,IF(AND(OR('Visual SPC'!$C$4="",'Data Entry'!$C8917&gt;='Visual SPC'!$C$4),OR('Visual SPC'!$E$4="",'Data Entry'!$C8917&lt;='Visual SPC'!$E$4),OR('Visual SPC'!$G$4="",'Data Entry'!$D8917='Visual SPC'!$G$4),OR('Visual SPC'!$I$4="",'Data Entry'!$E8917='Visual SPC'!$I$4),OR('Visual SPC'!$K$4="",'Data Entry'!$F8917='Visual SPC'!$K$4)),1,0))</f>
        <v/>
      </c>
      <c r="C8917">
        <f>C8916+B8917</f>
        <v/>
      </c>
      <c r="D8917">
        <f>IF(B8917=1,INDEX('Data Entry'!$H$5:$BE$10004,8917-4,'Visual SPC'!$B$3),"")</f>
        <v/>
      </c>
      <c r="E8917">
        <f>IF(B8917=1,D8917,E8916)</f>
        <v/>
      </c>
      <c r="F8917">
        <f>IF(AND(B8917=1,C8917&gt;1,E8916&lt;&gt;""),ABS(D8917-E8916),"")</f>
        <v/>
      </c>
    </row>
    <row r="8918">
      <c r="A8918" t="n">
        <v>8918</v>
      </c>
      <c r="B8918">
        <f>IF(INDEX('Data Entry'!$H$5:$BE$10004,8918-4,'Visual SPC'!$B$3)="",0,IF(AND(OR('Visual SPC'!$C$4="",'Data Entry'!$C8918&gt;='Visual SPC'!$C$4),OR('Visual SPC'!$E$4="",'Data Entry'!$C8918&lt;='Visual SPC'!$E$4),OR('Visual SPC'!$G$4="",'Data Entry'!$D8918='Visual SPC'!$G$4),OR('Visual SPC'!$I$4="",'Data Entry'!$E8918='Visual SPC'!$I$4),OR('Visual SPC'!$K$4="",'Data Entry'!$F8918='Visual SPC'!$K$4)),1,0))</f>
        <v/>
      </c>
      <c r="C8918">
        <f>C8917+B8918</f>
        <v/>
      </c>
      <c r="D8918">
        <f>IF(B8918=1,INDEX('Data Entry'!$H$5:$BE$10004,8918-4,'Visual SPC'!$B$3),"")</f>
        <v/>
      </c>
      <c r="E8918">
        <f>IF(B8918=1,D8918,E8917)</f>
        <v/>
      </c>
      <c r="F8918">
        <f>IF(AND(B8918=1,C8918&gt;1,E8917&lt;&gt;""),ABS(D8918-E8917),"")</f>
        <v/>
      </c>
    </row>
    <row r="8919">
      <c r="A8919" t="n">
        <v>8919</v>
      </c>
      <c r="B8919">
        <f>IF(INDEX('Data Entry'!$H$5:$BE$10004,8919-4,'Visual SPC'!$B$3)="",0,IF(AND(OR('Visual SPC'!$C$4="",'Data Entry'!$C8919&gt;='Visual SPC'!$C$4),OR('Visual SPC'!$E$4="",'Data Entry'!$C8919&lt;='Visual SPC'!$E$4),OR('Visual SPC'!$G$4="",'Data Entry'!$D8919='Visual SPC'!$G$4),OR('Visual SPC'!$I$4="",'Data Entry'!$E8919='Visual SPC'!$I$4),OR('Visual SPC'!$K$4="",'Data Entry'!$F8919='Visual SPC'!$K$4)),1,0))</f>
        <v/>
      </c>
      <c r="C8919">
        <f>C8918+B8919</f>
        <v/>
      </c>
      <c r="D8919">
        <f>IF(B8919=1,INDEX('Data Entry'!$H$5:$BE$10004,8919-4,'Visual SPC'!$B$3),"")</f>
        <v/>
      </c>
      <c r="E8919">
        <f>IF(B8919=1,D8919,E8918)</f>
        <v/>
      </c>
      <c r="F8919">
        <f>IF(AND(B8919=1,C8919&gt;1,E8918&lt;&gt;""),ABS(D8919-E8918),"")</f>
        <v/>
      </c>
    </row>
    <row r="8920">
      <c r="A8920" t="n">
        <v>8920</v>
      </c>
      <c r="B8920">
        <f>IF(INDEX('Data Entry'!$H$5:$BE$10004,8920-4,'Visual SPC'!$B$3)="",0,IF(AND(OR('Visual SPC'!$C$4="",'Data Entry'!$C8920&gt;='Visual SPC'!$C$4),OR('Visual SPC'!$E$4="",'Data Entry'!$C8920&lt;='Visual SPC'!$E$4),OR('Visual SPC'!$G$4="",'Data Entry'!$D8920='Visual SPC'!$G$4),OR('Visual SPC'!$I$4="",'Data Entry'!$E8920='Visual SPC'!$I$4),OR('Visual SPC'!$K$4="",'Data Entry'!$F8920='Visual SPC'!$K$4)),1,0))</f>
        <v/>
      </c>
      <c r="C8920">
        <f>C8919+B8920</f>
        <v/>
      </c>
      <c r="D8920">
        <f>IF(B8920=1,INDEX('Data Entry'!$H$5:$BE$10004,8920-4,'Visual SPC'!$B$3),"")</f>
        <v/>
      </c>
      <c r="E8920">
        <f>IF(B8920=1,D8920,E8919)</f>
        <v/>
      </c>
      <c r="F8920">
        <f>IF(AND(B8920=1,C8920&gt;1,E8919&lt;&gt;""),ABS(D8920-E8919),"")</f>
        <v/>
      </c>
    </row>
    <row r="8921">
      <c r="A8921" t="n">
        <v>8921</v>
      </c>
      <c r="B8921">
        <f>IF(INDEX('Data Entry'!$H$5:$BE$10004,8921-4,'Visual SPC'!$B$3)="",0,IF(AND(OR('Visual SPC'!$C$4="",'Data Entry'!$C8921&gt;='Visual SPC'!$C$4),OR('Visual SPC'!$E$4="",'Data Entry'!$C8921&lt;='Visual SPC'!$E$4),OR('Visual SPC'!$G$4="",'Data Entry'!$D8921='Visual SPC'!$G$4),OR('Visual SPC'!$I$4="",'Data Entry'!$E8921='Visual SPC'!$I$4),OR('Visual SPC'!$K$4="",'Data Entry'!$F8921='Visual SPC'!$K$4)),1,0))</f>
        <v/>
      </c>
      <c r="C8921">
        <f>C8920+B8921</f>
        <v/>
      </c>
      <c r="D8921">
        <f>IF(B8921=1,INDEX('Data Entry'!$H$5:$BE$10004,8921-4,'Visual SPC'!$B$3),"")</f>
        <v/>
      </c>
      <c r="E8921">
        <f>IF(B8921=1,D8921,E8920)</f>
        <v/>
      </c>
      <c r="F8921">
        <f>IF(AND(B8921=1,C8921&gt;1,E8920&lt;&gt;""),ABS(D8921-E8920),"")</f>
        <v/>
      </c>
    </row>
    <row r="8922">
      <c r="A8922" t="n">
        <v>8922</v>
      </c>
      <c r="B8922">
        <f>IF(INDEX('Data Entry'!$H$5:$BE$10004,8922-4,'Visual SPC'!$B$3)="",0,IF(AND(OR('Visual SPC'!$C$4="",'Data Entry'!$C8922&gt;='Visual SPC'!$C$4),OR('Visual SPC'!$E$4="",'Data Entry'!$C8922&lt;='Visual SPC'!$E$4),OR('Visual SPC'!$G$4="",'Data Entry'!$D8922='Visual SPC'!$G$4),OR('Visual SPC'!$I$4="",'Data Entry'!$E8922='Visual SPC'!$I$4),OR('Visual SPC'!$K$4="",'Data Entry'!$F8922='Visual SPC'!$K$4)),1,0))</f>
        <v/>
      </c>
      <c r="C8922">
        <f>C8921+B8922</f>
        <v/>
      </c>
      <c r="D8922">
        <f>IF(B8922=1,INDEX('Data Entry'!$H$5:$BE$10004,8922-4,'Visual SPC'!$B$3),"")</f>
        <v/>
      </c>
      <c r="E8922">
        <f>IF(B8922=1,D8922,E8921)</f>
        <v/>
      </c>
      <c r="F8922">
        <f>IF(AND(B8922=1,C8922&gt;1,E8921&lt;&gt;""),ABS(D8922-E8921),"")</f>
        <v/>
      </c>
    </row>
    <row r="8923">
      <c r="A8923" t="n">
        <v>8923</v>
      </c>
      <c r="B8923">
        <f>IF(INDEX('Data Entry'!$H$5:$BE$10004,8923-4,'Visual SPC'!$B$3)="",0,IF(AND(OR('Visual SPC'!$C$4="",'Data Entry'!$C8923&gt;='Visual SPC'!$C$4),OR('Visual SPC'!$E$4="",'Data Entry'!$C8923&lt;='Visual SPC'!$E$4),OR('Visual SPC'!$G$4="",'Data Entry'!$D8923='Visual SPC'!$G$4),OR('Visual SPC'!$I$4="",'Data Entry'!$E8923='Visual SPC'!$I$4),OR('Visual SPC'!$K$4="",'Data Entry'!$F8923='Visual SPC'!$K$4)),1,0))</f>
        <v/>
      </c>
      <c r="C8923">
        <f>C8922+B8923</f>
        <v/>
      </c>
      <c r="D8923">
        <f>IF(B8923=1,INDEX('Data Entry'!$H$5:$BE$10004,8923-4,'Visual SPC'!$B$3),"")</f>
        <v/>
      </c>
      <c r="E8923">
        <f>IF(B8923=1,D8923,E8922)</f>
        <v/>
      </c>
      <c r="F8923">
        <f>IF(AND(B8923=1,C8923&gt;1,E8922&lt;&gt;""),ABS(D8923-E8922),"")</f>
        <v/>
      </c>
    </row>
    <row r="8924">
      <c r="A8924" t="n">
        <v>8924</v>
      </c>
      <c r="B8924">
        <f>IF(INDEX('Data Entry'!$H$5:$BE$10004,8924-4,'Visual SPC'!$B$3)="",0,IF(AND(OR('Visual SPC'!$C$4="",'Data Entry'!$C8924&gt;='Visual SPC'!$C$4),OR('Visual SPC'!$E$4="",'Data Entry'!$C8924&lt;='Visual SPC'!$E$4),OR('Visual SPC'!$G$4="",'Data Entry'!$D8924='Visual SPC'!$G$4),OR('Visual SPC'!$I$4="",'Data Entry'!$E8924='Visual SPC'!$I$4),OR('Visual SPC'!$K$4="",'Data Entry'!$F8924='Visual SPC'!$K$4)),1,0))</f>
        <v/>
      </c>
      <c r="C8924">
        <f>C8923+B8924</f>
        <v/>
      </c>
      <c r="D8924">
        <f>IF(B8924=1,INDEX('Data Entry'!$H$5:$BE$10004,8924-4,'Visual SPC'!$B$3),"")</f>
        <v/>
      </c>
      <c r="E8924">
        <f>IF(B8924=1,D8924,E8923)</f>
        <v/>
      </c>
      <c r="F8924">
        <f>IF(AND(B8924=1,C8924&gt;1,E8923&lt;&gt;""),ABS(D8924-E8923),"")</f>
        <v/>
      </c>
    </row>
    <row r="8925">
      <c r="A8925" t="n">
        <v>8925</v>
      </c>
      <c r="B8925">
        <f>IF(INDEX('Data Entry'!$H$5:$BE$10004,8925-4,'Visual SPC'!$B$3)="",0,IF(AND(OR('Visual SPC'!$C$4="",'Data Entry'!$C8925&gt;='Visual SPC'!$C$4),OR('Visual SPC'!$E$4="",'Data Entry'!$C8925&lt;='Visual SPC'!$E$4),OR('Visual SPC'!$G$4="",'Data Entry'!$D8925='Visual SPC'!$G$4),OR('Visual SPC'!$I$4="",'Data Entry'!$E8925='Visual SPC'!$I$4),OR('Visual SPC'!$K$4="",'Data Entry'!$F8925='Visual SPC'!$K$4)),1,0))</f>
        <v/>
      </c>
      <c r="C8925">
        <f>C8924+B8925</f>
        <v/>
      </c>
      <c r="D8925">
        <f>IF(B8925=1,INDEX('Data Entry'!$H$5:$BE$10004,8925-4,'Visual SPC'!$B$3),"")</f>
        <v/>
      </c>
      <c r="E8925">
        <f>IF(B8925=1,D8925,E8924)</f>
        <v/>
      </c>
      <c r="F8925">
        <f>IF(AND(B8925=1,C8925&gt;1,E8924&lt;&gt;""),ABS(D8925-E8924),"")</f>
        <v/>
      </c>
    </row>
    <row r="8926">
      <c r="A8926" t="n">
        <v>8926</v>
      </c>
      <c r="B8926">
        <f>IF(INDEX('Data Entry'!$H$5:$BE$10004,8926-4,'Visual SPC'!$B$3)="",0,IF(AND(OR('Visual SPC'!$C$4="",'Data Entry'!$C8926&gt;='Visual SPC'!$C$4),OR('Visual SPC'!$E$4="",'Data Entry'!$C8926&lt;='Visual SPC'!$E$4),OR('Visual SPC'!$G$4="",'Data Entry'!$D8926='Visual SPC'!$G$4),OR('Visual SPC'!$I$4="",'Data Entry'!$E8926='Visual SPC'!$I$4),OR('Visual SPC'!$K$4="",'Data Entry'!$F8926='Visual SPC'!$K$4)),1,0))</f>
        <v/>
      </c>
      <c r="C8926">
        <f>C8925+B8926</f>
        <v/>
      </c>
      <c r="D8926">
        <f>IF(B8926=1,INDEX('Data Entry'!$H$5:$BE$10004,8926-4,'Visual SPC'!$B$3),"")</f>
        <v/>
      </c>
      <c r="E8926">
        <f>IF(B8926=1,D8926,E8925)</f>
        <v/>
      </c>
      <c r="F8926">
        <f>IF(AND(B8926=1,C8926&gt;1,E8925&lt;&gt;""),ABS(D8926-E8925),"")</f>
        <v/>
      </c>
    </row>
    <row r="8927">
      <c r="A8927" t="n">
        <v>8927</v>
      </c>
      <c r="B8927">
        <f>IF(INDEX('Data Entry'!$H$5:$BE$10004,8927-4,'Visual SPC'!$B$3)="",0,IF(AND(OR('Visual SPC'!$C$4="",'Data Entry'!$C8927&gt;='Visual SPC'!$C$4),OR('Visual SPC'!$E$4="",'Data Entry'!$C8927&lt;='Visual SPC'!$E$4),OR('Visual SPC'!$G$4="",'Data Entry'!$D8927='Visual SPC'!$G$4),OR('Visual SPC'!$I$4="",'Data Entry'!$E8927='Visual SPC'!$I$4),OR('Visual SPC'!$K$4="",'Data Entry'!$F8927='Visual SPC'!$K$4)),1,0))</f>
        <v/>
      </c>
      <c r="C8927">
        <f>C8926+B8927</f>
        <v/>
      </c>
      <c r="D8927">
        <f>IF(B8927=1,INDEX('Data Entry'!$H$5:$BE$10004,8927-4,'Visual SPC'!$B$3),"")</f>
        <v/>
      </c>
      <c r="E8927">
        <f>IF(B8927=1,D8927,E8926)</f>
        <v/>
      </c>
      <c r="F8927">
        <f>IF(AND(B8927=1,C8927&gt;1,E8926&lt;&gt;""),ABS(D8927-E8926),"")</f>
        <v/>
      </c>
    </row>
    <row r="8928">
      <c r="A8928" t="n">
        <v>8928</v>
      </c>
      <c r="B8928">
        <f>IF(INDEX('Data Entry'!$H$5:$BE$10004,8928-4,'Visual SPC'!$B$3)="",0,IF(AND(OR('Visual SPC'!$C$4="",'Data Entry'!$C8928&gt;='Visual SPC'!$C$4),OR('Visual SPC'!$E$4="",'Data Entry'!$C8928&lt;='Visual SPC'!$E$4),OR('Visual SPC'!$G$4="",'Data Entry'!$D8928='Visual SPC'!$G$4),OR('Visual SPC'!$I$4="",'Data Entry'!$E8928='Visual SPC'!$I$4),OR('Visual SPC'!$K$4="",'Data Entry'!$F8928='Visual SPC'!$K$4)),1,0))</f>
        <v/>
      </c>
      <c r="C8928">
        <f>C8927+B8928</f>
        <v/>
      </c>
      <c r="D8928">
        <f>IF(B8928=1,INDEX('Data Entry'!$H$5:$BE$10004,8928-4,'Visual SPC'!$B$3),"")</f>
        <v/>
      </c>
      <c r="E8928">
        <f>IF(B8928=1,D8928,E8927)</f>
        <v/>
      </c>
      <c r="F8928">
        <f>IF(AND(B8928=1,C8928&gt;1,E8927&lt;&gt;""),ABS(D8928-E8927),"")</f>
        <v/>
      </c>
    </row>
    <row r="8929">
      <c r="A8929" t="n">
        <v>8929</v>
      </c>
      <c r="B8929">
        <f>IF(INDEX('Data Entry'!$H$5:$BE$10004,8929-4,'Visual SPC'!$B$3)="",0,IF(AND(OR('Visual SPC'!$C$4="",'Data Entry'!$C8929&gt;='Visual SPC'!$C$4),OR('Visual SPC'!$E$4="",'Data Entry'!$C8929&lt;='Visual SPC'!$E$4),OR('Visual SPC'!$G$4="",'Data Entry'!$D8929='Visual SPC'!$G$4),OR('Visual SPC'!$I$4="",'Data Entry'!$E8929='Visual SPC'!$I$4),OR('Visual SPC'!$K$4="",'Data Entry'!$F8929='Visual SPC'!$K$4)),1,0))</f>
        <v/>
      </c>
      <c r="C8929">
        <f>C8928+B8929</f>
        <v/>
      </c>
      <c r="D8929">
        <f>IF(B8929=1,INDEX('Data Entry'!$H$5:$BE$10004,8929-4,'Visual SPC'!$B$3),"")</f>
        <v/>
      </c>
      <c r="E8929">
        <f>IF(B8929=1,D8929,E8928)</f>
        <v/>
      </c>
      <c r="F8929">
        <f>IF(AND(B8929=1,C8929&gt;1,E8928&lt;&gt;""),ABS(D8929-E8928),"")</f>
        <v/>
      </c>
    </row>
    <row r="8930">
      <c r="A8930" t="n">
        <v>8930</v>
      </c>
      <c r="B8930">
        <f>IF(INDEX('Data Entry'!$H$5:$BE$10004,8930-4,'Visual SPC'!$B$3)="",0,IF(AND(OR('Visual SPC'!$C$4="",'Data Entry'!$C8930&gt;='Visual SPC'!$C$4),OR('Visual SPC'!$E$4="",'Data Entry'!$C8930&lt;='Visual SPC'!$E$4),OR('Visual SPC'!$G$4="",'Data Entry'!$D8930='Visual SPC'!$G$4),OR('Visual SPC'!$I$4="",'Data Entry'!$E8930='Visual SPC'!$I$4),OR('Visual SPC'!$K$4="",'Data Entry'!$F8930='Visual SPC'!$K$4)),1,0))</f>
        <v/>
      </c>
      <c r="C8930">
        <f>C8929+B8930</f>
        <v/>
      </c>
      <c r="D8930">
        <f>IF(B8930=1,INDEX('Data Entry'!$H$5:$BE$10004,8930-4,'Visual SPC'!$B$3),"")</f>
        <v/>
      </c>
      <c r="E8930">
        <f>IF(B8930=1,D8930,E8929)</f>
        <v/>
      </c>
      <c r="F8930">
        <f>IF(AND(B8930=1,C8930&gt;1,E8929&lt;&gt;""),ABS(D8930-E8929),"")</f>
        <v/>
      </c>
    </row>
    <row r="8931">
      <c r="A8931" t="n">
        <v>8931</v>
      </c>
      <c r="B8931">
        <f>IF(INDEX('Data Entry'!$H$5:$BE$10004,8931-4,'Visual SPC'!$B$3)="",0,IF(AND(OR('Visual SPC'!$C$4="",'Data Entry'!$C8931&gt;='Visual SPC'!$C$4),OR('Visual SPC'!$E$4="",'Data Entry'!$C8931&lt;='Visual SPC'!$E$4),OR('Visual SPC'!$G$4="",'Data Entry'!$D8931='Visual SPC'!$G$4),OR('Visual SPC'!$I$4="",'Data Entry'!$E8931='Visual SPC'!$I$4),OR('Visual SPC'!$K$4="",'Data Entry'!$F8931='Visual SPC'!$K$4)),1,0))</f>
        <v/>
      </c>
      <c r="C8931">
        <f>C8930+B8931</f>
        <v/>
      </c>
      <c r="D8931">
        <f>IF(B8931=1,INDEX('Data Entry'!$H$5:$BE$10004,8931-4,'Visual SPC'!$B$3),"")</f>
        <v/>
      </c>
      <c r="E8931">
        <f>IF(B8931=1,D8931,E8930)</f>
        <v/>
      </c>
      <c r="F8931">
        <f>IF(AND(B8931=1,C8931&gt;1,E8930&lt;&gt;""),ABS(D8931-E8930),"")</f>
        <v/>
      </c>
    </row>
    <row r="8932">
      <c r="A8932" t="n">
        <v>8932</v>
      </c>
      <c r="B8932">
        <f>IF(INDEX('Data Entry'!$H$5:$BE$10004,8932-4,'Visual SPC'!$B$3)="",0,IF(AND(OR('Visual SPC'!$C$4="",'Data Entry'!$C8932&gt;='Visual SPC'!$C$4),OR('Visual SPC'!$E$4="",'Data Entry'!$C8932&lt;='Visual SPC'!$E$4),OR('Visual SPC'!$G$4="",'Data Entry'!$D8932='Visual SPC'!$G$4),OR('Visual SPC'!$I$4="",'Data Entry'!$E8932='Visual SPC'!$I$4),OR('Visual SPC'!$K$4="",'Data Entry'!$F8932='Visual SPC'!$K$4)),1,0))</f>
        <v/>
      </c>
      <c r="C8932">
        <f>C8931+B8932</f>
        <v/>
      </c>
      <c r="D8932">
        <f>IF(B8932=1,INDEX('Data Entry'!$H$5:$BE$10004,8932-4,'Visual SPC'!$B$3),"")</f>
        <v/>
      </c>
      <c r="E8932">
        <f>IF(B8932=1,D8932,E8931)</f>
        <v/>
      </c>
      <c r="F8932">
        <f>IF(AND(B8932=1,C8932&gt;1,E8931&lt;&gt;""),ABS(D8932-E8931),"")</f>
        <v/>
      </c>
    </row>
    <row r="8933">
      <c r="A8933" t="n">
        <v>8933</v>
      </c>
      <c r="B8933">
        <f>IF(INDEX('Data Entry'!$H$5:$BE$10004,8933-4,'Visual SPC'!$B$3)="",0,IF(AND(OR('Visual SPC'!$C$4="",'Data Entry'!$C8933&gt;='Visual SPC'!$C$4),OR('Visual SPC'!$E$4="",'Data Entry'!$C8933&lt;='Visual SPC'!$E$4),OR('Visual SPC'!$G$4="",'Data Entry'!$D8933='Visual SPC'!$G$4),OR('Visual SPC'!$I$4="",'Data Entry'!$E8933='Visual SPC'!$I$4),OR('Visual SPC'!$K$4="",'Data Entry'!$F8933='Visual SPC'!$K$4)),1,0))</f>
        <v/>
      </c>
      <c r="C8933">
        <f>C8932+B8933</f>
        <v/>
      </c>
      <c r="D8933">
        <f>IF(B8933=1,INDEX('Data Entry'!$H$5:$BE$10004,8933-4,'Visual SPC'!$B$3),"")</f>
        <v/>
      </c>
      <c r="E8933">
        <f>IF(B8933=1,D8933,E8932)</f>
        <v/>
      </c>
      <c r="F8933">
        <f>IF(AND(B8933=1,C8933&gt;1,E8932&lt;&gt;""),ABS(D8933-E8932),"")</f>
        <v/>
      </c>
    </row>
    <row r="8934">
      <c r="A8934" t="n">
        <v>8934</v>
      </c>
      <c r="B8934">
        <f>IF(INDEX('Data Entry'!$H$5:$BE$10004,8934-4,'Visual SPC'!$B$3)="",0,IF(AND(OR('Visual SPC'!$C$4="",'Data Entry'!$C8934&gt;='Visual SPC'!$C$4),OR('Visual SPC'!$E$4="",'Data Entry'!$C8934&lt;='Visual SPC'!$E$4),OR('Visual SPC'!$G$4="",'Data Entry'!$D8934='Visual SPC'!$G$4),OR('Visual SPC'!$I$4="",'Data Entry'!$E8934='Visual SPC'!$I$4),OR('Visual SPC'!$K$4="",'Data Entry'!$F8934='Visual SPC'!$K$4)),1,0))</f>
        <v/>
      </c>
      <c r="C8934">
        <f>C8933+B8934</f>
        <v/>
      </c>
      <c r="D8934">
        <f>IF(B8934=1,INDEX('Data Entry'!$H$5:$BE$10004,8934-4,'Visual SPC'!$B$3),"")</f>
        <v/>
      </c>
      <c r="E8934">
        <f>IF(B8934=1,D8934,E8933)</f>
        <v/>
      </c>
      <c r="F8934">
        <f>IF(AND(B8934=1,C8934&gt;1,E8933&lt;&gt;""),ABS(D8934-E8933),"")</f>
        <v/>
      </c>
    </row>
    <row r="8935">
      <c r="A8935" t="n">
        <v>8935</v>
      </c>
      <c r="B8935">
        <f>IF(INDEX('Data Entry'!$H$5:$BE$10004,8935-4,'Visual SPC'!$B$3)="",0,IF(AND(OR('Visual SPC'!$C$4="",'Data Entry'!$C8935&gt;='Visual SPC'!$C$4),OR('Visual SPC'!$E$4="",'Data Entry'!$C8935&lt;='Visual SPC'!$E$4),OR('Visual SPC'!$G$4="",'Data Entry'!$D8935='Visual SPC'!$G$4),OR('Visual SPC'!$I$4="",'Data Entry'!$E8935='Visual SPC'!$I$4),OR('Visual SPC'!$K$4="",'Data Entry'!$F8935='Visual SPC'!$K$4)),1,0))</f>
        <v/>
      </c>
      <c r="C8935">
        <f>C8934+B8935</f>
        <v/>
      </c>
      <c r="D8935">
        <f>IF(B8935=1,INDEX('Data Entry'!$H$5:$BE$10004,8935-4,'Visual SPC'!$B$3),"")</f>
        <v/>
      </c>
      <c r="E8935">
        <f>IF(B8935=1,D8935,E8934)</f>
        <v/>
      </c>
      <c r="F8935">
        <f>IF(AND(B8935=1,C8935&gt;1,E8934&lt;&gt;""),ABS(D8935-E8934),"")</f>
        <v/>
      </c>
    </row>
    <row r="8936">
      <c r="A8936" t="n">
        <v>8936</v>
      </c>
      <c r="B8936">
        <f>IF(INDEX('Data Entry'!$H$5:$BE$10004,8936-4,'Visual SPC'!$B$3)="",0,IF(AND(OR('Visual SPC'!$C$4="",'Data Entry'!$C8936&gt;='Visual SPC'!$C$4),OR('Visual SPC'!$E$4="",'Data Entry'!$C8936&lt;='Visual SPC'!$E$4),OR('Visual SPC'!$G$4="",'Data Entry'!$D8936='Visual SPC'!$G$4),OR('Visual SPC'!$I$4="",'Data Entry'!$E8936='Visual SPC'!$I$4),OR('Visual SPC'!$K$4="",'Data Entry'!$F8936='Visual SPC'!$K$4)),1,0))</f>
        <v/>
      </c>
      <c r="C8936">
        <f>C8935+B8936</f>
        <v/>
      </c>
      <c r="D8936">
        <f>IF(B8936=1,INDEX('Data Entry'!$H$5:$BE$10004,8936-4,'Visual SPC'!$B$3),"")</f>
        <v/>
      </c>
      <c r="E8936">
        <f>IF(B8936=1,D8936,E8935)</f>
        <v/>
      </c>
      <c r="F8936">
        <f>IF(AND(B8936=1,C8936&gt;1,E8935&lt;&gt;""),ABS(D8936-E8935),"")</f>
        <v/>
      </c>
    </row>
    <row r="8937">
      <c r="A8937" t="n">
        <v>8937</v>
      </c>
      <c r="B8937">
        <f>IF(INDEX('Data Entry'!$H$5:$BE$10004,8937-4,'Visual SPC'!$B$3)="",0,IF(AND(OR('Visual SPC'!$C$4="",'Data Entry'!$C8937&gt;='Visual SPC'!$C$4),OR('Visual SPC'!$E$4="",'Data Entry'!$C8937&lt;='Visual SPC'!$E$4),OR('Visual SPC'!$G$4="",'Data Entry'!$D8937='Visual SPC'!$G$4),OR('Visual SPC'!$I$4="",'Data Entry'!$E8937='Visual SPC'!$I$4),OR('Visual SPC'!$K$4="",'Data Entry'!$F8937='Visual SPC'!$K$4)),1,0))</f>
        <v/>
      </c>
      <c r="C8937">
        <f>C8936+B8937</f>
        <v/>
      </c>
      <c r="D8937">
        <f>IF(B8937=1,INDEX('Data Entry'!$H$5:$BE$10004,8937-4,'Visual SPC'!$B$3),"")</f>
        <v/>
      </c>
      <c r="E8937">
        <f>IF(B8937=1,D8937,E8936)</f>
        <v/>
      </c>
      <c r="F8937">
        <f>IF(AND(B8937=1,C8937&gt;1,E8936&lt;&gt;""),ABS(D8937-E8936),"")</f>
        <v/>
      </c>
    </row>
    <row r="8938">
      <c r="A8938" t="n">
        <v>8938</v>
      </c>
      <c r="B8938">
        <f>IF(INDEX('Data Entry'!$H$5:$BE$10004,8938-4,'Visual SPC'!$B$3)="",0,IF(AND(OR('Visual SPC'!$C$4="",'Data Entry'!$C8938&gt;='Visual SPC'!$C$4),OR('Visual SPC'!$E$4="",'Data Entry'!$C8938&lt;='Visual SPC'!$E$4),OR('Visual SPC'!$G$4="",'Data Entry'!$D8938='Visual SPC'!$G$4),OR('Visual SPC'!$I$4="",'Data Entry'!$E8938='Visual SPC'!$I$4),OR('Visual SPC'!$K$4="",'Data Entry'!$F8938='Visual SPC'!$K$4)),1,0))</f>
        <v/>
      </c>
      <c r="C8938">
        <f>C8937+B8938</f>
        <v/>
      </c>
      <c r="D8938">
        <f>IF(B8938=1,INDEX('Data Entry'!$H$5:$BE$10004,8938-4,'Visual SPC'!$B$3),"")</f>
        <v/>
      </c>
      <c r="E8938">
        <f>IF(B8938=1,D8938,E8937)</f>
        <v/>
      </c>
      <c r="F8938">
        <f>IF(AND(B8938=1,C8938&gt;1,E8937&lt;&gt;""),ABS(D8938-E8937),"")</f>
        <v/>
      </c>
    </row>
    <row r="8939">
      <c r="A8939" t="n">
        <v>8939</v>
      </c>
      <c r="B8939">
        <f>IF(INDEX('Data Entry'!$H$5:$BE$10004,8939-4,'Visual SPC'!$B$3)="",0,IF(AND(OR('Visual SPC'!$C$4="",'Data Entry'!$C8939&gt;='Visual SPC'!$C$4),OR('Visual SPC'!$E$4="",'Data Entry'!$C8939&lt;='Visual SPC'!$E$4),OR('Visual SPC'!$G$4="",'Data Entry'!$D8939='Visual SPC'!$G$4),OR('Visual SPC'!$I$4="",'Data Entry'!$E8939='Visual SPC'!$I$4),OR('Visual SPC'!$K$4="",'Data Entry'!$F8939='Visual SPC'!$K$4)),1,0))</f>
        <v/>
      </c>
      <c r="C8939">
        <f>C8938+B8939</f>
        <v/>
      </c>
      <c r="D8939">
        <f>IF(B8939=1,INDEX('Data Entry'!$H$5:$BE$10004,8939-4,'Visual SPC'!$B$3),"")</f>
        <v/>
      </c>
      <c r="E8939">
        <f>IF(B8939=1,D8939,E8938)</f>
        <v/>
      </c>
      <c r="F8939">
        <f>IF(AND(B8939=1,C8939&gt;1,E8938&lt;&gt;""),ABS(D8939-E8938),"")</f>
        <v/>
      </c>
    </row>
    <row r="8940">
      <c r="A8940" t="n">
        <v>8940</v>
      </c>
      <c r="B8940">
        <f>IF(INDEX('Data Entry'!$H$5:$BE$10004,8940-4,'Visual SPC'!$B$3)="",0,IF(AND(OR('Visual SPC'!$C$4="",'Data Entry'!$C8940&gt;='Visual SPC'!$C$4),OR('Visual SPC'!$E$4="",'Data Entry'!$C8940&lt;='Visual SPC'!$E$4),OR('Visual SPC'!$G$4="",'Data Entry'!$D8940='Visual SPC'!$G$4),OR('Visual SPC'!$I$4="",'Data Entry'!$E8940='Visual SPC'!$I$4),OR('Visual SPC'!$K$4="",'Data Entry'!$F8940='Visual SPC'!$K$4)),1,0))</f>
        <v/>
      </c>
      <c r="C8940">
        <f>C8939+B8940</f>
        <v/>
      </c>
      <c r="D8940">
        <f>IF(B8940=1,INDEX('Data Entry'!$H$5:$BE$10004,8940-4,'Visual SPC'!$B$3),"")</f>
        <v/>
      </c>
      <c r="E8940">
        <f>IF(B8940=1,D8940,E8939)</f>
        <v/>
      </c>
      <c r="F8940">
        <f>IF(AND(B8940=1,C8940&gt;1,E8939&lt;&gt;""),ABS(D8940-E8939),"")</f>
        <v/>
      </c>
    </row>
    <row r="8941">
      <c r="A8941" t="n">
        <v>8941</v>
      </c>
      <c r="B8941">
        <f>IF(INDEX('Data Entry'!$H$5:$BE$10004,8941-4,'Visual SPC'!$B$3)="",0,IF(AND(OR('Visual SPC'!$C$4="",'Data Entry'!$C8941&gt;='Visual SPC'!$C$4),OR('Visual SPC'!$E$4="",'Data Entry'!$C8941&lt;='Visual SPC'!$E$4),OR('Visual SPC'!$G$4="",'Data Entry'!$D8941='Visual SPC'!$G$4),OR('Visual SPC'!$I$4="",'Data Entry'!$E8941='Visual SPC'!$I$4),OR('Visual SPC'!$K$4="",'Data Entry'!$F8941='Visual SPC'!$K$4)),1,0))</f>
        <v/>
      </c>
      <c r="C8941">
        <f>C8940+B8941</f>
        <v/>
      </c>
      <c r="D8941">
        <f>IF(B8941=1,INDEX('Data Entry'!$H$5:$BE$10004,8941-4,'Visual SPC'!$B$3),"")</f>
        <v/>
      </c>
      <c r="E8941">
        <f>IF(B8941=1,D8941,E8940)</f>
        <v/>
      </c>
      <c r="F8941">
        <f>IF(AND(B8941=1,C8941&gt;1,E8940&lt;&gt;""),ABS(D8941-E8940),"")</f>
        <v/>
      </c>
    </row>
    <row r="8942">
      <c r="A8942" t="n">
        <v>8942</v>
      </c>
      <c r="B8942">
        <f>IF(INDEX('Data Entry'!$H$5:$BE$10004,8942-4,'Visual SPC'!$B$3)="",0,IF(AND(OR('Visual SPC'!$C$4="",'Data Entry'!$C8942&gt;='Visual SPC'!$C$4),OR('Visual SPC'!$E$4="",'Data Entry'!$C8942&lt;='Visual SPC'!$E$4),OR('Visual SPC'!$G$4="",'Data Entry'!$D8942='Visual SPC'!$G$4),OR('Visual SPC'!$I$4="",'Data Entry'!$E8942='Visual SPC'!$I$4),OR('Visual SPC'!$K$4="",'Data Entry'!$F8942='Visual SPC'!$K$4)),1,0))</f>
        <v/>
      </c>
      <c r="C8942">
        <f>C8941+B8942</f>
        <v/>
      </c>
      <c r="D8942">
        <f>IF(B8942=1,INDEX('Data Entry'!$H$5:$BE$10004,8942-4,'Visual SPC'!$B$3),"")</f>
        <v/>
      </c>
      <c r="E8942">
        <f>IF(B8942=1,D8942,E8941)</f>
        <v/>
      </c>
      <c r="F8942">
        <f>IF(AND(B8942=1,C8942&gt;1,E8941&lt;&gt;""),ABS(D8942-E8941),"")</f>
        <v/>
      </c>
    </row>
    <row r="8943">
      <c r="A8943" t="n">
        <v>8943</v>
      </c>
      <c r="B8943">
        <f>IF(INDEX('Data Entry'!$H$5:$BE$10004,8943-4,'Visual SPC'!$B$3)="",0,IF(AND(OR('Visual SPC'!$C$4="",'Data Entry'!$C8943&gt;='Visual SPC'!$C$4),OR('Visual SPC'!$E$4="",'Data Entry'!$C8943&lt;='Visual SPC'!$E$4),OR('Visual SPC'!$G$4="",'Data Entry'!$D8943='Visual SPC'!$G$4),OR('Visual SPC'!$I$4="",'Data Entry'!$E8943='Visual SPC'!$I$4),OR('Visual SPC'!$K$4="",'Data Entry'!$F8943='Visual SPC'!$K$4)),1,0))</f>
        <v/>
      </c>
      <c r="C8943">
        <f>C8942+B8943</f>
        <v/>
      </c>
      <c r="D8943">
        <f>IF(B8943=1,INDEX('Data Entry'!$H$5:$BE$10004,8943-4,'Visual SPC'!$B$3),"")</f>
        <v/>
      </c>
      <c r="E8943">
        <f>IF(B8943=1,D8943,E8942)</f>
        <v/>
      </c>
      <c r="F8943">
        <f>IF(AND(B8943=1,C8943&gt;1,E8942&lt;&gt;""),ABS(D8943-E8942),"")</f>
        <v/>
      </c>
    </row>
    <row r="8944">
      <c r="A8944" t="n">
        <v>8944</v>
      </c>
      <c r="B8944">
        <f>IF(INDEX('Data Entry'!$H$5:$BE$10004,8944-4,'Visual SPC'!$B$3)="",0,IF(AND(OR('Visual SPC'!$C$4="",'Data Entry'!$C8944&gt;='Visual SPC'!$C$4),OR('Visual SPC'!$E$4="",'Data Entry'!$C8944&lt;='Visual SPC'!$E$4),OR('Visual SPC'!$G$4="",'Data Entry'!$D8944='Visual SPC'!$G$4),OR('Visual SPC'!$I$4="",'Data Entry'!$E8944='Visual SPC'!$I$4),OR('Visual SPC'!$K$4="",'Data Entry'!$F8944='Visual SPC'!$K$4)),1,0))</f>
        <v/>
      </c>
      <c r="C8944">
        <f>C8943+B8944</f>
        <v/>
      </c>
      <c r="D8944">
        <f>IF(B8944=1,INDEX('Data Entry'!$H$5:$BE$10004,8944-4,'Visual SPC'!$B$3),"")</f>
        <v/>
      </c>
      <c r="E8944">
        <f>IF(B8944=1,D8944,E8943)</f>
        <v/>
      </c>
      <c r="F8944">
        <f>IF(AND(B8944=1,C8944&gt;1,E8943&lt;&gt;""),ABS(D8944-E8943),"")</f>
        <v/>
      </c>
    </row>
    <row r="8945">
      <c r="A8945" t="n">
        <v>8945</v>
      </c>
      <c r="B8945">
        <f>IF(INDEX('Data Entry'!$H$5:$BE$10004,8945-4,'Visual SPC'!$B$3)="",0,IF(AND(OR('Visual SPC'!$C$4="",'Data Entry'!$C8945&gt;='Visual SPC'!$C$4),OR('Visual SPC'!$E$4="",'Data Entry'!$C8945&lt;='Visual SPC'!$E$4),OR('Visual SPC'!$G$4="",'Data Entry'!$D8945='Visual SPC'!$G$4),OR('Visual SPC'!$I$4="",'Data Entry'!$E8945='Visual SPC'!$I$4),OR('Visual SPC'!$K$4="",'Data Entry'!$F8945='Visual SPC'!$K$4)),1,0))</f>
        <v/>
      </c>
      <c r="C8945">
        <f>C8944+B8945</f>
        <v/>
      </c>
      <c r="D8945">
        <f>IF(B8945=1,INDEX('Data Entry'!$H$5:$BE$10004,8945-4,'Visual SPC'!$B$3),"")</f>
        <v/>
      </c>
      <c r="E8945">
        <f>IF(B8945=1,D8945,E8944)</f>
        <v/>
      </c>
      <c r="F8945">
        <f>IF(AND(B8945=1,C8945&gt;1,E8944&lt;&gt;""),ABS(D8945-E8944),"")</f>
        <v/>
      </c>
    </row>
    <row r="8946">
      <c r="A8946" t="n">
        <v>8946</v>
      </c>
      <c r="B8946">
        <f>IF(INDEX('Data Entry'!$H$5:$BE$10004,8946-4,'Visual SPC'!$B$3)="",0,IF(AND(OR('Visual SPC'!$C$4="",'Data Entry'!$C8946&gt;='Visual SPC'!$C$4),OR('Visual SPC'!$E$4="",'Data Entry'!$C8946&lt;='Visual SPC'!$E$4),OR('Visual SPC'!$G$4="",'Data Entry'!$D8946='Visual SPC'!$G$4),OR('Visual SPC'!$I$4="",'Data Entry'!$E8946='Visual SPC'!$I$4),OR('Visual SPC'!$K$4="",'Data Entry'!$F8946='Visual SPC'!$K$4)),1,0))</f>
        <v/>
      </c>
      <c r="C8946">
        <f>C8945+B8946</f>
        <v/>
      </c>
      <c r="D8946">
        <f>IF(B8946=1,INDEX('Data Entry'!$H$5:$BE$10004,8946-4,'Visual SPC'!$B$3),"")</f>
        <v/>
      </c>
      <c r="E8946">
        <f>IF(B8946=1,D8946,E8945)</f>
        <v/>
      </c>
      <c r="F8946">
        <f>IF(AND(B8946=1,C8946&gt;1,E8945&lt;&gt;""),ABS(D8946-E8945),"")</f>
        <v/>
      </c>
    </row>
    <row r="8947">
      <c r="A8947" t="n">
        <v>8947</v>
      </c>
      <c r="B8947">
        <f>IF(INDEX('Data Entry'!$H$5:$BE$10004,8947-4,'Visual SPC'!$B$3)="",0,IF(AND(OR('Visual SPC'!$C$4="",'Data Entry'!$C8947&gt;='Visual SPC'!$C$4),OR('Visual SPC'!$E$4="",'Data Entry'!$C8947&lt;='Visual SPC'!$E$4),OR('Visual SPC'!$G$4="",'Data Entry'!$D8947='Visual SPC'!$G$4),OR('Visual SPC'!$I$4="",'Data Entry'!$E8947='Visual SPC'!$I$4),OR('Visual SPC'!$K$4="",'Data Entry'!$F8947='Visual SPC'!$K$4)),1,0))</f>
        <v/>
      </c>
      <c r="C8947">
        <f>C8946+B8947</f>
        <v/>
      </c>
      <c r="D8947">
        <f>IF(B8947=1,INDEX('Data Entry'!$H$5:$BE$10004,8947-4,'Visual SPC'!$B$3),"")</f>
        <v/>
      </c>
      <c r="E8947">
        <f>IF(B8947=1,D8947,E8946)</f>
        <v/>
      </c>
      <c r="F8947">
        <f>IF(AND(B8947=1,C8947&gt;1,E8946&lt;&gt;""),ABS(D8947-E8946),"")</f>
        <v/>
      </c>
    </row>
    <row r="8948">
      <c r="A8948" t="n">
        <v>8948</v>
      </c>
      <c r="B8948">
        <f>IF(INDEX('Data Entry'!$H$5:$BE$10004,8948-4,'Visual SPC'!$B$3)="",0,IF(AND(OR('Visual SPC'!$C$4="",'Data Entry'!$C8948&gt;='Visual SPC'!$C$4),OR('Visual SPC'!$E$4="",'Data Entry'!$C8948&lt;='Visual SPC'!$E$4),OR('Visual SPC'!$G$4="",'Data Entry'!$D8948='Visual SPC'!$G$4),OR('Visual SPC'!$I$4="",'Data Entry'!$E8948='Visual SPC'!$I$4),OR('Visual SPC'!$K$4="",'Data Entry'!$F8948='Visual SPC'!$K$4)),1,0))</f>
        <v/>
      </c>
      <c r="C8948">
        <f>C8947+B8948</f>
        <v/>
      </c>
      <c r="D8948">
        <f>IF(B8948=1,INDEX('Data Entry'!$H$5:$BE$10004,8948-4,'Visual SPC'!$B$3),"")</f>
        <v/>
      </c>
      <c r="E8948">
        <f>IF(B8948=1,D8948,E8947)</f>
        <v/>
      </c>
      <c r="F8948">
        <f>IF(AND(B8948=1,C8948&gt;1,E8947&lt;&gt;""),ABS(D8948-E8947),"")</f>
        <v/>
      </c>
    </row>
    <row r="8949">
      <c r="A8949" t="n">
        <v>8949</v>
      </c>
      <c r="B8949">
        <f>IF(INDEX('Data Entry'!$H$5:$BE$10004,8949-4,'Visual SPC'!$B$3)="",0,IF(AND(OR('Visual SPC'!$C$4="",'Data Entry'!$C8949&gt;='Visual SPC'!$C$4),OR('Visual SPC'!$E$4="",'Data Entry'!$C8949&lt;='Visual SPC'!$E$4),OR('Visual SPC'!$G$4="",'Data Entry'!$D8949='Visual SPC'!$G$4),OR('Visual SPC'!$I$4="",'Data Entry'!$E8949='Visual SPC'!$I$4),OR('Visual SPC'!$K$4="",'Data Entry'!$F8949='Visual SPC'!$K$4)),1,0))</f>
        <v/>
      </c>
      <c r="C8949">
        <f>C8948+B8949</f>
        <v/>
      </c>
      <c r="D8949">
        <f>IF(B8949=1,INDEX('Data Entry'!$H$5:$BE$10004,8949-4,'Visual SPC'!$B$3),"")</f>
        <v/>
      </c>
      <c r="E8949">
        <f>IF(B8949=1,D8949,E8948)</f>
        <v/>
      </c>
      <c r="F8949">
        <f>IF(AND(B8949=1,C8949&gt;1,E8948&lt;&gt;""),ABS(D8949-E8948),"")</f>
        <v/>
      </c>
    </row>
    <row r="8950">
      <c r="A8950" t="n">
        <v>8950</v>
      </c>
      <c r="B8950">
        <f>IF(INDEX('Data Entry'!$H$5:$BE$10004,8950-4,'Visual SPC'!$B$3)="",0,IF(AND(OR('Visual SPC'!$C$4="",'Data Entry'!$C8950&gt;='Visual SPC'!$C$4),OR('Visual SPC'!$E$4="",'Data Entry'!$C8950&lt;='Visual SPC'!$E$4),OR('Visual SPC'!$G$4="",'Data Entry'!$D8950='Visual SPC'!$G$4),OR('Visual SPC'!$I$4="",'Data Entry'!$E8950='Visual SPC'!$I$4),OR('Visual SPC'!$K$4="",'Data Entry'!$F8950='Visual SPC'!$K$4)),1,0))</f>
        <v/>
      </c>
      <c r="C8950">
        <f>C8949+B8950</f>
        <v/>
      </c>
      <c r="D8950">
        <f>IF(B8950=1,INDEX('Data Entry'!$H$5:$BE$10004,8950-4,'Visual SPC'!$B$3),"")</f>
        <v/>
      </c>
      <c r="E8950">
        <f>IF(B8950=1,D8950,E8949)</f>
        <v/>
      </c>
      <c r="F8950">
        <f>IF(AND(B8950=1,C8950&gt;1,E8949&lt;&gt;""),ABS(D8950-E8949),"")</f>
        <v/>
      </c>
    </row>
    <row r="8951">
      <c r="A8951" t="n">
        <v>8951</v>
      </c>
      <c r="B8951">
        <f>IF(INDEX('Data Entry'!$H$5:$BE$10004,8951-4,'Visual SPC'!$B$3)="",0,IF(AND(OR('Visual SPC'!$C$4="",'Data Entry'!$C8951&gt;='Visual SPC'!$C$4),OR('Visual SPC'!$E$4="",'Data Entry'!$C8951&lt;='Visual SPC'!$E$4),OR('Visual SPC'!$G$4="",'Data Entry'!$D8951='Visual SPC'!$G$4),OR('Visual SPC'!$I$4="",'Data Entry'!$E8951='Visual SPC'!$I$4),OR('Visual SPC'!$K$4="",'Data Entry'!$F8951='Visual SPC'!$K$4)),1,0))</f>
        <v/>
      </c>
      <c r="C8951">
        <f>C8950+B8951</f>
        <v/>
      </c>
      <c r="D8951">
        <f>IF(B8951=1,INDEX('Data Entry'!$H$5:$BE$10004,8951-4,'Visual SPC'!$B$3),"")</f>
        <v/>
      </c>
      <c r="E8951">
        <f>IF(B8951=1,D8951,E8950)</f>
        <v/>
      </c>
      <c r="F8951">
        <f>IF(AND(B8951=1,C8951&gt;1,E8950&lt;&gt;""),ABS(D8951-E8950),"")</f>
        <v/>
      </c>
    </row>
    <row r="8952">
      <c r="A8952" t="n">
        <v>8952</v>
      </c>
      <c r="B8952">
        <f>IF(INDEX('Data Entry'!$H$5:$BE$10004,8952-4,'Visual SPC'!$B$3)="",0,IF(AND(OR('Visual SPC'!$C$4="",'Data Entry'!$C8952&gt;='Visual SPC'!$C$4),OR('Visual SPC'!$E$4="",'Data Entry'!$C8952&lt;='Visual SPC'!$E$4),OR('Visual SPC'!$G$4="",'Data Entry'!$D8952='Visual SPC'!$G$4),OR('Visual SPC'!$I$4="",'Data Entry'!$E8952='Visual SPC'!$I$4),OR('Visual SPC'!$K$4="",'Data Entry'!$F8952='Visual SPC'!$K$4)),1,0))</f>
        <v/>
      </c>
      <c r="C8952">
        <f>C8951+B8952</f>
        <v/>
      </c>
      <c r="D8952">
        <f>IF(B8952=1,INDEX('Data Entry'!$H$5:$BE$10004,8952-4,'Visual SPC'!$B$3),"")</f>
        <v/>
      </c>
      <c r="E8952">
        <f>IF(B8952=1,D8952,E8951)</f>
        <v/>
      </c>
      <c r="F8952">
        <f>IF(AND(B8952=1,C8952&gt;1,E8951&lt;&gt;""),ABS(D8952-E8951),"")</f>
        <v/>
      </c>
    </row>
    <row r="8953">
      <c r="A8953" t="n">
        <v>8953</v>
      </c>
      <c r="B8953">
        <f>IF(INDEX('Data Entry'!$H$5:$BE$10004,8953-4,'Visual SPC'!$B$3)="",0,IF(AND(OR('Visual SPC'!$C$4="",'Data Entry'!$C8953&gt;='Visual SPC'!$C$4),OR('Visual SPC'!$E$4="",'Data Entry'!$C8953&lt;='Visual SPC'!$E$4),OR('Visual SPC'!$G$4="",'Data Entry'!$D8953='Visual SPC'!$G$4),OR('Visual SPC'!$I$4="",'Data Entry'!$E8953='Visual SPC'!$I$4),OR('Visual SPC'!$K$4="",'Data Entry'!$F8953='Visual SPC'!$K$4)),1,0))</f>
        <v/>
      </c>
      <c r="C8953">
        <f>C8952+B8953</f>
        <v/>
      </c>
      <c r="D8953">
        <f>IF(B8953=1,INDEX('Data Entry'!$H$5:$BE$10004,8953-4,'Visual SPC'!$B$3),"")</f>
        <v/>
      </c>
      <c r="E8953">
        <f>IF(B8953=1,D8953,E8952)</f>
        <v/>
      </c>
      <c r="F8953">
        <f>IF(AND(B8953=1,C8953&gt;1,E8952&lt;&gt;""),ABS(D8953-E8952),"")</f>
        <v/>
      </c>
    </row>
    <row r="8954">
      <c r="A8954" t="n">
        <v>8954</v>
      </c>
      <c r="B8954">
        <f>IF(INDEX('Data Entry'!$H$5:$BE$10004,8954-4,'Visual SPC'!$B$3)="",0,IF(AND(OR('Visual SPC'!$C$4="",'Data Entry'!$C8954&gt;='Visual SPC'!$C$4),OR('Visual SPC'!$E$4="",'Data Entry'!$C8954&lt;='Visual SPC'!$E$4),OR('Visual SPC'!$G$4="",'Data Entry'!$D8954='Visual SPC'!$G$4),OR('Visual SPC'!$I$4="",'Data Entry'!$E8954='Visual SPC'!$I$4),OR('Visual SPC'!$K$4="",'Data Entry'!$F8954='Visual SPC'!$K$4)),1,0))</f>
        <v/>
      </c>
      <c r="C8954">
        <f>C8953+B8954</f>
        <v/>
      </c>
      <c r="D8954">
        <f>IF(B8954=1,INDEX('Data Entry'!$H$5:$BE$10004,8954-4,'Visual SPC'!$B$3),"")</f>
        <v/>
      </c>
      <c r="E8954">
        <f>IF(B8954=1,D8954,E8953)</f>
        <v/>
      </c>
      <c r="F8954">
        <f>IF(AND(B8954=1,C8954&gt;1,E8953&lt;&gt;""),ABS(D8954-E8953),"")</f>
        <v/>
      </c>
    </row>
    <row r="8955">
      <c r="A8955" t="n">
        <v>8955</v>
      </c>
      <c r="B8955">
        <f>IF(INDEX('Data Entry'!$H$5:$BE$10004,8955-4,'Visual SPC'!$B$3)="",0,IF(AND(OR('Visual SPC'!$C$4="",'Data Entry'!$C8955&gt;='Visual SPC'!$C$4),OR('Visual SPC'!$E$4="",'Data Entry'!$C8955&lt;='Visual SPC'!$E$4),OR('Visual SPC'!$G$4="",'Data Entry'!$D8955='Visual SPC'!$G$4),OR('Visual SPC'!$I$4="",'Data Entry'!$E8955='Visual SPC'!$I$4),OR('Visual SPC'!$K$4="",'Data Entry'!$F8955='Visual SPC'!$K$4)),1,0))</f>
        <v/>
      </c>
      <c r="C8955">
        <f>C8954+B8955</f>
        <v/>
      </c>
      <c r="D8955">
        <f>IF(B8955=1,INDEX('Data Entry'!$H$5:$BE$10004,8955-4,'Visual SPC'!$B$3),"")</f>
        <v/>
      </c>
      <c r="E8955">
        <f>IF(B8955=1,D8955,E8954)</f>
        <v/>
      </c>
      <c r="F8955">
        <f>IF(AND(B8955=1,C8955&gt;1,E8954&lt;&gt;""),ABS(D8955-E8954),"")</f>
        <v/>
      </c>
    </row>
    <row r="8956">
      <c r="A8956" t="n">
        <v>8956</v>
      </c>
      <c r="B8956">
        <f>IF(INDEX('Data Entry'!$H$5:$BE$10004,8956-4,'Visual SPC'!$B$3)="",0,IF(AND(OR('Visual SPC'!$C$4="",'Data Entry'!$C8956&gt;='Visual SPC'!$C$4),OR('Visual SPC'!$E$4="",'Data Entry'!$C8956&lt;='Visual SPC'!$E$4),OR('Visual SPC'!$G$4="",'Data Entry'!$D8956='Visual SPC'!$G$4),OR('Visual SPC'!$I$4="",'Data Entry'!$E8956='Visual SPC'!$I$4),OR('Visual SPC'!$K$4="",'Data Entry'!$F8956='Visual SPC'!$K$4)),1,0))</f>
        <v/>
      </c>
      <c r="C8956">
        <f>C8955+B8956</f>
        <v/>
      </c>
      <c r="D8956">
        <f>IF(B8956=1,INDEX('Data Entry'!$H$5:$BE$10004,8956-4,'Visual SPC'!$B$3),"")</f>
        <v/>
      </c>
      <c r="E8956">
        <f>IF(B8956=1,D8956,E8955)</f>
        <v/>
      </c>
      <c r="F8956">
        <f>IF(AND(B8956=1,C8956&gt;1,E8955&lt;&gt;""),ABS(D8956-E8955),"")</f>
        <v/>
      </c>
    </row>
    <row r="8957">
      <c r="A8957" t="n">
        <v>8957</v>
      </c>
      <c r="B8957">
        <f>IF(INDEX('Data Entry'!$H$5:$BE$10004,8957-4,'Visual SPC'!$B$3)="",0,IF(AND(OR('Visual SPC'!$C$4="",'Data Entry'!$C8957&gt;='Visual SPC'!$C$4),OR('Visual SPC'!$E$4="",'Data Entry'!$C8957&lt;='Visual SPC'!$E$4),OR('Visual SPC'!$G$4="",'Data Entry'!$D8957='Visual SPC'!$G$4),OR('Visual SPC'!$I$4="",'Data Entry'!$E8957='Visual SPC'!$I$4),OR('Visual SPC'!$K$4="",'Data Entry'!$F8957='Visual SPC'!$K$4)),1,0))</f>
        <v/>
      </c>
      <c r="C8957">
        <f>C8956+B8957</f>
        <v/>
      </c>
      <c r="D8957">
        <f>IF(B8957=1,INDEX('Data Entry'!$H$5:$BE$10004,8957-4,'Visual SPC'!$B$3),"")</f>
        <v/>
      </c>
      <c r="E8957">
        <f>IF(B8957=1,D8957,E8956)</f>
        <v/>
      </c>
      <c r="F8957">
        <f>IF(AND(B8957=1,C8957&gt;1,E8956&lt;&gt;""),ABS(D8957-E8956),"")</f>
        <v/>
      </c>
    </row>
    <row r="8958">
      <c r="A8958" t="n">
        <v>8958</v>
      </c>
      <c r="B8958">
        <f>IF(INDEX('Data Entry'!$H$5:$BE$10004,8958-4,'Visual SPC'!$B$3)="",0,IF(AND(OR('Visual SPC'!$C$4="",'Data Entry'!$C8958&gt;='Visual SPC'!$C$4),OR('Visual SPC'!$E$4="",'Data Entry'!$C8958&lt;='Visual SPC'!$E$4),OR('Visual SPC'!$G$4="",'Data Entry'!$D8958='Visual SPC'!$G$4),OR('Visual SPC'!$I$4="",'Data Entry'!$E8958='Visual SPC'!$I$4),OR('Visual SPC'!$K$4="",'Data Entry'!$F8958='Visual SPC'!$K$4)),1,0))</f>
        <v/>
      </c>
      <c r="C8958">
        <f>C8957+B8958</f>
        <v/>
      </c>
      <c r="D8958">
        <f>IF(B8958=1,INDEX('Data Entry'!$H$5:$BE$10004,8958-4,'Visual SPC'!$B$3),"")</f>
        <v/>
      </c>
      <c r="E8958">
        <f>IF(B8958=1,D8958,E8957)</f>
        <v/>
      </c>
      <c r="F8958">
        <f>IF(AND(B8958=1,C8958&gt;1,E8957&lt;&gt;""),ABS(D8958-E8957),"")</f>
        <v/>
      </c>
    </row>
    <row r="8959">
      <c r="A8959" t="n">
        <v>8959</v>
      </c>
      <c r="B8959">
        <f>IF(INDEX('Data Entry'!$H$5:$BE$10004,8959-4,'Visual SPC'!$B$3)="",0,IF(AND(OR('Visual SPC'!$C$4="",'Data Entry'!$C8959&gt;='Visual SPC'!$C$4),OR('Visual SPC'!$E$4="",'Data Entry'!$C8959&lt;='Visual SPC'!$E$4),OR('Visual SPC'!$G$4="",'Data Entry'!$D8959='Visual SPC'!$G$4),OR('Visual SPC'!$I$4="",'Data Entry'!$E8959='Visual SPC'!$I$4),OR('Visual SPC'!$K$4="",'Data Entry'!$F8959='Visual SPC'!$K$4)),1,0))</f>
        <v/>
      </c>
      <c r="C8959">
        <f>C8958+B8959</f>
        <v/>
      </c>
      <c r="D8959">
        <f>IF(B8959=1,INDEX('Data Entry'!$H$5:$BE$10004,8959-4,'Visual SPC'!$B$3),"")</f>
        <v/>
      </c>
      <c r="E8959">
        <f>IF(B8959=1,D8959,E8958)</f>
        <v/>
      </c>
      <c r="F8959">
        <f>IF(AND(B8959=1,C8959&gt;1,E8958&lt;&gt;""),ABS(D8959-E8958),"")</f>
        <v/>
      </c>
    </row>
    <row r="8960">
      <c r="A8960" t="n">
        <v>8960</v>
      </c>
      <c r="B8960">
        <f>IF(INDEX('Data Entry'!$H$5:$BE$10004,8960-4,'Visual SPC'!$B$3)="",0,IF(AND(OR('Visual SPC'!$C$4="",'Data Entry'!$C8960&gt;='Visual SPC'!$C$4),OR('Visual SPC'!$E$4="",'Data Entry'!$C8960&lt;='Visual SPC'!$E$4),OR('Visual SPC'!$G$4="",'Data Entry'!$D8960='Visual SPC'!$G$4),OR('Visual SPC'!$I$4="",'Data Entry'!$E8960='Visual SPC'!$I$4),OR('Visual SPC'!$K$4="",'Data Entry'!$F8960='Visual SPC'!$K$4)),1,0))</f>
        <v/>
      </c>
      <c r="C8960">
        <f>C8959+B8960</f>
        <v/>
      </c>
      <c r="D8960">
        <f>IF(B8960=1,INDEX('Data Entry'!$H$5:$BE$10004,8960-4,'Visual SPC'!$B$3),"")</f>
        <v/>
      </c>
      <c r="E8960">
        <f>IF(B8960=1,D8960,E8959)</f>
        <v/>
      </c>
      <c r="F8960">
        <f>IF(AND(B8960=1,C8960&gt;1,E8959&lt;&gt;""),ABS(D8960-E8959),"")</f>
        <v/>
      </c>
    </row>
    <row r="8961">
      <c r="A8961" t="n">
        <v>8961</v>
      </c>
      <c r="B8961">
        <f>IF(INDEX('Data Entry'!$H$5:$BE$10004,8961-4,'Visual SPC'!$B$3)="",0,IF(AND(OR('Visual SPC'!$C$4="",'Data Entry'!$C8961&gt;='Visual SPC'!$C$4),OR('Visual SPC'!$E$4="",'Data Entry'!$C8961&lt;='Visual SPC'!$E$4),OR('Visual SPC'!$G$4="",'Data Entry'!$D8961='Visual SPC'!$G$4),OR('Visual SPC'!$I$4="",'Data Entry'!$E8961='Visual SPC'!$I$4),OR('Visual SPC'!$K$4="",'Data Entry'!$F8961='Visual SPC'!$K$4)),1,0))</f>
        <v/>
      </c>
      <c r="C8961">
        <f>C8960+B8961</f>
        <v/>
      </c>
      <c r="D8961">
        <f>IF(B8961=1,INDEX('Data Entry'!$H$5:$BE$10004,8961-4,'Visual SPC'!$B$3),"")</f>
        <v/>
      </c>
      <c r="E8961">
        <f>IF(B8961=1,D8961,E8960)</f>
        <v/>
      </c>
      <c r="F8961">
        <f>IF(AND(B8961=1,C8961&gt;1,E8960&lt;&gt;""),ABS(D8961-E8960),"")</f>
        <v/>
      </c>
    </row>
    <row r="8962">
      <c r="A8962" t="n">
        <v>8962</v>
      </c>
      <c r="B8962">
        <f>IF(INDEX('Data Entry'!$H$5:$BE$10004,8962-4,'Visual SPC'!$B$3)="",0,IF(AND(OR('Visual SPC'!$C$4="",'Data Entry'!$C8962&gt;='Visual SPC'!$C$4),OR('Visual SPC'!$E$4="",'Data Entry'!$C8962&lt;='Visual SPC'!$E$4),OR('Visual SPC'!$G$4="",'Data Entry'!$D8962='Visual SPC'!$G$4),OR('Visual SPC'!$I$4="",'Data Entry'!$E8962='Visual SPC'!$I$4),OR('Visual SPC'!$K$4="",'Data Entry'!$F8962='Visual SPC'!$K$4)),1,0))</f>
        <v/>
      </c>
      <c r="C8962">
        <f>C8961+B8962</f>
        <v/>
      </c>
      <c r="D8962">
        <f>IF(B8962=1,INDEX('Data Entry'!$H$5:$BE$10004,8962-4,'Visual SPC'!$B$3),"")</f>
        <v/>
      </c>
      <c r="E8962">
        <f>IF(B8962=1,D8962,E8961)</f>
        <v/>
      </c>
      <c r="F8962">
        <f>IF(AND(B8962=1,C8962&gt;1,E8961&lt;&gt;""),ABS(D8962-E8961),"")</f>
        <v/>
      </c>
    </row>
    <row r="8963">
      <c r="A8963" t="n">
        <v>8963</v>
      </c>
      <c r="B8963">
        <f>IF(INDEX('Data Entry'!$H$5:$BE$10004,8963-4,'Visual SPC'!$B$3)="",0,IF(AND(OR('Visual SPC'!$C$4="",'Data Entry'!$C8963&gt;='Visual SPC'!$C$4),OR('Visual SPC'!$E$4="",'Data Entry'!$C8963&lt;='Visual SPC'!$E$4),OR('Visual SPC'!$G$4="",'Data Entry'!$D8963='Visual SPC'!$G$4),OR('Visual SPC'!$I$4="",'Data Entry'!$E8963='Visual SPC'!$I$4),OR('Visual SPC'!$K$4="",'Data Entry'!$F8963='Visual SPC'!$K$4)),1,0))</f>
        <v/>
      </c>
      <c r="C8963">
        <f>C8962+B8963</f>
        <v/>
      </c>
      <c r="D8963">
        <f>IF(B8963=1,INDEX('Data Entry'!$H$5:$BE$10004,8963-4,'Visual SPC'!$B$3),"")</f>
        <v/>
      </c>
      <c r="E8963">
        <f>IF(B8963=1,D8963,E8962)</f>
        <v/>
      </c>
      <c r="F8963">
        <f>IF(AND(B8963=1,C8963&gt;1,E8962&lt;&gt;""),ABS(D8963-E8962),"")</f>
        <v/>
      </c>
    </row>
    <row r="8964">
      <c r="A8964" t="n">
        <v>8964</v>
      </c>
      <c r="B8964">
        <f>IF(INDEX('Data Entry'!$H$5:$BE$10004,8964-4,'Visual SPC'!$B$3)="",0,IF(AND(OR('Visual SPC'!$C$4="",'Data Entry'!$C8964&gt;='Visual SPC'!$C$4),OR('Visual SPC'!$E$4="",'Data Entry'!$C8964&lt;='Visual SPC'!$E$4),OR('Visual SPC'!$G$4="",'Data Entry'!$D8964='Visual SPC'!$G$4),OR('Visual SPC'!$I$4="",'Data Entry'!$E8964='Visual SPC'!$I$4),OR('Visual SPC'!$K$4="",'Data Entry'!$F8964='Visual SPC'!$K$4)),1,0))</f>
        <v/>
      </c>
      <c r="C8964">
        <f>C8963+B8964</f>
        <v/>
      </c>
      <c r="D8964">
        <f>IF(B8964=1,INDEX('Data Entry'!$H$5:$BE$10004,8964-4,'Visual SPC'!$B$3),"")</f>
        <v/>
      </c>
      <c r="E8964">
        <f>IF(B8964=1,D8964,E8963)</f>
        <v/>
      </c>
      <c r="F8964">
        <f>IF(AND(B8964=1,C8964&gt;1,E8963&lt;&gt;""),ABS(D8964-E8963),"")</f>
        <v/>
      </c>
    </row>
    <row r="8965">
      <c r="A8965" t="n">
        <v>8965</v>
      </c>
      <c r="B8965">
        <f>IF(INDEX('Data Entry'!$H$5:$BE$10004,8965-4,'Visual SPC'!$B$3)="",0,IF(AND(OR('Visual SPC'!$C$4="",'Data Entry'!$C8965&gt;='Visual SPC'!$C$4),OR('Visual SPC'!$E$4="",'Data Entry'!$C8965&lt;='Visual SPC'!$E$4),OR('Visual SPC'!$G$4="",'Data Entry'!$D8965='Visual SPC'!$G$4),OR('Visual SPC'!$I$4="",'Data Entry'!$E8965='Visual SPC'!$I$4),OR('Visual SPC'!$K$4="",'Data Entry'!$F8965='Visual SPC'!$K$4)),1,0))</f>
        <v/>
      </c>
      <c r="C8965">
        <f>C8964+B8965</f>
        <v/>
      </c>
      <c r="D8965">
        <f>IF(B8965=1,INDEX('Data Entry'!$H$5:$BE$10004,8965-4,'Visual SPC'!$B$3),"")</f>
        <v/>
      </c>
      <c r="E8965">
        <f>IF(B8965=1,D8965,E8964)</f>
        <v/>
      </c>
      <c r="F8965">
        <f>IF(AND(B8965=1,C8965&gt;1,E8964&lt;&gt;""),ABS(D8965-E8964),"")</f>
        <v/>
      </c>
    </row>
    <row r="8966">
      <c r="A8966" t="n">
        <v>8966</v>
      </c>
      <c r="B8966">
        <f>IF(INDEX('Data Entry'!$H$5:$BE$10004,8966-4,'Visual SPC'!$B$3)="",0,IF(AND(OR('Visual SPC'!$C$4="",'Data Entry'!$C8966&gt;='Visual SPC'!$C$4),OR('Visual SPC'!$E$4="",'Data Entry'!$C8966&lt;='Visual SPC'!$E$4),OR('Visual SPC'!$G$4="",'Data Entry'!$D8966='Visual SPC'!$G$4),OR('Visual SPC'!$I$4="",'Data Entry'!$E8966='Visual SPC'!$I$4),OR('Visual SPC'!$K$4="",'Data Entry'!$F8966='Visual SPC'!$K$4)),1,0))</f>
        <v/>
      </c>
      <c r="C8966">
        <f>C8965+B8966</f>
        <v/>
      </c>
      <c r="D8966">
        <f>IF(B8966=1,INDEX('Data Entry'!$H$5:$BE$10004,8966-4,'Visual SPC'!$B$3),"")</f>
        <v/>
      </c>
      <c r="E8966">
        <f>IF(B8966=1,D8966,E8965)</f>
        <v/>
      </c>
      <c r="F8966">
        <f>IF(AND(B8966=1,C8966&gt;1,E8965&lt;&gt;""),ABS(D8966-E8965),"")</f>
        <v/>
      </c>
    </row>
    <row r="8967">
      <c r="A8967" t="n">
        <v>8967</v>
      </c>
      <c r="B8967">
        <f>IF(INDEX('Data Entry'!$H$5:$BE$10004,8967-4,'Visual SPC'!$B$3)="",0,IF(AND(OR('Visual SPC'!$C$4="",'Data Entry'!$C8967&gt;='Visual SPC'!$C$4),OR('Visual SPC'!$E$4="",'Data Entry'!$C8967&lt;='Visual SPC'!$E$4),OR('Visual SPC'!$G$4="",'Data Entry'!$D8967='Visual SPC'!$G$4),OR('Visual SPC'!$I$4="",'Data Entry'!$E8967='Visual SPC'!$I$4),OR('Visual SPC'!$K$4="",'Data Entry'!$F8967='Visual SPC'!$K$4)),1,0))</f>
        <v/>
      </c>
      <c r="C8967">
        <f>C8966+B8967</f>
        <v/>
      </c>
      <c r="D8967">
        <f>IF(B8967=1,INDEX('Data Entry'!$H$5:$BE$10004,8967-4,'Visual SPC'!$B$3),"")</f>
        <v/>
      </c>
      <c r="E8967">
        <f>IF(B8967=1,D8967,E8966)</f>
        <v/>
      </c>
      <c r="F8967">
        <f>IF(AND(B8967=1,C8967&gt;1,E8966&lt;&gt;""),ABS(D8967-E8966),"")</f>
        <v/>
      </c>
    </row>
    <row r="8968">
      <c r="A8968" t="n">
        <v>8968</v>
      </c>
      <c r="B8968">
        <f>IF(INDEX('Data Entry'!$H$5:$BE$10004,8968-4,'Visual SPC'!$B$3)="",0,IF(AND(OR('Visual SPC'!$C$4="",'Data Entry'!$C8968&gt;='Visual SPC'!$C$4),OR('Visual SPC'!$E$4="",'Data Entry'!$C8968&lt;='Visual SPC'!$E$4),OR('Visual SPC'!$G$4="",'Data Entry'!$D8968='Visual SPC'!$G$4),OR('Visual SPC'!$I$4="",'Data Entry'!$E8968='Visual SPC'!$I$4),OR('Visual SPC'!$K$4="",'Data Entry'!$F8968='Visual SPC'!$K$4)),1,0))</f>
        <v/>
      </c>
      <c r="C8968">
        <f>C8967+B8968</f>
        <v/>
      </c>
      <c r="D8968">
        <f>IF(B8968=1,INDEX('Data Entry'!$H$5:$BE$10004,8968-4,'Visual SPC'!$B$3),"")</f>
        <v/>
      </c>
      <c r="E8968">
        <f>IF(B8968=1,D8968,E8967)</f>
        <v/>
      </c>
      <c r="F8968">
        <f>IF(AND(B8968=1,C8968&gt;1,E8967&lt;&gt;""),ABS(D8968-E8967),"")</f>
        <v/>
      </c>
    </row>
    <row r="8969">
      <c r="A8969" t="n">
        <v>8969</v>
      </c>
      <c r="B8969">
        <f>IF(INDEX('Data Entry'!$H$5:$BE$10004,8969-4,'Visual SPC'!$B$3)="",0,IF(AND(OR('Visual SPC'!$C$4="",'Data Entry'!$C8969&gt;='Visual SPC'!$C$4),OR('Visual SPC'!$E$4="",'Data Entry'!$C8969&lt;='Visual SPC'!$E$4),OR('Visual SPC'!$G$4="",'Data Entry'!$D8969='Visual SPC'!$G$4),OR('Visual SPC'!$I$4="",'Data Entry'!$E8969='Visual SPC'!$I$4),OR('Visual SPC'!$K$4="",'Data Entry'!$F8969='Visual SPC'!$K$4)),1,0))</f>
        <v/>
      </c>
      <c r="C8969">
        <f>C8968+B8969</f>
        <v/>
      </c>
      <c r="D8969">
        <f>IF(B8969=1,INDEX('Data Entry'!$H$5:$BE$10004,8969-4,'Visual SPC'!$B$3),"")</f>
        <v/>
      </c>
      <c r="E8969">
        <f>IF(B8969=1,D8969,E8968)</f>
        <v/>
      </c>
      <c r="F8969">
        <f>IF(AND(B8969=1,C8969&gt;1,E8968&lt;&gt;""),ABS(D8969-E8968),"")</f>
        <v/>
      </c>
    </row>
    <row r="8970">
      <c r="A8970" t="n">
        <v>8970</v>
      </c>
      <c r="B8970">
        <f>IF(INDEX('Data Entry'!$H$5:$BE$10004,8970-4,'Visual SPC'!$B$3)="",0,IF(AND(OR('Visual SPC'!$C$4="",'Data Entry'!$C8970&gt;='Visual SPC'!$C$4),OR('Visual SPC'!$E$4="",'Data Entry'!$C8970&lt;='Visual SPC'!$E$4),OR('Visual SPC'!$G$4="",'Data Entry'!$D8970='Visual SPC'!$G$4),OR('Visual SPC'!$I$4="",'Data Entry'!$E8970='Visual SPC'!$I$4),OR('Visual SPC'!$K$4="",'Data Entry'!$F8970='Visual SPC'!$K$4)),1,0))</f>
        <v/>
      </c>
      <c r="C8970">
        <f>C8969+B8970</f>
        <v/>
      </c>
      <c r="D8970">
        <f>IF(B8970=1,INDEX('Data Entry'!$H$5:$BE$10004,8970-4,'Visual SPC'!$B$3),"")</f>
        <v/>
      </c>
      <c r="E8970">
        <f>IF(B8970=1,D8970,E8969)</f>
        <v/>
      </c>
      <c r="F8970">
        <f>IF(AND(B8970=1,C8970&gt;1,E8969&lt;&gt;""),ABS(D8970-E8969),"")</f>
        <v/>
      </c>
    </row>
    <row r="8971">
      <c r="A8971" t="n">
        <v>8971</v>
      </c>
      <c r="B8971">
        <f>IF(INDEX('Data Entry'!$H$5:$BE$10004,8971-4,'Visual SPC'!$B$3)="",0,IF(AND(OR('Visual SPC'!$C$4="",'Data Entry'!$C8971&gt;='Visual SPC'!$C$4),OR('Visual SPC'!$E$4="",'Data Entry'!$C8971&lt;='Visual SPC'!$E$4),OR('Visual SPC'!$G$4="",'Data Entry'!$D8971='Visual SPC'!$G$4),OR('Visual SPC'!$I$4="",'Data Entry'!$E8971='Visual SPC'!$I$4),OR('Visual SPC'!$K$4="",'Data Entry'!$F8971='Visual SPC'!$K$4)),1,0))</f>
        <v/>
      </c>
      <c r="C8971">
        <f>C8970+B8971</f>
        <v/>
      </c>
      <c r="D8971">
        <f>IF(B8971=1,INDEX('Data Entry'!$H$5:$BE$10004,8971-4,'Visual SPC'!$B$3),"")</f>
        <v/>
      </c>
      <c r="E8971">
        <f>IF(B8971=1,D8971,E8970)</f>
        <v/>
      </c>
      <c r="F8971">
        <f>IF(AND(B8971=1,C8971&gt;1,E8970&lt;&gt;""),ABS(D8971-E8970),"")</f>
        <v/>
      </c>
    </row>
    <row r="8972">
      <c r="A8972" t="n">
        <v>8972</v>
      </c>
      <c r="B8972">
        <f>IF(INDEX('Data Entry'!$H$5:$BE$10004,8972-4,'Visual SPC'!$B$3)="",0,IF(AND(OR('Visual SPC'!$C$4="",'Data Entry'!$C8972&gt;='Visual SPC'!$C$4),OR('Visual SPC'!$E$4="",'Data Entry'!$C8972&lt;='Visual SPC'!$E$4),OR('Visual SPC'!$G$4="",'Data Entry'!$D8972='Visual SPC'!$G$4),OR('Visual SPC'!$I$4="",'Data Entry'!$E8972='Visual SPC'!$I$4),OR('Visual SPC'!$K$4="",'Data Entry'!$F8972='Visual SPC'!$K$4)),1,0))</f>
        <v/>
      </c>
      <c r="C8972">
        <f>C8971+B8972</f>
        <v/>
      </c>
      <c r="D8972">
        <f>IF(B8972=1,INDEX('Data Entry'!$H$5:$BE$10004,8972-4,'Visual SPC'!$B$3),"")</f>
        <v/>
      </c>
      <c r="E8972">
        <f>IF(B8972=1,D8972,E8971)</f>
        <v/>
      </c>
      <c r="F8972">
        <f>IF(AND(B8972=1,C8972&gt;1,E8971&lt;&gt;""),ABS(D8972-E8971),"")</f>
        <v/>
      </c>
    </row>
    <row r="8973">
      <c r="A8973" t="n">
        <v>8973</v>
      </c>
      <c r="B8973">
        <f>IF(INDEX('Data Entry'!$H$5:$BE$10004,8973-4,'Visual SPC'!$B$3)="",0,IF(AND(OR('Visual SPC'!$C$4="",'Data Entry'!$C8973&gt;='Visual SPC'!$C$4),OR('Visual SPC'!$E$4="",'Data Entry'!$C8973&lt;='Visual SPC'!$E$4),OR('Visual SPC'!$G$4="",'Data Entry'!$D8973='Visual SPC'!$G$4),OR('Visual SPC'!$I$4="",'Data Entry'!$E8973='Visual SPC'!$I$4),OR('Visual SPC'!$K$4="",'Data Entry'!$F8973='Visual SPC'!$K$4)),1,0))</f>
        <v/>
      </c>
      <c r="C8973">
        <f>C8972+B8973</f>
        <v/>
      </c>
      <c r="D8973">
        <f>IF(B8973=1,INDEX('Data Entry'!$H$5:$BE$10004,8973-4,'Visual SPC'!$B$3),"")</f>
        <v/>
      </c>
      <c r="E8973">
        <f>IF(B8973=1,D8973,E8972)</f>
        <v/>
      </c>
      <c r="F8973">
        <f>IF(AND(B8973=1,C8973&gt;1,E8972&lt;&gt;""),ABS(D8973-E8972),"")</f>
        <v/>
      </c>
    </row>
    <row r="8974">
      <c r="A8974" t="n">
        <v>8974</v>
      </c>
      <c r="B8974">
        <f>IF(INDEX('Data Entry'!$H$5:$BE$10004,8974-4,'Visual SPC'!$B$3)="",0,IF(AND(OR('Visual SPC'!$C$4="",'Data Entry'!$C8974&gt;='Visual SPC'!$C$4),OR('Visual SPC'!$E$4="",'Data Entry'!$C8974&lt;='Visual SPC'!$E$4),OR('Visual SPC'!$G$4="",'Data Entry'!$D8974='Visual SPC'!$G$4),OR('Visual SPC'!$I$4="",'Data Entry'!$E8974='Visual SPC'!$I$4),OR('Visual SPC'!$K$4="",'Data Entry'!$F8974='Visual SPC'!$K$4)),1,0))</f>
        <v/>
      </c>
      <c r="C8974">
        <f>C8973+B8974</f>
        <v/>
      </c>
      <c r="D8974">
        <f>IF(B8974=1,INDEX('Data Entry'!$H$5:$BE$10004,8974-4,'Visual SPC'!$B$3),"")</f>
        <v/>
      </c>
      <c r="E8974">
        <f>IF(B8974=1,D8974,E8973)</f>
        <v/>
      </c>
      <c r="F8974">
        <f>IF(AND(B8974=1,C8974&gt;1,E8973&lt;&gt;""),ABS(D8974-E8973),"")</f>
        <v/>
      </c>
    </row>
    <row r="8975">
      <c r="A8975" t="n">
        <v>8975</v>
      </c>
      <c r="B8975">
        <f>IF(INDEX('Data Entry'!$H$5:$BE$10004,8975-4,'Visual SPC'!$B$3)="",0,IF(AND(OR('Visual SPC'!$C$4="",'Data Entry'!$C8975&gt;='Visual SPC'!$C$4),OR('Visual SPC'!$E$4="",'Data Entry'!$C8975&lt;='Visual SPC'!$E$4),OR('Visual SPC'!$G$4="",'Data Entry'!$D8975='Visual SPC'!$G$4),OR('Visual SPC'!$I$4="",'Data Entry'!$E8975='Visual SPC'!$I$4),OR('Visual SPC'!$K$4="",'Data Entry'!$F8975='Visual SPC'!$K$4)),1,0))</f>
        <v/>
      </c>
      <c r="C8975">
        <f>C8974+B8975</f>
        <v/>
      </c>
      <c r="D8975">
        <f>IF(B8975=1,INDEX('Data Entry'!$H$5:$BE$10004,8975-4,'Visual SPC'!$B$3),"")</f>
        <v/>
      </c>
      <c r="E8975">
        <f>IF(B8975=1,D8975,E8974)</f>
        <v/>
      </c>
      <c r="F8975">
        <f>IF(AND(B8975=1,C8975&gt;1,E8974&lt;&gt;""),ABS(D8975-E8974),"")</f>
        <v/>
      </c>
    </row>
    <row r="8976">
      <c r="A8976" t="n">
        <v>8976</v>
      </c>
      <c r="B8976">
        <f>IF(INDEX('Data Entry'!$H$5:$BE$10004,8976-4,'Visual SPC'!$B$3)="",0,IF(AND(OR('Visual SPC'!$C$4="",'Data Entry'!$C8976&gt;='Visual SPC'!$C$4),OR('Visual SPC'!$E$4="",'Data Entry'!$C8976&lt;='Visual SPC'!$E$4),OR('Visual SPC'!$G$4="",'Data Entry'!$D8976='Visual SPC'!$G$4),OR('Visual SPC'!$I$4="",'Data Entry'!$E8976='Visual SPC'!$I$4),OR('Visual SPC'!$K$4="",'Data Entry'!$F8976='Visual SPC'!$K$4)),1,0))</f>
        <v/>
      </c>
      <c r="C8976">
        <f>C8975+B8976</f>
        <v/>
      </c>
      <c r="D8976">
        <f>IF(B8976=1,INDEX('Data Entry'!$H$5:$BE$10004,8976-4,'Visual SPC'!$B$3),"")</f>
        <v/>
      </c>
      <c r="E8976">
        <f>IF(B8976=1,D8976,E8975)</f>
        <v/>
      </c>
      <c r="F8976">
        <f>IF(AND(B8976=1,C8976&gt;1,E8975&lt;&gt;""),ABS(D8976-E8975),"")</f>
        <v/>
      </c>
    </row>
    <row r="8977">
      <c r="A8977" t="n">
        <v>8977</v>
      </c>
      <c r="B8977">
        <f>IF(INDEX('Data Entry'!$H$5:$BE$10004,8977-4,'Visual SPC'!$B$3)="",0,IF(AND(OR('Visual SPC'!$C$4="",'Data Entry'!$C8977&gt;='Visual SPC'!$C$4),OR('Visual SPC'!$E$4="",'Data Entry'!$C8977&lt;='Visual SPC'!$E$4),OR('Visual SPC'!$G$4="",'Data Entry'!$D8977='Visual SPC'!$G$4),OR('Visual SPC'!$I$4="",'Data Entry'!$E8977='Visual SPC'!$I$4),OR('Visual SPC'!$K$4="",'Data Entry'!$F8977='Visual SPC'!$K$4)),1,0))</f>
        <v/>
      </c>
      <c r="C8977">
        <f>C8976+B8977</f>
        <v/>
      </c>
      <c r="D8977">
        <f>IF(B8977=1,INDEX('Data Entry'!$H$5:$BE$10004,8977-4,'Visual SPC'!$B$3),"")</f>
        <v/>
      </c>
      <c r="E8977">
        <f>IF(B8977=1,D8977,E8976)</f>
        <v/>
      </c>
      <c r="F8977">
        <f>IF(AND(B8977=1,C8977&gt;1,E8976&lt;&gt;""),ABS(D8977-E8976),"")</f>
        <v/>
      </c>
    </row>
    <row r="8978">
      <c r="A8978" t="n">
        <v>8978</v>
      </c>
      <c r="B8978">
        <f>IF(INDEX('Data Entry'!$H$5:$BE$10004,8978-4,'Visual SPC'!$B$3)="",0,IF(AND(OR('Visual SPC'!$C$4="",'Data Entry'!$C8978&gt;='Visual SPC'!$C$4),OR('Visual SPC'!$E$4="",'Data Entry'!$C8978&lt;='Visual SPC'!$E$4),OR('Visual SPC'!$G$4="",'Data Entry'!$D8978='Visual SPC'!$G$4),OR('Visual SPC'!$I$4="",'Data Entry'!$E8978='Visual SPC'!$I$4),OR('Visual SPC'!$K$4="",'Data Entry'!$F8978='Visual SPC'!$K$4)),1,0))</f>
        <v/>
      </c>
      <c r="C8978">
        <f>C8977+B8978</f>
        <v/>
      </c>
      <c r="D8978">
        <f>IF(B8978=1,INDEX('Data Entry'!$H$5:$BE$10004,8978-4,'Visual SPC'!$B$3),"")</f>
        <v/>
      </c>
      <c r="E8978">
        <f>IF(B8978=1,D8978,E8977)</f>
        <v/>
      </c>
      <c r="F8978">
        <f>IF(AND(B8978=1,C8978&gt;1,E8977&lt;&gt;""),ABS(D8978-E8977),"")</f>
        <v/>
      </c>
    </row>
    <row r="8979">
      <c r="A8979" t="n">
        <v>8979</v>
      </c>
      <c r="B8979">
        <f>IF(INDEX('Data Entry'!$H$5:$BE$10004,8979-4,'Visual SPC'!$B$3)="",0,IF(AND(OR('Visual SPC'!$C$4="",'Data Entry'!$C8979&gt;='Visual SPC'!$C$4),OR('Visual SPC'!$E$4="",'Data Entry'!$C8979&lt;='Visual SPC'!$E$4),OR('Visual SPC'!$G$4="",'Data Entry'!$D8979='Visual SPC'!$G$4),OR('Visual SPC'!$I$4="",'Data Entry'!$E8979='Visual SPC'!$I$4),OR('Visual SPC'!$K$4="",'Data Entry'!$F8979='Visual SPC'!$K$4)),1,0))</f>
        <v/>
      </c>
      <c r="C8979">
        <f>C8978+B8979</f>
        <v/>
      </c>
      <c r="D8979">
        <f>IF(B8979=1,INDEX('Data Entry'!$H$5:$BE$10004,8979-4,'Visual SPC'!$B$3),"")</f>
        <v/>
      </c>
      <c r="E8979">
        <f>IF(B8979=1,D8979,E8978)</f>
        <v/>
      </c>
      <c r="F8979">
        <f>IF(AND(B8979=1,C8979&gt;1,E8978&lt;&gt;""),ABS(D8979-E8978),"")</f>
        <v/>
      </c>
    </row>
    <row r="8980">
      <c r="A8980" t="n">
        <v>8980</v>
      </c>
      <c r="B8980">
        <f>IF(INDEX('Data Entry'!$H$5:$BE$10004,8980-4,'Visual SPC'!$B$3)="",0,IF(AND(OR('Visual SPC'!$C$4="",'Data Entry'!$C8980&gt;='Visual SPC'!$C$4),OR('Visual SPC'!$E$4="",'Data Entry'!$C8980&lt;='Visual SPC'!$E$4),OR('Visual SPC'!$G$4="",'Data Entry'!$D8980='Visual SPC'!$G$4),OR('Visual SPC'!$I$4="",'Data Entry'!$E8980='Visual SPC'!$I$4),OR('Visual SPC'!$K$4="",'Data Entry'!$F8980='Visual SPC'!$K$4)),1,0))</f>
        <v/>
      </c>
      <c r="C8980">
        <f>C8979+B8980</f>
        <v/>
      </c>
      <c r="D8980">
        <f>IF(B8980=1,INDEX('Data Entry'!$H$5:$BE$10004,8980-4,'Visual SPC'!$B$3),"")</f>
        <v/>
      </c>
      <c r="E8980">
        <f>IF(B8980=1,D8980,E8979)</f>
        <v/>
      </c>
      <c r="F8980">
        <f>IF(AND(B8980=1,C8980&gt;1,E8979&lt;&gt;""),ABS(D8980-E8979),"")</f>
        <v/>
      </c>
    </row>
    <row r="8981">
      <c r="A8981" t="n">
        <v>8981</v>
      </c>
      <c r="B8981">
        <f>IF(INDEX('Data Entry'!$H$5:$BE$10004,8981-4,'Visual SPC'!$B$3)="",0,IF(AND(OR('Visual SPC'!$C$4="",'Data Entry'!$C8981&gt;='Visual SPC'!$C$4),OR('Visual SPC'!$E$4="",'Data Entry'!$C8981&lt;='Visual SPC'!$E$4),OR('Visual SPC'!$G$4="",'Data Entry'!$D8981='Visual SPC'!$G$4),OR('Visual SPC'!$I$4="",'Data Entry'!$E8981='Visual SPC'!$I$4),OR('Visual SPC'!$K$4="",'Data Entry'!$F8981='Visual SPC'!$K$4)),1,0))</f>
        <v/>
      </c>
      <c r="C8981">
        <f>C8980+B8981</f>
        <v/>
      </c>
      <c r="D8981">
        <f>IF(B8981=1,INDEX('Data Entry'!$H$5:$BE$10004,8981-4,'Visual SPC'!$B$3),"")</f>
        <v/>
      </c>
      <c r="E8981">
        <f>IF(B8981=1,D8981,E8980)</f>
        <v/>
      </c>
      <c r="F8981">
        <f>IF(AND(B8981=1,C8981&gt;1,E8980&lt;&gt;""),ABS(D8981-E8980),"")</f>
        <v/>
      </c>
    </row>
    <row r="8982">
      <c r="A8982" t="n">
        <v>8982</v>
      </c>
      <c r="B8982">
        <f>IF(INDEX('Data Entry'!$H$5:$BE$10004,8982-4,'Visual SPC'!$B$3)="",0,IF(AND(OR('Visual SPC'!$C$4="",'Data Entry'!$C8982&gt;='Visual SPC'!$C$4),OR('Visual SPC'!$E$4="",'Data Entry'!$C8982&lt;='Visual SPC'!$E$4),OR('Visual SPC'!$G$4="",'Data Entry'!$D8982='Visual SPC'!$G$4),OR('Visual SPC'!$I$4="",'Data Entry'!$E8982='Visual SPC'!$I$4),OR('Visual SPC'!$K$4="",'Data Entry'!$F8982='Visual SPC'!$K$4)),1,0))</f>
        <v/>
      </c>
      <c r="C8982">
        <f>C8981+B8982</f>
        <v/>
      </c>
      <c r="D8982">
        <f>IF(B8982=1,INDEX('Data Entry'!$H$5:$BE$10004,8982-4,'Visual SPC'!$B$3),"")</f>
        <v/>
      </c>
      <c r="E8982">
        <f>IF(B8982=1,D8982,E8981)</f>
        <v/>
      </c>
      <c r="F8982">
        <f>IF(AND(B8982=1,C8982&gt;1,E8981&lt;&gt;""),ABS(D8982-E8981),"")</f>
        <v/>
      </c>
    </row>
    <row r="8983">
      <c r="A8983" t="n">
        <v>8983</v>
      </c>
      <c r="B8983">
        <f>IF(INDEX('Data Entry'!$H$5:$BE$10004,8983-4,'Visual SPC'!$B$3)="",0,IF(AND(OR('Visual SPC'!$C$4="",'Data Entry'!$C8983&gt;='Visual SPC'!$C$4),OR('Visual SPC'!$E$4="",'Data Entry'!$C8983&lt;='Visual SPC'!$E$4),OR('Visual SPC'!$G$4="",'Data Entry'!$D8983='Visual SPC'!$G$4),OR('Visual SPC'!$I$4="",'Data Entry'!$E8983='Visual SPC'!$I$4),OR('Visual SPC'!$K$4="",'Data Entry'!$F8983='Visual SPC'!$K$4)),1,0))</f>
        <v/>
      </c>
      <c r="C8983">
        <f>C8982+B8983</f>
        <v/>
      </c>
      <c r="D8983">
        <f>IF(B8983=1,INDEX('Data Entry'!$H$5:$BE$10004,8983-4,'Visual SPC'!$B$3),"")</f>
        <v/>
      </c>
      <c r="E8983">
        <f>IF(B8983=1,D8983,E8982)</f>
        <v/>
      </c>
      <c r="F8983">
        <f>IF(AND(B8983=1,C8983&gt;1,E8982&lt;&gt;""),ABS(D8983-E8982),"")</f>
        <v/>
      </c>
    </row>
    <row r="8984">
      <c r="A8984" t="n">
        <v>8984</v>
      </c>
      <c r="B8984">
        <f>IF(INDEX('Data Entry'!$H$5:$BE$10004,8984-4,'Visual SPC'!$B$3)="",0,IF(AND(OR('Visual SPC'!$C$4="",'Data Entry'!$C8984&gt;='Visual SPC'!$C$4),OR('Visual SPC'!$E$4="",'Data Entry'!$C8984&lt;='Visual SPC'!$E$4),OR('Visual SPC'!$G$4="",'Data Entry'!$D8984='Visual SPC'!$G$4),OR('Visual SPC'!$I$4="",'Data Entry'!$E8984='Visual SPC'!$I$4),OR('Visual SPC'!$K$4="",'Data Entry'!$F8984='Visual SPC'!$K$4)),1,0))</f>
        <v/>
      </c>
      <c r="C8984">
        <f>C8983+B8984</f>
        <v/>
      </c>
      <c r="D8984">
        <f>IF(B8984=1,INDEX('Data Entry'!$H$5:$BE$10004,8984-4,'Visual SPC'!$B$3),"")</f>
        <v/>
      </c>
      <c r="E8984">
        <f>IF(B8984=1,D8984,E8983)</f>
        <v/>
      </c>
      <c r="F8984">
        <f>IF(AND(B8984=1,C8984&gt;1,E8983&lt;&gt;""),ABS(D8984-E8983),"")</f>
        <v/>
      </c>
    </row>
    <row r="8985">
      <c r="A8985" t="n">
        <v>8985</v>
      </c>
      <c r="B8985">
        <f>IF(INDEX('Data Entry'!$H$5:$BE$10004,8985-4,'Visual SPC'!$B$3)="",0,IF(AND(OR('Visual SPC'!$C$4="",'Data Entry'!$C8985&gt;='Visual SPC'!$C$4),OR('Visual SPC'!$E$4="",'Data Entry'!$C8985&lt;='Visual SPC'!$E$4),OR('Visual SPC'!$G$4="",'Data Entry'!$D8985='Visual SPC'!$G$4),OR('Visual SPC'!$I$4="",'Data Entry'!$E8985='Visual SPC'!$I$4),OR('Visual SPC'!$K$4="",'Data Entry'!$F8985='Visual SPC'!$K$4)),1,0))</f>
        <v/>
      </c>
      <c r="C8985">
        <f>C8984+B8985</f>
        <v/>
      </c>
      <c r="D8985">
        <f>IF(B8985=1,INDEX('Data Entry'!$H$5:$BE$10004,8985-4,'Visual SPC'!$B$3),"")</f>
        <v/>
      </c>
      <c r="E8985">
        <f>IF(B8985=1,D8985,E8984)</f>
        <v/>
      </c>
      <c r="F8985">
        <f>IF(AND(B8985=1,C8985&gt;1,E8984&lt;&gt;""),ABS(D8985-E8984),"")</f>
        <v/>
      </c>
    </row>
    <row r="8986">
      <c r="A8986" t="n">
        <v>8986</v>
      </c>
      <c r="B8986">
        <f>IF(INDEX('Data Entry'!$H$5:$BE$10004,8986-4,'Visual SPC'!$B$3)="",0,IF(AND(OR('Visual SPC'!$C$4="",'Data Entry'!$C8986&gt;='Visual SPC'!$C$4),OR('Visual SPC'!$E$4="",'Data Entry'!$C8986&lt;='Visual SPC'!$E$4),OR('Visual SPC'!$G$4="",'Data Entry'!$D8986='Visual SPC'!$G$4),OR('Visual SPC'!$I$4="",'Data Entry'!$E8986='Visual SPC'!$I$4),OR('Visual SPC'!$K$4="",'Data Entry'!$F8986='Visual SPC'!$K$4)),1,0))</f>
        <v/>
      </c>
      <c r="C8986">
        <f>C8985+B8986</f>
        <v/>
      </c>
      <c r="D8986">
        <f>IF(B8986=1,INDEX('Data Entry'!$H$5:$BE$10004,8986-4,'Visual SPC'!$B$3),"")</f>
        <v/>
      </c>
      <c r="E8986">
        <f>IF(B8986=1,D8986,E8985)</f>
        <v/>
      </c>
      <c r="F8986">
        <f>IF(AND(B8986=1,C8986&gt;1,E8985&lt;&gt;""),ABS(D8986-E8985),"")</f>
        <v/>
      </c>
    </row>
    <row r="8987">
      <c r="A8987" t="n">
        <v>8987</v>
      </c>
      <c r="B8987">
        <f>IF(INDEX('Data Entry'!$H$5:$BE$10004,8987-4,'Visual SPC'!$B$3)="",0,IF(AND(OR('Visual SPC'!$C$4="",'Data Entry'!$C8987&gt;='Visual SPC'!$C$4),OR('Visual SPC'!$E$4="",'Data Entry'!$C8987&lt;='Visual SPC'!$E$4),OR('Visual SPC'!$G$4="",'Data Entry'!$D8987='Visual SPC'!$G$4),OR('Visual SPC'!$I$4="",'Data Entry'!$E8987='Visual SPC'!$I$4),OR('Visual SPC'!$K$4="",'Data Entry'!$F8987='Visual SPC'!$K$4)),1,0))</f>
        <v/>
      </c>
      <c r="C8987">
        <f>C8986+B8987</f>
        <v/>
      </c>
      <c r="D8987">
        <f>IF(B8987=1,INDEX('Data Entry'!$H$5:$BE$10004,8987-4,'Visual SPC'!$B$3),"")</f>
        <v/>
      </c>
      <c r="E8987">
        <f>IF(B8987=1,D8987,E8986)</f>
        <v/>
      </c>
      <c r="F8987">
        <f>IF(AND(B8987=1,C8987&gt;1,E8986&lt;&gt;""),ABS(D8987-E8986),"")</f>
        <v/>
      </c>
    </row>
    <row r="8988">
      <c r="A8988" t="n">
        <v>8988</v>
      </c>
      <c r="B8988">
        <f>IF(INDEX('Data Entry'!$H$5:$BE$10004,8988-4,'Visual SPC'!$B$3)="",0,IF(AND(OR('Visual SPC'!$C$4="",'Data Entry'!$C8988&gt;='Visual SPC'!$C$4),OR('Visual SPC'!$E$4="",'Data Entry'!$C8988&lt;='Visual SPC'!$E$4),OR('Visual SPC'!$G$4="",'Data Entry'!$D8988='Visual SPC'!$G$4),OR('Visual SPC'!$I$4="",'Data Entry'!$E8988='Visual SPC'!$I$4),OR('Visual SPC'!$K$4="",'Data Entry'!$F8988='Visual SPC'!$K$4)),1,0))</f>
        <v/>
      </c>
      <c r="C8988">
        <f>C8987+B8988</f>
        <v/>
      </c>
      <c r="D8988">
        <f>IF(B8988=1,INDEX('Data Entry'!$H$5:$BE$10004,8988-4,'Visual SPC'!$B$3),"")</f>
        <v/>
      </c>
      <c r="E8988">
        <f>IF(B8988=1,D8988,E8987)</f>
        <v/>
      </c>
      <c r="F8988">
        <f>IF(AND(B8988=1,C8988&gt;1,E8987&lt;&gt;""),ABS(D8988-E8987),"")</f>
        <v/>
      </c>
    </row>
    <row r="8989">
      <c r="A8989" t="n">
        <v>8989</v>
      </c>
      <c r="B8989">
        <f>IF(INDEX('Data Entry'!$H$5:$BE$10004,8989-4,'Visual SPC'!$B$3)="",0,IF(AND(OR('Visual SPC'!$C$4="",'Data Entry'!$C8989&gt;='Visual SPC'!$C$4),OR('Visual SPC'!$E$4="",'Data Entry'!$C8989&lt;='Visual SPC'!$E$4),OR('Visual SPC'!$G$4="",'Data Entry'!$D8989='Visual SPC'!$G$4),OR('Visual SPC'!$I$4="",'Data Entry'!$E8989='Visual SPC'!$I$4),OR('Visual SPC'!$K$4="",'Data Entry'!$F8989='Visual SPC'!$K$4)),1,0))</f>
        <v/>
      </c>
      <c r="C8989">
        <f>C8988+B8989</f>
        <v/>
      </c>
      <c r="D8989">
        <f>IF(B8989=1,INDEX('Data Entry'!$H$5:$BE$10004,8989-4,'Visual SPC'!$B$3),"")</f>
        <v/>
      </c>
      <c r="E8989">
        <f>IF(B8989=1,D8989,E8988)</f>
        <v/>
      </c>
      <c r="F8989">
        <f>IF(AND(B8989=1,C8989&gt;1,E8988&lt;&gt;""),ABS(D8989-E8988),"")</f>
        <v/>
      </c>
    </row>
    <row r="8990">
      <c r="A8990" t="n">
        <v>8990</v>
      </c>
      <c r="B8990">
        <f>IF(INDEX('Data Entry'!$H$5:$BE$10004,8990-4,'Visual SPC'!$B$3)="",0,IF(AND(OR('Visual SPC'!$C$4="",'Data Entry'!$C8990&gt;='Visual SPC'!$C$4),OR('Visual SPC'!$E$4="",'Data Entry'!$C8990&lt;='Visual SPC'!$E$4),OR('Visual SPC'!$G$4="",'Data Entry'!$D8990='Visual SPC'!$G$4),OR('Visual SPC'!$I$4="",'Data Entry'!$E8990='Visual SPC'!$I$4),OR('Visual SPC'!$K$4="",'Data Entry'!$F8990='Visual SPC'!$K$4)),1,0))</f>
        <v/>
      </c>
      <c r="C8990">
        <f>C8989+B8990</f>
        <v/>
      </c>
      <c r="D8990">
        <f>IF(B8990=1,INDEX('Data Entry'!$H$5:$BE$10004,8990-4,'Visual SPC'!$B$3),"")</f>
        <v/>
      </c>
      <c r="E8990">
        <f>IF(B8990=1,D8990,E8989)</f>
        <v/>
      </c>
      <c r="F8990">
        <f>IF(AND(B8990=1,C8990&gt;1,E8989&lt;&gt;""),ABS(D8990-E8989),"")</f>
        <v/>
      </c>
    </row>
    <row r="8991">
      <c r="A8991" t="n">
        <v>8991</v>
      </c>
      <c r="B8991">
        <f>IF(INDEX('Data Entry'!$H$5:$BE$10004,8991-4,'Visual SPC'!$B$3)="",0,IF(AND(OR('Visual SPC'!$C$4="",'Data Entry'!$C8991&gt;='Visual SPC'!$C$4),OR('Visual SPC'!$E$4="",'Data Entry'!$C8991&lt;='Visual SPC'!$E$4),OR('Visual SPC'!$G$4="",'Data Entry'!$D8991='Visual SPC'!$G$4),OR('Visual SPC'!$I$4="",'Data Entry'!$E8991='Visual SPC'!$I$4),OR('Visual SPC'!$K$4="",'Data Entry'!$F8991='Visual SPC'!$K$4)),1,0))</f>
        <v/>
      </c>
      <c r="C8991">
        <f>C8990+B8991</f>
        <v/>
      </c>
      <c r="D8991">
        <f>IF(B8991=1,INDEX('Data Entry'!$H$5:$BE$10004,8991-4,'Visual SPC'!$B$3),"")</f>
        <v/>
      </c>
      <c r="E8991">
        <f>IF(B8991=1,D8991,E8990)</f>
        <v/>
      </c>
      <c r="F8991">
        <f>IF(AND(B8991=1,C8991&gt;1,E8990&lt;&gt;""),ABS(D8991-E8990),"")</f>
        <v/>
      </c>
    </row>
    <row r="8992">
      <c r="A8992" t="n">
        <v>8992</v>
      </c>
      <c r="B8992">
        <f>IF(INDEX('Data Entry'!$H$5:$BE$10004,8992-4,'Visual SPC'!$B$3)="",0,IF(AND(OR('Visual SPC'!$C$4="",'Data Entry'!$C8992&gt;='Visual SPC'!$C$4),OR('Visual SPC'!$E$4="",'Data Entry'!$C8992&lt;='Visual SPC'!$E$4),OR('Visual SPC'!$G$4="",'Data Entry'!$D8992='Visual SPC'!$G$4),OR('Visual SPC'!$I$4="",'Data Entry'!$E8992='Visual SPC'!$I$4),OR('Visual SPC'!$K$4="",'Data Entry'!$F8992='Visual SPC'!$K$4)),1,0))</f>
        <v/>
      </c>
      <c r="C8992">
        <f>C8991+B8992</f>
        <v/>
      </c>
      <c r="D8992">
        <f>IF(B8992=1,INDEX('Data Entry'!$H$5:$BE$10004,8992-4,'Visual SPC'!$B$3),"")</f>
        <v/>
      </c>
      <c r="E8992">
        <f>IF(B8992=1,D8992,E8991)</f>
        <v/>
      </c>
      <c r="F8992">
        <f>IF(AND(B8992=1,C8992&gt;1,E8991&lt;&gt;""),ABS(D8992-E8991),"")</f>
        <v/>
      </c>
    </row>
    <row r="8993">
      <c r="A8993" t="n">
        <v>8993</v>
      </c>
      <c r="B8993">
        <f>IF(INDEX('Data Entry'!$H$5:$BE$10004,8993-4,'Visual SPC'!$B$3)="",0,IF(AND(OR('Visual SPC'!$C$4="",'Data Entry'!$C8993&gt;='Visual SPC'!$C$4),OR('Visual SPC'!$E$4="",'Data Entry'!$C8993&lt;='Visual SPC'!$E$4),OR('Visual SPC'!$G$4="",'Data Entry'!$D8993='Visual SPC'!$G$4),OR('Visual SPC'!$I$4="",'Data Entry'!$E8993='Visual SPC'!$I$4),OR('Visual SPC'!$K$4="",'Data Entry'!$F8993='Visual SPC'!$K$4)),1,0))</f>
        <v/>
      </c>
      <c r="C8993">
        <f>C8992+B8993</f>
        <v/>
      </c>
      <c r="D8993">
        <f>IF(B8993=1,INDEX('Data Entry'!$H$5:$BE$10004,8993-4,'Visual SPC'!$B$3),"")</f>
        <v/>
      </c>
      <c r="E8993">
        <f>IF(B8993=1,D8993,E8992)</f>
        <v/>
      </c>
      <c r="F8993">
        <f>IF(AND(B8993=1,C8993&gt;1,E8992&lt;&gt;""),ABS(D8993-E8992),"")</f>
        <v/>
      </c>
    </row>
    <row r="8994">
      <c r="A8994" t="n">
        <v>8994</v>
      </c>
      <c r="B8994">
        <f>IF(INDEX('Data Entry'!$H$5:$BE$10004,8994-4,'Visual SPC'!$B$3)="",0,IF(AND(OR('Visual SPC'!$C$4="",'Data Entry'!$C8994&gt;='Visual SPC'!$C$4),OR('Visual SPC'!$E$4="",'Data Entry'!$C8994&lt;='Visual SPC'!$E$4),OR('Visual SPC'!$G$4="",'Data Entry'!$D8994='Visual SPC'!$G$4),OR('Visual SPC'!$I$4="",'Data Entry'!$E8994='Visual SPC'!$I$4),OR('Visual SPC'!$K$4="",'Data Entry'!$F8994='Visual SPC'!$K$4)),1,0))</f>
        <v/>
      </c>
      <c r="C8994">
        <f>C8993+B8994</f>
        <v/>
      </c>
      <c r="D8994">
        <f>IF(B8994=1,INDEX('Data Entry'!$H$5:$BE$10004,8994-4,'Visual SPC'!$B$3),"")</f>
        <v/>
      </c>
      <c r="E8994">
        <f>IF(B8994=1,D8994,E8993)</f>
        <v/>
      </c>
      <c r="F8994">
        <f>IF(AND(B8994=1,C8994&gt;1,E8993&lt;&gt;""),ABS(D8994-E8993),"")</f>
        <v/>
      </c>
    </row>
    <row r="8995">
      <c r="A8995" t="n">
        <v>8995</v>
      </c>
      <c r="B8995">
        <f>IF(INDEX('Data Entry'!$H$5:$BE$10004,8995-4,'Visual SPC'!$B$3)="",0,IF(AND(OR('Visual SPC'!$C$4="",'Data Entry'!$C8995&gt;='Visual SPC'!$C$4),OR('Visual SPC'!$E$4="",'Data Entry'!$C8995&lt;='Visual SPC'!$E$4),OR('Visual SPC'!$G$4="",'Data Entry'!$D8995='Visual SPC'!$G$4),OR('Visual SPC'!$I$4="",'Data Entry'!$E8995='Visual SPC'!$I$4),OR('Visual SPC'!$K$4="",'Data Entry'!$F8995='Visual SPC'!$K$4)),1,0))</f>
        <v/>
      </c>
      <c r="C8995">
        <f>C8994+B8995</f>
        <v/>
      </c>
      <c r="D8995">
        <f>IF(B8995=1,INDEX('Data Entry'!$H$5:$BE$10004,8995-4,'Visual SPC'!$B$3),"")</f>
        <v/>
      </c>
      <c r="E8995">
        <f>IF(B8995=1,D8995,E8994)</f>
        <v/>
      </c>
      <c r="F8995">
        <f>IF(AND(B8995=1,C8995&gt;1,E8994&lt;&gt;""),ABS(D8995-E8994),"")</f>
        <v/>
      </c>
    </row>
    <row r="8996">
      <c r="A8996" t="n">
        <v>8996</v>
      </c>
      <c r="B8996">
        <f>IF(INDEX('Data Entry'!$H$5:$BE$10004,8996-4,'Visual SPC'!$B$3)="",0,IF(AND(OR('Visual SPC'!$C$4="",'Data Entry'!$C8996&gt;='Visual SPC'!$C$4),OR('Visual SPC'!$E$4="",'Data Entry'!$C8996&lt;='Visual SPC'!$E$4),OR('Visual SPC'!$G$4="",'Data Entry'!$D8996='Visual SPC'!$G$4),OR('Visual SPC'!$I$4="",'Data Entry'!$E8996='Visual SPC'!$I$4),OR('Visual SPC'!$K$4="",'Data Entry'!$F8996='Visual SPC'!$K$4)),1,0))</f>
        <v/>
      </c>
      <c r="C8996">
        <f>C8995+B8996</f>
        <v/>
      </c>
      <c r="D8996">
        <f>IF(B8996=1,INDEX('Data Entry'!$H$5:$BE$10004,8996-4,'Visual SPC'!$B$3),"")</f>
        <v/>
      </c>
      <c r="E8996">
        <f>IF(B8996=1,D8996,E8995)</f>
        <v/>
      </c>
      <c r="F8996">
        <f>IF(AND(B8996=1,C8996&gt;1,E8995&lt;&gt;""),ABS(D8996-E8995),"")</f>
        <v/>
      </c>
    </row>
    <row r="8997">
      <c r="A8997" t="n">
        <v>8997</v>
      </c>
      <c r="B8997">
        <f>IF(INDEX('Data Entry'!$H$5:$BE$10004,8997-4,'Visual SPC'!$B$3)="",0,IF(AND(OR('Visual SPC'!$C$4="",'Data Entry'!$C8997&gt;='Visual SPC'!$C$4),OR('Visual SPC'!$E$4="",'Data Entry'!$C8997&lt;='Visual SPC'!$E$4),OR('Visual SPC'!$G$4="",'Data Entry'!$D8997='Visual SPC'!$G$4),OR('Visual SPC'!$I$4="",'Data Entry'!$E8997='Visual SPC'!$I$4),OR('Visual SPC'!$K$4="",'Data Entry'!$F8997='Visual SPC'!$K$4)),1,0))</f>
        <v/>
      </c>
      <c r="C8997">
        <f>C8996+B8997</f>
        <v/>
      </c>
      <c r="D8997">
        <f>IF(B8997=1,INDEX('Data Entry'!$H$5:$BE$10004,8997-4,'Visual SPC'!$B$3),"")</f>
        <v/>
      </c>
      <c r="E8997">
        <f>IF(B8997=1,D8997,E8996)</f>
        <v/>
      </c>
      <c r="F8997">
        <f>IF(AND(B8997=1,C8997&gt;1,E8996&lt;&gt;""),ABS(D8997-E8996),"")</f>
        <v/>
      </c>
    </row>
    <row r="8998">
      <c r="A8998" t="n">
        <v>8998</v>
      </c>
      <c r="B8998">
        <f>IF(INDEX('Data Entry'!$H$5:$BE$10004,8998-4,'Visual SPC'!$B$3)="",0,IF(AND(OR('Visual SPC'!$C$4="",'Data Entry'!$C8998&gt;='Visual SPC'!$C$4),OR('Visual SPC'!$E$4="",'Data Entry'!$C8998&lt;='Visual SPC'!$E$4),OR('Visual SPC'!$G$4="",'Data Entry'!$D8998='Visual SPC'!$G$4),OR('Visual SPC'!$I$4="",'Data Entry'!$E8998='Visual SPC'!$I$4),OR('Visual SPC'!$K$4="",'Data Entry'!$F8998='Visual SPC'!$K$4)),1,0))</f>
        <v/>
      </c>
      <c r="C8998">
        <f>C8997+B8998</f>
        <v/>
      </c>
      <c r="D8998">
        <f>IF(B8998=1,INDEX('Data Entry'!$H$5:$BE$10004,8998-4,'Visual SPC'!$B$3),"")</f>
        <v/>
      </c>
      <c r="E8998">
        <f>IF(B8998=1,D8998,E8997)</f>
        <v/>
      </c>
      <c r="F8998">
        <f>IF(AND(B8998=1,C8998&gt;1,E8997&lt;&gt;""),ABS(D8998-E8997),"")</f>
        <v/>
      </c>
    </row>
    <row r="8999">
      <c r="A8999" t="n">
        <v>8999</v>
      </c>
      <c r="B8999">
        <f>IF(INDEX('Data Entry'!$H$5:$BE$10004,8999-4,'Visual SPC'!$B$3)="",0,IF(AND(OR('Visual SPC'!$C$4="",'Data Entry'!$C8999&gt;='Visual SPC'!$C$4),OR('Visual SPC'!$E$4="",'Data Entry'!$C8999&lt;='Visual SPC'!$E$4),OR('Visual SPC'!$G$4="",'Data Entry'!$D8999='Visual SPC'!$G$4),OR('Visual SPC'!$I$4="",'Data Entry'!$E8999='Visual SPC'!$I$4),OR('Visual SPC'!$K$4="",'Data Entry'!$F8999='Visual SPC'!$K$4)),1,0))</f>
        <v/>
      </c>
      <c r="C8999">
        <f>C8998+B8999</f>
        <v/>
      </c>
      <c r="D8999">
        <f>IF(B8999=1,INDEX('Data Entry'!$H$5:$BE$10004,8999-4,'Visual SPC'!$B$3),"")</f>
        <v/>
      </c>
      <c r="E8999">
        <f>IF(B8999=1,D8999,E8998)</f>
        <v/>
      </c>
      <c r="F8999">
        <f>IF(AND(B8999=1,C8999&gt;1,E8998&lt;&gt;""),ABS(D8999-E8998),"")</f>
        <v/>
      </c>
    </row>
    <row r="9000">
      <c r="A9000" t="n">
        <v>9000</v>
      </c>
      <c r="B9000">
        <f>IF(INDEX('Data Entry'!$H$5:$BE$10004,9000-4,'Visual SPC'!$B$3)="",0,IF(AND(OR('Visual SPC'!$C$4="",'Data Entry'!$C9000&gt;='Visual SPC'!$C$4),OR('Visual SPC'!$E$4="",'Data Entry'!$C9000&lt;='Visual SPC'!$E$4),OR('Visual SPC'!$G$4="",'Data Entry'!$D9000='Visual SPC'!$G$4),OR('Visual SPC'!$I$4="",'Data Entry'!$E9000='Visual SPC'!$I$4),OR('Visual SPC'!$K$4="",'Data Entry'!$F9000='Visual SPC'!$K$4)),1,0))</f>
        <v/>
      </c>
      <c r="C9000">
        <f>C8999+B9000</f>
        <v/>
      </c>
      <c r="D9000">
        <f>IF(B9000=1,INDEX('Data Entry'!$H$5:$BE$10004,9000-4,'Visual SPC'!$B$3),"")</f>
        <v/>
      </c>
      <c r="E9000">
        <f>IF(B9000=1,D9000,E8999)</f>
        <v/>
      </c>
      <c r="F9000">
        <f>IF(AND(B9000=1,C9000&gt;1,E8999&lt;&gt;""),ABS(D9000-E8999),"")</f>
        <v/>
      </c>
    </row>
    <row r="9001">
      <c r="A9001" t="n">
        <v>9001</v>
      </c>
      <c r="B9001">
        <f>IF(INDEX('Data Entry'!$H$5:$BE$10004,9001-4,'Visual SPC'!$B$3)="",0,IF(AND(OR('Visual SPC'!$C$4="",'Data Entry'!$C9001&gt;='Visual SPC'!$C$4),OR('Visual SPC'!$E$4="",'Data Entry'!$C9001&lt;='Visual SPC'!$E$4),OR('Visual SPC'!$G$4="",'Data Entry'!$D9001='Visual SPC'!$G$4),OR('Visual SPC'!$I$4="",'Data Entry'!$E9001='Visual SPC'!$I$4),OR('Visual SPC'!$K$4="",'Data Entry'!$F9001='Visual SPC'!$K$4)),1,0))</f>
        <v/>
      </c>
      <c r="C9001">
        <f>C9000+B9001</f>
        <v/>
      </c>
      <c r="D9001">
        <f>IF(B9001=1,INDEX('Data Entry'!$H$5:$BE$10004,9001-4,'Visual SPC'!$B$3),"")</f>
        <v/>
      </c>
      <c r="E9001">
        <f>IF(B9001=1,D9001,E9000)</f>
        <v/>
      </c>
      <c r="F9001">
        <f>IF(AND(B9001=1,C9001&gt;1,E9000&lt;&gt;""),ABS(D9001-E9000),"")</f>
        <v/>
      </c>
    </row>
    <row r="9002">
      <c r="A9002" t="n">
        <v>9002</v>
      </c>
      <c r="B9002">
        <f>IF(INDEX('Data Entry'!$H$5:$BE$10004,9002-4,'Visual SPC'!$B$3)="",0,IF(AND(OR('Visual SPC'!$C$4="",'Data Entry'!$C9002&gt;='Visual SPC'!$C$4),OR('Visual SPC'!$E$4="",'Data Entry'!$C9002&lt;='Visual SPC'!$E$4),OR('Visual SPC'!$G$4="",'Data Entry'!$D9002='Visual SPC'!$G$4),OR('Visual SPC'!$I$4="",'Data Entry'!$E9002='Visual SPC'!$I$4),OR('Visual SPC'!$K$4="",'Data Entry'!$F9002='Visual SPC'!$K$4)),1,0))</f>
        <v/>
      </c>
      <c r="C9002">
        <f>C9001+B9002</f>
        <v/>
      </c>
      <c r="D9002">
        <f>IF(B9002=1,INDEX('Data Entry'!$H$5:$BE$10004,9002-4,'Visual SPC'!$B$3),"")</f>
        <v/>
      </c>
      <c r="E9002">
        <f>IF(B9002=1,D9002,E9001)</f>
        <v/>
      </c>
      <c r="F9002">
        <f>IF(AND(B9002=1,C9002&gt;1,E9001&lt;&gt;""),ABS(D9002-E9001),"")</f>
        <v/>
      </c>
    </row>
    <row r="9003">
      <c r="A9003" t="n">
        <v>9003</v>
      </c>
      <c r="B9003">
        <f>IF(INDEX('Data Entry'!$H$5:$BE$10004,9003-4,'Visual SPC'!$B$3)="",0,IF(AND(OR('Visual SPC'!$C$4="",'Data Entry'!$C9003&gt;='Visual SPC'!$C$4),OR('Visual SPC'!$E$4="",'Data Entry'!$C9003&lt;='Visual SPC'!$E$4),OR('Visual SPC'!$G$4="",'Data Entry'!$D9003='Visual SPC'!$G$4),OR('Visual SPC'!$I$4="",'Data Entry'!$E9003='Visual SPC'!$I$4),OR('Visual SPC'!$K$4="",'Data Entry'!$F9003='Visual SPC'!$K$4)),1,0))</f>
        <v/>
      </c>
      <c r="C9003">
        <f>C9002+B9003</f>
        <v/>
      </c>
      <c r="D9003">
        <f>IF(B9003=1,INDEX('Data Entry'!$H$5:$BE$10004,9003-4,'Visual SPC'!$B$3),"")</f>
        <v/>
      </c>
      <c r="E9003">
        <f>IF(B9003=1,D9003,E9002)</f>
        <v/>
      </c>
      <c r="F9003">
        <f>IF(AND(B9003=1,C9003&gt;1,E9002&lt;&gt;""),ABS(D9003-E9002),"")</f>
        <v/>
      </c>
    </row>
    <row r="9004">
      <c r="A9004" t="n">
        <v>9004</v>
      </c>
      <c r="B9004">
        <f>IF(INDEX('Data Entry'!$H$5:$BE$10004,9004-4,'Visual SPC'!$B$3)="",0,IF(AND(OR('Visual SPC'!$C$4="",'Data Entry'!$C9004&gt;='Visual SPC'!$C$4),OR('Visual SPC'!$E$4="",'Data Entry'!$C9004&lt;='Visual SPC'!$E$4),OR('Visual SPC'!$G$4="",'Data Entry'!$D9004='Visual SPC'!$G$4),OR('Visual SPC'!$I$4="",'Data Entry'!$E9004='Visual SPC'!$I$4),OR('Visual SPC'!$K$4="",'Data Entry'!$F9004='Visual SPC'!$K$4)),1,0))</f>
        <v/>
      </c>
      <c r="C9004">
        <f>C9003+B9004</f>
        <v/>
      </c>
      <c r="D9004">
        <f>IF(B9004=1,INDEX('Data Entry'!$H$5:$BE$10004,9004-4,'Visual SPC'!$B$3),"")</f>
        <v/>
      </c>
      <c r="E9004">
        <f>IF(B9004=1,D9004,E9003)</f>
        <v/>
      </c>
      <c r="F9004">
        <f>IF(AND(B9004=1,C9004&gt;1,E9003&lt;&gt;""),ABS(D9004-E9003),"")</f>
        <v/>
      </c>
    </row>
    <row r="9005">
      <c r="A9005" t="n">
        <v>9005</v>
      </c>
      <c r="B9005">
        <f>IF(INDEX('Data Entry'!$H$5:$BE$10004,9005-4,'Visual SPC'!$B$3)="",0,IF(AND(OR('Visual SPC'!$C$4="",'Data Entry'!$C9005&gt;='Visual SPC'!$C$4),OR('Visual SPC'!$E$4="",'Data Entry'!$C9005&lt;='Visual SPC'!$E$4),OR('Visual SPC'!$G$4="",'Data Entry'!$D9005='Visual SPC'!$G$4),OR('Visual SPC'!$I$4="",'Data Entry'!$E9005='Visual SPC'!$I$4),OR('Visual SPC'!$K$4="",'Data Entry'!$F9005='Visual SPC'!$K$4)),1,0))</f>
        <v/>
      </c>
      <c r="C9005">
        <f>C9004+B9005</f>
        <v/>
      </c>
      <c r="D9005">
        <f>IF(B9005=1,INDEX('Data Entry'!$H$5:$BE$10004,9005-4,'Visual SPC'!$B$3),"")</f>
        <v/>
      </c>
      <c r="E9005">
        <f>IF(B9005=1,D9005,E9004)</f>
        <v/>
      </c>
      <c r="F9005">
        <f>IF(AND(B9005=1,C9005&gt;1,E9004&lt;&gt;""),ABS(D9005-E9004),"")</f>
        <v/>
      </c>
    </row>
    <row r="9006">
      <c r="A9006" t="n">
        <v>9006</v>
      </c>
      <c r="B9006">
        <f>IF(INDEX('Data Entry'!$H$5:$BE$10004,9006-4,'Visual SPC'!$B$3)="",0,IF(AND(OR('Visual SPC'!$C$4="",'Data Entry'!$C9006&gt;='Visual SPC'!$C$4),OR('Visual SPC'!$E$4="",'Data Entry'!$C9006&lt;='Visual SPC'!$E$4),OR('Visual SPC'!$G$4="",'Data Entry'!$D9006='Visual SPC'!$G$4),OR('Visual SPC'!$I$4="",'Data Entry'!$E9006='Visual SPC'!$I$4),OR('Visual SPC'!$K$4="",'Data Entry'!$F9006='Visual SPC'!$K$4)),1,0))</f>
        <v/>
      </c>
      <c r="C9006">
        <f>C9005+B9006</f>
        <v/>
      </c>
      <c r="D9006">
        <f>IF(B9006=1,INDEX('Data Entry'!$H$5:$BE$10004,9006-4,'Visual SPC'!$B$3),"")</f>
        <v/>
      </c>
      <c r="E9006">
        <f>IF(B9006=1,D9006,E9005)</f>
        <v/>
      </c>
      <c r="F9006">
        <f>IF(AND(B9006=1,C9006&gt;1,E9005&lt;&gt;""),ABS(D9006-E9005),"")</f>
        <v/>
      </c>
    </row>
    <row r="9007">
      <c r="A9007" t="n">
        <v>9007</v>
      </c>
      <c r="B9007">
        <f>IF(INDEX('Data Entry'!$H$5:$BE$10004,9007-4,'Visual SPC'!$B$3)="",0,IF(AND(OR('Visual SPC'!$C$4="",'Data Entry'!$C9007&gt;='Visual SPC'!$C$4),OR('Visual SPC'!$E$4="",'Data Entry'!$C9007&lt;='Visual SPC'!$E$4),OR('Visual SPC'!$G$4="",'Data Entry'!$D9007='Visual SPC'!$G$4),OR('Visual SPC'!$I$4="",'Data Entry'!$E9007='Visual SPC'!$I$4),OR('Visual SPC'!$K$4="",'Data Entry'!$F9007='Visual SPC'!$K$4)),1,0))</f>
        <v/>
      </c>
      <c r="C9007">
        <f>C9006+B9007</f>
        <v/>
      </c>
      <c r="D9007">
        <f>IF(B9007=1,INDEX('Data Entry'!$H$5:$BE$10004,9007-4,'Visual SPC'!$B$3),"")</f>
        <v/>
      </c>
      <c r="E9007">
        <f>IF(B9007=1,D9007,E9006)</f>
        <v/>
      </c>
      <c r="F9007">
        <f>IF(AND(B9007=1,C9007&gt;1,E9006&lt;&gt;""),ABS(D9007-E9006),"")</f>
        <v/>
      </c>
    </row>
    <row r="9008">
      <c r="A9008" t="n">
        <v>9008</v>
      </c>
      <c r="B9008">
        <f>IF(INDEX('Data Entry'!$H$5:$BE$10004,9008-4,'Visual SPC'!$B$3)="",0,IF(AND(OR('Visual SPC'!$C$4="",'Data Entry'!$C9008&gt;='Visual SPC'!$C$4),OR('Visual SPC'!$E$4="",'Data Entry'!$C9008&lt;='Visual SPC'!$E$4),OR('Visual SPC'!$G$4="",'Data Entry'!$D9008='Visual SPC'!$G$4),OR('Visual SPC'!$I$4="",'Data Entry'!$E9008='Visual SPC'!$I$4),OR('Visual SPC'!$K$4="",'Data Entry'!$F9008='Visual SPC'!$K$4)),1,0))</f>
        <v/>
      </c>
      <c r="C9008">
        <f>C9007+B9008</f>
        <v/>
      </c>
      <c r="D9008">
        <f>IF(B9008=1,INDEX('Data Entry'!$H$5:$BE$10004,9008-4,'Visual SPC'!$B$3),"")</f>
        <v/>
      </c>
      <c r="E9008">
        <f>IF(B9008=1,D9008,E9007)</f>
        <v/>
      </c>
      <c r="F9008">
        <f>IF(AND(B9008=1,C9008&gt;1,E9007&lt;&gt;""),ABS(D9008-E9007),"")</f>
        <v/>
      </c>
    </row>
    <row r="9009">
      <c r="A9009" t="n">
        <v>9009</v>
      </c>
      <c r="B9009">
        <f>IF(INDEX('Data Entry'!$H$5:$BE$10004,9009-4,'Visual SPC'!$B$3)="",0,IF(AND(OR('Visual SPC'!$C$4="",'Data Entry'!$C9009&gt;='Visual SPC'!$C$4),OR('Visual SPC'!$E$4="",'Data Entry'!$C9009&lt;='Visual SPC'!$E$4),OR('Visual SPC'!$G$4="",'Data Entry'!$D9009='Visual SPC'!$G$4),OR('Visual SPC'!$I$4="",'Data Entry'!$E9009='Visual SPC'!$I$4),OR('Visual SPC'!$K$4="",'Data Entry'!$F9009='Visual SPC'!$K$4)),1,0))</f>
        <v/>
      </c>
      <c r="C9009">
        <f>C9008+B9009</f>
        <v/>
      </c>
      <c r="D9009">
        <f>IF(B9009=1,INDEX('Data Entry'!$H$5:$BE$10004,9009-4,'Visual SPC'!$B$3),"")</f>
        <v/>
      </c>
      <c r="E9009">
        <f>IF(B9009=1,D9009,E9008)</f>
        <v/>
      </c>
      <c r="F9009">
        <f>IF(AND(B9009=1,C9009&gt;1,E9008&lt;&gt;""),ABS(D9009-E9008),"")</f>
        <v/>
      </c>
    </row>
    <row r="9010">
      <c r="A9010" t="n">
        <v>9010</v>
      </c>
      <c r="B9010">
        <f>IF(INDEX('Data Entry'!$H$5:$BE$10004,9010-4,'Visual SPC'!$B$3)="",0,IF(AND(OR('Visual SPC'!$C$4="",'Data Entry'!$C9010&gt;='Visual SPC'!$C$4),OR('Visual SPC'!$E$4="",'Data Entry'!$C9010&lt;='Visual SPC'!$E$4),OR('Visual SPC'!$G$4="",'Data Entry'!$D9010='Visual SPC'!$G$4),OR('Visual SPC'!$I$4="",'Data Entry'!$E9010='Visual SPC'!$I$4),OR('Visual SPC'!$K$4="",'Data Entry'!$F9010='Visual SPC'!$K$4)),1,0))</f>
        <v/>
      </c>
      <c r="C9010">
        <f>C9009+B9010</f>
        <v/>
      </c>
      <c r="D9010">
        <f>IF(B9010=1,INDEX('Data Entry'!$H$5:$BE$10004,9010-4,'Visual SPC'!$B$3),"")</f>
        <v/>
      </c>
      <c r="E9010">
        <f>IF(B9010=1,D9010,E9009)</f>
        <v/>
      </c>
      <c r="F9010">
        <f>IF(AND(B9010=1,C9010&gt;1,E9009&lt;&gt;""),ABS(D9010-E9009),"")</f>
        <v/>
      </c>
    </row>
    <row r="9011">
      <c r="A9011" t="n">
        <v>9011</v>
      </c>
      <c r="B9011">
        <f>IF(INDEX('Data Entry'!$H$5:$BE$10004,9011-4,'Visual SPC'!$B$3)="",0,IF(AND(OR('Visual SPC'!$C$4="",'Data Entry'!$C9011&gt;='Visual SPC'!$C$4),OR('Visual SPC'!$E$4="",'Data Entry'!$C9011&lt;='Visual SPC'!$E$4),OR('Visual SPC'!$G$4="",'Data Entry'!$D9011='Visual SPC'!$G$4),OR('Visual SPC'!$I$4="",'Data Entry'!$E9011='Visual SPC'!$I$4),OR('Visual SPC'!$K$4="",'Data Entry'!$F9011='Visual SPC'!$K$4)),1,0))</f>
        <v/>
      </c>
      <c r="C9011">
        <f>C9010+B9011</f>
        <v/>
      </c>
      <c r="D9011">
        <f>IF(B9011=1,INDEX('Data Entry'!$H$5:$BE$10004,9011-4,'Visual SPC'!$B$3),"")</f>
        <v/>
      </c>
      <c r="E9011">
        <f>IF(B9011=1,D9011,E9010)</f>
        <v/>
      </c>
      <c r="F9011">
        <f>IF(AND(B9011=1,C9011&gt;1,E9010&lt;&gt;""),ABS(D9011-E9010),"")</f>
        <v/>
      </c>
    </row>
    <row r="9012">
      <c r="A9012" t="n">
        <v>9012</v>
      </c>
      <c r="B9012">
        <f>IF(INDEX('Data Entry'!$H$5:$BE$10004,9012-4,'Visual SPC'!$B$3)="",0,IF(AND(OR('Visual SPC'!$C$4="",'Data Entry'!$C9012&gt;='Visual SPC'!$C$4),OR('Visual SPC'!$E$4="",'Data Entry'!$C9012&lt;='Visual SPC'!$E$4),OR('Visual SPC'!$G$4="",'Data Entry'!$D9012='Visual SPC'!$G$4),OR('Visual SPC'!$I$4="",'Data Entry'!$E9012='Visual SPC'!$I$4),OR('Visual SPC'!$K$4="",'Data Entry'!$F9012='Visual SPC'!$K$4)),1,0))</f>
        <v/>
      </c>
      <c r="C9012">
        <f>C9011+B9012</f>
        <v/>
      </c>
      <c r="D9012">
        <f>IF(B9012=1,INDEX('Data Entry'!$H$5:$BE$10004,9012-4,'Visual SPC'!$B$3),"")</f>
        <v/>
      </c>
      <c r="E9012">
        <f>IF(B9012=1,D9012,E9011)</f>
        <v/>
      </c>
      <c r="F9012">
        <f>IF(AND(B9012=1,C9012&gt;1,E9011&lt;&gt;""),ABS(D9012-E9011),"")</f>
        <v/>
      </c>
    </row>
    <row r="9013">
      <c r="A9013" t="n">
        <v>9013</v>
      </c>
      <c r="B9013">
        <f>IF(INDEX('Data Entry'!$H$5:$BE$10004,9013-4,'Visual SPC'!$B$3)="",0,IF(AND(OR('Visual SPC'!$C$4="",'Data Entry'!$C9013&gt;='Visual SPC'!$C$4),OR('Visual SPC'!$E$4="",'Data Entry'!$C9013&lt;='Visual SPC'!$E$4),OR('Visual SPC'!$G$4="",'Data Entry'!$D9013='Visual SPC'!$G$4),OR('Visual SPC'!$I$4="",'Data Entry'!$E9013='Visual SPC'!$I$4),OR('Visual SPC'!$K$4="",'Data Entry'!$F9013='Visual SPC'!$K$4)),1,0))</f>
        <v/>
      </c>
      <c r="C9013">
        <f>C9012+B9013</f>
        <v/>
      </c>
      <c r="D9013">
        <f>IF(B9013=1,INDEX('Data Entry'!$H$5:$BE$10004,9013-4,'Visual SPC'!$B$3),"")</f>
        <v/>
      </c>
      <c r="E9013">
        <f>IF(B9013=1,D9013,E9012)</f>
        <v/>
      </c>
      <c r="F9013">
        <f>IF(AND(B9013=1,C9013&gt;1,E9012&lt;&gt;""),ABS(D9013-E9012),"")</f>
        <v/>
      </c>
    </row>
    <row r="9014">
      <c r="A9014" t="n">
        <v>9014</v>
      </c>
      <c r="B9014">
        <f>IF(INDEX('Data Entry'!$H$5:$BE$10004,9014-4,'Visual SPC'!$B$3)="",0,IF(AND(OR('Visual SPC'!$C$4="",'Data Entry'!$C9014&gt;='Visual SPC'!$C$4),OR('Visual SPC'!$E$4="",'Data Entry'!$C9014&lt;='Visual SPC'!$E$4),OR('Visual SPC'!$G$4="",'Data Entry'!$D9014='Visual SPC'!$G$4),OR('Visual SPC'!$I$4="",'Data Entry'!$E9014='Visual SPC'!$I$4),OR('Visual SPC'!$K$4="",'Data Entry'!$F9014='Visual SPC'!$K$4)),1,0))</f>
        <v/>
      </c>
      <c r="C9014">
        <f>C9013+B9014</f>
        <v/>
      </c>
      <c r="D9014">
        <f>IF(B9014=1,INDEX('Data Entry'!$H$5:$BE$10004,9014-4,'Visual SPC'!$B$3),"")</f>
        <v/>
      </c>
      <c r="E9014">
        <f>IF(B9014=1,D9014,E9013)</f>
        <v/>
      </c>
      <c r="F9014">
        <f>IF(AND(B9014=1,C9014&gt;1,E9013&lt;&gt;""),ABS(D9014-E9013),"")</f>
        <v/>
      </c>
    </row>
    <row r="9015">
      <c r="A9015" t="n">
        <v>9015</v>
      </c>
      <c r="B9015">
        <f>IF(INDEX('Data Entry'!$H$5:$BE$10004,9015-4,'Visual SPC'!$B$3)="",0,IF(AND(OR('Visual SPC'!$C$4="",'Data Entry'!$C9015&gt;='Visual SPC'!$C$4),OR('Visual SPC'!$E$4="",'Data Entry'!$C9015&lt;='Visual SPC'!$E$4),OR('Visual SPC'!$G$4="",'Data Entry'!$D9015='Visual SPC'!$G$4),OR('Visual SPC'!$I$4="",'Data Entry'!$E9015='Visual SPC'!$I$4),OR('Visual SPC'!$K$4="",'Data Entry'!$F9015='Visual SPC'!$K$4)),1,0))</f>
        <v/>
      </c>
      <c r="C9015">
        <f>C9014+B9015</f>
        <v/>
      </c>
      <c r="D9015">
        <f>IF(B9015=1,INDEX('Data Entry'!$H$5:$BE$10004,9015-4,'Visual SPC'!$B$3),"")</f>
        <v/>
      </c>
      <c r="E9015">
        <f>IF(B9015=1,D9015,E9014)</f>
        <v/>
      </c>
      <c r="F9015">
        <f>IF(AND(B9015=1,C9015&gt;1,E9014&lt;&gt;""),ABS(D9015-E9014),"")</f>
        <v/>
      </c>
    </row>
    <row r="9016">
      <c r="A9016" t="n">
        <v>9016</v>
      </c>
      <c r="B9016">
        <f>IF(INDEX('Data Entry'!$H$5:$BE$10004,9016-4,'Visual SPC'!$B$3)="",0,IF(AND(OR('Visual SPC'!$C$4="",'Data Entry'!$C9016&gt;='Visual SPC'!$C$4),OR('Visual SPC'!$E$4="",'Data Entry'!$C9016&lt;='Visual SPC'!$E$4),OR('Visual SPC'!$G$4="",'Data Entry'!$D9016='Visual SPC'!$G$4),OR('Visual SPC'!$I$4="",'Data Entry'!$E9016='Visual SPC'!$I$4),OR('Visual SPC'!$K$4="",'Data Entry'!$F9016='Visual SPC'!$K$4)),1,0))</f>
        <v/>
      </c>
      <c r="C9016">
        <f>C9015+B9016</f>
        <v/>
      </c>
      <c r="D9016">
        <f>IF(B9016=1,INDEX('Data Entry'!$H$5:$BE$10004,9016-4,'Visual SPC'!$B$3),"")</f>
        <v/>
      </c>
      <c r="E9016">
        <f>IF(B9016=1,D9016,E9015)</f>
        <v/>
      </c>
      <c r="F9016">
        <f>IF(AND(B9016=1,C9016&gt;1,E9015&lt;&gt;""),ABS(D9016-E9015),"")</f>
        <v/>
      </c>
    </row>
    <row r="9017">
      <c r="A9017" t="n">
        <v>9017</v>
      </c>
      <c r="B9017">
        <f>IF(INDEX('Data Entry'!$H$5:$BE$10004,9017-4,'Visual SPC'!$B$3)="",0,IF(AND(OR('Visual SPC'!$C$4="",'Data Entry'!$C9017&gt;='Visual SPC'!$C$4),OR('Visual SPC'!$E$4="",'Data Entry'!$C9017&lt;='Visual SPC'!$E$4),OR('Visual SPC'!$G$4="",'Data Entry'!$D9017='Visual SPC'!$G$4),OR('Visual SPC'!$I$4="",'Data Entry'!$E9017='Visual SPC'!$I$4),OR('Visual SPC'!$K$4="",'Data Entry'!$F9017='Visual SPC'!$K$4)),1,0))</f>
        <v/>
      </c>
      <c r="C9017">
        <f>C9016+B9017</f>
        <v/>
      </c>
      <c r="D9017">
        <f>IF(B9017=1,INDEX('Data Entry'!$H$5:$BE$10004,9017-4,'Visual SPC'!$B$3),"")</f>
        <v/>
      </c>
      <c r="E9017">
        <f>IF(B9017=1,D9017,E9016)</f>
        <v/>
      </c>
      <c r="F9017">
        <f>IF(AND(B9017=1,C9017&gt;1,E9016&lt;&gt;""),ABS(D9017-E9016),"")</f>
        <v/>
      </c>
    </row>
    <row r="9018">
      <c r="A9018" t="n">
        <v>9018</v>
      </c>
      <c r="B9018">
        <f>IF(INDEX('Data Entry'!$H$5:$BE$10004,9018-4,'Visual SPC'!$B$3)="",0,IF(AND(OR('Visual SPC'!$C$4="",'Data Entry'!$C9018&gt;='Visual SPC'!$C$4),OR('Visual SPC'!$E$4="",'Data Entry'!$C9018&lt;='Visual SPC'!$E$4),OR('Visual SPC'!$G$4="",'Data Entry'!$D9018='Visual SPC'!$G$4),OR('Visual SPC'!$I$4="",'Data Entry'!$E9018='Visual SPC'!$I$4),OR('Visual SPC'!$K$4="",'Data Entry'!$F9018='Visual SPC'!$K$4)),1,0))</f>
        <v/>
      </c>
      <c r="C9018">
        <f>C9017+B9018</f>
        <v/>
      </c>
      <c r="D9018">
        <f>IF(B9018=1,INDEX('Data Entry'!$H$5:$BE$10004,9018-4,'Visual SPC'!$B$3),"")</f>
        <v/>
      </c>
      <c r="E9018">
        <f>IF(B9018=1,D9018,E9017)</f>
        <v/>
      </c>
      <c r="F9018">
        <f>IF(AND(B9018=1,C9018&gt;1,E9017&lt;&gt;""),ABS(D9018-E9017),"")</f>
        <v/>
      </c>
    </row>
    <row r="9019">
      <c r="A9019" t="n">
        <v>9019</v>
      </c>
      <c r="B9019">
        <f>IF(INDEX('Data Entry'!$H$5:$BE$10004,9019-4,'Visual SPC'!$B$3)="",0,IF(AND(OR('Visual SPC'!$C$4="",'Data Entry'!$C9019&gt;='Visual SPC'!$C$4),OR('Visual SPC'!$E$4="",'Data Entry'!$C9019&lt;='Visual SPC'!$E$4),OR('Visual SPC'!$G$4="",'Data Entry'!$D9019='Visual SPC'!$G$4),OR('Visual SPC'!$I$4="",'Data Entry'!$E9019='Visual SPC'!$I$4),OR('Visual SPC'!$K$4="",'Data Entry'!$F9019='Visual SPC'!$K$4)),1,0))</f>
        <v/>
      </c>
      <c r="C9019">
        <f>C9018+B9019</f>
        <v/>
      </c>
      <c r="D9019">
        <f>IF(B9019=1,INDEX('Data Entry'!$H$5:$BE$10004,9019-4,'Visual SPC'!$B$3),"")</f>
        <v/>
      </c>
      <c r="E9019">
        <f>IF(B9019=1,D9019,E9018)</f>
        <v/>
      </c>
      <c r="F9019">
        <f>IF(AND(B9019=1,C9019&gt;1,E9018&lt;&gt;""),ABS(D9019-E9018),"")</f>
        <v/>
      </c>
    </row>
    <row r="9020">
      <c r="A9020" t="n">
        <v>9020</v>
      </c>
      <c r="B9020">
        <f>IF(INDEX('Data Entry'!$H$5:$BE$10004,9020-4,'Visual SPC'!$B$3)="",0,IF(AND(OR('Visual SPC'!$C$4="",'Data Entry'!$C9020&gt;='Visual SPC'!$C$4),OR('Visual SPC'!$E$4="",'Data Entry'!$C9020&lt;='Visual SPC'!$E$4),OR('Visual SPC'!$G$4="",'Data Entry'!$D9020='Visual SPC'!$G$4),OR('Visual SPC'!$I$4="",'Data Entry'!$E9020='Visual SPC'!$I$4),OR('Visual SPC'!$K$4="",'Data Entry'!$F9020='Visual SPC'!$K$4)),1,0))</f>
        <v/>
      </c>
      <c r="C9020">
        <f>C9019+B9020</f>
        <v/>
      </c>
      <c r="D9020">
        <f>IF(B9020=1,INDEX('Data Entry'!$H$5:$BE$10004,9020-4,'Visual SPC'!$B$3),"")</f>
        <v/>
      </c>
      <c r="E9020">
        <f>IF(B9020=1,D9020,E9019)</f>
        <v/>
      </c>
      <c r="F9020">
        <f>IF(AND(B9020=1,C9020&gt;1,E9019&lt;&gt;""),ABS(D9020-E9019),"")</f>
        <v/>
      </c>
    </row>
    <row r="9021">
      <c r="A9021" t="n">
        <v>9021</v>
      </c>
      <c r="B9021">
        <f>IF(INDEX('Data Entry'!$H$5:$BE$10004,9021-4,'Visual SPC'!$B$3)="",0,IF(AND(OR('Visual SPC'!$C$4="",'Data Entry'!$C9021&gt;='Visual SPC'!$C$4),OR('Visual SPC'!$E$4="",'Data Entry'!$C9021&lt;='Visual SPC'!$E$4),OR('Visual SPC'!$G$4="",'Data Entry'!$D9021='Visual SPC'!$G$4),OR('Visual SPC'!$I$4="",'Data Entry'!$E9021='Visual SPC'!$I$4),OR('Visual SPC'!$K$4="",'Data Entry'!$F9021='Visual SPC'!$K$4)),1,0))</f>
        <v/>
      </c>
      <c r="C9021">
        <f>C9020+B9021</f>
        <v/>
      </c>
      <c r="D9021">
        <f>IF(B9021=1,INDEX('Data Entry'!$H$5:$BE$10004,9021-4,'Visual SPC'!$B$3),"")</f>
        <v/>
      </c>
      <c r="E9021">
        <f>IF(B9021=1,D9021,E9020)</f>
        <v/>
      </c>
      <c r="F9021">
        <f>IF(AND(B9021=1,C9021&gt;1,E9020&lt;&gt;""),ABS(D9021-E9020),"")</f>
        <v/>
      </c>
    </row>
    <row r="9022">
      <c r="A9022" t="n">
        <v>9022</v>
      </c>
      <c r="B9022">
        <f>IF(INDEX('Data Entry'!$H$5:$BE$10004,9022-4,'Visual SPC'!$B$3)="",0,IF(AND(OR('Visual SPC'!$C$4="",'Data Entry'!$C9022&gt;='Visual SPC'!$C$4),OR('Visual SPC'!$E$4="",'Data Entry'!$C9022&lt;='Visual SPC'!$E$4),OR('Visual SPC'!$G$4="",'Data Entry'!$D9022='Visual SPC'!$G$4),OR('Visual SPC'!$I$4="",'Data Entry'!$E9022='Visual SPC'!$I$4),OR('Visual SPC'!$K$4="",'Data Entry'!$F9022='Visual SPC'!$K$4)),1,0))</f>
        <v/>
      </c>
      <c r="C9022">
        <f>C9021+B9022</f>
        <v/>
      </c>
      <c r="D9022">
        <f>IF(B9022=1,INDEX('Data Entry'!$H$5:$BE$10004,9022-4,'Visual SPC'!$B$3),"")</f>
        <v/>
      </c>
      <c r="E9022">
        <f>IF(B9022=1,D9022,E9021)</f>
        <v/>
      </c>
      <c r="F9022">
        <f>IF(AND(B9022=1,C9022&gt;1,E9021&lt;&gt;""),ABS(D9022-E9021),"")</f>
        <v/>
      </c>
    </row>
    <row r="9023">
      <c r="A9023" t="n">
        <v>9023</v>
      </c>
      <c r="B9023">
        <f>IF(INDEX('Data Entry'!$H$5:$BE$10004,9023-4,'Visual SPC'!$B$3)="",0,IF(AND(OR('Visual SPC'!$C$4="",'Data Entry'!$C9023&gt;='Visual SPC'!$C$4),OR('Visual SPC'!$E$4="",'Data Entry'!$C9023&lt;='Visual SPC'!$E$4),OR('Visual SPC'!$G$4="",'Data Entry'!$D9023='Visual SPC'!$G$4),OR('Visual SPC'!$I$4="",'Data Entry'!$E9023='Visual SPC'!$I$4),OR('Visual SPC'!$K$4="",'Data Entry'!$F9023='Visual SPC'!$K$4)),1,0))</f>
        <v/>
      </c>
      <c r="C9023">
        <f>C9022+B9023</f>
        <v/>
      </c>
      <c r="D9023">
        <f>IF(B9023=1,INDEX('Data Entry'!$H$5:$BE$10004,9023-4,'Visual SPC'!$B$3),"")</f>
        <v/>
      </c>
      <c r="E9023">
        <f>IF(B9023=1,D9023,E9022)</f>
        <v/>
      </c>
      <c r="F9023">
        <f>IF(AND(B9023=1,C9023&gt;1,E9022&lt;&gt;""),ABS(D9023-E9022),"")</f>
        <v/>
      </c>
    </row>
    <row r="9024">
      <c r="A9024" t="n">
        <v>9024</v>
      </c>
      <c r="B9024">
        <f>IF(INDEX('Data Entry'!$H$5:$BE$10004,9024-4,'Visual SPC'!$B$3)="",0,IF(AND(OR('Visual SPC'!$C$4="",'Data Entry'!$C9024&gt;='Visual SPC'!$C$4),OR('Visual SPC'!$E$4="",'Data Entry'!$C9024&lt;='Visual SPC'!$E$4),OR('Visual SPC'!$G$4="",'Data Entry'!$D9024='Visual SPC'!$G$4),OR('Visual SPC'!$I$4="",'Data Entry'!$E9024='Visual SPC'!$I$4),OR('Visual SPC'!$K$4="",'Data Entry'!$F9024='Visual SPC'!$K$4)),1,0))</f>
        <v/>
      </c>
      <c r="C9024">
        <f>C9023+B9024</f>
        <v/>
      </c>
      <c r="D9024">
        <f>IF(B9024=1,INDEX('Data Entry'!$H$5:$BE$10004,9024-4,'Visual SPC'!$B$3),"")</f>
        <v/>
      </c>
      <c r="E9024">
        <f>IF(B9024=1,D9024,E9023)</f>
        <v/>
      </c>
      <c r="F9024">
        <f>IF(AND(B9024=1,C9024&gt;1,E9023&lt;&gt;""),ABS(D9024-E9023),"")</f>
        <v/>
      </c>
    </row>
    <row r="9025">
      <c r="A9025" t="n">
        <v>9025</v>
      </c>
      <c r="B9025">
        <f>IF(INDEX('Data Entry'!$H$5:$BE$10004,9025-4,'Visual SPC'!$B$3)="",0,IF(AND(OR('Visual SPC'!$C$4="",'Data Entry'!$C9025&gt;='Visual SPC'!$C$4),OR('Visual SPC'!$E$4="",'Data Entry'!$C9025&lt;='Visual SPC'!$E$4),OR('Visual SPC'!$G$4="",'Data Entry'!$D9025='Visual SPC'!$G$4),OR('Visual SPC'!$I$4="",'Data Entry'!$E9025='Visual SPC'!$I$4),OR('Visual SPC'!$K$4="",'Data Entry'!$F9025='Visual SPC'!$K$4)),1,0))</f>
        <v/>
      </c>
      <c r="C9025">
        <f>C9024+B9025</f>
        <v/>
      </c>
      <c r="D9025">
        <f>IF(B9025=1,INDEX('Data Entry'!$H$5:$BE$10004,9025-4,'Visual SPC'!$B$3),"")</f>
        <v/>
      </c>
      <c r="E9025">
        <f>IF(B9025=1,D9025,E9024)</f>
        <v/>
      </c>
      <c r="F9025">
        <f>IF(AND(B9025=1,C9025&gt;1,E9024&lt;&gt;""),ABS(D9025-E9024),"")</f>
        <v/>
      </c>
    </row>
    <row r="9026">
      <c r="A9026" t="n">
        <v>9026</v>
      </c>
      <c r="B9026">
        <f>IF(INDEX('Data Entry'!$H$5:$BE$10004,9026-4,'Visual SPC'!$B$3)="",0,IF(AND(OR('Visual SPC'!$C$4="",'Data Entry'!$C9026&gt;='Visual SPC'!$C$4),OR('Visual SPC'!$E$4="",'Data Entry'!$C9026&lt;='Visual SPC'!$E$4),OR('Visual SPC'!$G$4="",'Data Entry'!$D9026='Visual SPC'!$G$4),OR('Visual SPC'!$I$4="",'Data Entry'!$E9026='Visual SPC'!$I$4),OR('Visual SPC'!$K$4="",'Data Entry'!$F9026='Visual SPC'!$K$4)),1,0))</f>
        <v/>
      </c>
      <c r="C9026">
        <f>C9025+B9026</f>
        <v/>
      </c>
      <c r="D9026">
        <f>IF(B9026=1,INDEX('Data Entry'!$H$5:$BE$10004,9026-4,'Visual SPC'!$B$3),"")</f>
        <v/>
      </c>
      <c r="E9026">
        <f>IF(B9026=1,D9026,E9025)</f>
        <v/>
      </c>
      <c r="F9026">
        <f>IF(AND(B9026=1,C9026&gt;1,E9025&lt;&gt;""),ABS(D9026-E9025),"")</f>
        <v/>
      </c>
    </row>
    <row r="9027">
      <c r="A9027" t="n">
        <v>9027</v>
      </c>
      <c r="B9027">
        <f>IF(INDEX('Data Entry'!$H$5:$BE$10004,9027-4,'Visual SPC'!$B$3)="",0,IF(AND(OR('Visual SPC'!$C$4="",'Data Entry'!$C9027&gt;='Visual SPC'!$C$4),OR('Visual SPC'!$E$4="",'Data Entry'!$C9027&lt;='Visual SPC'!$E$4),OR('Visual SPC'!$G$4="",'Data Entry'!$D9027='Visual SPC'!$G$4),OR('Visual SPC'!$I$4="",'Data Entry'!$E9027='Visual SPC'!$I$4),OR('Visual SPC'!$K$4="",'Data Entry'!$F9027='Visual SPC'!$K$4)),1,0))</f>
        <v/>
      </c>
      <c r="C9027">
        <f>C9026+B9027</f>
        <v/>
      </c>
      <c r="D9027">
        <f>IF(B9027=1,INDEX('Data Entry'!$H$5:$BE$10004,9027-4,'Visual SPC'!$B$3),"")</f>
        <v/>
      </c>
      <c r="E9027">
        <f>IF(B9027=1,D9027,E9026)</f>
        <v/>
      </c>
      <c r="F9027">
        <f>IF(AND(B9027=1,C9027&gt;1,E9026&lt;&gt;""),ABS(D9027-E9026),"")</f>
        <v/>
      </c>
    </row>
    <row r="9028">
      <c r="A9028" t="n">
        <v>9028</v>
      </c>
      <c r="B9028">
        <f>IF(INDEX('Data Entry'!$H$5:$BE$10004,9028-4,'Visual SPC'!$B$3)="",0,IF(AND(OR('Visual SPC'!$C$4="",'Data Entry'!$C9028&gt;='Visual SPC'!$C$4),OR('Visual SPC'!$E$4="",'Data Entry'!$C9028&lt;='Visual SPC'!$E$4),OR('Visual SPC'!$G$4="",'Data Entry'!$D9028='Visual SPC'!$G$4),OR('Visual SPC'!$I$4="",'Data Entry'!$E9028='Visual SPC'!$I$4),OR('Visual SPC'!$K$4="",'Data Entry'!$F9028='Visual SPC'!$K$4)),1,0))</f>
        <v/>
      </c>
      <c r="C9028">
        <f>C9027+B9028</f>
        <v/>
      </c>
      <c r="D9028">
        <f>IF(B9028=1,INDEX('Data Entry'!$H$5:$BE$10004,9028-4,'Visual SPC'!$B$3),"")</f>
        <v/>
      </c>
      <c r="E9028">
        <f>IF(B9028=1,D9028,E9027)</f>
        <v/>
      </c>
      <c r="F9028">
        <f>IF(AND(B9028=1,C9028&gt;1,E9027&lt;&gt;""),ABS(D9028-E9027),"")</f>
        <v/>
      </c>
    </row>
    <row r="9029">
      <c r="A9029" t="n">
        <v>9029</v>
      </c>
      <c r="B9029">
        <f>IF(INDEX('Data Entry'!$H$5:$BE$10004,9029-4,'Visual SPC'!$B$3)="",0,IF(AND(OR('Visual SPC'!$C$4="",'Data Entry'!$C9029&gt;='Visual SPC'!$C$4),OR('Visual SPC'!$E$4="",'Data Entry'!$C9029&lt;='Visual SPC'!$E$4),OR('Visual SPC'!$G$4="",'Data Entry'!$D9029='Visual SPC'!$G$4),OR('Visual SPC'!$I$4="",'Data Entry'!$E9029='Visual SPC'!$I$4),OR('Visual SPC'!$K$4="",'Data Entry'!$F9029='Visual SPC'!$K$4)),1,0))</f>
        <v/>
      </c>
      <c r="C9029">
        <f>C9028+B9029</f>
        <v/>
      </c>
      <c r="D9029">
        <f>IF(B9029=1,INDEX('Data Entry'!$H$5:$BE$10004,9029-4,'Visual SPC'!$B$3),"")</f>
        <v/>
      </c>
      <c r="E9029">
        <f>IF(B9029=1,D9029,E9028)</f>
        <v/>
      </c>
      <c r="F9029">
        <f>IF(AND(B9029=1,C9029&gt;1,E9028&lt;&gt;""),ABS(D9029-E9028),"")</f>
        <v/>
      </c>
    </row>
    <row r="9030">
      <c r="A9030" t="n">
        <v>9030</v>
      </c>
      <c r="B9030">
        <f>IF(INDEX('Data Entry'!$H$5:$BE$10004,9030-4,'Visual SPC'!$B$3)="",0,IF(AND(OR('Visual SPC'!$C$4="",'Data Entry'!$C9030&gt;='Visual SPC'!$C$4),OR('Visual SPC'!$E$4="",'Data Entry'!$C9030&lt;='Visual SPC'!$E$4),OR('Visual SPC'!$G$4="",'Data Entry'!$D9030='Visual SPC'!$G$4),OR('Visual SPC'!$I$4="",'Data Entry'!$E9030='Visual SPC'!$I$4),OR('Visual SPC'!$K$4="",'Data Entry'!$F9030='Visual SPC'!$K$4)),1,0))</f>
        <v/>
      </c>
      <c r="C9030">
        <f>C9029+B9030</f>
        <v/>
      </c>
      <c r="D9030">
        <f>IF(B9030=1,INDEX('Data Entry'!$H$5:$BE$10004,9030-4,'Visual SPC'!$B$3),"")</f>
        <v/>
      </c>
      <c r="E9030">
        <f>IF(B9030=1,D9030,E9029)</f>
        <v/>
      </c>
      <c r="F9030">
        <f>IF(AND(B9030=1,C9030&gt;1,E9029&lt;&gt;""),ABS(D9030-E9029),"")</f>
        <v/>
      </c>
    </row>
    <row r="9031">
      <c r="A9031" t="n">
        <v>9031</v>
      </c>
      <c r="B9031">
        <f>IF(INDEX('Data Entry'!$H$5:$BE$10004,9031-4,'Visual SPC'!$B$3)="",0,IF(AND(OR('Visual SPC'!$C$4="",'Data Entry'!$C9031&gt;='Visual SPC'!$C$4),OR('Visual SPC'!$E$4="",'Data Entry'!$C9031&lt;='Visual SPC'!$E$4),OR('Visual SPC'!$G$4="",'Data Entry'!$D9031='Visual SPC'!$G$4),OR('Visual SPC'!$I$4="",'Data Entry'!$E9031='Visual SPC'!$I$4),OR('Visual SPC'!$K$4="",'Data Entry'!$F9031='Visual SPC'!$K$4)),1,0))</f>
        <v/>
      </c>
      <c r="C9031">
        <f>C9030+B9031</f>
        <v/>
      </c>
      <c r="D9031">
        <f>IF(B9031=1,INDEX('Data Entry'!$H$5:$BE$10004,9031-4,'Visual SPC'!$B$3),"")</f>
        <v/>
      </c>
      <c r="E9031">
        <f>IF(B9031=1,D9031,E9030)</f>
        <v/>
      </c>
      <c r="F9031">
        <f>IF(AND(B9031=1,C9031&gt;1,E9030&lt;&gt;""),ABS(D9031-E9030),"")</f>
        <v/>
      </c>
    </row>
    <row r="9032">
      <c r="A9032" t="n">
        <v>9032</v>
      </c>
      <c r="B9032">
        <f>IF(INDEX('Data Entry'!$H$5:$BE$10004,9032-4,'Visual SPC'!$B$3)="",0,IF(AND(OR('Visual SPC'!$C$4="",'Data Entry'!$C9032&gt;='Visual SPC'!$C$4),OR('Visual SPC'!$E$4="",'Data Entry'!$C9032&lt;='Visual SPC'!$E$4),OR('Visual SPC'!$G$4="",'Data Entry'!$D9032='Visual SPC'!$G$4),OR('Visual SPC'!$I$4="",'Data Entry'!$E9032='Visual SPC'!$I$4),OR('Visual SPC'!$K$4="",'Data Entry'!$F9032='Visual SPC'!$K$4)),1,0))</f>
        <v/>
      </c>
      <c r="C9032">
        <f>C9031+B9032</f>
        <v/>
      </c>
      <c r="D9032">
        <f>IF(B9032=1,INDEX('Data Entry'!$H$5:$BE$10004,9032-4,'Visual SPC'!$B$3),"")</f>
        <v/>
      </c>
      <c r="E9032">
        <f>IF(B9032=1,D9032,E9031)</f>
        <v/>
      </c>
      <c r="F9032">
        <f>IF(AND(B9032=1,C9032&gt;1,E9031&lt;&gt;""),ABS(D9032-E9031),"")</f>
        <v/>
      </c>
    </row>
    <row r="9033">
      <c r="A9033" t="n">
        <v>9033</v>
      </c>
      <c r="B9033">
        <f>IF(INDEX('Data Entry'!$H$5:$BE$10004,9033-4,'Visual SPC'!$B$3)="",0,IF(AND(OR('Visual SPC'!$C$4="",'Data Entry'!$C9033&gt;='Visual SPC'!$C$4),OR('Visual SPC'!$E$4="",'Data Entry'!$C9033&lt;='Visual SPC'!$E$4),OR('Visual SPC'!$G$4="",'Data Entry'!$D9033='Visual SPC'!$G$4),OR('Visual SPC'!$I$4="",'Data Entry'!$E9033='Visual SPC'!$I$4),OR('Visual SPC'!$K$4="",'Data Entry'!$F9033='Visual SPC'!$K$4)),1,0))</f>
        <v/>
      </c>
      <c r="C9033">
        <f>C9032+B9033</f>
        <v/>
      </c>
      <c r="D9033">
        <f>IF(B9033=1,INDEX('Data Entry'!$H$5:$BE$10004,9033-4,'Visual SPC'!$B$3),"")</f>
        <v/>
      </c>
      <c r="E9033">
        <f>IF(B9033=1,D9033,E9032)</f>
        <v/>
      </c>
      <c r="F9033">
        <f>IF(AND(B9033=1,C9033&gt;1,E9032&lt;&gt;""),ABS(D9033-E9032),"")</f>
        <v/>
      </c>
    </row>
    <row r="9034">
      <c r="A9034" t="n">
        <v>9034</v>
      </c>
      <c r="B9034">
        <f>IF(INDEX('Data Entry'!$H$5:$BE$10004,9034-4,'Visual SPC'!$B$3)="",0,IF(AND(OR('Visual SPC'!$C$4="",'Data Entry'!$C9034&gt;='Visual SPC'!$C$4),OR('Visual SPC'!$E$4="",'Data Entry'!$C9034&lt;='Visual SPC'!$E$4),OR('Visual SPC'!$G$4="",'Data Entry'!$D9034='Visual SPC'!$G$4),OR('Visual SPC'!$I$4="",'Data Entry'!$E9034='Visual SPC'!$I$4),OR('Visual SPC'!$K$4="",'Data Entry'!$F9034='Visual SPC'!$K$4)),1,0))</f>
        <v/>
      </c>
      <c r="C9034">
        <f>C9033+B9034</f>
        <v/>
      </c>
      <c r="D9034">
        <f>IF(B9034=1,INDEX('Data Entry'!$H$5:$BE$10004,9034-4,'Visual SPC'!$B$3),"")</f>
        <v/>
      </c>
      <c r="E9034">
        <f>IF(B9034=1,D9034,E9033)</f>
        <v/>
      </c>
      <c r="F9034">
        <f>IF(AND(B9034=1,C9034&gt;1,E9033&lt;&gt;""),ABS(D9034-E9033),"")</f>
        <v/>
      </c>
    </row>
    <row r="9035">
      <c r="A9035" t="n">
        <v>9035</v>
      </c>
      <c r="B9035">
        <f>IF(INDEX('Data Entry'!$H$5:$BE$10004,9035-4,'Visual SPC'!$B$3)="",0,IF(AND(OR('Visual SPC'!$C$4="",'Data Entry'!$C9035&gt;='Visual SPC'!$C$4),OR('Visual SPC'!$E$4="",'Data Entry'!$C9035&lt;='Visual SPC'!$E$4),OR('Visual SPC'!$G$4="",'Data Entry'!$D9035='Visual SPC'!$G$4),OR('Visual SPC'!$I$4="",'Data Entry'!$E9035='Visual SPC'!$I$4),OR('Visual SPC'!$K$4="",'Data Entry'!$F9035='Visual SPC'!$K$4)),1,0))</f>
        <v/>
      </c>
      <c r="C9035">
        <f>C9034+B9035</f>
        <v/>
      </c>
      <c r="D9035">
        <f>IF(B9035=1,INDEX('Data Entry'!$H$5:$BE$10004,9035-4,'Visual SPC'!$B$3),"")</f>
        <v/>
      </c>
      <c r="E9035">
        <f>IF(B9035=1,D9035,E9034)</f>
        <v/>
      </c>
      <c r="F9035">
        <f>IF(AND(B9035=1,C9035&gt;1,E9034&lt;&gt;""),ABS(D9035-E9034),"")</f>
        <v/>
      </c>
    </row>
    <row r="9036">
      <c r="A9036" t="n">
        <v>9036</v>
      </c>
      <c r="B9036">
        <f>IF(INDEX('Data Entry'!$H$5:$BE$10004,9036-4,'Visual SPC'!$B$3)="",0,IF(AND(OR('Visual SPC'!$C$4="",'Data Entry'!$C9036&gt;='Visual SPC'!$C$4),OR('Visual SPC'!$E$4="",'Data Entry'!$C9036&lt;='Visual SPC'!$E$4),OR('Visual SPC'!$G$4="",'Data Entry'!$D9036='Visual SPC'!$G$4),OR('Visual SPC'!$I$4="",'Data Entry'!$E9036='Visual SPC'!$I$4),OR('Visual SPC'!$K$4="",'Data Entry'!$F9036='Visual SPC'!$K$4)),1,0))</f>
        <v/>
      </c>
      <c r="C9036">
        <f>C9035+B9036</f>
        <v/>
      </c>
      <c r="D9036">
        <f>IF(B9036=1,INDEX('Data Entry'!$H$5:$BE$10004,9036-4,'Visual SPC'!$B$3),"")</f>
        <v/>
      </c>
      <c r="E9036">
        <f>IF(B9036=1,D9036,E9035)</f>
        <v/>
      </c>
      <c r="F9036">
        <f>IF(AND(B9036=1,C9036&gt;1,E9035&lt;&gt;""),ABS(D9036-E9035),"")</f>
        <v/>
      </c>
    </row>
    <row r="9037">
      <c r="A9037" t="n">
        <v>9037</v>
      </c>
      <c r="B9037">
        <f>IF(INDEX('Data Entry'!$H$5:$BE$10004,9037-4,'Visual SPC'!$B$3)="",0,IF(AND(OR('Visual SPC'!$C$4="",'Data Entry'!$C9037&gt;='Visual SPC'!$C$4),OR('Visual SPC'!$E$4="",'Data Entry'!$C9037&lt;='Visual SPC'!$E$4),OR('Visual SPC'!$G$4="",'Data Entry'!$D9037='Visual SPC'!$G$4),OR('Visual SPC'!$I$4="",'Data Entry'!$E9037='Visual SPC'!$I$4),OR('Visual SPC'!$K$4="",'Data Entry'!$F9037='Visual SPC'!$K$4)),1,0))</f>
        <v/>
      </c>
      <c r="C9037">
        <f>C9036+B9037</f>
        <v/>
      </c>
      <c r="D9037">
        <f>IF(B9037=1,INDEX('Data Entry'!$H$5:$BE$10004,9037-4,'Visual SPC'!$B$3),"")</f>
        <v/>
      </c>
      <c r="E9037">
        <f>IF(B9037=1,D9037,E9036)</f>
        <v/>
      </c>
      <c r="F9037">
        <f>IF(AND(B9037=1,C9037&gt;1,E9036&lt;&gt;""),ABS(D9037-E9036),"")</f>
        <v/>
      </c>
    </row>
    <row r="9038">
      <c r="A9038" t="n">
        <v>9038</v>
      </c>
      <c r="B9038">
        <f>IF(INDEX('Data Entry'!$H$5:$BE$10004,9038-4,'Visual SPC'!$B$3)="",0,IF(AND(OR('Visual SPC'!$C$4="",'Data Entry'!$C9038&gt;='Visual SPC'!$C$4),OR('Visual SPC'!$E$4="",'Data Entry'!$C9038&lt;='Visual SPC'!$E$4),OR('Visual SPC'!$G$4="",'Data Entry'!$D9038='Visual SPC'!$G$4),OR('Visual SPC'!$I$4="",'Data Entry'!$E9038='Visual SPC'!$I$4),OR('Visual SPC'!$K$4="",'Data Entry'!$F9038='Visual SPC'!$K$4)),1,0))</f>
        <v/>
      </c>
      <c r="C9038">
        <f>C9037+B9038</f>
        <v/>
      </c>
      <c r="D9038">
        <f>IF(B9038=1,INDEX('Data Entry'!$H$5:$BE$10004,9038-4,'Visual SPC'!$B$3),"")</f>
        <v/>
      </c>
      <c r="E9038">
        <f>IF(B9038=1,D9038,E9037)</f>
        <v/>
      </c>
      <c r="F9038">
        <f>IF(AND(B9038=1,C9038&gt;1,E9037&lt;&gt;""),ABS(D9038-E9037),"")</f>
        <v/>
      </c>
    </row>
    <row r="9039">
      <c r="A9039" t="n">
        <v>9039</v>
      </c>
      <c r="B9039">
        <f>IF(INDEX('Data Entry'!$H$5:$BE$10004,9039-4,'Visual SPC'!$B$3)="",0,IF(AND(OR('Visual SPC'!$C$4="",'Data Entry'!$C9039&gt;='Visual SPC'!$C$4),OR('Visual SPC'!$E$4="",'Data Entry'!$C9039&lt;='Visual SPC'!$E$4),OR('Visual SPC'!$G$4="",'Data Entry'!$D9039='Visual SPC'!$G$4),OR('Visual SPC'!$I$4="",'Data Entry'!$E9039='Visual SPC'!$I$4),OR('Visual SPC'!$K$4="",'Data Entry'!$F9039='Visual SPC'!$K$4)),1,0))</f>
        <v/>
      </c>
      <c r="C9039">
        <f>C9038+B9039</f>
        <v/>
      </c>
      <c r="D9039">
        <f>IF(B9039=1,INDEX('Data Entry'!$H$5:$BE$10004,9039-4,'Visual SPC'!$B$3),"")</f>
        <v/>
      </c>
      <c r="E9039">
        <f>IF(B9039=1,D9039,E9038)</f>
        <v/>
      </c>
      <c r="F9039">
        <f>IF(AND(B9039=1,C9039&gt;1,E9038&lt;&gt;""),ABS(D9039-E9038),"")</f>
        <v/>
      </c>
    </row>
    <row r="9040">
      <c r="A9040" t="n">
        <v>9040</v>
      </c>
      <c r="B9040">
        <f>IF(INDEX('Data Entry'!$H$5:$BE$10004,9040-4,'Visual SPC'!$B$3)="",0,IF(AND(OR('Visual SPC'!$C$4="",'Data Entry'!$C9040&gt;='Visual SPC'!$C$4),OR('Visual SPC'!$E$4="",'Data Entry'!$C9040&lt;='Visual SPC'!$E$4),OR('Visual SPC'!$G$4="",'Data Entry'!$D9040='Visual SPC'!$G$4),OR('Visual SPC'!$I$4="",'Data Entry'!$E9040='Visual SPC'!$I$4),OR('Visual SPC'!$K$4="",'Data Entry'!$F9040='Visual SPC'!$K$4)),1,0))</f>
        <v/>
      </c>
      <c r="C9040">
        <f>C9039+B9040</f>
        <v/>
      </c>
      <c r="D9040">
        <f>IF(B9040=1,INDEX('Data Entry'!$H$5:$BE$10004,9040-4,'Visual SPC'!$B$3),"")</f>
        <v/>
      </c>
      <c r="E9040">
        <f>IF(B9040=1,D9040,E9039)</f>
        <v/>
      </c>
      <c r="F9040">
        <f>IF(AND(B9040=1,C9040&gt;1,E9039&lt;&gt;""),ABS(D9040-E9039),"")</f>
        <v/>
      </c>
    </row>
    <row r="9041">
      <c r="A9041" t="n">
        <v>9041</v>
      </c>
      <c r="B9041">
        <f>IF(INDEX('Data Entry'!$H$5:$BE$10004,9041-4,'Visual SPC'!$B$3)="",0,IF(AND(OR('Visual SPC'!$C$4="",'Data Entry'!$C9041&gt;='Visual SPC'!$C$4),OR('Visual SPC'!$E$4="",'Data Entry'!$C9041&lt;='Visual SPC'!$E$4),OR('Visual SPC'!$G$4="",'Data Entry'!$D9041='Visual SPC'!$G$4),OR('Visual SPC'!$I$4="",'Data Entry'!$E9041='Visual SPC'!$I$4),OR('Visual SPC'!$K$4="",'Data Entry'!$F9041='Visual SPC'!$K$4)),1,0))</f>
        <v/>
      </c>
      <c r="C9041">
        <f>C9040+B9041</f>
        <v/>
      </c>
      <c r="D9041">
        <f>IF(B9041=1,INDEX('Data Entry'!$H$5:$BE$10004,9041-4,'Visual SPC'!$B$3),"")</f>
        <v/>
      </c>
      <c r="E9041">
        <f>IF(B9041=1,D9041,E9040)</f>
        <v/>
      </c>
      <c r="F9041">
        <f>IF(AND(B9041=1,C9041&gt;1,E9040&lt;&gt;""),ABS(D9041-E9040),"")</f>
        <v/>
      </c>
    </row>
    <row r="9042">
      <c r="A9042" t="n">
        <v>9042</v>
      </c>
      <c r="B9042">
        <f>IF(INDEX('Data Entry'!$H$5:$BE$10004,9042-4,'Visual SPC'!$B$3)="",0,IF(AND(OR('Visual SPC'!$C$4="",'Data Entry'!$C9042&gt;='Visual SPC'!$C$4),OR('Visual SPC'!$E$4="",'Data Entry'!$C9042&lt;='Visual SPC'!$E$4),OR('Visual SPC'!$G$4="",'Data Entry'!$D9042='Visual SPC'!$G$4),OR('Visual SPC'!$I$4="",'Data Entry'!$E9042='Visual SPC'!$I$4),OR('Visual SPC'!$K$4="",'Data Entry'!$F9042='Visual SPC'!$K$4)),1,0))</f>
        <v/>
      </c>
      <c r="C9042">
        <f>C9041+B9042</f>
        <v/>
      </c>
      <c r="D9042">
        <f>IF(B9042=1,INDEX('Data Entry'!$H$5:$BE$10004,9042-4,'Visual SPC'!$B$3),"")</f>
        <v/>
      </c>
      <c r="E9042">
        <f>IF(B9042=1,D9042,E9041)</f>
        <v/>
      </c>
      <c r="F9042">
        <f>IF(AND(B9042=1,C9042&gt;1,E9041&lt;&gt;""),ABS(D9042-E9041),"")</f>
        <v/>
      </c>
    </row>
    <row r="9043">
      <c r="A9043" t="n">
        <v>9043</v>
      </c>
      <c r="B9043">
        <f>IF(INDEX('Data Entry'!$H$5:$BE$10004,9043-4,'Visual SPC'!$B$3)="",0,IF(AND(OR('Visual SPC'!$C$4="",'Data Entry'!$C9043&gt;='Visual SPC'!$C$4),OR('Visual SPC'!$E$4="",'Data Entry'!$C9043&lt;='Visual SPC'!$E$4),OR('Visual SPC'!$G$4="",'Data Entry'!$D9043='Visual SPC'!$G$4),OR('Visual SPC'!$I$4="",'Data Entry'!$E9043='Visual SPC'!$I$4),OR('Visual SPC'!$K$4="",'Data Entry'!$F9043='Visual SPC'!$K$4)),1,0))</f>
        <v/>
      </c>
      <c r="C9043">
        <f>C9042+B9043</f>
        <v/>
      </c>
      <c r="D9043">
        <f>IF(B9043=1,INDEX('Data Entry'!$H$5:$BE$10004,9043-4,'Visual SPC'!$B$3),"")</f>
        <v/>
      </c>
      <c r="E9043">
        <f>IF(B9043=1,D9043,E9042)</f>
        <v/>
      </c>
      <c r="F9043">
        <f>IF(AND(B9043=1,C9043&gt;1,E9042&lt;&gt;""),ABS(D9043-E9042),"")</f>
        <v/>
      </c>
    </row>
    <row r="9044">
      <c r="A9044" t="n">
        <v>9044</v>
      </c>
      <c r="B9044">
        <f>IF(INDEX('Data Entry'!$H$5:$BE$10004,9044-4,'Visual SPC'!$B$3)="",0,IF(AND(OR('Visual SPC'!$C$4="",'Data Entry'!$C9044&gt;='Visual SPC'!$C$4),OR('Visual SPC'!$E$4="",'Data Entry'!$C9044&lt;='Visual SPC'!$E$4),OR('Visual SPC'!$G$4="",'Data Entry'!$D9044='Visual SPC'!$G$4),OR('Visual SPC'!$I$4="",'Data Entry'!$E9044='Visual SPC'!$I$4),OR('Visual SPC'!$K$4="",'Data Entry'!$F9044='Visual SPC'!$K$4)),1,0))</f>
        <v/>
      </c>
      <c r="C9044">
        <f>C9043+B9044</f>
        <v/>
      </c>
      <c r="D9044">
        <f>IF(B9044=1,INDEX('Data Entry'!$H$5:$BE$10004,9044-4,'Visual SPC'!$B$3),"")</f>
        <v/>
      </c>
      <c r="E9044">
        <f>IF(B9044=1,D9044,E9043)</f>
        <v/>
      </c>
      <c r="F9044">
        <f>IF(AND(B9044=1,C9044&gt;1,E9043&lt;&gt;""),ABS(D9044-E9043),"")</f>
        <v/>
      </c>
    </row>
    <row r="9045">
      <c r="A9045" t="n">
        <v>9045</v>
      </c>
      <c r="B9045">
        <f>IF(INDEX('Data Entry'!$H$5:$BE$10004,9045-4,'Visual SPC'!$B$3)="",0,IF(AND(OR('Visual SPC'!$C$4="",'Data Entry'!$C9045&gt;='Visual SPC'!$C$4),OR('Visual SPC'!$E$4="",'Data Entry'!$C9045&lt;='Visual SPC'!$E$4),OR('Visual SPC'!$G$4="",'Data Entry'!$D9045='Visual SPC'!$G$4),OR('Visual SPC'!$I$4="",'Data Entry'!$E9045='Visual SPC'!$I$4),OR('Visual SPC'!$K$4="",'Data Entry'!$F9045='Visual SPC'!$K$4)),1,0))</f>
        <v/>
      </c>
      <c r="C9045">
        <f>C9044+B9045</f>
        <v/>
      </c>
      <c r="D9045">
        <f>IF(B9045=1,INDEX('Data Entry'!$H$5:$BE$10004,9045-4,'Visual SPC'!$B$3),"")</f>
        <v/>
      </c>
      <c r="E9045">
        <f>IF(B9045=1,D9045,E9044)</f>
        <v/>
      </c>
      <c r="F9045">
        <f>IF(AND(B9045=1,C9045&gt;1,E9044&lt;&gt;""),ABS(D9045-E9044),"")</f>
        <v/>
      </c>
    </row>
    <row r="9046">
      <c r="A9046" t="n">
        <v>9046</v>
      </c>
      <c r="B9046">
        <f>IF(INDEX('Data Entry'!$H$5:$BE$10004,9046-4,'Visual SPC'!$B$3)="",0,IF(AND(OR('Visual SPC'!$C$4="",'Data Entry'!$C9046&gt;='Visual SPC'!$C$4),OR('Visual SPC'!$E$4="",'Data Entry'!$C9046&lt;='Visual SPC'!$E$4),OR('Visual SPC'!$G$4="",'Data Entry'!$D9046='Visual SPC'!$G$4),OR('Visual SPC'!$I$4="",'Data Entry'!$E9046='Visual SPC'!$I$4),OR('Visual SPC'!$K$4="",'Data Entry'!$F9046='Visual SPC'!$K$4)),1,0))</f>
        <v/>
      </c>
      <c r="C9046">
        <f>C9045+B9046</f>
        <v/>
      </c>
      <c r="D9046">
        <f>IF(B9046=1,INDEX('Data Entry'!$H$5:$BE$10004,9046-4,'Visual SPC'!$B$3),"")</f>
        <v/>
      </c>
      <c r="E9046">
        <f>IF(B9046=1,D9046,E9045)</f>
        <v/>
      </c>
      <c r="F9046">
        <f>IF(AND(B9046=1,C9046&gt;1,E9045&lt;&gt;""),ABS(D9046-E9045),"")</f>
        <v/>
      </c>
    </row>
    <row r="9047">
      <c r="A9047" t="n">
        <v>9047</v>
      </c>
      <c r="B9047">
        <f>IF(INDEX('Data Entry'!$H$5:$BE$10004,9047-4,'Visual SPC'!$B$3)="",0,IF(AND(OR('Visual SPC'!$C$4="",'Data Entry'!$C9047&gt;='Visual SPC'!$C$4),OR('Visual SPC'!$E$4="",'Data Entry'!$C9047&lt;='Visual SPC'!$E$4),OR('Visual SPC'!$G$4="",'Data Entry'!$D9047='Visual SPC'!$G$4),OR('Visual SPC'!$I$4="",'Data Entry'!$E9047='Visual SPC'!$I$4),OR('Visual SPC'!$K$4="",'Data Entry'!$F9047='Visual SPC'!$K$4)),1,0))</f>
        <v/>
      </c>
      <c r="C9047">
        <f>C9046+B9047</f>
        <v/>
      </c>
      <c r="D9047">
        <f>IF(B9047=1,INDEX('Data Entry'!$H$5:$BE$10004,9047-4,'Visual SPC'!$B$3),"")</f>
        <v/>
      </c>
      <c r="E9047">
        <f>IF(B9047=1,D9047,E9046)</f>
        <v/>
      </c>
      <c r="F9047">
        <f>IF(AND(B9047=1,C9047&gt;1,E9046&lt;&gt;""),ABS(D9047-E9046),"")</f>
        <v/>
      </c>
    </row>
    <row r="9048">
      <c r="A9048" t="n">
        <v>9048</v>
      </c>
      <c r="B9048">
        <f>IF(INDEX('Data Entry'!$H$5:$BE$10004,9048-4,'Visual SPC'!$B$3)="",0,IF(AND(OR('Visual SPC'!$C$4="",'Data Entry'!$C9048&gt;='Visual SPC'!$C$4),OR('Visual SPC'!$E$4="",'Data Entry'!$C9048&lt;='Visual SPC'!$E$4),OR('Visual SPC'!$G$4="",'Data Entry'!$D9048='Visual SPC'!$G$4),OR('Visual SPC'!$I$4="",'Data Entry'!$E9048='Visual SPC'!$I$4),OR('Visual SPC'!$K$4="",'Data Entry'!$F9048='Visual SPC'!$K$4)),1,0))</f>
        <v/>
      </c>
      <c r="C9048">
        <f>C9047+B9048</f>
        <v/>
      </c>
      <c r="D9048">
        <f>IF(B9048=1,INDEX('Data Entry'!$H$5:$BE$10004,9048-4,'Visual SPC'!$B$3),"")</f>
        <v/>
      </c>
      <c r="E9048">
        <f>IF(B9048=1,D9048,E9047)</f>
        <v/>
      </c>
      <c r="F9048">
        <f>IF(AND(B9048=1,C9048&gt;1,E9047&lt;&gt;""),ABS(D9048-E9047),"")</f>
        <v/>
      </c>
    </row>
    <row r="9049">
      <c r="A9049" t="n">
        <v>9049</v>
      </c>
      <c r="B9049">
        <f>IF(INDEX('Data Entry'!$H$5:$BE$10004,9049-4,'Visual SPC'!$B$3)="",0,IF(AND(OR('Visual SPC'!$C$4="",'Data Entry'!$C9049&gt;='Visual SPC'!$C$4),OR('Visual SPC'!$E$4="",'Data Entry'!$C9049&lt;='Visual SPC'!$E$4),OR('Visual SPC'!$G$4="",'Data Entry'!$D9049='Visual SPC'!$G$4),OR('Visual SPC'!$I$4="",'Data Entry'!$E9049='Visual SPC'!$I$4),OR('Visual SPC'!$K$4="",'Data Entry'!$F9049='Visual SPC'!$K$4)),1,0))</f>
        <v/>
      </c>
      <c r="C9049">
        <f>C9048+B9049</f>
        <v/>
      </c>
      <c r="D9049">
        <f>IF(B9049=1,INDEX('Data Entry'!$H$5:$BE$10004,9049-4,'Visual SPC'!$B$3),"")</f>
        <v/>
      </c>
      <c r="E9049">
        <f>IF(B9049=1,D9049,E9048)</f>
        <v/>
      </c>
      <c r="F9049">
        <f>IF(AND(B9049=1,C9049&gt;1,E9048&lt;&gt;""),ABS(D9049-E9048),"")</f>
        <v/>
      </c>
    </row>
    <row r="9050">
      <c r="A9050" t="n">
        <v>9050</v>
      </c>
      <c r="B9050">
        <f>IF(INDEX('Data Entry'!$H$5:$BE$10004,9050-4,'Visual SPC'!$B$3)="",0,IF(AND(OR('Visual SPC'!$C$4="",'Data Entry'!$C9050&gt;='Visual SPC'!$C$4),OR('Visual SPC'!$E$4="",'Data Entry'!$C9050&lt;='Visual SPC'!$E$4),OR('Visual SPC'!$G$4="",'Data Entry'!$D9050='Visual SPC'!$G$4),OR('Visual SPC'!$I$4="",'Data Entry'!$E9050='Visual SPC'!$I$4),OR('Visual SPC'!$K$4="",'Data Entry'!$F9050='Visual SPC'!$K$4)),1,0))</f>
        <v/>
      </c>
      <c r="C9050">
        <f>C9049+B9050</f>
        <v/>
      </c>
      <c r="D9050">
        <f>IF(B9050=1,INDEX('Data Entry'!$H$5:$BE$10004,9050-4,'Visual SPC'!$B$3),"")</f>
        <v/>
      </c>
      <c r="E9050">
        <f>IF(B9050=1,D9050,E9049)</f>
        <v/>
      </c>
      <c r="F9050">
        <f>IF(AND(B9050=1,C9050&gt;1,E9049&lt;&gt;""),ABS(D9050-E9049),"")</f>
        <v/>
      </c>
    </row>
    <row r="9051">
      <c r="A9051" t="n">
        <v>9051</v>
      </c>
      <c r="B9051">
        <f>IF(INDEX('Data Entry'!$H$5:$BE$10004,9051-4,'Visual SPC'!$B$3)="",0,IF(AND(OR('Visual SPC'!$C$4="",'Data Entry'!$C9051&gt;='Visual SPC'!$C$4),OR('Visual SPC'!$E$4="",'Data Entry'!$C9051&lt;='Visual SPC'!$E$4),OR('Visual SPC'!$G$4="",'Data Entry'!$D9051='Visual SPC'!$G$4),OR('Visual SPC'!$I$4="",'Data Entry'!$E9051='Visual SPC'!$I$4),OR('Visual SPC'!$K$4="",'Data Entry'!$F9051='Visual SPC'!$K$4)),1,0))</f>
        <v/>
      </c>
      <c r="C9051">
        <f>C9050+B9051</f>
        <v/>
      </c>
      <c r="D9051">
        <f>IF(B9051=1,INDEX('Data Entry'!$H$5:$BE$10004,9051-4,'Visual SPC'!$B$3),"")</f>
        <v/>
      </c>
      <c r="E9051">
        <f>IF(B9051=1,D9051,E9050)</f>
        <v/>
      </c>
      <c r="F9051">
        <f>IF(AND(B9051=1,C9051&gt;1,E9050&lt;&gt;""),ABS(D9051-E9050),"")</f>
        <v/>
      </c>
    </row>
    <row r="9052">
      <c r="A9052" t="n">
        <v>9052</v>
      </c>
      <c r="B9052">
        <f>IF(INDEX('Data Entry'!$H$5:$BE$10004,9052-4,'Visual SPC'!$B$3)="",0,IF(AND(OR('Visual SPC'!$C$4="",'Data Entry'!$C9052&gt;='Visual SPC'!$C$4),OR('Visual SPC'!$E$4="",'Data Entry'!$C9052&lt;='Visual SPC'!$E$4),OR('Visual SPC'!$G$4="",'Data Entry'!$D9052='Visual SPC'!$G$4),OR('Visual SPC'!$I$4="",'Data Entry'!$E9052='Visual SPC'!$I$4),OR('Visual SPC'!$K$4="",'Data Entry'!$F9052='Visual SPC'!$K$4)),1,0))</f>
        <v/>
      </c>
      <c r="C9052">
        <f>C9051+B9052</f>
        <v/>
      </c>
      <c r="D9052">
        <f>IF(B9052=1,INDEX('Data Entry'!$H$5:$BE$10004,9052-4,'Visual SPC'!$B$3),"")</f>
        <v/>
      </c>
      <c r="E9052">
        <f>IF(B9052=1,D9052,E9051)</f>
        <v/>
      </c>
      <c r="F9052">
        <f>IF(AND(B9052=1,C9052&gt;1,E9051&lt;&gt;""),ABS(D9052-E9051),"")</f>
        <v/>
      </c>
    </row>
    <row r="9053">
      <c r="A9053" t="n">
        <v>9053</v>
      </c>
      <c r="B9053">
        <f>IF(INDEX('Data Entry'!$H$5:$BE$10004,9053-4,'Visual SPC'!$B$3)="",0,IF(AND(OR('Visual SPC'!$C$4="",'Data Entry'!$C9053&gt;='Visual SPC'!$C$4),OR('Visual SPC'!$E$4="",'Data Entry'!$C9053&lt;='Visual SPC'!$E$4),OR('Visual SPC'!$G$4="",'Data Entry'!$D9053='Visual SPC'!$G$4),OR('Visual SPC'!$I$4="",'Data Entry'!$E9053='Visual SPC'!$I$4),OR('Visual SPC'!$K$4="",'Data Entry'!$F9053='Visual SPC'!$K$4)),1,0))</f>
        <v/>
      </c>
      <c r="C9053">
        <f>C9052+B9053</f>
        <v/>
      </c>
      <c r="D9053">
        <f>IF(B9053=1,INDEX('Data Entry'!$H$5:$BE$10004,9053-4,'Visual SPC'!$B$3),"")</f>
        <v/>
      </c>
      <c r="E9053">
        <f>IF(B9053=1,D9053,E9052)</f>
        <v/>
      </c>
      <c r="F9053">
        <f>IF(AND(B9053=1,C9053&gt;1,E9052&lt;&gt;""),ABS(D9053-E9052),"")</f>
        <v/>
      </c>
    </row>
    <row r="9054">
      <c r="A9054" t="n">
        <v>9054</v>
      </c>
      <c r="B9054">
        <f>IF(INDEX('Data Entry'!$H$5:$BE$10004,9054-4,'Visual SPC'!$B$3)="",0,IF(AND(OR('Visual SPC'!$C$4="",'Data Entry'!$C9054&gt;='Visual SPC'!$C$4),OR('Visual SPC'!$E$4="",'Data Entry'!$C9054&lt;='Visual SPC'!$E$4),OR('Visual SPC'!$G$4="",'Data Entry'!$D9054='Visual SPC'!$G$4),OR('Visual SPC'!$I$4="",'Data Entry'!$E9054='Visual SPC'!$I$4),OR('Visual SPC'!$K$4="",'Data Entry'!$F9054='Visual SPC'!$K$4)),1,0))</f>
        <v/>
      </c>
      <c r="C9054">
        <f>C9053+B9054</f>
        <v/>
      </c>
      <c r="D9054">
        <f>IF(B9054=1,INDEX('Data Entry'!$H$5:$BE$10004,9054-4,'Visual SPC'!$B$3),"")</f>
        <v/>
      </c>
      <c r="E9054">
        <f>IF(B9054=1,D9054,E9053)</f>
        <v/>
      </c>
      <c r="F9054">
        <f>IF(AND(B9054=1,C9054&gt;1,E9053&lt;&gt;""),ABS(D9054-E9053),"")</f>
        <v/>
      </c>
    </row>
    <row r="9055">
      <c r="A9055" t="n">
        <v>9055</v>
      </c>
      <c r="B9055">
        <f>IF(INDEX('Data Entry'!$H$5:$BE$10004,9055-4,'Visual SPC'!$B$3)="",0,IF(AND(OR('Visual SPC'!$C$4="",'Data Entry'!$C9055&gt;='Visual SPC'!$C$4),OR('Visual SPC'!$E$4="",'Data Entry'!$C9055&lt;='Visual SPC'!$E$4),OR('Visual SPC'!$G$4="",'Data Entry'!$D9055='Visual SPC'!$G$4),OR('Visual SPC'!$I$4="",'Data Entry'!$E9055='Visual SPC'!$I$4),OR('Visual SPC'!$K$4="",'Data Entry'!$F9055='Visual SPC'!$K$4)),1,0))</f>
        <v/>
      </c>
      <c r="C9055">
        <f>C9054+B9055</f>
        <v/>
      </c>
      <c r="D9055">
        <f>IF(B9055=1,INDEX('Data Entry'!$H$5:$BE$10004,9055-4,'Visual SPC'!$B$3),"")</f>
        <v/>
      </c>
      <c r="E9055">
        <f>IF(B9055=1,D9055,E9054)</f>
        <v/>
      </c>
      <c r="F9055">
        <f>IF(AND(B9055=1,C9055&gt;1,E9054&lt;&gt;""),ABS(D9055-E9054),"")</f>
        <v/>
      </c>
    </row>
    <row r="9056">
      <c r="A9056" t="n">
        <v>9056</v>
      </c>
      <c r="B9056">
        <f>IF(INDEX('Data Entry'!$H$5:$BE$10004,9056-4,'Visual SPC'!$B$3)="",0,IF(AND(OR('Visual SPC'!$C$4="",'Data Entry'!$C9056&gt;='Visual SPC'!$C$4),OR('Visual SPC'!$E$4="",'Data Entry'!$C9056&lt;='Visual SPC'!$E$4),OR('Visual SPC'!$G$4="",'Data Entry'!$D9056='Visual SPC'!$G$4),OR('Visual SPC'!$I$4="",'Data Entry'!$E9056='Visual SPC'!$I$4),OR('Visual SPC'!$K$4="",'Data Entry'!$F9056='Visual SPC'!$K$4)),1,0))</f>
        <v/>
      </c>
      <c r="C9056">
        <f>C9055+B9056</f>
        <v/>
      </c>
      <c r="D9056">
        <f>IF(B9056=1,INDEX('Data Entry'!$H$5:$BE$10004,9056-4,'Visual SPC'!$B$3),"")</f>
        <v/>
      </c>
      <c r="E9056">
        <f>IF(B9056=1,D9056,E9055)</f>
        <v/>
      </c>
      <c r="F9056">
        <f>IF(AND(B9056=1,C9056&gt;1,E9055&lt;&gt;""),ABS(D9056-E9055),"")</f>
        <v/>
      </c>
    </row>
    <row r="9057">
      <c r="A9057" t="n">
        <v>9057</v>
      </c>
      <c r="B9057">
        <f>IF(INDEX('Data Entry'!$H$5:$BE$10004,9057-4,'Visual SPC'!$B$3)="",0,IF(AND(OR('Visual SPC'!$C$4="",'Data Entry'!$C9057&gt;='Visual SPC'!$C$4),OR('Visual SPC'!$E$4="",'Data Entry'!$C9057&lt;='Visual SPC'!$E$4),OR('Visual SPC'!$G$4="",'Data Entry'!$D9057='Visual SPC'!$G$4),OR('Visual SPC'!$I$4="",'Data Entry'!$E9057='Visual SPC'!$I$4),OR('Visual SPC'!$K$4="",'Data Entry'!$F9057='Visual SPC'!$K$4)),1,0))</f>
        <v/>
      </c>
      <c r="C9057">
        <f>C9056+B9057</f>
        <v/>
      </c>
      <c r="D9057">
        <f>IF(B9057=1,INDEX('Data Entry'!$H$5:$BE$10004,9057-4,'Visual SPC'!$B$3),"")</f>
        <v/>
      </c>
      <c r="E9057">
        <f>IF(B9057=1,D9057,E9056)</f>
        <v/>
      </c>
      <c r="F9057">
        <f>IF(AND(B9057=1,C9057&gt;1,E9056&lt;&gt;""),ABS(D9057-E9056),"")</f>
        <v/>
      </c>
    </row>
    <row r="9058">
      <c r="A9058" t="n">
        <v>9058</v>
      </c>
      <c r="B9058">
        <f>IF(INDEX('Data Entry'!$H$5:$BE$10004,9058-4,'Visual SPC'!$B$3)="",0,IF(AND(OR('Visual SPC'!$C$4="",'Data Entry'!$C9058&gt;='Visual SPC'!$C$4),OR('Visual SPC'!$E$4="",'Data Entry'!$C9058&lt;='Visual SPC'!$E$4),OR('Visual SPC'!$G$4="",'Data Entry'!$D9058='Visual SPC'!$G$4),OR('Visual SPC'!$I$4="",'Data Entry'!$E9058='Visual SPC'!$I$4),OR('Visual SPC'!$K$4="",'Data Entry'!$F9058='Visual SPC'!$K$4)),1,0))</f>
        <v/>
      </c>
      <c r="C9058">
        <f>C9057+B9058</f>
        <v/>
      </c>
      <c r="D9058">
        <f>IF(B9058=1,INDEX('Data Entry'!$H$5:$BE$10004,9058-4,'Visual SPC'!$B$3),"")</f>
        <v/>
      </c>
      <c r="E9058">
        <f>IF(B9058=1,D9058,E9057)</f>
        <v/>
      </c>
      <c r="F9058">
        <f>IF(AND(B9058=1,C9058&gt;1,E9057&lt;&gt;""),ABS(D9058-E9057),"")</f>
        <v/>
      </c>
    </row>
    <row r="9059">
      <c r="A9059" t="n">
        <v>9059</v>
      </c>
      <c r="B9059">
        <f>IF(INDEX('Data Entry'!$H$5:$BE$10004,9059-4,'Visual SPC'!$B$3)="",0,IF(AND(OR('Visual SPC'!$C$4="",'Data Entry'!$C9059&gt;='Visual SPC'!$C$4),OR('Visual SPC'!$E$4="",'Data Entry'!$C9059&lt;='Visual SPC'!$E$4),OR('Visual SPC'!$G$4="",'Data Entry'!$D9059='Visual SPC'!$G$4),OR('Visual SPC'!$I$4="",'Data Entry'!$E9059='Visual SPC'!$I$4),OR('Visual SPC'!$K$4="",'Data Entry'!$F9059='Visual SPC'!$K$4)),1,0))</f>
        <v/>
      </c>
      <c r="C9059">
        <f>C9058+B9059</f>
        <v/>
      </c>
      <c r="D9059">
        <f>IF(B9059=1,INDEX('Data Entry'!$H$5:$BE$10004,9059-4,'Visual SPC'!$B$3),"")</f>
        <v/>
      </c>
      <c r="E9059">
        <f>IF(B9059=1,D9059,E9058)</f>
        <v/>
      </c>
      <c r="F9059">
        <f>IF(AND(B9059=1,C9059&gt;1,E9058&lt;&gt;""),ABS(D9059-E9058),"")</f>
        <v/>
      </c>
    </row>
    <row r="9060">
      <c r="A9060" t="n">
        <v>9060</v>
      </c>
      <c r="B9060">
        <f>IF(INDEX('Data Entry'!$H$5:$BE$10004,9060-4,'Visual SPC'!$B$3)="",0,IF(AND(OR('Visual SPC'!$C$4="",'Data Entry'!$C9060&gt;='Visual SPC'!$C$4),OR('Visual SPC'!$E$4="",'Data Entry'!$C9060&lt;='Visual SPC'!$E$4),OR('Visual SPC'!$G$4="",'Data Entry'!$D9060='Visual SPC'!$G$4),OR('Visual SPC'!$I$4="",'Data Entry'!$E9060='Visual SPC'!$I$4),OR('Visual SPC'!$K$4="",'Data Entry'!$F9060='Visual SPC'!$K$4)),1,0))</f>
        <v/>
      </c>
      <c r="C9060">
        <f>C9059+B9060</f>
        <v/>
      </c>
      <c r="D9060">
        <f>IF(B9060=1,INDEX('Data Entry'!$H$5:$BE$10004,9060-4,'Visual SPC'!$B$3),"")</f>
        <v/>
      </c>
      <c r="E9060">
        <f>IF(B9060=1,D9060,E9059)</f>
        <v/>
      </c>
      <c r="F9060">
        <f>IF(AND(B9060=1,C9060&gt;1,E9059&lt;&gt;""),ABS(D9060-E9059),"")</f>
        <v/>
      </c>
    </row>
    <row r="9061">
      <c r="A9061" t="n">
        <v>9061</v>
      </c>
      <c r="B9061">
        <f>IF(INDEX('Data Entry'!$H$5:$BE$10004,9061-4,'Visual SPC'!$B$3)="",0,IF(AND(OR('Visual SPC'!$C$4="",'Data Entry'!$C9061&gt;='Visual SPC'!$C$4),OR('Visual SPC'!$E$4="",'Data Entry'!$C9061&lt;='Visual SPC'!$E$4),OR('Visual SPC'!$G$4="",'Data Entry'!$D9061='Visual SPC'!$G$4),OR('Visual SPC'!$I$4="",'Data Entry'!$E9061='Visual SPC'!$I$4),OR('Visual SPC'!$K$4="",'Data Entry'!$F9061='Visual SPC'!$K$4)),1,0))</f>
        <v/>
      </c>
      <c r="C9061">
        <f>C9060+B9061</f>
        <v/>
      </c>
      <c r="D9061">
        <f>IF(B9061=1,INDEX('Data Entry'!$H$5:$BE$10004,9061-4,'Visual SPC'!$B$3),"")</f>
        <v/>
      </c>
      <c r="E9061">
        <f>IF(B9061=1,D9061,E9060)</f>
        <v/>
      </c>
      <c r="F9061">
        <f>IF(AND(B9061=1,C9061&gt;1,E9060&lt;&gt;""),ABS(D9061-E9060),"")</f>
        <v/>
      </c>
    </row>
    <row r="9062">
      <c r="A9062" t="n">
        <v>9062</v>
      </c>
      <c r="B9062">
        <f>IF(INDEX('Data Entry'!$H$5:$BE$10004,9062-4,'Visual SPC'!$B$3)="",0,IF(AND(OR('Visual SPC'!$C$4="",'Data Entry'!$C9062&gt;='Visual SPC'!$C$4),OR('Visual SPC'!$E$4="",'Data Entry'!$C9062&lt;='Visual SPC'!$E$4),OR('Visual SPC'!$G$4="",'Data Entry'!$D9062='Visual SPC'!$G$4),OR('Visual SPC'!$I$4="",'Data Entry'!$E9062='Visual SPC'!$I$4),OR('Visual SPC'!$K$4="",'Data Entry'!$F9062='Visual SPC'!$K$4)),1,0))</f>
        <v/>
      </c>
      <c r="C9062">
        <f>C9061+B9062</f>
        <v/>
      </c>
      <c r="D9062">
        <f>IF(B9062=1,INDEX('Data Entry'!$H$5:$BE$10004,9062-4,'Visual SPC'!$B$3),"")</f>
        <v/>
      </c>
      <c r="E9062">
        <f>IF(B9062=1,D9062,E9061)</f>
        <v/>
      </c>
      <c r="F9062">
        <f>IF(AND(B9062=1,C9062&gt;1,E9061&lt;&gt;""),ABS(D9062-E9061),"")</f>
        <v/>
      </c>
    </row>
    <row r="9063">
      <c r="A9063" t="n">
        <v>9063</v>
      </c>
      <c r="B9063">
        <f>IF(INDEX('Data Entry'!$H$5:$BE$10004,9063-4,'Visual SPC'!$B$3)="",0,IF(AND(OR('Visual SPC'!$C$4="",'Data Entry'!$C9063&gt;='Visual SPC'!$C$4),OR('Visual SPC'!$E$4="",'Data Entry'!$C9063&lt;='Visual SPC'!$E$4),OR('Visual SPC'!$G$4="",'Data Entry'!$D9063='Visual SPC'!$G$4),OR('Visual SPC'!$I$4="",'Data Entry'!$E9063='Visual SPC'!$I$4),OR('Visual SPC'!$K$4="",'Data Entry'!$F9063='Visual SPC'!$K$4)),1,0))</f>
        <v/>
      </c>
      <c r="C9063">
        <f>C9062+B9063</f>
        <v/>
      </c>
      <c r="D9063">
        <f>IF(B9063=1,INDEX('Data Entry'!$H$5:$BE$10004,9063-4,'Visual SPC'!$B$3),"")</f>
        <v/>
      </c>
      <c r="E9063">
        <f>IF(B9063=1,D9063,E9062)</f>
        <v/>
      </c>
      <c r="F9063">
        <f>IF(AND(B9063=1,C9063&gt;1,E9062&lt;&gt;""),ABS(D9063-E9062),"")</f>
        <v/>
      </c>
    </row>
    <row r="9064">
      <c r="A9064" t="n">
        <v>9064</v>
      </c>
      <c r="B9064">
        <f>IF(INDEX('Data Entry'!$H$5:$BE$10004,9064-4,'Visual SPC'!$B$3)="",0,IF(AND(OR('Visual SPC'!$C$4="",'Data Entry'!$C9064&gt;='Visual SPC'!$C$4),OR('Visual SPC'!$E$4="",'Data Entry'!$C9064&lt;='Visual SPC'!$E$4),OR('Visual SPC'!$G$4="",'Data Entry'!$D9064='Visual SPC'!$G$4),OR('Visual SPC'!$I$4="",'Data Entry'!$E9064='Visual SPC'!$I$4),OR('Visual SPC'!$K$4="",'Data Entry'!$F9064='Visual SPC'!$K$4)),1,0))</f>
        <v/>
      </c>
      <c r="C9064">
        <f>C9063+B9064</f>
        <v/>
      </c>
      <c r="D9064">
        <f>IF(B9064=1,INDEX('Data Entry'!$H$5:$BE$10004,9064-4,'Visual SPC'!$B$3),"")</f>
        <v/>
      </c>
      <c r="E9064">
        <f>IF(B9064=1,D9064,E9063)</f>
        <v/>
      </c>
      <c r="F9064">
        <f>IF(AND(B9064=1,C9064&gt;1,E9063&lt;&gt;""),ABS(D9064-E9063),"")</f>
        <v/>
      </c>
    </row>
    <row r="9065">
      <c r="A9065" t="n">
        <v>9065</v>
      </c>
      <c r="B9065">
        <f>IF(INDEX('Data Entry'!$H$5:$BE$10004,9065-4,'Visual SPC'!$B$3)="",0,IF(AND(OR('Visual SPC'!$C$4="",'Data Entry'!$C9065&gt;='Visual SPC'!$C$4),OR('Visual SPC'!$E$4="",'Data Entry'!$C9065&lt;='Visual SPC'!$E$4),OR('Visual SPC'!$G$4="",'Data Entry'!$D9065='Visual SPC'!$G$4),OR('Visual SPC'!$I$4="",'Data Entry'!$E9065='Visual SPC'!$I$4),OR('Visual SPC'!$K$4="",'Data Entry'!$F9065='Visual SPC'!$K$4)),1,0))</f>
        <v/>
      </c>
      <c r="C9065">
        <f>C9064+B9065</f>
        <v/>
      </c>
      <c r="D9065">
        <f>IF(B9065=1,INDEX('Data Entry'!$H$5:$BE$10004,9065-4,'Visual SPC'!$B$3),"")</f>
        <v/>
      </c>
      <c r="E9065">
        <f>IF(B9065=1,D9065,E9064)</f>
        <v/>
      </c>
      <c r="F9065">
        <f>IF(AND(B9065=1,C9065&gt;1,E9064&lt;&gt;""),ABS(D9065-E9064),"")</f>
        <v/>
      </c>
    </row>
    <row r="9066">
      <c r="A9066" t="n">
        <v>9066</v>
      </c>
      <c r="B9066">
        <f>IF(INDEX('Data Entry'!$H$5:$BE$10004,9066-4,'Visual SPC'!$B$3)="",0,IF(AND(OR('Visual SPC'!$C$4="",'Data Entry'!$C9066&gt;='Visual SPC'!$C$4),OR('Visual SPC'!$E$4="",'Data Entry'!$C9066&lt;='Visual SPC'!$E$4),OR('Visual SPC'!$G$4="",'Data Entry'!$D9066='Visual SPC'!$G$4),OR('Visual SPC'!$I$4="",'Data Entry'!$E9066='Visual SPC'!$I$4),OR('Visual SPC'!$K$4="",'Data Entry'!$F9066='Visual SPC'!$K$4)),1,0))</f>
        <v/>
      </c>
      <c r="C9066">
        <f>C9065+B9066</f>
        <v/>
      </c>
      <c r="D9066">
        <f>IF(B9066=1,INDEX('Data Entry'!$H$5:$BE$10004,9066-4,'Visual SPC'!$B$3),"")</f>
        <v/>
      </c>
      <c r="E9066">
        <f>IF(B9066=1,D9066,E9065)</f>
        <v/>
      </c>
      <c r="F9066">
        <f>IF(AND(B9066=1,C9066&gt;1,E9065&lt;&gt;""),ABS(D9066-E9065),"")</f>
        <v/>
      </c>
    </row>
    <row r="9067">
      <c r="A9067" t="n">
        <v>9067</v>
      </c>
      <c r="B9067">
        <f>IF(INDEX('Data Entry'!$H$5:$BE$10004,9067-4,'Visual SPC'!$B$3)="",0,IF(AND(OR('Visual SPC'!$C$4="",'Data Entry'!$C9067&gt;='Visual SPC'!$C$4),OR('Visual SPC'!$E$4="",'Data Entry'!$C9067&lt;='Visual SPC'!$E$4),OR('Visual SPC'!$G$4="",'Data Entry'!$D9067='Visual SPC'!$G$4),OR('Visual SPC'!$I$4="",'Data Entry'!$E9067='Visual SPC'!$I$4),OR('Visual SPC'!$K$4="",'Data Entry'!$F9067='Visual SPC'!$K$4)),1,0))</f>
        <v/>
      </c>
      <c r="C9067">
        <f>C9066+B9067</f>
        <v/>
      </c>
      <c r="D9067">
        <f>IF(B9067=1,INDEX('Data Entry'!$H$5:$BE$10004,9067-4,'Visual SPC'!$B$3),"")</f>
        <v/>
      </c>
      <c r="E9067">
        <f>IF(B9067=1,D9067,E9066)</f>
        <v/>
      </c>
      <c r="F9067">
        <f>IF(AND(B9067=1,C9067&gt;1,E9066&lt;&gt;""),ABS(D9067-E9066),"")</f>
        <v/>
      </c>
    </row>
    <row r="9068">
      <c r="A9068" t="n">
        <v>9068</v>
      </c>
      <c r="B9068">
        <f>IF(INDEX('Data Entry'!$H$5:$BE$10004,9068-4,'Visual SPC'!$B$3)="",0,IF(AND(OR('Visual SPC'!$C$4="",'Data Entry'!$C9068&gt;='Visual SPC'!$C$4),OR('Visual SPC'!$E$4="",'Data Entry'!$C9068&lt;='Visual SPC'!$E$4),OR('Visual SPC'!$G$4="",'Data Entry'!$D9068='Visual SPC'!$G$4),OR('Visual SPC'!$I$4="",'Data Entry'!$E9068='Visual SPC'!$I$4),OR('Visual SPC'!$K$4="",'Data Entry'!$F9068='Visual SPC'!$K$4)),1,0))</f>
        <v/>
      </c>
      <c r="C9068">
        <f>C9067+B9068</f>
        <v/>
      </c>
      <c r="D9068">
        <f>IF(B9068=1,INDEX('Data Entry'!$H$5:$BE$10004,9068-4,'Visual SPC'!$B$3),"")</f>
        <v/>
      </c>
      <c r="E9068">
        <f>IF(B9068=1,D9068,E9067)</f>
        <v/>
      </c>
      <c r="F9068">
        <f>IF(AND(B9068=1,C9068&gt;1,E9067&lt;&gt;""),ABS(D9068-E9067),"")</f>
        <v/>
      </c>
    </row>
    <row r="9069">
      <c r="A9069" t="n">
        <v>9069</v>
      </c>
      <c r="B9069">
        <f>IF(INDEX('Data Entry'!$H$5:$BE$10004,9069-4,'Visual SPC'!$B$3)="",0,IF(AND(OR('Visual SPC'!$C$4="",'Data Entry'!$C9069&gt;='Visual SPC'!$C$4),OR('Visual SPC'!$E$4="",'Data Entry'!$C9069&lt;='Visual SPC'!$E$4),OR('Visual SPC'!$G$4="",'Data Entry'!$D9069='Visual SPC'!$G$4),OR('Visual SPC'!$I$4="",'Data Entry'!$E9069='Visual SPC'!$I$4),OR('Visual SPC'!$K$4="",'Data Entry'!$F9069='Visual SPC'!$K$4)),1,0))</f>
        <v/>
      </c>
      <c r="C9069">
        <f>C9068+B9069</f>
        <v/>
      </c>
      <c r="D9069">
        <f>IF(B9069=1,INDEX('Data Entry'!$H$5:$BE$10004,9069-4,'Visual SPC'!$B$3),"")</f>
        <v/>
      </c>
      <c r="E9069">
        <f>IF(B9069=1,D9069,E9068)</f>
        <v/>
      </c>
      <c r="F9069">
        <f>IF(AND(B9069=1,C9069&gt;1,E9068&lt;&gt;""),ABS(D9069-E9068),"")</f>
        <v/>
      </c>
    </row>
    <row r="9070">
      <c r="A9070" t="n">
        <v>9070</v>
      </c>
      <c r="B9070">
        <f>IF(INDEX('Data Entry'!$H$5:$BE$10004,9070-4,'Visual SPC'!$B$3)="",0,IF(AND(OR('Visual SPC'!$C$4="",'Data Entry'!$C9070&gt;='Visual SPC'!$C$4),OR('Visual SPC'!$E$4="",'Data Entry'!$C9070&lt;='Visual SPC'!$E$4),OR('Visual SPC'!$G$4="",'Data Entry'!$D9070='Visual SPC'!$G$4),OR('Visual SPC'!$I$4="",'Data Entry'!$E9070='Visual SPC'!$I$4),OR('Visual SPC'!$K$4="",'Data Entry'!$F9070='Visual SPC'!$K$4)),1,0))</f>
        <v/>
      </c>
      <c r="C9070">
        <f>C9069+B9070</f>
        <v/>
      </c>
      <c r="D9070">
        <f>IF(B9070=1,INDEX('Data Entry'!$H$5:$BE$10004,9070-4,'Visual SPC'!$B$3),"")</f>
        <v/>
      </c>
      <c r="E9070">
        <f>IF(B9070=1,D9070,E9069)</f>
        <v/>
      </c>
      <c r="F9070">
        <f>IF(AND(B9070=1,C9070&gt;1,E9069&lt;&gt;""),ABS(D9070-E9069),"")</f>
        <v/>
      </c>
    </row>
    <row r="9071">
      <c r="A9071" t="n">
        <v>9071</v>
      </c>
      <c r="B9071">
        <f>IF(INDEX('Data Entry'!$H$5:$BE$10004,9071-4,'Visual SPC'!$B$3)="",0,IF(AND(OR('Visual SPC'!$C$4="",'Data Entry'!$C9071&gt;='Visual SPC'!$C$4),OR('Visual SPC'!$E$4="",'Data Entry'!$C9071&lt;='Visual SPC'!$E$4),OR('Visual SPC'!$G$4="",'Data Entry'!$D9071='Visual SPC'!$G$4),OR('Visual SPC'!$I$4="",'Data Entry'!$E9071='Visual SPC'!$I$4),OR('Visual SPC'!$K$4="",'Data Entry'!$F9071='Visual SPC'!$K$4)),1,0))</f>
        <v/>
      </c>
      <c r="C9071">
        <f>C9070+B9071</f>
        <v/>
      </c>
      <c r="D9071">
        <f>IF(B9071=1,INDEX('Data Entry'!$H$5:$BE$10004,9071-4,'Visual SPC'!$B$3),"")</f>
        <v/>
      </c>
      <c r="E9071">
        <f>IF(B9071=1,D9071,E9070)</f>
        <v/>
      </c>
      <c r="F9071">
        <f>IF(AND(B9071=1,C9071&gt;1,E9070&lt;&gt;""),ABS(D9071-E9070),"")</f>
        <v/>
      </c>
    </row>
    <row r="9072">
      <c r="A9072" t="n">
        <v>9072</v>
      </c>
      <c r="B9072">
        <f>IF(INDEX('Data Entry'!$H$5:$BE$10004,9072-4,'Visual SPC'!$B$3)="",0,IF(AND(OR('Visual SPC'!$C$4="",'Data Entry'!$C9072&gt;='Visual SPC'!$C$4),OR('Visual SPC'!$E$4="",'Data Entry'!$C9072&lt;='Visual SPC'!$E$4),OR('Visual SPC'!$G$4="",'Data Entry'!$D9072='Visual SPC'!$G$4),OR('Visual SPC'!$I$4="",'Data Entry'!$E9072='Visual SPC'!$I$4),OR('Visual SPC'!$K$4="",'Data Entry'!$F9072='Visual SPC'!$K$4)),1,0))</f>
        <v/>
      </c>
      <c r="C9072">
        <f>C9071+B9072</f>
        <v/>
      </c>
      <c r="D9072">
        <f>IF(B9072=1,INDEX('Data Entry'!$H$5:$BE$10004,9072-4,'Visual SPC'!$B$3),"")</f>
        <v/>
      </c>
      <c r="E9072">
        <f>IF(B9072=1,D9072,E9071)</f>
        <v/>
      </c>
      <c r="F9072">
        <f>IF(AND(B9072=1,C9072&gt;1,E9071&lt;&gt;""),ABS(D9072-E9071),"")</f>
        <v/>
      </c>
    </row>
    <row r="9073">
      <c r="A9073" t="n">
        <v>9073</v>
      </c>
      <c r="B9073">
        <f>IF(INDEX('Data Entry'!$H$5:$BE$10004,9073-4,'Visual SPC'!$B$3)="",0,IF(AND(OR('Visual SPC'!$C$4="",'Data Entry'!$C9073&gt;='Visual SPC'!$C$4),OR('Visual SPC'!$E$4="",'Data Entry'!$C9073&lt;='Visual SPC'!$E$4),OR('Visual SPC'!$G$4="",'Data Entry'!$D9073='Visual SPC'!$G$4),OR('Visual SPC'!$I$4="",'Data Entry'!$E9073='Visual SPC'!$I$4),OR('Visual SPC'!$K$4="",'Data Entry'!$F9073='Visual SPC'!$K$4)),1,0))</f>
        <v/>
      </c>
      <c r="C9073">
        <f>C9072+B9073</f>
        <v/>
      </c>
      <c r="D9073">
        <f>IF(B9073=1,INDEX('Data Entry'!$H$5:$BE$10004,9073-4,'Visual SPC'!$B$3),"")</f>
        <v/>
      </c>
      <c r="E9073">
        <f>IF(B9073=1,D9073,E9072)</f>
        <v/>
      </c>
      <c r="F9073">
        <f>IF(AND(B9073=1,C9073&gt;1,E9072&lt;&gt;""),ABS(D9073-E9072),"")</f>
        <v/>
      </c>
    </row>
    <row r="9074">
      <c r="A9074" t="n">
        <v>9074</v>
      </c>
      <c r="B9074">
        <f>IF(INDEX('Data Entry'!$H$5:$BE$10004,9074-4,'Visual SPC'!$B$3)="",0,IF(AND(OR('Visual SPC'!$C$4="",'Data Entry'!$C9074&gt;='Visual SPC'!$C$4),OR('Visual SPC'!$E$4="",'Data Entry'!$C9074&lt;='Visual SPC'!$E$4),OR('Visual SPC'!$G$4="",'Data Entry'!$D9074='Visual SPC'!$G$4),OR('Visual SPC'!$I$4="",'Data Entry'!$E9074='Visual SPC'!$I$4),OR('Visual SPC'!$K$4="",'Data Entry'!$F9074='Visual SPC'!$K$4)),1,0))</f>
        <v/>
      </c>
      <c r="C9074">
        <f>C9073+B9074</f>
        <v/>
      </c>
      <c r="D9074">
        <f>IF(B9074=1,INDEX('Data Entry'!$H$5:$BE$10004,9074-4,'Visual SPC'!$B$3),"")</f>
        <v/>
      </c>
      <c r="E9074">
        <f>IF(B9074=1,D9074,E9073)</f>
        <v/>
      </c>
      <c r="F9074">
        <f>IF(AND(B9074=1,C9074&gt;1,E9073&lt;&gt;""),ABS(D9074-E9073),"")</f>
        <v/>
      </c>
    </row>
    <row r="9075">
      <c r="A9075" t="n">
        <v>9075</v>
      </c>
      <c r="B9075">
        <f>IF(INDEX('Data Entry'!$H$5:$BE$10004,9075-4,'Visual SPC'!$B$3)="",0,IF(AND(OR('Visual SPC'!$C$4="",'Data Entry'!$C9075&gt;='Visual SPC'!$C$4),OR('Visual SPC'!$E$4="",'Data Entry'!$C9075&lt;='Visual SPC'!$E$4),OR('Visual SPC'!$G$4="",'Data Entry'!$D9075='Visual SPC'!$G$4),OR('Visual SPC'!$I$4="",'Data Entry'!$E9075='Visual SPC'!$I$4),OR('Visual SPC'!$K$4="",'Data Entry'!$F9075='Visual SPC'!$K$4)),1,0))</f>
        <v/>
      </c>
      <c r="C9075">
        <f>C9074+B9075</f>
        <v/>
      </c>
      <c r="D9075">
        <f>IF(B9075=1,INDEX('Data Entry'!$H$5:$BE$10004,9075-4,'Visual SPC'!$B$3),"")</f>
        <v/>
      </c>
      <c r="E9075">
        <f>IF(B9075=1,D9075,E9074)</f>
        <v/>
      </c>
      <c r="F9075">
        <f>IF(AND(B9075=1,C9075&gt;1,E9074&lt;&gt;""),ABS(D9075-E9074),"")</f>
        <v/>
      </c>
    </row>
    <row r="9076">
      <c r="A9076" t="n">
        <v>9076</v>
      </c>
      <c r="B9076">
        <f>IF(INDEX('Data Entry'!$H$5:$BE$10004,9076-4,'Visual SPC'!$B$3)="",0,IF(AND(OR('Visual SPC'!$C$4="",'Data Entry'!$C9076&gt;='Visual SPC'!$C$4),OR('Visual SPC'!$E$4="",'Data Entry'!$C9076&lt;='Visual SPC'!$E$4),OR('Visual SPC'!$G$4="",'Data Entry'!$D9076='Visual SPC'!$G$4),OR('Visual SPC'!$I$4="",'Data Entry'!$E9076='Visual SPC'!$I$4),OR('Visual SPC'!$K$4="",'Data Entry'!$F9076='Visual SPC'!$K$4)),1,0))</f>
        <v/>
      </c>
      <c r="C9076">
        <f>C9075+B9076</f>
        <v/>
      </c>
      <c r="D9076">
        <f>IF(B9076=1,INDEX('Data Entry'!$H$5:$BE$10004,9076-4,'Visual SPC'!$B$3),"")</f>
        <v/>
      </c>
      <c r="E9076">
        <f>IF(B9076=1,D9076,E9075)</f>
        <v/>
      </c>
      <c r="F9076">
        <f>IF(AND(B9076=1,C9076&gt;1,E9075&lt;&gt;""),ABS(D9076-E9075),"")</f>
        <v/>
      </c>
    </row>
    <row r="9077">
      <c r="A9077" t="n">
        <v>9077</v>
      </c>
      <c r="B9077">
        <f>IF(INDEX('Data Entry'!$H$5:$BE$10004,9077-4,'Visual SPC'!$B$3)="",0,IF(AND(OR('Visual SPC'!$C$4="",'Data Entry'!$C9077&gt;='Visual SPC'!$C$4),OR('Visual SPC'!$E$4="",'Data Entry'!$C9077&lt;='Visual SPC'!$E$4),OR('Visual SPC'!$G$4="",'Data Entry'!$D9077='Visual SPC'!$G$4),OR('Visual SPC'!$I$4="",'Data Entry'!$E9077='Visual SPC'!$I$4),OR('Visual SPC'!$K$4="",'Data Entry'!$F9077='Visual SPC'!$K$4)),1,0))</f>
        <v/>
      </c>
      <c r="C9077">
        <f>C9076+B9077</f>
        <v/>
      </c>
      <c r="D9077">
        <f>IF(B9077=1,INDEX('Data Entry'!$H$5:$BE$10004,9077-4,'Visual SPC'!$B$3),"")</f>
        <v/>
      </c>
      <c r="E9077">
        <f>IF(B9077=1,D9077,E9076)</f>
        <v/>
      </c>
      <c r="F9077">
        <f>IF(AND(B9077=1,C9077&gt;1,E9076&lt;&gt;""),ABS(D9077-E9076),"")</f>
        <v/>
      </c>
    </row>
    <row r="9078">
      <c r="A9078" t="n">
        <v>9078</v>
      </c>
      <c r="B9078">
        <f>IF(INDEX('Data Entry'!$H$5:$BE$10004,9078-4,'Visual SPC'!$B$3)="",0,IF(AND(OR('Visual SPC'!$C$4="",'Data Entry'!$C9078&gt;='Visual SPC'!$C$4),OR('Visual SPC'!$E$4="",'Data Entry'!$C9078&lt;='Visual SPC'!$E$4),OR('Visual SPC'!$G$4="",'Data Entry'!$D9078='Visual SPC'!$G$4),OR('Visual SPC'!$I$4="",'Data Entry'!$E9078='Visual SPC'!$I$4),OR('Visual SPC'!$K$4="",'Data Entry'!$F9078='Visual SPC'!$K$4)),1,0))</f>
        <v/>
      </c>
      <c r="C9078">
        <f>C9077+B9078</f>
        <v/>
      </c>
      <c r="D9078">
        <f>IF(B9078=1,INDEX('Data Entry'!$H$5:$BE$10004,9078-4,'Visual SPC'!$B$3),"")</f>
        <v/>
      </c>
      <c r="E9078">
        <f>IF(B9078=1,D9078,E9077)</f>
        <v/>
      </c>
      <c r="F9078">
        <f>IF(AND(B9078=1,C9078&gt;1,E9077&lt;&gt;""),ABS(D9078-E9077),"")</f>
        <v/>
      </c>
    </row>
    <row r="9079">
      <c r="A9079" t="n">
        <v>9079</v>
      </c>
      <c r="B9079">
        <f>IF(INDEX('Data Entry'!$H$5:$BE$10004,9079-4,'Visual SPC'!$B$3)="",0,IF(AND(OR('Visual SPC'!$C$4="",'Data Entry'!$C9079&gt;='Visual SPC'!$C$4),OR('Visual SPC'!$E$4="",'Data Entry'!$C9079&lt;='Visual SPC'!$E$4),OR('Visual SPC'!$G$4="",'Data Entry'!$D9079='Visual SPC'!$G$4),OR('Visual SPC'!$I$4="",'Data Entry'!$E9079='Visual SPC'!$I$4),OR('Visual SPC'!$K$4="",'Data Entry'!$F9079='Visual SPC'!$K$4)),1,0))</f>
        <v/>
      </c>
      <c r="C9079">
        <f>C9078+B9079</f>
        <v/>
      </c>
      <c r="D9079">
        <f>IF(B9079=1,INDEX('Data Entry'!$H$5:$BE$10004,9079-4,'Visual SPC'!$B$3),"")</f>
        <v/>
      </c>
      <c r="E9079">
        <f>IF(B9079=1,D9079,E9078)</f>
        <v/>
      </c>
      <c r="F9079">
        <f>IF(AND(B9079=1,C9079&gt;1,E9078&lt;&gt;""),ABS(D9079-E9078),"")</f>
        <v/>
      </c>
    </row>
    <row r="9080">
      <c r="A9080" t="n">
        <v>9080</v>
      </c>
      <c r="B9080">
        <f>IF(INDEX('Data Entry'!$H$5:$BE$10004,9080-4,'Visual SPC'!$B$3)="",0,IF(AND(OR('Visual SPC'!$C$4="",'Data Entry'!$C9080&gt;='Visual SPC'!$C$4),OR('Visual SPC'!$E$4="",'Data Entry'!$C9080&lt;='Visual SPC'!$E$4),OR('Visual SPC'!$G$4="",'Data Entry'!$D9080='Visual SPC'!$G$4),OR('Visual SPC'!$I$4="",'Data Entry'!$E9080='Visual SPC'!$I$4),OR('Visual SPC'!$K$4="",'Data Entry'!$F9080='Visual SPC'!$K$4)),1,0))</f>
        <v/>
      </c>
      <c r="C9080">
        <f>C9079+B9080</f>
        <v/>
      </c>
      <c r="D9080">
        <f>IF(B9080=1,INDEX('Data Entry'!$H$5:$BE$10004,9080-4,'Visual SPC'!$B$3),"")</f>
        <v/>
      </c>
      <c r="E9080">
        <f>IF(B9080=1,D9080,E9079)</f>
        <v/>
      </c>
      <c r="F9080">
        <f>IF(AND(B9080=1,C9080&gt;1,E9079&lt;&gt;""),ABS(D9080-E9079),"")</f>
        <v/>
      </c>
    </row>
    <row r="9081">
      <c r="A9081" t="n">
        <v>9081</v>
      </c>
      <c r="B9081">
        <f>IF(INDEX('Data Entry'!$H$5:$BE$10004,9081-4,'Visual SPC'!$B$3)="",0,IF(AND(OR('Visual SPC'!$C$4="",'Data Entry'!$C9081&gt;='Visual SPC'!$C$4),OR('Visual SPC'!$E$4="",'Data Entry'!$C9081&lt;='Visual SPC'!$E$4),OR('Visual SPC'!$G$4="",'Data Entry'!$D9081='Visual SPC'!$G$4),OR('Visual SPC'!$I$4="",'Data Entry'!$E9081='Visual SPC'!$I$4),OR('Visual SPC'!$K$4="",'Data Entry'!$F9081='Visual SPC'!$K$4)),1,0))</f>
        <v/>
      </c>
      <c r="C9081">
        <f>C9080+B9081</f>
        <v/>
      </c>
      <c r="D9081">
        <f>IF(B9081=1,INDEX('Data Entry'!$H$5:$BE$10004,9081-4,'Visual SPC'!$B$3),"")</f>
        <v/>
      </c>
      <c r="E9081">
        <f>IF(B9081=1,D9081,E9080)</f>
        <v/>
      </c>
      <c r="F9081">
        <f>IF(AND(B9081=1,C9081&gt;1,E9080&lt;&gt;""),ABS(D9081-E9080),"")</f>
        <v/>
      </c>
    </row>
    <row r="9082">
      <c r="A9082" t="n">
        <v>9082</v>
      </c>
      <c r="B9082">
        <f>IF(INDEX('Data Entry'!$H$5:$BE$10004,9082-4,'Visual SPC'!$B$3)="",0,IF(AND(OR('Visual SPC'!$C$4="",'Data Entry'!$C9082&gt;='Visual SPC'!$C$4),OR('Visual SPC'!$E$4="",'Data Entry'!$C9082&lt;='Visual SPC'!$E$4),OR('Visual SPC'!$G$4="",'Data Entry'!$D9082='Visual SPC'!$G$4),OR('Visual SPC'!$I$4="",'Data Entry'!$E9082='Visual SPC'!$I$4),OR('Visual SPC'!$K$4="",'Data Entry'!$F9082='Visual SPC'!$K$4)),1,0))</f>
        <v/>
      </c>
      <c r="C9082">
        <f>C9081+B9082</f>
        <v/>
      </c>
      <c r="D9082">
        <f>IF(B9082=1,INDEX('Data Entry'!$H$5:$BE$10004,9082-4,'Visual SPC'!$B$3),"")</f>
        <v/>
      </c>
      <c r="E9082">
        <f>IF(B9082=1,D9082,E9081)</f>
        <v/>
      </c>
      <c r="F9082">
        <f>IF(AND(B9082=1,C9082&gt;1,E9081&lt;&gt;""),ABS(D9082-E9081),"")</f>
        <v/>
      </c>
    </row>
    <row r="9083">
      <c r="A9083" t="n">
        <v>9083</v>
      </c>
      <c r="B9083">
        <f>IF(INDEX('Data Entry'!$H$5:$BE$10004,9083-4,'Visual SPC'!$B$3)="",0,IF(AND(OR('Visual SPC'!$C$4="",'Data Entry'!$C9083&gt;='Visual SPC'!$C$4),OR('Visual SPC'!$E$4="",'Data Entry'!$C9083&lt;='Visual SPC'!$E$4),OR('Visual SPC'!$G$4="",'Data Entry'!$D9083='Visual SPC'!$G$4),OR('Visual SPC'!$I$4="",'Data Entry'!$E9083='Visual SPC'!$I$4),OR('Visual SPC'!$K$4="",'Data Entry'!$F9083='Visual SPC'!$K$4)),1,0))</f>
        <v/>
      </c>
      <c r="C9083">
        <f>C9082+B9083</f>
        <v/>
      </c>
      <c r="D9083">
        <f>IF(B9083=1,INDEX('Data Entry'!$H$5:$BE$10004,9083-4,'Visual SPC'!$B$3),"")</f>
        <v/>
      </c>
      <c r="E9083">
        <f>IF(B9083=1,D9083,E9082)</f>
        <v/>
      </c>
      <c r="F9083">
        <f>IF(AND(B9083=1,C9083&gt;1,E9082&lt;&gt;""),ABS(D9083-E9082),"")</f>
        <v/>
      </c>
    </row>
    <row r="9084">
      <c r="A9084" t="n">
        <v>9084</v>
      </c>
      <c r="B9084">
        <f>IF(INDEX('Data Entry'!$H$5:$BE$10004,9084-4,'Visual SPC'!$B$3)="",0,IF(AND(OR('Visual SPC'!$C$4="",'Data Entry'!$C9084&gt;='Visual SPC'!$C$4),OR('Visual SPC'!$E$4="",'Data Entry'!$C9084&lt;='Visual SPC'!$E$4),OR('Visual SPC'!$G$4="",'Data Entry'!$D9084='Visual SPC'!$G$4),OR('Visual SPC'!$I$4="",'Data Entry'!$E9084='Visual SPC'!$I$4),OR('Visual SPC'!$K$4="",'Data Entry'!$F9084='Visual SPC'!$K$4)),1,0))</f>
        <v/>
      </c>
      <c r="C9084">
        <f>C9083+B9084</f>
        <v/>
      </c>
      <c r="D9084">
        <f>IF(B9084=1,INDEX('Data Entry'!$H$5:$BE$10004,9084-4,'Visual SPC'!$B$3),"")</f>
        <v/>
      </c>
      <c r="E9084">
        <f>IF(B9084=1,D9084,E9083)</f>
        <v/>
      </c>
      <c r="F9084">
        <f>IF(AND(B9084=1,C9084&gt;1,E9083&lt;&gt;""),ABS(D9084-E9083),"")</f>
        <v/>
      </c>
    </row>
    <row r="9085">
      <c r="A9085" t="n">
        <v>9085</v>
      </c>
      <c r="B9085">
        <f>IF(INDEX('Data Entry'!$H$5:$BE$10004,9085-4,'Visual SPC'!$B$3)="",0,IF(AND(OR('Visual SPC'!$C$4="",'Data Entry'!$C9085&gt;='Visual SPC'!$C$4),OR('Visual SPC'!$E$4="",'Data Entry'!$C9085&lt;='Visual SPC'!$E$4),OR('Visual SPC'!$G$4="",'Data Entry'!$D9085='Visual SPC'!$G$4),OR('Visual SPC'!$I$4="",'Data Entry'!$E9085='Visual SPC'!$I$4),OR('Visual SPC'!$K$4="",'Data Entry'!$F9085='Visual SPC'!$K$4)),1,0))</f>
        <v/>
      </c>
      <c r="C9085">
        <f>C9084+B9085</f>
        <v/>
      </c>
      <c r="D9085">
        <f>IF(B9085=1,INDEX('Data Entry'!$H$5:$BE$10004,9085-4,'Visual SPC'!$B$3),"")</f>
        <v/>
      </c>
      <c r="E9085">
        <f>IF(B9085=1,D9085,E9084)</f>
        <v/>
      </c>
      <c r="F9085">
        <f>IF(AND(B9085=1,C9085&gt;1,E9084&lt;&gt;""),ABS(D9085-E9084),"")</f>
        <v/>
      </c>
    </row>
    <row r="9086">
      <c r="A9086" t="n">
        <v>9086</v>
      </c>
      <c r="B9086">
        <f>IF(INDEX('Data Entry'!$H$5:$BE$10004,9086-4,'Visual SPC'!$B$3)="",0,IF(AND(OR('Visual SPC'!$C$4="",'Data Entry'!$C9086&gt;='Visual SPC'!$C$4),OR('Visual SPC'!$E$4="",'Data Entry'!$C9086&lt;='Visual SPC'!$E$4),OR('Visual SPC'!$G$4="",'Data Entry'!$D9086='Visual SPC'!$G$4),OR('Visual SPC'!$I$4="",'Data Entry'!$E9086='Visual SPC'!$I$4),OR('Visual SPC'!$K$4="",'Data Entry'!$F9086='Visual SPC'!$K$4)),1,0))</f>
        <v/>
      </c>
      <c r="C9086">
        <f>C9085+B9086</f>
        <v/>
      </c>
      <c r="D9086">
        <f>IF(B9086=1,INDEX('Data Entry'!$H$5:$BE$10004,9086-4,'Visual SPC'!$B$3),"")</f>
        <v/>
      </c>
      <c r="E9086">
        <f>IF(B9086=1,D9086,E9085)</f>
        <v/>
      </c>
      <c r="F9086">
        <f>IF(AND(B9086=1,C9086&gt;1,E9085&lt;&gt;""),ABS(D9086-E9085),"")</f>
        <v/>
      </c>
    </row>
    <row r="9087">
      <c r="A9087" t="n">
        <v>9087</v>
      </c>
      <c r="B9087">
        <f>IF(INDEX('Data Entry'!$H$5:$BE$10004,9087-4,'Visual SPC'!$B$3)="",0,IF(AND(OR('Visual SPC'!$C$4="",'Data Entry'!$C9087&gt;='Visual SPC'!$C$4),OR('Visual SPC'!$E$4="",'Data Entry'!$C9087&lt;='Visual SPC'!$E$4),OR('Visual SPC'!$G$4="",'Data Entry'!$D9087='Visual SPC'!$G$4),OR('Visual SPC'!$I$4="",'Data Entry'!$E9087='Visual SPC'!$I$4),OR('Visual SPC'!$K$4="",'Data Entry'!$F9087='Visual SPC'!$K$4)),1,0))</f>
        <v/>
      </c>
      <c r="C9087">
        <f>C9086+B9087</f>
        <v/>
      </c>
      <c r="D9087">
        <f>IF(B9087=1,INDEX('Data Entry'!$H$5:$BE$10004,9087-4,'Visual SPC'!$B$3),"")</f>
        <v/>
      </c>
      <c r="E9087">
        <f>IF(B9087=1,D9087,E9086)</f>
        <v/>
      </c>
      <c r="F9087">
        <f>IF(AND(B9087=1,C9087&gt;1,E9086&lt;&gt;""),ABS(D9087-E9086),"")</f>
        <v/>
      </c>
    </row>
    <row r="9088">
      <c r="A9088" t="n">
        <v>9088</v>
      </c>
      <c r="B9088">
        <f>IF(INDEX('Data Entry'!$H$5:$BE$10004,9088-4,'Visual SPC'!$B$3)="",0,IF(AND(OR('Visual SPC'!$C$4="",'Data Entry'!$C9088&gt;='Visual SPC'!$C$4),OR('Visual SPC'!$E$4="",'Data Entry'!$C9088&lt;='Visual SPC'!$E$4),OR('Visual SPC'!$G$4="",'Data Entry'!$D9088='Visual SPC'!$G$4),OR('Visual SPC'!$I$4="",'Data Entry'!$E9088='Visual SPC'!$I$4),OR('Visual SPC'!$K$4="",'Data Entry'!$F9088='Visual SPC'!$K$4)),1,0))</f>
        <v/>
      </c>
      <c r="C9088">
        <f>C9087+B9088</f>
        <v/>
      </c>
      <c r="D9088">
        <f>IF(B9088=1,INDEX('Data Entry'!$H$5:$BE$10004,9088-4,'Visual SPC'!$B$3),"")</f>
        <v/>
      </c>
      <c r="E9088">
        <f>IF(B9088=1,D9088,E9087)</f>
        <v/>
      </c>
      <c r="F9088">
        <f>IF(AND(B9088=1,C9088&gt;1,E9087&lt;&gt;""),ABS(D9088-E9087),"")</f>
        <v/>
      </c>
    </row>
    <row r="9089">
      <c r="A9089" t="n">
        <v>9089</v>
      </c>
      <c r="B9089">
        <f>IF(INDEX('Data Entry'!$H$5:$BE$10004,9089-4,'Visual SPC'!$B$3)="",0,IF(AND(OR('Visual SPC'!$C$4="",'Data Entry'!$C9089&gt;='Visual SPC'!$C$4),OR('Visual SPC'!$E$4="",'Data Entry'!$C9089&lt;='Visual SPC'!$E$4),OR('Visual SPC'!$G$4="",'Data Entry'!$D9089='Visual SPC'!$G$4),OR('Visual SPC'!$I$4="",'Data Entry'!$E9089='Visual SPC'!$I$4),OR('Visual SPC'!$K$4="",'Data Entry'!$F9089='Visual SPC'!$K$4)),1,0))</f>
        <v/>
      </c>
      <c r="C9089">
        <f>C9088+B9089</f>
        <v/>
      </c>
      <c r="D9089">
        <f>IF(B9089=1,INDEX('Data Entry'!$H$5:$BE$10004,9089-4,'Visual SPC'!$B$3),"")</f>
        <v/>
      </c>
      <c r="E9089">
        <f>IF(B9089=1,D9089,E9088)</f>
        <v/>
      </c>
      <c r="F9089">
        <f>IF(AND(B9089=1,C9089&gt;1,E9088&lt;&gt;""),ABS(D9089-E9088),"")</f>
        <v/>
      </c>
    </row>
    <row r="9090">
      <c r="A9090" t="n">
        <v>9090</v>
      </c>
      <c r="B9090">
        <f>IF(INDEX('Data Entry'!$H$5:$BE$10004,9090-4,'Visual SPC'!$B$3)="",0,IF(AND(OR('Visual SPC'!$C$4="",'Data Entry'!$C9090&gt;='Visual SPC'!$C$4),OR('Visual SPC'!$E$4="",'Data Entry'!$C9090&lt;='Visual SPC'!$E$4),OR('Visual SPC'!$G$4="",'Data Entry'!$D9090='Visual SPC'!$G$4),OR('Visual SPC'!$I$4="",'Data Entry'!$E9090='Visual SPC'!$I$4),OR('Visual SPC'!$K$4="",'Data Entry'!$F9090='Visual SPC'!$K$4)),1,0))</f>
        <v/>
      </c>
      <c r="C9090">
        <f>C9089+B9090</f>
        <v/>
      </c>
      <c r="D9090">
        <f>IF(B9090=1,INDEX('Data Entry'!$H$5:$BE$10004,9090-4,'Visual SPC'!$B$3),"")</f>
        <v/>
      </c>
      <c r="E9090">
        <f>IF(B9090=1,D9090,E9089)</f>
        <v/>
      </c>
      <c r="F9090">
        <f>IF(AND(B9090=1,C9090&gt;1,E9089&lt;&gt;""),ABS(D9090-E9089),"")</f>
        <v/>
      </c>
    </row>
    <row r="9091">
      <c r="A9091" t="n">
        <v>9091</v>
      </c>
      <c r="B9091">
        <f>IF(INDEX('Data Entry'!$H$5:$BE$10004,9091-4,'Visual SPC'!$B$3)="",0,IF(AND(OR('Visual SPC'!$C$4="",'Data Entry'!$C9091&gt;='Visual SPC'!$C$4),OR('Visual SPC'!$E$4="",'Data Entry'!$C9091&lt;='Visual SPC'!$E$4),OR('Visual SPC'!$G$4="",'Data Entry'!$D9091='Visual SPC'!$G$4),OR('Visual SPC'!$I$4="",'Data Entry'!$E9091='Visual SPC'!$I$4),OR('Visual SPC'!$K$4="",'Data Entry'!$F9091='Visual SPC'!$K$4)),1,0))</f>
        <v/>
      </c>
      <c r="C9091">
        <f>C9090+B9091</f>
        <v/>
      </c>
      <c r="D9091">
        <f>IF(B9091=1,INDEX('Data Entry'!$H$5:$BE$10004,9091-4,'Visual SPC'!$B$3),"")</f>
        <v/>
      </c>
      <c r="E9091">
        <f>IF(B9091=1,D9091,E9090)</f>
        <v/>
      </c>
      <c r="F9091">
        <f>IF(AND(B9091=1,C9091&gt;1,E9090&lt;&gt;""),ABS(D9091-E9090),"")</f>
        <v/>
      </c>
    </row>
    <row r="9092">
      <c r="A9092" t="n">
        <v>9092</v>
      </c>
      <c r="B9092">
        <f>IF(INDEX('Data Entry'!$H$5:$BE$10004,9092-4,'Visual SPC'!$B$3)="",0,IF(AND(OR('Visual SPC'!$C$4="",'Data Entry'!$C9092&gt;='Visual SPC'!$C$4),OR('Visual SPC'!$E$4="",'Data Entry'!$C9092&lt;='Visual SPC'!$E$4),OR('Visual SPC'!$G$4="",'Data Entry'!$D9092='Visual SPC'!$G$4),OR('Visual SPC'!$I$4="",'Data Entry'!$E9092='Visual SPC'!$I$4),OR('Visual SPC'!$K$4="",'Data Entry'!$F9092='Visual SPC'!$K$4)),1,0))</f>
        <v/>
      </c>
      <c r="C9092">
        <f>C9091+B9092</f>
        <v/>
      </c>
      <c r="D9092">
        <f>IF(B9092=1,INDEX('Data Entry'!$H$5:$BE$10004,9092-4,'Visual SPC'!$B$3),"")</f>
        <v/>
      </c>
      <c r="E9092">
        <f>IF(B9092=1,D9092,E9091)</f>
        <v/>
      </c>
      <c r="F9092">
        <f>IF(AND(B9092=1,C9092&gt;1,E9091&lt;&gt;""),ABS(D9092-E9091),"")</f>
        <v/>
      </c>
    </row>
    <row r="9093">
      <c r="A9093" t="n">
        <v>9093</v>
      </c>
      <c r="B9093">
        <f>IF(INDEX('Data Entry'!$H$5:$BE$10004,9093-4,'Visual SPC'!$B$3)="",0,IF(AND(OR('Visual SPC'!$C$4="",'Data Entry'!$C9093&gt;='Visual SPC'!$C$4),OR('Visual SPC'!$E$4="",'Data Entry'!$C9093&lt;='Visual SPC'!$E$4),OR('Visual SPC'!$G$4="",'Data Entry'!$D9093='Visual SPC'!$G$4),OR('Visual SPC'!$I$4="",'Data Entry'!$E9093='Visual SPC'!$I$4),OR('Visual SPC'!$K$4="",'Data Entry'!$F9093='Visual SPC'!$K$4)),1,0))</f>
        <v/>
      </c>
      <c r="C9093">
        <f>C9092+B9093</f>
        <v/>
      </c>
      <c r="D9093">
        <f>IF(B9093=1,INDEX('Data Entry'!$H$5:$BE$10004,9093-4,'Visual SPC'!$B$3),"")</f>
        <v/>
      </c>
      <c r="E9093">
        <f>IF(B9093=1,D9093,E9092)</f>
        <v/>
      </c>
      <c r="F9093">
        <f>IF(AND(B9093=1,C9093&gt;1,E9092&lt;&gt;""),ABS(D9093-E9092),"")</f>
        <v/>
      </c>
    </row>
    <row r="9094">
      <c r="A9094" t="n">
        <v>9094</v>
      </c>
      <c r="B9094">
        <f>IF(INDEX('Data Entry'!$H$5:$BE$10004,9094-4,'Visual SPC'!$B$3)="",0,IF(AND(OR('Visual SPC'!$C$4="",'Data Entry'!$C9094&gt;='Visual SPC'!$C$4),OR('Visual SPC'!$E$4="",'Data Entry'!$C9094&lt;='Visual SPC'!$E$4),OR('Visual SPC'!$G$4="",'Data Entry'!$D9094='Visual SPC'!$G$4),OR('Visual SPC'!$I$4="",'Data Entry'!$E9094='Visual SPC'!$I$4),OR('Visual SPC'!$K$4="",'Data Entry'!$F9094='Visual SPC'!$K$4)),1,0))</f>
        <v/>
      </c>
      <c r="C9094">
        <f>C9093+B9094</f>
        <v/>
      </c>
      <c r="D9094">
        <f>IF(B9094=1,INDEX('Data Entry'!$H$5:$BE$10004,9094-4,'Visual SPC'!$B$3),"")</f>
        <v/>
      </c>
      <c r="E9094">
        <f>IF(B9094=1,D9094,E9093)</f>
        <v/>
      </c>
      <c r="F9094">
        <f>IF(AND(B9094=1,C9094&gt;1,E9093&lt;&gt;""),ABS(D9094-E9093),"")</f>
        <v/>
      </c>
    </row>
    <row r="9095">
      <c r="A9095" t="n">
        <v>9095</v>
      </c>
      <c r="B9095">
        <f>IF(INDEX('Data Entry'!$H$5:$BE$10004,9095-4,'Visual SPC'!$B$3)="",0,IF(AND(OR('Visual SPC'!$C$4="",'Data Entry'!$C9095&gt;='Visual SPC'!$C$4),OR('Visual SPC'!$E$4="",'Data Entry'!$C9095&lt;='Visual SPC'!$E$4),OR('Visual SPC'!$G$4="",'Data Entry'!$D9095='Visual SPC'!$G$4),OR('Visual SPC'!$I$4="",'Data Entry'!$E9095='Visual SPC'!$I$4),OR('Visual SPC'!$K$4="",'Data Entry'!$F9095='Visual SPC'!$K$4)),1,0))</f>
        <v/>
      </c>
      <c r="C9095">
        <f>C9094+B9095</f>
        <v/>
      </c>
      <c r="D9095">
        <f>IF(B9095=1,INDEX('Data Entry'!$H$5:$BE$10004,9095-4,'Visual SPC'!$B$3),"")</f>
        <v/>
      </c>
      <c r="E9095">
        <f>IF(B9095=1,D9095,E9094)</f>
        <v/>
      </c>
      <c r="F9095">
        <f>IF(AND(B9095=1,C9095&gt;1,E9094&lt;&gt;""),ABS(D9095-E9094),"")</f>
        <v/>
      </c>
    </row>
    <row r="9096">
      <c r="A9096" t="n">
        <v>9096</v>
      </c>
      <c r="B9096">
        <f>IF(INDEX('Data Entry'!$H$5:$BE$10004,9096-4,'Visual SPC'!$B$3)="",0,IF(AND(OR('Visual SPC'!$C$4="",'Data Entry'!$C9096&gt;='Visual SPC'!$C$4),OR('Visual SPC'!$E$4="",'Data Entry'!$C9096&lt;='Visual SPC'!$E$4),OR('Visual SPC'!$G$4="",'Data Entry'!$D9096='Visual SPC'!$G$4),OR('Visual SPC'!$I$4="",'Data Entry'!$E9096='Visual SPC'!$I$4),OR('Visual SPC'!$K$4="",'Data Entry'!$F9096='Visual SPC'!$K$4)),1,0))</f>
        <v/>
      </c>
      <c r="C9096">
        <f>C9095+B9096</f>
        <v/>
      </c>
      <c r="D9096">
        <f>IF(B9096=1,INDEX('Data Entry'!$H$5:$BE$10004,9096-4,'Visual SPC'!$B$3),"")</f>
        <v/>
      </c>
      <c r="E9096">
        <f>IF(B9096=1,D9096,E9095)</f>
        <v/>
      </c>
      <c r="F9096">
        <f>IF(AND(B9096=1,C9096&gt;1,E9095&lt;&gt;""),ABS(D9096-E9095),"")</f>
        <v/>
      </c>
    </row>
    <row r="9097">
      <c r="A9097" t="n">
        <v>9097</v>
      </c>
      <c r="B9097">
        <f>IF(INDEX('Data Entry'!$H$5:$BE$10004,9097-4,'Visual SPC'!$B$3)="",0,IF(AND(OR('Visual SPC'!$C$4="",'Data Entry'!$C9097&gt;='Visual SPC'!$C$4),OR('Visual SPC'!$E$4="",'Data Entry'!$C9097&lt;='Visual SPC'!$E$4),OR('Visual SPC'!$G$4="",'Data Entry'!$D9097='Visual SPC'!$G$4),OR('Visual SPC'!$I$4="",'Data Entry'!$E9097='Visual SPC'!$I$4),OR('Visual SPC'!$K$4="",'Data Entry'!$F9097='Visual SPC'!$K$4)),1,0))</f>
        <v/>
      </c>
      <c r="C9097">
        <f>C9096+B9097</f>
        <v/>
      </c>
      <c r="D9097">
        <f>IF(B9097=1,INDEX('Data Entry'!$H$5:$BE$10004,9097-4,'Visual SPC'!$B$3),"")</f>
        <v/>
      </c>
      <c r="E9097">
        <f>IF(B9097=1,D9097,E9096)</f>
        <v/>
      </c>
      <c r="F9097">
        <f>IF(AND(B9097=1,C9097&gt;1,E9096&lt;&gt;""),ABS(D9097-E9096),"")</f>
        <v/>
      </c>
    </row>
    <row r="9098">
      <c r="A9098" t="n">
        <v>9098</v>
      </c>
      <c r="B9098">
        <f>IF(INDEX('Data Entry'!$H$5:$BE$10004,9098-4,'Visual SPC'!$B$3)="",0,IF(AND(OR('Visual SPC'!$C$4="",'Data Entry'!$C9098&gt;='Visual SPC'!$C$4),OR('Visual SPC'!$E$4="",'Data Entry'!$C9098&lt;='Visual SPC'!$E$4),OR('Visual SPC'!$G$4="",'Data Entry'!$D9098='Visual SPC'!$G$4),OR('Visual SPC'!$I$4="",'Data Entry'!$E9098='Visual SPC'!$I$4),OR('Visual SPC'!$K$4="",'Data Entry'!$F9098='Visual SPC'!$K$4)),1,0))</f>
        <v/>
      </c>
      <c r="C9098">
        <f>C9097+B9098</f>
        <v/>
      </c>
      <c r="D9098">
        <f>IF(B9098=1,INDEX('Data Entry'!$H$5:$BE$10004,9098-4,'Visual SPC'!$B$3),"")</f>
        <v/>
      </c>
      <c r="E9098">
        <f>IF(B9098=1,D9098,E9097)</f>
        <v/>
      </c>
      <c r="F9098">
        <f>IF(AND(B9098=1,C9098&gt;1,E9097&lt;&gt;""),ABS(D9098-E9097),"")</f>
        <v/>
      </c>
    </row>
    <row r="9099">
      <c r="A9099" t="n">
        <v>9099</v>
      </c>
      <c r="B9099">
        <f>IF(INDEX('Data Entry'!$H$5:$BE$10004,9099-4,'Visual SPC'!$B$3)="",0,IF(AND(OR('Visual SPC'!$C$4="",'Data Entry'!$C9099&gt;='Visual SPC'!$C$4),OR('Visual SPC'!$E$4="",'Data Entry'!$C9099&lt;='Visual SPC'!$E$4),OR('Visual SPC'!$G$4="",'Data Entry'!$D9099='Visual SPC'!$G$4),OR('Visual SPC'!$I$4="",'Data Entry'!$E9099='Visual SPC'!$I$4),OR('Visual SPC'!$K$4="",'Data Entry'!$F9099='Visual SPC'!$K$4)),1,0))</f>
        <v/>
      </c>
      <c r="C9099">
        <f>C9098+B9099</f>
        <v/>
      </c>
      <c r="D9099">
        <f>IF(B9099=1,INDEX('Data Entry'!$H$5:$BE$10004,9099-4,'Visual SPC'!$B$3),"")</f>
        <v/>
      </c>
      <c r="E9099">
        <f>IF(B9099=1,D9099,E9098)</f>
        <v/>
      </c>
      <c r="F9099">
        <f>IF(AND(B9099=1,C9099&gt;1,E9098&lt;&gt;""),ABS(D9099-E9098),"")</f>
        <v/>
      </c>
    </row>
    <row r="9100">
      <c r="A9100" t="n">
        <v>9100</v>
      </c>
      <c r="B9100">
        <f>IF(INDEX('Data Entry'!$H$5:$BE$10004,9100-4,'Visual SPC'!$B$3)="",0,IF(AND(OR('Visual SPC'!$C$4="",'Data Entry'!$C9100&gt;='Visual SPC'!$C$4),OR('Visual SPC'!$E$4="",'Data Entry'!$C9100&lt;='Visual SPC'!$E$4),OR('Visual SPC'!$G$4="",'Data Entry'!$D9100='Visual SPC'!$G$4),OR('Visual SPC'!$I$4="",'Data Entry'!$E9100='Visual SPC'!$I$4),OR('Visual SPC'!$K$4="",'Data Entry'!$F9100='Visual SPC'!$K$4)),1,0))</f>
        <v/>
      </c>
      <c r="C9100">
        <f>C9099+B9100</f>
        <v/>
      </c>
      <c r="D9100">
        <f>IF(B9100=1,INDEX('Data Entry'!$H$5:$BE$10004,9100-4,'Visual SPC'!$B$3),"")</f>
        <v/>
      </c>
      <c r="E9100">
        <f>IF(B9100=1,D9100,E9099)</f>
        <v/>
      </c>
      <c r="F9100">
        <f>IF(AND(B9100=1,C9100&gt;1,E9099&lt;&gt;""),ABS(D9100-E9099),"")</f>
        <v/>
      </c>
    </row>
    <row r="9101">
      <c r="A9101" t="n">
        <v>9101</v>
      </c>
      <c r="B9101">
        <f>IF(INDEX('Data Entry'!$H$5:$BE$10004,9101-4,'Visual SPC'!$B$3)="",0,IF(AND(OR('Visual SPC'!$C$4="",'Data Entry'!$C9101&gt;='Visual SPC'!$C$4),OR('Visual SPC'!$E$4="",'Data Entry'!$C9101&lt;='Visual SPC'!$E$4),OR('Visual SPC'!$G$4="",'Data Entry'!$D9101='Visual SPC'!$G$4),OR('Visual SPC'!$I$4="",'Data Entry'!$E9101='Visual SPC'!$I$4),OR('Visual SPC'!$K$4="",'Data Entry'!$F9101='Visual SPC'!$K$4)),1,0))</f>
        <v/>
      </c>
      <c r="C9101">
        <f>C9100+B9101</f>
        <v/>
      </c>
      <c r="D9101">
        <f>IF(B9101=1,INDEX('Data Entry'!$H$5:$BE$10004,9101-4,'Visual SPC'!$B$3),"")</f>
        <v/>
      </c>
      <c r="E9101">
        <f>IF(B9101=1,D9101,E9100)</f>
        <v/>
      </c>
      <c r="F9101">
        <f>IF(AND(B9101=1,C9101&gt;1,E9100&lt;&gt;""),ABS(D9101-E9100),"")</f>
        <v/>
      </c>
    </row>
    <row r="9102">
      <c r="A9102" t="n">
        <v>9102</v>
      </c>
      <c r="B9102">
        <f>IF(INDEX('Data Entry'!$H$5:$BE$10004,9102-4,'Visual SPC'!$B$3)="",0,IF(AND(OR('Visual SPC'!$C$4="",'Data Entry'!$C9102&gt;='Visual SPC'!$C$4),OR('Visual SPC'!$E$4="",'Data Entry'!$C9102&lt;='Visual SPC'!$E$4),OR('Visual SPC'!$G$4="",'Data Entry'!$D9102='Visual SPC'!$G$4),OR('Visual SPC'!$I$4="",'Data Entry'!$E9102='Visual SPC'!$I$4),OR('Visual SPC'!$K$4="",'Data Entry'!$F9102='Visual SPC'!$K$4)),1,0))</f>
        <v/>
      </c>
      <c r="C9102">
        <f>C9101+B9102</f>
        <v/>
      </c>
      <c r="D9102">
        <f>IF(B9102=1,INDEX('Data Entry'!$H$5:$BE$10004,9102-4,'Visual SPC'!$B$3),"")</f>
        <v/>
      </c>
      <c r="E9102">
        <f>IF(B9102=1,D9102,E9101)</f>
        <v/>
      </c>
      <c r="F9102">
        <f>IF(AND(B9102=1,C9102&gt;1,E9101&lt;&gt;""),ABS(D9102-E9101),"")</f>
        <v/>
      </c>
    </row>
    <row r="9103">
      <c r="A9103" t="n">
        <v>9103</v>
      </c>
      <c r="B9103">
        <f>IF(INDEX('Data Entry'!$H$5:$BE$10004,9103-4,'Visual SPC'!$B$3)="",0,IF(AND(OR('Visual SPC'!$C$4="",'Data Entry'!$C9103&gt;='Visual SPC'!$C$4),OR('Visual SPC'!$E$4="",'Data Entry'!$C9103&lt;='Visual SPC'!$E$4),OR('Visual SPC'!$G$4="",'Data Entry'!$D9103='Visual SPC'!$G$4),OR('Visual SPC'!$I$4="",'Data Entry'!$E9103='Visual SPC'!$I$4),OR('Visual SPC'!$K$4="",'Data Entry'!$F9103='Visual SPC'!$K$4)),1,0))</f>
        <v/>
      </c>
      <c r="C9103">
        <f>C9102+B9103</f>
        <v/>
      </c>
      <c r="D9103">
        <f>IF(B9103=1,INDEX('Data Entry'!$H$5:$BE$10004,9103-4,'Visual SPC'!$B$3),"")</f>
        <v/>
      </c>
      <c r="E9103">
        <f>IF(B9103=1,D9103,E9102)</f>
        <v/>
      </c>
      <c r="F9103">
        <f>IF(AND(B9103=1,C9103&gt;1,E9102&lt;&gt;""),ABS(D9103-E9102),"")</f>
        <v/>
      </c>
    </row>
    <row r="9104">
      <c r="A9104" t="n">
        <v>9104</v>
      </c>
      <c r="B9104">
        <f>IF(INDEX('Data Entry'!$H$5:$BE$10004,9104-4,'Visual SPC'!$B$3)="",0,IF(AND(OR('Visual SPC'!$C$4="",'Data Entry'!$C9104&gt;='Visual SPC'!$C$4),OR('Visual SPC'!$E$4="",'Data Entry'!$C9104&lt;='Visual SPC'!$E$4),OR('Visual SPC'!$G$4="",'Data Entry'!$D9104='Visual SPC'!$G$4),OR('Visual SPC'!$I$4="",'Data Entry'!$E9104='Visual SPC'!$I$4),OR('Visual SPC'!$K$4="",'Data Entry'!$F9104='Visual SPC'!$K$4)),1,0))</f>
        <v/>
      </c>
      <c r="C9104">
        <f>C9103+B9104</f>
        <v/>
      </c>
      <c r="D9104">
        <f>IF(B9104=1,INDEX('Data Entry'!$H$5:$BE$10004,9104-4,'Visual SPC'!$B$3),"")</f>
        <v/>
      </c>
      <c r="E9104">
        <f>IF(B9104=1,D9104,E9103)</f>
        <v/>
      </c>
      <c r="F9104">
        <f>IF(AND(B9104=1,C9104&gt;1,E9103&lt;&gt;""),ABS(D9104-E9103),"")</f>
        <v/>
      </c>
    </row>
    <row r="9105">
      <c r="A9105" t="n">
        <v>9105</v>
      </c>
      <c r="B9105">
        <f>IF(INDEX('Data Entry'!$H$5:$BE$10004,9105-4,'Visual SPC'!$B$3)="",0,IF(AND(OR('Visual SPC'!$C$4="",'Data Entry'!$C9105&gt;='Visual SPC'!$C$4),OR('Visual SPC'!$E$4="",'Data Entry'!$C9105&lt;='Visual SPC'!$E$4),OR('Visual SPC'!$G$4="",'Data Entry'!$D9105='Visual SPC'!$G$4),OR('Visual SPC'!$I$4="",'Data Entry'!$E9105='Visual SPC'!$I$4),OR('Visual SPC'!$K$4="",'Data Entry'!$F9105='Visual SPC'!$K$4)),1,0))</f>
        <v/>
      </c>
      <c r="C9105">
        <f>C9104+B9105</f>
        <v/>
      </c>
      <c r="D9105">
        <f>IF(B9105=1,INDEX('Data Entry'!$H$5:$BE$10004,9105-4,'Visual SPC'!$B$3),"")</f>
        <v/>
      </c>
      <c r="E9105">
        <f>IF(B9105=1,D9105,E9104)</f>
        <v/>
      </c>
      <c r="F9105">
        <f>IF(AND(B9105=1,C9105&gt;1,E9104&lt;&gt;""),ABS(D9105-E9104),"")</f>
        <v/>
      </c>
    </row>
    <row r="9106">
      <c r="A9106" t="n">
        <v>9106</v>
      </c>
      <c r="B9106">
        <f>IF(INDEX('Data Entry'!$H$5:$BE$10004,9106-4,'Visual SPC'!$B$3)="",0,IF(AND(OR('Visual SPC'!$C$4="",'Data Entry'!$C9106&gt;='Visual SPC'!$C$4),OR('Visual SPC'!$E$4="",'Data Entry'!$C9106&lt;='Visual SPC'!$E$4),OR('Visual SPC'!$G$4="",'Data Entry'!$D9106='Visual SPC'!$G$4),OR('Visual SPC'!$I$4="",'Data Entry'!$E9106='Visual SPC'!$I$4),OR('Visual SPC'!$K$4="",'Data Entry'!$F9106='Visual SPC'!$K$4)),1,0))</f>
        <v/>
      </c>
      <c r="C9106">
        <f>C9105+B9106</f>
        <v/>
      </c>
      <c r="D9106">
        <f>IF(B9106=1,INDEX('Data Entry'!$H$5:$BE$10004,9106-4,'Visual SPC'!$B$3),"")</f>
        <v/>
      </c>
      <c r="E9106">
        <f>IF(B9106=1,D9106,E9105)</f>
        <v/>
      </c>
      <c r="F9106">
        <f>IF(AND(B9106=1,C9106&gt;1,E9105&lt;&gt;""),ABS(D9106-E9105),"")</f>
        <v/>
      </c>
    </row>
    <row r="9107">
      <c r="A9107" t="n">
        <v>9107</v>
      </c>
      <c r="B9107">
        <f>IF(INDEX('Data Entry'!$H$5:$BE$10004,9107-4,'Visual SPC'!$B$3)="",0,IF(AND(OR('Visual SPC'!$C$4="",'Data Entry'!$C9107&gt;='Visual SPC'!$C$4),OR('Visual SPC'!$E$4="",'Data Entry'!$C9107&lt;='Visual SPC'!$E$4),OR('Visual SPC'!$G$4="",'Data Entry'!$D9107='Visual SPC'!$G$4),OR('Visual SPC'!$I$4="",'Data Entry'!$E9107='Visual SPC'!$I$4),OR('Visual SPC'!$K$4="",'Data Entry'!$F9107='Visual SPC'!$K$4)),1,0))</f>
        <v/>
      </c>
      <c r="C9107">
        <f>C9106+B9107</f>
        <v/>
      </c>
      <c r="D9107">
        <f>IF(B9107=1,INDEX('Data Entry'!$H$5:$BE$10004,9107-4,'Visual SPC'!$B$3),"")</f>
        <v/>
      </c>
      <c r="E9107">
        <f>IF(B9107=1,D9107,E9106)</f>
        <v/>
      </c>
      <c r="F9107">
        <f>IF(AND(B9107=1,C9107&gt;1,E9106&lt;&gt;""),ABS(D9107-E9106),"")</f>
        <v/>
      </c>
    </row>
    <row r="9108">
      <c r="A9108" t="n">
        <v>9108</v>
      </c>
      <c r="B9108">
        <f>IF(INDEX('Data Entry'!$H$5:$BE$10004,9108-4,'Visual SPC'!$B$3)="",0,IF(AND(OR('Visual SPC'!$C$4="",'Data Entry'!$C9108&gt;='Visual SPC'!$C$4),OR('Visual SPC'!$E$4="",'Data Entry'!$C9108&lt;='Visual SPC'!$E$4),OR('Visual SPC'!$G$4="",'Data Entry'!$D9108='Visual SPC'!$G$4),OR('Visual SPC'!$I$4="",'Data Entry'!$E9108='Visual SPC'!$I$4),OR('Visual SPC'!$K$4="",'Data Entry'!$F9108='Visual SPC'!$K$4)),1,0))</f>
        <v/>
      </c>
      <c r="C9108">
        <f>C9107+B9108</f>
        <v/>
      </c>
      <c r="D9108">
        <f>IF(B9108=1,INDEX('Data Entry'!$H$5:$BE$10004,9108-4,'Visual SPC'!$B$3),"")</f>
        <v/>
      </c>
      <c r="E9108">
        <f>IF(B9108=1,D9108,E9107)</f>
        <v/>
      </c>
      <c r="F9108">
        <f>IF(AND(B9108=1,C9108&gt;1,E9107&lt;&gt;""),ABS(D9108-E9107),"")</f>
        <v/>
      </c>
    </row>
    <row r="9109">
      <c r="A9109" t="n">
        <v>9109</v>
      </c>
      <c r="B9109">
        <f>IF(INDEX('Data Entry'!$H$5:$BE$10004,9109-4,'Visual SPC'!$B$3)="",0,IF(AND(OR('Visual SPC'!$C$4="",'Data Entry'!$C9109&gt;='Visual SPC'!$C$4),OR('Visual SPC'!$E$4="",'Data Entry'!$C9109&lt;='Visual SPC'!$E$4),OR('Visual SPC'!$G$4="",'Data Entry'!$D9109='Visual SPC'!$G$4),OR('Visual SPC'!$I$4="",'Data Entry'!$E9109='Visual SPC'!$I$4),OR('Visual SPC'!$K$4="",'Data Entry'!$F9109='Visual SPC'!$K$4)),1,0))</f>
        <v/>
      </c>
      <c r="C9109">
        <f>C9108+B9109</f>
        <v/>
      </c>
      <c r="D9109">
        <f>IF(B9109=1,INDEX('Data Entry'!$H$5:$BE$10004,9109-4,'Visual SPC'!$B$3),"")</f>
        <v/>
      </c>
      <c r="E9109">
        <f>IF(B9109=1,D9109,E9108)</f>
        <v/>
      </c>
      <c r="F9109">
        <f>IF(AND(B9109=1,C9109&gt;1,E9108&lt;&gt;""),ABS(D9109-E9108),"")</f>
        <v/>
      </c>
    </row>
    <row r="9110">
      <c r="A9110" t="n">
        <v>9110</v>
      </c>
      <c r="B9110">
        <f>IF(INDEX('Data Entry'!$H$5:$BE$10004,9110-4,'Visual SPC'!$B$3)="",0,IF(AND(OR('Visual SPC'!$C$4="",'Data Entry'!$C9110&gt;='Visual SPC'!$C$4),OR('Visual SPC'!$E$4="",'Data Entry'!$C9110&lt;='Visual SPC'!$E$4),OR('Visual SPC'!$G$4="",'Data Entry'!$D9110='Visual SPC'!$G$4),OR('Visual SPC'!$I$4="",'Data Entry'!$E9110='Visual SPC'!$I$4),OR('Visual SPC'!$K$4="",'Data Entry'!$F9110='Visual SPC'!$K$4)),1,0))</f>
        <v/>
      </c>
      <c r="C9110">
        <f>C9109+B9110</f>
        <v/>
      </c>
      <c r="D9110">
        <f>IF(B9110=1,INDEX('Data Entry'!$H$5:$BE$10004,9110-4,'Visual SPC'!$B$3),"")</f>
        <v/>
      </c>
      <c r="E9110">
        <f>IF(B9110=1,D9110,E9109)</f>
        <v/>
      </c>
      <c r="F9110">
        <f>IF(AND(B9110=1,C9110&gt;1,E9109&lt;&gt;""),ABS(D9110-E9109),"")</f>
        <v/>
      </c>
    </row>
    <row r="9111">
      <c r="A9111" t="n">
        <v>9111</v>
      </c>
      <c r="B9111">
        <f>IF(INDEX('Data Entry'!$H$5:$BE$10004,9111-4,'Visual SPC'!$B$3)="",0,IF(AND(OR('Visual SPC'!$C$4="",'Data Entry'!$C9111&gt;='Visual SPC'!$C$4),OR('Visual SPC'!$E$4="",'Data Entry'!$C9111&lt;='Visual SPC'!$E$4),OR('Visual SPC'!$G$4="",'Data Entry'!$D9111='Visual SPC'!$G$4),OR('Visual SPC'!$I$4="",'Data Entry'!$E9111='Visual SPC'!$I$4),OR('Visual SPC'!$K$4="",'Data Entry'!$F9111='Visual SPC'!$K$4)),1,0))</f>
        <v/>
      </c>
      <c r="C9111">
        <f>C9110+B9111</f>
        <v/>
      </c>
      <c r="D9111">
        <f>IF(B9111=1,INDEX('Data Entry'!$H$5:$BE$10004,9111-4,'Visual SPC'!$B$3),"")</f>
        <v/>
      </c>
      <c r="E9111">
        <f>IF(B9111=1,D9111,E9110)</f>
        <v/>
      </c>
      <c r="F9111">
        <f>IF(AND(B9111=1,C9111&gt;1,E9110&lt;&gt;""),ABS(D9111-E9110),"")</f>
        <v/>
      </c>
    </row>
    <row r="9112">
      <c r="A9112" t="n">
        <v>9112</v>
      </c>
      <c r="B9112">
        <f>IF(INDEX('Data Entry'!$H$5:$BE$10004,9112-4,'Visual SPC'!$B$3)="",0,IF(AND(OR('Visual SPC'!$C$4="",'Data Entry'!$C9112&gt;='Visual SPC'!$C$4),OR('Visual SPC'!$E$4="",'Data Entry'!$C9112&lt;='Visual SPC'!$E$4),OR('Visual SPC'!$G$4="",'Data Entry'!$D9112='Visual SPC'!$G$4),OR('Visual SPC'!$I$4="",'Data Entry'!$E9112='Visual SPC'!$I$4),OR('Visual SPC'!$K$4="",'Data Entry'!$F9112='Visual SPC'!$K$4)),1,0))</f>
        <v/>
      </c>
      <c r="C9112">
        <f>C9111+B9112</f>
        <v/>
      </c>
      <c r="D9112">
        <f>IF(B9112=1,INDEX('Data Entry'!$H$5:$BE$10004,9112-4,'Visual SPC'!$B$3),"")</f>
        <v/>
      </c>
      <c r="E9112">
        <f>IF(B9112=1,D9112,E9111)</f>
        <v/>
      </c>
      <c r="F9112">
        <f>IF(AND(B9112=1,C9112&gt;1,E9111&lt;&gt;""),ABS(D9112-E9111),"")</f>
        <v/>
      </c>
    </row>
    <row r="9113">
      <c r="A9113" t="n">
        <v>9113</v>
      </c>
      <c r="B9113">
        <f>IF(INDEX('Data Entry'!$H$5:$BE$10004,9113-4,'Visual SPC'!$B$3)="",0,IF(AND(OR('Visual SPC'!$C$4="",'Data Entry'!$C9113&gt;='Visual SPC'!$C$4),OR('Visual SPC'!$E$4="",'Data Entry'!$C9113&lt;='Visual SPC'!$E$4),OR('Visual SPC'!$G$4="",'Data Entry'!$D9113='Visual SPC'!$G$4),OR('Visual SPC'!$I$4="",'Data Entry'!$E9113='Visual SPC'!$I$4),OR('Visual SPC'!$K$4="",'Data Entry'!$F9113='Visual SPC'!$K$4)),1,0))</f>
        <v/>
      </c>
      <c r="C9113">
        <f>C9112+B9113</f>
        <v/>
      </c>
      <c r="D9113">
        <f>IF(B9113=1,INDEX('Data Entry'!$H$5:$BE$10004,9113-4,'Visual SPC'!$B$3),"")</f>
        <v/>
      </c>
      <c r="E9113">
        <f>IF(B9113=1,D9113,E9112)</f>
        <v/>
      </c>
      <c r="F9113">
        <f>IF(AND(B9113=1,C9113&gt;1,E9112&lt;&gt;""),ABS(D9113-E9112),"")</f>
        <v/>
      </c>
    </row>
    <row r="9114">
      <c r="A9114" t="n">
        <v>9114</v>
      </c>
      <c r="B9114">
        <f>IF(INDEX('Data Entry'!$H$5:$BE$10004,9114-4,'Visual SPC'!$B$3)="",0,IF(AND(OR('Visual SPC'!$C$4="",'Data Entry'!$C9114&gt;='Visual SPC'!$C$4),OR('Visual SPC'!$E$4="",'Data Entry'!$C9114&lt;='Visual SPC'!$E$4),OR('Visual SPC'!$G$4="",'Data Entry'!$D9114='Visual SPC'!$G$4),OR('Visual SPC'!$I$4="",'Data Entry'!$E9114='Visual SPC'!$I$4),OR('Visual SPC'!$K$4="",'Data Entry'!$F9114='Visual SPC'!$K$4)),1,0))</f>
        <v/>
      </c>
      <c r="C9114">
        <f>C9113+B9114</f>
        <v/>
      </c>
      <c r="D9114">
        <f>IF(B9114=1,INDEX('Data Entry'!$H$5:$BE$10004,9114-4,'Visual SPC'!$B$3),"")</f>
        <v/>
      </c>
      <c r="E9114">
        <f>IF(B9114=1,D9114,E9113)</f>
        <v/>
      </c>
      <c r="F9114">
        <f>IF(AND(B9114=1,C9114&gt;1,E9113&lt;&gt;""),ABS(D9114-E9113),"")</f>
        <v/>
      </c>
    </row>
    <row r="9115">
      <c r="A9115" t="n">
        <v>9115</v>
      </c>
      <c r="B9115">
        <f>IF(INDEX('Data Entry'!$H$5:$BE$10004,9115-4,'Visual SPC'!$B$3)="",0,IF(AND(OR('Visual SPC'!$C$4="",'Data Entry'!$C9115&gt;='Visual SPC'!$C$4),OR('Visual SPC'!$E$4="",'Data Entry'!$C9115&lt;='Visual SPC'!$E$4),OR('Visual SPC'!$G$4="",'Data Entry'!$D9115='Visual SPC'!$G$4),OR('Visual SPC'!$I$4="",'Data Entry'!$E9115='Visual SPC'!$I$4),OR('Visual SPC'!$K$4="",'Data Entry'!$F9115='Visual SPC'!$K$4)),1,0))</f>
        <v/>
      </c>
      <c r="C9115">
        <f>C9114+B9115</f>
        <v/>
      </c>
      <c r="D9115">
        <f>IF(B9115=1,INDEX('Data Entry'!$H$5:$BE$10004,9115-4,'Visual SPC'!$B$3),"")</f>
        <v/>
      </c>
      <c r="E9115">
        <f>IF(B9115=1,D9115,E9114)</f>
        <v/>
      </c>
      <c r="F9115">
        <f>IF(AND(B9115=1,C9115&gt;1,E9114&lt;&gt;""),ABS(D9115-E9114),"")</f>
        <v/>
      </c>
    </row>
    <row r="9116">
      <c r="A9116" t="n">
        <v>9116</v>
      </c>
      <c r="B9116">
        <f>IF(INDEX('Data Entry'!$H$5:$BE$10004,9116-4,'Visual SPC'!$B$3)="",0,IF(AND(OR('Visual SPC'!$C$4="",'Data Entry'!$C9116&gt;='Visual SPC'!$C$4),OR('Visual SPC'!$E$4="",'Data Entry'!$C9116&lt;='Visual SPC'!$E$4),OR('Visual SPC'!$G$4="",'Data Entry'!$D9116='Visual SPC'!$G$4),OR('Visual SPC'!$I$4="",'Data Entry'!$E9116='Visual SPC'!$I$4),OR('Visual SPC'!$K$4="",'Data Entry'!$F9116='Visual SPC'!$K$4)),1,0))</f>
        <v/>
      </c>
      <c r="C9116">
        <f>C9115+B9116</f>
        <v/>
      </c>
      <c r="D9116">
        <f>IF(B9116=1,INDEX('Data Entry'!$H$5:$BE$10004,9116-4,'Visual SPC'!$B$3),"")</f>
        <v/>
      </c>
      <c r="E9116">
        <f>IF(B9116=1,D9116,E9115)</f>
        <v/>
      </c>
      <c r="F9116">
        <f>IF(AND(B9116=1,C9116&gt;1,E9115&lt;&gt;""),ABS(D9116-E9115),"")</f>
        <v/>
      </c>
    </row>
    <row r="9117">
      <c r="A9117" t="n">
        <v>9117</v>
      </c>
      <c r="B9117">
        <f>IF(INDEX('Data Entry'!$H$5:$BE$10004,9117-4,'Visual SPC'!$B$3)="",0,IF(AND(OR('Visual SPC'!$C$4="",'Data Entry'!$C9117&gt;='Visual SPC'!$C$4),OR('Visual SPC'!$E$4="",'Data Entry'!$C9117&lt;='Visual SPC'!$E$4),OR('Visual SPC'!$G$4="",'Data Entry'!$D9117='Visual SPC'!$G$4),OR('Visual SPC'!$I$4="",'Data Entry'!$E9117='Visual SPC'!$I$4),OR('Visual SPC'!$K$4="",'Data Entry'!$F9117='Visual SPC'!$K$4)),1,0))</f>
        <v/>
      </c>
      <c r="C9117">
        <f>C9116+B9117</f>
        <v/>
      </c>
      <c r="D9117">
        <f>IF(B9117=1,INDEX('Data Entry'!$H$5:$BE$10004,9117-4,'Visual SPC'!$B$3),"")</f>
        <v/>
      </c>
      <c r="E9117">
        <f>IF(B9117=1,D9117,E9116)</f>
        <v/>
      </c>
      <c r="F9117">
        <f>IF(AND(B9117=1,C9117&gt;1,E9116&lt;&gt;""),ABS(D9117-E9116),"")</f>
        <v/>
      </c>
    </row>
    <row r="9118">
      <c r="A9118" t="n">
        <v>9118</v>
      </c>
      <c r="B9118">
        <f>IF(INDEX('Data Entry'!$H$5:$BE$10004,9118-4,'Visual SPC'!$B$3)="",0,IF(AND(OR('Visual SPC'!$C$4="",'Data Entry'!$C9118&gt;='Visual SPC'!$C$4),OR('Visual SPC'!$E$4="",'Data Entry'!$C9118&lt;='Visual SPC'!$E$4),OR('Visual SPC'!$G$4="",'Data Entry'!$D9118='Visual SPC'!$G$4),OR('Visual SPC'!$I$4="",'Data Entry'!$E9118='Visual SPC'!$I$4),OR('Visual SPC'!$K$4="",'Data Entry'!$F9118='Visual SPC'!$K$4)),1,0))</f>
        <v/>
      </c>
      <c r="C9118">
        <f>C9117+B9118</f>
        <v/>
      </c>
      <c r="D9118">
        <f>IF(B9118=1,INDEX('Data Entry'!$H$5:$BE$10004,9118-4,'Visual SPC'!$B$3),"")</f>
        <v/>
      </c>
      <c r="E9118">
        <f>IF(B9118=1,D9118,E9117)</f>
        <v/>
      </c>
      <c r="F9118">
        <f>IF(AND(B9118=1,C9118&gt;1,E9117&lt;&gt;""),ABS(D9118-E9117),"")</f>
        <v/>
      </c>
    </row>
    <row r="9119">
      <c r="A9119" t="n">
        <v>9119</v>
      </c>
      <c r="B9119">
        <f>IF(INDEX('Data Entry'!$H$5:$BE$10004,9119-4,'Visual SPC'!$B$3)="",0,IF(AND(OR('Visual SPC'!$C$4="",'Data Entry'!$C9119&gt;='Visual SPC'!$C$4),OR('Visual SPC'!$E$4="",'Data Entry'!$C9119&lt;='Visual SPC'!$E$4),OR('Visual SPC'!$G$4="",'Data Entry'!$D9119='Visual SPC'!$G$4),OR('Visual SPC'!$I$4="",'Data Entry'!$E9119='Visual SPC'!$I$4),OR('Visual SPC'!$K$4="",'Data Entry'!$F9119='Visual SPC'!$K$4)),1,0))</f>
        <v/>
      </c>
      <c r="C9119">
        <f>C9118+B9119</f>
        <v/>
      </c>
      <c r="D9119">
        <f>IF(B9119=1,INDEX('Data Entry'!$H$5:$BE$10004,9119-4,'Visual SPC'!$B$3),"")</f>
        <v/>
      </c>
      <c r="E9119">
        <f>IF(B9119=1,D9119,E9118)</f>
        <v/>
      </c>
      <c r="F9119">
        <f>IF(AND(B9119=1,C9119&gt;1,E9118&lt;&gt;""),ABS(D9119-E9118),"")</f>
        <v/>
      </c>
    </row>
    <row r="9120">
      <c r="A9120" t="n">
        <v>9120</v>
      </c>
      <c r="B9120">
        <f>IF(INDEX('Data Entry'!$H$5:$BE$10004,9120-4,'Visual SPC'!$B$3)="",0,IF(AND(OR('Visual SPC'!$C$4="",'Data Entry'!$C9120&gt;='Visual SPC'!$C$4),OR('Visual SPC'!$E$4="",'Data Entry'!$C9120&lt;='Visual SPC'!$E$4),OR('Visual SPC'!$G$4="",'Data Entry'!$D9120='Visual SPC'!$G$4),OR('Visual SPC'!$I$4="",'Data Entry'!$E9120='Visual SPC'!$I$4),OR('Visual SPC'!$K$4="",'Data Entry'!$F9120='Visual SPC'!$K$4)),1,0))</f>
        <v/>
      </c>
      <c r="C9120">
        <f>C9119+B9120</f>
        <v/>
      </c>
      <c r="D9120">
        <f>IF(B9120=1,INDEX('Data Entry'!$H$5:$BE$10004,9120-4,'Visual SPC'!$B$3),"")</f>
        <v/>
      </c>
      <c r="E9120">
        <f>IF(B9120=1,D9120,E9119)</f>
        <v/>
      </c>
      <c r="F9120">
        <f>IF(AND(B9120=1,C9120&gt;1,E9119&lt;&gt;""),ABS(D9120-E9119),"")</f>
        <v/>
      </c>
    </row>
    <row r="9121">
      <c r="A9121" t="n">
        <v>9121</v>
      </c>
      <c r="B9121">
        <f>IF(INDEX('Data Entry'!$H$5:$BE$10004,9121-4,'Visual SPC'!$B$3)="",0,IF(AND(OR('Visual SPC'!$C$4="",'Data Entry'!$C9121&gt;='Visual SPC'!$C$4),OR('Visual SPC'!$E$4="",'Data Entry'!$C9121&lt;='Visual SPC'!$E$4),OR('Visual SPC'!$G$4="",'Data Entry'!$D9121='Visual SPC'!$G$4),OR('Visual SPC'!$I$4="",'Data Entry'!$E9121='Visual SPC'!$I$4),OR('Visual SPC'!$K$4="",'Data Entry'!$F9121='Visual SPC'!$K$4)),1,0))</f>
        <v/>
      </c>
      <c r="C9121">
        <f>C9120+B9121</f>
        <v/>
      </c>
      <c r="D9121">
        <f>IF(B9121=1,INDEX('Data Entry'!$H$5:$BE$10004,9121-4,'Visual SPC'!$B$3),"")</f>
        <v/>
      </c>
      <c r="E9121">
        <f>IF(B9121=1,D9121,E9120)</f>
        <v/>
      </c>
      <c r="F9121">
        <f>IF(AND(B9121=1,C9121&gt;1,E9120&lt;&gt;""),ABS(D9121-E9120),"")</f>
        <v/>
      </c>
    </row>
    <row r="9122">
      <c r="A9122" t="n">
        <v>9122</v>
      </c>
      <c r="B9122">
        <f>IF(INDEX('Data Entry'!$H$5:$BE$10004,9122-4,'Visual SPC'!$B$3)="",0,IF(AND(OR('Visual SPC'!$C$4="",'Data Entry'!$C9122&gt;='Visual SPC'!$C$4),OR('Visual SPC'!$E$4="",'Data Entry'!$C9122&lt;='Visual SPC'!$E$4),OR('Visual SPC'!$G$4="",'Data Entry'!$D9122='Visual SPC'!$G$4),OR('Visual SPC'!$I$4="",'Data Entry'!$E9122='Visual SPC'!$I$4),OR('Visual SPC'!$K$4="",'Data Entry'!$F9122='Visual SPC'!$K$4)),1,0))</f>
        <v/>
      </c>
      <c r="C9122">
        <f>C9121+B9122</f>
        <v/>
      </c>
      <c r="D9122">
        <f>IF(B9122=1,INDEX('Data Entry'!$H$5:$BE$10004,9122-4,'Visual SPC'!$B$3),"")</f>
        <v/>
      </c>
      <c r="E9122">
        <f>IF(B9122=1,D9122,E9121)</f>
        <v/>
      </c>
      <c r="F9122">
        <f>IF(AND(B9122=1,C9122&gt;1,E9121&lt;&gt;""),ABS(D9122-E9121),"")</f>
        <v/>
      </c>
    </row>
    <row r="9123">
      <c r="A9123" t="n">
        <v>9123</v>
      </c>
      <c r="B9123">
        <f>IF(INDEX('Data Entry'!$H$5:$BE$10004,9123-4,'Visual SPC'!$B$3)="",0,IF(AND(OR('Visual SPC'!$C$4="",'Data Entry'!$C9123&gt;='Visual SPC'!$C$4),OR('Visual SPC'!$E$4="",'Data Entry'!$C9123&lt;='Visual SPC'!$E$4),OR('Visual SPC'!$G$4="",'Data Entry'!$D9123='Visual SPC'!$G$4),OR('Visual SPC'!$I$4="",'Data Entry'!$E9123='Visual SPC'!$I$4),OR('Visual SPC'!$K$4="",'Data Entry'!$F9123='Visual SPC'!$K$4)),1,0))</f>
        <v/>
      </c>
      <c r="C9123">
        <f>C9122+B9123</f>
        <v/>
      </c>
      <c r="D9123">
        <f>IF(B9123=1,INDEX('Data Entry'!$H$5:$BE$10004,9123-4,'Visual SPC'!$B$3),"")</f>
        <v/>
      </c>
      <c r="E9123">
        <f>IF(B9123=1,D9123,E9122)</f>
        <v/>
      </c>
      <c r="F9123">
        <f>IF(AND(B9123=1,C9123&gt;1,E9122&lt;&gt;""),ABS(D9123-E9122),"")</f>
        <v/>
      </c>
    </row>
    <row r="9124">
      <c r="A9124" t="n">
        <v>9124</v>
      </c>
      <c r="B9124">
        <f>IF(INDEX('Data Entry'!$H$5:$BE$10004,9124-4,'Visual SPC'!$B$3)="",0,IF(AND(OR('Visual SPC'!$C$4="",'Data Entry'!$C9124&gt;='Visual SPC'!$C$4),OR('Visual SPC'!$E$4="",'Data Entry'!$C9124&lt;='Visual SPC'!$E$4),OR('Visual SPC'!$G$4="",'Data Entry'!$D9124='Visual SPC'!$G$4),OR('Visual SPC'!$I$4="",'Data Entry'!$E9124='Visual SPC'!$I$4),OR('Visual SPC'!$K$4="",'Data Entry'!$F9124='Visual SPC'!$K$4)),1,0))</f>
        <v/>
      </c>
      <c r="C9124">
        <f>C9123+B9124</f>
        <v/>
      </c>
      <c r="D9124">
        <f>IF(B9124=1,INDEX('Data Entry'!$H$5:$BE$10004,9124-4,'Visual SPC'!$B$3),"")</f>
        <v/>
      </c>
      <c r="E9124">
        <f>IF(B9124=1,D9124,E9123)</f>
        <v/>
      </c>
      <c r="F9124">
        <f>IF(AND(B9124=1,C9124&gt;1,E9123&lt;&gt;""),ABS(D9124-E9123),"")</f>
        <v/>
      </c>
    </row>
    <row r="9125">
      <c r="A9125" t="n">
        <v>9125</v>
      </c>
      <c r="B9125">
        <f>IF(INDEX('Data Entry'!$H$5:$BE$10004,9125-4,'Visual SPC'!$B$3)="",0,IF(AND(OR('Visual SPC'!$C$4="",'Data Entry'!$C9125&gt;='Visual SPC'!$C$4),OR('Visual SPC'!$E$4="",'Data Entry'!$C9125&lt;='Visual SPC'!$E$4),OR('Visual SPC'!$G$4="",'Data Entry'!$D9125='Visual SPC'!$G$4),OR('Visual SPC'!$I$4="",'Data Entry'!$E9125='Visual SPC'!$I$4),OR('Visual SPC'!$K$4="",'Data Entry'!$F9125='Visual SPC'!$K$4)),1,0))</f>
        <v/>
      </c>
      <c r="C9125">
        <f>C9124+B9125</f>
        <v/>
      </c>
      <c r="D9125">
        <f>IF(B9125=1,INDEX('Data Entry'!$H$5:$BE$10004,9125-4,'Visual SPC'!$B$3),"")</f>
        <v/>
      </c>
      <c r="E9125">
        <f>IF(B9125=1,D9125,E9124)</f>
        <v/>
      </c>
      <c r="F9125">
        <f>IF(AND(B9125=1,C9125&gt;1,E9124&lt;&gt;""),ABS(D9125-E9124),"")</f>
        <v/>
      </c>
    </row>
    <row r="9126">
      <c r="A9126" t="n">
        <v>9126</v>
      </c>
      <c r="B9126">
        <f>IF(INDEX('Data Entry'!$H$5:$BE$10004,9126-4,'Visual SPC'!$B$3)="",0,IF(AND(OR('Visual SPC'!$C$4="",'Data Entry'!$C9126&gt;='Visual SPC'!$C$4),OR('Visual SPC'!$E$4="",'Data Entry'!$C9126&lt;='Visual SPC'!$E$4),OR('Visual SPC'!$G$4="",'Data Entry'!$D9126='Visual SPC'!$G$4),OR('Visual SPC'!$I$4="",'Data Entry'!$E9126='Visual SPC'!$I$4),OR('Visual SPC'!$K$4="",'Data Entry'!$F9126='Visual SPC'!$K$4)),1,0))</f>
        <v/>
      </c>
      <c r="C9126">
        <f>C9125+B9126</f>
        <v/>
      </c>
      <c r="D9126">
        <f>IF(B9126=1,INDEX('Data Entry'!$H$5:$BE$10004,9126-4,'Visual SPC'!$B$3),"")</f>
        <v/>
      </c>
      <c r="E9126">
        <f>IF(B9126=1,D9126,E9125)</f>
        <v/>
      </c>
      <c r="F9126">
        <f>IF(AND(B9126=1,C9126&gt;1,E9125&lt;&gt;""),ABS(D9126-E9125),"")</f>
        <v/>
      </c>
    </row>
    <row r="9127">
      <c r="A9127" t="n">
        <v>9127</v>
      </c>
      <c r="B9127">
        <f>IF(INDEX('Data Entry'!$H$5:$BE$10004,9127-4,'Visual SPC'!$B$3)="",0,IF(AND(OR('Visual SPC'!$C$4="",'Data Entry'!$C9127&gt;='Visual SPC'!$C$4),OR('Visual SPC'!$E$4="",'Data Entry'!$C9127&lt;='Visual SPC'!$E$4),OR('Visual SPC'!$G$4="",'Data Entry'!$D9127='Visual SPC'!$G$4),OR('Visual SPC'!$I$4="",'Data Entry'!$E9127='Visual SPC'!$I$4),OR('Visual SPC'!$K$4="",'Data Entry'!$F9127='Visual SPC'!$K$4)),1,0))</f>
        <v/>
      </c>
      <c r="C9127">
        <f>C9126+B9127</f>
        <v/>
      </c>
      <c r="D9127">
        <f>IF(B9127=1,INDEX('Data Entry'!$H$5:$BE$10004,9127-4,'Visual SPC'!$B$3),"")</f>
        <v/>
      </c>
      <c r="E9127">
        <f>IF(B9127=1,D9127,E9126)</f>
        <v/>
      </c>
      <c r="F9127">
        <f>IF(AND(B9127=1,C9127&gt;1,E9126&lt;&gt;""),ABS(D9127-E9126),"")</f>
        <v/>
      </c>
    </row>
    <row r="9128">
      <c r="A9128" t="n">
        <v>9128</v>
      </c>
      <c r="B9128">
        <f>IF(INDEX('Data Entry'!$H$5:$BE$10004,9128-4,'Visual SPC'!$B$3)="",0,IF(AND(OR('Visual SPC'!$C$4="",'Data Entry'!$C9128&gt;='Visual SPC'!$C$4),OR('Visual SPC'!$E$4="",'Data Entry'!$C9128&lt;='Visual SPC'!$E$4),OR('Visual SPC'!$G$4="",'Data Entry'!$D9128='Visual SPC'!$G$4),OR('Visual SPC'!$I$4="",'Data Entry'!$E9128='Visual SPC'!$I$4),OR('Visual SPC'!$K$4="",'Data Entry'!$F9128='Visual SPC'!$K$4)),1,0))</f>
        <v/>
      </c>
      <c r="C9128">
        <f>C9127+B9128</f>
        <v/>
      </c>
      <c r="D9128">
        <f>IF(B9128=1,INDEX('Data Entry'!$H$5:$BE$10004,9128-4,'Visual SPC'!$B$3),"")</f>
        <v/>
      </c>
      <c r="E9128">
        <f>IF(B9128=1,D9128,E9127)</f>
        <v/>
      </c>
      <c r="F9128">
        <f>IF(AND(B9128=1,C9128&gt;1,E9127&lt;&gt;""),ABS(D9128-E9127),"")</f>
        <v/>
      </c>
    </row>
    <row r="9129">
      <c r="A9129" t="n">
        <v>9129</v>
      </c>
      <c r="B9129">
        <f>IF(INDEX('Data Entry'!$H$5:$BE$10004,9129-4,'Visual SPC'!$B$3)="",0,IF(AND(OR('Visual SPC'!$C$4="",'Data Entry'!$C9129&gt;='Visual SPC'!$C$4),OR('Visual SPC'!$E$4="",'Data Entry'!$C9129&lt;='Visual SPC'!$E$4),OR('Visual SPC'!$G$4="",'Data Entry'!$D9129='Visual SPC'!$G$4),OR('Visual SPC'!$I$4="",'Data Entry'!$E9129='Visual SPC'!$I$4),OR('Visual SPC'!$K$4="",'Data Entry'!$F9129='Visual SPC'!$K$4)),1,0))</f>
        <v/>
      </c>
      <c r="C9129">
        <f>C9128+B9129</f>
        <v/>
      </c>
      <c r="D9129">
        <f>IF(B9129=1,INDEX('Data Entry'!$H$5:$BE$10004,9129-4,'Visual SPC'!$B$3),"")</f>
        <v/>
      </c>
      <c r="E9129">
        <f>IF(B9129=1,D9129,E9128)</f>
        <v/>
      </c>
      <c r="F9129">
        <f>IF(AND(B9129=1,C9129&gt;1,E9128&lt;&gt;""),ABS(D9129-E9128),"")</f>
        <v/>
      </c>
    </row>
    <row r="9130">
      <c r="A9130" t="n">
        <v>9130</v>
      </c>
      <c r="B9130">
        <f>IF(INDEX('Data Entry'!$H$5:$BE$10004,9130-4,'Visual SPC'!$B$3)="",0,IF(AND(OR('Visual SPC'!$C$4="",'Data Entry'!$C9130&gt;='Visual SPC'!$C$4),OR('Visual SPC'!$E$4="",'Data Entry'!$C9130&lt;='Visual SPC'!$E$4),OR('Visual SPC'!$G$4="",'Data Entry'!$D9130='Visual SPC'!$G$4),OR('Visual SPC'!$I$4="",'Data Entry'!$E9130='Visual SPC'!$I$4),OR('Visual SPC'!$K$4="",'Data Entry'!$F9130='Visual SPC'!$K$4)),1,0))</f>
        <v/>
      </c>
      <c r="C9130">
        <f>C9129+B9130</f>
        <v/>
      </c>
      <c r="D9130">
        <f>IF(B9130=1,INDEX('Data Entry'!$H$5:$BE$10004,9130-4,'Visual SPC'!$B$3),"")</f>
        <v/>
      </c>
      <c r="E9130">
        <f>IF(B9130=1,D9130,E9129)</f>
        <v/>
      </c>
      <c r="F9130">
        <f>IF(AND(B9130=1,C9130&gt;1,E9129&lt;&gt;""),ABS(D9130-E9129),"")</f>
        <v/>
      </c>
    </row>
    <row r="9131">
      <c r="A9131" t="n">
        <v>9131</v>
      </c>
      <c r="B9131">
        <f>IF(INDEX('Data Entry'!$H$5:$BE$10004,9131-4,'Visual SPC'!$B$3)="",0,IF(AND(OR('Visual SPC'!$C$4="",'Data Entry'!$C9131&gt;='Visual SPC'!$C$4),OR('Visual SPC'!$E$4="",'Data Entry'!$C9131&lt;='Visual SPC'!$E$4),OR('Visual SPC'!$G$4="",'Data Entry'!$D9131='Visual SPC'!$G$4),OR('Visual SPC'!$I$4="",'Data Entry'!$E9131='Visual SPC'!$I$4),OR('Visual SPC'!$K$4="",'Data Entry'!$F9131='Visual SPC'!$K$4)),1,0))</f>
        <v/>
      </c>
      <c r="C9131">
        <f>C9130+B9131</f>
        <v/>
      </c>
      <c r="D9131">
        <f>IF(B9131=1,INDEX('Data Entry'!$H$5:$BE$10004,9131-4,'Visual SPC'!$B$3),"")</f>
        <v/>
      </c>
      <c r="E9131">
        <f>IF(B9131=1,D9131,E9130)</f>
        <v/>
      </c>
      <c r="F9131">
        <f>IF(AND(B9131=1,C9131&gt;1,E9130&lt;&gt;""),ABS(D9131-E9130),"")</f>
        <v/>
      </c>
    </row>
    <row r="9132">
      <c r="A9132" t="n">
        <v>9132</v>
      </c>
      <c r="B9132">
        <f>IF(INDEX('Data Entry'!$H$5:$BE$10004,9132-4,'Visual SPC'!$B$3)="",0,IF(AND(OR('Visual SPC'!$C$4="",'Data Entry'!$C9132&gt;='Visual SPC'!$C$4),OR('Visual SPC'!$E$4="",'Data Entry'!$C9132&lt;='Visual SPC'!$E$4),OR('Visual SPC'!$G$4="",'Data Entry'!$D9132='Visual SPC'!$G$4),OR('Visual SPC'!$I$4="",'Data Entry'!$E9132='Visual SPC'!$I$4),OR('Visual SPC'!$K$4="",'Data Entry'!$F9132='Visual SPC'!$K$4)),1,0))</f>
        <v/>
      </c>
      <c r="C9132">
        <f>C9131+B9132</f>
        <v/>
      </c>
      <c r="D9132">
        <f>IF(B9132=1,INDEX('Data Entry'!$H$5:$BE$10004,9132-4,'Visual SPC'!$B$3),"")</f>
        <v/>
      </c>
      <c r="E9132">
        <f>IF(B9132=1,D9132,E9131)</f>
        <v/>
      </c>
      <c r="F9132">
        <f>IF(AND(B9132=1,C9132&gt;1,E9131&lt;&gt;""),ABS(D9132-E9131),"")</f>
        <v/>
      </c>
    </row>
    <row r="9133">
      <c r="A9133" t="n">
        <v>9133</v>
      </c>
      <c r="B9133">
        <f>IF(INDEX('Data Entry'!$H$5:$BE$10004,9133-4,'Visual SPC'!$B$3)="",0,IF(AND(OR('Visual SPC'!$C$4="",'Data Entry'!$C9133&gt;='Visual SPC'!$C$4),OR('Visual SPC'!$E$4="",'Data Entry'!$C9133&lt;='Visual SPC'!$E$4),OR('Visual SPC'!$G$4="",'Data Entry'!$D9133='Visual SPC'!$G$4),OR('Visual SPC'!$I$4="",'Data Entry'!$E9133='Visual SPC'!$I$4),OR('Visual SPC'!$K$4="",'Data Entry'!$F9133='Visual SPC'!$K$4)),1,0))</f>
        <v/>
      </c>
      <c r="C9133">
        <f>C9132+B9133</f>
        <v/>
      </c>
      <c r="D9133">
        <f>IF(B9133=1,INDEX('Data Entry'!$H$5:$BE$10004,9133-4,'Visual SPC'!$B$3),"")</f>
        <v/>
      </c>
      <c r="E9133">
        <f>IF(B9133=1,D9133,E9132)</f>
        <v/>
      </c>
      <c r="F9133">
        <f>IF(AND(B9133=1,C9133&gt;1,E9132&lt;&gt;""),ABS(D9133-E9132),"")</f>
        <v/>
      </c>
    </row>
    <row r="9134">
      <c r="A9134" t="n">
        <v>9134</v>
      </c>
      <c r="B9134">
        <f>IF(INDEX('Data Entry'!$H$5:$BE$10004,9134-4,'Visual SPC'!$B$3)="",0,IF(AND(OR('Visual SPC'!$C$4="",'Data Entry'!$C9134&gt;='Visual SPC'!$C$4),OR('Visual SPC'!$E$4="",'Data Entry'!$C9134&lt;='Visual SPC'!$E$4),OR('Visual SPC'!$G$4="",'Data Entry'!$D9134='Visual SPC'!$G$4),OR('Visual SPC'!$I$4="",'Data Entry'!$E9134='Visual SPC'!$I$4),OR('Visual SPC'!$K$4="",'Data Entry'!$F9134='Visual SPC'!$K$4)),1,0))</f>
        <v/>
      </c>
      <c r="C9134">
        <f>C9133+B9134</f>
        <v/>
      </c>
      <c r="D9134">
        <f>IF(B9134=1,INDEX('Data Entry'!$H$5:$BE$10004,9134-4,'Visual SPC'!$B$3),"")</f>
        <v/>
      </c>
      <c r="E9134">
        <f>IF(B9134=1,D9134,E9133)</f>
        <v/>
      </c>
      <c r="F9134">
        <f>IF(AND(B9134=1,C9134&gt;1,E9133&lt;&gt;""),ABS(D9134-E9133),"")</f>
        <v/>
      </c>
    </row>
    <row r="9135">
      <c r="A9135" t="n">
        <v>9135</v>
      </c>
      <c r="B9135">
        <f>IF(INDEX('Data Entry'!$H$5:$BE$10004,9135-4,'Visual SPC'!$B$3)="",0,IF(AND(OR('Visual SPC'!$C$4="",'Data Entry'!$C9135&gt;='Visual SPC'!$C$4),OR('Visual SPC'!$E$4="",'Data Entry'!$C9135&lt;='Visual SPC'!$E$4),OR('Visual SPC'!$G$4="",'Data Entry'!$D9135='Visual SPC'!$G$4),OR('Visual SPC'!$I$4="",'Data Entry'!$E9135='Visual SPC'!$I$4),OR('Visual SPC'!$K$4="",'Data Entry'!$F9135='Visual SPC'!$K$4)),1,0))</f>
        <v/>
      </c>
      <c r="C9135">
        <f>C9134+B9135</f>
        <v/>
      </c>
      <c r="D9135">
        <f>IF(B9135=1,INDEX('Data Entry'!$H$5:$BE$10004,9135-4,'Visual SPC'!$B$3),"")</f>
        <v/>
      </c>
      <c r="E9135">
        <f>IF(B9135=1,D9135,E9134)</f>
        <v/>
      </c>
      <c r="F9135">
        <f>IF(AND(B9135=1,C9135&gt;1,E9134&lt;&gt;""),ABS(D9135-E9134),"")</f>
        <v/>
      </c>
    </row>
    <row r="9136">
      <c r="A9136" t="n">
        <v>9136</v>
      </c>
      <c r="B9136">
        <f>IF(INDEX('Data Entry'!$H$5:$BE$10004,9136-4,'Visual SPC'!$B$3)="",0,IF(AND(OR('Visual SPC'!$C$4="",'Data Entry'!$C9136&gt;='Visual SPC'!$C$4),OR('Visual SPC'!$E$4="",'Data Entry'!$C9136&lt;='Visual SPC'!$E$4),OR('Visual SPC'!$G$4="",'Data Entry'!$D9136='Visual SPC'!$G$4),OR('Visual SPC'!$I$4="",'Data Entry'!$E9136='Visual SPC'!$I$4),OR('Visual SPC'!$K$4="",'Data Entry'!$F9136='Visual SPC'!$K$4)),1,0))</f>
        <v/>
      </c>
      <c r="C9136">
        <f>C9135+B9136</f>
        <v/>
      </c>
      <c r="D9136">
        <f>IF(B9136=1,INDEX('Data Entry'!$H$5:$BE$10004,9136-4,'Visual SPC'!$B$3),"")</f>
        <v/>
      </c>
      <c r="E9136">
        <f>IF(B9136=1,D9136,E9135)</f>
        <v/>
      </c>
      <c r="F9136">
        <f>IF(AND(B9136=1,C9136&gt;1,E9135&lt;&gt;""),ABS(D9136-E9135),"")</f>
        <v/>
      </c>
    </row>
    <row r="9137">
      <c r="A9137" t="n">
        <v>9137</v>
      </c>
      <c r="B9137">
        <f>IF(INDEX('Data Entry'!$H$5:$BE$10004,9137-4,'Visual SPC'!$B$3)="",0,IF(AND(OR('Visual SPC'!$C$4="",'Data Entry'!$C9137&gt;='Visual SPC'!$C$4),OR('Visual SPC'!$E$4="",'Data Entry'!$C9137&lt;='Visual SPC'!$E$4),OR('Visual SPC'!$G$4="",'Data Entry'!$D9137='Visual SPC'!$G$4),OR('Visual SPC'!$I$4="",'Data Entry'!$E9137='Visual SPC'!$I$4),OR('Visual SPC'!$K$4="",'Data Entry'!$F9137='Visual SPC'!$K$4)),1,0))</f>
        <v/>
      </c>
      <c r="C9137">
        <f>C9136+B9137</f>
        <v/>
      </c>
      <c r="D9137">
        <f>IF(B9137=1,INDEX('Data Entry'!$H$5:$BE$10004,9137-4,'Visual SPC'!$B$3),"")</f>
        <v/>
      </c>
      <c r="E9137">
        <f>IF(B9137=1,D9137,E9136)</f>
        <v/>
      </c>
      <c r="F9137">
        <f>IF(AND(B9137=1,C9137&gt;1,E9136&lt;&gt;""),ABS(D9137-E9136),"")</f>
        <v/>
      </c>
    </row>
    <row r="9138">
      <c r="A9138" t="n">
        <v>9138</v>
      </c>
      <c r="B9138">
        <f>IF(INDEX('Data Entry'!$H$5:$BE$10004,9138-4,'Visual SPC'!$B$3)="",0,IF(AND(OR('Visual SPC'!$C$4="",'Data Entry'!$C9138&gt;='Visual SPC'!$C$4),OR('Visual SPC'!$E$4="",'Data Entry'!$C9138&lt;='Visual SPC'!$E$4),OR('Visual SPC'!$G$4="",'Data Entry'!$D9138='Visual SPC'!$G$4),OR('Visual SPC'!$I$4="",'Data Entry'!$E9138='Visual SPC'!$I$4),OR('Visual SPC'!$K$4="",'Data Entry'!$F9138='Visual SPC'!$K$4)),1,0))</f>
        <v/>
      </c>
      <c r="C9138">
        <f>C9137+B9138</f>
        <v/>
      </c>
      <c r="D9138">
        <f>IF(B9138=1,INDEX('Data Entry'!$H$5:$BE$10004,9138-4,'Visual SPC'!$B$3),"")</f>
        <v/>
      </c>
      <c r="E9138">
        <f>IF(B9138=1,D9138,E9137)</f>
        <v/>
      </c>
      <c r="F9138">
        <f>IF(AND(B9138=1,C9138&gt;1,E9137&lt;&gt;""),ABS(D9138-E9137),"")</f>
        <v/>
      </c>
    </row>
    <row r="9139">
      <c r="A9139" t="n">
        <v>9139</v>
      </c>
      <c r="B9139">
        <f>IF(INDEX('Data Entry'!$H$5:$BE$10004,9139-4,'Visual SPC'!$B$3)="",0,IF(AND(OR('Visual SPC'!$C$4="",'Data Entry'!$C9139&gt;='Visual SPC'!$C$4),OR('Visual SPC'!$E$4="",'Data Entry'!$C9139&lt;='Visual SPC'!$E$4),OR('Visual SPC'!$G$4="",'Data Entry'!$D9139='Visual SPC'!$G$4),OR('Visual SPC'!$I$4="",'Data Entry'!$E9139='Visual SPC'!$I$4),OR('Visual SPC'!$K$4="",'Data Entry'!$F9139='Visual SPC'!$K$4)),1,0))</f>
        <v/>
      </c>
      <c r="C9139">
        <f>C9138+B9139</f>
        <v/>
      </c>
      <c r="D9139">
        <f>IF(B9139=1,INDEX('Data Entry'!$H$5:$BE$10004,9139-4,'Visual SPC'!$B$3),"")</f>
        <v/>
      </c>
      <c r="E9139">
        <f>IF(B9139=1,D9139,E9138)</f>
        <v/>
      </c>
      <c r="F9139">
        <f>IF(AND(B9139=1,C9139&gt;1,E9138&lt;&gt;""),ABS(D9139-E9138),"")</f>
        <v/>
      </c>
    </row>
    <row r="9140">
      <c r="A9140" t="n">
        <v>9140</v>
      </c>
      <c r="B9140">
        <f>IF(INDEX('Data Entry'!$H$5:$BE$10004,9140-4,'Visual SPC'!$B$3)="",0,IF(AND(OR('Visual SPC'!$C$4="",'Data Entry'!$C9140&gt;='Visual SPC'!$C$4),OR('Visual SPC'!$E$4="",'Data Entry'!$C9140&lt;='Visual SPC'!$E$4),OR('Visual SPC'!$G$4="",'Data Entry'!$D9140='Visual SPC'!$G$4),OR('Visual SPC'!$I$4="",'Data Entry'!$E9140='Visual SPC'!$I$4),OR('Visual SPC'!$K$4="",'Data Entry'!$F9140='Visual SPC'!$K$4)),1,0))</f>
        <v/>
      </c>
      <c r="C9140">
        <f>C9139+B9140</f>
        <v/>
      </c>
      <c r="D9140">
        <f>IF(B9140=1,INDEX('Data Entry'!$H$5:$BE$10004,9140-4,'Visual SPC'!$B$3),"")</f>
        <v/>
      </c>
      <c r="E9140">
        <f>IF(B9140=1,D9140,E9139)</f>
        <v/>
      </c>
      <c r="F9140">
        <f>IF(AND(B9140=1,C9140&gt;1,E9139&lt;&gt;""),ABS(D9140-E9139),"")</f>
        <v/>
      </c>
    </row>
    <row r="9141">
      <c r="A9141" t="n">
        <v>9141</v>
      </c>
      <c r="B9141">
        <f>IF(INDEX('Data Entry'!$H$5:$BE$10004,9141-4,'Visual SPC'!$B$3)="",0,IF(AND(OR('Visual SPC'!$C$4="",'Data Entry'!$C9141&gt;='Visual SPC'!$C$4),OR('Visual SPC'!$E$4="",'Data Entry'!$C9141&lt;='Visual SPC'!$E$4),OR('Visual SPC'!$G$4="",'Data Entry'!$D9141='Visual SPC'!$G$4),OR('Visual SPC'!$I$4="",'Data Entry'!$E9141='Visual SPC'!$I$4),OR('Visual SPC'!$K$4="",'Data Entry'!$F9141='Visual SPC'!$K$4)),1,0))</f>
        <v/>
      </c>
      <c r="C9141">
        <f>C9140+B9141</f>
        <v/>
      </c>
      <c r="D9141">
        <f>IF(B9141=1,INDEX('Data Entry'!$H$5:$BE$10004,9141-4,'Visual SPC'!$B$3),"")</f>
        <v/>
      </c>
      <c r="E9141">
        <f>IF(B9141=1,D9141,E9140)</f>
        <v/>
      </c>
      <c r="F9141">
        <f>IF(AND(B9141=1,C9141&gt;1,E9140&lt;&gt;""),ABS(D9141-E9140),"")</f>
        <v/>
      </c>
    </row>
    <row r="9142">
      <c r="A9142" t="n">
        <v>9142</v>
      </c>
      <c r="B9142">
        <f>IF(INDEX('Data Entry'!$H$5:$BE$10004,9142-4,'Visual SPC'!$B$3)="",0,IF(AND(OR('Visual SPC'!$C$4="",'Data Entry'!$C9142&gt;='Visual SPC'!$C$4),OR('Visual SPC'!$E$4="",'Data Entry'!$C9142&lt;='Visual SPC'!$E$4),OR('Visual SPC'!$G$4="",'Data Entry'!$D9142='Visual SPC'!$G$4),OR('Visual SPC'!$I$4="",'Data Entry'!$E9142='Visual SPC'!$I$4),OR('Visual SPC'!$K$4="",'Data Entry'!$F9142='Visual SPC'!$K$4)),1,0))</f>
        <v/>
      </c>
      <c r="C9142">
        <f>C9141+B9142</f>
        <v/>
      </c>
      <c r="D9142">
        <f>IF(B9142=1,INDEX('Data Entry'!$H$5:$BE$10004,9142-4,'Visual SPC'!$B$3),"")</f>
        <v/>
      </c>
      <c r="E9142">
        <f>IF(B9142=1,D9142,E9141)</f>
        <v/>
      </c>
      <c r="F9142">
        <f>IF(AND(B9142=1,C9142&gt;1,E9141&lt;&gt;""),ABS(D9142-E9141),"")</f>
        <v/>
      </c>
    </row>
    <row r="9143">
      <c r="A9143" t="n">
        <v>9143</v>
      </c>
      <c r="B9143">
        <f>IF(INDEX('Data Entry'!$H$5:$BE$10004,9143-4,'Visual SPC'!$B$3)="",0,IF(AND(OR('Visual SPC'!$C$4="",'Data Entry'!$C9143&gt;='Visual SPC'!$C$4),OR('Visual SPC'!$E$4="",'Data Entry'!$C9143&lt;='Visual SPC'!$E$4),OR('Visual SPC'!$G$4="",'Data Entry'!$D9143='Visual SPC'!$G$4),OR('Visual SPC'!$I$4="",'Data Entry'!$E9143='Visual SPC'!$I$4),OR('Visual SPC'!$K$4="",'Data Entry'!$F9143='Visual SPC'!$K$4)),1,0))</f>
        <v/>
      </c>
      <c r="C9143">
        <f>C9142+B9143</f>
        <v/>
      </c>
      <c r="D9143">
        <f>IF(B9143=1,INDEX('Data Entry'!$H$5:$BE$10004,9143-4,'Visual SPC'!$B$3),"")</f>
        <v/>
      </c>
      <c r="E9143">
        <f>IF(B9143=1,D9143,E9142)</f>
        <v/>
      </c>
      <c r="F9143">
        <f>IF(AND(B9143=1,C9143&gt;1,E9142&lt;&gt;""),ABS(D9143-E9142),"")</f>
        <v/>
      </c>
    </row>
    <row r="9144">
      <c r="A9144" t="n">
        <v>9144</v>
      </c>
      <c r="B9144">
        <f>IF(INDEX('Data Entry'!$H$5:$BE$10004,9144-4,'Visual SPC'!$B$3)="",0,IF(AND(OR('Visual SPC'!$C$4="",'Data Entry'!$C9144&gt;='Visual SPC'!$C$4),OR('Visual SPC'!$E$4="",'Data Entry'!$C9144&lt;='Visual SPC'!$E$4),OR('Visual SPC'!$G$4="",'Data Entry'!$D9144='Visual SPC'!$G$4),OR('Visual SPC'!$I$4="",'Data Entry'!$E9144='Visual SPC'!$I$4),OR('Visual SPC'!$K$4="",'Data Entry'!$F9144='Visual SPC'!$K$4)),1,0))</f>
        <v/>
      </c>
      <c r="C9144">
        <f>C9143+B9144</f>
        <v/>
      </c>
      <c r="D9144">
        <f>IF(B9144=1,INDEX('Data Entry'!$H$5:$BE$10004,9144-4,'Visual SPC'!$B$3),"")</f>
        <v/>
      </c>
      <c r="E9144">
        <f>IF(B9144=1,D9144,E9143)</f>
        <v/>
      </c>
      <c r="F9144">
        <f>IF(AND(B9144=1,C9144&gt;1,E9143&lt;&gt;""),ABS(D9144-E9143),"")</f>
        <v/>
      </c>
    </row>
    <row r="9145">
      <c r="A9145" t="n">
        <v>9145</v>
      </c>
      <c r="B9145">
        <f>IF(INDEX('Data Entry'!$H$5:$BE$10004,9145-4,'Visual SPC'!$B$3)="",0,IF(AND(OR('Visual SPC'!$C$4="",'Data Entry'!$C9145&gt;='Visual SPC'!$C$4),OR('Visual SPC'!$E$4="",'Data Entry'!$C9145&lt;='Visual SPC'!$E$4),OR('Visual SPC'!$G$4="",'Data Entry'!$D9145='Visual SPC'!$G$4),OR('Visual SPC'!$I$4="",'Data Entry'!$E9145='Visual SPC'!$I$4),OR('Visual SPC'!$K$4="",'Data Entry'!$F9145='Visual SPC'!$K$4)),1,0))</f>
        <v/>
      </c>
      <c r="C9145">
        <f>C9144+B9145</f>
        <v/>
      </c>
      <c r="D9145">
        <f>IF(B9145=1,INDEX('Data Entry'!$H$5:$BE$10004,9145-4,'Visual SPC'!$B$3),"")</f>
        <v/>
      </c>
      <c r="E9145">
        <f>IF(B9145=1,D9145,E9144)</f>
        <v/>
      </c>
      <c r="F9145">
        <f>IF(AND(B9145=1,C9145&gt;1,E9144&lt;&gt;""),ABS(D9145-E9144),"")</f>
        <v/>
      </c>
    </row>
    <row r="9146">
      <c r="A9146" t="n">
        <v>9146</v>
      </c>
      <c r="B9146">
        <f>IF(INDEX('Data Entry'!$H$5:$BE$10004,9146-4,'Visual SPC'!$B$3)="",0,IF(AND(OR('Visual SPC'!$C$4="",'Data Entry'!$C9146&gt;='Visual SPC'!$C$4),OR('Visual SPC'!$E$4="",'Data Entry'!$C9146&lt;='Visual SPC'!$E$4),OR('Visual SPC'!$G$4="",'Data Entry'!$D9146='Visual SPC'!$G$4),OR('Visual SPC'!$I$4="",'Data Entry'!$E9146='Visual SPC'!$I$4),OR('Visual SPC'!$K$4="",'Data Entry'!$F9146='Visual SPC'!$K$4)),1,0))</f>
        <v/>
      </c>
      <c r="C9146">
        <f>C9145+B9146</f>
        <v/>
      </c>
      <c r="D9146">
        <f>IF(B9146=1,INDEX('Data Entry'!$H$5:$BE$10004,9146-4,'Visual SPC'!$B$3),"")</f>
        <v/>
      </c>
      <c r="E9146">
        <f>IF(B9146=1,D9146,E9145)</f>
        <v/>
      </c>
      <c r="F9146">
        <f>IF(AND(B9146=1,C9146&gt;1,E9145&lt;&gt;""),ABS(D9146-E9145),"")</f>
        <v/>
      </c>
    </row>
    <row r="9147">
      <c r="A9147" t="n">
        <v>9147</v>
      </c>
      <c r="B9147">
        <f>IF(INDEX('Data Entry'!$H$5:$BE$10004,9147-4,'Visual SPC'!$B$3)="",0,IF(AND(OR('Visual SPC'!$C$4="",'Data Entry'!$C9147&gt;='Visual SPC'!$C$4),OR('Visual SPC'!$E$4="",'Data Entry'!$C9147&lt;='Visual SPC'!$E$4),OR('Visual SPC'!$G$4="",'Data Entry'!$D9147='Visual SPC'!$G$4),OR('Visual SPC'!$I$4="",'Data Entry'!$E9147='Visual SPC'!$I$4),OR('Visual SPC'!$K$4="",'Data Entry'!$F9147='Visual SPC'!$K$4)),1,0))</f>
        <v/>
      </c>
      <c r="C9147">
        <f>C9146+B9147</f>
        <v/>
      </c>
      <c r="D9147">
        <f>IF(B9147=1,INDEX('Data Entry'!$H$5:$BE$10004,9147-4,'Visual SPC'!$B$3),"")</f>
        <v/>
      </c>
      <c r="E9147">
        <f>IF(B9147=1,D9147,E9146)</f>
        <v/>
      </c>
      <c r="F9147">
        <f>IF(AND(B9147=1,C9147&gt;1,E9146&lt;&gt;""),ABS(D9147-E9146),"")</f>
        <v/>
      </c>
    </row>
    <row r="9148">
      <c r="A9148" t="n">
        <v>9148</v>
      </c>
      <c r="B9148">
        <f>IF(INDEX('Data Entry'!$H$5:$BE$10004,9148-4,'Visual SPC'!$B$3)="",0,IF(AND(OR('Visual SPC'!$C$4="",'Data Entry'!$C9148&gt;='Visual SPC'!$C$4),OR('Visual SPC'!$E$4="",'Data Entry'!$C9148&lt;='Visual SPC'!$E$4),OR('Visual SPC'!$G$4="",'Data Entry'!$D9148='Visual SPC'!$G$4),OR('Visual SPC'!$I$4="",'Data Entry'!$E9148='Visual SPC'!$I$4),OR('Visual SPC'!$K$4="",'Data Entry'!$F9148='Visual SPC'!$K$4)),1,0))</f>
        <v/>
      </c>
      <c r="C9148">
        <f>C9147+B9148</f>
        <v/>
      </c>
      <c r="D9148">
        <f>IF(B9148=1,INDEX('Data Entry'!$H$5:$BE$10004,9148-4,'Visual SPC'!$B$3),"")</f>
        <v/>
      </c>
      <c r="E9148">
        <f>IF(B9148=1,D9148,E9147)</f>
        <v/>
      </c>
      <c r="F9148">
        <f>IF(AND(B9148=1,C9148&gt;1,E9147&lt;&gt;""),ABS(D9148-E9147),"")</f>
        <v/>
      </c>
    </row>
    <row r="9149">
      <c r="A9149" t="n">
        <v>9149</v>
      </c>
      <c r="B9149">
        <f>IF(INDEX('Data Entry'!$H$5:$BE$10004,9149-4,'Visual SPC'!$B$3)="",0,IF(AND(OR('Visual SPC'!$C$4="",'Data Entry'!$C9149&gt;='Visual SPC'!$C$4),OR('Visual SPC'!$E$4="",'Data Entry'!$C9149&lt;='Visual SPC'!$E$4),OR('Visual SPC'!$G$4="",'Data Entry'!$D9149='Visual SPC'!$G$4),OR('Visual SPC'!$I$4="",'Data Entry'!$E9149='Visual SPC'!$I$4),OR('Visual SPC'!$K$4="",'Data Entry'!$F9149='Visual SPC'!$K$4)),1,0))</f>
        <v/>
      </c>
      <c r="C9149">
        <f>C9148+B9149</f>
        <v/>
      </c>
      <c r="D9149">
        <f>IF(B9149=1,INDEX('Data Entry'!$H$5:$BE$10004,9149-4,'Visual SPC'!$B$3),"")</f>
        <v/>
      </c>
      <c r="E9149">
        <f>IF(B9149=1,D9149,E9148)</f>
        <v/>
      </c>
      <c r="F9149">
        <f>IF(AND(B9149=1,C9149&gt;1,E9148&lt;&gt;""),ABS(D9149-E9148),"")</f>
        <v/>
      </c>
    </row>
    <row r="9150">
      <c r="A9150" t="n">
        <v>9150</v>
      </c>
      <c r="B9150">
        <f>IF(INDEX('Data Entry'!$H$5:$BE$10004,9150-4,'Visual SPC'!$B$3)="",0,IF(AND(OR('Visual SPC'!$C$4="",'Data Entry'!$C9150&gt;='Visual SPC'!$C$4),OR('Visual SPC'!$E$4="",'Data Entry'!$C9150&lt;='Visual SPC'!$E$4),OR('Visual SPC'!$G$4="",'Data Entry'!$D9150='Visual SPC'!$G$4),OR('Visual SPC'!$I$4="",'Data Entry'!$E9150='Visual SPC'!$I$4),OR('Visual SPC'!$K$4="",'Data Entry'!$F9150='Visual SPC'!$K$4)),1,0))</f>
        <v/>
      </c>
      <c r="C9150">
        <f>C9149+B9150</f>
        <v/>
      </c>
      <c r="D9150">
        <f>IF(B9150=1,INDEX('Data Entry'!$H$5:$BE$10004,9150-4,'Visual SPC'!$B$3),"")</f>
        <v/>
      </c>
      <c r="E9150">
        <f>IF(B9150=1,D9150,E9149)</f>
        <v/>
      </c>
      <c r="F9150">
        <f>IF(AND(B9150=1,C9150&gt;1,E9149&lt;&gt;""),ABS(D9150-E9149),"")</f>
        <v/>
      </c>
    </row>
    <row r="9151">
      <c r="A9151" t="n">
        <v>9151</v>
      </c>
      <c r="B9151">
        <f>IF(INDEX('Data Entry'!$H$5:$BE$10004,9151-4,'Visual SPC'!$B$3)="",0,IF(AND(OR('Visual SPC'!$C$4="",'Data Entry'!$C9151&gt;='Visual SPC'!$C$4),OR('Visual SPC'!$E$4="",'Data Entry'!$C9151&lt;='Visual SPC'!$E$4),OR('Visual SPC'!$G$4="",'Data Entry'!$D9151='Visual SPC'!$G$4),OR('Visual SPC'!$I$4="",'Data Entry'!$E9151='Visual SPC'!$I$4),OR('Visual SPC'!$K$4="",'Data Entry'!$F9151='Visual SPC'!$K$4)),1,0))</f>
        <v/>
      </c>
      <c r="C9151">
        <f>C9150+B9151</f>
        <v/>
      </c>
      <c r="D9151">
        <f>IF(B9151=1,INDEX('Data Entry'!$H$5:$BE$10004,9151-4,'Visual SPC'!$B$3),"")</f>
        <v/>
      </c>
      <c r="E9151">
        <f>IF(B9151=1,D9151,E9150)</f>
        <v/>
      </c>
      <c r="F9151">
        <f>IF(AND(B9151=1,C9151&gt;1,E9150&lt;&gt;""),ABS(D9151-E9150),"")</f>
        <v/>
      </c>
    </row>
    <row r="9152">
      <c r="A9152" t="n">
        <v>9152</v>
      </c>
      <c r="B9152">
        <f>IF(INDEX('Data Entry'!$H$5:$BE$10004,9152-4,'Visual SPC'!$B$3)="",0,IF(AND(OR('Visual SPC'!$C$4="",'Data Entry'!$C9152&gt;='Visual SPC'!$C$4),OR('Visual SPC'!$E$4="",'Data Entry'!$C9152&lt;='Visual SPC'!$E$4),OR('Visual SPC'!$G$4="",'Data Entry'!$D9152='Visual SPC'!$G$4),OR('Visual SPC'!$I$4="",'Data Entry'!$E9152='Visual SPC'!$I$4),OR('Visual SPC'!$K$4="",'Data Entry'!$F9152='Visual SPC'!$K$4)),1,0))</f>
        <v/>
      </c>
      <c r="C9152">
        <f>C9151+B9152</f>
        <v/>
      </c>
      <c r="D9152">
        <f>IF(B9152=1,INDEX('Data Entry'!$H$5:$BE$10004,9152-4,'Visual SPC'!$B$3),"")</f>
        <v/>
      </c>
      <c r="E9152">
        <f>IF(B9152=1,D9152,E9151)</f>
        <v/>
      </c>
      <c r="F9152">
        <f>IF(AND(B9152=1,C9152&gt;1,E9151&lt;&gt;""),ABS(D9152-E9151),"")</f>
        <v/>
      </c>
    </row>
    <row r="9153">
      <c r="A9153" t="n">
        <v>9153</v>
      </c>
      <c r="B9153">
        <f>IF(INDEX('Data Entry'!$H$5:$BE$10004,9153-4,'Visual SPC'!$B$3)="",0,IF(AND(OR('Visual SPC'!$C$4="",'Data Entry'!$C9153&gt;='Visual SPC'!$C$4),OR('Visual SPC'!$E$4="",'Data Entry'!$C9153&lt;='Visual SPC'!$E$4),OR('Visual SPC'!$G$4="",'Data Entry'!$D9153='Visual SPC'!$G$4),OR('Visual SPC'!$I$4="",'Data Entry'!$E9153='Visual SPC'!$I$4),OR('Visual SPC'!$K$4="",'Data Entry'!$F9153='Visual SPC'!$K$4)),1,0))</f>
        <v/>
      </c>
      <c r="C9153">
        <f>C9152+B9153</f>
        <v/>
      </c>
      <c r="D9153">
        <f>IF(B9153=1,INDEX('Data Entry'!$H$5:$BE$10004,9153-4,'Visual SPC'!$B$3),"")</f>
        <v/>
      </c>
      <c r="E9153">
        <f>IF(B9153=1,D9153,E9152)</f>
        <v/>
      </c>
      <c r="F9153">
        <f>IF(AND(B9153=1,C9153&gt;1,E9152&lt;&gt;""),ABS(D9153-E9152),"")</f>
        <v/>
      </c>
    </row>
    <row r="9154">
      <c r="A9154" t="n">
        <v>9154</v>
      </c>
      <c r="B9154">
        <f>IF(INDEX('Data Entry'!$H$5:$BE$10004,9154-4,'Visual SPC'!$B$3)="",0,IF(AND(OR('Visual SPC'!$C$4="",'Data Entry'!$C9154&gt;='Visual SPC'!$C$4),OR('Visual SPC'!$E$4="",'Data Entry'!$C9154&lt;='Visual SPC'!$E$4),OR('Visual SPC'!$G$4="",'Data Entry'!$D9154='Visual SPC'!$G$4),OR('Visual SPC'!$I$4="",'Data Entry'!$E9154='Visual SPC'!$I$4),OR('Visual SPC'!$K$4="",'Data Entry'!$F9154='Visual SPC'!$K$4)),1,0))</f>
        <v/>
      </c>
      <c r="C9154">
        <f>C9153+B9154</f>
        <v/>
      </c>
      <c r="D9154">
        <f>IF(B9154=1,INDEX('Data Entry'!$H$5:$BE$10004,9154-4,'Visual SPC'!$B$3),"")</f>
        <v/>
      </c>
      <c r="E9154">
        <f>IF(B9154=1,D9154,E9153)</f>
        <v/>
      </c>
      <c r="F9154">
        <f>IF(AND(B9154=1,C9154&gt;1,E9153&lt;&gt;""),ABS(D9154-E9153),"")</f>
        <v/>
      </c>
    </row>
    <row r="9155">
      <c r="A9155" t="n">
        <v>9155</v>
      </c>
      <c r="B9155">
        <f>IF(INDEX('Data Entry'!$H$5:$BE$10004,9155-4,'Visual SPC'!$B$3)="",0,IF(AND(OR('Visual SPC'!$C$4="",'Data Entry'!$C9155&gt;='Visual SPC'!$C$4),OR('Visual SPC'!$E$4="",'Data Entry'!$C9155&lt;='Visual SPC'!$E$4),OR('Visual SPC'!$G$4="",'Data Entry'!$D9155='Visual SPC'!$G$4),OR('Visual SPC'!$I$4="",'Data Entry'!$E9155='Visual SPC'!$I$4),OR('Visual SPC'!$K$4="",'Data Entry'!$F9155='Visual SPC'!$K$4)),1,0))</f>
        <v/>
      </c>
      <c r="C9155">
        <f>C9154+B9155</f>
        <v/>
      </c>
      <c r="D9155">
        <f>IF(B9155=1,INDEX('Data Entry'!$H$5:$BE$10004,9155-4,'Visual SPC'!$B$3),"")</f>
        <v/>
      </c>
      <c r="E9155">
        <f>IF(B9155=1,D9155,E9154)</f>
        <v/>
      </c>
      <c r="F9155">
        <f>IF(AND(B9155=1,C9155&gt;1,E9154&lt;&gt;""),ABS(D9155-E9154),"")</f>
        <v/>
      </c>
    </row>
    <row r="9156">
      <c r="A9156" t="n">
        <v>9156</v>
      </c>
      <c r="B9156">
        <f>IF(INDEX('Data Entry'!$H$5:$BE$10004,9156-4,'Visual SPC'!$B$3)="",0,IF(AND(OR('Visual SPC'!$C$4="",'Data Entry'!$C9156&gt;='Visual SPC'!$C$4),OR('Visual SPC'!$E$4="",'Data Entry'!$C9156&lt;='Visual SPC'!$E$4),OR('Visual SPC'!$G$4="",'Data Entry'!$D9156='Visual SPC'!$G$4),OR('Visual SPC'!$I$4="",'Data Entry'!$E9156='Visual SPC'!$I$4),OR('Visual SPC'!$K$4="",'Data Entry'!$F9156='Visual SPC'!$K$4)),1,0))</f>
        <v/>
      </c>
      <c r="C9156">
        <f>C9155+B9156</f>
        <v/>
      </c>
      <c r="D9156">
        <f>IF(B9156=1,INDEX('Data Entry'!$H$5:$BE$10004,9156-4,'Visual SPC'!$B$3),"")</f>
        <v/>
      </c>
      <c r="E9156">
        <f>IF(B9156=1,D9156,E9155)</f>
        <v/>
      </c>
      <c r="F9156">
        <f>IF(AND(B9156=1,C9156&gt;1,E9155&lt;&gt;""),ABS(D9156-E9155),"")</f>
        <v/>
      </c>
    </row>
    <row r="9157">
      <c r="A9157" t="n">
        <v>9157</v>
      </c>
      <c r="B9157">
        <f>IF(INDEX('Data Entry'!$H$5:$BE$10004,9157-4,'Visual SPC'!$B$3)="",0,IF(AND(OR('Visual SPC'!$C$4="",'Data Entry'!$C9157&gt;='Visual SPC'!$C$4),OR('Visual SPC'!$E$4="",'Data Entry'!$C9157&lt;='Visual SPC'!$E$4),OR('Visual SPC'!$G$4="",'Data Entry'!$D9157='Visual SPC'!$G$4),OR('Visual SPC'!$I$4="",'Data Entry'!$E9157='Visual SPC'!$I$4),OR('Visual SPC'!$K$4="",'Data Entry'!$F9157='Visual SPC'!$K$4)),1,0))</f>
        <v/>
      </c>
      <c r="C9157">
        <f>C9156+B9157</f>
        <v/>
      </c>
      <c r="D9157">
        <f>IF(B9157=1,INDEX('Data Entry'!$H$5:$BE$10004,9157-4,'Visual SPC'!$B$3),"")</f>
        <v/>
      </c>
      <c r="E9157">
        <f>IF(B9157=1,D9157,E9156)</f>
        <v/>
      </c>
      <c r="F9157">
        <f>IF(AND(B9157=1,C9157&gt;1,E9156&lt;&gt;""),ABS(D9157-E9156),"")</f>
        <v/>
      </c>
    </row>
    <row r="9158">
      <c r="A9158" t="n">
        <v>9158</v>
      </c>
      <c r="B9158">
        <f>IF(INDEX('Data Entry'!$H$5:$BE$10004,9158-4,'Visual SPC'!$B$3)="",0,IF(AND(OR('Visual SPC'!$C$4="",'Data Entry'!$C9158&gt;='Visual SPC'!$C$4),OR('Visual SPC'!$E$4="",'Data Entry'!$C9158&lt;='Visual SPC'!$E$4),OR('Visual SPC'!$G$4="",'Data Entry'!$D9158='Visual SPC'!$G$4),OR('Visual SPC'!$I$4="",'Data Entry'!$E9158='Visual SPC'!$I$4),OR('Visual SPC'!$K$4="",'Data Entry'!$F9158='Visual SPC'!$K$4)),1,0))</f>
        <v/>
      </c>
      <c r="C9158">
        <f>C9157+B9158</f>
        <v/>
      </c>
      <c r="D9158">
        <f>IF(B9158=1,INDEX('Data Entry'!$H$5:$BE$10004,9158-4,'Visual SPC'!$B$3),"")</f>
        <v/>
      </c>
      <c r="E9158">
        <f>IF(B9158=1,D9158,E9157)</f>
        <v/>
      </c>
      <c r="F9158">
        <f>IF(AND(B9158=1,C9158&gt;1,E9157&lt;&gt;""),ABS(D9158-E9157),"")</f>
        <v/>
      </c>
    </row>
    <row r="9159">
      <c r="A9159" t="n">
        <v>9159</v>
      </c>
      <c r="B9159">
        <f>IF(INDEX('Data Entry'!$H$5:$BE$10004,9159-4,'Visual SPC'!$B$3)="",0,IF(AND(OR('Visual SPC'!$C$4="",'Data Entry'!$C9159&gt;='Visual SPC'!$C$4),OR('Visual SPC'!$E$4="",'Data Entry'!$C9159&lt;='Visual SPC'!$E$4),OR('Visual SPC'!$G$4="",'Data Entry'!$D9159='Visual SPC'!$G$4),OR('Visual SPC'!$I$4="",'Data Entry'!$E9159='Visual SPC'!$I$4),OR('Visual SPC'!$K$4="",'Data Entry'!$F9159='Visual SPC'!$K$4)),1,0))</f>
        <v/>
      </c>
      <c r="C9159">
        <f>C9158+B9159</f>
        <v/>
      </c>
      <c r="D9159">
        <f>IF(B9159=1,INDEX('Data Entry'!$H$5:$BE$10004,9159-4,'Visual SPC'!$B$3),"")</f>
        <v/>
      </c>
      <c r="E9159">
        <f>IF(B9159=1,D9159,E9158)</f>
        <v/>
      </c>
      <c r="F9159">
        <f>IF(AND(B9159=1,C9159&gt;1,E9158&lt;&gt;""),ABS(D9159-E9158),"")</f>
        <v/>
      </c>
    </row>
    <row r="9160">
      <c r="A9160" t="n">
        <v>9160</v>
      </c>
      <c r="B9160">
        <f>IF(INDEX('Data Entry'!$H$5:$BE$10004,9160-4,'Visual SPC'!$B$3)="",0,IF(AND(OR('Visual SPC'!$C$4="",'Data Entry'!$C9160&gt;='Visual SPC'!$C$4),OR('Visual SPC'!$E$4="",'Data Entry'!$C9160&lt;='Visual SPC'!$E$4),OR('Visual SPC'!$G$4="",'Data Entry'!$D9160='Visual SPC'!$G$4),OR('Visual SPC'!$I$4="",'Data Entry'!$E9160='Visual SPC'!$I$4),OR('Visual SPC'!$K$4="",'Data Entry'!$F9160='Visual SPC'!$K$4)),1,0))</f>
        <v/>
      </c>
      <c r="C9160">
        <f>C9159+B9160</f>
        <v/>
      </c>
      <c r="D9160">
        <f>IF(B9160=1,INDEX('Data Entry'!$H$5:$BE$10004,9160-4,'Visual SPC'!$B$3),"")</f>
        <v/>
      </c>
      <c r="E9160">
        <f>IF(B9160=1,D9160,E9159)</f>
        <v/>
      </c>
      <c r="F9160">
        <f>IF(AND(B9160=1,C9160&gt;1,E9159&lt;&gt;""),ABS(D9160-E9159),"")</f>
        <v/>
      </c>
    </row>
    <row r="9161">
      <c r="A9161" t="n">
        <v>9161</v>
      </c>
      <c r="B9161">
        <f>IF(INDEX('Data Entry'!$H$5:$BE$10004,9161-4,'Visual SPC'!$B$3)="",0,IF(AND(OR('Visual SPC'!$C$4="",'Data Entry'!$C9161&gt;='Visual SPC'!$C$4),OR('Visual SPC'!$E$4="",'Data Entry'!$C9161&lt;='Visual SPC'!$E$4),OR('Visual SPC'!$G$4="",'Data Entry'!$D9161='Visual SPC'!$G$4),OR('Visual SPC'!$I$4="",'Data Entry'!$E9161='Visual SPC'!$I$4),OR('Visual SPC'!$K$4="",'Data Entry'!$F9161='Visual SPC'!$K$4)),1,0))</f>
        <v/>
      </c>
      <c r="C9161">
        <f>C9160+B9161</f>
        <v/>
      </c>
      <c r="D9161">
        <f>IF(B9161=1,INDEX('Data Entry'!$H$5:$BE$10004,9161-4,'Visual SPC'!$B$3),"")</f>
        <v/>
      </c>
      <c r="E9161">
        <f>IF(B9161=1,D9161,E9160)</f>
        <v/>
      </c>
      <c r="F9161">
        <f>IF(AND(B9161=1,C9161&gt;1,E9160&lt;&gt;""),ABS(D9161-E9160),"")</f>
        <v/>
      </c>
    </row>
    <row r="9162">
      <c r="A9162" t="n">
        <v>9162</v>
      </c>
      <c r="B9162">
        <f>IF(INDEX('Data Entry'!$H$5:$BE$10004,9162-4,'Visual SPC'!$B$3)="",0,IF(AND(OR('Visual SPC'!$C$4="",'Data Entry'!$C9162&gt;='Visual SPC'!$C$4),OR('Visual SPC'!$E$4="",'Data Entry'!$C9162&lt;='Visual SPC'!$E$4),OR('Visual SPC'!$G$4="",'Data Entry'!$D9162='Visual SPC'!$G$4),OR('Visual SPC'!$I$4="",'Data Entry'!$E9162='Visual SPC'!$I$4),OR('Visual SPC'!$K$4="",'Data Entry'!$F9162='Visual SPC'!$K$4)),1,0))</f>
        <v/>
      </c>
      <c r="C9162">
        <f>C9161+B9162</f>
        <v/>
      </c>
      <c r="D9162">
        <f>IF(B9162=1,INDEX('Data Entry'!$H$5:$BE$10004,9162-4,'Visual SPC'!$B$3),"")</f>
        <v/>
      </c>
      <c r="E9162">
        <f>IF(B9162=1,D9162,E9161)</f>
        <v/>
      </c>
      <c r="F9162">
        <f>IF(AND(B9162=1,C9162&gt;1,E9161&lt;&gt;""),ABS(D9162-E9161),"")</f>
        <v/>
      </c>
    </row>
    <row r="9163">
      <c r="A9163" t="n">
        <v>9163</v>
      </c>
      <c r="B9163">
        <f>IF(INDEX('Data Entry'!$H$5:$BE$10004,9163-4,'Visual SPC'!$B$3)="",0,IF(AND(OR('Visual SPC'!$C$4="",'Data Entry'!$C9163&gt;='Visual SPC'!$C$4),OR('Visual SPC'!$E$4="",'Data Entry'!$C9163&lt;='Visual SPC'!$E$4),OR('Visual SPC'!$G$4="",'Data Entry'!$D9163='Visual SPC'!$G$4),OR('Visual SPC'!$I$4="",'Data Entry'!$E9163='Visual SPC'!$I$4),OR('Visual SPC'!$K$4="",'Data Entry'!$F9163='Visual SPC'!$K$4)),1,0))</f>
        <v/>
      </c>
      <c r="C9163">
        <f>C9162+B9163</f>
        <v/>
      </c>
      <c r="D9163">
        <f>IF(B9163=1,INDEX('Data Entry'!$H$5:$BE$10004,9163-4,'Visual SPC'!$B$3),"")</f>
        <v/>
      </c>
      <c r="E9163">
        <f>IF(B9163=1,D9163,E9162)</f>
        <v/>
      </c>
      <c r="F9163">
        <f>IF(AND(B9163=1,C9163&gt;1,E9162&lt;&gt;""),ABS(D9163-E9162),"")</f>
        <v/>
      </c>
    </row>
    <row r="9164">
      <c r="A9164" t="n">
        <v>9164</v>
      </c>
      <c r="B9164">
        <f>IF(INDEX('Data Entry'!$H$5:$BE$10004,9164-4,'Visual SPC'!$B$3)="",0,IF(AND(OR('Visual SPC'!$C$4="",'Data Entry'!$C9164&gt;='Visual SPC'!$C$4),OR('Visual SPC'!$E$4="",'Data Entry'!$C9164&lt;='Visual SPC'!$E$4),OR('Visual SPC'!$G$4="",'Data Entry'!$D9164='Visual SPC'!$G$4),OR('Visual SPC'!$I$4="",'Data Entry'!$E9164='Visual SPC'!$I$4),OR('Visual SPC'!$K$4="",'Data Entry'!$F9164='Visual SPC'!$K$4)),1,0))</f>
        <v/>
      </c>
      <c r="C9164">
        <f>C9163+B9164</f>
        <v/>
      </c>
      <c r="D9164">
        <f>IF(B9164=1,INDEX('Data Entry'!$H$5:$BE$10004,9164-4,'Visual SPC'!$B$3),"")</f>
        <v/>
      </c>
      <c r="E9164">
        <f>IF(B9164=1,D9164,E9163)</f>
        <v/>
      </c>
      <c r="F9164">
        <f>IF(AND(B9164=1,C9164&gt;1,E9163&lt;&gt;""),ABS(D9164-E9163),"")</f>
        <v/>
      </c>
    </row>
    <row r="9165">
      <c r="A9165" t="n">
        <v>9165</v>
      </c>
      <c r="B9165">
        <f>IF(INDEX('Data Entry'!$H$5:$BE$10004,9165-4,'Visual SPC'!$B$3)="",0,IF(AND(OR('Visual SPC'!$C$4="",'Data Entry'!$C9165&gt;='Visual SPC'!$C$4),OR('Visual SPC'!$E$4="",'Data Entry'!$C9165&lt;='Visual SPC'!$E$4),OR('Visual SPC'!$G$4="",'Data Entry'!$D9165='Visual SPC'!$G$4),OR('Visual SPC'!$I$4="",'Data Entry'!$E9165='Visual SPC'!$I$4),OR('Visual SPC'!$K$4="",'Data Entry'!$F9165='Visual SPC'!$K$4)),1,0))</f>
        <v/>
      </c>
      <c r="C9165">
        <f>C9164+B9165</f>
        <v/>
      </c>
      <c r="D9165">
        <f>IF(B9165=1,INDEX('Data Entry'!$H$5:$BE$10004,9165-4,'Visual SPC'!$B$3),"")</f>
        <v/>
      </c>
      <c r="E9165">
        <f>IF(B9165=1,D9165,E9164)</f>
        <v/>
      </c>
      <c r="F9165">
        <f>IF(AND(B9165=1,C9165&gt;1,E9164&lt;&gt;""),ABS(D9165-E9164),"")</f>
        <v/>
      </c>
    </row>
    <row r="9166">
      <c r="A9166" t="n">
        <v>9166</v>
      </c>
      <c r="B9166">
        <f>IF(INDEX('Data Entry'!$H$5:$BE$10004,9166-4,'Visual SPC'!$B$3)="",0,IF(AND(OR('Visual SPC'!$C$4="",'Data Entry'!$C9166&gt;='Visual SPC'!$C$4),OR('Visual SPC'!$E$4="",'Data Entry'!$C9166&lt;='Visual SPC'!$E$4),OR('Visual SPC'!$G$4="",'Data Entry'!$D9166='Visual SPC'!$G$4),OR('Visual SPC'!$I$4="",'Data Entry'!$E9166='Visual SPC'!$I$4),OR('Visual SPC'!$K$4="",'Data Entry'!$F9166='Visual SPC'!$K$4)),1,0))</f>
        <v/>
      </c>
      <c r="C9166">
        <f>C9165+B9166</f>
        <v/>
      </c>
      <c r="D9166">
        <f>IF(B9166=1,INDEX('Data Entry'!$H$5:$BE$10004,9166-4,'Visual SPC'!$B$3),"")</f>
        <v/>
      </c>
      <c r="E9166">
        <f>IF(B9166=1,D9166,E9165)</f>
        <v/>
      </c>
      <c r="F9166">
        <f>IF(AND(B9166=1,C9166&gt;1,E9165&lt;&gt;""),ABS(D9166-E9165),"")</f>
        <v/>
      </c>
    </row>
    <row r="9167">
      <c r="A9167" t="n">
        <v>9167</v>
      </c>
      <c r="B9167">
        <f>IF(INDEX('Data Entry'!$H$5:$BE$10004,9167-4,'Visual SPC'!$B$3)="",0,IF(AND(OR('Visual SPC'!$C$4="",'Data Entry'!$C9167&gt;='Visual SPC'!$C$4),OR('Visual SPC'!$E$4="",'Data Entry'!$C9167&lt;='Visual SPC'!$E$4),OR('Visual SPC'!$G$4="",'Data Entry'!$D9167='Visual SPC'!$G$4),OR('Visual SPC'!$I$4="",'Data Entry'!$E9167='Visual SPC'!$I$4),OR('Visual SPC'!$K$4="",'Data Entry'!$F9167='Visual SPC'!$K$4)),1,0))</f>
        <v/>
      </c>
      <c r="C9167">
        <f>C9166+B9167</f>
        <v/>
      </c>
      <c r="D9167">
        <f>IF(B9167=1,INDEX('Data Entry'!$H$5:$BE$10004,9167-4,'Visual SPC'!$B$3),"")</f>
        <v/>
      </c>
      <c r="E9167">
        <f>IF(B9167=1,D9167,E9166)</f>
        <v/>
      </c>
      <c r="F9167">
        <f>IF(AND(B9167=1,C9167&gt;1,E9166&lt;&gt;""),ABS(D9167-E9166),"")</f>
        <v/>
      </c>
    </row>
    <row r="9168">
      <c r="A9168" t="n">
        <v>9168</v>
      </c>
      <c r="B9168">
        <f>IF(INDEX('Data Entry'!$H$5:$BE$10004,9168-4,'Visual SPC'!$B$3)="",0,IF(AND(OR('Visual SPC'!$C$4="",'Data Entry'!$C9168&gt;='Visual SPC'!$C$4),OR('Visual SPC'!$E$4="",'Data Entry'!$C9168&lt;='Visual SPC'!$E$4),OR('Visual SPC'!$G$4="",'Data Entry'!$D9168='Visual SPC'!$G$4),OR('Visual SPC'!$I$4="",'Data Entry'!$E9168='Visual SPC'!$I$4),OR('Visual SPC'!$K$4="",'Data Entry'!$F9168='Visual SPC'!$K$4)),1,0))</f>
        <v/>
      </c>
      <c r="C9168">
        <f>C9167+B9168</f>
        <v/>
      </c>
      <c r="D9168">
        <f>IF(B9168=1,INDEX('Data Entry'!$H$5:$BE$10004,9168-4,'Visual SPC'!$B$3),"")</f>
        <v/>
      </c>
      <c r="E9168">
        <f>IF(B9168=1,D9168,E9167)</f>
        <v/>
      </c>
      <c r="F9168">
        <f>IF(AND(B9168=1,C9168&gt;1,E9167&lt;&gt;""),ABS(D9168-E9167),"")</f>
        <v/>
      </c>
    </row>
    <row r="9169">
      <c r="A9169" t="n">
        <v>9169</v>
      </c>
      <c r="B9169">
        <f>IF(INDEX('Data Entry'!$H$5:$BE$10004,9169-4,'Visual SPC'!$B$3)="",0,IF(AND(OR('Visual SPC'!$C$4="",'Data Entry'!$C9169&gt;='Visual SPC'!$C$4),OR('Visual SPC'!$E$4="",'Data Entry'!$C9169&lt;='Visual SPC'!$E$4),OR('Visual SPC'!$G$4="",'Data Entry'!$D9169='Visual SPC'!$G$4),OR('Visual SPC'!$I$4="",'Data Entry'!$E9169='Visual SPC'!$I$4),OR('Visual SPC'!$K$4="",'Data Entry'!$F9169='Visual SPC'!$K$4)),1,0))</f>
        <v/>
      </c>
      <c r="C9169">
        <f>C9168+B9169</f>
        <v/>
      </c>
      <c r="D9169">
        <f>IF(B9169=1,INDEX('Data Entry'!$H$5:$BE$10004,9169-4,'Visual SPC'!$B$3),"")</f>
        <v/>
      </c>
      <c r="E9169">
        <f>IF(B9169=1,D9169,E9168)</f>
        <v/>
      </c>
      <c r="F9169">
        <f>IF(AND(B9169=1,C9169&gt;1,E9168&lt;&gt;""),ABS(D9169-E9168),"")</f>
        <v/>
      </c>
    </row>
    <row r="9170">
      <c r="A9170" t="n">
        <v>9170</v>
      </c>
      <c r="B9170">
        <f>IF(INDEX('Data Entry'!$H$5:$BE$10004,9170-4,'Visual SPC'!$B$3)="",0,IF(AND(OR('Visual SPC'!$C$4="",'Data Entry'!$C9170&gt;='Visual SPC'!$C$4),OR('Visual SPC'!$E$4="",'Data Entry'!$C9170&lt;='Visual SPC'!$E$4),OR('Visual SPC'!$G$4="",'Data Entry'!$D9170='Visual SPC'!$G$4),OR('Visual SPC'!$I$4="",'Data Entry'!$E9170='Visual SPC'!$I$4),OR('Visual SPC'!$K$4="",'Data Entry'!$F9170='Visual SPC'!$K$4)),1,0))</f>
        <v/>
      </c>
      <c r="C9170">
        <f>C9169+B9170</f>
        <v/>
      </c>
      <c r="D9170">
        <f>IF(B9170=1,INDEX('Data Entry'!$H$5:$BE$10004,9170-4,'Visual SPC'!$B$3),"")</f>
        <v/>
      </c>
      <c r="E9170">
        <f>IF(B9170=1,D9170,E9169)</f>
        <v/>
      </c>
      <c r="F9170">
        <f>IF(AND(B9170=1,C9170&gt;1,E9169&lt;&gt;""),ABS(D9170-E9169),"")</f>
        <v/>
      </c>
    </row>
    <row r="9171">
      <c r="A9171" t="n">
        <v>9171</v>
      </c>
      <c r="B9171">
        <f>IF(INDEX('Data Entry'!$H$5:$BE$10004,9171-4,'Visual SPC'!$B$3)="",0,IF(AND(OR('Visual SPC'!$C$4="",'Data Entry'!$C9171&gt;='Visual SPC'!$C$4),OR('Visual SPC'!$E$4="",'Data Entry'!$C9171&lt;='Visual SPC'!$E$4),OR('Visual SPC'!$G$4="",'Data Entry'!$D9171='Visual SPC'!$G$4),OR('Visual SPC'!$I$4="",'Data Entry'!$E9171='Visual SPC'!$I$4),OR('Visual SPC'!$K$4="",'Data Entry'!$F9171='Visual SPC'!$K$4)),1,0))</f>
        <v/>
      </c>
      <c r="C9171">
        <f>C9170+B9171</f>
        <v/>
      </c>
      <c r="D9171">
        <f>IF(B9171=1,INDEX('Data Entry'!$H$5:$BE$10004,9171-4,'Visual SPC'!$B$3),"")</f>
        <v/>
      </c>
      <c r="E9171">
        <f>IF(B9171=1,D9171,E9170)</f>
        <v/>
      </c>
      <c r="F9171">
        <f>IF(AND(B9171=1,C9171&gt;1,E9170&lt;&gt;""),ABS(D9171-E9170),"")</f>
        <v/>
      </c>
    </row>
    <row r="9172">
      <c r="A9172" t="n">
        <v>9172</v>
      </c>
      <c r="B9172">
        <f>IF(INDEX('Data Entry'!$H$5:$BE$10004,9172-4,'Visual SPC'!$B$3)="",0,IF(AND(OR('Visual SPC'!$C$4="",'Data Entry'!$C9172&gt;='Visual SPC'!$C$4),OR('Visual SPC'!$E$4="",'Data Entry'!$C9172&lt;='Visual SPC'!$E$4),OR('Visual SPC'!$G$4="",'Data Entry'!$D9172='Visual SPC'!$G$4),OR('Visual SPC'!$I$4="",'Data Entry'!$E9172='Visual SPC'!$I$4),OR('Visual SPC'!$K$4="",'Data Entry'!$F9172='Visual SPC'!$K$4)),1,0))</f>
        <v/>
      </c>
      <c r="C9172">
        <f>C9171+B9172</f>
        <v/>
      </c>
      <c r="D9172">
        <f>IF(B9172=1,INDEX('Data Entry'!$H$5:$BE$10004,9172-4,'Visual SPC'!$B$3),"")</f>
        <v/>
      </c>
      <c r="E9172">
        <f>IF(B9172=1,D9172,E9171)</f>
        <v/>
      </c>
      <c r="F9172">
        <f>IF(AND(B9172=1,C9172&gt;1,E9171&lt;&gt;""),ABS(D9172-E9171),"")</f>
        <v/>
      </c>
    </row>
    <row r="9173">
      <c r="A9173" t="n">
        <v>9173</v>
      </c>
      <c r="B9173">
        <f>IF(INDEX('Data Entry'!$H$5:$BE$10004,9173-4,'Visual SPC'!$B$3)="",0,IF(AND(OR('Visual SPC'!$C$4="",'Data Entry'!$C9173&gt;='Visual SPC'!$C$4),OR('Visual SPC'!$E$4="",'Data Entry'!$C9173&lt;='Visual SPC'!$E$4),OR('Visual SPC'!$G$4="",'Data Entry'!$D9173='Visual SPC'!$G$4),OR('Visual SPC'!$I$4="",'Data Entry'!$E9173='Visual SPC'!$I$4),OR('Visual SPC'!$K$4="",'Data Entry'!$F9173='Visual SPC'!$K$4)),1,0))</f>
        <v/>
      </c>
      <c r="C9173">
        <f>C9172+B9173</f>
        <v/>
      </c>
      <c r="D9173">
        <f>IF(B9173=1,INDEX('Data Entry'!$H$5:$BE$10004,9173-4,'Visual SPC'!$B$3),"")</f>
        <v/>
      </c>
      <c r="E9173">
        <f>IF(B9173=1,D9173,E9172)</f>
        <v/>
      </c>
      <c r="F9173">
        <f>IF(AND(B9173=1,C9173&gt;1,E9172&lt;&gt;""),ABS(D9173-E9172),"")</f>
        <v/>
      </c>
    </row>
    <row r="9174">
      <c r="A9174" t="n">
        <v>9174</v>
      </c>
      <c r="B9174">
        <f>IF(INDEX('Data Entry'!$H$5:$BE$10004,9174-4,'Visual SPC'!$B$3)="",0,IF(AND(OR('Visual SPC'!$C$4="",'Data Entry'!$C9174&gt;='Visual SPC'!$C$4),OR('Visual SPC'!$E$4="",'Data Entry'!$C9174&lt;='Visual SPC'!$E$4),OR('Visual SPC'!$G$4="",'Data Entry'!$D9174='Visual SPC'!$G$4),OR('Visual SPC'!$I$4="",'Data Entry'!$E9174='Visual SPC'!$I$4),OR('Visual SPC'!$K$4="",'Data Entry'!$F9174='Visual SPC'!$K$4)),1,0))</f>
        <v/>
      </c>
      <c r="C9174">
        <f>C9173+B9174</f>
        <v/>
      </c>
      <c r="D9174">
        <f>IF(B9174=1,INDEX('Data Entry'!$H$5:$BE$10004,9174-4,'Visual SPC'!$B$3),"")</f>
        <v/>
      </c>
      <c r="E9174">
        <f>IF(B9174=1,D9174,E9173)</f>
        <v/>
      </c>
      <c r="F9174">
        <f>IF(AND(B9174=1,C9174&gt;1,E9173&lt;&gt;""),ABS(D9174-E9173),"")</f>
        <v/>
      </c>
    </row>
    <row r="9175">
      <c r="A9175" t="n">
        <v>9175</v>
      </c>
      <c r="B9175">
        <f>IF(INDEX('Data Entry'!$H$5:$BE$10004,9175-4,'Visual SPC'!$B$3)="",0,IF(AND(OR('Visual SPC'!$C$4="",'Data Entry'!$C9175&gt;='Visual SPC'!$C$4),OR('Visual SPC'!$E$4="",'Data Entry'!$C9175&lt;='Visual SPC'!$E$4),OR('Visual SPC'!$G$4="",'Data Entry'!$D9175='Visual SPC'!$G$4),OR('Visual SPC'!$I$4="",'Data Entry'!$E9175='Visual SPC'!$I$4),OR('Visual SPC'!$K$4="",'Data Entry'!$F9175='Visual SPC'!$K$4)),1,0))</f>
        <v/>
      </c>
      <c r="C9175">
        <f>C9174+B9175</f>
        <v/>
      </c>
      <c r="D9175">
        <f>IF(B9175=1,INDEX('Data Entry'!$H$5:$BE$10004,9175-4,'Visual SPC'!$B$3),"")</f>
        <v/>
      </c>
      <c r="E9175">
        <f>IF(B9175=1,D9175,E9174)</f>
        <v/>
      </c>
      <c r="F9175">
        <f>IF(AND(B9175=1,C9175&gt;1,E9174&lt;&gt;""),ABS(D9175-E9174),"")</f>
        <v/>
      </c>
    </row>
    <row r="9176">
      <c r="A9176" t="n">
        <v>9176</v>
      </c>
      <c r="B9176">
        <f>IF(INDEX('Data Entry'!$H$5:$BE$10004,9176-4,'Visual SPC'!$B$3)="",0,IF(AND(OR('Visual SPC'!$C$4="",'Data Entry'!$C9176&gt;='Visual SPC'!$C$4),OR('Visual SPC'!$E$4="",'Data Entry'!$C9176&lt;='Visual SPC'!$E$4),OR('Visual SPC'!$G$4="",'Data Entry'!$D9176='Visual SPC'!$G$4),OR('Visual SPC'!$I$4="",'Data Entry'!$E9176='Visual SPC'!$I$4),OR('Visual SPC'!$K$4="",'Data Entry'!$F9176='Visual SPC'!$K$4)),1,0))</f>
        <v/>
      </c>
      <c r="C9176">
        <f>C9175+B9176</f>
        <v/>
      </c>
      <c r="D9176">
        <f>IF(B9176=1,INDEX('Data Entry'!$H$5:$BE$10004,9176-4,'Visual SPC'!$B$3),"")</f>
        <v/>
      </c>
      <c r="E9176">
        <f>IF(B9176=1,D9176,E9175)</f>
        <v/>
      </c>
      <c r="F9176">
        <f>IF(AND(B9176=1,C9176&gt;1,E9175&lt;&gt;""),ABS(D9176-E9175),"")</f>
        <v/>
      </c>
    </row>
    <row r="9177">
      <c r="A9177" t="n">
        <v>9177</v>
      </c>
      <c r="B9177">
        <f>IF(INDEX('Data Entry'!$H$5:$BE$10004,9177-4,'Visual SPC'!$B$3)="",0,IF(AND(OR('Visual SPC'!$C$4="",'Data Entry'!$C9177&gt;='Visual SPC'!$C$4),OR('Visual SPC'!$E$4="",'Data Entry'!$C9177&lt;='Visual SPC'!$E$4),OR('Visual SPC'!$G$4="",'Data Entry'!$D9177='Visual SPC'!$G$4),OR('Visual SPC'!$I$4="",'Data Entry'!$E9177='Visual SPC'!$I$4),OR('Visual SPC'!$K$4="",'Data Entry'!$F9177='Visual SPC'!$K$4)),1,0))</f>
        <v/>
      </c>
      <c r="C9177">
        <f>C9176+B9177</f>
        <v/>
      </c>
      <c r="D9177">
        <f>IF(B9177=1,INDEX('Data Entry'!$H$5:$BE$10004,9177-4,'Visual SPC'!$B$3),"")</f>
        <v/>
      </c>
      <c r="E9177">
        <f>IF(B9177=1,D9177,E9176)</f>
        <v/>
      </c>
      <c r="F9177">
        <f>IF(AND(B9177=1,C9177&gt;1,E9176&lt;&gt;""),ABS(D9177-E9176),"")</f>
        <v/>
      </c>
    </row>
    <row r="9178">
      <c r="A9178" t="n">
        <v>9178</v>
      </c>
      <c r="B9178">
        <f>IF(INDEX('Data Entry'!$H$5:$BE$10004,9178-4,'Visual SPC'!$B$3)="",0,IF(AND(OR('Visual SPC'!$C$4="",'Data Entry'!$C9178&gt;='Visual SPC'!$C$4),OR('Visual SPC'!$E$4="",'Data Entry'!$C9178&lt;='Visual SPC'!$E$4),OR('Visual SPC'!$G$4="",'Data Entry'!$D9178='Visual SPC'!$G$4),OR('Visual SPC'!$I$4="",'Data Entry'!$E9178='Visual SPC'!$I$4),OR('Visual SPC'!$K$4="",'Data Entry'!$F9178='Visual SPC'!$K$4)),1,0))</f>
        <v/>
      </c>
      <c r="C9178">
        <f>C9177+B9178</f>
        <v/>
      </c>
      <c r="D9178">
        <f>IF(B9178=1,INDEX('Data Entry'!$H$5:$BE$10004,9178-4,'Visual SPC'!$B$3),"")</f>
        <v/>
      </c>
      <c r="E9178">
        <f>IF(B9178=1,D9178,E9177)</f>
        <v/>
      </c>
      <c r="F9178">
        <f>IF(AND(B9178=1,C9178&gt;1,E9177&lt;&gt;""),ABS(D9178-E9177),"")</f>
        <v/>
      </c>
    </row>
    <row r="9179">
      <c r="A9179" t="n">
        <v>9179</v>
      </c>
      <c r="B9179">
        <f>IF(INDEX('Data Entry'!$H$5:$BE$10004,9179-4,'Visual SPC'!$B$3)="",0,IF(AND(OR('Visual SPC'!$C$4="",'Data Entry'!$C9179&gt;='Visual SPC'!$C$4),OR('Visual SPC'!$E$4="",'Data Entry'!$C9179&lt;='Visual SPC'!$E$4),OR('Visual SPC'!$G$4="",'Data Entry'!$D9179='Visual SPC'!$G$4),OR('Visual SPC'!$I$4="",'Data Entry'!$E9179='Visual SPC'!$I$4),OR('Visual SPC'!$K$4="",'Data Entry'!$F9179='Visual SPC'!$K$4)),1,0))</f>
        <v/>
      </c>
      <c r="C9179">
        <f>C9178+B9179</f>
        <v/>
      </c>
      <c r="D9179">
        <f>IF(B9179=1,INDEX('Data Entry'!$H$5:$BE$10004,9179-4,'Visual SPC'!$B$3),"")</f>
        <v/>
      </c>
      <c r="E9179">
        <f>IF(B9179=1,D9179,E9178)</f>
        <v/>
      </c>
      <c r="F9179">
        <f>IF(AND(B9179=1,C9179&gt;1,E9178&lt;&gt;""),ABS(D9179-E9178),"")</f>
        <v/>
      </c>
    </row>
    <row r="9180">
      <c r="A9180" t="n">
        <v>9180</v>
      </c>
      <c r="B9180">
        <f>IF(INDEX('Data Entry'!$H$5:$BE$10004,9180-4,'Visual SPC'!$B$3)="",0,IF(AND(OR('Visual SPC'!$C$4="",'Data Entry'!$C9180&gt;='Visual SPC'!$C$4),OR('Visual SPC'!$E$4="",'Data Entry'!$C9180&lt;='Visual SPC'!$E$4),OR('Visual SPC'!$G$4="",'Data Entry'!$D9180='Visual SPC'!$G$4),OR('Visual SPC'!$I$4="",'Data Entry'!$E9180='Visual SPC'!$I$4),OR('Visual SPC'!$K$4="",'Data Entry'!$F9180='Visual SPC'!$K$4)),1,0))</f>
        <v/>
      </c>
      <c r="C9180">
        <f>C9179+B9180</f>
        <v/>
      </c>
      <c r="D9180">
        <f>IF(B9180=1,INDEX('Data Entry'!$H$5:$BE$10004,9180-4,'Visual SPC'!$B$3),"")</f>
        <v/>
      </c>
      <c r="E9180">
        <f>IF(B9180=1,D9180,E9179)</f>
        <v/>
      </c>
      <c r="F9180">
        <f>IF(AND(B9180=1,C9180&gt;1,E9179&lt;&gt;""),ABS(D9180-E9179),"")</f>
        <v/>
      </c>
    </row>
    <row r="9181">
      <c r="A9181" t="n">
        <v>9181</v>
      </c>
      <c r="B9181">
        <f>IF(INDEX('Data Entry'!$H$5:$BE$10004,9181-4,'Visual SPC'!$B$3)="",0,IF(AND(OR('Visual SPC'!$C$4="",'Data Entry'!$C9181&gt;='Visual SPC'!$C$4),OR('Visual SPC'!$E$4="",'Data Entry'!$C9181&lt;='Visual SPC'!$E$4),OR('Visual SPC'!$G$4="",'Data Entry'!$D9181='Visual SPC'!$G$4),OR('Visual SPC'!$I$4="",'Data Entry'!$E9181='Visual SPC'!$I$4),OR('Visual SPC'!$K$4="",'Data Entry'!$F9181='Visual SPC'!$K$4)),1,0))</f>
        <v/>
      </c>
      <c r="C9181">
        <f>C9180+B9181</f>
        <v/>
      </c>
      <c r="D9181">
        <f>IF(B9181=1,INDEX('Data Entry'!$H$5:$BE$10004,9181-4,'Visual SPC'!$B$3),"")</f>
        <v/>
      </c>
      <c r="E9181">
        <f>IF(B9181=1,D9181,E9180)</f>
        <v/>
      </c>
      <c r="F9181">
        <f>IF(AND(B9181=1,C9181&gt;1,E9180&lt;&gt;""),ABS(D9181-E9180),"")</f>
        <v/>
      </c>
    </row>
    <row r="9182">
      <c r="A9182" t="n">
        <v>9182</v>
      </c>
      <c r="B9182">
        <f>IF(INDEX('Data Entry'!$H$5:$BE$10004,9182-4,'Visual SPC'!$B$3)="",0,IF(AND(OR('Visual SPC'!$C$4="",'Data Entry'!$C9182&gt;='Visual SPC'!$C$4),OR('Visual SPC'!$E$4="",'Data Entry'!$C9182&lt;='Visual SPC'!$E$4),OR('Visual SPC'!$G$4="",'Data Entry'!$D9182='Visual SPC'!$G$4),OR('Visual SPC'!$I$4="",'Data Entry'!$E9182='Visual SPC'!$I$4),OR('Visual SPC'!$K$4="",'Data Entry'!$F9182='Visual SPC'!$K$4)),1,0))</f>
        <v/>
      </c>
      <c r="C9182">
        <f>C9181+B9182</f>
        <v/>
      </c>
      <c r="D9182">
        <f>IF(B9182=1,INDEX('Data Entry'!$H$5:$BE$10004,9182-4,'Visual SPC'!$B$3),"")</f>
        <v/>
      </c>
      <c r="E9182">
        <f>IF(B9182=1,D9182,E9181)</f>
        <v/>
      </c>
      <c r="F9182">
        <f>IF(AND(B9182=1,C9182&gt;1,E9181&lt;&gt;""),ABS(D9182-E9181),"")</f>
        <v/>
      </c>
    </row>
    <row r="9183">
      <c r="A9183" t="n">
        <v>9183</v>
      </c>
      <c r="B9183">
        <f>IF(INDEX('Data Entry'!$H$5:$BE$10004,9183-4,'Visual SPC'!$B$3)="",0,IF(AND(OR('Visual SPC'!$C$4="",'Data Entry'!$C9183&gt;='Visual SPC'!$C$4),OR('Visual SPC'!$E$4="",'Data Entry'!$C9183&lt;='Visual SPC'!$E$4),OR('Visual SPC'!$G$4="",'Data Entry'!$D9183='Visual SPC'!$G$4),OR('Visual SPC'!$I$4="",'Data Entry'!$E9183='Visual SPC'!$I$4),OR('Visual SPC'!$K$4="",'Data Entry'!$F9183='Visual SPC'!$K$4)),1,0))</f>
        <v/>
      </c>
      <c r="C9183">
        <f>C9182+B9183</f>
        <v/>
      </c>
      <c r="D9183">
        <f>IF(B9183=1,INDEX('Data Entry'!$H$5:$BE$10004,9183-4,'Visual SPC'!$B$3),"")</f>
        <v/>
      </c>
      <c r="E9183">
        <f>IF(B9183=1,D9183,E9182)</f>
        <v/>
      </c>
      <c r="F9183">
        <f>IF(AND(B9183=1,C9183&gt;1,E9182&lt;&gt;""),ABS(D9183-E9182),"")</f>
        <v/>
      </c>
    </row>
    <row r="9184">
      <c r="A9184" t="n">
        <v>9184</v>
      </c>
      <c r="B9184">
        <f>IF(INDEX('Data Entry'!$H$5:$BE$10004,9184-4,'Visual SPC'!$B$3)="",0,IF(AND(OR('Visual SPC'!$C$4="",'Data Entry'!$C9184&gt;='Visual SPC'!$C$4),OR('Visual SPC'!$E$4="",'Data Entry'!$C9184&lt;='Visual SPC'!$E$4),OR('Visual SPC'!$G$4="",'Data Entry'!$D9184='Visual SPC'!$G$4),OR('Visual SPC'!$I$4="",'Data Entry'!$E9184='Visual SPC'!$I$4),OR('Visual SPC'!$K$4="",'Data Entry'!$F9184='Visual SPC'!$K$4)),1,0))</f>
        <v/>
      </c>
      <c r="C9184">
        <f>C9183+B9184</f>
        <v/>
      </c>
      <c r="D9184">
        <f>IF(B9184=1,INDEX('Data Entry'!$H$5:$BE$10004,9184-4,'Visual SPC'!$B$3),"")</f>
        <v/>
      </c>
      <c r="E9184">
        <f>IF(B9184=1,D9184,E9183)</f>
        <v/>
      </c>
      <c r="F9184">
        <f>IF(AND(B9184=1,C9184&gt;1,E9183&lt;&gt;""),ABS(D9184-E9183),"")</f>
        <v/>
      </c>
    </row>
    <row r="9185">
      <c r="A9185" t="n">
        <v>9185</v>
      </c>
      <c r="B9185">
        <f>IF(INDEX('Data Entry'!$H$5:$BE$10004,9185-4,'Visual SPC'!$B$3)="",0,IF(AND(OR('Visual SPC'!$C$4="",'Data Entry'!$C9185&gt;='Visual SPC'!$C$4),OR('Visual SPC'!$E$4="",'Data Entry'!$C9185&lt;='Visual SPC'!$E$4),OR('Visual SPC'!$G$4="",'Data Entry'!$D9185='Visual SPC'!$G$4),OR('Visual SPC'!$I$4="",'Data Entry'!$E9185='Visual SPC'!$I$4),OR('Visual SPC'!$K$4="",'Data Entry'!$F9185='Visual SPC'!$K$4)),1,0))</f>
        <v/>
      </c>
      <c r="C9185">
        <f>C9184+B9185</f>
        <v/>
      </c>
      <c r="D9185">
        <f>IF(B9185=1,INDEX('Data Entry'!$H$5:$BE$10004,9185-4,'Visual SPC'!$B$3),"")</f>
        <v/>
      </c>
      <c r="E9185">
        <f>IF(B9185=1,D9185,E9184)</f>
        <v/>
      </c>
      <c r="F9185">
        <f>IF(AND(B9185=1,C9185&gt;1,E9184&lt;&gt;""),ABS(D9185-E9184),"")</f>
        <v/>
      </c>
    </row>
    <row r="9186">
      <c r="A9186" t="n">
        <v>9186</v>
      </c>
      <c r="B9186">
        <f>IF(INDEX('Data Entry'!$H$5:$BE$10004,9186-4,'Visual SPC'!$B$3)="",0,IF(AND(OR('Visual SPC'!$C$4="",'Data Entry'!$C9186&gt;='Visual SPC'!$C$4),OR('Visual SPC'!$E$4="",'Data Entry'!$C9186&lt;='Visual SPC'!$E$4),OR('Visual SPC'!$G$4="",'Data Entry'!$D9186='Visual SPC'!$G$4),OR('Visual SPC'!$I$4="",'Data Entry'!$E9186='Visual SPC'!$I$4),OR('Visual SPC'!$K$4="",'Data Entry'!$F9186='Visual SPC'!$K$4)),1,0))</f>
        <v/>
      </c>
      <c r="C9186">
        <f>C9185+B9186</f>
        <v/>
      </c>
      <c r="D9186">
        <f>IF(B9186=1,INDEX('Data Entry'!$H$5:$BE$10004,9186-4,'Visual SPC'!$B$3),"")</f>
        <v/>
      </c>
      <c r="E9186">
        <f>IF(B9186=1,D9186,E9185)</f>
        <v/>
      </c>
      <c r="F9186">
        <f>IF(AND(B9186=1,C9186&gt;1,E9185&lt;&gt;""),ABS(D9186-E9185),"")</f>
        <v/>
      </c>
    </row>
    <row r="9187">
      <c r="A9187" t="n">
        <v>9187</v>
      </c>
      <c r="B9187">
        <f>IF(INDEX('Data Entry'!$H$5:$BE$10004,9187-4,'Visual SPC'!$B$3)="",0,IF(AND(OR('Visual SPC'!$C$4="",'Data Entry'!$C9187&gt;='Visual SPC'!$C$4),OR('Visual SPC'!$E$4="",'Data Entry'!$C9187&lt;='Visual SPC'!$E$4),OR('Visual SPC'!$G$4="",'Data Entry'!$D9187='Visual SPC'!$G$4),OR('Visual SPC'!$I$4="",'Data Entry'!$E9187='Visual SPC'!$I$4),OR('Visual SPC'!$K$4="",'Data Entry'!$F9187='Visual SPC'!$K$4)),1,0))</f>
        <v/>
      </c>
      <c r="C9187">
        <f>C9186+B9187</f>
        <v/>
      </c>
      <c r="D9187">
        <f>IF(B9187=1,INDEX('Data Entry'!$H$5:$BE$10004,9187-4,'Visual SPC'!$B$3),"")</f>
        <v/>
      </c>
      <c r="E9187">
        <f>IF(B9187=1,D9187,E9186)</f>
        <v/>
      </c>
      <c r="F9187">
        <f>IF(AND(B9187=1,C9187&gt;1,E9186&lt;&gt;""),ABS(D9187-E9186),"")</f>
        <v/>
      </c>
    </row>
    <row r="9188">
      <c r="A9188" t="n">
        <v>9188</v>
      </c>
      <c r="B9188">
        <f>IF(INDEX('Data Entry'!$H$5:$BE$10004,9188-4,'Visual SPC'!$B$3)="",0,IF(AND(OR('Visual SPC'!$C$4="",'Data Entry'!$C9188&gt;='Visual SPC'!$C$4),OR('Visual SPC'!$E$4="",'Data Entry'!$C9188&lt;='Visual SPC'!$E$4),OR('Visual SPC'!$G$4="",'Data Entry'!$D9188='Visual SPC'!$G$4),OR('Visual SPC'!$I$4="",'Data Entry'!$E9188='Visual SPC'!$I$4),OR('Visual SPC'!$K$4="",'Data Entry'!$F9188='Visual SPC'!$K$4)),1,0))</f>
        <v/>
      </c>
      <c r="C9188">
        <f>C9187+B9188</f>
        <v/>
      </c>
      <c r="D9188">
        <f>IF(B9188=1,INDEX('Data Entry'!$H$5:$BE$10004,9188-4,'Visual SPC'!$B$3),"")</f>
        <v/>
      </c>
      <c r="E9188">
        <f>IF(B9188=1,D9188,E9187)</f>
        <v/>
      </c>
      <c r="F9188">
        <f>IF(AND(B9188=1,C9188&gt;1,E9187&lt;&gt;""),ABS(D9188-E9187),"")</f>
        <v/>
      </c>
    </row>
    <row r="9189">
      <c r="A9189" t="n">
        <v>9189</v>
      </c>
      <c r="B9189">
        <f>IF(INDEX('Data Entry'!$H$5:$BE$10004,9189-4,'Visual SPC'!$B$3)="",0,IF(AND(OR('Visual SPC'!$C$4="",'Data Entry'!$C9189&gt;='Visual SPC'!$C$4),OR('Visual SPC'!$E$4="",'Data Entry'!$C9189&lt;='Visual SPC'!$E$4),OR('Visual SPC'!$G$4="",'Data Entry'!$D9189='Visual SPC'!$G$4),OR('Visual SPC'!$I$4="",'Data Entry'!$E9189='Visual SPC'!$I$4),OR('Visual SPC'!$K$4="",'Data Entry'!$F9189='Visual SPC'!$K$4)),1,0))</f>
        <v/>
      </c>
      <c r="C9189">
        <f>C9188+B9189</f>
        <v/>
      </c>
      <c r="D9189">
        <f>IF(B9189=1,INDEX('Data Entry'!$H$5:$BE$10004,9189-4,'Visual SPC'!$B$3),"")</f>
        <v/>
      </c>
      <c r="E9189">
        <f>IF(B9189=1,D9189,E9188)</f>
        <v/>
      </c>
      <c r="F9189">
        <f>IF(AND(B9189=1,C9189&gt;1,E9188&lt;&gt;""),ABS(D9189-E9188),"")</f>
        <v/>
      </c>
    </row>
    <row r="9190">
      <c r="A9190" t="n">
        <v>9190</v>
      </c>
      <c r="B9190">
        <f>IF(INDEX('Data Entry'!$H$5:$BE$10004,9190-4,'Visual SPC'!$B$3)="",0,IF(AND(OR('Visual SPC'!$C$4="",'Data Entry'!$C9190&gt;='Visual SPC'!$C$4),OR('Visual SPC'!$E$4="",'Data Entry'!$C9190&lt;='Visual SPC'!$E$4),OR('Visual SPC'!$G$4="",'Data Entry'!$D9190='Visual SPC'!$G$4),OR('Visual SPC'!$I$4="",'Data Entry'!$E9190='Visual SPC'!$I$4),OR('Visual SPC'!$K$4="",'Data Entry'!$F9190='Visual SPC'!$K$4)),1,0))</f>
        <v/>
      </c>
      <c r="C9190">
        <f>C9189+B9190</f>
        <v/>
      </c>
      <c r="D9190">
        <f>IF(B9190=1,INDEX('Data Entry'!$H$5:$BE$10004,9190-4,'Visual SPC'!$B$3),"")</f>
        <v/>
      </c>
      <c r="E9190">
        <f>IF(B9190=1,D9190,E9189)</f>
        <v/>
      </c>
      <c r="F9190">
        <f>IF(AND(B9190=1,C9190&gt;1,E9189&lt;&gt;""),ABS(D9190-E9189),"")</f>
        <v/>
      </c>
    </row>
    <row r="9191">
      <c r="A9191" t="n">
        <v>9191</v>
      </c>
      <c r="B9191">
        <f>IF(INDEX('Data Entry'!$H$5:$BE$10004,9191-4,'Visual SPC'!$B$3)="",0,IF(AND(OR('Visual SPC'!$C$4="",'Data Entry'!$C9191&gt;='Visual SPC'!$C$4),OR('Visual SPC'!$E$4="",'Data Entry'!$C9191&lt;='Visual SPC'!$E$4),OR('Visual SPC'!$G$4="",'Data Entry'!$D9191='Visual SPC'!$G$4),OR('Visual SPC'!$I$4="",'Data Entry'!$E9191='Visual SPC'!$I$4),OR('Visual SPC'!$K$4="",'Data Entry'!$F9191='Visual SPC'!$K$4)),1,0))</f>
        <v/>
      </c>
      <c r="C9191">
        <f>C9190+B9191</f>
        <v/>
      </c>
      <c r="D9191">
        <f>IF(B9191=1,INDEX('Data Entry'!$H$5:$BE$10004,9191-4,'Visual SPC'!$B$3),"")</f>
        <v/>
      </c>
      <c r="E9191">
        <f>IF(B9191=1,D9191,E9190)</f>
        <v/>
      </c>
      <c r="F9191">
        <f>IF(AND(B9191=1,C9191&gt;1,E9190&lt;&gt;""),ABS(D9191-E9190),"")</f>
        <v/>
      </c>
    </row>
    <row r="9192">
      <c r="A9192" t="n">
        <v>9192</v>
      </c>
      <c r="B9192">
        <f>IF(INDEX('Data Entry'!$H$5:$BE$10004,9192-4,'Visual SPC'!$B$3)="",0,IF(AND(OR('Visual SPC'!$C$4="",'Data Entry'!$C9192&gt;='Visual SPC'!$C$4),OR('Visual SPC'!$E$4="",'Data Entry'!$C9192&lt;='Visual SPC'!$E$4),OR('Visual SPC'!$G$4="",'Data Entry'!$D9192='Visual SPC'!$G$4),OR('Visual SPC'!$I$4="",'Data Entry'!$E9192='Visual SPC'!$I$4),OR('Visual SPC'!$K$4="",'Data Entry'!$F9192='Visual SPC'!$K$4)),1,0))</f>
        <v/>
      </c>
      <c r="C9192">
        <f>C9191+B9192</f>
        <v/>
      </c>
      <c r="D9192">
        <f>IF(B9192=1,INDEX('Data Entry'!$H$5:$BE$10004,9192-4,'Visual SPC'!$B$3),"")</f>
        <v/>
      </c>
      <c r="E9192">
        <f>IF(B9192=1,D9192,E9191)</f>
        <v/>
      </c>
      <c r="F9192">
        <f>IF(AND(B9192=1,C9192&gt;1,E9191&lt;&gt;""),ABS(D9192-E9191),"")</f>
        <v/>
      </c>
    </row>
    <row r="9193">
      <c r="A9193" t="n">
        <v>9193</v>
      </c>
      <c r="B9193">
        <f>IF(INDEX('Data Entry'!$H$5:$BE$10004,9193-4,'Visual SPC'!$B$3)="",0,IF(AND(OR('Visual SPC'!$C$4="",'Data Entry'!$C9193&gt;='Visual SPC'!$C$4),OR('Visual SPC'!$E$4="",'Data Entry'!$C9193&lt;='Visual SPC'!$E$4),OR('Visual SPC'!$G$4="",'Data Entry'!$D9193='Visual SPC'!$G$4),OR('Visual SPC'!$I$4="",'Data Entry'!$E9193='Visual SPC'!$I$4),OR('Visual SPC'!$K$4="",'Data Entry'!$F9193='Visual SPC'!$K$4)),1,0))</f>
        <v/>
      </c>
      <c r="C9193">
        <f>C9192+B9193</f>
        <v/>
      </c>
      <c r="D9193">
        <f>IF(B9193=1,INDEX('Data Entry'!$H$5:$BE$10004,9193-4,'Visual SPC'!$B$3),"")</f>
        <v/>
      </c>
      <c r="E9193">
        <f>IF(B9193=1,D9193,E9192)</f>
        <v/>
      </c>
      <c r="F9193">
        <f>IF(AND(B9193=1,C9193&gt;1,E9192&lt;&gt;""),ABS(D9193-E9192),"")</f>
        <v/>
      </c>
    </row>
    <row r="9194">
      <c r="A9194" t="n">
        <v>9194</v>
      </c>
      <c r="B9194">
        <f>IF(INDEX('Data Entry'!$H$5:$BE$10004,9194-4,'Visual SPC'!$B$3)="",0,IF(AND(OR('Visual SPC'!$C$4="",'Data Entry'!$C9194&gt;='Visual SPC'!$C$4),OR('Visual SPC'!$E$4="",'Data Entry'!$C9194&lt;='Visual SPC'!$E$4),OR('Visual SPC'!$G$4="",'Data Entry'!$D9194='Visual SPC'!$G$4),OR('Visual SPC'!$I$4="",'Data Entry'!$E9194='Visual SPC'!$I$4),OR('Visual SPC'!$K$4="",'Data Entry'!$F9194='Visual SPC'!$K$4)),1,0))</f>
        <v/>
      </c>
      <c r="C9194">
        <f>C9193+B9194</f>
        <v/>
      </c>
      <c r="D9194">
        <f>IF(B9194=1,INDEX('Data Entry'!$H$5:$BE$10004,9194-4,'Visual SPC'!$B$3),"")</f>
        <v/>
      </c>
      <c r="E9194">
        <f>IF(B9194=1,D9194,E9193)</f>
        <v/>
      </c>
      <c r="F9194">
        <f>IF(AND(B9194=1,C9194&gt;1,E9193&lt;&gt;""),ABS(D9194-E9193),"")</f>
        <v/>
      </c>
    </row>
    <row r="9195">
      <c r="A9195" t="n">
        <v>9195</v>
      </c>
      <c r="B9195">
        <f>IF(INDEX('Data Entry'!$H$5:$BE$10004,9195-4,'Visual SPC'!$B$3)="",0,IF(AND(OR('Visual SPC'!$C$4="",'Data Entry'!$C9195&gt;='Visual SPC'!$C$4),OR('Visual SPC'!$E$4="",'Data Entry'!$C9195&lt;='Visual SPC'!$E$4),OR('Visual SPC'!$G$4="",'Data Entry'!$D9195='Visual SPC'!$G$4),OR('Visual SPC'!$I$4="",'Data Entry'!$E9195='Visual SPC'!$I$4),OR('Visual SPC'!$K$4="",'Data Entry'!$F9195='Visual SPC'!$K$4)),1,0))</f>
        <v/>
      </c>
      <c r="C9195">
        <f>C9194+B9195</f>
        <v/>
      </c>
      <c r="D9195">
        <f>IF(B9195=1,INDEX('Data Entry'!$H$5:$BE$10004,9195-4,'Visual SPC'!$B$3),"")</f>
        <v/>
      </c>
      <c r="E9195">
        <f>IF(B9195=1,D9195,E9194)</f>
        <v/>
      </c>
      <c r="F9195">
        <f>IF(AND(B9195=1,C9195&gt;1,E9194&lt;&gt;""),ABS(D9195-E9194),"")</f>
        <v/>
      </c>
    </row>
    <row r="9196">
      <c r="A9196" t="n">
        <v>9196</v>
      </c>
      <c r="B9196">
        <f>IF(INDEX('Data Entry'!$H$5:$BE$10004,9196-4,'Visual SPC'!$B$3)="",0,IF(AND(OR('Visual SPC'!$C$4="",'Data Entry'!$C9196&gt;='Visual SPC'!$C$4),OR('Visual SPC'!$E$4="",'Data Entry'!$C9196&lt;='Visual SPC'!$E$4),OR('Visual SPC'!$G$4="",'Data Entry'!$D9196='Visual SPC'!$G$4),OR('Visual SPC'!$I$4="",'Data Entry'!$E9196='Visual SPC'!$I$4),OR('Visual SPC'!$K$4="",'Data Entry'!$F9196='Visual SPC'!$K$4)),1,0))</f>
        <v/>
      </c>
      <c r="C9196">
        <f>C9195+B9196</f>
        <v/>
      </c>
      <c r="D9196">
        <f>IF(B9196=1,INDEX('Data Entry'!$H$5:$BE$10004,9196-4,'Visual SPC'!$B$3),"")</f>
        <v/>
      </c>
      <c r="E9196">
        <f>IF(B9196=1,D9196,E9195)</f>
        <v/>
      </c>
      <c r="F9196">
        <f>IF(AND(B9196=1,C9196&gt;1,E9195&lt;&gt;""),ABS(D9196-E9195),"")</f>
        <v/>
      </c>
    </row>
    <row r="9197">
      <c r="A9197" t="n">
        <v>9197</v>
      </c>
      <c r="B9197">
        <f>IF(INDEX('Data Entry'!$H$5:$BE$10004,9197-4,'Visual SPC'!$B$3)="",0,IF(AND(OR('Visual SPC'!$C$4="",'Data Entry'!$C9197&gt;='Visual SPC'!$C$4),OR('Visual SPC'!$E$4="",'Data Entry'!$C9197&lt;='Visual SPC'!$E$4),OR('Visual SPC'!$G$4="",'Data Entry'!$D9197='Visual SPC'!$G$4),OR('Visual SPC'!$I$4="",'Data Entry'!$E9197='Visual SPC'!$I$4),OR('Visual SPC'!$K$4="",'Data Entry'!$F9197='Visual SPC'!$K$4)),1,0))</f>
        <v/>
      </c>
      <c r="C9197">
        <f>C9196+B9197</f>
        <v/>
      </c>
      <c r="D9197">
        <f>IF(B9197=1,INDEX('Data Entry'!$H$5:$BE$10004,9197-4,'Visual SPC'!$B$3),"")</f>
        <v/>
      </c>
      <c r="E9197">
        <f>IF(B9197=1,D9197,E9196)</f>
        <v/>
      </c>
      <c r="F9197">
        <f>IF(AND(B9197=1,C9197&gt;1,E9196&lt;&gt;""),ABS(D9197-E9196),"")</f>
        <v/>
      </c>
    </row>
    <row r="9198">
      <c r="A9198" t="n">
        <v>9198</v>
      </c>
      <c r="B9198">
        <f>IF(INDEX('Data Entry'!$H$5:$BE$10004,9198-4,'Visual SPC'!$B$3)="",0,IF(AND(OR('Visual SPC'!$C$4="",'Data Entry'!$C9198&gt;='Visual SPC'!$C$4),OR('Visual SPC'!$E$4="",'Data Entry'!$C9198&lt;='Visual SPC'!$E$4),OR('Visual SPC'!$G$4="",'Data Entry'!$D9198='Visual SPC'!$G$4),OR('Visual SPC'!$I$4="",'Data Entry'!$E9198='Visual SPC'!$I$4),OR('Visual SPC'!$K$4="",'Data Entry'!$F9198='Visual SPC'!$K$4)),1,0))</f>
        <v/>
      </c>
      <c r="C9198">
        <f>C9197+B9198</f>
        <v/>
      </c>
      <c r="D9198">
        <f>IF(B9198=1,INDEX('Data Entry'!$H$5:$BE$10004,9198-4,'Visual SPC'!$B$3),"")</f>
        <v/>
      </c>
      <c r="E9198">
        <f>IF(B9198=1,D9198,E9197)</f>
        <v/>
      </c>
      <c r="F9198">
        <f>IF(AND(B9198=1,C9198&gt;1,E9197&lt;&gt;""),ABS(D9198-E9197),"")</f>
        <v/>
      </c>
    </row>
    <row r="9199">
      <c r="A9199" t="n">
        <v>9199</v>
      </c>
      <c r="B9199">
        <f>IF(INDEX('Data Entry'!$H$5:$BE$10004,9199-4,'Visual SPC'!$B$3)="",0,IF(AND(OR('Visual SPC'!$C$4="",'Data Entry'!$C9199&gt;='Visual SPC'!$C$4),OR('Visual SPC'!$E$4="",'Data Entry'!$C9199&lt;='Visual SPC'!$E$4),OR('Visual SPC'!$G$4="",'Data Entry'!$D9199='Visual SPC'!$G$4),OR('Visual SPC'!$I$4="",'Data Entry'!$E9199='Visual SPC'!$I$4),OR('Visual SPC'!$K$4="",'Data Entry'!$F9199='Visual SPC'!$K$4)),1,0))</f>
        <v/>
      </c>
      <c r="C9199">
        <f>C9198+B9199</f>
        <v/>
      </c>
      <c r="D9199">
        <f>IF(B9199=1,INDEX('Data Entry'!$H$5:$BE$10004,9199-4,'Visual SPC'!$B$3),"")</f>
        <v/>
      </c>
      <c r="E9199">
        <f>IF(B9199=1,D9199,E9198)</f>
        <v/>
      </c>
      <c r="F9199">
        <f>IF(AND(B9199=1,C9199&gt;1,E9198&lt;&gt;""),ABS(D9199-E9198),"")</f>
        <v/>
      </c>
    </row>
    <row r="9200">
      <c r="A9200" t="n">
        <v>9200</v>
      </c>
      <c r="B9200">
        <f>IF(INDEX('Data Entry'!$H$5:$BE$10004,9200-4,'Visual SPC'!$B$3)="",0,IF(AND(OR('Visual SPC'!$C$4="",'Data Entry'!$C9200&gt;='Visual SPC'!$C$4),OR('Visual SPC'!$E$4="",'Data Entry'!$C9200&lt;='Visual SPC'!$E$4),OR('Visual SPC'!$G$4="",'Data Entry'!$D9200='Visual SPC'!$G$4),OR('Visual SPC'!$I$4="",'Data Entry'!$E9200='Visual SPC'!$I$4),OR('Visual SPC'!$K$4="",'Data Entry'!$F9200='Visual SPC'!$K$4)),1,0))</f>
        <v/>
      </c>
      <c r="C9200">
        <f>C9199+B9200</f>
        <v/>
      </c>
      <c r="D9200">
        <f>IF(B9200=1,INDEX('Data Entry'!$H$5:$BE$10004,9200-4,'Visual SPC'!$B$3),"")</f>
        <v/>
      </c>
      <c r="E9200">
        <f>IF(B9200=1,D9200,E9199)</f>
        <v/>
      </c>
      <c r="F9200">
        <f>IF(AND(B9200=1,C9200&gt;1,E9199&lt;&gt;""),ABS(D9200-E9199),"")</f>
        <v/>
      </c>
    </row>
    <row r="9201">
      <c r="A9201" t="n">
        <v>9201</v>
      </c>
      <c r="B9201">
        <f>IF(INDEX('Data Entry'!$H$5:$BE$10004,9201-4,'Visual SPC'!$B$3)="",0,IF(AND(OR('Visual SPC'!$C$4="",'Data Entry'!$C9201&gt;='Visual SPC'!$C$4),OR('Visual SPC'!$E$4="",'Data Entry'!$C9201&lt;='Visual SPC'!$E$4),OR('Visual SPC'!$G$4="",'Data Entry'!$D9201='Visual SPC'!$G$4),OR('Visual SPC'!$I$4="",'Data Entry'!$E9201='Visual SPC'!$I$4),OR('Visual SPC'!$K$4="",'Data Entry'!$F9201='Visual SPC'!$K$4)),1,0))</f>
        <v/>
      </c>
      <c r="C9201">
        <f>C9200+B9201</f>
        <v/>
      </c>
      <c r="D9201">
        <f>IF(B9201=1,INDEX('Data Entry'!$H$5:$BE$10004,9201-4,'Visual SPC'!$B$3),"")</f>
        <v/>
      </c>
      <c r="E9201">
        <f>IF(B9201=1,D9201,E9200)</f>
        <v/>
      </c>
      <c r="F9201">
        <f>IF(AND(B9201=1,C9201&gt;1,E9200&lt;&gt;""),ABS(D9201-E9200),"")</f>
        <v/>
      </c>
    </row>
    <row r="9202">
      <c r="A9202" t="n">
        <v>9202</v>
      </c>
      <c r="B9202">
        <f>IF(INDEX('Data Entry'!$H$5:$BE$10004,9202-4,'Visual SPC'!$B$3)="",0,IF(AND(OR('Visual SPC'!$C$4="",'Data Entry'!$C9202&gt;='Visual SPC'!$C$4),OR('Visual SPC'!$E$4="",'Data Entry'!$C9202&lt;='Visual SPC'!$E$4),OR('Visual SPC'!$G$4="",'Data Entry'!$D9202='Visual SPC'!$G$4),OR('Visual SPC'!$I$4="",'Data Entry'!$E9202='Visual SPC'!$I$4),OR('Visual SPC'!$K$4="",'Data Entry'!$F9202='Visual SPC'!$K$4)),1,0))</f>
        <v/>
      </c>
      <c r="C9202">
        <f>C9201+B9202</f>
        <v/>
      </c>
      <c r="D9202">
        <f>IF(B9202=1,INDEX('Data Entry'!$H$5:$BE$10004,9202-4,'Visual SPC'!$B$3),"")</f>
        <v/>
      </c>
      <c r="E9202">
        <f>IF(B9202=1,D9202,E9201)</f>
        <v/>
      </c>
      <c r="F9202">
        <f>IF(AND(B9202=1,C9202&gt;1,E9201&lt;&gt;""),ABS(D9202-E9201),"")</f>
        <v/>
      </c>
    </row>
    <row r="9203">
      <c r="A9203" t="n">
        <v>9203</v>
      </c>
      <c r="B9203">
        <f>IF(INDEX('Data Entry'!$H$5:$BE$10004,9203-4,'Visual SPC'!$B$3)="",0,IF(AND(OR('Visual SPC'!$C$4="",'Data Entry'!$C9203&gt;='Visual SPC'!$C$4),OR('Visual SPC'!$E$4="",'Data Entry'!$C9203&lt;='Visual SPC'!$E$4),OR('Visual SPC'!$G$4="",'Data Entry'!$D9203='Visual SPC'!$G$4),OR('Visual SPC'!$I$4="",'Data Entry'!$E9203='Visual SPC'!$I$4),OR('Visual SPC'!$K$4="",'Data Entry'!$F9203='Visual SPC'!$K$4)),1,0))</f>
        <v/>
      </c>
      <c r="C9203">
        <f>C9202+B9203</f>
        <v/>
      </c>
      <c r="D9203">
        <f>IF(B9203=1,INDEX('Data Entry'!$H$5:$BE$10004,9203-4,'Visual SPC'!$B$3),"")</f>
        <v/>
      </c>
      <c r="E9203">
        <f>IF(B9203=1,D9203,E9202)</f>
        <v/>
      </c>
      <c r="F9203">
        <f>IF(AND(B9203=1,C9203&gt;1,E9202&lt;&gt;""),ABS(D9203-E9202),"")</f>
        <v/>
      </c>
    </row>
    <row r="9204">
      <c r="A9204" t="n">
        <v>9204</v>
      </c>
      <c r="B9204">
        <f>IF(INDEX('Data Entry'!$H$5:$BE$10004,9204-4,'Visual SPC'!$B$3)="",0,IF(AND(OR('Visual SPC'!$C$4="",'Data Entry'!$C9204&gt;='Visual SPC'!$C$4),OR('Visual SPC'!$E$4="",'Data Entry'!$C9204&lt;='Visual SPC'!$E$4),OR('Visual SPC'!$G$4="",'Data Entry'!$D9204='Visual SPC'!$G$4),OR('Visual SPC'!$I$4="",'Data Entry'!$E9204='Visual SPC'!$I$4),OR('Visual SPC'!$K$4="",'Data Entry'!$F9204='Visual SPC'!$K$4)),1,0))</f>
        <v/>
      </c>
      <c r="C9204">
        <f>C9203+B9204</f>
        <v/>
      </c>
      <c r="D9204">
        <f>IF(B9204=1,INDEX('Data Entry'!$H$5:$BE$10004,9204-4,'Visual SPC'!$B$3),"")</f>
        <v/>
      </c>
      <c r="E9204">
        <f>IF(B9204=1,D9204,E9203)</f>
        <v/>
      </c>
      <c r="F9204">
        <f>IF(AND(B9204=1,C9204&gt;1,E9203&lt;&gt;""),ABS(D9204-E9203),"")</f>
        <v/>
      </c>
    </row>
    <row r="9205">
      <c r="A9205" t="n">
        <v>9205</v>
      </c>
      <c r="B9205">
        <f>IF(INDEX('Data Entry'!$H$5:$BE$10004,9205-4,'Visual SPC'!$B$3)="",0,IF(AND(OR('Visual SPC'!$C$4="",'Data Entry'!$C9205&gt;='Visual SPC'!$C$4),OR('Visual SPC'!$E$4="",'Data Entry'!$C9205&lt;='Visual SPC'!$E$4),OR('Visual SPC'!$G$4="",'Data Entry'!$D9205='Visual SPC'!$G$4),OR('Visual SPC'!$I$4="",'Data Entry'!$E9205='Visual SPC'!$I$4),OR('Visual SPC'!$K$4="",'Data Entry'!$F9205='Visual SPC'!$K$4)),1,0))</f>
        <v/>
      </c>
      <c r="C9205">
        <f>C9204+B9205</f>
        <v/>
      </c>
      <c r="D9205">
        <f>IF(B9205=1,INDEX('Data Entry'!$H$5:$BE$10004,9205-4,'Visual SPC'!$B$3),"")</f>
        <v/>
      </c>
      <c r="E9205">
        <f>IF(B9205=1,D9205,E9204)</f>
        <v/>
      </c>
      <c r="F9205">
        <f>IF(AND(B9205=1,C9205&gt;1,E9204&lt;&gt;""),ABS(D9205-E9204),"")</f>
        <v/>
      </c>
    </row>
    <row r="9206">
      <c r="A9206" t="n">
        <v>9206</v>
      </c>
      <c r="B9206">
        <f>IF(INDEX('Data Entry'!$H$5:$BE$10004,9206-4,'Visual SPC'!$B$3)="",0,IF(AND(OR('Visual SPC'!$C$4="",'Data Entry'!$C9206&gt;='Visual SPC'!$C$4),OR('Visual SPC'!$E$4="",'Data Entry'!$C9206&lt;='Visual SPC'!$E$4),OR('Visual SPC'!$G$4="",'Data Entry'!$D9206='Visual SPC'!$G$4),OR('Visual SPC'!$I$4="",'Data Entry'!$E9206='Visual SPC'!$I$4),OR('Visual SPC'!$K$4="",'Data Entry'!$F9206='Visual SPC'!$K$4)),1,0))</f>
        <v/>
      </c>
      <c r="C9206">
        <f>C9205+B9206</f>
        <v/>
      </c>
      <c r="D9206">
        <f>IF(B9206=1,INDEX('Data Entry'!$H$5:$BE$10004,9206-4,'Visual SPC'!$B$3),"")</f>
        <v/>
      </c>
      <c r="E9206">
        <f>IF(B9206=1,D9206,E9205)</f>
        <v/>
      </c>
      <c r="F9206">
        <f>IF(AND(B9206=1,C9206&gt;1,E9205&lt;&gt;""),ABS(D9206-E9205),"")</f>
        <v/>
      </c>
    </row>
    <row r="9207">
      <c r="A9207" t="n">
        <v>9207</v>
      </c>
      <c r="B9207">
        <f>IF(INDEX('Data Entry'!$H$5:$BE$10004,9207-4,'Visual SPC'!$B$3)="",0,IF(AND(OR('Visual SPC'!$C$4="",'Data Entry'!$C9207&gt;='Visual SPC'!$C$4),OR('Visual SPC'!$E$4="",'Data Entry'!$C9207&lt;='Visual SPC'!$E$4),OR('Visual SPC'!$G$4="",'Data Entry'!$D9207='Visual SPC'!$G$4),OR('Visual SPC'!$I$4="",'Data Entry'!$E9207='Visual SPC'!$I$4),OR('Visual SPC'!$K$4="",'Data Entry'!$F9207='Visual SPC'!$K$4)),1,0))</f>
        <v/>
      </c>
      <c r="C9207">
        <f>C9206+B9207</f>
        <v/>
      </c>
      <c r="D9207">
        <f>IF(B9207=1,INDEX('Data Entry'!$H$5:$BE$10004,9207-4,'Visual SPC'!$B$3),"")</f>
        <v/>
      </c>
      <c r="E9207">
        <f>IF(B9207=1,D9207,E9206)</f>
        <v/>
      </c>
      <c r="F9207">
        <f>IF(AND(B9207=1,C9207&gt;1,E9206&lt;&gt;""),ABS(D9207-E9206),"")</f>
        <v/>
      </c>
    </row>
    <row r="9208">
      <c r="A9208" t="n">
        <v>9208</v>
      </c>
      <c r="B9208">
        <f>IF(INDEX('Data Entry'!$H$5:$BE$10004,9208-4,'Visual SPC'!$B$3)="",0,IF(AND(OR('Visual SPC'!$C$4="",'Data Entry'!$C9208&gt;='Visual SPC'!$C$4),OR('Visual SPC'!$E$4="",'Data Entry'!$C9208&lt;='Visual SPC'!$E$4),OR('Visual SPC'!$G$4="",'Data Entry'!$D9208='Visual SPC'!$G$4),OR('Visual SPC'!$I$4="",'Data Entry'!$E9208='Visual SPC'!$I$4),OR('Visual SPC'!$K$4="",'Data Entry'!$F9208='Visual SPC'!$K$4)),1,0))</f>
        <v/>
      </c>
      <c r="C9208">
        <f>C9207+B9208</f>
        <v/>
      </c>
      <c r="D9208">
        <f>IF(B9208=1,INDEX('Data Entry'!$H$5:$BE$10004,9208-4,'Visual SPC'!$B$3),"")</f>
        <v/>
      </c>
      <c r="E9208">
        <f>IF(B9208=1,D9208,E9207)</f>
        <v/>
      </c>
      <c r="F9208">
        <f>IF(AND(B9208=1,C9208&gt;1,E9207&lt;&gt;""),ABS(D9208-E9207),"")</f>
        <v/>
      </c>
    </row>
    <row r="9209">
      <c r="A9209" t="n">
        <v>9209</v>
      </c>
      <c r="B9209">
        <f>IF(INDEX('Data Entry'!$H$5:$BE$10004,9209-4,'Visual SPC'!$B$3)="",0,IF(AND(OR('Visual SPC'!$C$4="",'Data Entry'!$C9209&gt;='Visual SPC'!$C$4),OR('Visual SPC'!$E$4="",'Data Entry'!$C9209&lt;='Visual SPC'!$E$4),OR('Visual SPC'!$G$4="",'Data Entry'!$D9209='Visual SPC'!$G$4),OR('Visual SPC'!$I$4="",'Data Entry'!$E9209='Visual SPC'!$I$4),OR('Visual SPC'!$K$4="",'Data Entry'!$F9209='Visual SPC'!$K$4)),1,0))</f>
        <v/>
      </c>
      <c r="C9209">
        <f>C9208+B9209</f>
        <v/>
      </c>
      <c r="D9209">
        <f>IF(B9209=1,INDEX('Data Entry'!$H$5:$BE$10004,9209-4,'Visual SPC'!$B$3),"")</f>
        <v/>
      </c>
      <c r="E9209">
        <f>IF(B9209=1,D9209,E9208)</f>
        <v/>
      </c>
      <c r="F9209">
        <f>IF(AND(B9209=1,C9209&gt;1,E9208&lt;&gt;""),ABS(D9209-E9208),"")</f>
        <v/>
      </c>
    </row>
    <row r="9210">
      <c r="A9210" t="n">
        <v>9210</v>
      </c>
      <c r="B9210">
        <f>IF(INDEX('Data Entry'!$H$5:$BE$10004,9210-4,'Visual SPC'!$B$3)="",0,IF(AND(OR('Visual SPC'!$C$4="",'Data Entry'!$C9210&gt;='Visual SPC'!$C$4),OR('Visual SPC'!$E$4="",'Data Entry'!$C9210&lt;='Visual SPC'!$E$4),OR('Visual SPC'!$G$4="",'Data Entry'!$D9210='Visual SPC'!$G$4),OR('Visual SPC'!$I$4="",'Data Entry'!$E9210='Visual SPC'!$I$4),OR('Visual SPC'!$K$4="",'Data Entry'!$F9210='Visual SPC'!$K$4)),1,0))</f>
        <v/>
      </c>
      <c r="C9210">
        <f>C9209+B9210</f>
        <v/>
      </c>
      <c r="D9210">
        <f>IF(B9210=1,INDEX('Data Entry'!$H$5:$BE$10004,9210-4,'Visual SPC'!$B$3),"")</f>
        <v/>
      </c>
      <c r="E9210">
        <f>IF(B9210=1,D9210,E9209)</f>
        <v/>
      </c>
      <c r="F9210">
        <f>IF(AND(B9210=1,C9210&gt;1,E9209&lt;&gt;""),ABS(D9210-E9209),"")</f>
        <v/>
      </c>
    </row>
    <row r="9211">
      <c r="A9211" t="n">
        <v>9211</v>
      </c>
      <c r="B9211">
        <f>IF(INDEX('Data Entry'!$H$5:$BE$10004,9211-4,'Visual SPC'!$B$3)="",0,IF(AND(OR('Visual SPC'!$C$4="",'Data Entry'!$C9211&gt;='Visual SPC'!$C$4),OR('Visual SPC'!$E$4="",'Data Entry'!$C9211&lt;='Visual SPC'!$E$4),OR('Visual SPC'!$G$4="",'Data Entry'!$D9211='Visual SPC'!$G$4),OR('Visual SPC'!$I$4="",'Data Entry'!$E9211='Visual SPC'!$I$4),OR('Visual SPC'!$K$4="",'Data Entry'!$F9211='Visual SPC'!$K$4)),1,0))</f>
        <v/>
      </c>
      <c r="C9211">
        <f>C9210+B9211</f>
        <v/>
      </c>
      <c r="D9211">
        <f>IF(B9211=1,INDEX('Data Entry'!$H$5:$BE$10004,9211-4,'Visual SPC'!$B$3),"")</f>
        <v/>
      </c>
      <c r="E9211">
        <f>IF(B9211=1,D9211,E9210)</f>
        <v/>
      </c>
      <c r="F9211">
        <f>IF(AND(B9211=1,C9211&gt;1,E9210&lt;&gt;""),ABS(D9211-E9210),"")</f>
        <v/>
      </c>
    </row>
    <row r="9212">
      <c r="A9212" t="n">
        <v>9212</v>
      </c>
      <c r="B9212">
        <f>IF(INDEX('Data Entry'!$H$5:$BE$10004,9212-4,'Visual SPC'!$B$3)="",0,IF(AND(OR('Visual SPC'!$C$4="",'Data Entry'!$C9212&gt;='Visual SPC'!$C$4),OR('Visual SPC'!$E$4="",'Data Entry'!$C9212&lt;='Visual SPC'!$E$4),OR('Visual SPC'!$G$4="",'Data Entry'!$D9212='Visual SPC'!$G$4),OR('Visual SPC'!$I$4="",'Data Entry'!$E9212='Visual SPC'!$I$4),OR('Visual SPC'!$K$4="",'Data Entry'!$F9212='Visual SPC'!$K$4)),1,0))</f>
        <v/>
      </c>
      <c r="C9212">
        <f>C9211+B9212</f>
        <v/>
      </c>
      <c r="D9212">
        <f>IF(B9212=1,INDEX('Data Entry'!$H$5:$BE$10004,9212-4,'Visual SPC'!$B$3),"")</f>
        <v/>
      </c>
      <c r="E9212">
        <f>IF(B9212=1,D9212,E9211)</f>
        <v/>
      </c>
      <c r="F9212">
        <f>IF(AND(B9212=1,C9212&gt;1,E9211&lt;&gt;""),ABS(D9212-E9211),"")</f>
        <v/>
      </c>
    </row>
    <row r="9213">
      <c r="A9213" t="n">
        <v>9213</v>
      </c>
      <c r="B9213">
        <f>IF(INDEX('Data Entry'!$H$5:$BE$10004,9213-4,'Visual SPC'!$B$3)="",0,IF(AND(OR('Visual SPC'!$C$4="",'Data Entry'!$C9213&gt;='Visual SPC'!$C$4),OR('Visual SPC'!$E$4="",'Data Entry'!$C9213&lt;='Visual SPC'!$E$4),OR('Visual SPC'!$G$4="",'Data Entry'!$D9213='Visual SPC'!$G$4),OR('Visual SPC'!$I$4="",'Data Entry'!$E9213='Visual SPC'!$I$4),OR('Visual SPC'!$K$4="",'Data Entry'!$F9213='Visual SPC'!$K$4)),1,0))</f>
        <v/>
      </c>
      <c r="C9213">
        <f>C9212+B9213</f>
        <v/>
      </c>
      <c r="D9213">
        <f>IF(B9213=1,INDEX('Data Entry'!$H$5:$BE$10004,9213-4,'Visual SPC'!$B$3),"")</f>
        <v/>
      </c>
      <c r="E9213">
        <f>IF(B9213=1,D9213,E9212)</f>
        <v/>
      </c>
      <c r="F9213">
        <f>IF(AND(B9213=1,C9213&gt;1,E9212&lt;&gt;""),ABS(D9213-E9212),"")</f>
        <v/>
      </c>
    </row>
    <row r="9214">
      <c r="A9214" t="n">
        <v>9214</v>
      </c>
      <c r="B9214">
        <f>IF(INDEX('Data Entry'!$H$5:$BE$10004,9214-4,'Visual SPC'!$B$3)="",0,IF(AND(OR('Visual SPC'!$C$4="",'Data Entry'!$C9214&gt;='Visual SPC'!$C$4),OR('Visual SPC'!$E$4="",'Data Entry'!$C9214&lt;='Visual SPC'!$E$4),OR('Visual SPC'!$G$4="",'Data Entry'!$D9214='Visual SPC'!$G$4),OR('Visual SPC'!$I$4="",'Data Entry'!$E9214='Visual SPC'!$I$4),OR('Visual SPC'!$K$4="",'Data Entry'!$F9214='Visual SPC'!$K$4)),1,0))</f>
        <v/>
      </c>
      <c r="C9214">
        <f>C9213+B9214</f>
        <v/>
      </c>
      <c r="D9214">
        <f>IF(B9214=1,INDEX('Data Entry'!$H$5:$BE$10004,9214-4,'Visual SPC'!$B$3),"")</f>
        <v/>
      </c>
      <c r="E9214">
        <f>IF(B9214=1,D9214,E9213)</f>
        <v/>
      </c>
      <c r="F9214">
        <f>IF(AND(B9214=1,C9214&gt;1,E9213&lt;&gt;""),ABS(D9214-E9213),"")</f>
        <v/>
      </c>
    </row>
    <row r="9215">
      <c r="A9215" t="n">
        <v>9215</v>
      </c>
      <c r="B9215">
        <f>IF(INDEX('Data Entry'!$H$5:$BE$10004,9215-4,'Visual SPC'!$B$3)="",0,IF(AND(OR('Visual SPC'!$C$4="",'Data Entry'!$C9215&gt;='Visual SPC'!$C$4),OR('Visual SPC'!$E$4="",'Data Entry'!$C9215&lt;='Visual SPC'!$E$4),OR('Visual SPC'!$G$4="",'Data Entry'!$D9215='Visual SPC'!$G$4),OR('Visual SPC'!$I$4="",'Data Entry'!$E9215='Visual SPC'!$I$4),OR('Visual SPC'!$K$4="",'Data Entry'!$F9215='Visual SPC'!$K$4)),1,0))</f>
        <v/>
      </c>
      <c r="C9215">
        <f>C9214+B9215</f>
        <v/>
      </c>
      <c r="D9215">
        <f>IF(B9215=1,INDEX('Data Entry'!$H$5:$BE$10004,9215-4,'Visual SPC'!$B$3),"")</f>
        <v/>
      </c>
      <c r="E9215">
        <f>IF(B9215=1,D9215,E9214)</f>
        <v/>
      </c>
      <c r="F9215">
        <f>IF(AND(B9215=1,C9215&gt;1,E9214&lt;&gt;""),ABS(D9215-E9214),"")</f>
        <v/>
      </c>
    </row>
    <row r="9216">
      <c r="A9216" t="n">
        <v>9216</v>
      </c>
      <c r="B9216">
        <f>IF(INDEX('Data Entry'!$H$5:$BE$10004,9216-4,'Visual SPC'!$B$3)="",0,IF(AND(OR('Visual SPC'!$C$4="",'Data Entry'!$C9216&gt;='Visual SPC'!$C$4),OR('Visual SPC'!$E$4="",'Data Entry'!$C9216&lt;='Visual SPC'!$E$4),OR('Visual SPC'!$G$4="",'Data Entry'!$D9216='Visual SPC'!$G$4),OR('Visual SPC'!$I$4="",'Data Entry'!$E9216='Visual SPC'!$I$4),OR('Visual SPC'!$K$4="",'Data Entry'!$F9216='Visual SPC'!$K$4)),1,0))</f>
        <v/>
      </c>
      <c r="C9216">
        <f>C9215+B9216</f>
        <v/>
      </c>
      <c r="D9216">
        <f>IF(B9216=1,INDEX('Data Entry'!$H$5:$BE$10004,9216-4,'Visual SPC'!$B$3),"")</f>
        <v/>
      </c>
      <c r="E9216">
        <f>IF(B9216=1,D9216,E9215)</f>
        <v/>
      </c>
      <c r="F9216">
        <f>IF(AND(B9216=1,C9216&gt;1,E9215&lt;&gt;""),ABS(D9216-E9215),"")</f>
        <v/>
      </c>
    </row>
    <row r="9217">
      <c r="A9217" t="n">
        <v>9217</v>
      </c>
      <c r="B9217">
        <f>IF(INDEX('Data Entry'!$H$5:$BE$10004,9217-4,'Visual SPC'!$B$3)="",0,IF(AND(OR('Visual SPC'!$C$4="",'Data Entry'!$C9217&gt;='Visual SPC'!$C$4),OR('Visual SPC'!$E$4="",'Data Entry'!$C9217&lt;='Visual SPC'!$E$4),OR('Visual SPC'!$G$4="",'Data Entry'!$D9217='Visual SPC'!$G$4),OR('Visual SPC'!$I$4="",'Data Entry'!$E9217='Visual SPC'!$I$4),OR('Visual SPC'!$K$4="",'Data Entry'!$F9217='Visual SPC'!$K$4)),1,0))</f>
        <v/>
      </c>
      <c r="C9217">
        <f>C9216+B9217</f>
        <v/>
      </c>
      <c r="D9217">
        <f>IF(B9217=1,INDEX('Data Entry'!$H$5:$BE$10004,9217-4,'Visual SPC'!$B$3),"")</f>
        <v/>
      </c>
      <c r="E9217">
        <f>IF(B9217=1,D9217,E9216)</f>
        <v/>
      </c>
      <c r="F9217">
        <f>IF(AND(B9217=1,C9217&gt;1,E9216&lt;&gt;""),ABS(D9217-E9216),"")</f>
        <v/>
      </c>
    </row>
    <row r="9218">
      <c r="A9218" t="n">
        <v>9218</v>
      </c>
      <c r="B9218">
        <f>IF(INDEX('Data Entry'!$H$5:$BE$10004,9218-4,'Visual SPC'!$B$3)="",0,IF(AND(OR('Visual SPC'!$C$4="",'Data Entry'!$C9218&gt;='Visual SPC'!$C$4),OR('Visual SPC'!$E$4="",'Data Entry'!$C9218&lt;='Visual SPC'!$E$4),OR('Visual SPC'!$G$4="",'Data Entry'!$D9218='Visual SPC'!$G$4),OR('Visual SPC'!$I$4="",'Data Entry'!$E9218='Visual SPC'!$I$4),OR('Visual SPC'!$K$4="",'Data Entry'!$F9218='Visual SPC'!$K$4)),1,0))</f>
        <v/>
      </c>
      <c r="C9218">
        <f>C9217+B9218</f>
        <v/>
      </c>
      <c r="D9218">
        <f>IF(B9218=1,INDEX('Data Entry'!$H$5:$BE$10004,9218-4,'Visual SPC'!$B$3),"")</f>
        <v/>
      </c>
      <c r="E9218">
        <f>IF(B9218=1,D9218,E9217)</f>
        <v/>
      </c>
      <c r="F9218">
        <f>IF(AND(B9218=1,C9218&gt;1,E9217&lt;&gt;""),ABS(D9218-E9217),"")</f>
        <v/>
      </c>
    </row>
    <row r="9219">
      <c r="A9219" t="n">
        <v>9219</v>
      </c>
      <c r="B9219">
        <f>IF(INDEX('Data Entry'!$H$5:$BE$10004,9219-4,'Visual SPC'!$B$3)="",0,IF(AND(OR('Visual SPC'!$C$4="",'Data Entry'!$C9219&gt;='Visual SPC'!$C$4),OR('Visual SPC'!$E$4="",'Data Entry'!$C9219&lt;='Visual SPC'!$E$4),OR('Visual SPC'!$G$4="",'Data Entry'!$D9219='Visual SPC'!$G$4),OR('Visual SPC'!$I$4="",'Data Entry'!$E9219='Visual SPC'!$I$4),OR('Visual SPC'!$K$4="",'Data Entry'!$F9219='Visual SPC'!$K$4)),1,0))</f>
        <v/>
      </c>
      <c r="C9219">
        <f>C9218+B9219</f>
        <v/>
      </c>
      <c r="D9219">
        <f>IF(B9219=1,INDEX('Data Entry'!$H$5:$BE$10004,9219-4,'Visual SPC'!$B$3),"")</f>
        <v/>
      </c>
      <c r="E9219">
        <f>IF(B9219=1,D9219,E9218)</f>
        <v/>
      </c>
      <c r="F9219">
        <f>IF(AND(B9219=1,C9219&gt;1,E9218&lt;&gt;""),ABS(D9219-E9218),"")</f>
        <v/>
      </c>
    </row>
    <row r="9220">
      <c r="A9220" t="n">
        <v>9220</v>
      </c>
      <c r="B9220">
        <f>IF(INDEX('Data Entry'!$H$5:$BE$10004,9220-4,'Visual SPC'!$B$3)="",0,IF(AND(OR('Visual SPC'!$C$4="",'Data Entry'!$C9220&gt;='Visual SPC'!$C$4),OR('Visual SPC'!$E$4="",'Data Entry'!$C9220&lt;='Visual SPC'!$E$4),OR('Visual SPC'!$G$4="",'Data Entry'!$D9220='Visual SPC'!$G$4),OR('Visual SPC'!$I$4="",'Data Entry'!$E9220='Visual SPC'!$I$4),OR('Visual SPC'!$K$4="",'Data Entry'!$F9220='Visual SPC'!$K$4)),1,0))</f>
        <v/>
      </c>
      <c r="C9220">
        <f>C9219+B9220</f>
        <v/>
      </c>
      <c r="D9220">
        <f>IF(B9220=1,INDEX('Data Entry'!$H$5:$BE$10004,9220-4,'Visual SPC'!$B$3),"")</f>
        <v/>
      </c>
      <c r="E9220">
        <f>IF(B9220=1,D9220,E9219)</f>
        <v/>
      </c>
      <c r="F9220">
        <f>IF(AND(B9220=1,C9220&gt;1,E9219&lt;&gt;""),ABS(D9220-E9219),"")</f>
        <v/>
      </c>
    </row>
    <row r="9221">
      <c r="A9221" t="n">
        <v>9221</v>
      </c>
      <c r="B9221">
        <f>IF(INDEX('Data Entry'!$H$5:$BE$10004,9221-4,'Visual SPC'!$B$3)="",0,IF(AND(OR('Visual SPC'!$C$4="",'Data Entry'!$C9221&gt;='Visual SPC'!$C$4),OR('Visual SPC'!$E$4="",'Data Entry'!$C9221&lt;='Visual SPC'!$E$4),OR('Visual SPC'!$G$4="",'Data Entry'!$D9221='Visual SPC'!$G$4),OR('Visual SPC'!$I$4="",'Data Entry'!$E9221='Visual SPC'!$I$4),OR('Visual SPC'!$K$4="",'Data Entry'!$F9221='Visual SPC'!$K$4)),1,0))</f>
        <v/>
      </c>
      <c r="C9221">
        <f>C9220+B9221</f>
        <v/>
      </c>
      <c r="D9221">
        <f>IF(B9221=1,INDEX('Data Entry'!$H$5:$BE$10004,9221-4,'Visual SPC'!$B$3),"")</f>
        <v/>
      </c>
      <c r="E9221">
        <f>IF(B9221=1,D9221,E9220)</f>
        <v/>
      </c>
      <c r="F9221">
        <f>IF(AND(B9221=1,C9221&gt;1,E9220&lt;&gt;""),ABS(D9221-E9220),"")</f>
        <v/>
      </c>
    </row>
    <row r="9222">
      <c r="A9222" t="n">
        <v>9222</v>
      </c>
      <c r="B9222">
        <f>IF(INDEX('Data Entry'!$H$5:$BE$10004,9222-4,'Visual SPC'!$B$3)="",0,IF(AND(OR('Visual SPC'!$C$4="",'Data Entry'!$C9222&gt;='Visual SPC'!$C$4),OR('Visual SPC'!$E$4="",'Data Entry'!$C9222&lt;='Visual SPC'!$E$4),OR('Visual SPC'!$G$4="",'Data Entry'!$D9222='Visual SPC'!$G$4),OR('Visual SPC'!$I$4="",'Data Entry'!$E9222='Visual SPC'!$I$4),OR('Visual SPC'!$K$4="",'Data Entry'!$F9222='Visual SPC'!$K$4)),1,0))</f>
        <v/>
      </c>
      <c r="C9222">
        <f>C9221+B9222</f>
        <v/>
      </c>
      <c r="D9222">
        <f>IF(B9222=1,INDEX('Data Entry'!$H$5:$BE$10004,9222-4,'Visual SPC'!$B$3),"")</f>
        <v/>
      </c>
      <c r="E9222">
        <f>IF(B9222=1,D9222,E9221)</f>
        <v/>
      </c>
      <c r="F9222">
        <f>IF(AND(B9222=1,C9222&gt;1,E9221&lt;&gt;""),ABS(D9222-E9221),"")</f>
        <v/>
      </c>
    </row>
    <row r="9223">
      <c r="A9223" t="n">
        <v>9223</v>
      </c>
      <c r="B9223">
        <f>IF(INDEX('Data Entry'!$H$5:$BE$10004,9223-4,'Visual SPC'!$B$3)="",0,IF(AND(OR('Visual SPC'!$C$4="",'Data Entry'!$C9223&gt;='Visual SPC'!$C$4),OR('Visual SPC'!$E$4="",'Data Entry'!$C9223&lt;='Visual SPC'!$E$4),OR('Visual SPC'!$G$4="",'Data Entry'!$D9223='Visual SPC'!$G$4),OR('Visual SPC'!$I$4="",'Data Entry'!$E9223='Visual SPC'!$I$4),OR('Visual SPC'!$K$4="",'Data Entry'!$F9223='Visual SPC'!$K$4)),1,0))</f>
        <v/>
      </c>
      <c r="C9223">
        <f>C9222+B9223</f>
        <v/>
      </c>
      <c r="D9223">
        <f>IF(B9223=1,INDEX('Data Entry'!$H$5:$BE$10004,9223-4,'Visual SPC'!$B$3),"")</f>
        <v/>
      </c>
      <c r="E9223">
        <f>IF(B9223=1,D9223,E9222)</f>
        <v/>
      </c>
      <c r="F9223">
        <f>IF(AND(B9223=1,C9223&gt;1,E9222&lt;&gt;""),ABS(D9223-E9222),"")</f>
        <v/>
      </c>
    </row>
    <row r="9224">
      <c r="A9224" t="n">
        <v>9224</v>
      </c>
      <c r="B9224">
        <f>IF(INDEX('Data Entry'!$H$5:$BE$10004,9224-4,'Visual SPC'!$B$3)="",0,IF(AND(OR('Visual SPC'!$C$4="",'Data Entry'!$C9224&gt;='Visual SPC'!$C$4),OR('Visual SPC'!$E$4="",'Data Entry'!$C9224&lt;='Visual SPC'!$E$4),OR('Visual SPC'!$G$4="",'Data Entry'!$D9224='Visual SPC'!$G$4),OR('Visual SPC'!$I$4="",'Data Entry'!$E9224='Visual SPC'!$I$4),OR('Visual SPC'!$K$4="",'Data Entry'!$F9224='Visual SPC'!$K$4)),1,0))</f>
        <v/>
      </c>
      <c r="C9224">
        <f>C9223+B9224</f>
        <v/>
      </c>
      <c r="D9224">
        <f>IF(B9224=1,INDEX('Data Entry'!$H$5:$BE$10004,9224-4,'Visual SPC'!$B$3),"")</f>
        <v/>
      </c>
      <c r="E9224">
        <f>IF(B9224=1,D9224,E9223)</f>
        <v/>
      </c>
      <c r="F9224">
        <f>IF(AND(B9224=1,C9224&gt;1,E9223&lt;&gt;""),ABS(D9224-E9223),"")</f>
        <v/>
      </c>
    </row>
    <row r="9225">
      <c r="A9225" t="n">
        <v>9225</v>
      </c>
      <c r="B9225">
        <f>IF(INDEX('Data Entry'!$H$5:$BE$10004,9225-4,'Visual SPC'!$B$3)="",0,IF(AND(OR('Visual SPC'!$C$4="",'Data Entry'!$C9225&gt;='Visual SPC'!$C$4),OR('Visual SPC'!$E$4="",'Data Entry'!$C9225&lt;='Visual SPC'!$E$4),OR('Visual SPC'!$G$4="",'Data Entry'!$D9225='Visual SPC'!$G$4),OR('Visual SPC'!$I$4="",'Data Entry'!$E9225='Visual SPC'!$I$4),OR('Visual SPC'!$K$4="",'Data Entry'!$F9225='Visual SPC'!$K$4)),1,0))</f>
        <v/>
      </c>
      <c r="C9225">
        <f>C9224+B9225</f>
        <v/>
      </c>
      <c r="D9225">
        <f>IF(B9225=1,INDEX('Data Entry'!$H$5:$BE$10004,9225-4,'Visual SPC'!$B$3),"")</f>
        <v/>
      </c>
      <c r="E9225">
        <f>IF(B9225=1,D9225,E9224)</f>
        <v/>
      </c>
      <c r="F9225">
        <f>IF(AND(B9225=1,C9225&gt;1,E9224&lt;&gt;""),ABS(D9225-E9224),"")</f>
        <v/>
      </c>
    </row>
    <row r="9226">
      <c r="A9226" t="n">
        <v>9226</v>
      </c>
      <c r="B9226">
        <f>IF(INDEX('Data Entry'!$H$5:$BE$10004,9226-4,'Visual SPC'!$B$3)="",0,IF(AND(OR('Visual SPC'!$C$4="",'Data Entry'!$C9226&gt;='Visual SPC'!$C$4),OR('Visual SPC'!$E$4="",'Data Entry'!$C9226&lt;='Visual SPC'!$E$4),OR('Visual SPC'!$G$4="",'Data Entry'!$D9226='Visual SPC'!$G$4),OR('Visual SPC'!$I$4="",'Data Entry'!$E9226='Visual SPC'!$I$4),OR('Visual SPC'!$K$4="",'Data Entry'!$F9226='Visual SPC'!$K$4)),1,0))</f>
        <v/>
      </c>
      <c r="C9226">
        <f>C9225+B9226</f>
        <v/>
      </c>
      <c r="D9226">
        <f>IF(B9226=1,INDEX('Data Entry'!$H$5:$BE$10004,9226-4,'Visual SPC'!$B$3),"")</f>
        <v/>
      </c>
      <c r="E9226">
        <f>IF(B9226=1,D9226,E9225)</f>
        <v/>
      </c>
      <c r="F9226">
        <f>IF(AND(B9226=1,C9226&gt;1,E9225&lt;&gt;""),ABS(D9226-E9225),"")</f>
        <v/>
      </c>
    </row>
    <row r="9227">
      <c r="A9227" t="n">
        <v>9227</v>
      </c>
      <c r="B9227">
        <f>IF(INDEX('Data Entry'!$H$5:$BE$10004,9227-4,'Visual SPC'!$B$3)="",0,IF(AND(OR('Visual SPC'!$C$4="",'Data Entry'!$C9227&gt;='Visual SPC'!$C$4),OR('Visual SPC'!$E$4="",'Data Entry'!$C9227&lt;='Visual SPC'!$E$4),OR('Visual SPC'!$G$4="",'Data Entry'!$D9227='Visual SPC'!$G$4),OR('Visual SPC'!$I$4="",'Data Entry'!$E9227='Visual SPC'!$I$4),OR('Visual SPC'!$K$4="",'Data Entry'!$F9227='Visual SPC'!$K$4)),1,0))</f>
        <v/>
      </c>
      <c r="C9227">
        <f>C9226+B9227</f>
        <v/>
      </c>
      <c r="D9227">
        <f>IF(B9227=1,INDEX('Data Entry'!$H$5:$BE$10004,9227-4,'Visual SPC'!$B$3),"")</f>
        <v/>
      </c>
      <c r="E9227">
        <f>IF(B9227=1,D9227,E9226)</f>
        <v/>
      </c>
      <c r="F9227">
        <f>IF(AND(B9227=1,C9227&gt;1,E9226&lt;&gt;""),ABS(D9227-E9226),"")</f>
        <v/>
      </c>
    </row>
    <row r="9228">
      <c r="A9228" t="n">
        <v>9228</v>
      </c>
      <c r="B9228">
        <f>IF(INDEX('Data Entry'!$H$5:$BE$10004,9228-4,'Visual SPC'!$B$3)="",0,IF(AND(OR('Visual SPC'!$C$4="",'Data Entry'!$C9228&gt;='Visual SPC'!$C$4),OR('Visual SPC'!$E$4="",'Data Entry'!$C9228&lt;='Visual SPC'!$E$4),OR('Visual SPC'!$G$4="",'Data Entry'!$D9228='Visual SPC'!$G$4),OR('Visual SPC'!$I$4="",'Data Entry'!$E9228='Visual SPC'!$I$4),OR('Visual SPC'!$K$4="",'Data Entry'!$F9228='Visual SPC'!$K$4)),1,0))</f>
        <v/>
      </c>
      <c r="C9228">
        <f>C9227+B9228</f>
        <v/>
      </c>
      <c r="D9228">
        <f>IF(B9228=1,INDEX('Data Entry'!$H$5:$BE$10004,9228-4,'Visual SPC'!$B$3),"")</f>
        <v/>
      </c>
      <c r="E9228">
        <f>IF(B9228=1,D9228,E9227)</f>
        <v/>
      </c>
      <c r="F9228">
        <f>IF(AND(B9228=1,C9228&gt;1,E9227&lt;&gt;""),ABS(D9228-E9227),"")</f>
        <v/>
      </c>
    </row>
    <row r="9229">
      <c r="A9229" t="n">
        <v>9229</v>
      </c>
      <c r="B9229">
        <f>IF(INDEX('Data Entry'!$H$5:$BE$10004,9229-4,'Visual SPC'!$B$3)="",0,IF(AND(OR('Visual SPC'!$C$4="",'Data Entry'!$C9229&gt;='Visual SPC'!$C$4),OR('Visual SPC'!$E$4="",'Data Entry'!$C9229&lt;='Visual SPC'!$E$4),OR('Visual SPC'!$G$4="",'Data Entry'!$D9229='Visual SPC'!$G$4),OR('Visual SPC'!$I$4="",'Data Entry'!$E9229='Visual SPC'!$I$4),OR('Visual SPC'!$K$4="",'Data Entry'!$F9229='Visual SPC'!$K$4)),1,0))</f>
        <v/>
      </c>
      <c r="C9229">
        <f>C9228+B9229</f>
        <v/>
      </c>
      <c r="D9229">
        <f>IF(B9229=1,INDEX('Data Entry'!$H$5:$BE$10004,9229-4,'Visual SPC'!$B$3),"")</f>
        <v/>
      </c>
      <c r="E9229">
        <f>IF(B9229=1,D9229,E9228)</f>
        <v/>
      </c>
      <c r="F9229">
        <f>IF(AND(B9229=1,C9229&gt;1,E9228&lt;&gt;""),ABS(D9229-E9228),"")</f>
        <v/>
      </c>
    </row>
    <row r="9230">
      <c r="A9230" t="n">
        <v>9230</v>
      </c>
      <c r="B9230">
        <f>IF(INDEX('Data Entry'!$H$5:$BE$10004,9230-4,'Visual SPC'!$B$3)="",0,IF(AND(OR('Visual SPC'!$C$4="",'Data Entry'!$C9230&gt;='Visual SPC'!$C$4),OR('Visual SPC'!$E$4="",'Data Entry'!$C9230&lt;='Visual SPC'!$E$4),OR('Visual SPC'!$G$4="",'Data Entry'!$D9230='Visual SPC'!$G$4),OR('Visual SPC'!$I$4="",'Data Entry'!$E9230='Visual SPC'!$I$4),OR('Visual SPC'!$K$4="",'Data Entry'!$F9230='Visual SPC'!$K$4)),1,0))</f>
        <v/>
      </c>
      <c r="C9230">
        <f>C9229+B9230</f>
        <v/>
      </c>
      <c r="D9230">
        <f>IF(B9230=1,INDEX('Data Entry'!$H$5:$BE$10004,9230-4,'Visual SPC'!$B$3),"")</f>
        <v/>
      </c>
      <c r="E9230">
        <f>IF(B9230=1,D9230,E9229)</f>
        <v/>
      </c>
      <c r="F9230">
        <f>IF(AND(B9230=1,C9230&gt;1,E9229&lt;&gt;""),ABS(D9230-E9229),"")</f>
        <v/>
      </c>
    </row>
    <row r="9231">
      <c r="A9231" t="n">
        <v>9231</v>
      </c>
      <c r="B9231">
        <f>IF(INDEX('Data Entry'!$H$5:$BE$10004,9231-4,'Visual SPC'!$B$3)="",0,IF(AND(OR('Visual SPC'!$C$4="",'Data Entry'!$C9231&gt;='Visual SPC'!$C$4),OR('Visual SPC'!$E$4="",'Data Entry'!$C9231&lt;='Visual SPC'!$E$4),OR('Visual SPC'!$G$4="",'Data Entry'!$D9231='Visual SPC'!$G$4),OR('Visual SPC'!$I$4="",'Data Entry'!$E9231='Visual SPC'!$I$4),OR('Visual SPC'!$K$4="",'Data Entry'!$F9231='Visual SPC'!$K$4)),1,0))</f>
        <v/>
      </c>
      <c r="C9231">
        <f>C9230+B9231</f>
        <v/>
      </c>
      <c r="D9231">
        <f>IF(B9231=1,INDEX('Data Entry'!$H$5:$BE$10004,9231-4,'Visual SPC'!$B$3),"")</f>
        <v/>
      </c>
      <c r="E9231">
        <f>IF(B9231=1,D9231,E9230)</f>
        <v/>
      </c>
      <c r="F9231">
        <f>IF(AND(B9231=1,C9231&gt;1,E9230&lt;&gt;""),ABS(D9231-E9230),"")</f>
        <v/>
      </c>
    </row>
    <row r="9232">
      <c r="A9232" t="n">
        <v>9232</v>
      </c>
      <c r="B9232">
        <f>IF(INDEX('Data Entry'!$H$5:$BE$10004,9232-4,'Visual SPC'!$B$3)="",0,IF(AND(OR('Visual SPC'!$C$4="",'Data Entry'!$C9232&gt;='Visual SPC'!$C$4),OR('Visual SPC'!$E$4="",'Data Entry'!$C9232&lt;='Visual SPC'!$E$4),OR('Visual SPC'!$G$4="",'Data Entry'!$D9232='Visual SPC'!$G$4),OR('Visual SPC'!$I$4="",'Data Entry'!$E9232='Visual SPC'!$I$4),OR('Visual SPC'!$K$4="",'Data Entry'!$F9232='Visual SPC'!$K$4)),1,0))</f>
        <v/>
      </c>
      <c r="C9232">
        <f>C9231+B9232</f>
        <v/>
      </c>
      <c r="D9232">
        <f>IF(B9232=1,INDEX('Data Entry'!$H$5:$BE$10004,9232-4,'Visual SPC'!$B$3),"")</f>
        <v/>
      </c>
      <c r="E9232">
        <f>IF(B9232=1,D9232,E9231)</f>
        <v/>
      </c>
      <c r="F9232">
        <f>IF(AND(B9232=1,C9232&gt;1,E9231&lt;&gt;""),ABS(D9232-E9231),"")</f>
        <v/>
      </c>
    </row>
    <row r="9233">
      <c r="A9233" t="n">
        <v>9233</v>
      </c>
      <c r="B9233">
        <f>IF(INDEX('Data Entry'!$H$5:$BE$10004,9233-4,'Visual SPC'!$B$3)="",0,IF(AND(OR('Visual SPC'!$C$4="",'Data Entry'!$C9233&gt;='Visual SPC'!$C$4),OR('Visual SPC'!$E$4="",'Data Entry'!$C9233&lt;='Visual SPC'!$E$4),OR('Visual SPC'!$G$4="",'Data Entry'!$D9233='Visual SPC'!$G$4),OR('Visual SPC'!$I$4="",'Data Entry'!$E9233='Visual SPC'!$I$4),OR('Visual SPC'!$K$4="",'Data Entry'!$F9233='Visual SPC'!$K$4)),1,0))</f>
        <v/>
      </c>
      <c r="C9233">
        <f>C9232+B9233</f>
        <v/>
      </c>
      <c r="D9233">
        <f>IF(B9233=1,INDEX('Data Entry'!$H$5:$BE$10004,9233-4,'Visual SPC'!$B$3),"")</f>
        <v/>
      </c>
      <c r="E9233">
        <f>IF(B9233=1,D9233,E9232)</f>
        <v/>
      </c>
      <c r="F9233">
        <f>IF(AND(B9233=1,C9233&gt;1,E9232&lt;&gt;""),ABS(D9233-E9232),"")</f>
        <v/>
      </c>
    </row>
    <row r="9234">
      <c r="A9234" t="n">
        <v>9234</v>
      </c>
      <c r="B9234">
        <f>IF(INDEX('Data Entry'!$H$5:$BE$10004,9234-4,'Visual SPC'!$B$3)="",0,IF(AND(OR('Visual SPC'!$C$4="",'Data Entry'!$C9234&gt;='Visual SPC'!$C$4),OR('Visual SPC'!$E$4="",'Data Entry'!$C9234&lt;='Visual SPC'!$E$4),OR('Visual SPC'!$G$4="",'Data Entry'!$D9234='Visual SPC'!$G$4),OR('Visual SPC'!$I$4="",'Data Entry'!$E9234='Visual SPC'!$I$4),OR('Visual SPC'!$K$4="",'Data Entry'!$F9234='Visual SPC'!$K$4)),1,0))</f>
        <v/>
      </c>
      <c r="C9234">
        <f>C9233+B9234</f>
        <v/>
      </c>
      <c r="D9234">
        <f>IF(B9234=1,INDEX('Data Entry'!$H$5:$BE$10004,9234-4,'Visual SPC'!$B$3),"")</f>
        <v/>
      </c>
      <c r="E9234">
        <f>IF(B9234=1,D9234,E9233)</f>
        <v/>
      </c>
      <c r="F9234">
        <f>IF(AND(B9234=1,C9234&gt;1,E9233&lt;&gt;""),ABS(D9234-E9233),"")</f>
        <v/>
      </c>
    </row>
    <row r="9235">
      <c r="A9235" t="n">
        <v>9235</v>
      </c>
      <c r="B9235">
        <f>IF(INDEX('Data Entry'!$H$5:$BE$10004,9235-4,'Visual SPC'!$B$3)="",0,IF(AND(OR('Visual SPC'!$C$4="",'Data Entry'!$C9235&gt;='Visual SPC'!$C$4),OR('Visual SPC'!$E$4="",'Data Entry'!$C9235&lt;='Visual SPC'!$E$4),OR('Visual SPC'!$G$4="",'Data Entry'!$D9235='Visual SPC'!$G$4),OR('Visual SPC'!$I$4="",'Data Entry'!$E9235='Visual SPC'!$I$4),OR('Visual SPC'!$K$4="",'Data Entry'!$F9235='Visual SPC'!$K$4)),1,0))</f>
        <v/>
      </c>
      <c r="C9235">
        <f>C9234+B9235</f>
        <v/>
      </c>
      <c r="D9235">
        <f>IF(B9235=1,INDEX('Data Entry'!$H$5:$BE$10004,9235-4,'Visual SPC'!$B$3),"")</f>
        <v/>
      </c>
      <c r="E9235">
        <f>IF(B9235=1,D9235,E9234)</f>
        <v/>
      </c>
      <c r="F9235">
        <f>IF(AND(B9235=1,C9235&gt;1,E9234&lt;&gt;""),ABS(D9235-E9234),"")</f>
        <v/>
      </c>
    </row>
    <row r="9236">
      <c r="A9236" t="n">
        <v>9236</v>
      </c>
      <c r="B9236">
        <f>IF(INDEX('Data Entry'!$H$5:$BE$10004,9236-4,'Visual SPC'!$B$3)="",0,IF(AND(OR('Visual SPC'!$C$4="",'Data Entry'!$C9236&gt;='Visual SPC'!$C$4),OR('Visual SPC'!$E$4="",'Data Entry'!$C9236&lt;='Visual SPC'!$E$4),OR('Visual SPC'!$G$4="",'Data Entry'!$D9236='Visual SPC'!$G$4),OR('Visual SPC'!$I$4="",'Data Entry'!$E9236='Visual SPC'!$I$4),OR('Visual SPC'!$K$4="",'Data Entry'!$F9236='Visual SPC'!$K$4)),1,0))</f>
        <v/>
      </c>
      <c r="C9236">
        <f>C9235+B9236</f>
        <v/>
      </c>
      <c r="D9236">
        <f>IF(B9236=1,INDEX('Data Entry'!$H$5:$BE$10004,9236-4,'Visual SPC'!$B$3),"")</f>
        <v/>
      </c>
      <c r="E9236">
        <f>IF(B9236=1,D9236,E9235)</f>
        <v/>
      </c>
      <c r="F9236">
        <f>IF(AND(B9236=1,C9236&gt;1,E9235&lt;&gt;""),ABS(D9236-E9235),"")</f>
        <v/>
      </c>
    </row>
    <row r="9237">
      <c r="A9237" t="n">
        <v>9237</v>
      </c>
      <c r="B9237">
        <f>IF(INDEX('Data Entry'!$H$5:$BE$10004,9237-4,'Visual SPC'!$B$3)="",0,IF(AND(OR('Visual SPC'!$C$4="",'Data Entry'!$C9237&gt;='Visual SPC'!$C$4),OR('Visual SPC'!$E$4="",'Data Entry'!$C9237&lt;='Visual SPC'!$E$4),OR('Visual SPC'!$G$4="",'Data Entry'!$D9237='Visual SPC'!$G$4),OR('Visual SPC'!$I$4="",'Data Entry'!$E9237='Visual SPC'!$I$4),OR('Visual SPC'!$K$4="",'Data Entry'!$F9237='Visual SPC'!$K$4)),1,0))</f>
        <v/>
      </c>
      <c r="C9237">
        <f>C9236+B9237</f>
        <v/>
      </c>
      <c r="D9237">
        <f>IF(B9237=1,INDEX('Data Entry'!$H$5:$BE$10004,9237-4,'Visual SPC'!$B$3),"")</f>
        <v/>
      </c>
      <c r="E9237">
        <f>IF(B9237=1,D9237,E9236)</f>
        <v/>
      </c>
      <c r="F9237">
        <f>IF(AND(B9237=1,C9237&gt;1,E9236&lt;&gt;""),ABS(D9237-E9236),"")</f>
        <v/>
      </c>
    </row>
    <row r="9238">
      <c r="A9238" t="n">
        <v>9238</v>
      </c>
      <c r="B9238">
        <f>IF(INDEX('Data Entry'!$H$5:$BE$10004,9238-4,'Visual SPC'!$B$3)="",0,IF(AND(OR('Visual SPC'!$C$4="",'Data Entry'!$C9238&gt;='Visual SPC'!$C$4),OR('Visual SPC'!$E$4="",'Data Entry'!$C9238&lt;='Visual SPC'!$E$4),OR('Visual SPC'!$G$4="",'Data Entry'!$D9238='Visual SPC'!$G$4),OR('Visual SPC'!$I$4="",'Data Entry'!$E9238='Visual SPC'!$I$4),OR('Visual SPC'!$K$4="",'Data Entry'!$F9238='Visual SPC'!$K$4)),1,0))</f>
        <v/>
      </c>
      <c r="C9238">
        <f>C9237+B9238</f>
        <v/>
      </c>
      <c r="D9238">
        <f>IF(B9238=1,INDEX('Data Entry'!$H$5:$BE$10004,9238-4,'Visual SPC'!$B$3),"")</f>
        <v/>
      </c>
      <c r="E9238">
        <f>IF(B9238=1,D9238,E9237)</f>
        <v/>
      </c>
      <c r="F9238">
        <f>IF(AND(B9238=1,C9238&gt;1,E9237&lt;&gt;""),ABS(D9238-E9237),"")</f>
        <v/>
      </c>
    </row>
    <row r="9239">
      <c r="A9239" t="n">
        <v>9239</v>
      </c>
      <c r="B9239">
        <f>IF(INDEX('Data Entry'!$H$5:$BE$10004,9239-4,'Visual SPC'!$B$3)="",0,IF(AND(OR('Visual SPC'!$C$4="",'Data Entry'!$C9239&gt;='Visual SPC'!$C$4),OR('Visual SPC'!$E$4="",'Data Entry'!$C9239&lt;='Visual SPC'!$E$4),OR('Visual SPC'!$G$4="",'Data Entry'!$D9239='Visual SPC'!$G$4),OR('Visual SPC'!$I$4="",'Data Entry'!$E9239='Visual SPC'!$I$4),OR('Visual SPC'!$K$4="",'Data Entry'!$F9239='Visual SPC'!$K$4)),1,0))</f>
        <v/>
      </c>
      <c r="C9239">
        <f>C9238+B9239</f>
        <v/>
      </c>
      <c r="D9239">
        <f>IF(B9239=1,INDEX('Data Entry'!$H$5:$BE$10004,9239-4,'Visual SPC'!$B$3),"")</f>
        <v/>
      </c>
      <c r="E9239">
        <f>IF(B9239=1,D9239,E9238)</f>
        <v/>
      </c>
      <c r="F9239">
        <f>IF(AND(B9239=1,C9239&gt;1,E9238&lt;&gt;""),ABS(D9239-E9238),"")</f>
        <v/>
      </c>
    </row>
    <row r="9240">
      <c r="A9240" t="n">
        <v>9240</v>
      </c>
      <c r="B9240">
        <f>IF(INDEX('Data Entry'!$H$5:$BE$10004,9240-4,'Visual SPC'!$B$3)="",0,IF(AND(OR('Visual SPC'!$C$4="",'Data Entry'!$C9240&gt;='Visual SPC'!$C$4),OR('Visual SPC'!$E$4="",'Data Entry'!$C9240&lt;='Visual SPC'!$E$4),OR('Visual SPC'!$G$4="",'Data Entry'!$D9240='Visual SPC'!$G$4),OR('Visual SPC'!$I$4="",'Data Entry'!$E9240='Visual SPC'!$I$4),OR('Visual SPC'!$K$4="",'Data Entry'!$F9240='Visual SPC'!$K$4)),1,0))</f>
        <v/>
      </c>
      <c r="C9240">
        <f>C9239+B9240</f>
        <v/>
      </c>
      <c r="D9240">
        <f>IF(B9240=1,INDEX('Data Entry'!$H$5:$BE$10004,9240-4,'Visual SPC'!$B$3),"")</f>
        <v/>
      </c>
      <c r="E9240">
        <f>IF(B9240=1,D9240,E9239)</f>
        <v/>
      </c>
      <c r="F9240">
        <f>IF(AND(B9240=1,C9240&gt;1,E9239&lt;&gt;""),ABS(D9240-E9239),"")</f>
        <v/>
      </c>
    </row>
    <row r="9241">
      <c r="A9241" t="n">
        <v>9241</v>
      </c>
      <c r="B9241">
        <f>IF(INDEX('Data Entry'!$H$5:$BE$10004,9241-4,'Visual SPC'!$B$3)="",0,IF(AND(OR('Visual SPC'!$C$4="",'Data Entry'!$C9241&gt;='Visual SPC'!$C$4),OR('Visual SPC'!$E$4="",'Data Entry'!$C9241&lt;='Visual SPC'!$E$4),OR('Visual SPC'!$G$4="",'Data Entry'!$D9241='Visual SPC'!$G$4),OR('Visual SPC'!$I$4="",'Data Entry'!$E9241='Visual SPC'!$I$4),OR('Visual SPC'!$K$4="",'Data Entry'!$F9241='Visual SPC'!$K$4)),1,0))</f>
        <v/>
      </c>
      <c r="C9241">
        <f>C9240+B9241</f>
        <v/>
      </c>
      <c r="D9241">
        <f>IF(B9241=1,INDEX('Data Entry'!$H$5:$BE$10004,9241-4,'Visual SPC'!$B$3),"")</f>
        <v/>
      </c>
      <c r="E9241">
        <f>IF(B9241=1,D9241,E9240)</f>
        <v/>
      </c>
      <c r="F9241">
        <f>IF(AND(B9241=1,C9241&gt;1,E9240&lt;&gt;""),ABS(D9241-E9240),"")</f>
        <v/>
      </c>
    </row>
    <row r="9242">
      <c r="A9242" t="n">
        <v>9242</v>
      </c>
      <c r="B9242">
        <f>IF(INDEX('Data Entry'!$H$5:$BE$10004,9242-4,'Visual SPC'!$B$3)="",0,IF(AND(OR('Visual SPC'!$C$4="",'Data Entry'!$C9242&gt;='Visual SPC'!$C$4),OR('Visual SPC'!$E$4="",'Data Entry'!$C9242&lt;='Visual SPC'!$E$4),OR('Visual SPC'!$G$4="",'Data Entry'!$D9242='Visual SPC'!$G$4),OR('Visual SPC'!$I$4="",'Data Entry'!$E9242='Visual SPC'!$I$4),OR('Visual SPC'!$K$4="",'Data Entry'!$F9242='Visual SPC'!$K$4)),1,0))</f>
        <v/>
      </c>
      <c r="C9242">
        <f>C9241+B9242</f>
        <v/>
      </c>
      <c r="D9242">
        <f>IF(B9242=1,INDEX('Data Entry'!$H$5:$BE$10004,9242-4,'Visual SPC'!$B$3),"")</f>
        <v/>
      </c>
      <c r="E9242">
        <f>IF(B9242=1,D9242,E9241)</f>
        <v/>
      </c>
      <c r="F9242">
        <f>IF(AND(B9242=1,C9242&gt;1,E9241&lt;&gt;""),ABS(D9242-E9241),"")</f>
        <v/>
      </c>
    </row>
    <row r="9243">
      <c r="A9243" t="n">
        <v>9243</v>
      </c>
      <c r="B9243">
        <f>IF(INDEX('Data Entry'!$H$5:$BE$10004,9243-4,'Visual SPC'!$B$3)="",0,IF(AND(OR('Visual SPC'!$C$4="",'Data Entry'!$C9243&gt;='Visual SPC'!$C$4),OR('Visual SPC'!$E$4="",'Data Entry'!$C9243&lt;='Visual SPC'!$E$4),OR('Visual SPC'!$G$4="",'Data Entry'!$D9243='Visual SPC'!$G$4),OR('Visual SPC'!$I$4="",'Data Entry'!$E9243='Visual SPC'!$I$4),OR('Visual SPC'!$K$4="",'Data Entry'!$F9243='Visual SPC'!$K$4)),1,0))</f>
        <v/>
      </c>
      <c r="C9243">
        <f>C9242+B9243</f>
        <v/>
      </c>
      <c r="D9243">
        <f>IF(B9243=1,INDEX('Data Entry'!$H$5:$BE$10004,9243-4,'Visual SPC'!$B$3),"")</f>
        <v/>
      </c>
      <c r="E9243">
        <f>IF(B9243=1,D9243,E9242)</f>
        <v/>
      </c>
      <c r="F9243">
        <f>IF(AND(B9243=1,C9243&gt;1,E9242&lt;&gt;""),ABS(D9243-E9242),"")</f>
        <v/>
      </c>
    </row>
    <row r="9244">
      <c r="A9244" t="n">
        <v>9244</v>
      </c>
      <c r="B9244">
        <f>IF(INDEX('Data Entry'!$H$5:$BE$10004,9244-4,'Visual SPC'!$B$3)="",0,IF(AND(OR('Visual SPC'!$C$4="",'Data Entry'!$C9244&gt;='Visual SPC'!$C$4),OR('Visual SPC'!$E$4="",'Data Entry'!$C9244&lt;='Visual SPC'!$E$4),OR('Visual SPC'!$G$4="",'Data Entry'!$D9244='Visual SPC'!$G$4),OR('Visual SPC'!$I$4="",'Data Entry'!$E9244='Visual SPC'!$I$4),OR('Visual SPC'!$K$4="",'Data Entry'!$F9244='Visual SPC'!$K$4)),1,0))</f>
        <v/>
      </c>
      <c r="C9244">
        <f>C9243+B9244</f>
        <v/>
      </c>
      <c r="D9244">
        <f>IF(B9244=1,INDEX('Data Entry'!$H$5:$BE$10004,9244-4,'Visual SPC'!$B$3),"")</f>
        <v/>
      </c>
      <c r="E9244">
        <f>IF(B9244=1,D9244,E9243)</f>
        <v/>
      </c>
      <c r="F9244">
        <f>IF(AND(B9244=1,C9244&gt;1,E9243&lt;&gt;""),ABS(D9244-E9243),"")</f>
        <v/>
      </c>
    </row>
    <row r="9245">
      <c r="A9245" t="n">
        <v>9245</v>
      </c>
      <c r="B9245">
        <f>IF(INDEX('Data Entry'!$H$5:$BE$10004,9245-4,'Visual SPC'!$B$3)="",0,IF(AND(OR('Visual SPC'!$C$4="",'Data Entry'!$C9245&gt;='Visual SPC'!$C$4),OR('Visual SPC'!$E$4="",'Data Entry'!$C9245&lt;='Visual SPC'!$E$4),OR('Visual SPC'!$G$4="",'Data Entry'!$D9245='Visual SPC'!$G$4),OR('Visual SPC'!$I$4="",'Data Entry'!$E9245='Visual SPC'!$I$4),OR('Visual SPC'!$K$4="",'Data Entry'!$F9245='Visual SPC'!$K$4)),1,0))</f>
        <v/>
      </c>
      <c r="C9245">
        <f>C9244+B9245</f>
        <v/>
      </c>
      <c r="D9245">
        <f>IF(B9245=1,INDEX('Data Entry'!$H$5:$BE$10004,9245-4,'Visual SPC'!$B$3),"")</f>
        <v/>
      </c>
      <c r="E9245">
        <f>IF(B9245=1,D9245,E9244)</f>
        <v/>
      </c>
      <c r="F9245">
        <f>IF(AND(B9245=1,C9245&gt;1,E9244&lt;&gt;""),ABS(D9245-E9244),"")</f>
        <v/>
      </c>
    </row>
    <row r="9246">
      <c r="A9246" t="n">
        <v>9246</v>
      </c>
      <c r="B9246">
        <f>IF(INDEX('Data Entry'!$H$5:$BE$10004,9246-4,'Visual SPC'!$B$3)="",0,IF(AND(OR('Visual SPC'!$C$4="",'Data Entry'!$C9246&gt;='Visual SPC'!$C$4),OR('Visual SPC'!$E$4="",'Data Entry'!$C9246&lt;='Visual SPC'!$E$4),OR('Visual SPC'!$G$4="",'Data Entry'!$D9246='Visual SPC'!$G$4),OR('Visual SPC'!$I$4="",'Data Entry'!$E9246='Visual SPC'!$I$4),OR('Visual SPC'!$K$4="",'Data Entry'!$F9246='Visual SPC'!$K$4)),1,0))</f>
        <v/>
      </c>
      <c r="C9246">
        <f>C9245+B9246</f>
        <v/>
      </c>
      <c r="D9246">
        <f>IF(B9246=1,INDEX('Data Entry'!$H$5:$BE$10004,9246-4,'Visual SPC'!$B$3),"")</f>
        <v/>
      </c>
      <c r="E9246">
        <f>IF(B9246=1,D9246,E9245)</f>
        <v/>
      </c>
      <c r="F9246">
        <f>IF(AND(B9246=1,C9246&gt;1,E9245&lt;&gt;""),ABS(D9246-E9245),"")</f>
        <v/>
      </c>
    </row>
    <row r="9247">
      <c r="A9247" t="n">
        <v>9247</v>
      </c>
      <c r="B9247">
        <f>IF(INDEX('Data Entry'!$H$5:$BE$10004,9247-4,'Visual SPC'!$B$3)="",0,IF(AND(OR('Visual SPC'!$C$4="",'Data Entry'!$C9247&gt;='Visual SPC'!$C$4),OR('Visual SPC'!$E$4="",'Data Entry'!$C9247&lt;='Visual SPC'!$E$4),OR('Visual SPC'!$G$4="",'Data Entry'!$D9247='Visual SPC'!$G$4),OR('Visual SPC'!$I$4="",'Data Entry'!$E9247='Visual SPC'!$I$4),OR('Visual SPC'!$K$4="",'Data Entry'!$F9247='Visual SPC'!$K$4)),1,0))</f>
        <v/>
      </c>
      <c r="C9247">
        <f>C9246+B9247</f>
        <v/>
      </c>
      <c r="D9247">
        <f>IF(B9247=1,INDEX('Data Entry'!$H$5:$BE$10004,9247-4,'Visual SPC'!$B$3),"")</f>
        <v/>
      </c>
      <c r="E9247">
        <f>IF(B9247=1,D9247,E9246)</f>
        <v/>
      </c>
      <c r="F9247">
        <f>IF(AND(B9247=1,C9247&gt;1,E9246&lt;&gt;""),ABS(D9247-E9246),"")</f>
        <v/>
      </c>
    </row>
    <row r="9248">
      <c r="A9248" t="n">
        <v>9248</v>
      </c>
      <c r="B9248">
        <f>IF(INDEX('Data Entry'!$H$5:$BE$10004,9248-4,'Visual SPC'!$B$3)="",0,IF(AND(OR('Visual SPC'!$C$4="",'Data Entry'!$C9248&gt;='Visual SPC'!$C$4),OR('Visual SPC'!$E$4="",'Data Entry'!$C9248&lt;='Visual SPC'!$E$4),OR('Visual SPC'!$G$4="",'Data Entry'!$D9248='Visual SPC'!$G$4),OR('Visual SPC'!$I$4="",'Data Entry'!$E9248='Visual SPC'!$I$4),OR('Visual SPC'!$K$4="",'Data Entry'!$F9248='Visual SPC'!$K$4)),1,0))</f>
        <v/>
      </c>
      <c r="C9248">
        <f>C9247+B9248</f>
        <v/>
      </c>
      <c r="D9248">
        <f>IF(B9248=1,INDEX('Data Entry'!$H$5:$BE$10004,9248-4,'Visual SPC'!$B$3),"")</f>
        <v/>
      </c>
      <c r="E9248">
        <f>IF(B9248=1,D9248,E9247)</f>
        <v/>
      </c>
      <c r="F9248">
        <f>IF(AND(B9248=1,C9248&gt;1,E9247&lt;&gt;""),ABS(D9248-E9247),"")</f>
        <v/>
      </c>
    </row>
    <row r="9249">
      <c r="A9249" t="n">
        <v>9249</v>
      </c>
      <c r="B9249">
        <f>IF(INDEX('Data Entry'!$H$5:$BE$10004,9249-4,'Visual SPC'!$B$3)="",0,IF(AND(OR('Visual SPC'!$C$4="",'Data Entry'!$C9249&gt;='Visual SPC'!$C$4),OR('Visual SPC'!$E$4="",'Data Entry'!$C9249&lt;='Visual SPC'!$E$4),OR('Visual SPC'!$G$4="",'Data Entry'!$D9249='Visual SPC'!$G$4),OR('Visual SPC'!$I$4="",'Data Entry'!$E9249='Visual SPC'!$I$4),OR('Visual SPC'!$K$4="",'Data Entry'!$F9249='Visual SPC'!$K$4)),1,0))</f>
        <v/>
      </c>
      <c r="C9249">
        <f>C9248+B9249</f>
        <v/>
      </c>
      <c r="D9249">
        <f>IF(B9249=1,INDEX('Data Entry'!$H$5:$BE$10004,9249-4,'Visual SPC'!$B$3),"")</f>
        <v/>
      </c>
      <c r="E9249">
        <f>IF(B9249=1,D9249,E9248)</f>
        <v/>
      </c>
      <c r="F9249">
        <f>IF(AND(B9249=1,C9249&gt;1,E9248&lt;&gt;""),ABS(D9249-E9248),"")</f>
        <v/>
      </c>
    </row>
    <row r="9250">
      <c r="A9250" t="n">
        <v>9250</v>
      </c>
      <c r="B9250">
        <f>IF(INDEX('Data Entry'!$H$5:$BE$10004,9250-4,'Visual SPC'!$B$3)="",0,IF(AND(OR('Visual SPC'!$C$4="",'Data Entry'!$C9250&gt;='Visual SPC'!$C$4),OR('Visual SPC'!$E$4="",'Data Entry'!$C9250&lt;='Visual SPC'!$E$4),OR('Visual SPC'!$G$4="",'Data Entry'!$D9250='Visual SPC'!$G$4),OR('Visual SPC'!$I$4="",'Data Entry'!$E9250='Visual SPC'!$I$4),OR('Visual SPC'!$K$4="",'Data Entry'!$F9250='Visual SPC'!$K$4)),1,0))</f>
        <v/>
      </c>
      <c r="C9250">
        <f>C9249+B9250</f>
        <v/>
      </c>
      <c r="D9250">
        <f>IF(B9250=1,INDEX('Data Entry'!$H$5:$BE$10004,9250-4,'Visual SPC'!$B$3),"")</f>
        <v/>
      </c>
      <c r="E9250">
        <f>IF(B9250=1,D9250,E9249)</f>
        <v/>
      </c>
      <c r="F9250">
        <f>IF(AND(B9250=1,C9250&gt;1,E9249&lt;&gt;""),ABS(D9250-E9249),"")</f>
        <v/>
      </c>
    </row>
    <row r="9251">
      <c r="A9251" t="n">
        <v>9251</v>
      </c>
      <c r="B9251">
        <f>IF(INDEX('Data Entry'!$H$5:$BE$10004,9251-4,'Visual SPC'!$B$3)="",0,IF(AND(OR('Visual SPC'!$C$4="",'Data Entry'!$C9251&gt;='Visual SPC'!$C$4),OR('Visual SPC'!$E$4="",'Data Entry'!$C9251&lt;='Visual SPC'!$E$4),OR('Visual SPC'!$G$4="",'Data Entry'!$D9251='Visual SPC'!$G$4),OR('Visual SPC'!$I$4="",'Data Entry'!$E9251='Visual SPC'!$I$4),OR('Visual SPC'!$K$4="",'Data Entry'!$F9251='Visual SPC'!$K$4)),1,0))</f>
        <v/>
      </c>
      <c r="C9251">
        <f>C9250+B9251</f>
        <v/>
      </c>
      <c r="D9251">
        <f>IF(B9251=1,INDEX('Data Entry'!$H$5:$BE$10004,9251-4,'Visual SPC'!$B$3),"")</f>
        <v/>
      </c>
      <c r="E9251">
        <f>IF(B9251=1,D9251,E9250)</f>
        <v/>
      </c>
      <c r="F9251">
        <f>IF(AND(B9251=1,C9251&gt;1,E9250&lt;&gt;""),ABS(D9251-E9250),"")</f>
        <v/>
      </c>
    </row>
    <row r="9252">
      <c r="A9252" t="n">
        <v>9252</v>
      </c>
      <c r="B9252">
        <f>IF(INDEX('Data Entry'!$H$5:$BE$10004,9252-4,'Visual SPC'!$B$3)="",0,IF(AND(OR('Visual SPC'!$C$4="",'Data Entry'!$C9252&gt;='Visual SPC'!$C$4),OR('Visual SPC'!$E$4="",'Data Entry'!$C9252&lt;='Visual SPC'!$E$4),OR('Visual SPC'!$G$4="",'Data Entry'!$D9252='Visual SPC'!$G$4),OR('Visual SPC'!$I$4="",'Data Entry'!$E9252='Visual SPC'!$I$4),OR('Visual SPC'!$K$4="",'Data Entry'!$F9252='Visual SPC'!$K$4)),1,0))</f>
        <v/>
      </c>
      <c r="C9252">
        <f>C9251+B9252</f>
        <v/>
      </c>
      <c r="D9252">
        <f>IF(B9252=1,INDEX('Data Entry'!$H$5:$BE$10004,9252-4,'Visual SPC'!$B$3),"")</f>
        <v/>
      </c>
      <c r="E9252">
        <f>IF(B9252=1,D9252,E9251)</f>
        <v/>
      </c>
      <c r="F9252">
        <f>IF(AND(B9252=1,C9252&gt;1,E9251&lt;&gt;""),ABS(D9252-E9251),"")</f>
        <v/>
      </c>
    </row>
    <row r="9253">
      <c r="A9253" t="n">
        <v>9253</v>
      </c>
      <c r="B9253">
        <f>IF(INDEX('Data Entry'!$H$5:$BE$10004,9253-4,'Visual SPC'!$B$3)="",0,IF(AND(OR('Visual SPC'!$C$4="",'Data Entry'!$C9253&gt;='Visual SPC'!$C$4),OR('Visual SPC'!$E$4="",'Data Entry'!$C9253&lt;='Visual SPC'!$E$4),OR('Visual SPC'!$G$4="",'Data Entry'!$D9253='Visual SPC'!$G$4),OR('Visual SPC'!$I$4="",'Data Entry'!$E9253='Visual SPC'!$I$4),OR('Visual SPC'!$K$4="",'Data Entry'!$F9253='Visual SPC'!$K$4)),1,0))</f>
        <v/>
      </c>
      <c r="C9253">
        <f>C9252+B9253</f>
        <v/>
      </c>
      <c r="D9253">
        <f>IF(B9253=1,INDEX('Data Entry'!$H$5:$BE$10004,9253-4,'Visual SPC'!$B$3),"")</f>
        <v/>
      </c>
      <c r="E9253">
        <f>IF(B9253=1,D9253,E9252)</f>
        <v/>
      </c>
      <c r="F9253">
        <f>IF(AND(B9253=1,C9253&gt;1,E9252&lt;&gt;""),ABS(D9253-E9252),"")</f>
        <v/>
      </c>
    </row>
    <row r="9254">
      <c r="A9254" t="n">
        <v>9254</v>
      </c>
      <c r="B9254">
        <f>IF(INDEX('Data Entry'!$H$5:$BE$10004,9254-4,'Visual SPC'!$B$3)="",0,IF(AND(OR('Visual SPC'!$C$4="",'Data Entry'!$C9254&gt;='Visual SPC'!$C$4),OR('Visual SPC'!$E$4="",'Data Entry'!$C9254&lt;='Visual SPC'!$E$4),OR('Visual SPC'!$G$4="",'Data Entry'!$D9254='Visual SPC'!$G$4),OR('Visual SPC'!$I$4="",'Data Entry'!$E9254='Visual SPC'!$I$4),OR('Visual SPC'!$K$4="",'Data Entry'!$F9254='Visual SPC'!$K$4)),1,0))</f>
        <v/>
      </c>
      <c r="C9254">
        <f>C9253+B9254</f>
        <v/>
      </c>
      <c r="D9254">
        <f>IF(B9254=1,INDEX('Data Entry'!$H$5:$BE$10004,9254-4,'Visual SPC'!$B$3),"")</f>
        <v/>
      </c>
      <c r="E9254">
        <f>IF(B9254=1,D9254,E9253)</f>
        <v/>
      </c>
      <c r="F9254">
        <f>IF(AND(B9254=1,C9254&gt;1,E9253&lt;&gt;""),ABS(D9254-E9253),"")</f>
        <v/>
      </c>
    </row>
    <row r="9255">
      <c r="A9255" t="n">
        <v>9255</v>
      </c>
      <c r="B9255">
        <f>IF(INDEX('Data Entry'!$H$5:$BE$10004,9255-4,'Visual SPC'!$B$3)="",0,IF(AND(OR('Visual SPC'!$C$4="",'Data Entry'!$C9255&gt;='Visual SPC'!$C$4),OR('Visual SPC'!$E$4="",'Data Entry'!$C9255&lt;='Visual SPC'!$E$4),OR('Visual SPC'!$G$4="",'Data Entry'!$D9255='Visual SPC'!$G$4),OR('Visual SPC'!$I$4="",'Data Entry'!$E9255='Visual SPC'!$I$4),OR('Visual SPC'!$K$4="",'Data Entry'!$F9255='Visual SPC'!$K$4)),1,0))</f>
        <v/>
      </c>
      <c r="C9255">
        <f>C9254+B9255</f>
        <v/>
      </c>
      <c r="D9255">
        <f>IF(B9255=1,INDEX('Data Entry'!$H$5:$BE$10004,9255-4,'Visual SPC'!$B$3),"")</f>
        <v/>
      </c>
      <c r="E9255">
        <f>IF(B9255=1,D9255,E9254)</f>
        <v/>
      </c>
      <c r="F9255">
        <f>IF(AND(B9255=1,C9255&gt;1,E9254&lt;&gt;""),ABS(D9255-E9254),"")</f>
        <v/>
      </c>
    </row>
    <row r="9256">
      <c r="A9256" t="n">
        <v>9256</v>
      </c>
      <c r="B9256">
        <f>IF(INDEX('Data Entry'!$H$5:$BE$10004,9256-4,'Visual SPC'!$B$3)="",0,IF(AND(OR('Visual SPC'!$C$4="",'Data Entry'!$C9256&gt;='Visual SPC'!$C$4),OR('Visual SPC'!$E$4="",'Data Entry'!$C9256&lt;='Visual SPC'!$E$4),OR('Visual SPC'!$G$4="",'Data Entry'!$D9256='Visual SPC'!$G$4),OR('Visual SPC'!$I$4="",'Data Entry'!$E9256='Visual SPC'!$I$4),OR('Visual SPC'!$K$4="",'Data Entry'!$F9256='Visual SPC'!$K$4)),1,0))</f>
        <v/>
      </c>
      <c r="C9256">
        <f>C9255+B9256</f>
        <v/>
      </c>
      <c r="D9256">
        <f>IF(B9256=1,INDEX('Data Entry'!$H$5:$BE$10004,9256-4,'Visual SPC'!$B$3),"")</f>
        <v/>
      </c>
      <c r="E9256">
        <f>IF(B9256=1,D9256,E9255)</f>
        <v/>
      </c>
      <c r="F9256">
        <f>IF(AND(B9256=1,C9256&gt;1,E9255&lt;&gt;""),ABS(D9256-E9255),"")</f>
        <v/>
      </c>
    </row>
    <row r="9257">
      <c r="A9257" t="n">
        <v>9257</v>
      </c>
      <c r="B9257">
        <f>IF(INDEX('Data Entry'!$H$5:$BE$10004,9257-4,'Visual SPC'!$B$3)="",0,IF(AND(OR('Visual SPC'!$C$4="",'Data Entry'!$C9257&gt;='Visual SPC'!$C$4),OR('Visual SPC'!$E$4="",'Data Entry'!$C9257&lt;='Visual SPC'!$E$4),OR('Visual SPC'!$G$4="",'Data Entry'!$D9257='Visual SPC'!$G$4),OR('Visual SPC'!$I$4="",'Data Entry'!$E9257='Visual SPC'!$I$4),OR('Visual SPC'!$K$4="",'Data Entry'!$F9257='Visual SPC'!$K$4)),1,0))</f>
        <v/>
      </c>
      <c r="C9257">
        <f>C9256+B9257</f>
        <v/>
      </c>
      <c r="D9257">
        <f>IF(B9257=1,INDEX('Data Entry'!$H$5:$BE$10004,9257-4,'Visual SPC'!$B$3),"")</f>
        <v/>
      </c>
      <c r="E9257">
        <f>IF(B9257=1,D9257,E9256)</f>
        <v/>
      </c>
      <c r="F9257">
        <f>IF(AND(B9257=1,C9257&gt;1,E9256&lt;&gt;""),ABS(D9257-E9256),"")</f>
        <v/>
      </c>
    </row>
    <row r="9258">
      <c r="A9258" t="n">
        <v>9258</v>
      </c>
      <c r="B9258">
        <f>IF(INDEX('Data Entry'!$H$5:$BE$10004,9258-4,'Visual SPC'!$B$3)="",0,IF(AND(OR('Visual SPC'!$C$4="",'Data Entry'!$C9258&gt;='Visual SPC'!$C$4),OR('Visual SPC'!$E$4="",'Data Entry'!$C9258&lt;='Visual SPC'!$E$4),OR('Visual SPC'!$G$4="",'Data Entry'!$D9258='Visual SPC'!$G$4),OR('Visual SPC'!$I$4="",'Data Entry'!$E9258='Visual SPC'!$I$4),OR('Visual SPC'!$K$4="",'Data Entry'!$F9258='Visual SPC'!$K$4)),1,0))</f>
        <v/>
      </c>
      <c r="C9258">
        <f>C9257+B9258</f>
        <v/>
      </c>
      <c r="D9258">
        <f>IF(B9258=1,INDEX('Data Entry'!$H$5:$BE$10004,9258-4,'Visual SPC'!$B$3),"")</f>
        <v/>
      </c>
      <c r="E9258">
        <f>IF(B9258=1,D9258,E9257)</f>
        <v/>
      </c>
      <c r="F9258">
        <f>IF(AND(B9258=1,C9258&gt;1,E9257&lt;&gt;""),ABS(D9258-E9257),"")</f>
        <v/>
      </c>
    </row>
    <row r="9259">
      <c r="A9259" t="n">
        <v>9259</v>
      </c>
      <c r="B9259">
        <f>IF(INDEX('Data Entry'!$H$5:$BE$10004,9259-4,'Visual SPC'!$B$3)="",0,IF(AND(OR('Visual SPC'!$C$4="",'Data Entry'!$C9259&gt;='Visual SPC'!$C$4),OR('Visual SPC'!$E$4="",'Data Entry'!$C9259&lt;='Visual SPC'!$E$4),OR('Visual SPC'!$G$4="",'Data Entry'!$D9259='Visual SPC'!$G$4),OR('Visual SPC'!$I$4="",'Data Entry'!$E9259='Visual SPC'!$I$4),OR('Visual SPC'!$K$4="",'Data Entry'!$F9259='Visual SPC'!$K$4)),1,0))</f>
        <v/>
      </c>
      <c r="C9259">
        <f>C9258+B9259</f>
        <v/>
      </c>
      <c r="D9259">
        <f>IF(B9259=1,INDEX('Data Entry'!$H$5:$BE$10004,9259-4,'Visual SPC'!$B$3),"")</f>
        <v/>
      </c>
      <c r="E9259">
        <f>IF(B9259=1,D9259,E9258)</f>
        <v/>
      </c>
      <c r="F9259">
        <f>IF(AND(B9259=1,C9259&gt;1,E9258&lt;&gt;""),ABS(D9259-E9258),"")</f>
        <v/>
      </c>
    </row>
    <row r="9260">
      <c r="A9260" t="n">
        <v>9260</v>
      </c>
      <c r="B9260">
        <f>IF(INDEX('Data Entry'!$H$5:$BE$10004,9260-4,'Visual SPC'!$B$3)="",0,IF(AND(OR('Visual SPC'!$C$4="",'Data Entry'!$C9260&gt;='Visual SPC'!$C$4),OR('Visual SPC'!$E$4="",'Data Entry'!$C9260&lt;='Visual SPC'!$E$4),OR('Visual SPC'!$G$4="",'Data Entry'!$D9260='Visual SPC'!$G$4),OR('Visual SPC'!$I$4="",'Data Entry'!$E9260='Visual SPC'!$I$4),OR('Visual SPC'!$K$4="",'Data Entry'!$F9260='Visual SPC'!$K$4)),1,0))</f>
        <v/>
      </c>
      <c r="C9260">
        <f>C9259+B9260</f>
        <v/>
      </c>
      <c r="D9260">
        <f>IF(B9260=1,INDEX('Data Entry'!$H$5:$BE$10004,9260-4,'Visual SPC'!$B$3),"")</f>
        <v/>
      </c>
      <c r="E9260">
        <f>IF(B9260=1,D9260,E9259)</f>
        <v/>
      </c>
      <c r="F9260">
        <f>IF(AND(B9260=1,C9260&gt;1,E9259&lt;&gt;""),ABS(D9260-E9259),"")</f>
        <v/>
      </c>
    </row>
    <row r="9261">
      <c r="A9261" t="n">
        <v>9261</v>
      </c>
      <c r="B9261">
        <f>IF(INDEX('Data Entry'!$H$5:$BE$10004,9261-4,'Visual SPC'!$B$3)="",0,IF(AND(OR('Visual SPC'!$C$4="",'Data Entry'!$C9261&gt;='Visual SPC'!$C$4),OR('Visual SPC'!$E$4="",'Data Entry'!$C9261&lt;='Visual SPC'!$E$4),OR('Visual SPC'!$G$4="",'Data Entry'!$D9261='Visual SPC'!$G$4),OR('Visual SPC'!$I$4="",'Data Entry'!$E9261='Visual SPC'!$I$4),OR('Visual SPC'!$K$4="",'Data Entry'!$F9261='Visual SPC'!$K$4)),1,0))</f>
        <v/>
      </c>
      <c r="C9261">
        <f>C9260+B9261</f>
        <v/>
      </c>
      <c r="D9261">
        <f>IF(B9261=1,INDEX('Data Entry'!$H$5:$BE$10004,9261-4,'Visual SPC'!$B$3),"")</f>
        <v/>
      </c>
      <c r="E9261">
        <f>IF(B9261=1,D9261,E9260)</f>
        <v/>
      </c>
      <c r="F9261">
        <f>IF(AND(B9261=1,C9261&gt;1,E9260&lt;&gt;""),ABS(D9261-E9260),"")</f>
        <v/>
      </c>
    </row>
    <row r="9262">
      <c r="A9262" t="n">
        <v>9262</v>
      </c>
      <c r="B9262">
        <f>IF(INDEX('Data Entry'!$H$5:$BE$10004,9262-4,'Visual SPC'!$B$3)="",0,IF(AND(OR('Visual SPC'!$C$4="",'Data Entry'!$C9262&gt;='Visual SPC'!$C$4),OR('Visual SPC'!$E$4="",'Data Entry'!$C9262&lt;='Visual SPC'!$E$4),OR('Visual SPC'!$G$4="",'Data Entry'!$D9262='Visual SPC'!$G$4),OR('Visual SPC'!$I$4="",'Data Entry'!$E9262='Visual SPC'!$I$4),OR('Visual SPC'!$K$4="",'Data Entry'!$F9262='Visual SPC'!$K$4)),1,0))</f>
        <v/>
      </c>
      <c r="C9262">
        <f>C9261+B9262</f>
        <v/>
      </c>
      <c r="D9262">
        <f>IF(B9262=1,INDEX('Data Entry'!$H$5:$BE$10004,9262-4,'Visual SPC'!$B$3),"")</f>
        <v/>
      </c>
      <c r="E9262">
        <f>IF(B9262=1,D9262,E9261)</f>
        <v/>
      </c>
      <c r="F9262">
        <f>IF(AND(B9262=1,C9262&gt;1,E9261&lt;&gt;""),ABS(D9262-E9261),"")</f>
        <v/>
      </c>
    </row>
    <row r="9263">
      <c r="A9263" t="n">
        <v>9263</v>
      </c>
      <c r="B9263">
        <f>IF(INDEX('Data Entry'!$H$5:$BE$10004,9263-4,'Visual SPC'!$B$3)="",0,IF(AND(OR('Visual SPC'!$C$4="",'Data Entry'!$C9263&gt;='Visual SPC'!$C$4),OR('Visual SPC'!$E$4="",'Data Entry'!$C9263&lt;='Visual SPC'!$E$4),OR('Visual SPC'!$G$4="",'Data Entry'!$D9263='Visual SPC'!$G$4),OR('Visual SPC'!$I$4="",'Data Entry'!$E9263='Visual SPC'!$I$4),OR('Visual SPC'!$K$4="",'Data Entry'!$F9263='Visual SPC'!$K$4)),1,0))</f>
        <v/>
      </c>
      <c r="C9263">
        <f>C9262+B9263</f>
        <v/>
      </c>
      <c r="D9263">
        <f>IF(B9263=1,INDEX('Data Entry'!$H$5:$BE$10004,9263-4,'Visual SPC'!$B$3),"")</f>
        <v/>
      </c>
      <c r="E9263">
        <f>IF(B9263=1,D9263,E9262)</f>
        <v/>
      </c>
      <c r="F9263">
        <f>IF(AND(B9263=1,C9263&gt;1,E9262&lt;&gt;""),ABS(D9263-E9262),"")</f>
        <v/>
      </c>
    </row>
    <row r="9264">
      <c r="A9264" t="n">
        <v>9264</v>
      </c>
      <c r="B9264">
        <f>IF(INDEX('Data Entry'!$H$5:$BE$10004,9264-4,'Visual SPC'!$B$3)="",0,IF(AND(OR('Visual SPC'!$C$4="",'Data Entry'!$C9264&gt;='Visual SPC'!$C$4),OR('Visual SPC'!$E$4="",'Data Entry'!$C9264&lt;='Visual SPC'!$E$4),OR('Visual SPC'!$G$4="",'Data Entry'!$D9264='Visual SPC'!$G$4),OR('Visual SPC'!$I$4="",'Data Entry'!$E9264='Visual SPC'!$I$4),OR('Visual SPC'!$K$4="",'Data Entry'!$F9264='Visual SPC'!$K$4)),1,0))</f>
        <v/>
      </c>
      <c r="C9264">
        <f>C9263+B9264</f>
        <v/>
      </c>
      <c r="D9264">
        <f>IF(B9264=1,INDEX('Data Entry'!$H$5:$BE$10004,9264-4,'Visual SPC'!$B$3),"")</f>
        <v/>
      </c>
      <c r="E9264">
        <f>IF(B9264=1,D9264,E9263)</f>
        <v/>
      </c>
      <c r="F9264">
        <f>IF(AND(B9264=1,C9264&gt;1,E9263&lt;&gt;""),ABS(D9264-E9263),"")</f>
        <v/>
      </c>
    </row>
    <row r="9265">
      <c r="A9265" t="n">
        <v>9265</v>
      </c>
      <c r="B9265">
        <f>IF(INDEX('Data Entry'!$H$5:$BE$10004,9265-4,'Visual SPC'!$B$3)="",0,IF(AND(OR('Visual SPC'!$C$4="",'Data Entry'!$C9265&gt;='Visual SPC'!$C$4),OR('Visual SPC'!$E$4="",'Data Entry'!$C9265&lt;='Visual SPC'!$E$4),OR('Visual SPC'!$G$4="",'Data Entry'!$D9265='Visual SPC'!$G$4),OR('Visual SPC'!$I$4="",'Data Entry'!$E9265='Visual SPC'!$I$4),OR('Visual SPC'!$K$4="",'Data Entry'!$F9265='Visual SPC'!$K$4)),1,0))</f>
        <v/>
      </c>
      <c r="C9265">
        <f>C9264+B9265</f>
        <v/>
      </c>
      <c r="D9265">
        <f>IF(B9265=1,INDEX('Data Entry'!$H$5:$BE$10004,9265-4,'Visual SPC'!$B$3),"")</f>
        <v/>
      </c>
      <c r="E9265">
        <f>IF(B9265=1,D9265,E9264)</f>
        <v/>
      </c>
      <c r="F9265">
        <f>IF(AND(B9265=1,C9265&gt;1,E9264&lt;&gt;""),ABS(D9265-E9264),"")</f>
        <v/>
      </c>
    </row>
    <row r="9266">
      <c r="A9266" t="n">
        <v>9266</v>
      </c>
      <c r="B9266">
        <f>IF(INDEX('Data Entry'!$H$5:$BE$10004,9266-4,'Visual SPC'!$B$3)="",0,IF(AND(OR('Visual SPC'!$C$4="",'Data Entry'!$C9266&gt;='Visual SPC'!$C$4),OR('Visual SPC'!$E$4="",'Data Entry'!$C9266&lt;='Visual SPC'!$E$4),OR('Visual SPC'!$G$4="",'Data Entry'!$D9266='Visual SPC'!$G$4),OR('Visual SPC'!$I$4="",'Data Entry'!$E9266='Visual SPC'!$I$4),OR('Visual SPC'!$K$4="",'Data Entry'!$F9266='Visual SPC'!$K$4)),1,0))</f>
        <v/>
      </c>
      <c r="C9266">
        <f>C9265+B9266</f>
        <v/>
      </c>
      <c r="D9266">
        <f>IF(B9266=1,INDEX('Data Entry'!$H$5:$BE$10004,9266-4,'Visual SPC'!$B$3),"")</f>
        <v/>
      </c>
      <c r="E9266">
        <f>IF(B9266=1,D9266,E9265)</f>
        <v/>
      </c>
      <c r="F9266">
        <f>IF(AND(B9266=1,C9266&gt;1,E9265&lt;&gt;""),ABS(D9266-E9265),"")</f>
        <v/>
      </c>
    </row>
    <row r="9267">
      <c r="A9267" t="n">
        <v>9267</v>
      </c>
      <c r="B9267">
        <f>IF(INDEX('Data Entry'!$H$5:$BE$10004,9267-4,'Visual SPC'!$B$3)="",0,IF(AND(OR('Visual SPC'!$C$4="",'Data Entry'!$C9267&gt;='Visual SPC'!$C$4),OR('Visual SPC'!$E$4="",'Data Entry'!$C9267&lt;='Visual SPC'!$E$4),OR('Visual SPC'!$G$4="",'Data Entry'!$D9267='Visual SPC'!$G$4),OR('Visual SPC'!$I$4="",'Data Entry'!$E9267='Visual SPC'!$I$4),OR('Visual SPC'!$K$4="",'Data Entry'!$F9267='Visual SPC'!$K$4)),1,0))</f>
        <v/>
      </c>
      <c r="C9267">
        <f>C9266+B9267</f>
        <v/>
      </c>
      <c r="D9267">
        <f>IF(B9267=1,INDEX('Data Entry'!$H$5:$BE$10004,9267-4,'Visual SPC'!$B$3),"")</f>
        <v/>
      </c>
      <c r="E9267">
        <f>IF(B9267=1,D9267,E9266)</f>
        <v/>
      </c>
      <c r="F9267">
        <f>IF(AND(B9267=1,C9267&gt;1,E9266&lt;&gt;""),ABS(D9267-E9266),"")</f>
        <v/>
      </c>
    </row>
    <row r="9268">
      <c r="A9268" t="n">
        <v>9268</v>
      </c>
      <c r="B9268">
        <f>IF(INDEX('Data Entry'!$H$5:$BE$10004,9268-4,'Visual SPC'!$B$3)="",0,IF(AND(OR('Visual SPC'!$C$4="",'Data Entry'!$C9268&gt;='Visual SPC'!$C$4),OR('Visual SPC'!$E$4="",'Data Entry'!$C9268&lt;='Visual SPC'!$E$4),OR('Visual SPC'!$G$4="",'Data Entry'!$D9268='Visual SPC'!$G$4),OR('Visual SPC'!$I$4="",'Data Entry'!$E9268='Visual SPC'!$I$4),OR('Visual SPC'!$K$4="",'Data Entry'!$F9268='Visual SPC'!$K$4)),1,0))</f>
        <v/>
      </c>
      <c r="C9268">
        <f>C9267+B9268</f>
        <v/>
      </c>
      <c r="D9268">
        <f>IF(B9268=1,INDEX('Data Entry'!$H$5:$BE$10004,9268-4,'Visual SPC'!$B$3),"")</f>
        <v/>
      </c>
      <c r="E9268">
        <f>IF(B9268=1,D9268,E9267)</f>
        <v/>
      </c>
      <c r="F9268">
        <f>IF(AND(B9268=1,C9268&gt;1,E9267&lt;&gt;""),ABS(D9268-E9267),"")</f>
        <v/>
      </c>
    </row>
    <row r="9269">
      <c r="A9269" t="n">
        <v>9269</v>
      </c>
      <c r="B9269">
        <f>IF(INDEX('Data Entry'!$H$5:$BE$10004,9269-4,'Visual SPC'!$B$3)="",0,IF(AND(OR('Visual SPC'!$C$4="",'Data Entry'!$C9269&gt;='Visual SPC'!$C$4),OR('Visual SPC'!$E$4="",'Data Entry'!$C9269&lt;='Visual SPC'!$E$4),OR('Visual SPC'!$G$4="",'Data Entry'!$D9269='Visual SPC'!$G$4),OR('Visual SPC'!$I$4="",'Data Entry'!$E9269='Visual SPC'!$I$4),OR('Visual SPC'!$K$4="",'Data Entry'!$F9269='Visual SPC'!$K$4)),1,0))</f>
        <v/>
      </c>
      <c r="C9269">
        <f>C9268+B9269</f>
        <v/>
      </c>
      <c r="D9269">
        <f>IF(B9269=1,INDEX('Data Entry'!$H$5:$BE$10004,9269-4,'Visual SPC'!$B$3),"")</f>
        <v/>
      </c>
      <c r="E9269">
        <f>IF(B9269=1,D9269,E9268)</f>
        <v/>
      </c>
      <c r="F9269">
        <f>IF(AND(B9269=1,C9269&gt;1,E9268&lt;&gt;""),ABS(D9269-E9268),"")</f>
        <v/>
      </c>
    </row>
    <row r="9270">
      <c r="A9270" t="n">
        <v>9270</v>
      </c>
      <c r="B9270">
        <f>IF(INDEX('Data Entry'!$H$5:$BE$10004,9270-4,'Visual SPC'!$B$3)="",0,IF(AND(OR('Visual SPC'!$C$4="",'Data Entry'!$C9270&gt;='Visual SPC'!$C$4),OR('Visual SPC'!$E$4="",'Data Entry'!$C9270&lt;='Visual SPC'!$E$4),OR('Visual SPC'!$G$4="",'Data Entry'!$D9270='Visual SPC'!$G$4),OR('Visual SPC'!$I$4="",'Data Entry'!$E9270='Visual SPC'!$I$4),OR('Visual SPC'!$K$4="",'Data Entry'!$F9270='Visual SPC'!$K$4)),1,0))</f>
        <v/>
      </c>
      <c r="C9270">
        <f>C9269+B9270</f>
        <v/>
      </c>
      <c r="D9270">
        <f>IF(B9270=1,INDEX('Data Entry'!$H$5:$BE$10004,9270-4,'Visual SPC'!$B$3),"")</f>
        <v/>
      </c>
      <c r="E9270">
        <f>IF(B9270=1,D9270,E9269)</f>
        <v/>
      </c>
      <c r="F9270">
        <f>IF(AND(B9270=1,C9270&gt;1,E9269&lt;&gt;""),ABS(D9270-E9269),"")</f>
        <v/>
      </c>
    </row>
    <row r="9271">
      <c r="A9271" t="n">
        <v>9271</v>
      </c>
      <c r="B9271">
        <f>IF(INDEX('Data Entry'!$H$5:$BE$10004,9271-4,'Visual SPC'!$B$3)="",0,IF(AND(OR('Visual SPC'!$C$4="",'Data Entry'!$C9271&gt;='Visual SPC'!$C$4),OR('Visual SPC'!$E$4="",'Data Entry'!$C9271&lt;='Visual SPC'!$E$4),OR('Visual SPC'!$G$4="",'Data Entry'!$D9271='Visual SPC'!$G$4),OR('Visual SPC'!$I$4="",'Data Entry'!$E9271='Visual SPC'!$I$4),OR('Visual SPC'!$K$4="",'Data Entry'!$F9271='Visual SPC'!$K$4)),1,0))</f>
        <v/>
      </c>
      <c r="C9271">
        <f>C9270+B9271</f>
        <v/>
      </c>
      <c r="D9271">
        <f>IF(B9271=1,INDEX('Data Entry'!$H$5:$BE$10004,9271-4,'Visual SPC'!$B$3),"")</f>
        <v/>
      </c>
      <c r="E9271">
        <f>IF(B9271=1,D9271,E9270)</f>
        <v/>
      </c>
      <c r="F9271">
        <f>IF(AND(B9271=1,C9271&gt;1,E9270&lt;&gt;""),ABS(D9271-E9270),"")</f>
        <v/>
      </c>
    </row>
    <row r="9272">
      <c r="A9272" t="n">
        <v>9272</v>
      </c>
      <c r="B9272">
        <f>IF(INDEX('Data Entry'!$H$5:$BE$10004,9272-4,'Visual SPC'!$B$3)="",0,IF(AND(OR('Visual SPC'!$C$4="",'Data Entry'!$C9272&gt;='Visual SPC'!$C$4),OR('Visual SPC'!$E$4="",'Data Entry'!$C9272&lt;='Visual SPC'!$E$4),OR('Visual SPC'!$G$4="",'Data Entry'!$D9272='Visual SPC'!$G$4),OR('Visual SPC'!$I$4="",'Data Entry'!$E9272='Visual SPC'!$I$4),OR('Visual SPC'!$K$4="",'Data Entry'!$F9272='Visual SPC'!$K$4)),1,0))</f>
        <v/>
      </c>
      <c r="C9272">
        <f>C9271+B9272</f>
        <v/>
      </c>
      <c r="D9272">
        <f>IF(B9272=1,INDEX('Data Entry'!$H$5:$BE$10004,9272-4,'Visual SPC'!$B$3),"")</f>
        <v/>
      </c>
      <c r="E9272">
        <f>IF(B9272=1,D9272,E9271)</f>
        <v/>
      </c>
      <c r="F9272">
        <f>IF(AND(B9272=1,C9272&gt;1,E9271&lt;&gt;""),ABS(D9272-E9271),"")</f>
        <v/>
      </c>
    </row>
    <row r="9273">
      <c r="A9273" t="n">
        <v>9273</v>
      </c>
      <c r="B9273">
        <f>IF(INDEX('Data Entry'!$H$5:$BE$10004,9273-4,'Visual SPC'!$B$3)="",0,IF(AND(OR('Visual SPC'!$C$4="",'Data Entry'!$C9273&gt;='Visual SPC'!$C$4),OR('Visual SPC'!$E$4="",'Data Entry'!$C9273&lt;='Visual SPC'!$E$4),OR('Visual SPC'!$G$4="",'Data Entry'!$D9273='Visual SPC'!$G$4),OR('Visual SPC'!$I$4="",'Data Entry'!$E9273='Visual SPC'!$I$4),OR('Visual SPC'!$K$4="",'Data Entry'!$F9273='Visual SPC'!$K$4)),1,0))</f>
        <v/>
      </c>
      <c r="C9273">
        <f>C9272+B9273</f>
        <v/>
      </c>
      <c r="D9273">
        <f>IF(B9273=1,INDEX('Data Entry'!$H$5:$BE$10004,9273-4,'Visual SPC'!$B$3),"")</f>
        <v/>
      </c>
      <c r="E9273">
        <f>IF(B9273=1,D9273,E9272)</f>
        <v/>
      </c>
      <c r="F9273">
        <f>IF(AND(B9273=1,C9273&gt;1,E9272&lt;&gt;""),ABS(D9273-E9272),"")</f>
        <v/>
      </c>
    </row>
    <row r="9274">
      <c r="A9274" t="n">
        <v>9274</v>
      </c>
      <c r="B9274">
        <f>IF(INDEX('Data Entry'!$H$5:$BE$10004,9274-4,'Visual SPC'!$B$3)="",0,IF(AND(OR('Visual SPC'!$C$4="",'Data Entry'!$C9274&gt;='Visual SPC'!$C$4),OR('Visual SPC'!$E$4="",'Data Entry'!$C9274&lt;='Visual SPC'!$E$4),OR('Visual SPC'!$G$4="",'Data Entry'!$D9274='Visual SPC'!$G$4),OR('Visual SPC'!$I$4="",'Data Entry'!$E9274='Visual SPC'!$I$4),OR('Visual SPC'!$K$4="",'Data Entry'!$F9274='Visual SPC'!$K$4)),1,0))</f>
        <v/>
      </c>
      <c r="C9274">
        <f>C9273+B9274</f>
        <v/>
      </c>
      <c r="D9274">
        <f>IF(B9274=1,INDEX('Data Entry'!$H$5:$BE$10004,9274-4,'Visual SPC'!$B$3),"")</f>
        <v/>
      </c>
      <c r="E9274">
        <f>IF(B9274=1,D9274,E9273)</f>
        <v/>
      </c>
      <c r="F9274">
        <f>IF(AND(B9274=1,C9274&gt;1,E9273&lt;&gt;""),ABS(D9274-E9273),"")</f>
        <v/>
      </c>
    </row>
    <row r="9275">
      <c r="A9275" t="n">
        <v>9275</v>
      </c>
      <c r="B9275">
        <f>IF(INDEX('Data Entry'!$H$5:$BE$10004,9275-4,'Visual SPC'!$B$3)="",0,IF(AND(OR('Visual SPC'!$C$4="",'Data Entry'!$C9275&gt;='Visual SPC'!$C$4),OR('Visual SPC'!$E$4="",'Data Entry'!$C9275&lt;='Visual SPC'!$E$4),OR('Visual SPC'!$G$4="",'Data Entry'!$D9275='Visual SPC'!$G$4),OR('Visual SPC'!$I$4="",'Data Entry'!$E9275='Visual SPC'!$I$4),OR('Visual SPC'!$K$4="",'Data Entry'!$F9275='Visual SPC'!$K$4)),1,0))</f>
        <v/>
      </c>
      <c r="C9275">
        <f>C9274+B9275</f>
        <v/>
      </c>
      <c r="D9275">
        <f>IF(B9275=1,INDEX('Data Entry'!$H$5:$BE$10004,9275-4,'Visual SPC'!$B$3),"")</f>
        <v/>
      </c>
      <c r="E9275">
        <f>IF(B9275=1,D9275,E9274)</f>
        <v/>
      </c>
      <c r="F9275">
        <f>IF(AND(B9275=1,C9275&gt;1,E9274&lt;&gt;""),ABS(D9275-E9274),"")</f>
        <v/>
      </c>
    </row>
    <row r="9276">
      <c r="A9276" t="n">
        <v>9276</v>
      </c>
      <c r="B9276">
        <f>IF(INDEX('Data Entry'!$H$5:$BE$10004,9276-4,'Visual SPC'!$B$3)="",0,IF(AND(OR('Visual SPC'!$C$4="",'Data Entry'!$C9276&gt;='Visual SPC'!$C$4),OR('Visual SPC'!$E$4="",'Data Entry'!$C9276&lt;='Visual SPC'!$E$4),OR('Visual SPC'!$G$4="",'Data Entry'!$D9276='Visual SPC'!$G$4),OR('Visual SPC'!$I$4="",'Data Entry'!$E9276='Visual SPC'!$I$4),OR('Visual SPC'!$K$4="",'Data Entry'!$F9276='Visual SPC'!$K$4)),1,0))</f>
        <v/>
      </c>
      <c r="C9276">
        <f>C9275+B9276</f>
        <v/>
      </c>
      <c r="D9276">
        <f>IF(B9276=1,INDEX('Data Entry'!$H$5:$BE$10004,9276-4,'Visual SPC'!$B$3),"")</f>
        <v/>
      </c>
      <c r="E9276">
        <f>IF(B9276=1,D9276,E9275)</f>
        <v/>
      </c>
      <c r="F9276">
        <f>IF(AND(B9276=1,C9276&gt;1,E9275&lt;&gt;""),ABS(D9276-E9275),"")</f>
        <v/>
      </c>
    </row>
    <row r="9277">
      <c r="A9277" t="n">
        <v>9277</v>
      </c>
      <c r="B9277">
        <f>IF(INDEX('Data Entry'!$H$5:$BE$10004,9277-4,'Visual SPC'!$B$3)="",0,IF(AND(OR('Visual SPC'!$C$4="",'Data Entry'!$C9277&gt;='Visual SPC'!$C$4),OR('Visual SPC'!$E$4="",'Data Entry'!$C9277&lt;='Visual SPC'!$E$4),OR('Visual SPC'!$G$4="",'Data Entry'!$D9277='Visual SPC'!$G$4),OR('Visual SPC'!$I$4="",'Data Entry'!$E9277='Visual SPC'!$I$4),OR('Visual SPC'!$K$4="",'Data Entry'!$F9277='Visual SPC'!$K$4)),1,0))</f>
        <v/>
      </c>
      <c r="C9277">
        <f>C9276+B9277</f>
        <v/>
      </c>
      <c r="D9277">
        <f>IF(B9277=1,INDEX('Data Entry'!$H$5:$BE$10004,9277-4,'Visual SPC'!$B$3),"")</f>
        <v/>
      </c>
      <c r="E9277">
        <f>IF(B9277=1,D9277,E9276)</f>
        <v/>
      </c>
      <c r="F9277">
        <f>IF(AND(B9277=1,C9277&gt;1,E9276&lt;&gt;""),ABS(D9277-E9276),"")</f>
        <v/>
      </c>
    </row>
    <row r="9278">
      <c r="A9278" t="n">
        <v>9278</v>
      </c>
      <c r="B9278">
        <f>IF(INDEX('Data Entry'!$H$5:$BE$10004,9278-4,'Visual SPC'!$B$3)="",0,IF(AND(OR('Visual SPC'!$C$4="",'Data Entry'!$C9278&gt;='Visual SPC'!$C$4),OR('Visual SPC'!$E$4="",'Data Entry'!$C9278&lt;='Visual SPC'!$E$4),OR('Visual SPC'!$G$4="",'Data Entry'!$D9278='Visual SPC'!$G$4),OR('Visual SPC'!$I$4="",'Data Entry'!$E9278='Visual SPC'!$I$4),OR('Visual SPC'!$K$4="",'Data Entry'!$F9278='Visual SPC'!$K$4)),1,0))</f>
        <v/>
      </c>
      <c r="C9278">
        <f>C9277+B9278</f>
        <v/>
      </c>
      <c r="D9278">
        <f>IF(B9278=1,INDEX('Data Entry'!$H$5:$BE$10004,9278-4,'Visual SPC'!$B$3),"")</f>
        <v/>
      </c>
      <c r="E9278">
        <f>IF(B9278=1,D9278,E9277)</f>
        <v/>
      </c>
      <c r="F9278">
        <f>IF(AND(B9278=1,C9278&gt;1,E9277&lt;&gt;""),ABS(D9278-E9277),"")</f>
        <v/>
      </c>
    </row>
    <row r="9279">
      <c r="A9279" t="n">
        <v>9279</v>
      </c>
      <c r="B9279">
        <f>IF(INDEX('Data Entry'!$H$5:$BE$10004,9279-4,'Visual SPC'!$B$3)="",0,IF(AND(OR('Visual SPC'!$C$4="",'Data Entry'!$C9279&gt;='Visual SPC'!$C$4),OR('Visual SPC'!$E$4="",'Data Entry'!$C9279&lt;='Visual SPC'!$E$4),OR('Visual SPC'!$G$4="",'Data Entry'!$D9279='Visual SPC'!$G$4),OR('Visual SPC'!$I$4="",'Data Entry'!$E9279='Visual SPC'!$I$4),OR('Visual SPC'!$K$4="",'Data Entry'!$F9279='Visual SPC'!$K$4)),1,0))</f>
        <v/>
      </c>
      <c r="C9279">
        <f>C9278+B9279</f>
        <v/>
      </c>
      <c r="D9279">
        <f>IF(B9279=1,INDEX('Data Entry'!$H$5:$BE$10004,9279-4,'Visual SPC'!$B$3),"")</f>
        <v/>
      </c>
      <c r="E9279">
        <f>IF(B9279=1,D9279,E9278)</f>
        <v/>
      </c>
      <c r="F9279">
        <f>IF(AND(B9279=1,C9279&gt;1,E9278&lt;&gt;""),ABS(D9279-E9278),"")</f>
        <v/>
      </c>
    </row>
    <row r="9280">
      <c r="A9280" t="n">
        <v>9280</v>
      </c>
      <c r="B9280">
        <f>IF(INDEX('Data Entry'!$H$5:$BE$10004,9280-4,'Visual SPC'!$B$3)="",0,IF(AND(OR('Visual SPC'!$C$4="",'Data Entry'!$C9280&gt;='Visual SPC'!$C$4),OR('Visual SPC'!$E$4="",'Data Entry'!$C9280&lt;='Visual SPC'!$E$4),OR('Visual SPC'!$G$4="",'Data Entry'!$D9280='Visual SPC'!$G$4),OR('Visual SPC'!$I$4="",'Data Entry'!$E9280='Visual SPC'!$I$4),OR('Visual SPC'!$K$4="",'Data Entry'!$F9280='Visual SPC'!$K$4)),1,0))</f>
        <v/>
      </c>
      <c r="C9280">
        <f>C9279+B9280</f>
        <v/>
      </c>
      <c r="D9280">
        <f>IF(B9280=1,INDEX('Data Entry'!$H$5:$BE$10004,9280-4,'Visual SPC'!$B$3),"")</f>
        <v/>
      </c>
      <c r="E9280">
        <f>IF(B9280=1,D9280,E9279)</f>
        <v/>
      </c>
      <c r="F9280">
        <f>IF(AND(B9280=1,C9280&gt;1,E9279&lt;&gt;""),ABS(D9280-E9279),"")</f>
        <v/>
      </c>
    </row>
    <row r="9281">
      <c r="A9281" t="n">
        <v>9281</v>
      </c>
      <c r="B9281">
        <f>IF(INDEX('Data Entry'!$H$5:$BE$10004,9281-4,'Visual SPC'!$B$3)="",0,IF(AND(OR('Visual SPC'!$C$4="",'Data Entry'!$C9281&gt;='Visual SPC'!$C$4),OR('Visual SPC'!$E$4="",'Data Entry'!$C9281&lt;='Visual SPC'!$E$4),OR('Visual SPC'!$G$4="",'Data Entry'!$D9281='Visual SPC'!$G$4),OR('Visual SPC'!$I$4="",'Data Entry'!$E9281='Visual SPC'!$I$4),OR('Visual SPC'!$K$4="",'Data Entry'!$F9281='Visual SPC'!$K$4)),1,0))</f>
        <v/>
      </c>
      <c r="C9281">
        <f>C9280+B9281</f>
        <v/>
      </c>
      <c r="D9281">
        <f>IF(B9281=1,INDEX('Data Entry'!$H$5:$BE$10004,9281-4,'Visual SPC'!$B$3),"")</f>
        <v/>
      </c>
      <c r="E9281">
        <f>IF(B9281=1,D9281,E9280)</f>
        <v/>
      </c>
      <c r="F9281">
        <f>IF(AND(B9281=1,C9281&gt;1,E9280&lt;&gt;""),ABS(D9281-E9280),"")</f>
        <v/>
      </c>
    </row>
    <row r="9282">
      <c r="A9282" t="n">
        <v>9282</v>
      </c>
      <c r="B9282">
        <f>IF(INDEX('Data Entry'!$H$5:$BE$10004,9282-4,'Visual SPC'!$B$3)="",0,IF(AND(OR('Visual SPC'!$C$4="",'Data Entry'!$C9282&gt;='Visual SPC'!$C$4),OR('Visual SPC'!$E$4="",'Data Entry'!$C9282&lt;='Visual SPC'!$E$4),OR('Visual SPC'!$G$4="",'Data Entry'!$D9282='Visual SPC'!$G$4),OR('Visual SPC'!$I$4="",'Data Entry'!$E9282='Visual SPC'!$I$4),OR('Visual SPC'!$K$4="",'Data Entry'!$F9282='Visual SPC'!$K$4)),1,0))</f>
        <v/>
      </c>
      <c r="C9282">
        <f>C9281+B9282</f>
        <v/>
      </c>
      <c r="D9282">
        <f>IF(B9282=1,INDEX('Data Entry'!$H$5:$BE$10004,9282-4,'Visual SPC'!$B$3),"")</f>
        <v/>
      </c>
      <c r="E9282">
        <f>IF(B9282=1,D9282,E9281)</f>
        <v/>
      </c>
      <c r="F9282">
        <f>IF(AND(B9282=1,C9282&gt;1,E9281&lt;&gt;""),ABS(D9282-E9281),"")</f>
        <v/>
      </c>
    </row>
    <row r="9283">
      <c r="A9283" t="n">
        <v>9283</v>
      </c>
      <c r="B9283">
        <f>IF(INDEX('Data Entry'!$H$5:$BE$10004,9283-4,'Visual SPC'!$B$3)="",0,IF(AND(OR('Visual SPC'!$C$4="",'Data Entry'!$C9283&gt;='Visual SPC'!$C$4),OR('Visual SPC'!$E$4="",'Data Entry'!$C9283&lt;='Visual SPC'!$E$4),OR('Visual SPC'!$G$4="",'Data Entry'!$D9283='Visual SPC'!$G$4),OR('Visual SPC'!$I$4="",'Data Entry'!$E9283='Visual SPC'!$I$4),OR('Visual SPC'!$K$4="",'Data Entry'!$F9283='Visual SPC'!$K$4)),1,0))</f>
        <v/>
      </c>
      <c r="C9283">
        <f>C9282+B9283</f>
        <v/>
      </c>
      <c r="D9283">
        <f>IF(B9283=1,INDEX('Data Entry'!$H$5:$BE$10004,9283-4,'Visual SPC'!$B$3),"")</f>
        <v/>
      </c>
      <c r="E9283">
        <f>IF(B9283=1,D9283,E9282)</f>
        <v/>
      </c>
      <c r="F9283">
        <f>IF(AND(B9283=1,C9283&gt;1,E9282&lt;&gt;""),ABS(D9283-E9282),"")</f>
        <v/>
      </c>
    </row>
    <row r="9284">
      <c r="A9284" t="n">
        <v>9284</v>
      </c>
      <c r="B9284">
        <f>IF(INDEX('Data Entry'!$H$5:$BE$10004,9284-4,'Visual SPC'!$B$3)="",0,IF(AND(OR('Visual SPC'!$C$4="",'Data Entry'!$C9284&gt;='Visual SPC'!$C$4),OR('Visual SPC'!$E$4="",'Data Entry'!$C9284&lt;='Visual SPC'!$E$4),OR('Visual SPC'!$G$4="",'Data Entry'!$D9284='Visual SPC'!$G$4),OR('Visual SPC'!$I$4="",'Data Entry'!$E9284='Visual SPC'!$I$4),OR('Visual SPC'!$K$4="",'Data Entry'!$F9284='Visual SPC'!$K$4)),1,0))</f>
        <v/>
      </c>
      <c r="C9284">
        <f>C9283+B9284</f>
        <v/>
      </c>
      <c r="D9284">
        <f>IF(B9284=1,INDEX('Data Entry'!$H$5:$BE$10004,9284-4,'Visual SPC'!$B$3),"")</f>
        <v/>
      </c>
      <c r="E9284">
        <f>IF(B9284=1,D9284,E9283)</f>
        <v/>
      </c>
      <c r="F9284">
        <f>IF(AND(B9284=1,C9284&gt;1,E9283&lt;&gt;""),ABS(D9284-E9283),"")</f>
        <v/>
      </c>
    </row>
    <row r="9285">
      <c r="A9285" t="n">
        <v>9285</v>
      </c>
      <c r="B9285">
        <f>IF(INDEX('Data Entry'!$H$5:$BE$10004,9285-4,'Visual SPC'!$B$3)="",0,IF(AND(OR('Visual SPC'!$C$4="",'Data Entry'!$C9285&gt;='Visual SPC'!$C$4),OR('Visual SPC'!$E$4="",'Data Entry'!$C9285&lt;='Visual SPC'!$E$4),OR('Visual SPC'!$G$4="",'Data Entry'!$D9285='Visual SPC'!$G$4),OR('Visual SPC'!$I$4="",'Data Entry'!$E9285='Visual SPC'!$I$4),OR('Visual SPC'!$K$4="",'Data Entry'!$F9285='Visual SPC'!$K$4)),1,0))</f>
        <v/>
      </c>
      <c r="C9285">
        <f>C9284+B9285</f>
        <v/>
      </c>
      <c r="D9285">
        <f>IF(B9285=1,INDEX('Data Entry'!$H$5:$BE$10004,9285-4,'Visual SPC'!$B$3),"")</f>
        <v/>
      </c>
      <c r="E9285">
        <f>IF(B9285=1,D9285,E9284)</f>
        <v/>
      </c>
      <c r="F9285">
        <f>IF(AND(B9285=1,C9285&gt;1,E9284&lt;&gt;""),ABS(D9285-E9284),"")</f>
        <v/>
      </c>
    </row>
    <row r="9286">
      <c r="A9286" t="n">
        <v>9286</v>
      </c>
      <c r="B9286">
        <f>IF(INDEX('Data Entry'!$H$5:$BE$10004,9286-4,'Visual SPC'!$B$3)="",0,IF(AND(OR('Visual SPC'!$C$4="",'Data Entry'!$C9286&gt;='Visual SPC'!$C$4),OR('Visual SPC'!$E$4="",'Data Entry'!$C9286&lt;='Visual SPC'!$E$4),OR('Visual SPC'!$G$4="",'Data Entry'!$D9286='Visual SPC'!$G$4),OR('Visual SPC'!$I$4="",'Data Entry'!$E9286='Visual SPC'!$I$4),OR('Visual SPC'!$K$4="",'Data Entry'!$F9286='Visual SPC'!$K$4)),1,0))</f>
        <v/>
      </c>
      <c r="C9286">
        <f>C9285+B9286</f>
        <v/>
      </c>
      <c r="D9286">
        <f>IF(B9286=1,INDEX('Data Entry'!$H$5:$BE$10004,9286-4,'Visual SPC'!$B$3),"")</f>
        <v/>
      </c>
      <c r="E9286">
        <f>IF(B9286=1,D9286,E9285)</f>
        <v/>
      </c>
      <c r="F9286">
        <f>IF(AND(B9286=1,C9286&gt;1,E9285&lt;&gt;""),ABS(D9286-E9285),"")</f>
        <v/>
      </c>
    </row>
    <row r="9287">
      <c r="A9287" t="n">
        <v>9287</v>
      </c>
      <c r="B9287">
        <f>IF(INDEX('Data Entry'!$H$5:$BE$10004,9287-4,'Visual SPC'!$B$3)="",0,IF(AND(OR('Visual SPC'!$C$4="",'Data Entry'!$C9287&gt;='Visual SPC'!$C$4),OR('Visual SPC'!$E$4="",'Data Entry'!$C9287&lt;='Visual SPC'!$E$4),OR('Visual SPC'!$G$4="",'Data Entry'!$D9287='Visual SPC'!$G$4),OR('Visual SPC'!$I$4="",'Data Entry'!$E9287='Visual SPC'!$I$4),OR('Visual SPC'!$K$4="",'Data Entry'!$F9287='Visual SPC'!$K$4)),1,0))</f>
        <v/>
      </c>
      <c r="C9287">
        <f>C9286+B9287</f>
        <v/>
      </c>
      <c r="D9287">
        <f>IF(B9287=1,INDEX('Data Entry'!$H$5:$BE$10004,9287-4,'Visual SPC'!$B$3),"")</f>
        <v/>
      </c>
      <c r="E9287">
        <f>IF(B9287=1,D9287,E9286)</f>
        <v/>
      </c>
      <c r="F9287">
        <f>IF(AND(B9287=1,C9287&gt;1,E9286&lt;&gt;""),ABS(D9287-E9286),"")</f>
        <v/>
      </c>
    </row>
    <row r="9288">
      <c r="A9288" t="n">
        <v>9288</v>
      </c>
      <c r="B9288">
        <f>IF(INDEX('Data Entry'!$H$5:$BE$10004,9288-4,'Visual SPC'!$B$3)="",0,IF(AND(OR('Visual SPC'!$C$4="",'Data Entry'!$C9288&gt;='Visual SPC'!$C$4),OR('Visual SPC'!$E$4="",'Data Entry'!$C9288&lt;='Visual SPC'!$E$4),OR('Visual SPC'!$G$4="",'Data Entry'!$D9288='Visual SPC'!$G$4),OR('Visual SPC'!$I$4="",'Data Entry'!$E9288='Visual SPC'!$I$4),OR('Visual SPC'!$K$4="",'Data Entry'!$F9288='Visual SPC'!$K$4)),1,0))</f>
        <v/>
      </c>
      <c r="C9288">
        <f>C9287+B9288</f>
        <v/>
      </c>
      <c r="D9288">
        <f>IF(B9288=1,INDEX('Data Entry'!$H$5:$BE$10004,9288-4,'Visual SPC'!$B$3),"")</f>
        <v/>
      </c>
      <c r="E9288">
        <f>IF(B9288=1,D9288,E9287)</f>
        <v/>
      </c>
      <c r="F9288">
        <f>IF(AND(B9288=1,C9288&gt;1,E9287&lt;&gt;""),ABS(D9288-E9287),"")</f>
        <v/>
      </c>
    </row>
    <row r="9289">
      <c r="A9289" t="n">
        <v>9289</v>
      </c>
      <c r="B9289">
        <f>IF(INDEX('Data Entry'!$H$5:$BE$10004,9289-4,'Visual SPC'!$B$3)="",0,IF(AND(OR('Visual SPC'!$C$4="",'Data Entry'!$C9289&gt;='Visual SPC'!$C$4),OR('Visual SPC'!$E$4="",'Data Entry'!$C9289&lt;='Visual SPC'!$E$4),OR('Visual SPC'!$G$4="",'Data Entry'!$D9289='Visual SPC'!$G$4),OR('Visual SPC'!$I$4="",'Data Entry'!$E9289='Visual SPC'!$I$4),OR('Visual SPC'!$K$4="",'Data Entry'!$F9289='Visual SPC'!$K$4)),1,0))</f>
        <v/>
      </c>
      <c r="C9289">
        <f>C9288+B9289</f>
        <v/>
      </c>
      <c r="D9289">
        <f>IF(B9289=1,INDEX('Data Entry'!$H$5:$BE$10004,9289-4,'Visual SPC'!$B$3),"")</f>
        <v/>
      </c>
      <c r="E9289">
        <f>IF(B9289=1,D9289,E9288)</f>
        <v/>
      </c>
      <c r="F9289">
        <f>IF(AND(B9289=1,C9289&gt;1,E9288&lt;&gt;""),ABS(D9289-E9288),"")</f>
        <v/>
      </c>
    </row>
    <row r="9290">
      <c r="A9290" t="n">
        <v>9290</v>
      </c>
      <c r="B9290">
        <f>IF(INDEX('Data Entry'!$H$5:$BE$10004,9290-4,'Visual SPC'!$B$3)="",0,IF(AND(OR('Visual SPC'!$C$4="",'Data Entry'!$C9290&gt;='Visual SPC'!$C$4),OR('Visual SPC'!$E$4="",'Data Entry'!$C9290&lt;='Visual SPC'!$E$4),OR('Visual SPC'!$G$4="",'Data Entry'!$D9290='Visual SPC'!$G$4),OR('Visual SPC'!$I$4="",'Data Entry'!$E9290='Visual SPC'!$I$4),OR('Visual SPC'!$K$4="",'Data Entry'!$F9290='Visual SPC'!$K$4)),1,0))</f>
        <v/>
      </c>
      <c r="C9290">
        <f>C9289+B9290</f>
        <v/>
      </c>
      <c r="D9290">
        <f>IF(B9290=1,INDEX('Data Entry'!$H$5:$BE$10004,9290-4,'Visual SPC'!$B$3),"")</f>
        <v/>
      </c>
      <c r="E9290">
        <f>IF(B9290=1,D9290,E9289)</f>
        <v/>
      </c>
      <c r="F9290">
        <f>IF(AND(B9290=1,C9290&gt;1,E9289&lt;&gt;""),ABS(D9290-E9289),"")</f>
        <v/>
      </c>
    </row>
    <row r="9291">
      <c r="A9291" t="n">
        <v>9291</v>
      </c>
      <c r="B9291">
        <f>IF(INDEX('Data Entry'!$H$5:$BE$10004,9291-4,'Visual SPC'!$B$3)="",0,IF(AND(OR('Visual SPC'!$C$4="",'Data Entry'!$C9291&gt;='Visual SPC'!$C$4),OR('Visual SPC'!$E$4="",'Data Entry'!$C9291&lt;='Visual SPC'!$E$4),OR('Visual SPC'!$G$4="",'Data Entry'!$D9291='Visual SPC'!$G$4),OR('Visual SPC'!$I$4="",'Data Entry'!$E9291='Visual SPC'!$I$4),OR('Visual SPC'!$K$4="",'Data Entry'!$F9291='Visual SPC'!$K$4)),1,0))</f>
        <v/>
      </c>
      <c r="C9291">
        <f>C9290+B9291</f>
        <v/>
      </c>
      <c r="D9291">
        <f>IF(B9291=1,INDEX('Data Entry'!$H$5:$BE$10004,9291-4,'Visual SPC'!$B$3),"")</f>
        <v/>
      </c>
      <c r="E9291">
        <f>IF(B9291=1,D9291,E9290)</f>
        <v/>
      </c>
      <c r="F9291">
        <f>IF(AND(B9291=1,C9291&gt;1,E9290&lt;&gt;""),ABS(D9291-E9290),"")</f>
        <v/>
      </c>
    </row>
    <row r="9292">
      <c r="A9292" t="n">
        <v>9292</v>
      </c>
      <c r="B9292">
        <f>IF(INDEX('Data Entry'!$H$5:$BE$10004,9292-4,'Visual SPC'!$B$3)="",0,IF(AND(OR('Visual SPC'!$C$4="",'Data Entry'!$C9292&gt;='Visual SPC'!$C$4),OR('Visual SPC'!$E$4="",'Data Entry'!$C9292&lt;='Visual SPC'!$E$4),OR('Visual SPC'!$G$4="",'Data Entry'!$D9292='Visual SPC'!$G$4),OR('Visual SPC'!$I$4="",'Data Entry'!$E9292='Visual SPC'!$I$4),OR('Visual SPC'!$K$4="",'Data Entry'!$F9292='Visual SPC'!$K$4)),1,0))</f>
        <v/>
      </c>
      <c r="C9292">
        <f>C9291+B9292</f>
        <v/>
      </c>
      <c r="D9292">
        <f>IF(B9292=1,INDEX('Data Entry'!$H$5:$BE$10004,9292-4,'Visual SPC'!$B$3),"")</f>
        <v/>
      </c>
      <c r="E9292">
        <f>IF(B9292=1,D9292,E9291)</f>
        <v/>
      </c>
      <c r="F9292">
        <f>IF(AND(B9292=1,C9292&gt;1,E9291&lt;&gt;""),ABS(D9292-E9291),"")</f>
        <v/>
      </c>
    </row>
    <row r="9293">
      <c r="A9293" t="n">
        <v>9293</v>
      </c>
      <c r="B9293">
        <f>IF(INDEX('Data Entry'!$H$5:$BE$10004,9293-4,'Visual SPC'!$B$3)="",0,IF(AND(OR('Visual SPC'!$C$4="",'Data Entry'!$C9293&gt;='Visual SPC'!$C$4),OR('Visual SPC'!$E$4="",'Data Entry'!$C9293&lt;='Visual SPC'!$E$4),OR('Visual SPC'!$G$4="",'Data Entry'!$D9293='Visual SPC'!$G$4),OR('Visual SPC'!$I$4="",'Data Entry'!$E9293='Visual SPC'!$I$4),OR('Visual SPC'!$K$4="",'Data Entry'!$F9293='Visual SPC'!$K$4)),1,0))</f>
        <v/>
      </c>
      <c r="C9293">
        <f>C9292+B9293</f>
        <v/>
      </c>
      <c r="D9293">
        <f>IF(B9293=1,INDEX('Data Entry'!$H$5:$BE$10004,9293-4,'Visual SPC'!$B$3),"")</f>
        <v/>
      </c>
      <c r="E9293">
        <f>IF(B9293=1,D9293,E9292)</f>
        <v/>
      </c>
      <c r="F9293">
        <f>IF(AND(B9293=1,C9293&gt;1,E9292&lt;&gt;""),ABS(D9293-E9292),"")</f>
        <v/>
      </c>
    </row>
    <row r="9294">
      <c r="A9294" t="n">
        <v>9294</v>
      </c>
      <c r="B9294">
        <f>IF(INDEX('Data Entry'!$H$5:$BE$10004,9294-4,'Visual SPC'!$B$3)="",0,IF(AND(OR('Visual SPC'!$C$4="",'Data Entry'!$C9294&gt;='Visual SPC'!$C$4),OR('Visual SPC'!$E$4="",'Data Entry'!$C9294&lt;='Visual SPC'!$E$4),OR('Visual SPC'!$G$4="",'Data Entry'!$D9294='Visual SPC'!$G$4),OR('Visual SPC'!$I$4="",'Data Entry'!$E9294='Visual SPC'!$I$4),OR('Visual SPC'!$K$4="",'Data Entry'!$F9294='Visual SPC'!$K$4)),1,0))</f>
        <v/>
      </c>
      <c r="C9294">
        <f>C9293+B9294</f>
        <v/>
      </c>
      <c r="D9294">
        <f>IF(B9294=1,INDEX('Data Entry'!$H$5:$BE$10004,9294-4,'Visual SPC'!$B$3),"")</f>
        <v/>
      </c>
      <c r="E9294">
        <f>IF(B9294=1,D9294,E9293)</f>
        <v/>
      </c>
      <c r="F9294">
        <f>IF(AND(B9294=1,C9294&gt;1,E9293&lt;&gt;""),ABS(D9294-E9293),"")</f>
        <v/>
      </c>
    </row>
    <row r="9295">
      <c r="A9295" t="n">
        <v>9295</v>
      </c>
      <c r="B9295">
        <f>IF(INDEX('Data Entry'!$H$5:$BE$10004,9295-4,'Visual SPC'!$B$3)="",0,IF(AND(OR('Visual SPC'!$C$4="",'Data Entry'!$C9295&gt;='Visual SPC'!$C$4),OR('Visual SPC'!$E$4="",'Data Entry'!$C9295&lt;='Visual SPC'!$E$4),OR('Visual SPC'!$G$4="",'Data Entry'!$D9295='Visual SPC'!$G$4),OR('Visual SPC'!$I$4="",'Data Entry'!$E9295='Visual SPC'!$I$4),OR('Visual SPC'!$K$4="",'Data Entry'!$F9295='Visual SPC'!$K$4)),1,0))</f>
        <v/>
      </c>
      <c r="C9295">
        <f>C9294+B9295</f>
        <v/>
      </c>
      <c r="D9295">
        <f>IF(B9295=1,INDEX('Data Entry'!$H$5:$BE$10004,9295-4,'Visual SPC'!$B$3),"")</f>
        <v/>
      </c>
      <c r="E9295">
        <f>IF(B9295=1,D9295,E9294)</f>
        <v/>
      </c>
      <c r="F9295">
        <f>IF(AND(B9295=1,C9295&gt;1,E9294&lt;&gt;""),ABS(D9295-E9294),"")</f>
        <v/>
      </c>
    </row>
    <row r="9296">
      <c r="A9296" t="n">
        <v>9296</v>
      </c>
      <c r="B9296">
        <f>IF(INDEX('Data Entry'!$H$5:$BE$10004,9296-4,'Visual SPC'!$B$3)="",0,IF(AND(OR('Visual SPC'!$C$4="",'Data Entry'!$C9296&gt;='Visual SPC'!$C$4),OR('Visual SPC'!$E$4="",'Data Entry'!$C9296&lt;='Visual SPC'!$E$4),OR('Visual SPC'!$G$4="",'Data Entry'!$D9296='Visual SPC'!$G$4),OR('Visual SPC'!$I$4="",'Data Entry'!$E9296='Visual SPC'!$I$4),OR('Visual SPC'!$K$4="",'Data Entry'!$F9296='Visual SPC'!$K$4)),1,0))</f>
        <v/>
      </c>
      <c r="C9296">
        <f>C9295+B9296</f>
        <v/>
      </c>
      <c r="D9296">
        <f>IF(B9296=1,INDEX('Data Entry'!$H$5:$BE$10004,9296-4,'Visual SPC'!$B$3),"")</f>
        <v/>
      </c>
      <c r="E9296">
        <f>IF(B9296=1,D9296,E9295)</f>
        <v/>
      </c>
      <c r="F9296">
        <f>IF(AND(B9296=1,C9296&gt;1,E9295&lt;&gt;""),ABS(D9296-E9295),"")</f>
        <v/>
      </c>
    </row>
    <row r="9297">
      <c r="A9297" t="n">
        <v>9297</v>
      </c>
      <c r="B9297">
        <f>IF(INDEX('Data Entry'!$H$5:$BE$10004,9297-4,'Visual SPC'!$B$3)="",0,IF(AND(OR('Visual SPC'!$C$4="",'Data Entry'!$C9297&gt;='Visual SPC'!$C$4),OR('Visual SPC'!$E$4="",'Data Entry'!$C9297&lt;='Visual SPC'!$E$4),OR('Visual SPC'!$G$4="",'Data Entry'!$D9297='Visual SPC'!$G$4),OR('Visual SPC'!$I$4="",'Data Entry'!$E9297='Visual SPC'!$I$4),OR('Visual SPC'!$K$4="",'Data Entry'!$F9297='Visual SPC'!$K$4)),1,0))</f>
        <v/>
      </c>
      <c r="C9297">
        <f>C9296+B9297</f>
        <v/>
      </c>
      <c r="D9297">
        <f>IF(B9297=1,INDEX('Data Entry'!$H$5:$BE$10004,9297-4,'Visual SPC'!$B$3),"")</f>
        <v/>
      </c>
      <c r="E9297">
        <f>IF(B9297=1,D9297,E9296)</f>
        <v/>
      </c>
      <c r="F9297">
        <f>IF(AND(B9297=1,C9297&gt;1,E9296&lt;&gt;""),ABS(D9297-E9296),"")</f>
        <v/>
      </c>
    </row>
    <row r="9298">
      <c r="A9298" t="n">
        <v>9298</v>
      </c>
      <c r="B9298">
        <f>IF(INDEX('Data Entry'!$H$5:$BE$10004,9298-4,'Visual SPC'!$B$3)="",0,IF(AND(OR('Visual SPC'!$C$4="",'Data Entry'!$C9298&gt;='Visual SPC'!$C$4),OR('Visual SPC'!$E$4="",'Data Entry'!$C9298&lt;='Visual SPC'!$E$4),OR('Visual SPC'!$G$4="",'Data Entry'!$D9298='Visual SPC'!$G$4),OR('Visual SPC'!$I$4="",'Data Entry'!$E9298='Visual SPC'!$I$4),OR('Visual SPC'!$K$4="",'Data Entry'!$F9298='Visual SPC'!$K$4)),1,0))</f>
        <v/>
      </c>
      <c r="C9298">
        <f>C9297+B9298</f>
        <v/>
      </c>
      <c r="D9298">
        <f>IF(B9298=1,INDEX('Data Entry'!$H$5:$BE$10004,9298-4,'Visual SPC'!$B$3),"")</f>
        <v/>
      </c>
      <c r="E9298">
        <f>IF(B9298=1,D9298,E9297)</f>
        <v/>
      </c>
      <c r="F9298">
        <f>IF(AND(B9298=1,C9298&gt;1,E9297&lt;&gt;""),ABS(D9298-E9297),"")</f>
        <v/>
      </c>
    </row>
    <row r="9299">
      <c r="A9299" t="n">
        <v>9299</v>
      </c>
      <c r="B9299">
        <f>IF(INDEX('Data Entry'!$H$5:$BE$10004,9299-4,'Visual SPC'!$B$3)="",0,IF(AND(OR('Visual SPC'!$C$4="",'Data Entry'!$C9299&gt;='Visual SPC'!$C$4),OR('Visual SPC'!$E$4="",'Data Entry'!$C9299&lt;='Visual SPC'!$E$4),OR('Visual SPC'!$G$4="",'Data Entry'!$D9299='Visual SPC'!$G$4),OR('Visual SPC'!$I$4="",'Data Entry'!$E9299='Visual SPC'!$I$4),OR('Visual SPC'!$K$4="",'Data Entry'!$F9299='Visual SPC'!$K$4)),1,0))</f>
        <v/>
      </c>
      <c r="C9299">
        <f>C9298+B9299</f>
        <v/>
      </c>
      <c r="D9299">
        <f>IF(B9299=1,INDEX('Data Entry'!$H$5:$BE$10004,9299-4,'Visual SPC'!$B$3),"")</f>
        <v/>
      </c>
      <c r="E9299">
        <f>IF(B9299=1,D9299,E9298)</f>
        <v/>
      </c>
      <c r="F9299">
        <f>IF(AND(B9299=1,C9299&gt;1,E9298&lt;&gt;""),ABS(D9299-E9298),"")</f>
        <v/>
      </c>
    </row>
    <row r="9300">
      <c r="A9300" t="n">
        <v>9300</v>
      </c>
      <c r="B9300">
        <f>IF(INDEX('Data Entry'!$H$5:$BE$10004,9300-4,'Visual SPC'!$B$3)="",0,IF(AND(OR('Visual SPC'!$C$4="",'Data Entry'!$C9300&gt;='Visual SPC'!$C$4),OR('Visual SPC'!$E$4="",'Data Entry'!$C9300&lt;='Visual SPC'!$E$4),OR('Visual SPC'!$G$4="",'Data Entry'!$D9300='Visual SPC'!$G$4),OR('Visual SPC'!$I$4="",'Data Entry'!$E9300='Visual SPC'!$I$4),OR('Visual SPC'!$K$4="",'Data Entry'!$F9300='Visual SPC'!$K$4)),1,0))</f>
        <v/>
      </c>
      <c r="C9300">
        <f>C9299+B9300</f>
        <v/>
      </c>
      <c r="D9300">
        <f>IF(B9300=1,INDEX('Data Entry'!$H$5:$BE$10004,9300-4,'Visual SPC'!$B$3),"")</f>
        <v/>
      </c>
      <c r="E9300">
        <f>IF(B9300=1,D9300,E9299)</f>
        <v/>
      </c>
      <c r="F9300">
        <f>IF(AND(B9300=1,C9300&gt;1,E9299&lt;&gt;""),ABS(D9300-E9299),"")</f>
        <v/>
      </c>
    </row>
    <row r="9301">
      <c r="A9301" t="n">
        <v>9301</v>
      </c>
      <c r="B9301">
        <f>IF(INDEX('Data Entry'!$H$5:$BE$10004,9301-4,'Visual SPC'!$B$3)="",0,IF(AND(OR('Visual SPC'!$C$4="",'Data Entry'!$C9301&gt;='Visual SPC'!$C$4),OR('Visual SPC'!$E$4="",'Data Entry'!$C9301&lt;='Visual SPC'!$E$4),OR('Visual SPC'!$G$4="",'Data Entry'!$D9301='Visual SPC'!$G$4),OR('Visual SPC'!$I$4="",'Data Entry'!$E9301='Visual SPC'!$I$4),OR('Visual SPC'!$K$4="",'Data Entry'!$F9301='Visual SPC'!$K$4)),1,0))</f>
        <v/>
      </c>
      <c r="C9301">
        <f>C9300+B9301</f>
        <v/>
      </c>
      <c r="D9301">
        <f>IF(B9301=1,INDEX('Data Entry'!$H$5:$BE$10004,9301-4,'Visual SPC'!$B$3),"")</f>
        <v/>
      </c>
      <c r="E9301">
        <f>IF(B9301=1,D9301,E9300)</f>
        <v/>
      </c>
      <c r="F9301">
        <f>IF(AND(B9301=1,C9301&gt;1,E9300&lt;&gt;""),ABS(D9301-E9300),"")</f>
        <v/>
      </c>
    </row>
    <row r="9302">
      <c r="A9302" t="n">
        <v>9302</v>
      </c>
      <c r="B9302">
        <f>IF(INDEX('Data Entry'!$H$5:$BE$10004,9302-4,'Visual SPC'!$B$3)="",0,IF(AND(OR('Visual SPC'!$C$4="",'Data Entry'!$C9302&gt;='Visual SPC'!$C$4),OR('Visual SPC'!$E$4="",'Data Entry'!$C9302&lt;='Visual SPC'!$E$4),OR('Visual SPC'!$G$4="",'Data Entry'!$D9302='Visual SPC'!$G$4),OR('Visual SPC'!$I$4="",'Data Entry'!$E9302='Visual SPC'!$I$4),OR('Visual SPC'!$K$4="",'Data Entry'!$F9302='Visual SPC'!$K$4)),1,0))</f>
        <v/>
      </c>
      <c r="C9302">
        <f>C9301+B9302</f>
        <v/>
      </c>
      <c r="D9302">
        <f>IF(B9302=1,INDEX('Data Entry'!$H$5:$BE$10004,9302-4,'Visual SPC'!$B$3),"")</f>
        <v/>
      </c>
      <c r="E9302">
        <f>IF(B9302=1,D9302,E9301)</f>
        <v/>
      </c>
      <c r="F9302">
        <f>IF(AND(B9302=1,C9302&gt;1,E9301&lt;&gt;""),ABS(D9302-E9301),"")</f>
        <v/>
      </c>
    </row>
    <row r="9303">
      <c r="A9303" t="n">
        <v>9303</v>
      </c>
      <c r="B9303">
        <f>IF(INDEX('Data Entry'!$H$5:$BE$10004,9303-4,'Visual SPC'!$B$3)="",0,IF(AND(OR('Visual SPC'!$C$4="",'Data Entry'!$C9303&gt;='Visual SPC'!$C$4),OR('Visual SPC'!$E$4="",'Data Entry'!$C9303&lt;='Visual SPC'!$E$4),OR('Visual SPC'!$G$4="",'Data Entry'!$D9303='Visual SPC'!$G$4),OR('Visual SPC'!$I$4="",'Data Entry'!$E9303='Visual SPC'!$I$4),OR('Visual SPC'!$K$4="",'Data Entry'!$F9303='Visual SPC'!$K$4)),1,0))</f>
        <v/>
      </c>
      <c r="C9303">
        <f>C9302+B9303</f>
        <v/>
      </c>
      <c r="D9303">
        <f>IF(B9303=1,INDEX('Data Entry'!$H$5:$BE$10004,9303-4,'Visual SPC'!$B$3),"")</f>
        <v/>
      </c>
      <c r="E9303">
        <f>IF(B9303=1,D9303,E9302)</f>
        <v/>
      </c>
      <c r="F9303">
        <f>IF(AND(B9303=1,C9303&gt;1,E9302&lt;&gt;""),ABS(D9303-E9302),"")</f>
        <v/>
      </c>
    </row>
    <row r="9304">
      <c r="A9304" t="n">
        <v>9304</v>
      </c>
      <c r="B9304">
        <f>IF(INDEX('Data Entry'!$H$5:$BE$10004,9304-4,'Visual SPC'!$B$3)="",0,IF(AND(OR('Visual SPC'!$C$4="",'Data Entry'!$C9304&gt;='Visual SPC'!$C$4),OR('Visual SPC'!$E$4="",'Data Entry'!$C9304&lt;='Visual SPC'!$E$4),OR('Visual SPC'!$G$4="",'Data Entry'!$D9304='Visual SPC'!$G$4),OR('Visual SPC'!$I$4="",'Data Entry'!$E9304='Visual SPC'!$I$4),OR('Visual SPC'!$K$4="",'Data Entry'!$F9304='Visual SPC'!$K$4)),1,0))</f>
        <v/>
      </c>
      <c r="C9304">
        <f>C9303+B9304</f>
        <v/>
      </c>
      <c r="D9304">
        <f>IF(B9304=1,INDEX('Data Entry'!$H$5:$BE$10004,9304-4,'Visual SPC'!$B$3),"")</f>
        <v/>
      </c>
      <c r="E9304">
        <f>IF(B9304=1,D9304,E9303)</f>
        <v/>
      </c>
      <c r="F9304">
        <f>IF(AND(B9304=1,C9304&gt;1,E9303&lt;&gt;""),ABS(D9304-E9303),"")</f>
        <v/>
      </c>
    </row>
    <row r="9305">
      <c r="A9305" t="n">
        <v>9305</v>
      </c>
      <c r="B9305">
        <f>IF(INDEX('Data Entry'!$H$5:$BE$10004,9305-4,'Visual SPC'!$B$3)="",0,IF(AND(OR('Visual SPC'!$C$4="",'Data Entry'!$C9305&gt;='Visual SPC'!$C$4),OR('Visual SPC'!$E$4="",'Data Entry'!$C9305&lt;='Visual SPC'!$E$4),OR('Visual SPC'!$G$4="",'Data Entry'!$D9305='Visual SPC'!$G$4),OR('Visual SPC'!$I$4="",'Data Entry'!$E9305='Visual SPC'!$I$4),OR('Visual SPC'!$K$4="",'Data Entry'!$F9305='Visual SPC'!$K$4)),1,0))</f>
        <v/>
      </c>
      <c r="C9305">
        <f>C9304+B9305</f>
        <v/>
      </c>
      <c r="D9305">
        <f>IF(B9305=1,INDEX('Data Entry'!$H$5:$BE$10004,9305-4,'Visual SPC'!$B$3),"")</f>
        <v/>
      </c>
      <c r="E9305">
        <f>IF(B9305=1,D9305,E9304)</f>
        <v/>
      </c>
      <c r="F9305">
        <f>IF(AND(B9305=1,C9305&gt;1,E9304&lt;&gt;""),ABS(D9305-E9304),"")</f>
        <v/>
      </c>
    </row>
    <row r="9306">
      <c r="A9306" t="n">
        <v>9306</v>
      </c>
      <c r="B9306">
        <f>IF(INDEX('Data Entry'!$H$5:$BE$10004,9306-4,'Visual SPC'!$B$3)="",0,IF(AND(OR('Visual SPC'!$C$4="",'Data Entry'!$C9306&gt;='Visual SPC'!$C$4),OR('Visual SPC'!$E$4="",'Data Entry'!$C9306&lt;='Visual SPC'!$E$4),OR('Visual SPC'!$G$4="",'Data Entry'!$D9306='Visual SPC'!$G$4),OR('Visual SPC'!$I$4="",'Data Entry'!$E9306='Visual SPC'!$I$4),OR('Visual SPC'!$K$4="",'Data Entry'!$F9306='Visual SPC'!$K$4)),1,0))</f>
        <v/>
      </c>
      <c r="C9306">
        <f>C9305+B9306</f>
        <v/>
      </c>
      <c r="D9306">
        <f>IF(B9306=1,INDEX('Data Entry'!$H$5:$BE$10004,9306-4,'Visual SPC'!$B$3),"")</f>
        <v/>
      </c>
      <c r="E9306">
        <f>IF(B9306=1,D9306,E9305)</f>
        <v/>
      </c>
      <c r="F9306">
        <f>IF(AND(B9306=1,C9306&gt;1,E9305&lt;&gt;""),ABS(D9306-E9305),"")</f>
        <v/>
      </c>
    </row>
    <row r="9307">
      <c r="A9307" t="n">
        <v>9307</v>
      </c>
      <c r="B9307">
        <f>IF(INDEX('Data Entry'!$H$5:$BE$10004,9307-4,'Visual SPC'!$B$3)="",0,IF(AND(OR('Visual SPC'!$C$4="",'Data Entry'!$C9307&gt;='Visual SPC'!$C$4),OR('Visual SPC'!$E$4="",'Data Entry'!$C9307&lt;='Visual SPC'!$E$4),OR('Visual SPC'!$G$4="",'Data Entry'!$D9307='Visual SPC'!$G$4),OR('Visual SPC'!$I$4="",'Data Entry'!$E9307='Visual SPC'!$I$4),OR('Visual SPC'!$K$4="",'Data Entry'!$F9307='Visual SPC'!$K$4)),1,0))</f>
        <v/>
      </c>
      <c r="C9307">
        <f>C9306+B9307</f>
        <v/>
      </c>
      <c r="D9307">
        <f>IF(B9307=1,INDEX('Data Entry'!$H$5:$BE$10004,9307-4,'Visual SPC'!$B$3),"")</f>
        <v/>
      </c>
      <c r="E9307">
        <f>IF(B9307=1,D9307,E9306)</f>
        <v/>
      </c>
      <c r="F9307">
        <f>IF(AND(B9307=1,C9307&gt;1,E9306&lt;&gt;""),ABS(D9307-E9306),"")</f>
        <v/>
      </c>
    </row>
    <row r="9308">
      <c r="A9308" t="n">
        <v>9308</v>
      </c>
      <c r="B9308">
        <f>IF(INDEX('Data Entry'!$H$5:$BE$10004,9308-4,'Visual SPC'!$B$3)="",0,IF(AND(OR('Visual SPC'!$C$4="",'Data Entry'!$C9308&gt;='Visual SPC'!$C$4),OR('Visual SPC'!$E$4="",'Data Entry'!$C9308&lt;='Visual SPC'!$E$4),OR('Visual SPC'!$G$4="",'Data Entry'!$D9308='Visual SPC'!$G$4),OR('Visual SPC'!$I$4="",'Data Entry'!$E9308='Visual SPC'!$I$4),OR('Visual SPC'!$K$4="",'Data Entry'!$F9308='Visual SPC'!$K$4)),1,0))</f>
        <v/>
      </c>
      <c r="C9308">
        <f>C9307+B9308</f>
        <v/>
      </c>
      <c r="D9308">
        <f>IF(B9308=1,INDEX('Data Entry'!$H$5:$BE$10004,9308-4,'Visual SPC'!$B$3),"")</f>
        <v/>
      </c>
      <c r="E9308">
        <f>IF(B9308=1,D9308,E9307)</f>
        <v/>
      </c>
      <c r="F9308">
        <f>IF(AND(B9308=1,C9308&gt;1,E9307&lt;&gt;""),ABS(D9308-E9307),"")</f>
        <v/>
      </c>
    </row>
    <row r="9309">
      <c r="A9309" t="n">
        <v>9309</v>
      </c>
      <c r="B9309">
        <f>IF(INDEX('Data Entry'!$H$5:$BE$10004,9309-4,'Visual SPC'!$B$3)="",0,IF(AND(OR('Visual SPC'!$C$4="",'Data Entry'!$C9309&gt;='Visual SPC'!$C$4),OR('Visual SPC'!$E$4="",'Data Entry'!$C9309&lt;='Visual SPC'!$E$4),OR('Visual SPC'!$G$4="",'Data Entry'!$D9309='Visual SPC'!$G$4),OR('Visual SPC'!$I$4="",'Data Entry'!$E9309='Visual SPC'!$I$4),OR('Visual SPC'!$K$4="",'Data Entry'!$F9309='Visual SPC'!$K$4)),1,0))</f>
        <v/>
      </c>
      <c r="C9309">
        <f>C9308+B9309</f>
        <v/>
      </c>
      <c r="D9309">
        <f>IF(B9309=1,INDEX('Data Entry'!$H$5:$BE$10004,9309-4,'Visual SPC'!$B$3),"")</f>
        <v/>
      </c>
      <c r="E9309">
        <f>IF(B9309=1,D9309,E9308)</f>
        <v/>
      </c>
      <c r="F9309">
        <f>IF(AND(B9309=1,C9309&gt;1,E9308&lt;&gt;""),ABS(D9309-E9308),"")</f>
        <v/>
      </c>
    </row>
    <row r="9310">
      <c r="A9310" t="n">
        <v>9310</v>
      </c>
      <c r="B9310">
        <f>IF(INDEX('Data Entry'!$H$5:$BE$10004,9310-4,'Visual SPC'!$B$3)="",0,IF(AND(OR('Visual SPC'!$C$4="",'Data Entry'!$C9310&gt;='Visual SPC'!$C$4),OR('Visual SPC'!$E$4="",'Data Entry'!$C9310&lt;='Visual SPC'!$E$4),OR('Visual SPC'!$G$4="",'Data Entry'!$D9310='Visual SPC'!$G$4),OR('Visual SPC'!$I$4="",'Data Entry'!$E9310='Visual SPC'!$I$4),OR('Visual SPC'!$K$4="",'Data Entry'!$F9310='Visual SPC'!$K$4)),1,0))</f>
        <v/>
      </c>
      <c r="C9310">
        <f>C9309+B9310</f>
        <v/>
      </c>
      <c r="D9310">
        <f>IF(B9310=1,INDEX('Data Entry'!$H$5:$BE$10004,9310-4,'Visual SPC'!$B$3),"")</f>
        <v/>
      </c>
      <c r="E9310">
        <f>IF(B9310=1,D9310,E9309)</f>
        <v/>
      </c>
      <c r="F9310">
        <f>IF(AND(B9310=1,C9310&gt;1,E9309&lt;&gt;""),ABS(D9310-E9309),"")</f>
        <v/>
      </c>
    </row>
    <row r="9311">
      <c r="A9311" t="n">
        <v>9311</v>
      </c>
      <c r="B9311">
        <f>IF(INDEX('Data Entry'!$H$5:$BE$10004,9311-4,'Visual SPC'!$B$3)="",0,IF(AND(OR('Visual SPC'!$C$4="",'Data Entry'!$C9311&gt;='Visual SPC'!$C$4),OR('Visual SPC'!$E$4="",'Data Entry'!$C9311&lt;='Visual SPC'!$E$4),OR('Visual SPC'!$G$4="",'Data Entry'!$D9311='Visual SPC'!$G$4),OR('Visual SPC'!$I$4="",'Data Entry'!$E9311='Visual SPC'!$I$4),OR('Visual SPC'!$K$4="",'Data Entry'!$F9311='Visual SPC'!$K$4)),1,0))</f>
        <v/>
      </c>
      <c r="C9311">
        <f>C9310+B9311</f>
        <v/>
      </c>
      <c r="D9311">
        <f>IF(B9311=1,INDEX('Data Entry'!$H$5:$BE$10004,9311-4,'Visual SPC'!$B$3),"")</f>
        <v/>
      </c>
      <c r="E9311">
        <f>IF(B9311=1,D9311,E9310)</f>
        <v/>
      </c>
      <c r="F9311">
        <f>IF(AND(B9311=1,C9311&gt;1,E9310&lt;&gt;""),ABS(D9311-E9310),"")</f>
        <v/>
      </c>
    </row>
    <row r="9312">
      <c r="A9312" t="n">
        <v>9312</v>
      </c>
      <c r="B9312">
        <f>IF(INDEX('Data Entry'!$H$5:$BE$10004,9312-4,'Visual SPC'!$B$3)="",0,IF(AND(OR('Visual SPC'!$C$4="",'Data Entry'!$C9312&gt;='Visual SPC'!$C$4),OR('Visual SPC'!$E$4="",'Data Entry'!$C9312&lt;='Visual SPC'!$E$4),OR('Visual SPC'!$G$4="",'Data Entry'!$D9312='Visual SPC'!$G$4),OR('Visual SPC'!$I$4="",'Data Entry'!$E9312='Visual SPC'!$I$4),OR('Visual SPC'!$K$4="",'Data Entry'!$F9312='Visual SPC'!$K$4)),1,0))</f>
        <v/>
      </c>
      <c r="C9312">
        <f>C9311+B9312</f>
        <v/>
      </c>
      <c r="D9312">
        <f>IF(B9312=1,INDEX('Data Entry'!$H$5:$BE$10004,9312-4,'Visual SPC'!$B$3),"")</f>
        <v/>
      </c>
      <c r="E9312">
        <f>IF(B9312=1,D9312,E9311)</f>
        <v/>
      </c>
      <c r="F9312">
        <f>IF(AND(B9312=1,C9312&gt;1,E9311&lt;&gt;""),ABS(D9312-E9311),"")</f>
        <v/>
      </c>
    </row>
    <row r="9313">
      <c r="A9313" t="n">
        <v>9313</v>
      </c>
      <c r="B9313">
        <f>IF(INDEX('Data Entry'!$H$5:$BE$10004,9313-4,'Visual SPC'!$B$3)="",0,IF(AND(OR('Visual SPC'!$C$4="",'Data Entry'!$C9313&gt;='Visual SPC'!$C$4),OR('Visual SPC'!$E$4="",'Data Entry'!$C9313&lt;='Visual SPC'!$E$4),OR('Visual SPC'!$G$4="",'Data Entry'!$D9313='Visual SPC'!$G$4),OR('Visual SPC'!$I$4="",'Data Entry'!$E9313='Visual SPC'!$I$4),OR('Visual SPC'!$K$4="",'Data Entry'!$F9313='Visual SPC'!$K$4)),1,0))</f>
        <v/>
      </c>
      <c r="C9313">
        <f>C9312+B9313</f>
        <v/>
      </c>
      <c r="D9313">
        <f>IF(B9313=1,INDEX('Data Entry'!$H$5:$BE$10004,9313-4,'Visual SPC'!$B$3),"")</f>
        <v/>
      </c>
      <c r="E9313">
        <f>IF(B9313=1,D9313,E9312)</f>
        <v/>
      </c>
      <c r="F9313">
        <f>IF(AND(B9313=1,C9313&gt;1,E9312&lt;&gt;""),ABS(D9313-E9312),"")</f>
        <v/>
      </c>
    </row>
    <row r="9314">
      <c r="A9314" t="n">
        <v>9314</v>
      </c>
      <c r="B9314">
        <f>IF(INDEX('Data Entry'!$H$5:$BE$10004,9314-4,'Visual SPC'!$B$3)="",0,IF(AND(OR('Visual SPC'!$C$4="",'Data Entry'!$C9314&gt;='Visual SPC'!$C$4),OR('Visual SPC'!$E$4="",'Data Entry'!$C9314&lt;='Visual SPC'!$E$4),OR('Visual SPC'!$G$4="",'Data Entry'!$D9314='Visual SPC'!$G$4),OR('Visual SPC'!$I$4="",'Data Entry'!$E9314='Visual SPC'!$I$4),OR('Visual SPC'!$K$4="",'Data Entry'!$F9314='Visual SPC'!$K$4)),1,0))</f>
        <v/>
      </c>
      <c r="C9314">
        <f>C9313+B9314</f>
        <v/>
      </c>
      <c r="D9314">
        <f>IF(B9314=1,INDEX('Data Entry'!$H$5:$BE$10004,9314-4,'Visual SPC'!$B$3),"")</f>
        <v/>
      </c>
      <c r="E9314">
        <f>IF(B9314=1,D9314,E9313)</f>
        <v/>
      </c>
      <c r="F9314">
        <f>IF(AND(B9314=1,C9314&gt;1,E9313&lt;&gt;""),ABS(D9314-E9313),"")</f>
        <v/>
      </c>
    </row>
    <row r="9315">
      <c r="A9315" t="n">
        <v>9315</v>
      </c>
      <c r="B9315">
        <f>IF(INDEX('Data Entry'!$H$5:$BE$10004,9315-4,'Visual SPC'!$B$3)="",0,IF(AND(OR('Visual SPC'!$C$4="",'Data Entry'!$C9315&gt;='Visual SPC'!$C$4),OR('Visual SPC'!$E$4="",'Data Entry'!$C9315&lt;='Visual SPC'!$E$4),OR('Visual SPC'!$G$4="",'Data Entry'!$D9315='Visual SPC'!$G$4),OR('Visual SPC'!$I$4="",'Data Entry'!$E9315='Visual SPC'!$I$4),OR('Visual SPC'!$K$4="",'Data Entry'!$F9315='Visual SPC'!$K$4)),1,0))</f>
        <v/>
      </c>
      <c r="C9315">
        <f>C9314+B9315</f>
        <v/>
      </c>
      <c r="D9315">
        <f>IF(B9315=1,INDEX('Data Entry'!$H$5:$BE$10004,9315-4,'Visual SPC'!$B$3),"")</f>
        <v/>
      </c>
      <c r="E9315">
        <f>IF(B9315=1,D9315,E9314)</f>
        <v/>
      </c>
      <c r="F9315">
        <f>IF(AND(B9315=1,C9315&gt;1,E9314&lt;&gt;""),ABS(D9315-E9314),"")</f>
        <v/>
      </c>
    </row>
    <row r="9316">
      <c r="A9316" t="n">
        <v>9316</v>
      </c>
      <c r="B9316">
        <f>IF(INDEX('Data Entry'!$H$5:$BE$10004,9316-4,'Visual SPC'!$B$3)="",0,IF(AND(OR('Visual SPC'!$C$4="",'Data Entry'!$C9316&gt;='Visual SPC'!$C$4),OR('Visual SPC'!$E$4="",'Data Entry'!$C9316&lt;='Visual SPC'!$E$4),OR('Visual SPC'!$G$4="",'Data Entry'!$D9316='Visual SPC'!$G$4),OR('Visual SPC'!$I$4="",'Data Entry'!$E9316='Visual SPC'!$I$4),OR('Visual SPC'!$K$4="",'Data Entry'!$F9316='Visual SPC'!$K$4)),1,0))</f>
        <v/>
      </c>
      <c r="C9316">
        <f>C9315+B9316</f>
        <v/>
      </c>
      <c r="D9316">
        <f>IF(B9316=1,INDEX('Data Entry'!$H$5:$BE$10004,9316-4,'Visual SPC'!$B$3),"")</f>
        <v/>
      </c>
      <c r="E9316">
        <f>IF(B9316=1,D9316,E9315)</f>
        <v/>
      </c>
      <c r="F9316">
        <f>IF(AND(B9316=1,C9316&gt;1,E9315&lt;&gt;""),ABS(D9316-E9315),"")</f>
        <v/>
      </c>
    </row>
    <row r="9317">
      <c r="A9317" t="n">
        <v>9317</v>
      </c>
      <c r="B9317">
        <f>IF(INDEX('Data Entry'!$H$5:$BE$10004,9317-4,'Visual SPC'!$B$3)="",0,IF(AND(OR('Visual SPC'!$C$4="",'Data Entry'!$C9317&gt;='Visual SPC'!$C$4),OR('Visual SPC'!$E$4="",'Data Entry'!$C9317&lt;='Visual SPC'!$E$4),OR('Visual SPC'!$G$4="",'Data Entry'!$D9317='Visual SPC'!$G$4),OR('Visual SPC'!$I$4="",'Data Entry'!$E9317='Visual SPC'!$I$4),OR('Visual SPC'!$K$4="",'Data Entry'!$F9317='Visual SPC'!$K$4)),1,0))</f>
        <v/>
      </c>
      <c r="C9317">
        <f>C9316+B9317</f>
        <v/>
      </c>
      <c r="D9317">
        <f>IF(B9317=1,INDEX('Data Entry'!$H$5:$BE$10004,9317-4,'Visual SPC'!$B$3),"")</f>
        <v/>
      </c>
      <c r="E9317">
        <f>IF(B9317=1,D9317,E9316)</f>
        <v/>
      </c>
      <c r="F9317">
        <f>IF(AND(B9317=1,C9317&gt;1,E9316&lt;&gt;""),ABS(D9317-E9316),"")</f>
        <v/>
      </c>
    </row>
    <row r="9318">
      <c r="A9318" t="n">
        <v>9318</v>
      </c>
      <c r="B9318">
        <f>IF(INDEX('Data Entry'!$H$5:$BE$10004,9318-4,'Visual SPC'!$B$3)="",0,IF(AND(OR('Visual SPC'!$C$4="",'Data Entry'!$C9318&gt;='Visual SPC'!$C$4),OR('Visual SPC'!$E$4="",'Data Entry'!$C9318&lt;='Visual SPC'!$E$4),OR('Visual SPC'!$G$4="",'Data Entry'!$D9318='Visual SPC'!$G$4),OR('Visual SPC'!$I$4="",'Data Entry'!$E9318='Visual SPC'!$I$4),OR('Visual SPC'!$K$4="",'Data Entry'!$F9318='Visual SPC'!$K$4)),1,0))</f>
        <v/>
      </c>
      <c r="C9318">
        <f>C9317+B9318</f>
        <v/>
      </c>
      <c r="D9318">
        <f>IF(B9318=1,INDEX('Data Entry'!$H$5:$BE$10004,9318-4,'Visual SPC'!$B$3),"")</f>
        <v/>
      </c>
      <c r="E9318">
        <f>IF(B9318=1,D9318,E9317)</f>
        <v/>
      </c>
      <c r="F9318">
        <f>IF(AND(B9318=1,C9318&gt;1,E9317&lt;&gt;""),ABS(D9318-E9317),"")</f>
        <v/>
      </c>
    </row>
    <row r="9319">
      <c r="A9319" t="n">
        <v>9319</v>
      </c>
      <c r="B9319">
        <f>IF(INDEX('Data Entry'!$H$5:$BE$10004,9319-4,'Visual SPC'!$B$3)="",0,IF(AND(OR('Visual SPC'!$C$4="",'Data Entry'!$C9319&gt;='Visual SPC'!$C$4),OR('Visual SPC'!$E$4="",'Data Entry'!$C9319&lt;='Visual SPC'!$E$4),OR('Visual SPC'!$G$4="",'Data Entry'!$D9319='Visual SPC'!$G$4),OR('Visual SPC'!$I$4="",'Data Entry'!$E9319='Visual SPC'!$I$4),OR('Visual SPC'!$K$4="",'Data Entry'!$F9319='Visual SPC'!$K$4)),1,0))</f>
        <v/>
      </c>
      <c r="C9319">
        <f>C9318+B9319</f>
        <v/>
      </c>
      <c r="D9319">
        <f>IF(B9319=1,INDEX('Data Entry'!$H$5:$BE$10004,9319-4,'Visual SPC'!$B$3),"")</f>
        <v/>
      </c>
      <c r="E9319">
        <f>IF(B9319=1,D9319,E9318)</f>
        <v/>
      </c>
      <c r="F9319">
        <f>IF(AND(B9319=1,C9319&gt;1,E9318&lt;&gt;""),ABS(D9319-E9318),"")</f>
        <v/>
      </c>
    </row>
    <row r="9320">
      <c r="A9320" t="n">
        <v>9320</v>
      </c>
      <c r="B9320">
        <f>IF(INDEX('Data Entry'!$H$5:$BE$10004,9320-4,'Visual SPC'!$B$3)="",0,IF(AND(OR('Visual SPC'!$C$4="",'Data Entry'!$C9320&gt;='Visual SPC'!$C$4),OR('Visual SPC'!$E$4="",'Data Entry'!$C9320&lt;='Visual SPC'!$E$4),OR('Visual SPC'!$G$4="",'Data Entry'!$D9320='Visual SPC'!$G$4),OR('Visual SPC'!$I$4="",'Data Entry'!$E9320='Visual SPC'!$I$4),OR('Visual SPC'!$K$4="",'Data Entry'!$F9320='Visual SPC'!$K$4)),1,0))</f>
        <v/>
      </c>
      <c r="C9320">
        <f>C9319+B9320</f>
        <v/>
      </c>
      <c r="D9320">
        <f>IF(B9320=1,INDEX('Data Entry'!$H$5:$BE$10004,9320-4,'Visual SPC'!$B$3),"")</f>
        <v/>
      </c>
      <c r="E9320">
        <f>IF(B9320=1,D9320,E9319)</f>
        <v/>
      </c>
      <c r="F9320">
        <f>IF(AND(B9320=1,C9320&gt;1,E9319&lt;&gt;""),ABS(D9320-E9319),"")</f>
        <v/>
      </c>
    </row>
    <row r="9321">
      <c r="A9321" t="n">
        <v>9321</v>
      </c>
      <c r="B9321">
        <f>IF(INDEX('Data Entry'!$H$5:$BE$10004,9321-4,'Visual SPC'!$B$3)="",0,IF(AND(OR('Visual SPC'!$C$4="",'Data Entry'!$C9321&gt;='Visual SPC'!$C$4),OR('Visual SPC'!$E$4="",'Data Entry'!$C9321&lt;='Visual SPC'!$E$4),OR('Visual SPC'!$G$4="",'Data Entry'!$D9321='Visual SPC'!$G$4),OR('Visual SPC'!$I$4="",'Data Entry'!$E9321='Visual SPC'!$I$4),OR('Visual SPC'!$K$4="",'Data Entry'!$F9321='Visual SPC'!$K$4)),1,0))</f>
        <v/>
      </c>
      <c r="C9321">
        <f>C9320+B9321</f>
        <v/>
      </c>
      <c r="D9321">
        <f>IF(B9321=1,INDEX('Data Entry'!$H$5:$BE$10004,9321-4,'Visual SPC'!$B$3),"")</f>
        <v/>
      </c>
      <c r="E9321">
        <f>IF(B9321=1,D9321,E9320)</f>
        <v/>
      </c>
      <c r="F9321">
        <f>IF(AND(B9321=1,C9321&gt;1,E9320&lt;&gt;""),ABS(D9321-E9320),"")</f>
        <v/>
      </c>
    </row>
    <row r="9322">
      <c r="A9322" t="n">
        <v>9322</v>
      </c>
      <c r="B9322">
        <f>IF(INDEX('Data Entry'!$H$5:$BE$10004,9322-4,'Visual SPC'!$B$3)="",0,IF(AND(OR('Visual SPC'!$C$4="",'Data Entry'!$C9322&gt;='Visual SPC'!$C$4),OR('Visual SPC'!$E$4="",'Data Entry'!$C9322&lt;='Visual SPC'!$E$4),OR('Visual SPC'!$G$4="",'Data Entry'!$D9322='Visual SPC'!$G$4),OR('Visual SPC'!$I$4="",'Data Entry'!$E9322='Visual SPC'!$I$4),OR('Visual SPC'!$K$4="",'Data Entry'!$F9322='Visual SPC'!$K$4)),1,0))</f>
        <v/>
      </c>
      <c r="C9322">
        <f>C9321+B9322</f>
        <v/>
      </c>
      <c r="D9322">
        <f>IF(B9322=1,INDEX('Data Entry'!$H$5:$BE$10004,9322-4,'Visual SPC'!$B$3),"")</f>
        <v/>
      </c>
      <c r="E9322">
        <f>IF(B9322=1,D9322,E9321)</f>
        <v/>
      </c>
      <c r="F9322">
        <f>IF(AND(B9322=1,C9322&gt;1,E9321&lt;&gt;""),ABS(D9322-E9321),"")</f>
        <v/>
      </c>
    </row>
    <row r="9323">
      <c r="A9323" t="n">
        <v>9323</v>
      </c>
      <c r="B9323">
        <f>IF(INDEX('Data Entry'!$H$5:$BE$10004,9323-4,'Visual SPC'!$B$3)="",0,IF(AND(OR('Visual SPC'!$C$4="",'Data Entry'!$C9323&gt;='Visual SPC'!$C$4),OR('Visual SPC'!$E$4="",'Data Entry'!$C9323&lt;='Visual SPC'!$E$4),OR('Visual SPC'!$G$4="",'Data Entry'!$D9323='Visual SPC'!$G$4),OR('Visual SPC'!$I$4="",'Data Entry'!$E9323='Visual SPC'!$I$4),OR('Visual SPC'!$K$4="",'Data Entry'!$F9323='Visual SPC'!$K$4)),1,0))</f>
        <v/>
      </c>
      <c r="C9323">
        <f>C9322+B9323</f>
        <v/>
      </c>
      <c r="D9323">
        <f>IF(B9323=1,INDEX('Data Entry'!$H$5:$BE$10004,9323-4,'Visual SPC'!$B$3),"")</f>
        <v/>
      </c>
      <c r="E9323">
        <f>IF(B9323=1,D9323,E9322)</f>
        <v/>
      </c>
      <c r="F9323">
        <f>IF(AND(B9323=1,C9323&gt;1,E9322&lt;&gt;""),ABS(D9323-E9322),"")</f>
        <v/>
      </c>
    </row>
    <row r="9324">
      <c r="A9324" t="n">
        <v>9324</v>
      </c>
      <c r="B9324">
        <f>IF(INDEX('Data Entry'!$H$5:$BE$10004,9324-4,'Visual SPC'!$B$3)="",0,IF(AND(OR('Visual SPC'!$C$4="",'Data Entry'!$C9324&gt;='Visual SPC'!$C$4),OR('Visual SPC'!$E$4="",'Data Entry'!$C9324&lt;='Visual SPC'!$E$4),OR('Visual SPC'!$G$4="",'Data Entry'!$D9324='Visual SPC'!$G$4),OR('Visual SPC'!$I$4="",'Data Entry'!$E9324='Visual SPC'!$I$4),OR('Visual SPC'!$K$4="",'Data Entry'!$F9324='Visual SPC'!$K$4)),1,0))</f>
        <v/>
      </c>
      <c r="C9324">
        <f>C9323+B9324</f>
        <v/>
      </c>
      <c r="D9324">
        <f>IF(B9324=1,INDEX('Data Entry'!$H$5:$BE$10004,9324-4,'Visual SPC'!$B$3),"")</f>
        <v/>
      </c>
      <c r="E9324">
        <f>IF(B9324=1,D9324,E9323)</f>
        <v/>
      </c>
      <c r="F9324">
        <f>IF(AND(B9324=1,C9324&gt;1,E9323&lt;&gt;""),ABS(D9324-E9323),"")</f>
        <v/>
      </c>
    </row>
    <row r="9325">
      <c r="A9325" t="n">
        <v>9325</v>
      </c>
      <c r="B9325">
        <f>IF(INDEX('Data Entry'!$H$5:$BE$10004,9325-4,'Visual SPC'!$B$3)="",0,IF(AND(OR('Visual SPC'!$C$4="",'Data Entry'!$C9325&gt;='Visual SPC'!$C$4),OR('Visual SPC'!$E$4="",'Data Entry'!$C9325&lt;='Visual SPC'!$E$4),OR('Visual SPC'!$G$4="",'Data Entry'!$D9325='Visual SPC'!$G$4),OR('Visual SPC'!$I$4="",'Data Entry'!$E9325='Visual SPC'!$I$4),OR('Visual SPC'!$K$4="",'Data Entry'!$F9325='Visual SPC'!$K$4)),1,0))</f>
        <v/>
      </c>
      <c r="C9325">
        <f>C9324+B9325</f>
        <v/>
      </c>
      <c r="D9325">
        <f>IF(B9325=1,INDEX('Data Entry'!$H$5:$BE$10004,9325-4,'Visual SPC'!$B$3),"")</f>
        <v/>
      </c>
      <c r="E9325">
        <f>IF(B9325=1,D9325,E9324)</f>
        <v/>
      </c>
      <c r="F9325">
        <f>IF(AND(B9325=1,C9325&gt;1,E9324&lt;&gt;""),ABS(D9325-E9324),"")</f>
        <v/>
      </c>
    </row>
    <row r="9326">
      <c r="A9326" t="n">
        <v>9326</v>
      </c>
      <c r="B9326">
        <f>IF(INDEX('Data Entry'!$H$5:$BE$10004,9326-4,'Visual SPC'!$B$3)="",0,IF(AND(OR('Visual SPC'!$C$4="",'Data Entry'!$C9326&gt;='Visual SPC'!$C$4),OR('Visual SPC'!$E$4="",'Data Entry'!$C9326&lt;='Visual SPC'!$E$4),OR('Visual SPC'!$G$4="",'Data Entry'!$D9326='Visual SPC'!$G$4),OR('Visual SPC'!$I$4="",'Data Entry'!$E9326='Visual SPC'!$I$4),OR('Visual SPC'!$K$4="",'Data Entry'!$F9326='Visual SPC'!$K$4)),1,0))</f>
        <v/>
      </c>
      <c r="C9326">
        <f>C9325+B9326</f>
        <v/>
      </c>
      <c r="D9326">
        <f>IF(B9326=1,INDEX('Data Entry'!$H$5:$BE$10004,9326-4,'Visual SPC'!$B$3),"")</f>
        <v/>
      </c>
      <c r="E9326">
        <f>IF(B9326=1,D9326,E9325)</f>
        <v/>
      </c>
      <c r="F9326">
        <f>IF(AND(B9326=1,C9326&gt;1,E9325&lt;&gt;""),ABS(D9326-E9325),"")</f>
        <v/>
      </c>
    </row>
    <row r="9327">
      <c r="A9327" t="n">
        <v>9327</v>
      </c>
      <c r="B9327">
        <f>IF(INDEX('Data Entry'!$H$5:$BE$10004,9327-4,'Visual SPC'!$B$3)="",0,IF(AND(OR('Visual SPC'!$C$4="",'Data Entry'!$C9327&gt;='Visual SPC'!$C$4),OR('Visual SPC'!$E$4="",'Data Entry'!$C9327&lt;='Visual SPC'!$E$4),OR('Visual SPC'!$G$4="",'Data Entry'!$D9327='Visual SPC'!$G$4),OR('Visual SPC'!$I$4="",'Data Entry'!$E9327='Visual SPC'!$I$4),OR('Visual SPC'!$K$4="",'Data Entry'!$F9327='Visual SPC'!$K$4)),1,0))</f>
        <v/>
      </c>
      <c r="C9327">
        <f>C9326+B9327</f>
        <v/>
      </c>
      <c r="D9327">
        <f>IF(B9327=1,INDEX('Data Entry'!$H$5:$BE$10004,9327-4,'Visual SPC'!$B$3),"")</f>
        <v/>
      </c>
      <c r="E9327">
        <f>IF(B9327=1,D9327,E9326)</f>
        <v/>
      </c>
      <c r="F9327">
        <f>IF(AND(B9327=1,C9327&gt;1,E9326&lt;&gt;""),ABS(D9327-E9326),"")</f>
        <v/>
      </c>
    </row>
    <row r="9328">
      <c r="A9328" t="n">
        <v>9328</v>
      </c>
      <c r="B9328">
        <f>IF(INDEX('Data Entry'!$H$5:$BE$10004,9328-4,'Visual SPC'!$B$3)="",0,IF(AND(OR('Visual SPC'!$C$4="",'Data Entry'!$C9328&gt;='Visual SPC'!$C$4),OR('Visual SPC'!$E$4="",'Data Entry'!$C9328&lt;='Visual SPC'!$E$4),OR('Visual SPC'!$G$4="",'Data Entry'!$D9328='Visual SPC'!$G$4),OR('Visual SPC'!$I$4="",'Data Entry'!$E9328='Visual SPC'!$I$4),OR('Visual SPC'!$K$4="",'Data Entry'!$F9328='Visual SPC'!$K$4)),1,0))</f>
        <v/>
      </c>
      <c r="C9328">
        <f>C9327+B9328</f>
        <v/>
      </c>
      <c r="D9328">
        <f>IF(B9328=1,INDEX('Data Entry'!$H$5:$BE$10004,9328-4,'Visual SPC'!$B$3),"")</f>
        <v/>
      </c>
      <c r="E9328">
        <f>IF(B9328=1,D9328,E9327)</f>
        <v/>
      </c>
      <c r="F9328">
        <f>IF(AND(B9328=1,C9328&gt;1,E9327&lt;&gt;""),ABS(D9328-E9327),"")</f>
        <v/>
      </c>
    </row>
    <row r="9329">
      <c r="A9329" t="n">
        <v>9329</v>
      </c>
      <c r="B9329">
        <f>IF(INDEX('Data Entry'!$H$5:$BE$10004,9329-4,'Visual SPC'!$B$3)="",0,IF(AND(OR('Visual SPC'!$C$4="",'Data Entry'!$C9329&gt;='Visual SPC'!$C$4),OR('Visual SPC'!$E$4="",'Data Entry'!$C9329&lt;='Visual SPC'!$E$4),OR('Visual SPC'!$G$4="",'Data Entry'!$D9329='Visual SPC'!$G$4),OR('Visual SPC'!$I$4="",'Data Entry'!$E9329='Visual SPC'!$I$4),OR('Visual SPC'!$K$4="",'Data Entry'!$F9329='Visual SPC'!$K$4)),1,0))</f>
        <v/>
      </c>
      <c r="C9329">
        <f>C9328+B9329</f>
        <v/>
      </c>
      <c r="D9329">
        <f>IF(B9329=1,INDEX('Data Entry'!$H$5:$BE$10004,9329-4,'Visual SPC'!$B$3),"")</f>
        <v/>
      </c>
      <c r="E9329">
        <f>IF(B9329=1,D9329,E9328)</f>
        <v/>
      </c>
      <c r="F9329">
        <f>IF(AND(B9329=1,C9329&gt;1,E9328&lt;&gt;""),ABS(D9329-E9328),"")</f>
        <v/>
      </c>
    </row>
    <row r="9330">
      <c r="A9330" t="n">
        <v>9330</v>
      </c>
      <c r="B9330">
        <f>IF(INDEX('Data Entry'!$H$5:$BE$10004,9330-4,'Visual SPC'!$B$3)="",0,IF(AND(OR('Visual SPC'!$C$4="",'Data Entry'!$C9330&gt;='Visual SPC'!$C$4),OR('Visual SPC'!$E$4="",'Data Entry'!$C9330&lt;='Visual SPC'!$E$4),OR('Visual SPC'!$G$4="",'Data Entry'!$D9330='Visual SPC'!$G$4),OR('Visual SPC'!$I$4="",'Data Entry'!$E9330='Visual SPC'!$I$4),OR('Visual SPC'!$K$4="",'Data Entry'!$F9330='Visual SPC'!$K$4)),1,0))</f>
        <v/>
      </c>
      <c r="C9330">
        <f>C9329+B9330</f>
        <v/>
      </c>
      <c r="D9330">
        <f>IF(B9330=1,INDEX('Data Entry'!$H$5:$BE$10004,9330-4,'Visual SPC'!$B$3),"")</f>
        <v/>
      </c>
      <c r="E9330">
        <f>IF(B9330=1,D9330,E9329)</f>
        <v/>
      </c>
      <c r="F9330">
        <f>IF(AND(B9330=1,C9330&gt;1,E9329&lt;&gt;""),ABS(D9330-E9329),"")</f>
        <v/>
      </c>
    </row>
    <row r="9331">
      <c r="A9331" t="n">
        <v>9331</v>
      </c>
      <c r="B9331">
        <f>IF(INDEX('Data Entry'!$H$5:$BE$10004,9331-4,'Visual SPC'!$B$3)="",0,IF(AND(OR('Visual SPC'!$C$4="",'Data Entry'!$C9331&gt;='Visual SPC'!$C$4),OR('Visual SPC'!$E$4="",'Data Entry'!$C9331&lt;='Visual SPC'!$E$4),OR('Visual SPC'!$G$4="",'Data Entry'!$D9331='Visual SPC'!$G$4),OR('Visual SPC'!$I$4="",'Data Entry'!$E9331='Visual SPC'!$I$4),OR('Visual SPC'!$K$4="",'Data Entry'!$F9331='Visual SPC'!$K$4)),1,0))</f>
        <v/>
      </c>
      <c r="C9331">
        <f>C9330+B9331</f>
        <v/>
      </c>
      <c r="D9331">
        <f>IF(B9331=1,INDEX('Data Entry'!$H$5:$BE$10004,9331-4,'Visual SPC'!$B$3),"")</f>
        <v/>
      </c>
      <c r="E9331">
        <f>IF(B9331=1,D9331,E9330)</f>
        <v/>
      </c>
      <c r="F9331">
        <f>IF(AND(B9331=1,C9331&gt;1,E9330&lt;&gt;""),ABS(D9331-E9330),"")</f>
        <v/>
      </c>
    </row>
    <row r="9332">
      <c r="A9332" t="n">
        <v>9332</v>
      </c>
      <c r="B9332">
        <f>IF(INDEX('Data Entry'!$H$5:$BE$10004,9332-4,'Visual SPC'!$B$3)="",0,IF(AND(OR('Visual SPC'!$C$4="",'Data Entry'!$C9332&gt;='Visual SPC'!$C$4),OR('Visual SPC'!$E$4="",'Data Entry'!$C9332&lt;='Visual SPC'!$E$4),OR('Visual SPC'!$G$4="",'Data Entry'!$D9332='Visual SPC'!$G$4),OR('Visual SPC'!$I$4="",'Data Entry'!$E9332='Visual SPC'!$I$4),OR('Visual SPC'!$K$4="",'Data Entry'!$F9332='Visual SPC'!$K$4)),1,0))</f>
        <v/>
      </c>
      <c r="C9332">
        <f>C9331+B9332</f>
        <v/>
      </c>
      <c r="D9332">
        <f>IF(B9332=1,INDEX('Data Entry'!$H$5:$BE$10004,9332-4,'Visual SPC'!$B$3),"")</f>
        <v/>
      </c>
      <c r="E9332">
        <f>IF(B9332=1,D9332,E9331)</f>
        <v/>
      </c>
      <c r="F9332">
        <f>IF(AND(B9332=1,C9332&gt;1,E9331&lt;&gt;""),ABS(D9332-E9331),"")</f>
        <v/>
      </c>
    </row>
    <row r="9333">
      <c r="A9333" t="n">
        <v>9333</v>
      </c>
      <c r="B9333">
        <f>IF(INDEX('Data Entry'!$H$5:$BE$10004,9333-4,'Visual SPC'!$B$3)="",0,IF(AND(OR('Visual SPC'!$C$4="",'Data Entry'!$C9333&gt;='Visual SPC'!$C$4),OR('Visual SPC'!$E$4="",'Data Entry'!$C9333&lt;='Visual SPC'!$E$4),OR('Visual SPC'!$G$4="",'Data Entry'!$D9333='Visual SPC'!$G$4),OR('Visual SPC'!$I$4="",'Data Entry'!$E9333='Visual SPC'!$I$4),OR('Visual SPC'!$K$4="",'Data Entry'!$F9333='Visual SPC'!$K$4)),1,0))</f>
        <v/>
      </c>
      <c r="C9333">
        <f>C9332+B9333</f>
        <v/>
      </c>
      <c r="D9333">
        <f>IF(B9333=1,INDEX('Data Entry'!$H$5:$BE$10004,9333-4,'Visual SPC'!$B$3),"")</f>
        <v/>
      </c>
      <c r="E9333">
        <f>IF(B9333=1,D9333,E9332)</f>
        <v/>
      </c>
      <c r="F9333">
        <f>IF(AND(B9333=1,C9333&gt;1,E9332&lt;&gt;""),ABS(D9333-E9332),"")</f>
        <v/>
      </c>
    </row>
    <row r="9334">
      <c r="A9334" t="n">
        <v>9334</v>
      </c>
      <c r="B9334">
        <f>IF(INDEX('Data Entry'!$H$5:$BE$10004,9334-4,'Visual SPC'!$B$3)="",0,IF(AND(OR('Visual SPC'!$C$4="",'Data Entry'!$C9334&gt;='Visual SPC'!$C$4),OR('Visual SPC'!$E$4="",'Data Entry'!$C9334&lt;='Visual SPC'!$E$4),OR('Visual SPC'!$G$4="",'Data Entry'!$D9334='Visual SPC'!$G$4),OR('Visual SPC'!$I$4="",'Data Entry'!$E9334='Visual SPC'!$I$4),OR('Visual SPC'!$K$4="",'Data Entry'!$F9334='Visual SPC'!$K$4)),1,0))</f>
        <v/>
      </c>
      <c r="C9334">
        <f>C9333+B9334</f>
        <v/>
      </c>
      <c r="D9334">
        <f>IF(B9334=1,INDEX('Data Entry'!$H$5:$BE$10004,9334-4,'Visual SPC'!$B$3),"")</f>
        <v/>
      </c>
      <c r="E9334">
        <f>IF(B9334=1,D9334,E9333)</f>
        <v/>
      </c>
      <c r="F9334">
        <f>IF(AND(B9334=1,C9334&gt;1,E9333&lt;&gt;""),ABS(D9334-E9333),"")</f>
        <v/>
      </c>
    </row>
    <row r="9335">
      <c r="A9335" t="n">
        <v>9335</v>
      </c>
      <c r="B9335">
        <f>IF(INDEX('Data Entry'!$H$5:$BE$10004,9335-4,'Visual SPC'!$B$3)="",0,IF(AND(OR('Visual SPC'!$C$4="",'Data Entry'!$C9335&gt;='Visual SPC'!$C$4),OR('Visual SPC'!$E$4="",'Data Entry'!$C9335&lt;='Visual SPC'!$E$4),OR('Visual SPC'!$G$4="",'Data Entry'!$D9335='Visual SPC'!$G$4),OR('Visual SPC'!$I$4="",'Data Entry'!$E9335='Visual SPC'!$I$4),OR('Visual SPC'!$K$4="",'Data Entry'!$F9335='Visual SPC'!$K$4)),1,0))</f>
        <v/>
      </c>
      <c r="C9335">
        <f>C9334+B9335</f>
        <v/>
      </c>
      <c r="D9335">
        <f>IF(B9335=1,INDEX('Data Entry'!$H$5:$BE$10004,9335-4,'Visual SPC'!$B$3),"")</f>
        <v/>
      </c>
      <c r="E9335">
        <f>IF(B9335=1,D9335,E9334)</f>
        <v/>
      </c>
      <c r="F9335">
        <f>IF(AND(B9335=1,C9335&gt;1,E9334&lt;&gt;""),ABS(D9335-E9334),"")</f>
        <v/>
      </c>
    </row>
    <row r="9336">
      <c r="A9336" t="n">
        <v>9336</v>
      </c>
      <c r="B9336">
        <f>IF(INDEX('Data Entry'!$H$5:$BE$10004,9336-4,'Visual SPC'!$B$3)="",0,IF(AND(OR('Visual SPC'!$C$4="",'Data Entry'!$C9336&gt;='Visual SPC'!$C$4),OR('Visual SPC'!$E$4="",'Data Entry'!$C9336&lt;='Visual SPC'!$E$4),OR('Visual SPC'!$G$4="",'Data Entry'!$D9336='Visual SPC'!$G$4),OR('Visual SPC'!$I$4="",'Data Entry'!$E9336='Visual SPC'!$I$4),OR('Visual SPC'!$K$4="",'Data Entry'!$F9336='Visual SPC'!$K$4)),1,0))</f>
        <v/>
      </c>
      <c r="C9336">
        <f>C9335+B9336</f>
        <v/>
      </c>
      <c r="D9336">
        <f>IF(B9336=1,INDEX('Data Entry'!$H$5:$BE$10004,9336-4,'Visual SPC'!$B$3),"")</f>
        <v/>
      </c>
      <c r="E9336">
        <f>IF(B9336=1,D9336,E9335)</f>
        <v/>
      </c>
      <c r="F9336">
        <f>IF(AND(B9336=1,C9336&gt;1,E9335&lt;&gt;""),ABS(D9336-E9335),"")</f>
        <v/>
      </c>
    </row>
    <row r="9337">
      <c r="A9337" t="n">
        <v>9337</v>
      </c>
      <c r="B9337">
        <f>IF(INDEX('Data Entry'!$H$5:$BE$10004,9337-4,'Visual SPC'!$B$3)="",0,IF(AND(OR('Visual SPC'!$C$4="",'Data Entry'!$C9337&gt;='Visual SPC'!$C$4),OR('Visual SPC'!$E$4="",'Data Entry'!$C9337&lt;='Visual SPC'!$E$4),OR('Visual SPC'!$G$4="",'Data Entry'!$D9337='Visual SPC'!$G$4),OR('Visual SPC'!$I$4="",'Data Entry'!$E9337='Visual SPC'!$I$4),OR('Visual SPC'!$K$4="",'Data Entry'!$F9337='Visual SPC'!$K$4)),1,0))</f>
        <v/>
      </c>
      <c r="C9337">
        <f>C9336+B9337</f>
        <v/>
      </c>
      <c r="D9337">
        <f>IF(B9337=1,INDEX('Data Entry'!$H$5:$BE$10004,9337-4,'Visual SPC'!$B$3),"")</f>
        <v/>
      </c>
      <c r="E9337">
        <f>IF(B9337=1,D9337,E9336)</f>
        <v/>
      </c>
      <c r="F9337">
        <f>IF(AND(B9337=1,C9337&gt;1,E9336&lt;&gt;""),ABS(D9337-E9336),"")</f>
        <v/>
      </c>
    </row>
    <row r="9338">
      <c r="A9338" t="n">
        <v>9338</v>
      </c>
      <c r="B9338">
        <f>IF(INDEX('Data Entry'!$H$5:$BE$10004,9338-4,'Visual SPC'!$B$3)="",0,IF(AND(OR('Visual SPC'!$C$4="",'Data Entry'!$C9338&gt;='Visual SPC'!$C$4),OR('Visual SPC'!$E$4="",'Data Entry'!$C9338&lt;='Visual SPC'!$E$4),OR('Visual SPC'!$G$4="",'Data Entry'!$D9338='Visual SPC'!$G$4),OR('Visual SPC'!$I$4="",'Data Entry'!$E9338='Visual SPC'!$I$4),OR('Visual SPC'!$K$4="",'Data Entry'!$F9338='Visual SPC'!$K$4)),1,0))</f>
        <v/>
      </c>
      <c r="C9338">
        <f>C9337+B9338</f>
        <v/>
      </c>
      <c r="D9338">
        <f>IF(B9338=1,INDEX('Data Entry'!$H$5:$BE$10004,9338-4,'Visual SPC'!$B$3),"")</f>
        <v/>
      </c>
      <c r="E9338">
        <f>IF(B9338=1,D9338,E9337)</f>
        <v/>
      </c>
      <c r="F9338">
        <f>IF(AND(B9338=1,C9338&gt;1,E9337&lt;&gt;""),ABS(D9338-E9337),"")</f>
        <v/>
      </c>
    </row>
    <row r="9339">
      <c r="A9339" t="n">
        <v>9339</v>
      </c>
      <c r="B9339">
        <f>IF(INDEX('Data Entry'!$H$5:$BE$10004,9339-4,'Visual SPC'!$B$3)="",0,IF(AND(OR('Visual SPC'!$C$4="",'Data Entry'!$C9339&gt;='Visual SPC'!$C$4),OR('Visual SPC'!$E$4="",'Data Entry'!$C9339&lt;='Visual SPC'!$E$4),OR('Visual SPC'!$G$4="",'Data Entry'!$D9339='Visual SPC'!$G$4),OR('Visual SPC'!$I$4="",'Data Entry'!$E9339='Visual SPC'!$I$4),OR('Visual SPC'!$K$4="",'Data Entry'!$F9339='Visual SPC'!$K$4)),1,0))</f>
        <v/>
      </c>
      <c r="C9339">
        <f>C9338+B9339</f>
        <v/>
      </c>
      <c r="D9339">
        <f>IF(B9339=1,INDEX('Data Entry'!$H$5:$BE$10004,9339-4,'Visual SPC'!$B$3),"")</f>
        <v/>
      </c>
      <c r="E9339">
        <f>IF(B9339=1,D9339,E9338)</f>
        <v/>
      </c>
      <c r="F9339">
        <f>IF(AND(B9339=1,C9339&gt;1,E9338&lt;&gt;""),ABS(D9339-E9338),"")</f>
        <v/>
      </c>
    </row>
    <row r="9340">
      <c r="A9340" t="n">
        <v>9340</v>
      </c>
      <c r="B9340">
        <f>IF(INDEX('Data Entry'!$H$5:$BE$10004,9340-4,'Visual SPC'!$B$3)="",0,IF(AND(OR('Visual SPC'!$C$4="",'Data Entry'!$C9340&gt;='Visual SPC'!$C$4),OR('Visual SPC'!$E$4="",'Data Entry'!$C9340&lt;='Visual SPC'!$E$4),OR('Visual SPC'!$G$4="",'Data Entry'!$D9340='Visual SPC'!$G$4),OR('Visual SPC'!$I$4="",'Data Entry'!$E9340='Visual SPC'!$I$4),OR('Visual SPC'!$K$4="",'Data Entry'!$F9340='Visual SPC'!$K$4)),1,0))</f>
        <v/>
      </c>
      <c r="C9340">
        <f>C9339+B9340</f>
        <v/>
      </c>
      <c r="D9340">
        <f>IF(B9340=1,INDEX('Data Entry'!$H$5:$BE$10004,9340-4,'Visual SPC'!$B$3),"")</f>
        <v/>
      </c>
      <c r="E9340">
        <f>IF(B9340=1,D9340,E9339)</f>
        <v/>
      </c>
      <c r="F9340">
        <f>IF(AND(B9340=1,C9340&gt;1,E9339&lt;&gt;""),ABS(D9340-E9339),"")</f>
        <v/>
      </c>
    </row>
    <row r="9341">
      <c r="A9341" t="n">
        <v>9341</v>
      </c>
      <c r="B9341">
        <f>IF(INDEX('Data Entry'!$H$5:$BE$10004,9341-4,'Visual SPC'!$B$3)="",0,IF(AND(OR('Visual SPC'!$C$4="",'Data Entry'!$C9341&gt;='Visual SPC'!$C$4),OR('Visual SPC'!$E$4="",'Data Entry'!$C9341&lt;='Visual SPC'!$E$4),OR('Visual SPC'!$G$4="",'Data Entry'!$D9341='Visual SPC'!$G$4),OR('Visual SPC'!$I$4="",'Data Entry'!$E9341='Visual SPC'!$I$4),OR('Visual SPC'!$K$4="",'Data Entry'!$F9341='Visual SPC'!$K$4)),1,0))</f>
        <v/>
      </c>
      <c r="C9341">
        <f>C9340+B9341</f>
        <v/>
      </c>
      <c r="D9341">
        <f>IF(B9341=1,INDEX('Data Entry'!$H$5:$BE$10004,9341-4,'Visual SPC'!$B$3),"")</f>
        <v/>
      </c>
      <c r="E9341">
        <f>IF(B9341=1,D9341,E9340)</f>
        <v/>
      </c>
      <c r="F9341">
        <f>IF(AND(B9341=1,C9341&gt;1,E9340&lt;&gt;""),ABS(D9341-E9340),"")</f>
        <v/>
      </c>
    </row>
    <row r="9342">
      <c r="A9342" t="n">
        <v>9342</v>
      </c>
      <c r="B9342">
        <f>IF(INDEX('Data Entry'!$H$5:$BE$10004,9342-4,'Visual SPC'!$B$3)="",0,IF(AND(OR('Visual SPC'!$C$4="",'Data Entry'!$C9342&gt;='Visual SPC'!$C$4),OR('Visual SPC'!$E$4="",'Data Entry'!$C9342&lt;='Visual SPC'!$E$4),OR('Visual SPC'!$G$4="",'Data Entry'!$D9342='Visual SPC'!$G$4),OR('Visual SPC'!$I$4="",'Data Entry'!$E9342='Visual SPC'!$I$4),OR('Visual SPC'!$K$4="",'Data Entry'!$F9342='Visual SPC'!$K$4)),1,0))</f>
        <v/>
      </c>
      <c r="C9342">
        <f>C9341+B9342</f>
        <v/>
      </c>
      <c r="D9342">
        <f>IF(B9342=1,INDEX('Data Entry'!$H$5:$BE$10004,9342-4,'Visual SPC'!$B$3),"")</f>
        <v/>
      </c>
      <c r="E9342">
        <f>IF(B9342=1,D9342,E9341)</f>
        <v/>
      </c>
      <c r="F9342">
        <f>IF(AND(B9342=1,C9342&gt;1,E9341&lt;&gt;""),ABS(D9342-E9341),"")</f>
        <v/>
      </c>
    </row>
    <row r="9343">
      <c r="A9343" t="n">
        <v>9343</v>
      </c>
      <c r="B9343">
        <f>IF(INDEX('Data Entry'!$H$5:$BE$10004,9343-4,'Visual SPC'!$B$3)="",0,IF(AND(OR('Visual SPC'!$C$4="",'Data Entry'!$C9343&gt;='Visual SPC'!$C$4),OR('Visual SPC'!$E$4="",'Data Entry'!$C9343&lt;='Visual SPC'!$E$4),OR('Visual SPC'!$G$4="",'Data Entry'!$D9343='Visual SPC'!$G$4),OR('Visual SPC'!$I$4="",'Data Entry'!$E9343='Visual SPC'!$I$4),OR('Visual SPC'!$K$4="",'Data Entry'!$F9343='Visual SPC'!$K$4)),1,0))</f>
        <v/>
      </c>
      <c r="C9343">
        <f>C9342+B9343</f>
        <v/>
      </c>
      <c r="D9343">
        <f>IF(B9343=1,INDEX('Data Entry'!$H$5:$BE$10004,9343-4,'Visual SPC'!$B$3),"")</f>
        <v/>
      </c>
      <c r="E9343">
        <f>IF(B9343=1,D9343,E9342)</f>
        <v/>
      </c>
      <c r="F9343">
        <f>IF(AND(B9343=1,C9343&gt;1,E9342&lt;&gt;""),ABS(D9343-E9342),"")</f>
        <v/>
      </c>
    </row>
    <row r="9344">
      <c r="A9344" t="n">
        <v>9344</v>
      </c>
      <c r="B9344">
        <f>IF(INDEX('Data Entry'!$H$5:$BE$10004,9344-4,'Visual SPC'!$B$3)="",0,IF(AND(OR('Visual SPC'!$C$4="",'Data Entry'!$C9344&gt;='Visual SPC'!$C$4),OR('Visual SPC'!$E$4="",'Data Entry'!$C9344&lt;='Visual SPC'!$E$4),OR('Visual SPC'!$G$4="",'Data Entry'!$D9344='Visual SPC'!$G$4),OR('Visual SPC'!$I$4="",'Data Entry'!$E9344='Visual SPC'!$I$4),OR('Visual SPC'!$K$4="",'Data Entry'!$F9344='Visual SPC'!$K$4)),1,0))</f>
        <v/>
      </c>
      <c r="C9344">
        <f>C9343+B9344</f>
        <v/>
      </c>
      <c r="D9344">
        <f>IF(B9344=1,INDEX('Data Entry'!$H$5:$BE$10004,9344-4,'Visual SPC'!$B$3),"")</f>
        <v/>
      </c>
      <c r="E9344">
        <f>IF(B9344=1,D9344,E9343)</f>
        <v/>
      </c>
      <c r="F9344">
        <f>IF(AND(B9344=1,C9344&gt;1,E9343&lt;&gt;""),ABS(D9344-E9343),"")</f>
        <v/>
      </c>
    </row>
    <row r="9345">
      <c r="A9345" t="n">
        <v>9345</v>
      </c>
      <c r="B9345">
        <f>IF(INDEX('Data Entry'!$H$5:$BE$10004,9345-4,'Visual SPC'!$B$3)="",0,IF(AND(OR('Visual SPC'!$C$4="",'Data Entry'!$C9345&gt;='Visual SPC'!$C$4),OR('Visual SPC'!$E$4="",'Data Entry'!$C9345&lt;='Visual SPC'!$E$4),OR('Visual SPC'!$G$4="",'Data Entry'!$D9345='Visual SPC'!$G$4),OR('Visual SPC'!$I$4="",'Data Entry'!$E9345='Visual SPC'!$I$4),OR('Visual SPC'!$K$4="",'Data Entry'!$F9345='Visual SPC'!$K$4)),1,0))</f>
        <v/>
      </c>
      <c r="C9345">
        <f>C9344+B9345</f>
        <v/>
      </c>
      <c r="D9345">
        <f>IF(B9345=1,INDEX('Data Entry'!$H$5:$BE$10004,9345-4,'Visual SPC'!$B$3),"")</f>
        <v/>
      </c>
      <c r="E9345">
        <f>IF(B9345=1,D9345,E9344)</f>
        <v/>
      </c>
      <c r="F9345">
        <f>IF(AND(B9345=1,C9345&gt;1,E9344&lt;&gt;""),ABS(D9345-E9344),"")</f>
        <v/>
      </c>
    </row>
    <row r="9346">
      <c r="A9346" t="n">
        <v>9346</v>
      </c>
      <c r="B9346">
        <f>IF(INDEX('Data Entry'!$H$5:$BE$10004,9346-4,'Visual SPC'!$B$3)="",0,IF(AND(OR('Visual SPC'!$C$4="",'Data Entry'!$C9346&gt;='Visual SPC'!$C$4),OR('Visual SPC'!$E$4="",'Data Entry'!$C9346&lt;='Visual SPC'!$E$4),OR('Visual SPC'!$G$4="",'Data Entry'!$D9346='Visual SPC'!$G$4),OR('Visual SPC'!$I$4="",'Data Entry'!$E9346='Visual SPC'!$I$4),OR('Visual SPC'!$K$4="",'Data Entry'!$F9346='Visual SPC'!$K$4)),1,0))</f>
        <v/>
      </c>
      <c r="C9346">
        <f>C9345+B9346</f>
        <v/>
      </c>
      <c r="D9346">
        <f>IF(B9346=1,INDEX('Data Entry'!$H$5:$BE$10004,9346-4,'Visual SPC'!$B$3),"")</f>
        <v/>
      </c>
      <c r="E9346">
        <f>IF(B9346=1,D9346,E9345)</f>
        <v/>
      </c>
      <c r="F9346">
        <f>IF(AND(B9346=1,C9346&gt;1,E9345&lt;&gt;""),ABS(D9346-E9345),"")</f>
        <v/>
      </c>
    </row>
    <row r="9347">
      <c r="A9347" t="n">
        <v>9347</v>
      </c>
      <c r="B9347">
        <f>IF(INDEX('Data Entry'!$H$5:$BE$10004,9347-4,'Visual SPC'!$B$3)="",0,IF(AND(OR('Visual SPC'!$C$4="",'Data Entry'!$C9347&gt;='Visual SPC'!$C$4),OR('Visual SPC'!$E$4="",'Data Entry'!$C9347&lt;='Visual SPC'!$E$4),OR('Visual SPC'!$G$4="",'Data Entry'!$D9347='Visual SPC'!$G$4),OR('Visual SPC'!$I$4="",'Data Entry'!$E9347='Visual SPC'!$I$4),OR('Visual SPC'!$K$4="",'Data Entry'!$F9347='Visual SPC'!$K$4)),1,0))</f>
        <v/>
      </c>
      <c r="C9347">
        <f>C9346+B9347</f>
        <v/>
      </c>
      <c r="D9347">
        <f>IF(B9347=1,INDEX('Data Entry'!$H$5:$BE$10004,9347-4,'Visual SPC'!$B$3),"")</f>
        <v/>
      </c>
      <c r="E9347">
        <f>IF(B9347=1,D9347,E9346)</f>
        <v/>
      </c>
      <c r="F9347">
        <f>IF(AND(B9347=1,C9347&gt;1,E9346&lt;&gt;""),ABS(D9347-E9346),"")</f>
        <v/>
      </c>
    </row>
    <row r="9348">
      <c r="A9348" t="n">
        <v>9348</v>
      </c>
      <c r="B9348">
        <f>IF(INDEX('Data Entry'!$H$5:$BE$10004,9348-4,'Visual SPC'!$B$3)="",0,IF(AND(OR('Visual SPC'!$C$4="",'Data Entry'!$C9348&gt;='Visual SPC'!$C$4),OR('Visual SPC'!$E$4="",'Data Entry'!$C9348&lt;='Visual SPC'!$E$4),OR('Visual SPC'!$G$4="",'Data Entry'!$D9348='Visual SPC'!$G$4),OR('Visual SPC'!$I$4="",'Data Entry'!$E9348='Visual SPC'!$I$4),OR('Visual SPC'!$K$4="",'Data Entry'!$F9348='Visual SPC'!$K$4)),1,0))</f>
        <v/>
      </c>
      <c r="C9348">
        <f>C9347+B9348</f>
        <v/>
      </c>
      <c r="D9348">
        <f>IF(B9348=1,INDEX('Data Entry'!$H$5:$BE$10004,9348-4,'Visual SPC'!$B$3),"")</f>
        <v/>
      </c>
      <c r="E9348">
        <f>IF(B9348=1,D9348,E9347)</f>
        <v/>
      </c>
      <c r="F9348">
        <f>IF(AND(B9348=1,C9348&gt;1,E9347&lt;&gt;""),ABS(D9348-E9347),"")</f>
        <v/>
      </c>
    </row>
    <row r="9349">
      <c r="A9349" t="n">
        <v>9349</v>
      </c>
      <c r="B9349">
        <f>IF(INDEX('Data Entry'!$H$5:$BE$10004,9349-4,'Visual SPC'!$B$3)="",0,IF(AND(OR('Visual SPC'!$C$4="",'Data Entry'!$C9349&gt;='Visual SPC'!$C$4),OR('Visual SPC'!$E$4="",'Data Entry'!$C9349&lt;='Visual SPC'!$E$4),OR('Visual SPC'!$G$4="",'Data Entry'!$D9349='Visual SPC'!$G$4),OR('Visual SPC'!$I$4="",'Data Entry'!$E9349='Visual SPC'!$I$4),OR('Visual SPC'!$K$4="",'Data Entry'!$F9349='Visual SPC'!$K$4)),1,0))</f>
        <v/>
      </c>
      <c r="C9349">
        <f>C9348+B9349</f>
        <v/>
      </c>
      <c r="D9349">
        <f>IF(B9349=1,INDEX('Data Entry'!$H$5:$BE$10004,9349-4,'Visual SPC'!$B$3),"")</f>
        <v/>
      </c>
      <c r="E9349">
        <f>IF(B9349=1,D9349,E9348)</f>
        <v/>
      </c>
      <c r="F9349">
        <f>IF(AND(B9349=1,C9349&gt;1,E9348&lt;&gt;""),ABS(D9349-E9348),"")</f>
        <v/>
      </c>
    </row>
    <row r="9350">
      <c r="A9350" t="n">
        <v>9350</v>
      </c>
      <c r="B9350">
        <f>IF(INDEX('Data Entry'!$H$5:$BE$10004,9350-4,'Visual SPC'!$B$3)="",0,IF(AND(OR('Visual SPC'!$C$4="",'Data Entry'!$C9350&gt;='Visual SPC'!$C$4),OR('Visual SPC'!$E$4="",'Data Entry'!$C9350&lt;='Visual SPC'!$E$4),OR('Visual SPC'!$G$4="",'Data Entry'!$D9350='Visual SPC'!$G$4),OR('Visual SPC'!$I$4="",'Data Entry'!$E9350='Visual SPC'!$I$4),OR('Visual SPC'!$K$4="",'Data Entry'!$F9350='Visual SPC'!$K$4)),1,0))</f>
        <v/>
      </c>
      <c r="C9350">
        <f>C9349+B9350</f>
        <v/>
      </c>
      <c r="D9350">
        <f>IF(B9350=1,INDEX('Data Entry'!$H$5:$BE$10004,9350-4,'Visual SPC'!$B$3),"")</f>
        <v/>
      </c>
      <c r="E9350">
        <f>IF(B9350=1,D9350,E9349)</f>
        <v/>
      </c>
      <c r="F9350">
        <f>IF(AND(B9350=1,C9350&gt;1,E9349&lt;&gt;""),ABS(D9350-E9349),"")</f>
        <v/>
      </c>
    </row>
    <row r="9351">
      <c r="A9351" t="n">
        <v>9351</v>
      </c>
      <c r="B9351">
        <f>IF(INDEX('Data Entry'!$H$5:$BE$10004,9351-4,'Visual SPC'!$B$3)="",0,IF(AND(OR('Visual SPC'!$C$4="",'Data Entry'!$C9351&gt;='Visual SPC'!$C$4),OR('Visual SPC'!$E$4="",'Data Entry'!$C9351&lt;='Visual SPC'!$E$4),OR('Visual SPC'!$G$4="",'Data Entry'!$D9351='Visual SPC'!$G$4),OR('Visual SPC'!$I$4="",'Data Entry'!$E9351='Visual SPC'!$I$4),OR('Visual SPC'!$K$4="",'Data Entry'!$F9351='Visual SPC'!$K$4)),1,0))</f>
        <v/>
      </c>
      <c r="C9351">
        <f>C9350+B9351</f>
        <v/>
      </c>
      <c r="D9351">
        <f>IF(B9351=1,INDEX('Data Entry'!$H$5:$BE$10004,9351-4,'Visual SPC'!$B$3),"")</f>
        <v/>
      </c>
      <c r="E9351">
        <f>IF(B9351=1,D9351,E9350)</f>
        <v/>
      </c>
      <c r="F9351">
        <f>IF(AND(B9351=1,C9351&gt;1,E9350&lt;&gt;""),ABS(D9351-E9350),"")</f>
        <v/>
      </c>
    </row>
    <row r="9352">
      <c r="A9352" t="n">
        <v>9352</v>
      </c>
      <c r="B9352">
        <f>IF(INDEX('Data Entry'!$H$5:$BE$10004,9352-4,'Visual SPC'!$B$3)="",0,IF(AND(OR('Visual SPC'!$C$4="",'Data Entry'!$C9352&gt;='Visual SPC'!$C$4),OR('Visual SPC'!$E$4="",'Data Entry'!$C9352&lt;='Visual SPC'!$E$4),OR('Visual SPC'!$G$4="",'Data Entry'!$D9352='Visual SPC'!$G$4),OR('Visual SPC'!$I$4="",'Data Entry'!$E9352='Visual SPC'!$I$4),OR('Visual SPC'!$K$4="",'Data Entry'!$F9352='Visual SPC'!$K$4)),1,0))</f>
        <v/>
      </c>
      <c r="C9352">
        <f>C9351+B9352</f>
        <v/>
      </c>
      <c r="D9352">
        <f>IF(B9352=1,INDEX('Data Entry'!$H$5:$BE$10004,9352-4,'Visual SPC'!$B$3),"")</f>
        <v/>
      </c>
      <c r="E9352">
        <f>IF(B9352=1,D9352,E9351)</f>
        <v/>
      </c>
      <c r="F9352">
        <f>IF(AND(B9352=1,C9352&gt;1,E9351&lt;&gt;""),ABS(D9352-E9351),"")</f>
        <v/>
      </c>
    </row>
    <row r="9353">
      <c r="A9353" t="n">
        <v>9353</v>
      </c>
      <c r="B9353">
        <f>IF(INDEX('Data Entry'!$H$5:$BE$10004,9353-4,'Visual SPC'!$B$3)="",0,IF(AND(OR('Visual SPC'!$C$4="",'Data Entry'!$C9353&gt;='Visual SPC'!$C$4),OR('Visual SPC'!$E$4="",'Data Entry'!$C9353&lt;='Visual SPC'!$E$4),OR('Visual SPC'!$G$4="",'Data Entry'!$D9353='Visual SPC'!$G$4),OR('Visual SPC'!$I$4="",'Data Entry'!$E9353='Visual SPC'!$I$4),OR('Visual SPC'!$K$4="",'Data Entry'!$F9353='Visual SPC'!$K$4)),1,0))</f>
        <v/>
      </c>
      <c r="C9353">
        <f>C9352+B9353</f>
        <v/>
      </c>
      <c r="D9353">
        <f>IF(B9353=1,INDEX('Data Entry'!$H$5:$BE$10004,9353-4,'Visual SPC'!$B$3),"")</f>
        <v/>
      </c>
      <c r="E9353">
        <f>IF(B9353=1,D9353,E9352)</f>
        <v/>
      </c>
      <c r="F9353">
        <f>IF(AND(B9353=1,C9353&gt;1,E9352&lt;&gt;""),ABS(D9353-E9352),"")</f>
        <v/>
      </c>
    </row>
    <row r="9354">
      <c r="A9354" t="n">
        <v>9354</v>
      </c>
      <c r="B9354">
        <f>IF(INDEX('Data Entry'!$H$5:$BE$10004,9354-4,'Visual SPC'!$B$3)="",0,IF(AND(OR('Visual SPC'!$C$4="",'Data Entry'!$C9354&gt;='Visual SPC'!$C$4),OR('Visual SPC'!$E$4="",'Data Entry'!$C9354&lt;='Visual SPC'!$E$4),OR('Visual SPC'!$G$4="",'Data Entry'!$D9354='Visual SPC'!$G$4),OR('Visual SPC'!$I$4="",'Data Entry'!$E9354='Visual SPC'!$I$4),OR('Visual SPC'!$K$4="",'Data Entry'!$F9354='Visual SPC'!$K$4)),1,0))</f>
        <v/>
      </c>
      <c r="C9354">
        <f>C9353+B9354</f>
        <v/>
      </c>
      <c r="D9354">
        <f>IF(B9354=1,INDEX('Data Entry'!$H$5:$BE$10004,9354-4,'Visual SPC'!$B$3),"")</f>
        <v/>
      </c>
      <c r="E9354">
        <f>IF(B9354=1,D9354,E9353)</f>
        <v/>
      </c>
      <c r="F9354">
        <f>IF(AND(B9354=1,C9354&gt;1,E9353&lt;&gt;""),ABS(D9354-E9353),"")</f>
        <v/>
      </c>
    </row>
    <row r="9355">
      <c r="A9355" t="n">
        <v>9355</v>
      </c>
      <c r="B9355">
        <f>IF(INDEX('Data Entry'!$H$5:$BE$10004,9355-4,'Visual SPC'!$B$3)="",0,IF(AND(OR('Visual SPC'!$C$4="",'Data Entry'!$C9355&gt;='Visual SPC'!$C$4),OR('Visual SPC'!$E$4="",'Data Entry'!$C9355&lt;='Visual SPC'!$E$4),OR('Visual SPC'!$G$4="",'Data Entry'!$D9355='Visual SPC'!$G$4),OR('Visual SPC'!$I$4="",'Data Entry'!$E9355='Visual SPC'!$I$4),OR('Visual SPC'!$K$4="",'Data Entry'!$F9355='Visual SPC'!$K$4)),1,0))</f>
        <v/>
      </c>
      <c r="C9355">
        <f>C9354+B9355</f>
        <v/>
      </c>
      <c r="D9355">
        <f>IF(B9355=1,INDEX('Data Entry'!$H$5:$BE$10004,9355-4,'Visual SPC'!$B$3),"")</f>
        <v/>
      </c>
      <c r="E9355">
        <f>IF(B9355=1,D9355,E9354)</f>
        <v/>
      </c>
      <c r="F9355">
        <f>IF(AND(B9355=1,C9355&gt;1,E9354&lt;&gt;""),ABS(D9355-E9354),"")</f>
        <v/>
      </c>
    </row>
    <row r="9356">
      <c r="A9356" t="n">
        <v>9356</v>
      </c>
      <c r="B9356">
        <f>IF(INDEX('Data Entry'!$H$5:$BE$10004,9356-4,'Visual SPC'!$B$3)="",0,IF(AND(OR('Visual SPC'!$C$4="",'Data Entry'!$C9356&gt;='Visual SPC'!$C$4),OR('Visual SPC'!$E$4="",'Data Entry'!$C9356&lt;='Visual SPC'!$E$4),OR('Visual SPC'!$G$4="",'Data Entry'!$D9356='Visual SPC'!$G$4),OR('Visual SPC'!$I$4="",'Data Entry'!$E9356='Visual SPC'!$I$4),OR('Visual SPC'!$K$4="",'Data Entry'!$F9356='Visual SPC'!$K$4)),1,0))</f>
        <v/>
      </c>
      <c r="C9356">
        <f>C9355+B9356</f>
        <v/>
      </c>
      <c r="D9356">
        <f>IF(B9356=1,INDEX('Data Entry'!$H$5:$BE$10004,9356-4,'Visual SPC'!$B$3),"")</f>
        <v/>
      </c>
      <c r="E9356">
        <f>IF(B9356=1,D9356,E9355)</f>
        <v/>
      </c>
      <c r="F9356">
        <f>IF(AND(B9356=1,C9356&gt;1,E9355&lt;&gt;""),ABS(D9356-E9355),"")</f>
        <v/>
      </c>
    </row>
    <row r="9357">
      <c r="A9357" t="n">
        <v>9357</v>
      </c>
      <c r="B9357">
        <f>IF(INDEX('Data Entry'!$H$5:$BE$10004,9357-4,'Visual SPC'!$B$3)="",0,IF(AND(OR('Visual SPC'!$C$4="",'Data Entry'!$C9357&gt;='Visual SPC'!$C$4),OR('Visual SPC'!$E$4="",'Data Entry'!$C9357&lt;='Visual SPC'!$E$4),OR('Visual SPC'!$G$4="",'Data Entry'!$D9357='Visual SPC'!$G$4),OR('Visual SPC'!$I$4="",'Data Entry'!$E9357='Visual SPC'!$I$4),OR('Visual SPC'!$K$4="",'Data Entry'!$F9357='Visual SPC'!$K$4)),1,0))</f>
        <v/>
      </c>
      <c r="C9357">
        <f>C9356+B9357</f>
        <v/>
      </c>
      <c r="D9357">
        <f>IF(B9357=1,INDEX('Data Entry'!$H$5:$BE$10004,9357-4,'Visual SPC'!$B$3),"")</f>
        <v/>
      </c>
      <c r="E9357">
        <f>IF(B9357=1,D9357,E9356)</f>
        <v/>
      </c>
      <c r="F9357">
        <f>IF(AND(B9357=1,C9357&gt;1,E9356&lt;&gt;""),ABS(D9357-E9356),"")</f>
        <v/>
      </c>
    </row>
    <row r="9358">
      <c r="A9358" t="n">
        <v>9358</v>
      </c>
      <c r="B9358">
        <f>IF(INDEX('Data Entry'!$H$5:$BE$10004,9358-4,'Visual SPC'!$B$3)="",0,IF(AND(OR('Visual SPC'!$C$4="",'Data Entry'!$C9358&gt;='Visual SPC'!$C$4),OR('Visual SPC'!$E$4="",'Data Entry'!$C9358&lt;='Visual SPC'!$E$4),OR('Visual SPC'!$G$4="",'Data Entry'!$D9358='Visual SPC'!$G$4),OR('Visual SPC'!$I$4="",'Data Entry'!$E9358='Visual SPC'!$I$4),OR('Visual SPC'!$K$4="",'Data Entry'!$F9358='Visual SPC'!$K$4)),1,0))</f>
        <v/>
      </c>
      <c r="C9358">
        <f>C9357+B9358</f>
        <v/>
      </c>
      <c r="D9358">
        <f>IF(B9358=1,INDEX('Data Entry'!$H$5:$BE$10004,9358-4,'Visual SPC'!$B$3),"")</f>
        <v/>
      </c>
      <c r="E9358">
        <f>IF(B9358=1,D9358,E9357)</f>
        <v/>
      </c>
      <c r="F9358">
        <f>IF(AND(B9358=1,C9358&gt;1,E9357&lt;&gt;""),ABS(D9358-E9357),"")</f>
        <v/>
      </c>
    </row>
    <row r="9359">
      <c r="A9359" t="n">
        <v>9359</v>
      </c>
      <c r="B9359">
        <f>IF(INDEX('Data Entry'!$H$5:$BE$10004,9359-4,'Visual SPC'!$B$3)="",0,IF(AND(OR('Visual SPC'!$C$4="",'Data Entry'!$C9359&gt;='Visual SPC'!$C$4),OR('Visual SPC'!$E$4="",'Data Entry'!$C9359&lt;='Visual SPC'!$E$4),OR('Visual SPC'!$G$4="",'Data Entry'!$D9359='Visual SPC'!$G$4),OR('Visual SPC'!$I$4="",'Data Entry'!$E9359='Visual SPC'!$I$4),OR('Visual SPC'!$K$4="",'Data Entry'!$F9359='Visual SPC'!$K$4)),1,0))</f>
        <v/>
      </c>
      <c r="C9359">
        <f>C9358+B9359</f>
        <v/>
      </c>
      <c r="D9359">
        <f>IF(B9359=1,INDEX('Data Entry'!$H$5:$BE$10004,9359-4,'Visual SPC'!$B$3),"")</f>
        <v/>
      </c>
      <c r="E9359">
        <f>IF(B9359=1,D9359,E9358)</f>
        <v/>
      </c>
      <c r="F9359">
        <f>IF(AND(B9359=1,C9359&gt;1,E9358&lt;&gt;""),ABS(D9359-E9358),"")</f>
        <v/>
      </c>
    </row>
    <row r="9360">
      <c r="A9360" t="n">
        <v>9360</v>
      </c>
      <c r="B9360">
        <f>IF(INDEX('Data Entry'!$H$5:$BE$10004,9360-4,'Visual SPC'!$B$3)="",0,IF(AND(OR('Visual SPC'!$C$4="",'Data Entry'!$C9360&gt;='Visual SPC'!$C$4),OR('Visual SPC'!$E$4="",'Data Entry'!$C9360&lt;='Visual SPC'!$E$4),OR('Visual SPC'!$G$4="",'Data Entry'!$D9360='Visual SPC'!$G$4),OR('Visual SPC'!$I$4="",'Data Entry'!$E9360='Visual SPC'!$I$4),OR('Visual SPC'!$K$4="",'Data Entry'!$F9360='Visual SPC'!$K$4)),1,0))</f>
        <v/>
      </c>
      <c r="C9360">
        <f>C9359+B9360</f>
        <v/>
      </c>
      <c r="D9360">
        <f>IF(B9360=1,INDEX('Data Entry'!$H$5:$BE$10004,9360-4,'Visual SPC'!$B$3),"")</f>
        <v/>
      </c>
      <c r="E9360">
        <f>IF(B9360=1,D9360,E9359)</f>
        <v/>
      </c>
      <c r="F9360">
        <f>IF(AND(B9360=1,C9360&gt;1,E9359&lt;&gt;""),ABS(D9360-E9359),"")</f>
        <v/>
      </c>
    </row>
    <row r="9361">
      <c r="A9361" t="n">
        <v>9361</v>
      </c>
      <c r="B9361">
        <f>IF(INDEX('Data Entry'!$H$5:$BE$10004,9361-4,'Visual SPC'!$B$3)="",0,IF(AND(OR('Visual SPC'!$C$4="",'Data Entry'!$C9361&gt;='Visual SPC'!$C$4),OR('Visual SPC'!$E$4="",'Data Entry'!$C9361&lt;='Visual SPC'!$E$4),OR('Visual SPC'!$G$4="",'Data Entry'!$D9361='Visual SPC'!$G$4),OR('Visual SPC'!$I$4="",'Data Entry'!$E9361='Visual SPC'!$I$4),OR('Visual SPC'!$K$4="",'Data Entry'!$F9361='Visual SPC'!$K$4)),1,0))</f>
        <v/>
      </c>
      <c r="C9361">
        <f>C9360+B9361</f>
        <v/>
      </c>
      <c r="D9361">
        <f>IF(B9361=1,INDEX('Data Entry'!$H$5:$BE$10004,9361-4,'Visual SPC'!$B$3),"")</f>
        <v/>
      </c>
      <c r="E9361">
        <f>IF(B9361=1,D9361,E9360)</f>
        <v/>
      </c>
      <c r="F9361">
        <f>IF(AND(B9361=1,C9361&gt;1,E9360&lt;&gt;""),ABS(D9361-E9360),"")</f>
        <v/>
      </c>
    </row>
    <row r="9362">
      <c r="A9362" t="n">
        <v>9362</v>
      </c>
      <c r="B9362">
        <f>IF(INDEX('Data Entry'!$H$5:$BE$10004,9362-4,'Visual SPC'!$B$3)="",0,IF(AND(OR('Visual SPC'!$C$4="",'Data Entry'!$C9362&gt;='Visual SPC'!$C$4),OR('Visual SPC'!$E$4="",'Data Entry'!$C9362&lt;='Visual SPC'!$E$4),OR('Visual SPC'!$G$4="",'Data Entry'!$D9362='Visual SPC'!$G$4),OR('Visual SPC'!$I$4="",'Data Entry'!$E9362='Visual SPC'!$I$4),OR('Visual SPC'!$K$4="",'Data Entry'!$F9362='Visual SPC'!$K$4)),1,0))</f>
        <v/>
      </c>
      <c r="C9362">
        <f>C9361+B9362</f>
        <v/>
      </c>
      <c r="D9362">
        <f>IF(B9362=1,INDEX('Data Entry'!$H$5:$BE$10004,9362-4,'Visual SPC'!$B$3),"")</f>
        <v/>
      </c>
      <c r="E9362">
        <f>IF(B9362=1,D9362,E9361)</f>
        <v/>
      </c>
      <c r="F9362">
        <f>IF(AND(B9362=1,C9362&gt;1,E9361&lt;&gt;""),ABS(D9362-E9361),"")</f>
        <v/>
      </c>
    </row>
    <row r="9363">
      <c r="A9363" t="n">
        <v>9363</v>
      </c>
      <c r="B9363">
        <f>IF(INDEX('Data Entry'!$H$5:$BE$10004,9363-4,'Visual SPC'!$B$3)="",0,IF(AND(OR('Visual SPC'!$C$4="",'Data Entry'!$C9363&gt;='Visual SPC'!$C$4),OR('Visual SPC'!$E$4="",'Data Entry'!$C9363&lt;='Visual SPC'!$E$4),OR('Visual SPC'!$G$4="",'Data Entry'!$D9363='Visual SPC'!$G$4),OR('Visual SPC'!$I$4="",'Data Entry'!$E9363='Visual SPC'!$I$4),OR('Visual SPC'!$K$4="",'Data Entry'!$F9363='Visual SPC'!$K$4)),1,0))</f>
        <v/>
      </c>
      <c r="C9363">
        <f>C9362+B9363</f>
        <v/>
      </c>
      <c r="D9363">
        <f>IF(B9363=1,INDEX('Data Entry'!$H$5:$BE$10004,9363-4,'Visual SPC'!$B$3),"")</f>
        <v/>
      </c>
      <c r="E9363">
        <f>IF(B9363=1,D9363,E9362)</f>
        <v/>
      </c>
      <c r="F9363">
        <f>IF(AND(B9363=1,C9363&gt;1,E9362&lt;&gt;""),ABS(D9363-E9362),"")</f>
        <v/>
      </c>
    </row>
    <row r="9364">
      <c r="A9364" t="n">
        <v>9364</v>
      </c>
      <c r="B9364">
        <f>IF(INDEX('Data Entry'!$H$5:$BE$10004,9364-4,'Visual SPC'!$B$3)="",0,IF(AND(OR('Visual SPC'!$C$4="",'Data Entry'!$C9364&gt;='Visual SPC'!$C$4),OR('Visual SPC'!$E$4="",'Data Entry'!$C9364&lt;='Visual SPC'!$E$4),OR('Visual SPC'!$G$4="",'Data Entry'!$D9364='Visual SPC'!$G$4),OR('Visual SPC'!$I$4="",'Data Entry'!$E9364='Visual SPC'!$I$4),OR('Visual SPC'!$K$4="",'Data Entry'!$F9364='Visual SPC'!$K$4)),1,0))</f>
        <v/>
      </c>
      <c r="C9364">
        <f>C9363+B9364</f>
        <v/>
      </c>
      <c r="D9364">
        <f>IF(B9364=1,INDEX('Data Entry'!$H$5:$BE$10004,9364-4,'Visual SPC'!$B$3),"")</f>
        <v/>
      </c>
      <c r="E9364">
        <f>IF(B9364=1,D9364,E9363)</f>
        <v/>
      </c>
      <c r="F9364">
        <f>IF(AND(B9364=1,C9364&gt;1,E9363&lt;&gt;""),ABS(D9364-E9363),"")</f>
        <v/>
      </c>
    </row>
    <row r="9365">
      <c r="A9365" t="n">
        <v>9365</v>
      </c>
      <c r="B9365">
        <f>IF(INDEX('Data Entry'!$H$5:$BE$10004,9365-4,'Visual SPC'!$B$3)="",0,IF(AND(OR('Visual SPC'!$C$4="",'Data Entry'!$C9365&gt;='Visual SPC'!$C$4),OR('Visual SPC'!$E$4="",'Data Entry'!$C9365&lt;='Visual SPC'!$E$4),OR('Visual SPC'!$G$4="",'Data Entry'!$D9365='Visual SPC'!$G$4),OR('Visual SPC'!$I$4="",'Data Entry'!$E9365='Visual SPC'!$I$4),OR('Visual SPC'!$K$4="",'Data Entry'!$F9365='Visual SPC'!$K$4)),1,0))</f>
        <v/>
      </c>
      <c r="C9365">
        <f>C9364+B9365</f>
        <v/>
      </c>
      <c r="D9365">
        <f>IF(B9365=1,INDEX('Data Entry'!$H$5:$BE$10004,9365-4,'Visual SPC'!$B$3),"")</f>
        <v/>
      </c>
      <c r="E9365">
        <f>IF(B9365=1,D9365,E9364)</f>
        <v/>
      </c>
      <c r="F9365">
        <f>IF(AND(B9365=1,C9365&gt;1,E9364&lt;&gt;""),ABS(D9365-E9364),"")</f>
        <v/>
      </c>
    </row>
    <row r="9366">
      <c r="A9366" t="n">
        <v>9366</v>
      </c>
      <c r="B9366">
        <f>IF(INDEX('Data Entry'!$H$5:$BE$10004,9366-4,'Visual SPC'!$B$3)="",0,IF(AND(OR('Visual SPC'!$C$4="",'Data Entry'!$C9366&gt;='Visual SPC'!$C$4),OR('Visual SPC'!$E$4="",'Data Entry'!$C9366&lt;='Visual SPC'!$E$4),OR('Visual SPC'!$G$4="",'Data Entry'!$D9366='Visual SPC'!$G$4),OR('Visual SPC'!$I$4="",'Data Entry'!$E9366='Visual SPC'!$I$4),OR('Visual SPC'!$K$4="",'Data Entry'!$F9366='Visual SPC'!$K$4)),1,0))</f>
        <v/>
      </c>
      <c r="C9366">
        <f>C9365+B9366</f>
        <v/>
      </c>
      <c r="D9366">
        <f>IF(B9366=1,INDEX('Data Entry'!$H$5:$BE$10004,9366-4,'Visual SPC'!$B$3),"")</f>
        <v/>
      </c>
      <c r="E9366">
        <f>IF(B9366=1,D9366,E9365)</f>
        <v/>
      </c>
      <c r="F9366">
        <f>IF(AND(B9366=1,C9366&gt;1,E9365&lt;&gt;""),ABS(D9366-E9365),"")</f>
        <v/>
      </c>
    </row>
    <row r="9367">
      <c r="A9367" t="n">
        <v>9367</v>
      </c>
      <c r="B9367">
        <f>IF(INDEX('Data Entry'!$H$5:$BE$10004,9367-4,'Visual SPC'!$B$3)="",0,IF(AND(OR('Visual SPC'!$C$4="",'Data Entry'!$C9367&gt;='Visual SPC'!$C$4),OR('Visual SPC'!$E$4="",'Data Entry'!$C9367&lt;='Visual SPC'!$E$4),OR('Visual SPC'!$G$4="",'Data Entry'!$D9367='Visual SPC'!$G$4),OR('Visual SPC'!$I$4="",'Data Entry'!$E9367='Visual SPC'!$I$4),OR('Visual SPC'!$K$4="",'Data Entry'!$F9367='Visual SPC'!$K$4)),1,0))</f>
        <v/>
      </c>
      <c r="C9367">
        <f>C9366+B9367</f>
        <v/>
      </c>
      <c r="D9367">
        <f>IF(B9367=1,INDEX('Data Entry'!$H$5:$BE$10004,9367-4,'Visual SPC'!$B$3),"")</f>
        <v/>
      </c>
      <c r="E9367">
        <f>IF(B9367=1,D9367,E9366)</f>
        <v/>
      </c>
      <c r="F9367">
        <f>IF(AND(B9367=1,C9367&gt;1,E9366&lt;&gt;""),ABS(D9367-E9366),"")</f>
        <v/>
      </c>
    </row>
    <row r="9368">
      <c r="A9368" t="n">
        <v>9368</v>
      </c>
      <c r="B9368">
        <f>IF(INDEX('Data Entry'!$H$5:$BE$10004,9368-4,'Visual SPC'!$B$3)="",0,IF(AND(OR('Visual SPC'!$C$4="",'Data Entry'!$C9368&gt;='Visual SPC'!$C$4),OR('Visual SPC'!$E$4="",'Data Entry'!$C9368&lt;='Visual SPC'!$E$4),OR('Visual SPC'!$G$4="",'Data Entry'!$D9368='Visual SPC'!$G$4),OR('Visual SPC'!$I$4="",'Data Entry'!$E9368='Visual SPC'!$I$4),OR('Visual SPC'!$K$4="",'Data Entry'!$F9368='Visual SPC'!$K$4)),1,0))</f>
        <v/>
      </c>
      <c r="C9368">
        <f>C9367+B9368</f>
        <v/>
      </c>
      <c r="D9368">
        <f>IF(B9368=1,INDEX('Data Entry'!$H$5:$BE$10004,9368-4,'Visual SPC'!$B$3),"")</f>
        <v/>
      </c>
      <c r="E9368">
        <f>IF(B9368=1,D9368,E9367)</f>
        <v/>
      </c>
      <c r="F9368">
        <f>IF(AND(B9368=1,C9368&gt;1,E9367&lt;&gt;""),ABS(D9368-E9367),"")</f>
        <v/>
      </c>
    </row>
    <row r="9369">
      <c r="A9369" t="n">
        <v>9369</v>
      </c>
      <c r="B9369">
        <f>IF(INDEX('Data Entry'!$H$5:$BE$10004,9369-4,'Visual SPC'!$B$3)="",0,IF(AND(OR('Visual SPC'!$C$4="",'Data Entry'!$C9369&gt;='Visual SPC'!$C$4),OR('Visual SPC'!$E$4="",'Data Entry'!$C9369&lt;='Visual SPC'!$E$4),OR('Visual SPC'!$G$4="",'Data Entry'!$D9369='Visual SPC'!$G$4),OR('Visual SPC'!$I$4="",'Data Entry'!$E9369='Visual SPC'!$I$4),OR('Visual SPC'!$K$4="",'Data Entry'!$F9369='Visual SPC'!$K$4)),1,0))</f>
        <v/>
      </c>
      <c r="C9369">
        <f>C9368+B9369</f>
        <v/>
      </c>
      <c r="D9369">
        <f>IF(B9369=1,INDEX('Data Entry'!$H$5:$BE$10004,9369-4,'Visual SPC'!$B$3),"")</f>
        <v/>
      </c>
      <c r="E9369">
        <f>IF(B9369=1,D9369,E9368)</f>
        <v/>
      </c>
      <c r="F9369">
        <f>IF(AND(B9369=1,C9369&gt;1,E9368&lt;&gt;""),ABS(D9369-E9368),"")</f>
        <v/>
      </c>
    </row>
    <row r="9370">
      <c r="A9370" t="n">
        <v>9370</v>
      </c>
      <c r="B9370">
        <f>IF(INDEX('Data Entry'!$H$5:$BE$10004,9370-4,'Visual SPC'!$B$3)="",0,IF(AND(OR('Visual SPC'!$C$4="",'Data Entry'!$C9370&gt;='Visual SPC'!$C$4),OR('Visual SPC'!$E$4="",'Data Entry'!$C9370&lt;='Visual SPC'!$E$4),OR('Visual SPC'!$G$4="",'Data Entry'!$D9370='Visual SPC'!$G$4),OR('Visual SPC'!$I$4="",'Data Entry'!$E9370='Visual SPC'!$I$4),OR('Visual SPC'!$K$4="",'Data Entry'!$F9370='Visual SPC'!$K$4)),1,0))</f>
        <v/>
      </c>
      <c r="C9370">
        <f>C9369+B9370</f>
        <v/>
      </c>
      <c r="D9370">
        <f>IF(B9370=1,INDEX('Data Entry'!$H$5:$BE$10004,9370-4,'Visual SPC'!$B$3),"")</f>
        <v/>
      </c>
      <c r="E9370">
        <f>IF(B9370=1,D9370,E9369)</f>
        <v/>
      </c>
      <c r="F9370">
        <f>IF(AND(B9370=1,C9370&gt;1,E9369&lt;&gt;""),ABS(D9370-E9369),"")</f>
        <v/>
      </c>
    </row>
    <row r="9371">
      <c r="A9371" t="n">
        <v>9371</v>
      </c>
      <c r="B9371">
        <f>IF(INDEX('Data Entry'!$H$5:$BE$10004,9371-4,'Visual SPC'!$B$3)="",0,IF(AND(OR('Visual SPC'!$C$4="",'Data Entry'!$C9371&gt;='Visual SPC'!$C$4),OR('Visual SPC'!$E$4="",'Data Entry'!$C9371&lt;='Visual SPC'!$E$4),OR('Visual SPC'!$G$4="",'Data Entry'!$D9371='Visual SPC'!$G$4),OR('Visual SPC'!$I$4="",'Data Entry'!$E9371='Visual SPC'!$I$4),OR('Visual SPC'!$K$4="",'Data Entry'!$F9371='Visual SPC'!$K$4)),1,0))</f>
        <v/>
      </c>
      <c r="C9371">
        <f>C9370+B9371</f>
        <v/>
      </c>
      <c r="D9371">
        <f>IF(B9371=1,INDEX('Data Entry'!$H$5:$BE$10004,9371-4,'Visual SPC'!$B$3),"")</f>
        <v/>
      </c>
      <c r="E9371">
        <f>IF(B9371=1,D9371,E9370)</f>
        <v/>
      </c>
      <c r="F9371">
        <f>IF(AND(B9371=1,C9371&gt;1,E9370&lt;&gt;""),ABS(D9371-E9370),"")</f>
        <v/>
      </c>
    </row>
    <row r="9372">
      <c r="A9372" t="n">
        <v>9372</v>
      </c>
      <c r="B9372">
        <f>IF(INDEX('Data Entry'!$H$5:$BE$10004,9372-4,'Visual SPC'!$B$3)="",0,IF(AND(OR('Visual SPC'!$C$4="",'Data Entry'!$C9372&gt;='Visual SPC'!$C$4),OR('Visual SPC'!$E$4="",'Data Entry'!$C9372&lt;='Visual SPC'!$E$4),OR('Visual SPC'!$G$4="",'Data Entry'!$D9372='Visual SPC'!$G$4),OR('Visual SPC'!$I$4="",'Data Entry'!$E9372='Visual SPC'!$I$4),OR('Visual SPC'!$K$4="",'Data Entry'!$F9372='Visual SPC'!$K$4)),1,0))</f>
        <v/>
      </c>
      <c r="C9372">
        <f>C9371+B9372</f>
        <v/>
      </c>
      <c r="D9372">
        <f>IF(B9372=1,INDEX('Data Entry'!$H$5:$BE$10004,9372-4,'Visual SPC'!$B$3),"")</f>
        <v/>
      </c>
      <c r="E9372">
        <f>IF(B9372=1,D9372,E9371)</f>
        <v/>
      </c>
      <c r="F9372">
        <f>IF(AND(B9372=1,C9372&gt;1,E9371&lt;&gt;""),ABS(D9372-E9371),"")</f>
        <v/>
      </c>
    </row>
    <row r="9373">
      <c r="A9373" t="n">
        <v>9373</v>
      </c>
      <c r="B9373">
        <f>IF(INDEX('Data Entry'!$H$5:$BE$10004,9373-4,'Visual SPC'!$B$3)="",0,IF(AND(OR('Visual SPC'!$C$4="",'Data Entry'!$C9373&gt;='Visual SPC'!$C$4),OR('Visual SPC'!$E$4="",'Data Entry'!$C9373&lt;='Visual SPC'!$E$4),OR('Visual SPC'!$G$4="",'Data Entry'!$D9373='Visual SPC'!$G$4),OR('Visual SPC'!$I$4="",'Data Entry'!$E9373='Visual SPC'!$I$4),OR('Visual SPC'!$K$4="",'Data Entry'!$F9373='Visual SPC'!$K$4)),1,0))</f>
        <v/>
      </c>
      <c r="C9373">
        <f>C9372+B9373</f>
        <v/>
      </c>
      <c r="D9373">
        <f>IF(B9373=1,INDEX('Data Entry'!$H$5:$BE$10004,9373-4,'Visual SPC'!$B$3),"")</f>
        <v/>
      </c>
      <c r="E9373">
        <f>IF(B9373=1,D9373,E9372)</f>
        <v/>
      </c>
      <c r="F9373">
        <f>IF(AND(B9373=1,C9373&gt;1,E9372&lt;&gt;""),ABS(D9373-E9372),"")</f>
        <v/>
      </c>
    </row>
    <row r="9374">
      <c r="A9374" t="n">
        <v>9374</v>
      </c>
      <c r="B9374">
        <f>IF(INDEX('Data Entry'!$H$5:$BE$10004,9374-4,'Visual SPC'!$B$3)="",0,IF(AND(OR('Visual SPC'!$C$4="",'Data Entry'!$C9374&gt;='Visual SPC'!$C$4),OR('Visual SPC'!$E$4="",'Data Entry'!$C9374&lt;='Visual SPC'!$E$4),OR('Visual SPC'!$G$4="",'Data Entry'!$D9374='Visual SPC'!$G$4),OR('Visual SPC'!$I$4="",'Data Entry'!$E9374='Visual SPC'!$I$4),OR('Visual SPC'!$K$4="",'Data Entry'!$F9374='Visual SPC'!$K$4)),1,0))</f>
        <v/>
      </c>
      <c r="C9374">
        <f>C9373+B9374</f>
        <v/>
      </c>
      <c r="D9374">
        <f>IF(B9374=1,INDEX('Data Entry'!$H$5:$BE$10004,9374-4,'Visual SPC'!$B$3),"")</f>
        <v/>
      </c>
      <c r="E9374">
        <f>IF(B9374=1,D9374,E9373)</f>
        <v/>
      </c>
      <c r="F9374">
        <f>IF(AND(B9374=1,C9374&gt;1,E9373&lt;&gt;""),ABS(D9374-E9373),"")</f>
        <v/>
      </c>
    </row>
    <row r="9375">
      <c r="A9375" t="n">
        <v>9375</v>
      </c>
      <c r="B9375">
        <f>IF(INDEX('Data Entry'!$H$5:$BE$10004,9375-4,'Visual SPC'!$B$3)="",0,IF(AND(OR('Visual SPC'!$C$4="",'Data Entry'!$C9375&gt;='Visual SPC'!$C$4),OR('Visual SPC'!$E$4="",'Data Entry'!$C9375&lt;='Visual SPC'!$E$4),OR('Visual SPC'!$G$4="",'Data Entry'!$D9375='Visual SPC'!$G$4),OR('Visual SPC'!$I$4="",'Data Entry'!$E9375='Visual SPC'!$I$4),OR('Visual SPC'!$K$4="",'Data Entry'!$F9375='Visual SPC'!$K$4)),1,0))</f>
        <v/>
      </c>
      <c r="C9375">
        <f>C9374+B9375</f>
        <v/>
      </c>
      <c r="D9375">
        <f>IF(B9375=1,INDEX('Data Entry'!$H$5:$BE$10004,9375-4,'Visual SPC'!$B$3),"")</f>
        <v/>
      </c>
      <c r="E9375">
        <f>IF(B9375=1,D9375,E9374)</f>
        <v/>
      </c>
      <c r="F9375">
        <f>IF(AND(B9375=1,C9375&gt;1,E9374&lt;&gt;""),ABS(D9375-E9374),"")</f>
        <v/>
      </c>
    </row>
    <row r="9376">
      <c r="A9376" t="n">
        <v>9376</v>
      </c>
      <c r="B9376">
        <f>IF(INDEX('Data Entry'!$H$5:$BE$10004,9376-4,'Visual SPC'!$B$3)="",0,IF(AND(OR('Visual SPC'!$C$4="",'Data Entry'!$C9376&gt;='Visual SPC'!$C$4),OR('Visual SPC'!$E$4="",'Data Entry'!$C9376&lt;='Visual SPC'!$E$4),OR('Visual SPC'!$G$4="",'Data Entry'!$D9376='Visual SPC'!$G$4),OR('Visual SPC'!$I$4="",'Data Entry'!$E9376='Visual SPC'!$I$4),OR('Visual SPC'!$K$4="",'Data Entry'!$F9376='Visual SPC'!$K$4)),1,0))</f>
        <v/>
      </c>
      <c r="C9376">
        <f>C9375+B9376</f>
        <v/>
      </c>
      <c r="D9376">
        <f>IF(B9376=1,INDEX('Data Entry'!$H$5:$BE$10004,9376-4,'Visual SPC'!$B$3),"")</f>
        <v/>
      </c>
      <c r="E9376">
        <f>IF(B9376=1,D9376,E9375)</f>
        <v/>
      </c>
      <c r="F9376">
        <f>IF(AND(B9376=1,C9376&gt;1,E9375&lt;&gt;""),ABS(D9376-E9375),"")</f>
        <v/>
      </c>
    </row>
    <row r="9377">
      <c r="A9377" t="n">
        <v>9377</v>
      </c>
      <c r="B9377">
        <f>IF(INDEX('Data Entry'!$H$5:$BE$10004,9377-4,'Visual SPC'!$B$3)="",0,IF(AND(OR('Visual SPC'!$C$4="",'Data Entry'!$C9377&gt;='Visual SPC'!$C$4),OR('Visual SPC'!$E$4="",'Data Entry'!$C9377&lt;='Visual SPC'!$E$4),OR('Visual SPC'!$G$4="",'Data Entry'!$D9377='Visual SPC'!$G$4),OR('Visual SPC'!$I$4="",'Data Entry'!$E9377='Visual SPC'!$I$4),OR('Visual SPC'!$K$4="",'Data Entry'!$F9377='Visual SPC'!$K$4)),1,0))</f>
        <v/>
      </c>
      <c r="C9377">
        <f>C9376+B9377</f>
        <v/>
      </c>
      <c r="D9377">
        <f>IF(B9377=1,INDEX('Data Entry'!$H$5:$BE$10004,9377-4,'Visual SPC'!$B$3),"")</f>
        <v/>
      </c>
      <c r="E9377">
        <f>IF(B9377=1,D9377,E9376)</f>
        <v/>
      </c>
      <c r="F9377">
        <f>IF(AND(B9377=1,C9377&gt;1,E9376&lt;&gt;""),ABS(D9377-E9376),"")</f>
        <v/>
      </c>
    </row>
    <row r="9378">
      <c r="A9378" t="n">
        <v>9378</v>
      </c>
      <c r="B9378">
        <f>IF(INDEX('Data Entry'!$H$5:$BE$10004,9378-4,'Visual SPC'!$B$3)="",0,IF(AND(OR('Visual SPC'!$C$4="",'Data Entry'!$C9378&gt;='Visual SPC'!$C$4),OR('Visual SPC'!$E$4="",'Data Entry'!$C9378&lt;='Visual SPC'!$E$4),OR('Visual SPC'!$G$4="",'Data Entry'!$D9378='Visual SPC'!$G$4),OR('Visual SPC'!$I$4="",'Data Entry'!$E9378='Visual SPC'!$I$4),OR('Visual SPC'!$K$4="",'Data Entry'!$F9378='Visual SPC'!$K$4)),1,0))</f>
        <v/>
      </c>
      <c r="C9378">
        <f>C9377+B9378</f>
        <v/>
      </c>
      <c r="D9378">
        <f>IF(B9378=1,INDEX('Data Entry'!$H$5:$BE$10004,9378-4,'Visual SPC'!$B$3),"")</f>
        <v/>
      </c>
      <c r="E9378">
        <f>IF(B9378=1,D9378,E9377)</f>
        <v/>
      </c>
      <c r="F9378">
        <f>IF(AND(B9378=1,C9378&gt;1,E9377&lt;&gt;""),ABS(D9378-E9377),"")</f>
        <v/>
      </c>
    </row>
    <row r="9379">
      <c r="A9379" t="n">
        <v>9379</v>
      </c>
      <c r="B9379">
        <f>IF(INDEX('Data Entry'!$H$5:$BE$10004,9379-4,'Visual SPC'!$B$3)="",0,IF(AND(OR('Visual SPC'!$C$4="",'Data Entry'!$C9379&gt;='Visual SPC'!$C$4),OR('Visual SPC'!$E$4="",'Data Entry'!$C9379&lt;='Visual SPC'!$E$4),OR('Visual SPC'!$G$4="",'Data Entry'!$D9379='Visual SPC'!$G$4),OR('Visual SPC'!$I$4="",'Data Entry'!$E9379='Visual SPC'!$I$4),OR('Visual SPC'!$K$4="",'Data Entry'!$F9379='Visual SPC'!$K$4)),1,0))</f>
        <v/>
      </c>
      <c r="C9379">
        <f>C9378+B9379</f>
        <v/>
      </c>
      <c r="D9379">
        <f>IF(B9379=1,INDEX('Data Entry'!$H$5:$BE$10004,9379-4,'Visual SPC'!$B$3),"")</f>
        <v/>
      </c>
      <c r="E9379">
        <f>IF(B9379=1,D9379,E9378)</f>
        <v/>
      </c>
      <c r="F9379">
        <f>IF(AND(B9379=1,C9379&gt;1,E9378&lt;&gt;""),ABS(D9379-E9378),"")</f>
        <v/>
      </c>
    </row>
    <row r="9380">
      <c r="A9380" t="n">
        <v>9380</v>
      </c>
      <c r="B9380">
        <f>IF(INDEX('Data Entry'!$H$5:$BE$10004,9380-4,'Visual SPC'!$B$3)="",0,IF(AND(OR('Visual SPC'!$C$4="",'Data Entry'!$C9380&gt;='Visual SPC'!$C$4),OR('Visual SPC'!$E$4="",'Data Entry'!$C9380&lt;='Visual SPC'!$E$4),OR('Visual SPC'!$G$4="",'Data Entry'!$D9380='Visual SPC'!$G$4),OR('Visual SPC'!$I$4="",'Data Entry'!$E9380='Visual SPC'!$I$4),OR('Visual SPC'!$K$4="",'Data Entry'!$F9380='Visual SPC'!$K$4)),1,0))</f>
        <v/>
      </c>
      <c r="C9380">
        <f>C9379+B9380</f>
        <v/>
      </c>
      <c r="D9380">
        <f>IF(B9380=1,INDEX('Data Entry'!$H$5:$BE$10004,9380-4,'Visual SPC'!$B$3),"")</f>
        <v/>
      </c>
      <c r="E9380">
        <f>IF(B9380=1,D9380,E9379)</f>
        <v/>
      </c>
      <c r="F9380">
        <f>IF(AND(B9380=1,C9380&gt;1,E9379&lt;&gt;""),ABS(D9380-E9379),"")</f>
        <v/>
      </c>
    </row>
    <row r="9381">
      <c r="A9381" t="n">
        <v>9381</v>
      </c>
      <c r="B9381">
        <f>IF(INDEX('Data Entry'!$H$5:$BE$10004,9381-4,'Visual SPC'!$B$3)="",0,IF(AND(OR('Visual SPC'!$C$4="",'Data Entry'!$C9381&gt;='Visual SPC'!$C$4),OR('Visual SPC'!$E$4="",'Data Entry'!$C9381&lt;='Visual SPC'!$E$4),OR('Visual SPC'!$G$4="",'Data Entry'!$D9381='Visual SPC'!$G$4),OR('Visual SPC'!$I$4="",'Data Entry'!$E9381='Visual SPC'!$I$4),OR('Visual SPC'!$K$4="",'Data Entry'!$F9381='Visual SPC'!$K$4)),1,0))</f>
        <v/>
      </c>
      <c r="C9381">
        <f>C9380+B9381</f>
        <v/>
      </c>
      <c r="D9381">
        <f>IF(B9381=1,INDEX('Data Entry'!$H$5:$BE$10004,9381-4,'Visual SPC'!$B$3),"")</f>
        <v/>
      </c>
      <c r="E9381">
        <f>IF(B9381=1,D9381,E9380)</f>
        <v/>
      </c>
      <c r="F9381">
        <f>IF(AND(B9381=1,C9381&gt;1,E9380&lt;&gt;""),ABS(D9381-E9380),"")</f>
        <v/>
      </c>
    </row>
    <row r="9382">
      <c r="A9382" t="n">
        <v>9382</v>
      </c>
      <c r="B9382">
        <f>IF(INDEX('Data Entry'!$H$5:$BE$10004,9382-4,'Visual SPC'!$B$3)="",0,IF(AND(OR('Visual SPC'!$C$4="",'Data Entry'!$C9382&gt;='Visual SPC'!$C$4),OR('Visual SPC'!$E$4="",'Data Entry'!$C9382&lt;='Visual SPC'!$E$4),OR('Visual SPC'!$G$4="",'Data Entry'!$D9382='Visual SPC'!$G$4),OR('Visual SPC'!$I$4="",'Data Entry'!$E9382='Visual SPC'!$I$4),OR('Visual SPC'!$K$4="",'Data Entry'!$F9382='Visual SPC'!$K$4)),1,0))</f>
        <v/>
      </c>
      <c r="C9382">
        <f>C9381+B9382</f>
        <v/>
      </c>
      <c r="D9382">
        <f>IF(B9382=1,INDEX('Data Entry'!$H$5:$BE$10004,9382-4,'Visual SPC'!$B$3),"")</f>
        <v/>
      </c>
      <c r="E9382">
        <f>IF(B9382=1,D9382,E9381)</f>
        <v/>
      </c>
      <c r="F9382">
        <f>IF(AND(B9382=1,C9382&gt;1,E9381&lt;&gt;""),ABS(D9382-E9381),"")</f>
        <v/>
      </c>
    </row>
    <row r="9383">
      <c r="A9383" t="n">
        <v>9383</v>
      </c>
      <c r="B9383">
        <f>IF(INDEX('Data Entry'!$H$5:$BE$10004,9383-4,'Visual SPC'!$B$3)="",0,IF(AND(OR('Visual SPC'!$C$4="",'Data Entry'!$C9383&gt;='Visual SPC'!$C$4),OR('Visual SPC'!$E$4="",'Data Entry'!$C9383&lt;='Visual SPC'!$E$4),OR('Visual SPC'!$G$4="",'Data Entry'!$D9383='Visual SPC'!$G$4),OR('Visual SPC'!$I$4="",'Data Entry'!$E9383='Visual SPC'!$I$4),OR('Visual SPC'!$K$4="",'Data Entry'!$F9383='Visual SPC'!$K$4)),1,0))</f>
        <v/>
      </c>
      <c r="C9383">
        <f>C9382+B9383</f>
        <v/>
      </c>
      <c r="D9383">
        <f>IF(B9383=1,INDEX('Data Entry'!$H$5:$BE$10004,9383-4,'Visual SPC'!$B$3),"")</f>
        <v/>
      </c>
      <c r="E9383">
        <f>IF(B9383=1,D9383,E9382)</f>
        <v/>
      </c>
      <c r="F9383">
        <f>IF(AND(B9383=1,C9383&gt;1,E9382&lt;&gt;""),ABS(D9383-E9382),"")</f>
        <v/>
      </c>
    </row>
    <row r="9384">
      <c r="A9384" t="n">
        <v>9384</v>
      </c>
      <c r="B9384">
        <f>IF(INDEX('Data Entry'!$H$5:$BE$10004,9384-4,'Visual SPC'!$B$3)="",0,IF(AND(OR('Visual SPC'!$C$4="",'Data Entry'!$C9384&gt;='Visual SPC'!$C$4),OR('Visual SPC'!$E$4="",'Data Entry'!$C9384&lt;='Visual SPC'!$E$4),OR('Visual SPC'!$G$4="",'Data Entry'!$D9384='Visual SPC'!$G$4),OR('Visual SPC'!$I$4="",'Data Entry'!$E9384='Visual SPC'!$I$4),OR('Visual SPC'!$K$4="",'Data Entry'!$F9384='Visual SPC'!$K$4)),1,0))</f>
        <v/>
      </c>
      <c r="C9384">
        <f>C9383+B9384</f>
        <v/>
      </c>
      <c r="D9384">
        <f>IF(B9384=1,INDEX('Data Entry'!$H$5:$BE$10004,9384-4,'Visual SPC'!$B$3),"")</f>
        <v/>
      </c>
      <c r="E9384">
        <f>IF(B9384=1,D9384,E9383)</f>
        <v/>
      </c>
      <c r="F9384">
        <f>IF(AND(B9384=1,C9384&gt;1,E9383&lt;&gt;""),ABS(D9384-E9383),"")</f>
        <v/>
      </c>
    </row>
    <row r="9385">
      <c r="A9385" t="n">
        <v>9385</v>
      </c>
      <c r="B9385">
        <f>IF(INDEX('Data Entry'!$H$5:$BE$10004,9385-4,'Visual SPC'!$B$3)="",0,IF(AND(OR('Visual SPC'!$C$4="",'Data Entry'!$C9385&gt;='Visual SPC'!$C$4),OR('Visual SPC'!$E$4="",'Data Entry'!$C9385&lt;='Visual SPC'!$E$4),OR('Visual SPC'!$G$4="",'Data Entry'!$D9385='Visual SPC'!$G$4),OR('Visual SPC'!$I$4="",'Data Entry'!$E9385='Visual SPC'!$I$4),OR('Visual SPC'!$K$4="",'Data Entry'!$F9385='Visual SPC'!$K$4)),1,0))</f>
        <v/>
      </c>
      <c r="C9385">
        <f>C9384+B9385</f>
        <v/>
      </c>
      <c r="D9385">
        <f>IF(B9385=1,INDEX('Data Entry'!$H$5:$BE$10004,9385-4,'Visual SPC'!$B$3),"")</f>
        <v/>
      </c>
      <c r="E9385">
        <f>IF(B9385=1,D9385,E9384)</f>
        <v/>
      </c>
      <c r="F9385">
        <f>IF(AND(B9385=1,C9385&gt;1,E9384&lt;&gt;""),ABS(D9385-E9384),"")</f>
        <v/>
      </c>
    </row>
    <row r="9386">
      <c r="A9386" t="n">
        <v>9386</v>
      </c>
      <c r="B9386">
        <f>IF(INDEX('Data Entry'!$H$5:$BE$10004,9386-4,'Visual SPC'!$B$3)="",0,IF(AND(OR('Visual SPC'!$C$4="",'Data Entry'!$C9386&gt;='Visual SPC'!$C$4),OR('Visual SPC'!$E$4="",'Data Entry'!$C9386&lt;='Visual SPC'!$E$4),OR('Visual SPC'!$G$4="",'Data Entry'!$D9386='Visual SPC'!$G$4),OR('Visual SPC'!$I$4="",'Data Entry'!$E9386='Visual SPC'!$I$4),OR('Visual SPC'!$K$4="",'Data Entry'!$F9386='Visual SPC'!$K$4)),1,0))</f>
        <v/>
      </c>
      <c r="C9386">
        <f>C9385+B9386</f>
        <v/>
      </c>
      <c r="D9386">
        <f>IF(B9386=1,INDEX('Data Entry'!$H$5:$BE$10004,9386-4,'Visual SPC'!$B$3),"")</f>
        <v/>
      </c>
      <c r="E9386">
        <f>IF(B9386=1,D9386,E9385)</f>
        <v/>
      </c>
      <c r="F9386">
        <f>IF(AND(B9386=1,C9386&gt;1,E9385&lt;&gt;""),ABS(D9386-E9385),"")</f>
        <v/>
      </c>
    </row>
    <row r="9387">
      <c r="A9387" t="n">
        <v>9387</v>
      </c>
      <c r="B9387">
        <f>IF(INDEX('Data Entry'!$H$5:$BE$10004,9387-4,'Visual SPC'!$B$3)="",0,IF(AND(OR('Visual SPC'!$C$4="",'Data Entry'!$C9387&gt;='Visual SPC'!$C$4),OR('Visual SPC'!$E$4="",'Data Entry'!$C9387&lt;='Visual SPC'!$E$4),OR('Visual SPC'!$G$4="",'Data Entry'!$D9387='Visual SPC'!$G$4),OR('Visual SPC'!$I$4="",'Data Entry'!$E9387='Visual SPC'!$I$4),OR('Visual SPC'!$K$4="",'Data Entry'!$F9387='Visual SPC'!$K$4)),1,0))</f>
        <v/>
      </c>
      <c r="C9387">
        <f>C9386+B9387</f>
        <v/>
      </c>
      <c r="D9387">
        <f>IF(B9387=1,INDEX('Data Entry'!$H$5:$BE$10004,9387-4,'Visual SPC'!$B$3),"")</f>
        <v/>
      </c>
      <c r="E9387">
        <f>IF(B9387=1,D9387,E9386)</f>
        <v/>
      </c>
      <c r="F9387">
        <f>IF(AND(B9387=1,C9387&gt;1,E9386&lt;&gt;""),ABS(D9387-E9386),"")</f>
        <v/>
      </c>
    </row>
    <row r="9388">
      <c r="A9388" t="n">
        <v>9388</v>
      </c>
      <c r="B9388">
        <f>IF(INDEX('Data Entry'!$H$5:$BE$10004,9388-4,'Visual SPC'!$B$3)="",0,IF(AND(OR('Visual SPC'!$C$4="",'Data Entry'!$C9388&gt;='Visual SPC'!$C$4),OR('Visual SPC'!$E$4="",'Data Entry'!$C9388&lt;='Visual SPC'!$E$4),OR('Visual SPC'!$G$4="",'Data Entry'!$D9388='Visual SPC'!$G$4),OR('Visual SPC'!$I$4="",'Data Entry'!$E9388='Visual SPC'!$I$4),OR('Visual SPC'!$K$4="",'Data Entry'!$F9388='Visual SPC'!$K$4)),1,0))</f>
        <v/>
      </c>
      <c r="C9388">
        <f>C9387+B9388</f>
        <v/>
      </c>
      <c r="D9388">
        <f>IF(B9388=1,INDEX('Data Entry'!$H$5:$BE$10004,9388-4,'Visual SPC'!$B$3),"")</f>
        <v/>
      </c>
      <c r="E9388">
        <f>IF(B9388=1,D9388,E9387)</f>
        <v/>
      </c>
      <c r="F9388">
        <f>IF(AND(B9388=1,C9388&gt;1,E9387&lt;&gt;""),ABS(D9388-E9387),"")</f>
        <v/>
      </c>
    </row>
    <row r="9389">
      <c r="A9389" t="n">
        <v>9389</v>
      </c>
      <c r="B9389">
        <f>IF(INDEX('Data Entry'!$H$5:$BE$10004,9389-4,'Visual SPC'!$B$3)="",0,IF(AND(OR('Visual SPC'!$C$4="",'Data Entry'!$C9389&gt;='Visual SPC'!$C$4),OR('Visual SPC'!$E$4="",'Data Entry'!$C9389&lt;='Visual SPC'!$E$4),OR('Visual SPC'!$G$4="",'Data Entry'!$D9389='Visual SPC'!$G$4),OR('Visual SPC'!$I$4="",'Data Entry'!$E9389='Visual SPC'!$I$4),OR('Visual SPC'!$K$4="",'Data Entry'!$F9389='Visual SPC'!$K$4)),1,0))</f>
        <v/>
      </c>
      <c r="C9389">
        <f>C9388+B9389</f>
        <v/>
      </c>
      <c r="D9389">
        <f>IF(B9389=1,INDEX('Data Entry'!$H$5:$BE$10004,9389-4,'Visual SPC'!$B$3),"")</f>
        <v/>
      </c>
      <c r="E9389">
        <f>IF(B9389=1,D9389,E9388)</f>
        <v/>
      </c>
      <c r="F9389">
        <f>IF(AND(B9389=1,C9389&gt;1,E9388&lt;&gt;""),ABS(D9389-E9388),"")</f>
        <v/>
      </c>
    </row>
    <row r="9390">
      <c r="A9390" t="n">
        <v>9390</v>
      </c>
      <c r="B9390">
        <f>IF(INDEX('Data Entry'!$H$5:$BE$10004,9390-4,'Visual SPC'!$B$3)="",0,IF(AND(OR('Visual SPC'!$C$4="",'Data Entry'!$C9390&gt;='Visual SPC'!$C$4),OR('Visual SPC'!$E$4="",'Data Entry'!$C9390&lt;='Visual SPC'!$E$4),OR('Visual SPC'!$G$4="",'Data Entry'!$D9390='Visual SPC'!$G$4),OR('Visual SPC'!$I$4="",'Data Entry'!$E9390='Visual SPC'!$I$4),OR('Visual SPC'!$K$4="",'Data Entry'!$F9390='Visual SPC'!$K$4)),1,0))</f>
        <v/>
      </c>
      <c r="C9390">
        <f>C9389+B9390</f>
        <v/>
      </c>
      <c r="D9390">
        <f>IF(B9390=1,INDEX('Data Entry'!$H$5:$BE$10004,9390-4,'Visual SPC'!$B$3),"")</f>
        <v/>
      </c>
      <c r="E9390">
        <f>IF(B9390=1,D9390,E9389)</f>
        <v/>
      </c>
      <c r="F9390">
        <f>IF(AND(B9390=1,C9390&gt;1,E9389&lt;&gt;""),ABS(D9390-E9389),"")</f>
        <v/>
      </c>
    </row>
    <row r="9391">
      <c r="A9391" t="n">
        <v>9391</v>
      </c>
      <c r="B9391">
        <f>IF(INDEX('Data Entry'!$H$5:$BE$10004,9391-4,'Visual SPC'!$B$3)="",0,IF(AND(OR('Visual SPC'!$C$4="",'Data Entry'!$C9391&gt;='Visual SPC'!$C$4),OR('Visual SPC'!$E$4="",'Data Entry'!$C9391&lt;='Visual SPC'!$E$4),OR('Visual SPC'!$G$4="",'Data Entry'!$D9391='Visual SPC'!$G$4),OR('Visual SPC'!$I$4="",'Data Entry'!$E9391='Visual SPC'!$I$4),OR('Visual SPC'!$K$4="",'Data Entry'!$F9391='Visual SPC'!$K$4)),1,0))</f>
        <v/>
      </c>
      <c r="C9391">
        <f>C9390+B9391</f>
        <v/>
      </c>
      <c r="D9391">
        <f>IF(B9391=1,INDEX('Data Entry'!$H$5:$BE$10004,9391-4,'Visual SPC'!$B$3),"")</f>
        <v/>
      </c>
      <c r="E9391">
        <f>IF(B9391=1,D9391,E9390)</f>
        <v/>
      </c>
      <c r="F9391">
        <f>IF(AND(B9391=1,C9391&gt;1,E9390&lt;&gt;""),ABS(D9391-E9390),"")</f>
        <v/>
      </c>
    </row>
    <row r="9392">
      <c r="A9392" t="n">
        <v>9392</v>
      </c>
      <c r="B9392">
        <f>IF(INDEX('Data Entry'!$H$5:$BE$10004,9392-4,'Visual SPC'!$B$3)="",0,IF(AND(OR('Visual SPC'!$C$4="",'Data Entry'!$C9392&gt;='Visual SPC'!$C$4),OR('Visual SPC'!$E$4="",'Data Entry'!$C9392&lt;='Visual SPC'!$E$4),OR('Visual SPC'!$G$4="",'Data Entry'!$D9392='Visual SPC'!$G$4),OR('Visual SPC'!$I$4="",'Data Entry'!$E9392='Visual SPC'!$I$4),OR('Visual SPC'!$K$4="",'Data Entry'!$F9392='Visual SPC'!$K$4)),1,0))</f>
        <v/>
      </c>
      <c r="C9392">
        <f>C9391+B9392</f>
        <v/>
      </c>
      <c r="D9392">
        <f>IF(B9392=1,INDEX('Data Entry'!$H$5:$BE$10004,9392-4,'Visual SPC'!$B$3),"")</f>
        <v/>
      </c>
      <c r="E9392">
        <f>IF(B9392=1,D9392,E9391)</f>
        <v/>
      </c>
      <c r="F9392">
        <f>IF(AND(B9392=1,C9392&gt;1,E9391&lt;&gt;""),ABS(D9392-E9391),"")</f>
        <v/>
      </c>
    </row>
    <row r="9393">
      <c r="A9393" t="n">
        <v>9393</v>
      </c>
      <c r="B9393">
        <f>IF(INDEX('Data Entry'!$H$5:$BE$10004,9393-4,'Visual SPC'!$B$3)="",0,IF(AND(OR('Visual SPC'!$C$4="",'Data Entry'!$C9393&gt;='Visual SPC'!$C$4),OR('Visual SPC'!$E$4="",'Data Entry'!$C9393&lt;='Visual SPC'!$E$4),OR('Visual SPC'!$G$4="",'Data Entry'!$D9393='Visual SPC'!$G$4),OR('Visual SPC'!$I$4="",'Data Entry'!$E9393='Visual SPC'!$I$4),OR('Visual SPC'!$K$4="",'Data Entry'!$F9393='Visual SPC'!$K$4)),1,0))</f>
        <v/>
      </c>
      <c r="C9393">
        <f>C9392+B9393</f>
        <v/>
      </c>
      <c r="D9393">
        <f>IF(B9393=1,INDEX('Data Entry'!$H$5:$BE$10004,9393-4,'Visual SPC'!$B$3),"")</f>
        <v/>
      </c>
      <c r="E9393">
        <f>IF(B9393=1,D9393,E9392)</f>
        <v/>
      </c>
      <c r="F9393">
        <f>IF(AND(B9393=1,C9393&gt;1,E9392&lt;&gt;""),ABS(D9393-E9392),"")</f>
        <v/>
      </c>
    </row>
    <row r="9394">
      <c r="A9394" t="n">
        <v>9394</v>
      </c>
      <c r="B9394">
        <f>IF(INDEX('Data Entry'!$H$5:$BE$10004,9394-4,'Visual SPC'!$B$3)="",0,IF(AND(OR('Visual SPC'!$C$4="",'Data Entry'!$C9394&gt;='Visual SPC'!$C$4),OR('Visual SPC'!$E$4="",'Data Entry'!$C9394&lt;='Visual SPC'!$E$4),OR('Visual SPC'!$G$4="",'Data Entry'!$D9394='Visual SPC'!$G$4),OR('Visual SPC'!$I$4="",'Data Entry'!$E9394='Visual SPC'!$I$4),OR('Visual SPC'!$K$4="",'Data Entry'!$F9394='Visual SPC'!$K$4)),1,0))</f>
        <v/>
      </c>
      <c r="C9394">
        <f>C9393+B9394</f>
        <v/>
      </c>
      <c r="D9394">
        <f>IF(B9394=1,INDEX('Data Entry'!$H$5:$BE$10004,9394-4,'Visual SPC'!$B$3),"")</f>
        <v/>
      </c>
      <c r="E9394">
        <f>IF(B9394=1,D9394,E9393)</f>
        <v/>
      </c>
      <c r="F9394">
        <f>IF(AND(B9394=1,C9394&gt;1,E9393&lt;&gt;""),ABS(D9394-E9393),"")</f>
        <v/>
      </c>
    </row>
    <row r="9395">
      <c r="A9395" t="n">
        <v>9395</v>
      </c>
      <c r="B9395">
        <f>IF(INDEX('Data Entry'!$H$5:$BE$10004,9395-4,'Visual SPC'!$B$3)="",0,IF(AND(OR('Visual SPC'!$C$4="",'Data Entry'!$C9395&gt;='Visual SPC'!$C$4),OR('Visual SPC'!$E$4="",'Data Entry'!$C9395&lt;='Visual SPC'!$E$4),OR('Visual SPC'!$G$4="",'Data Entry'!$D9395='Visual SPC'!$G$4),OR('Visual SPC'!$I$4="",'Data Entry'!$E9395='Visual SPC'!$I$4),OR('Visual SPC'!$K$4="",'Data Entry'!$F9395='Visual SPC'!$K$4)),1,0))</f>
        <v/>
      </c>
      <c r="C9395">
        <f>C9394+B9395</f>
        <v/>
      </c>
      <c r="D9395">
        <f>IF(B9395=1,INDEX('Data Entry'!$H$5:$BE$10004,9395-4,'Visual SPC'!$B$3),"")</f>
        <v/>
      </c>
      <c r="E9395">
        <f>IF(B9395=1,D9395,E9394)</f>
        <v/>
      </c>
      <c r="F9395">
        <f>IF(AND(B9395=1,C9395&gt;1,E9394&lt;&gt;""),ABS(D9395-E9394),"")</f>
        <v/>
      </c>
    </row>
    <row r="9396">
      <c r="A9396" t="n">
        <v>9396</v>
      </c>
      <c r="B9396">
        <f>IF(INDEX('Data Entry'!$H$5:$BE$10004,9396-4,'Visual SPC'!$B$3)="",0,IF(AND(OR('Visual SPC'!$C$4="",'Data Entry'!$C9396&gt;='Visual SPC'!$C$4),OR('Visual SPC'!$E$4="",'Data Entry'!$C9396&lt;='Visual SPC'!$E$4),OR('Visual SPC'!$G$4="",'Data Entry'!$D9396='Visual SPC'!$G$4),OR('Visual SPC'!$I$4="",'Data Entry'!$E9396='Visual SPC'!$I$4),OR('Visual SPC'!$K$4="",'Data Entry'!$F9396='Visual SPC'!$K$4)),1,0))</f>
        <v/>
      </c>
      <c r="C9396">
        <f>C9395+B9396</f>
        <v/>
      </c>
      <c r="D9396">
        <f>IF(B9396=1,INDEX('Data Entry'!$H$5:$BE$10004,9396-4,'Visual SPC'!$B$3),"")</f>
        <v/>
      </c>
      <c r="E9396">
        <f>IF(B9396=1,D9396,E9395)</f>
        <v/>
      </c>
      <c r="F9396">
        <f>IF(AND(B9396=1,C9396&gt;1,E9395&lt;&gt;""),ABS(D9396-E9395),"")</f>
        <v/>
      </c>
    </row>
    <row r="9397">
      <c r="A9397" t="n">
        <v>9397</v>
      </c>
      <c r="B9397">
        <f>IF(INDEX('Data Entry'!$H$5:$BE$10004,9397-4,'Visual SPC'!$B$3)="",0,IF(AND(OR('Visual SPC'!$C$4="",'Data Entry'!$C9397&gt;='Visual SPC'!$C$4),OR('Visual SPC'!$E$4="",'Data Entry'!$C9397&lt;='Visual SPC'!$E$4),OR('Visual SPC'!$G$4="",'Data Entry'!$D9397='Visual SPC'!$G$4),OR('Visual SPC'!$I$4="",'Data Entry'!$E9397='Visual SPC'!$I$4),OR('Visual SPC'!$K$4="",'Data Entry'!$F9397='Visual SPC'!$K$4)),1,0))</f>
        <v/>
      </c>
      <c r="C9397">
        <f>C9396+B9397</f>
        <v/>
      </c>
      <c r="D9397">
        <f>IF(B9397=1,INDEX('Data Entry'!$H$5:$BE$10004,9397-4,'Visual SPC'!$B$3),"")</f>
        <v/>
      </c>
      <c r="E9397">
        <f>IF(B9397=1,D9397,E9396)</f>
        <v/>
      </c>
      <c r="F9397">
        <f>IF(AND(B9397=1,C9397&gt;1,E9396&lt;&gt;""),ABS(D9397-E9396),"")</f>
        <v/>
      </c>
    </row>
    <row r="9398">
      <c r="A9398" t="n">
        <v>9398</v>
      </c>
      <c r="B9398">
        <f>IF(INDEX('Data Entry'!$H$5:$BE$10004,9398-4,'Visual SPC'!$B$3)="",0,IF(AND(OR('Visual SPC'!$C$4="",'Data Entry'!$C9398&gt;='Visual SPC'!$C$4),OR('Visual SPC'!$E$4="",'Data Entry'!$C9398&lt;='Visual SPC'!$E$4),OR('Visual SPC'!$G$4="",'Data Entry'!$D9398='Visual SPC'!$G$4),OR('Visual SPC'!$I$4="",'Data Entry'!$E9398='Visual SPC'!$I$4),OR('Visual SPC'!$K$4="",'Data Entry'!$F9398='Visual SPC'!$K$4)),1,0))</f>
        <v/>
      </c>
      <c r="C9398">
        <f>C9397+B9398</f>
        <v/>
      </c>
      <c r="D9398">
        <f>IF(B9398=1,INDEX('Data Entry'!$H$5:$BE$10004,9398-4,'Visual SPC'!$B$3),"")</f>
        <v/>
      </c>
      <c r="E9398">
        <f>IF(B9398=1,D9398,E9397)</f>
        <v/>
      </c>
      <c r="F9398">
        <f>IF(AND(B9398=1,C9398&gt;1,E9397&lt;&gt;""),ABS(D9398-E9397),"")</f>
        <v/>
      </c>
    </row>
    <row r="9399">
      <c r="A9399" t="n">
        <v>9399</v>
      </c>
      <c r="B9399">
        <f>IF(INDEX('Data Entry'!$H$5:$BE$10004,9399-4,'Visual SPC'!$B$3)="",0,IF(AND(OR('Visual SPC'!$C$4="",'Data Entry'!$C9399&gt;='Visual SPC'!$C$4),OR('Visual SPC'!$E$4="",'Data Entry'!$C9399&lt;='Visual SPC'!$E$4),OR('Visual SPC'!$G$4="",'Data Entry'!$D9399='Visual SPC'!$G$4),OR('Visual SPC'!$I$4="",'Data Entry'!$E9399='Visual SPC'!$I$4),OR('Visual SPC'!$K$4="",'Data Entry'!$F9399='Visual SPC'!$K$4)),1,0))</f>
        <v/>
      </c>
      <c r="C9399">
        <f>C9398+B9399</f>
        <v/>
      </c>
      <c r="D9399">
        <f>IF(B9399=1,INDEX('Data Entry'!$H$5:$BE$10004,9399-4,'Visual SPC'!$B$3),"")</f>
        <v/>
      </c>
      <c r="E9399">
        <f>IF(B9399=1,D9399,E9398)</f>
        <v/>
      </c>
      <c r="F9399">
        <f>IF(AND(B9399=1,C9399&gt;1,E9398&lt;&gt;""),ABS(D9399-E9398),"")</f>
        <v/>
      </c>
    </row>
    <row r="9400">
      <c r="A9400" t="n">
        <v>9400</v>
      </c>
      <c r="B9400">
        <f>IF(INDEX('Data Entry'!$H$5:$BE$10004,9400-4,'Visual SPC'!$B$3)="",0,IF(AND(OR('Visual SPC'!$C$4="",'Data Entry'!$C9400&gt;='Visual SPC'!$C$4),OR('Visual SPC'!$E$4="",'Data Entry'!$C9400&lt;='Visual SPC'!$E$4),OR('Visual SPC'!$G$4="",'Data Entry'!$D9400='Visual SPC'!$G$4),OR('Visual SPC'!$I$4="",'Data Entry'!$E9400='Visual SPC'!$I$4),OR('Visual SPC'!$K$4="",'Data Entry'!$F9400='Visual SPC'!$K$4)),1,0))</f>
        <v/>
      </c>
      <c r="C9400">
        <f>C9399+B9400</f>
        <v/>
      </c>
      <c r="D9400">
        <f>IF(B9400=1,INDEX('Data Entry'!$H$5:$BE$10004,9400-4,'Visual SPC'!$B$3),"")</f>
        <v/>
      </c>
      <c r="E9400">
        <f>IF(B9400=1,D9400,E9399)</f>
        <v/>
      </c>
      <c r="F9400">
        <f>IF(AND(B9400=1,C9400&gt;1,E9399&lt;&gt;""),ABS(D9400-E9399),"")</f>
        <v/>
      </c>
    </row>
    <row r="9401">
      <c r="A9401" t="n">
        <v>9401</v>
      </c>
      <c r="B9401">
        <f>IF(INDEX('Data Entry'!$H$5:$BE$10004,9401-4,'Visual SPC'!$B$3)="",0,IF(AND(OR('Visual SPC'!$C$4="",'Data Entry'!$C9401&gt;='Visual SPC'!$C$4),OR('Visual SPC'!$E$4="",'Data Entry'!$C9401&lt;='Visual SPC'!$E$4),OR('Visual SPC'!$G$4="",'Data Entry'!$D9401='Visual SPC'!$G$4),OR('Visual SPC'!$I$4="",'Data Entry'!$E9401='Visual SPC'!$I$4),OR('Visual SPC'!$K$4="",'Data Entry'!$F9401='Visual SPC'!$K$4)),1,0))</f>
        <v/>
      </c>
      <c r="C9401">
        <f>C9400+B9401</f>
        <v/>
      </c>
      <c r="D9401">
        <f>IF(B9401=1,INDEX('Data Entry'!$H$5:$BE$10004,9401-4,'Visual SPC'!$B$3),"")</f>
        <v/>
      </c>
      <c r="E9401">
        <f>IF(B9401=1,D9401,E9400)</f>
        <v/>
      </c>
      <c r="F9401">
        <f>IF(AND(B9401=1,C9401&gt;1,E9400&lt;&gt;""),ABS(D9401-E9400),"")</f>
        <v/>
      </c>
    </row>
    <row r="9402">
      <c r="A9402" t="n">
        <v>9402</v>
      </c>
      <c r="B9402">
        <f>IF(INDEX('Data Entry'!$H$5:$BE$10004,9402-4,'Visual SPC'!$B$3)="",0,IF(AND(OR('Visual SPC'!$C$4="",'Data Entry'!$C9402&gt;='Visual SPC'!$C$4),OR('Visual SPC'!$E$4="",'Data Entry'!$C9402&lt;='Visual SPC'!$E$4),OR('Visual SPC'!$G$4="",'Data Entry'!$D9402='Visual SPC'!$G$4),OR('Visual SPC'!$I$4="",'Data Entry'!$E9402='Visual SPC'!$I$4),OR('Visual SPC'!$K$4="",'Data Entry'!$F9402='Visual SPC'!$K$4)),1,0))</f>
        <v/>
      </c>
      <c r="C9402">
        <f>C9401+B9402</f>
        <v/>
      </c>
      <c r="D9402">
        <f>IF(B9402=1,INDEX('Data Entry'!$H$5:$BE$10004,9402-4,'Visual SPC'!$B$3),"")</f>
        <v/>
      </c>
      <c r="E9402">
        <f>IF(B9402=1,D9402,E9401)</f>
        <v/>
      </c>
      <c r="F9402">
        <f>IF(AND(B9402=1,C9402&gt;1,E9401&lt;&gt;""),ABS(D9402-E9401),"")</f>
        <v/>
      </c>
    </row>
    <row r="9403">
      <c r="A9403" t="n">
        <v>9403</v>
      </c>
      <c r="B9403">
        <f>IF(INDEX('Data Entry'!$H$5:$BE$10004,9403-4,'Visual SPC'!$B$3)="",0,IF(AND(OR('Visual SPC'!$C$4="",'Data Entry'!$C9403&gt;='Visual SPC'!$C$4),OR('Visual SPC'!$E$4="",'Data Entry'!$C9403&lt;='Visual SPC'!$E$4),OR('Visual SPC'!$G$4="",'Data Entry'!$D9403='Visual SPC'!$G$4),OR('Visual SPC'!$I$4="",'Data Entry'!$E9403='Visual SPC'!$I$4),OR('Visual SPC'!$K$4="",'Data Entry'!$F9403='Visual SPC'!$K$4)),1,0))</f>
        <v/>
      </c>
      <c r="C9403">
        <f>C9402+B9403</f>
        <v/>
      </c>
      <c r="D9403">
        <f>IF(B9403=1,INDEX('Data Entry'!$H$5:$BE$10004,9403-4,'Visual SPC'!$B$3),"")</f>
        <v/>
      </c>
      <c r="E9403">
        <f>IF(B9403=1,D9403,E9402)</f>
        <v/>
      </c>
      <c r="F9403">
        <f>IF(AND(B9403=1,C9403&gt;1,E9402&lt;&gt;""),ABS(D9403-E9402),"")</f>
        <v/>
      </c>
    </row>
    <row r="9404">
      <c r="A9404" t="n">
        <v>9404</v>
      </c>
      <c r="B9404">
        <f>IF(INDEX('Data Entry'!$H$5:$BE$10004,9404-4,'Visual SPC'!$B$3)="",0,IF(AND(OR('Visual SPC'!$C$4="",'Data Entry'!$C9404&gt;='Visual SPC'!$C$4),OR('Visual SPC'!$E$4="",'Data Entry'!$C9404&lt;='Visual SPC'!$E$4),OR('Visual SPC'!$G$4="",'Data Entry'!$D9404='Visual SPC'!$G$4),OR('Visual SPC'!$I$4="",'Data Entry'!$E9404='Visual SPC'!$I$4),OR('Visual SPC'!$K$4="",'Data Entry'!$F9404='Visual SPC'!$K$4)),1,0))</f>
        <v/>
      </c>
      <c r="C9404">
        <f>C9403+B9404</f>
        <v/>
      </c>
      <c r="D9404">
        <f>IF(B9404=1,INDEX('Data Entry'!$H$5:$BE$10004,9404-4,'Visual SPC'!$B$3),"")</f>
        <v/>
      </c>
      <c r="E9404">
        <f>IF(B9404=1,D9404,E9403)</f>
        <v/>
      </c>
      <c r="F9404">
        <f>IF(AND(B9404=1,C9404&gt;1,E9403&lt;&gt;""),ABS(D9404-E9403),"")</f>
        <v/>
      </c>
    </row>
    <row r="9405">
      <c r="A9405" t="n">
        <v>9405</v>
      </c>
      <c r="B9405">
        <f>IF(INDEX('Data Entry'!$H$5:$BE$10004,9405-4,'Visual SPC'!$B$3)="",0,IF(AND(OR('Visual SPC'!$C$4="",'Data Entry'!$C9405&gt;='Visual SPC'!$C$4),OR('Visual SPC'!$E$4="",'Data Entry'!$C9405&lt;='Visual SPC'!$E$4),OR('Visual SPC'!$G$4="",'Data Entry'!$D9405='Visual SPC'!$G$4),OR('Visual SPC'!$I$4="",'Data Entry'!$E9405='Visual SPC'!$I$4),OR('Visual SPC'!$K$4="",'Data Entry'!$F9405='Visual SPC'!$K$4)),1,0))</f>
        <v/>
      </c>
      <c r="C9405">
        <f>C9404+B9405</f>
        <v/>
      </c>
      <c r="D9405">
        <f>IF(B9405=1,INDEX('Data Entry'!$H$5:$BE$10004,9405-4,'Visual SPC'!$B$3),"")</f>
        <v/>
      </c>
      <c r="E9405">
        <f>IF(B9405=1,D9405,E9404)</f>
        <v/>
      </c>
      <c r="F9405">
        <f>IF(AND(B9405=1,C9405&gt;1,E9404&lt;&gt;""),ABS(D9405-E9404),"")</f>
        <v/>
      </c>
    </row>
    <row r="9406">
      <c r="A9406" t="n">
        <v>9406</v>
      </c>
      <c r="B9406">
        <f>IF(INDEX('Data Entry'!$H$5:$BE$10004,9406-4,'Visual SPC'!$B$3)="",0,IF(AND(OR('Visual SPC'!$C$4="",'Data Entry'!$C9406&gt;='Visual SPC'!$C$4),OR('Visual SPC'!$E$4="",'Data Entry'!$C9406&lt;='Visual SPC'!$E$4),OR('Visual SPC'!$G$4="",'Data Entry'!$D9406='Visual SPC'!$G$4),OR('Visual SPC'!$I$4="",'Data Entry'!$E9406='Visual SPC'!$I$4),OR('Visual SPC'!$K$4="",'Data Entry'!$F9406='Visual SPC'!$K$4)),1,0))</f>
        <v/>
      </c>
      <c r="C9406">
        <f>C9405+B9406</f>
        <v/>
      </c>
      <c r="D9406">
        <f>IF(B9406=1,INDEX('Data Entry'!$H$5:$BE$10004,9406-4,'Visual SPC'!$B$3),"")</f>
        <v/>
      </c>
      <c r="E9406">
        <f>IF(B9406=1,D9406,E9405)</f>
        <v/>
      </c>
      <c r="F9406">
        <f>IF(AND(B9406=1,C9406&gt;1,E9405&lt;&gt;""),ABS(D9406-E9405),"")</f>
        <v/>
      </c>
    </row>
    <row r="9407">
      <c r="A9407" t="n">
        <v>9407</v>
      </c>
      <c r="B9407">
        <f>IF(INDEX('Data Entry'!$H$5:$BE$10004,9407-4,'Visual SPC'!$B$3)="",0,IF(AND(OR('Visual SPC'!$C$4="",'Data Entry'!$C9407&gt;='Visual SPC'!$C$4),OR('Visual SPC'!$E$4="",'Data Entry'!$C9407&lt;='Visual SPC'!$E$4),OR('Visual SPC'!$G$4="",'Data Entry'!$D9407='Visual SPC'!$G$4),OR('Visual SPC'!$I$4="",'Data Entry'!$E9407='Visual SPC'!$I$4),OR('Visual SPC'!$K$4="",'Data Entry'!$F9407='Visual SPC'!$K$4)),1,0))</f>
        <v/>
      </c>
      <c r="C9407">
        <f>C9406+B9407</f>
        <v/>
      </c>
      <c r="D9407">
        <f>IF(B9407=1,INDEX('Data Entry'!$H$5:$BE$10004,9407-4,'Visual SPC'!$B$3),"")</f>
        <v/>
      </c>
      <c r="E9407">
        <f>IF(B9407=1,D9407,E9406)</f>
        <v/>
      </c>
      <c r="F9407">
        <f>IF(AND(B9407=1,C9407&gt;1,E9406&lt;&gt;""),ABS(D9407-E9406),"")</f>
        <v/>
      </c>
    </row>
    <row r="9408">
      <c r="A9408" t="n">
        <v>9408</v>
      </c>
      <c r="B9408">
        <f>IF(INDEX('Data Entry'!$H$5:$BE$10004,9408-4,'Visual SPC'!$B$3)="",0,IF(AND(OR('Visual SPC'!$C$4="",'Data Entry'!$C9408&gt;='Visual SPC'!$C$4),OR('Visual SPC'!$E$4="",'Data Entry'!$C9408&lt;='Visual SPC'!$E$4),OR('Visual SPC'!$G$4="",'Data Entry'!$D9408='Visual SPC'!$G$4),OR('Visual SPC'!$I$4="",'Data Entry'!$E9408='Visual SPC'!$I$4),OR('Visual SPC'!$K$4="",'Data Entry'!$F9408='Visual SPC'!$K$4)),1,0))</f>
        <v/>
      </c>
      <c r="C9408">
        <f>C9407+B9408</f>
        <v/>
      </c>
      <c r="D9408">
        <f>IF(B9408=1,INDEX('Data Entry'!$H$5:$BE$10004,9408-4,'Visual SPC'!$B$3),"")</f>
        <v/>
      </c>
      <c r="E9408">
        <f>IF(B9408=1,D9408,E9407)</f>
        <v/>
      </c>
      <c r="F9408">
        <f>IF(AND(B9408=1,C9408&gt;1,E9407&lt;&gt;""),ABS(D9408-E9407),"")</f>
        <v/>
      </c>
    </row>
    <row r="9409">
      <c r="A9409" t="n">
        <v>9409</v>
      </c>
      <c r="B9409">
        <f>IF(INDEX('Data Entry'!$H$5:$BE$10004,9409-4,'Visual SPC'!$B$3)="",0,IF(AND(OR('Visual SPC'!$C$4="",'Data Entry'!$C9409&gt;='Visual SPC'!$C$4),OR('Visual SPC'!$E$4="",'Data Entry'!$C9409&lt;='Visual SPC'!$E$4),OR('Visual SPC'!$G$4="",'Data Entry'!$D9409='Visual SPC'!$G$4),OR('Visual SPC'!$I$4="",'Data Entry'!$E9409='Visual SPC'!$I$4),OR('Visual SPC'!$K$4="",'Data Entry'!$F9409='Visual SPC'!$K$4)),1,0))</f>
        <v/>
      </c>
      <c r="C9409">
        <f>C9408+B9409</f>
        <v/>
      </c>
      <c r="D9409">
        <f>IF(B9409=1,INDEX('Data Entry'!$H$5:$BE$10004,9409-4,'Visual SPC'!$B$3),"")</f>
        <v/>
      </c>
      <c r="E9409">
        <f>IF(B9409=1,D9409,E9408)</f>
        <v/>
      </c>
      <c r="F9409">
        <f>IF(AND(B9409=1,C9409&gt;1,E9408&lt;&gt;""),ABS(D9409-E9408),"")</f>
        <v/>
      </c>
    </row>
    <row r="9410">
      <c r="A9410" t="n">
        <v>9410</v>
      </c>
      <c r="B9410">
        <f>IF(INDEX('Data Entry'!$H$5:$BE$10004,9410-4,'Visual SPC'!$B$3)="",0,IF(AND(OR('Visual SPC'!$C$4="",'Data Entry'!$C9410&gt;='Visual SPC'!$C$4),OR('Visual SPC'!$E$4="",'Data Entry'!$C9410&lt;='Visual SPC'!$E$4),OR('Visual SPC'!$G$4="",'Data Entry'!$D9410='Visual SPC'!$G$4),OR('Visual SPC'!$I$4="",'Data Entry'!$E9410='Visual SPC'!$I$4),OR('Visual SPC'!$K$4="",'Data Entry'!$F9410='Visual SPC'!$K$4)),1,0))</f>
        <v/>
      </c>
      <c r="C9410">
        <f>C9409+B9410</f>
        <v/>
      </c>
      <c r="D9410">
        <f>IF(B9410=1,INDEX('Data Entry'!$H$5:$BE$10004,9410-4,'Visual SPC'!$B$3),"")</f>
        <v/>
      </c>
      <c r="E9410">
        <f>IF(B9410=1,D9410,E9409)</f>
        <v/>
      </c>
      <c r="F9410">
        <f>IF(AND(B9410=1,C9410&gt;1,E9409&lt;&gt;""),ABS(D9410-E9409),"")</f>
        <v/>
      </c>
    </row>
    <row r="9411">
      <c r="A9411" t="n">
        <v>9411</v>
      </c>
      <c r="B9411">
        <f>IF(INDEX('Data Entry'!$H$5:$BE$10004,9411-4,'Visual SPC'!$B$3)="",0,IF(AND(OR('Visual SPC'!$C$4="",'Data Entry'!$C9411&gt;='Visual SPC'!$C$4),OR('Visual SPC'!$E$4="",'Data Entry'!$C9411&lt;='Visual SPC'!$E$4),OR('Visual SPC'!$G$4="",'Data Entry'!$D9411='Visual SPC'!$G$4),OR('Visual SPC'!$I$4="",'Data Entry'!$E9411='Visual SPC'!$I$4),OR('Visual SPC'!$K$4="",'Data Entry'!$F9411='Visual SPC'!$K$4)),1,0))</f>
        <v/>
      </c>
      <c r="C9411">
        <f>C9410+B9411</f>
        <v/>
      </c>
      <c r="D9411">
        <f>IF(B9411=1,INDEX('Data Entry'!$H$5:$BE$10004,9411-4,'Visual SPC'!$B$3),"")</f>
        <v/>
      </c>
      <c r="E9411">
        <f>IF(B9411=1,D9411,E9410)</f>
        <v/>
      </c>
      <c r="F9411">
        <f>IF(AND(B9411=1,C9411&gt;1,E9410&lt;&gt;""),ABS(D9411-E9410),"")</f>
        <v/>
      </c>
    </row>
    <row r="9412">
      <c r="A9412" t="n">
        <v>9412</v>
      </c>
      <c r="B9412">
        <f>IF(INDEX('Data Entry'!$H$5:$BE$10004,9412-4,'Visual SPC'!$B$3)="",0,IF(AND(OR('Visual SPC'!$C$4="",'Data Entry'!$C9412&gt;='Visual SPC'!$C$4),OR('Visual SPC'!$E$4="",'Data Entry'!$C9412&lt;='Visual SPC'!$E$4),OR('Visual SPC'!$G$4="",'Data Entry'!$D9412='Visual SPC'!$G$4),OR('Visual SPC'!$I$4="",'Data Entry'!$E9412='Visual SPC'!$I$4),OR('Visual SPC'!$K$4="",'Data Entry'!$F9412='Visual SPC'!$K$4)),1,0))</f>
        <v/>
      </c>
      <c r="C9412">
        <f>C9411+B9412</f>
        <v/>
      </c>
      <c r="D9412">
        <f>IF(B9412=1,INDEX('Data Entry'!$H$5:$BE$10004,9412-4,'Visual SPC'!$B$3),"")</f>
        <v/>
      </c>
      <c r="E9412">
        <f>IF(B9412=1,D9412,E9411)</f>
        <v/>
      </c>
      <c r="F9412">
        <f>IF(AND(B9412=1,C9412&gt;1,E9411&lt;&gt;""),ABS(D9412-E9411),"")</f>
        <v/>
      </c>
    </row>
    <row r="9413">
      <c r="A9413" t="n">
        <v>9413</v>
      </c>
      <c r="B9413">
        <f>IF(INDEX('Data Entry'!$H$5:$BE$10004,9413-4,'Visual SPC'!$B$3)="",0,IF(AND(OR('Visual SPC'!$C$4="",'Data Entry'!$C9413&gt;='Visual SPC'!$C$4),OR('Visual SPC'!$E$4="",'Data Entry'!$C9413&lt;='Visual SPC'!$E$4),OR('Visual SPC'!$G$4="",'Data Entry'!$D9413='Visual SPC'!$G$4),OR('Visual SPC'!$I$4="",'Data Entry'!$E9413='Visual SPC'!$I$4),OR('Visual SPC'!$K$4="",'Data Entry'!$F9413='Visual SPC'!$K$4)),1,0))</f>
        <v/>
      </c>
      <c r="C9413">
        <f>C9412+B9413</f>
        <v/>
      </c>
      <c r="D9413">
        <f>IF(B9413=1,INDEX('Data Entry'!$H$5:$BE$10004,9413-4,'Visual SPC'!$B$3),"")</f>
        <v/>
      </c>
      <c r="E9413">
        <f>IF(B9413=1,D9413,E9412)</f>
        <v/>
      </c>
      <c r="F9413">
        <f>IF(AND(B9413=1,C9413&gt;1,E9412&lt;&gt;""),ABS(D9413-E9412),"")</f>
        <v/>
      </c>
    </row>
    <row r="9414">
      <c r="A9414" t="n">
        <v>9414</v>
      </c>
      <c r="B9414">
        <f>IF(INDEX('Data Entry'!$H$5:$BE$10004,9414-4,'Visual SPC'!$B$3)="",0,IF(AND(OR('Visual SPC'!$C$4="",'Data Entry'!$C9414&gt;='Visual SPC'!$C$4),OR('Visual SPC'!$E$4="",'Data Entry'!$C9414&lt;='Visual SPC'!$E$4),OR('Visual SPC'!$G$4="",'Data Entry'!$D9414='Visual SPC'!$G$4),OR('Visual SPC'!$I$4="",'Data Entry'!$E9414='Visual SPC'!$I$4),OR('Visual SPC'!$K$4="",'Data Entry'!$F9414='Visual SPC'!$K$4)),1,0))</f>
        <v/>
      </c>
      <c r="C9414">
        <f>C9413+B9414</f>
        <v/>
      </c>
      <c r="D9414">
        <f>IF(B9414=1,INDEX('Data Entry'!$H$5:$BE$10004,9414-4,'Visual SPC'!$B$3),"")</f>
        <v/>
      </c>
      <c r="E9414">
        <f>IF(B9414=1,D9414,E9413)</f>
        <v/>
      </c>
      <c r="F9414">
        <f>IF(AND(B9414=1,C9414&gt;1,E9413&lt;&gt;""),ABS(D9414-E9413),"")</f>
        <v/>
      </c>
    </row>
    <row r="9415">
      <c r="A9415" t="n">
        <v>9415</v>
      </c>
      <c r="B9415">
        <f>IF(INDEX('Data Entry'!$H$5:$BE$10004,9415-4,'Visual SPC'!$B$3)="",0,IF(AND(OR('Visual SPC'!$C$4="",'Data Entry'!$C9415&gt;='Visual SPC'!$C$4),OR('Visual SPC'!$E$4="",'Data Entry'!$C9415&lt;='Visual SPC'!$E$4),OR('Visual SPC'!$G$4="",'Data Entry'!$D9415='Visual SPC'!$G$4),OR('Visual SPC'!$I$4="",'Data Entry'!$E9415='Visual SPC'!$I$4),OR('Visual SPC'!$K$4="",'Data Entry'!$F9415='Visual SPC'!$K$4)),1,0))</f>
        <v/>
      </c>
      <c r="C9415">
        <f>C9414+B9415</f>
        <v/>
      </c>
      <c r="D9415">
        <f>IF(B9415=1,INDEX('Data Entry'!$H$5:$BE$10004,9415-4,'Visual SPC'!$B$3),"")</f>
        <v/>
      </c>
      <c r="E9415">
        <f>IF(B9415=1,D9415,E9414)</f>
        <v/>
      </c>
      <c r="F9415">
        <f>IF(AND(B9415=1,C9415&gt;1,E9414&lt;&gt;""),ABS(D9415-E9414),"")</f>
        <v/>
      </c>
    </row>
    <row r="9416">
      <c r="A9416" t="n">
        <v>9416</v>
      </c>
      <c r="B9416">
        <f>IF(INDEX('Data Entry'!$H$5:$BE$10004,9416-4,'Visual SPC'!$B$3)="",0,IF(AND(OR('Visual SPC'!$C$4="",'Data Entry'!$C9416&gt;='Visual SPC'!$C$4),OR('Visual SPC'!$E$4="",'Data Entry'!$C9416&lt;='Visual SPC'!$E$4),OR('Visual SPC'!$G$4="",'Data Entry'!$D9416='Visual SPC'!$G$4),OR('Visual SPC'!$I$4="",'Data Entry'!$E9416='Visual SPC'!$I$4),OR('Visual SPC'!$K$4="",'Data Entry'!$F9416='Visual SPC'!$K$4)),1,0))</f>
        <v/>
      </c>
      <c r="C9416">
        <f>C9415+B9416</f>
        <v/>
      </c>
      <c r="D9416">
        <f>IF(B9416=1,INDEX('Data Entry'!$H$5:$BE$10004,9416-4,'Visual SPC'!$B$3),"")</f>
        <v/>
      </c>
      <c r="E9416">
        <f>IF(B9416=1,D9416,E9415)</f>
        <v/>
      </c>
      <c r="F9416">
        <f>IF(AND(B9416=1,C9416&gt;1,E9415&lt;&gt;""),ABS(D9416-E9415),"")</f>
        <v/>
      </c>
    </row>
    <row r="9417">
      <c r="A9417" t="n">
        <v>9417</v>
      </c>
      <c r="B9417">
        <f>IF(INDEX('Data Entry'!$H$5:$BE$10004,9417-4,'Visual SPC'!$B$3)="",0,IF(AND(OR('Visual SPC'!$C$4="",'Data Entry'!$C9417&gt;='Visual SPC'!$C$4),OR('Visual SPC'!$E$4="",'Data Entry'!$C9417&lt;='Visual SPC'!$E$4),OR('Visual SPC'!$G$4="",'Data Entry'!$D9417='Visual SPC'!$G$4),OR('Visual SPC'!$I$4="",'Data Entry'!$E9417='Visual SPC'!$I$4),OR('Visual SPC'!$K$4="",'Data Entry'!$F9417='Visual SPC'!$K$4)),1,0))</f>
        <v/>
      </c>
      <c r="C9417">
        <f>C9416+B9417</f>
        <v/>
      </c>
      <c r="D9417">
        <f>IF(B9417=1,INDEX('Data Entry'!$H$5:$BE$10004,9417-4,'Visual SPC'!$B$3),"")</f>
        <v/>
      </c>
      <c r="E9417">
        <f>IF(B9417=1,D9417,E9416)</f>
        <v/>
      </c>
      <c r="F9417">
        <f>IF(AND(B9417=1,C9417&gt;1,E9416&lt;&gt;""),ABS(D9417-E9416),"")</f>
        <v/>
      </c>
    </row>
    <row r="9418">
      <c r="A9418" t="n">
        <v>9418</v>
      </c>
      <c r="B9418">
        <f>IF(INDEX('Data Entry'!$H$5:$BE$10004,9418-4,'Visual SPC'!$B$3)="",0,IF(AND(OR('Visual SPC'!$C$4="",'Data Entry'!$C9418&gt;='Visual SPC'!$C$4),OR('Visual SPC'!$E$4="",'Data Entry'!$C9418&lt;='Visual SPC'!$E$4),OR('Visual SPC'!$G$4="",'Data Entry'!$D9418='Visual SPC'!$G$4),OR('Visual SPC'!$I$4="",'Data Entry'!$E9418='Visual SPC'!$I$4),OR('Visual SPC'!$K$4="",'Data Entry'!$F9418='Visual SPC'!$K$4)),1,0))</f>
        <v/>
      </c>
      <c r="C9418">
        <f>C9417+B9418</f>
        <v/>
      </c>
      <c r="D9418">
        <f>IF(B9418=1,INDEX('Data Entry'!$H$5:$BE$10004,9418-4,'Visual SPC'!$B$3),"")</f>
        <v/>
      </c>
      <c r="E9418">
        <f>IF(B9418=1,D9418,E9417)</f>
        <v/>
      </c>
      <c r="F9418">
        <f>IF(AND(B9418=1,C9418&gt;1,E9417&lt;&gt;""),ABS(D9418-E9417),"")</f>
        <v/>
      </c>
    </row>
    <row r="9419">
      <c r="A9419" t="n">
        <v>9419</v>
      </c>
      <c r="B9419">
        <f>IF(INDEX('Data Entry'!$H$5:$BE$10004,9419-4,'Visual SPC'!$B$3)="",0,IF(AND(OR('Visual SPC'!$C$4="",'Data Entry'!$C9419&gt;='Visual SPC'!$C$4),OR('Visual SPC'!$E$4="",'Data Entry'!$C9419&lt;='Visual SPC'!$E$4),OR('Visual SPC'!$G$4="",'Data Entry'!$D9419='Visual SPC'!$G$4),OR('Visual SPC'!$I$4="",'Data Entry'!$E9419='Visual SPC'!$I$4),OR('Visual SPC'!$K$4="",'Data Entry'!$F9419='Visual SPC'!$K$4)),1,0))</f>
        <v/>
      </c>
      <c r="C9419">
        <f>C9418+B9419</f>
        <v/>
      </c>
      <c r="D9419">
        <f>IF(B9419=1,INDEX('Data Entry'!$H$5:$BE$10004,9419-4,'Visual SPC'!$B$3),"")</f>
        <v/>
      </c>
      <c r="E9419">
        <f>IF(B9419=1,D9419,E9418)</f>
        <v/>
      </c>
      <c r="F9419">
        <f>IF(AND(B9419=1,C9419&gt;1,E9418&lt;&gt;""),ABS(D9419-E9418),"")</f>
        <v/>
      </c>
    </row>
    <row r="9420">
      <c r="A9420" t="n">
        <v>9420</v>
      </c>
      <c r="B9420">
        <f>IF(INDEX('Data Entry'!$H$5:$BE$10004,9420-4,'Visual SPC'!$B$3)="",0,IF(AND(OR('Visual SPC'!$C$4="",'Data Entry'!$C9420&gt;='Visual SPC'!$C$4),OR('Visual SPC'!$E$4="",'Data Entry'!$C9420&lt;='Visual SPC'!$E$4),OR('Visual SPC'!$G$4="",'Data Entry'!$D9420='Visual SPC'!$G$4),OR('Visual SPC'!$I$4="",'Data Entry'!$E9420='Visual SPC'!$I$4),OR('Visual SPC'!$K$4="",'Data Entry'!$F9420='Visual SPC'!$K$4)),1,0))</f>
        <v/>
      </c>
      <c r="C9420">
        <f>C9419+B9420</f>
        <v/>
      </c>
      <c r="D9420">
        <f>IF(B9420=1,INDEX('Data Entry'!$H$5:$BE$10004,9420-4,'Visual SPC'!$B$3),"")</f>
        <v/>
      </c>
      <c r="E9420">
        <f>IF(B9420=1,D9420,E9419)</f>
        <v/>
      </c>
      <c r="F9420">
        <f>IF(AND(B9420=1,C9420&gt;1,E9419&lt;&gt;""),ABS(D9420-E9419),"")</f>
        <v/>
      </c>
    </row>
    <row r="9421">
      <c r="A9421" t="n">
        <v>9421</v>
      </c>
      <c r="B9421">
        <f>IF(INDEX('Data Entry'!$H$5:$BE$10004,9421-4,'Visual SPC'!$B$3)="",0,IF(AND(OR('Visual SPC'!$C$4="",'Data Entry'!$C9421&gt;='Visual SPC'!$C$4),OR('Visual SPC'!$E$4="",'Data Entry'!$C9421&lt;='Visual SPC'!$E$4),OR('Visual SPC'!$G$4="",'Data Entry'!$D9421='Visual SPC'!$G$4),OR('Visual SPC'!$I$4="",'Data Entry'!$E9421='Visual SPC'!$I$4),OR('Visual SPC'!$K$4="",'Data Entry'!$F9421='Visual SPC'!$K$4)),1,0))</f>
        <v/>
      </c>
      <c r="C9421">
        <f>C9420+B9421</f>
        <v/>
      </c>
      <c r="D9421">
        <f>IF(B9421=1,INDEX('Data Entry'!$H$5:$BE$10004,9421-4,'Visual SPC'!$B$3),"")</f>
        <v/>
      </c>
      <c r="E9421">
        <f>IF(B9421=1,D9421,E9420)</f>
        <v/>
      </c>
      <c r="F9421">
        <f>IF(AND(B9421=1,C9421&gt;1,E9420&lt;&gt;""),ABS(D9421-E9420),"")</f>
        <v/>
      </c>
    </row>
    <row r="9422">
      <c r="A9422" t="n">
        <v>9422</v>
      </c>
      <c r="B9422">
        <f>IF(INDEX('Data Entry'!$H$5:$BE$10004,9422-4,'Visual SPC'!$B$3)="",0,IF(AND(OR('Visual SPC'!$C$4="",'Data Entry'!$C9422&gt;='Visual SPC'!$C$4),OR('Visual SPC'!$E$4="",'Data Entry'!$C9422&lt;='Visual SPC'!$E$4),OR('Visual SPC'!$G$4="",'Data Entry'!$D9422='Visual SPC'!$G$4),OR('Visual SPC'!$I$4="",'Data Entry'!$E9422='Visual SPC'!$I$4),OR('Visual SPC'!$K$4="",'Data Entry'!$F9422='Visual SPC'!$K$4)),1,0))</f>
        <v/>
      </c>
      <c r="C9422">
        <f>C9421+B9422</f>
        <v/>
      </c>
      <c r="D9422">
        <f>IF(B9422=1,INDEX('Data Entry'!$H$5:$BE$10004,9422-4,'Visual SPC'!$B$3),"")</f>
        <v/>
      </c>
      <c r="E9422">
        <f>IF(B9422=1,D9422,E9421)</f>
        <v/>
      </c>
      <c r="F9422">
        <f>IF(AND(B9422=1,C9422&gt;1,E9421&lt;&gt;""),ABS(D9422-E9421),"")</f>
        <v/>
      </c>
    </row>
    <row r="9423">
      <c r="A9423" t="n">
        <v>9423</v>
      </c>
      <c r="B9423">
        <f>IF(INDEX('Data Entry'!$H$5:$BE$10004,9423-4,'Visual SPC'!$B$3)="",0,IF(AND(OR('Visual SPC'!$C$4="",'Data Entry'!$C9423&gt;='Visual SPC'!$C$4),OR('Visual SPC'!$E$4="",'Data Entry'!$C9423&lt;='Visual SPC'!$E$4),OR('Visual SPC'!$G$4="",'Data Entry'!$D9423='Visual SPC'!$G$4),OR('Visual SPC'!$I$4="",'Data Entry'!$E9423='Visual SPC'!$I$4),OR('Visual SPC'!$K$4="",'Data Entry'!$F9423='Visual SPC'!$K$4)),1,0))</f>
        <v/>
      </c>
      <c r="C9423">
        <f>C9422+B9423</f>
        <v/>
      </c>
      <c r="D9423">
        <f>IF(B9423=1,INDEX('Data Entry'!$H$5:$BE$10004,9423-4,'Visual SPC'!$B$3),"")</f>
        <v/>
      </c>
      <c r="E9423">
        <f>IF(B9423=1,D9423,E9422)</f>
        <v/>
      </c>
      <c r="F9423">
        <f>IF(AND(B9423=1,C9423&gt;1,E9422&lt;&gt;""),ABS(D9423-E9422),"")</f>
        <v/>
      </c>
    </row>
    <row r="9424">
      <c r="A9424" t="n">
        <v>9424</v>
      </c>
      <c r="B9424">
        <f>IF(INDEX('Data Entry'!$H$5:$BE$10004,9424-4,'Visual SPC'!$B$3)="",0,IF(AND(OR('Visual SPC'!$C$4="",'Data Entry'!$C9424&gt;='Visual SPC'!$C$4),OR('Visual SPC'!$E$4="",'Data Entry'!$C9424&lt;='Visual SPC'!$E$4),OR('Visual SPC'!$G$4="",'Data Entry'!$D9424='Visual SPC'!$G$4),OR('Visual SPC'!$I$4="",'Data Entry'!$E9424='Visual SPC'!$I$4),OR('Visual SPC'!$K$4="",'Data Entry'!$F9424='Visual SPC'!$K$4)),1,0))</f>
        <v/>
      </c>
      <c r="C9424">
        <f>C9423+B9424</f>
        <v/>
      </c>
      <c r="D9424">
        <f>IF(B9424=1,INDEX('Data Entry'!$H$5:$BE$10004,9424-4,'Visual SPC'!$B$3),"")</f>
        <v/>
      </c>
      <c r="E9424">
        <f>IF(B9424=1,D9424,E9423)</f>
        <v/>
      </c>
      <c r="F9424">
        <f>IF(AND(B9424=1,C9424&gt;1,E9423&lt;&gt;""),ABS(D9424-E9423),"")</f>
        <v/>
      </c>
    </row>
    <row r="9425">
      <c r="A9425" t="n">
        <v>9425</v>
      </c>
      <c r="B9425">
        <f>IF(INDEX('Data Entry'!$H$5:$BE$10004,9425-4,'Visual SPC'!$B$3)="",0,IF(AND(OR('Visual SPC'!$C$4="",'Data Entry'!$C9425&gt;='Visual SPC'!$C$4),OR('Visual SPC'!$E$4="",'Data Entry'!$C9425&lt;='Visual SPC'!$E$4),OR('Visual SPC'!$G$4="",'Data Entry'!$D9425='Visual SPC'!$G$4),OR('Visual SPC'!$I$4="",'Data Entry'!$E9425='Visual SPC'!$I$4),OR('Visual SPC'!$K$4="",'Data Entry'!$F9425='Visual SPC'!$K$4)),1,0))</f>
        <v/>
      </c>
      <c r="C9425">
        <f>C9424+B9425</f>
        <v/>
      </c>
      <c r="D9425">
        <f>IF(B9425=1,INDEX('Data Entry'!$H$5:$BE$10004,9425-4,'Visual SPC'!$B$3),"")</f>
        <v/>
      </c>
      <c r="E9425">
        <f>IF(B9425=1,D9425,E9424)</f>
        <v/>
      </c>
      <c r="F9425">
        <f>IF(AND(B9425=1,C9425&gt;1,E9424&lt;&gt;""),ABS(D9425-E9424),"")</f>
        <v/>
      </c>
    </row>
    <row r="9426">
      <c r="A9426" t="n">
        <v>9426</v>
      </c>
      <c r="B9426">
        <f>IF(INDEX('Data Entry'!$H$5:$BE$10004,9426-4,'Visual SPC'!$B$3)="",0,IF(AND(OR('Visual SPC'!$C$4="",'Data Entry'!$C9426&gt;='Visual SPC'!$C$4),OR('Visual SPC'!$E$4="",'Data Entry'!$C9426&lt;='Visual SPC'!$E$4),OR('Visual SPC'!$G$4="",'Data Entry'!$D9426='Visual SPC'!$G$4),OR('Visual SPC'!$I$4="",'Data Entry'!$E9426='Visual SPC'!$I$4),OR('Visual SPC'!$K$4="",'Data Entry'!$F9426='Visual SPC'!$K$4)),1,0))</f>
        <v/>
      </c>
      <c r="C9426">
        <f>C9425+B9426</f>
        <v/>
      </c>
      <c r="D9426">
        <f>IF(B9426=1,INDEX('Data Entry'!$H$5:$BE$10004,9426-4,'Visual SPC'!$B$3),"")</f>
        <v/>
      </c>
      <c r="E9426">
        <f>IF(B9426=1,D9426,E9425)</f>
        <v/>
      </c>
      <c r="F9426">
        <f>IF(AND(B9426=1,C9426&gt;1,E9425&lt;&gt;""),ABS(D9426-E9425),"")</f>
        <v/>
      </c>
    </row>
    <row r="9427">
      <c r="A9427" t="n">
        <v>9427</v>
      </c>
      <c r="B9427">
        <f>IF(INDEX('Data Entry'!$H$5:$BE$10004,9427-4,'Visual SPC'!$B$3)="",0,IF(AND(OR('Visual SPC'!$C$4="",'Data Entry'!$C9427&gt;='Visual SPC'!$C$4),OR('Visual SPC'!$E$4="",'Data Entry'!$C9427&lt;='Visual SPC'!$E$4),OR('Visual SPC'!$G$4="",'Data Entry'!$D9427='Visual SPC'!$G$4),OR('Visual SPC'!$I$4="",'Data Entry'!$E9427='Visual SPC'!$I$4),OR('Visual SPC'!$K$4="",'Data Entry'!$F9427='Visual SPC'!$K$4)),1,0))</f>
        <v/>
      </c>
      <c r="C9427">
        <f>C9426+B9427</f>
        <v/>
      </c>
      <c r="D9427">
        <f>IF(B9427=1,INDEX('Data Entry'!$H$5:$BE$10004,9427-4,'Visual SPC'!$B$3),"")</f>
        <v/>
      </c>
      <c r="E9427">
        <f>IF(B9427=1,D9427,E9426)</f>
        <v/>
      </c>
      <c r="F9427">
        <f>IF(AND(B9427=1,C9427&gt;1,E9426&lt;&gt;""),ABS(D9427-E9426),"")</f>
        <v/>
      </c>
    </row>
    <row r="9428">
      <c r="A9428" t="n">
        <v>9428</v>
      </c>
      <c r="B9428">
        <f>IF(INDEX('Data Entry'!$H$5:$BE$10004,9428-4,'Visual SPC'!$B$3)="",0,IF(AND(OR('Visual SPC'!$C$4="",'Data Entry'!$C9428&gt;='Visual SPC'!$C$4),OR('Visual SPC'!$E$4="",'Data Entry'!$C9428&lt;='Visual SPC'!$E$4),OR('Visual SPC'!$G$4="",'Data Entry'!$D9428='Visual SPC'!$G$4),OR('Visual SPC'!$I$4="",'Data Entry'!$E9428='Visual SPC'!$I$4),OR('Visual SPC'!$K$4="",'Data Entry'!$F9428='Visual SPC'!$K$4)),1,0))</f>
        <v/>
      </c>
      <c r="C9428">
        <f>C9427+B9428</f>
        <v/>
      </c>
      <c r="D9428">
        <f>IF(B9428=1,INDEX('Data Entry'!$H$5:$BE$10004,9428-4,'Visual SPC'!$B$3),"")</f>
        <v/>
      </c>
      <c r="E9428">
        <f>IF(B9428=1,D9428,E9427)</f>
        <v/>
      </c>
      <c r="F9428">
        <f>IF(AND(B9428=1,C9428&gt;1,E9427&lt;&gt;""),ABS(D9428-E9427),"")</f>
        <v/>
      </c>
    </row>
    <row r="9429">
      <c r="A9429" t="n">
        <v>9429</v>
      </c>
      <c r="B9429">
        <f>IF(INDEX('Data Entry'!$H$5:$BE$10004,9429-4,'Visual SPC'!$B$3)="",0,IF(AND(OR('Visual SPC'!$C$4="",'Data Entry'!$C9429&gt;='Visual SPC'!$C$4),OR('Visual SPC'!$E$4="",'Data Entry'!$C9429&lt;='Visual SPC'!$E$4),OR('Visual SPC'!$G$4="",'Data Entry'!$D9429='Visual SPC'!$G$4),OR('Visual SPC'!$I$4="",'Data Entry'!$E9429='Visual SPC'!$I$4),OR('Visual SPC'!$K$4="",'Data Entry'!$F9429='Visual SPC'!$K$4)),1,0))</f>
        <v/>
      </c>
      <c r="C9429">
        <f>C9428+B9429</f>
        <v/>
      </c>
      <c r="D9429">
        <f>IF(B9429=1,INDEX('Data Entry'!$H$5:$BE$10004,9429-4,'Visual SPC'!$B$3),"")</f>
        <v/>
      </c>
      <c r="E9429">
        <f>IF(B9429=1,D9429,E9428)</f>
        <v/>
      </c>
      <c r="F9429">
        <f>IF(AND(B9429=1,C9429&gt;1,E9428&lt;&gt;""),ABS(D9429-E9428),"")</f>
        <v/>
      </c>
    </row>
    <row r="9430">
      <c r="A9430" t="n">
        <v>9430</v>
      </c>
      <c r="B9430">
        <f>IF(INDEX('Data Entry'!$H$5:$BE$10004,9430-4,'Visual SPC'!$B$3)="",0,IF(AND(OR('Visual SPC'!$C$4="",'Data Entry'!$C9430&gt;='Visual SPC'!$C$4),OR('Visual SPC'!$E$4="",'Data Entry'!$C9430&lt;='Visual SPC'!$E$4),OR('Visual SPC'!$G$4="",'Data Entry'!$D9430='Visual SPC'!$G$4),OR('Visual SPC'!$I$4="",'Data Entry'!$E9430='Visual SPC'!$I$4),OR('Visual SPC'!$K$4="",'Data Entry'!$F9430='Visual SPC'!$K$4)),1,0))</f>
        <v/>
      </c>
      <c r="C9430">
        <f>C9429+B9430</f>
        <v/>
      </c>
      <c r="D9430">
        <f>IF(B9430=1,INDEX('Data Entry'!$H$5:$BE$10004,9430-4,'Visual SPC'!$B$3),"")</f>
        <v/>
      </c>
      <c r="E9430">
        <f>IF(B9430=1,D9430,E9429)</f>
        <v/>
      </c>
      <c r="F9430">
        <f>IF(AND(B9430=1,C9430&gt;1,E9429&lt;&gt;""),ABS(D9430-E9429),"")</f>
        <v/>
      </c>
    </row>
    <row r="9431">
      <c r="A9431" t="n">
        <v>9431</v>
      </c>
      <c r="B9431">
        <f>IF(INDEX('Data Entry'!$H$5:$BE$10004,9431-4,'Visual SPC'!$B$3)="",0,IF(AND(OR('Visual SPC'!$C$4="",'Data Entry'!$C9431&gt;='Visual SPC'!$C$4),OR('Visual SPC'!$E$4="",'Data Entry'!$C9431&lt;='Visual SPC'!$E$4),OR('Visual SPC'!$G$4="",'Data Entry'!$D9431='Visual SPC'!$G$4),OR('Visual SPC'!$I$4="",'Data Entry'!$E9431='Visual SPC'!$I$4),OR('Visual SPC'!$K$4="",'Data Entry'!$F9431='Visual SPC'!$K$4)),1,0))</f>
        <v/>
      </c>
      <c r="C9431">
        <f>C9430+B9431</f>
        <v/>
      </c>
      <c r="D9431">
        <f>IF(B9431=1,INDEX('Data Entry'!$H$5:$BE$10004,9431-4,'Visual SPC'!$B$3),"")</f>
        <v/>
      </c>
      <c r="E9431">
        <f>IF(B9431=1,D9431,E9430)</f>
        <v/>
      </c>
      <c r="F9431">
        <f>IF(AND(B9431=1,C9431&gt;1,E9430&lt;&gt;""),ABS(D9431-E9430),"")</f>
        <v/>
      </c>
    </row>
    <row r="9432">
      <c r="A9432" t="n">
        <v>9432</v>
      </c>
      <c r="B9432">
        <f>IF(INDEX('Data Entry'!$H$5:$BE$10004,9432-4,'Visual SPC'!$B$3)="",0,IF(AND(OR('Visual SPC'!$C$4="",'Data Entry'!$C9432&gt;='Visual SPC'!$C$4),OR('Visual SPC'!$E$4="",'Data Entry'!$C9432&lt;='Visual SPC'!$E$4),OR('Visual SPC'!$G$4="",'Data Entry'!$D9432='Visual SPC'!$G$4),OR('Visual SPC'!$I$4="",'Data Entry'!$E9432='Visual SPC'!$I$4),OR('Visual SPC'!$K$4="",'Data Entry'!$F9432='Visual SPC'!$K$4)),1,0))</f>
        <v/>
      </c>
      <c r="C9432">
        <f>C9431+B9432</f>
        <v/>
      </c>
      <c r="D9432">
        <f>IF(B9432=1,INDEX('Data Entry'!$H$5:$BE$10004,9432-4,'Visual SPC'!$B$3),"")</f>
        <v/>
      </c>
      <c r="E9432">
        <f>IF(B9432=1,D9432,E9431)</f>
        <v/>
      </c>
      <c r="F9432">
        <f>IF(AND(B9432=1,C9432&gt;1,E9431&lt;&gt;""),ABS(D9432-E9431),"")</f>
        <v/>
      </c>
    </row>
    <row r="9433">
      <c r="A9433" t="n">
        <v>9433</v>
      </c>
      <c r="B9433">
        <f>IF(INDEX('Data Entry'!$H$5:$BE$10004,9433-4,'Visual SPC'!$B$3)="",0,IF(AND(OR('Visual SPC'!$C$4="",'Data Entry'!$C9433&gt;='Visual SPC'!$C$4),OR('Visual SPC'!$E$4="",'Data Entry'!$C9433&lt;='Visual SPC'!$E$4),OR('Visual SPC'!$G$4="",'Data Entry'!$D9433='Visual SPC'!$G$4),OR('Visual SPC'!$I$4="",'Data Entry'!$E9433='Visual SPC'!$I$4),OR('Visual SPC'!$K$4="",'Data Entry'!$F9433='Visual SPC'!$K$4)),1,0))</f>
        <v/>
      </c>
      <c r="C9433">
        <f>C9432+B9433</f>
        <v/>
      </c>
      <c r="D9433">
        <f>IF(B9433=1,INDEX('Data Entry'!$H$5:$BE$10004,9433-4,'Visual SPC'!$B$3),"")</f>
        <v/>
      </c>
      <c r="E9433">
        <f>IF(B9433=1,D9433,E9432)</f>
        <v/>
      </c>
      <c r="F9433">
        <f>IF(AND(B9433=1,C9433&gt;1,E9432&lt;&gt;""),ABS(D9433-E9432),"")</f>
        <v/>
      </c>
    </row>
    <row r="9434">
      <c r="A9434" t="n">
        <v>9434</v>
      </c>
      <c r="B9434">
        <f>IF(INDEX('Data Entry'!$H$5:$BE$10004,9434-4,'Visual SPC'!$B$3)="",0,IF(AND(OR('Visual SPC'!$C$4="",'Data Entry'!$C9434&gt;='Visual SPC'!$C$4),OR('Visual SPC'!$E$4="",'Data Entry'!$C9434&lt;='Visual SPC'!$E$4),OR('Visual SPC'!$G$4="",'Data Entry'!$D9434='Visual SPC'!$G$4),OR('Visual SPC'!$I$4="",'Data Entry'!$E9434='Visual SPC'!$I$4),OR('Visual SPC'!$K$4="",'Data Entry'!$F9434='Visual SPC'!$K$4)),1,0))</f>
        <v/>
      </c>
      <c r="C9434">
        <f>C9433+B9434</f>
        <v/>
      </c>
      <c r="D9434">
        <f>IF(B9434=1,INDEX('Data Entry'!$H$5:$BE$10004,9434-4,'Visual SPC'!$B$3),"")</f>
        <v/>
      </c>
      <c r="E9434">
        <f>IF(B9434=1,D9434,E9433)</f>
        <v/>
      </c>
      <c r="F9434">
        <f>IF(AND(B9434=1,C9434&gt;1,E9433&lt;&gt;""),ABS(D9434-E9433),"")</f>
        <v/>
      </c>
    </row>
    <row r="9435">
      <c r="A9435" t="n">
        <v>9435</v>
      </c>
      <c r="B9435">
        <f>IF(INDEX('Data Entry'!$H$5:$BE$10004,9435-4,'Visual SPC'!$B$3)="",0,IF(AND(OR('Visual SPC'!$C$4="",'Data Entry'!$C9435&gt;='Visual SPC'!$C$4),OR('Visual SPC'!$E$4="",'Data Entry'!$C9435&lt;='Visual SPC'!$E$4),OR('Visual SPC'!$G$4="",'Data Entry'!$D9435='Visual SPC'!$G$4),OR('Visual SPC'!$I$4="",'Data Entry'!$E9435='Visual SPC'!$I$4),OR('Visual SPC'!$K$4="",'Data Entry'!$F9435='Visual SPC'!$K$4)),1,0))</f>
        <v/>
      </c>
      <c r="C9435">
        <f>C9434+B9435</f>
        <v/>
      </c>
      <c r="D9435">
        <f>IF(B9435=1,INDEX('Data Entry'!$H$5:$BE$10004,9435-4,'Visual SPC'!$B$3),"")</f>
        <v/>
      </c>
      <c r="E9435">
        <f>IF(B9435=1,D9435,E9434)</f>
        <v/>
      </c>
      <c r="F9435">
        <f>IF(AND(B9435=1,C9435&gt;1,E9434&lt;&gt;""),ABS(D9435-E9434),"")</f>
        <v/>
      </c>
    </row>
    <row r="9436">
      <c r="A9436" t="n">
        <v>9436</v>
      </c>
      <c r="B9436">
        <f>IF(INDEX('Data Entry'!$H$5:$BE$10004,9436-4,'Visual SPC'!$B$3)="",0,IF(AND(OR('Visual SPC'!$C$4="",'Data Entry'!$C9436&gt;='Visual SPC'!$C$4),OR('Visual SPC'!$E$4="",'Data Entry'!$C9436&lt;='Visual SPC'!$E$4),OR('Visual SPC'!$G$4="",'Data Entry'!$D9436='Visual SPC'!$G$4),OR('Visual SPC'!$I$4="",'Data Entry'!$E9436='Visual SPC'!$I$4),OR('Visual SPC'!$K$4="",'Data Entry'!$F9436='Visual SPC'!$K$4)),1,0))</f>
        <v/>
      </c>
      <c r="C9436">
        <f>C9435+B9436</f>
        <v/>
      </c>
      <c r="D9436">
        <f>IF(B9436=1,INDEX('Data Entry'!$H$5:$BE$10004,9436-4,'Visual SPC'!$B$3),"")</f>
        <v/>
      </c>
      <c r="E9436">
        <f>IF(B9436=1,D9436,E9435)</f>
        <v/>
      </c>
      <c r="F9436">
        <f>IF(AND(B9436=1,C9436&gt;1,E9435&lt;&gt;""),ABS(D9436-E9435),"")</f>
        <v/>
      </c>
    </row>
    <row r="9437">
      <c r="A9437" t="n">
        <v>9437</v>
      </c>
      <c r="B9437">
        <f>IF(INDEX('Data Entry'!$H$5:$BE$10004,9437-4,'Visual SPC'!$B$3)="",0,IF(AND(OR('Visual SPC'!$C$4="",'Data Entry'!$C9437&gt;='Visual SPC'!$C$4),OR('Visual SPC'!$E$4="",'Data Entry'!$C9437&lt;='Visual SPC'!$E$4),OR('Visual SPC'!$G$4="",'Data Entry'!$D9437='Visual SPC'!$G$4),OR('Visual SPC'!$I$4="",'Data Entry'!$E9437='Visual SPC'!$I$4),OR('Visual SPC'!$K$4="",'Data Entry'!$F9437='Visual SPC'!$K$4)),1,0))</f>
        <v/>
      </c>
      <c r="C9437">
        <f>C9436+B9437</f>
        <v/>
      </c>
      <c r="D9437">
        <f>IF(B9437=1,INDEX('Data Entry'!$H$5:$BE$10004,9437-4,'Visual SPC'!$B$3),"")</f>
        <v/>
      </c>
      <c r="E9437">
        <f>IF(B9437=1,D9437,E9436)</f>
        <v/>
      </c>
      <c r="F9437">
        <f>IF(AND(B9437=1,C9437&gt;1,E9436&lt;&gt;""),ABS(D9437-E9436),"")</f>
        <v/>
      </c>
    </row>
    <row r="9438">
      <c r="A9438" t="n">
        <v>9438</v>
      </c>
      <c r="B9438">
        <f>IF(INDEX('Data Entry'!$H$5:$BE$10004,9438-4,'Visual SPC'!$B$3)="",0,IF(AND(OR('Visual SPC'!$C$4="",'Data Entry'!$C9438&gt;='Visual SPC'!$C$4),OR('Visual SPC'!$E$4="",'Data Entry'!$C9438&lt;='Visual SPC'!$E$4),OR('Visual SPC'!$G$4="",'Data Entry'!$D9438='Visual SPC'!$G$4),OR('Visual SPC'!$I$4="",'Data Entry'!$E9438='Visual SPC'!$I$4),OR('Visual SPC'!$K$4="",'Data Entry'!$F9438='Visual SPC'!$K$4)),1,0))</f>
        <v/>
      </c>
      <c r="C9438">
        <f>C9437+B9438</f>
        <v/>
      </c>
      <c r="D9438">
        <f>IF(B9438=1,INDEX('Data Entry'!$H$5:$BE$10004,9438-4,'Visual SPC'!$B$3),"")</f>
        <v/>
      </c>
      <c r="E9438">
        <f>IF(B9438=1,D9438,E9437)</f>
        <v/>
      </c>
      <c r="F9438">
        <f>IF(AND(B9438=1,C9438&gt;1,E9437&lt;&gt;""),ABS(D9438-E9437),"")</f>
        <v/>
      </c>
    </row>
    <row r="9439">
      <c r="A9439" t="n">
        <v>9439</v>
      </c>
      <c r="B9439">
        <f>IF(INDEX('Data Entry'!$H$5:$BE$10004,9439-4,'Visual SPC'!$B$3)="",0,IF(AND(OR('Visual SPC'!$C$4="",'Data Entry'!$C9439&gt;='Visual SPC'!$C$4),OR('Visual SPC'!$E$4="",'Data Entry'!$C9439&lt;='Visual SPC'!$E$4),OR('Visual SPC'!$G$4="",'Data Entry'!$D9439='Visual SPC'!$G$4),OR('Visual SPC'!$I$4="",'Data Entry'!$E9439='Visual SPC'!$I$4),OR('Visual SPC'!$K$4="",'Data Entry'!$F9439='Visual SPC'!$K$4)),1,0))</f>
        <v/>
      </c>
      <c r="C9439">
        <f>C9438+B9439</f>
        <v/>
      </c>
      <c r="D9439">
        <f>IF(B9439=1,INDEX('Data Entry'!$H$5:$BE$10004,9439-4,'Visual SPC'!$B$3),"")</f>
        <v/>
      </c>
      <c r="E9439">
        <f>IF(B9439=1,D9439,E9438)</f>
        <v/>
      </c>
      <c r="F9439">
        <f>IF(AND(B9439=1,C9439&gt;1,E9438&lt;&gt;""),ABS(D9439-E9438),"")</f>
        <v/>
      </c>
    </row>
    <row r="9440">
      <c r="A9440" t="n">
        <v>9440</v>
      </c>
      <c r="B9440">
        <f>IF(INDEX('Data Entry'!$H$5:$BE$10004,9440-4,'Visual SPC'!$B$3)="",0,IF(AND(OR('Visual SPC'!$C$4="",'Data Entry'!$C9440&gt;='Visual SPC'!$C$4),OR('Visual SPC'!$E$4="",'Data Entry'!$C9440&lt;='Visual SPC'!$E$4),OR('Visual SPC'!$G$4="",'Data Entry'!$D9440='Visual SPC'!$G$4),OR('Visual SPC'!$I$4="",'Data Entry'!$E9440='Visual SPC'!$I$4),OR('Visual SPC'!$K$4="",'Data Entry'!$F9440='Visual SPC'!$K$4)),1,0))</f>
        <v/>
      </c>
      <c r="C9440">
        <f>C9439+B9440</f>
        <v/>
      </c>
      <c r="D9440">
        <f>IF(B9440=1,INDEX('Data Entry'!$H$5:$BE$10004,9440-4,'Visual SPC'!$B$3),"")</f>
        <v/>
      </c>
      <c r="E9440">
        <f>IF(B9440=1,D9440,E9439)</f>
        <v/>
      </c>
      <c r="F9440">
        <f>IF(AND(B9440=1,C9440&gt;1,E9439&lt;&gt;""),ABS(D9440-E9439),"")</f>
        <v/>
      </c>
    </row>
    <row r="9441">
      <c r="A9441" t="n">
        <v>9441</v>
      </c>
      <c r="B9441">
        <f>IF(INDEX('Data Entry'!$H$5:$BE$10004,9441-4,'Visual SPC'!$B$3)="",0,IF(AND(OR('Visual SPC'!$C$4="",'Data Entry'!$C9441&gt;='Visual SPC'!$C$4),OR('Visual SPC'!$E$4="",'Data Entry'!$C9441&lt;='Visual SPC'!$E$4),OR('Visual SPC'!$G$4="",'Data Entry'!$D9441='Visual SPC'!$G$4),OR('Visual SPC'!$I$4="",'Data Entry'!$E9441='Visual SPC'!$I$4),OR('Visual SPC'!$K$4="",'Data Entry'!$F9441='Visual SPC'!$K$4)),1,0))</f>
        <v/>
      </c>
      <c r="C9441">
        <f>C9440+B9441</f>
        <v/>
      </c>
      <c r="D9441">
        <f>IF(B9441=1,INDEX('Data Entry'!$H$5:$BE$10004,9441-4,'Visual SPC'!$B$3),"")</f>
        <v/>
      </c>
      <c r="E9441">
        <f>IF(B9441=1,D9441,E9440)</f>
        <v/>
      </c>
      <c r="F9441">
        <f>IF(AND(B9441=1,C9441&gt;1,E9440&lt;&gt;""),ABS(D9441-E9440),"")</f>
        <v/>
      </c>
    </row>
    <row r="9442">
      <c r="A9442" t="n">
        <v>9442</v>
      </c>
      <c r="B9442">
        <f>IF(INDEX('Data Entry'!$H$5:$BE$10004,9442-4,'Visual SPC'!$B$3)="",0,IF(AND(OR('Visual SPC'!$C$4="",'Data Entry'!$C9442&gt;='Visual SPC'!$C$4),OR('Visual SPC'!$E$4="",'Data Entry'!$C9442&lt;='Visual SPC'!$E$4),OR('Visual SPC'!$G$4="",'Data Entry'!$D9442='Visual SPC'!$G$4),OR('Visual SPC'!$I$4="",'Data Entry'!$E9442='Visual SPC'!$I$4),OR('Visual SPC'!$K$4="",'Data Entry'!$F9442='Visual SPC'!$K$4)),1,0))</f>
        <v/>
      </c>
      <c r="C9442">
        <f>C9441+B9442</f>
        <v/>
      </c>
      <c r="D9442">
        <f>IF(B9442=1,INDEX('Data Entry'!$H$5:$BE$10004,9442-4,'Visual SPC'!$B$3),"")</f>
        <v/>
      </c>
      <c r="E9442">
        <f>IF(B9442=1,D9442,E9441)</f>
        <v/>
      </c>
      <c r="F9442">
        <f>IF(AND(B9442=1,C9442&gt;1,E9441&lt;&gt;""),ABS(D9442-E9441),"")</f>
        <v/>
      </c>
    </row>
    <row r="9443">
      <c r="A9443" t="n">
        <v>9443</v>
      </c>
      <c r="B9443">
        <f>IF(INDEX('Data Entry'!$H$5:$BE$10004,9443-4,'Visual SPC'!$B$3)="",0,IF(AND(OR('Visual SPC'!$C$4="",'Data Entry'!$C9443&gt;='Visual SPC'!$C$4),OR('Visual SPC'!$E$4="",'Data Entry'!$C9443&lt;='Visual SPC'!$E$4),OR('Visual SPC'!$G$4="",'Data Entry'!$D9443='Visual SPC'!$G$4),OR('Visual SPC'!$I$4="",'Data Entry'!$E9443='Visual SPC'!$I$4),OR('Visual SPC'!$K$4="",'Data Entry'!$F9443='Visual SPC'!$K$4)),1,0))</f>
        <v/>
      </c>
      <c r="C9443">
        <f>C9442+B9443</f>
        <v/>
      </c>
      <c r="D9443">
        <f>IF(B9443=1,INDEX('Data Entry'!$H$5:$BE$10004,9443-4,'Visual SPC'!$B$3),"")</f>
        <v/>
      </c>
      <c r="E9443">
        <f>IF(B9443=1,D9443,E9442)</f>
        <v/>
      </c>
      <c r="F9443">
        <f>IF(AND(B9443=1,C9443&gt;1,E9442&lt;&gt;""),ABS(D9443-E9442),"")</f>
        <v/>
      </c>
    </row>
    <row r="9444">
      <c r="A9444" t="n">
        <v>9444</v>
      </c>
      <c r="B9444">
        <f>IF(INDEX('Data Entry'!$H$5:$BE$10004,9444-4,'Visual SPC'!$B$3)="",0,IF(AND(OR('Visual SPC'!$C$4="",'Data Entry'!$C9444&gt;='Visual SPC'!$C$4),OR('Visual SPC'!$E$4="",'Data Entry'!$C9444&lt;='Visual SPC'!$E$4),OR('Visual SPC'!$G$4="",'Data Entry'!$D9444='Visual SPC'!$G$4),OR('Visual SPC'!$I$4="",'Data Entry'!$E9444='Visual SPC'!$I$4),OR('Visual SPC'!$K$4="",'Data Entry'!$F9444='Visual SPC'!$K$4)),1,0))</f>
        <v/>
      </c>
      <c r="C9444">
        <f>C9443+B9444</f>
        <v/>
      </c>
      <c r="D9444">
        <f>IF(B9444=1,INDEX('Data Entry'!$H$5:$BE$10004,9444-4,'Visual SPC'!$B$3),"")</f>
        <v/>
      </c>
      <c r="E9444">
        <f>IF(B9444=1,D9444,E9443)</f>
        <v/>
      </c>
      <c r="F9444">
        <f>IF(AND(B9444=1,C9444&gt;1,E9443&lt;&gt;""),ABS(D9444-E9443),"")</f>
        <v/>
      </c>
    </row>
    <row r="9445">
      <c r="A9445" t="n">
        <v>9445</v>
      </c>
      <c r="B9445">
        <f>IF(INDEX('Data Entry'!$H$5:$BE$10004,9445-4,'Visual SPC'!$B$3)="",0,IF(AND(OR('Visual SPC'!$C$4="",'Data Entry'!$C9445&gt;='Visual SPC'!$C$4),OR('Visual SPC'!$E$4="",'Data Entry'!$C9445&lt;='Visual SPC'!$E$4),OR('Visual SPC'!$G$4="",'Data Entry'!$D9445='Visual SPC'!$G$4),OR('Visual SPC'!$I$4="",'Data Entry'!$E9445='Visual SPC'!$I$4),OR('Visual SPC'!$K$4="",'Data Entry'!$F9445='Visual SPC'!$K$4)),1,0))</f>
        <v/>
      </c>
      <c r="C9445">
        <f>C9444+B9445</f>
        <v/>
      </c>
      <c r="D9445">
        <f>IF(B9445=1,INDEX('Data Entry'!$H$5:$BE$10004,9445-4,'Visual SPC'!$B$3),"")</f>
        <v/>
      </c>
      <c r="E9445">
        <f>IF(B9445=1,D9445,E9444)</f>
        <v/>
      </c>
      <c r="F9445">
        <f>IF(AND(B9445=1,C9445&gt;1,E9444&lt;&gt;""),ABS(D9445-E9444),"")</f>
        <v/>
      </c>
    </row>
    <row r="9446">
      <c r="A9446" t="n">
        <v>9446</v>
      </c>
      <c r="B9446">
        <f>IF(INDEX('Data Entry'!$H$5:$BE$10004,9446-4,'Visual SPC'!$B$3)="",0,IF(AND(OR('Visual SPC'!$C$4="",'Data Entry'!$C9446&gt;='Visual SPC'!$C$4),OR('Visual SPC'!$E$4="",'Data Entry'!$C9446&lt;='Visual SPC'!$E$4),OR('Visual SPC'!$G$4="",'Data Entry'!$D9446='Visual SPC'!$G$4),OR('Visual SPC'!$I$4="",'Data Entry'!$E9446='Visual SPC'!$I$4),OR('Visual SPC'!$K$4="",'Data Entry'!$F9446='Visual SPC'!$K$4)),1,0))</f>
        <v/>
      </c>
      <c r="C9446">
        <f>C9445+B9446</f>
        <v/>
      </c>
      <c r="D9446">
        <f>IF(B9446=1,INDEX('Data Entry'!$H$5:$BE$10004,9446-4,'Visual SPC'!$B$3),"")</f>
        <v/>
      </c>
      <c r="E9446">
        <f>IF(B9446=1,D9446,E9445)</f>
        <v/>
      </c>
      <c r="F9446">
        <f>IF(AND(B9446=1,C9446&gt;1,E9445&lt;&gt;""),ABS(D9446-E9445),"")</f>
        <v/>
      </c>
    </row>
    <row r="9447">
      <c r="A9447" t="n">
        <v>9447</v>
      </c>
      <c r="B9447">
        <f>IF(INDEX('Data Entry'!$H$5:$BE$10004,9447-4,'Visual SPC'!$B$3)="",0,IF(AND(OR('Visual SPC'!$C$4="",'Data Entry'!$C9447&gt;='Visual SPC'!$C$4),OR('Visual SPC'!$E$4="",'Data Entry'!$C9447&lt;='Visual SPC'!$E$4),OR('Visual SPC'!$G$4="",'Data Entry'!$D9447='Visual SPC'!$G$4),OR('Visual SPC'!$I$4="",'Data Entry'!$E9447='Visual SPC'!$I$4),OR('Visual SPC'!$K$4="",'Data Entry'!$F9447='Visual SPC'!$K$4)),1,0))</f>
        <v/>
      </c>
      <c r="C9447">
        <f>C9446+B9447</f>
        <v/>
      </c>
      <c r="D9447">
        <f>IF(B9447=1,INDEX('Data Entry'!$H$5:$BE$10004,9447-4,'Visual SPC'!$B$3),"")</f>
        <v/>
      </c>
      <c r="E9447">
        <f>IF(B9447=1,D9447,E9446)</f>
        <v/>
      </c>
      <c r="F9447">
        <f>IF(AND(B9447=1,C9447&gt;1,E9446&lt;&gt;""),ABS(D9447-E9446),"")</f>
        <v/>
      </c>
    </row>
    <row r="9448">
      <c r="A9448" t="n">
        <v>9448</v>
      </c>
      <c r="B9448">
        <f>IF(INDEX('Data Entry'!$H$5:$BE$10004,9448-4,'Visual SPC'!$B$3)="",0,IF(AND(OR('Visual SPC'!$C$4="",'Data Entry'!$C9448&gt;='Visual SPC'!$C$4),OR('Visual SPC'!$E$4="",'Data Entry'!$C9448&lt;='Visual SPC'!$E$4),OR('Visual SPC'!$G$4="",'Data Entry'!$D9448='Visual SPC'!$G$4),OR('Visual SPC'!$I$4="",'Data Entry'!$E9448='Visual SPC'!$I$4),OR('Visual SPC'!$K$4="",'Data Entry'!$F9448='Visual SPC'!$K$4)),1,0))</f>
        <v/>
      </c>
      <c r="C9448">
        <f>C9447+B9448</f>
        <v/>
      </c>
      <c r="D9448">
        <f>IF(B9448=1,INDEX('Data Entry'!$H$5:$BE$10004,9448-4,'Visual SPC'!$B$3),"")</f>
        <v/>
      </c>
      <c r="E9448">
        <f>IF(B9448=1,D9448,E9447)</f>
        <v/>
      </c>
      <c r="F9448">
        <f>IF(AND(B9448=1,C9448&gt;1,E9447&lt;&gt;""),ABS(D9448-E9447),"")</f>
        <v/>
      </c>
    </row>
    <row r="9449">
      <c r="A9449" t="n">
        <v>9449</v>
      </c>
      <c r="B9449">
        <f>IF(INDEX('Data Entry'!$H$5:$BE$10004,9449-4,'Visual SPC'!$B$3)="",0,IF(AND(OR('Visual SPC'!$C$4="",'Data Entry'!$C9449&gt;='Visual SPC'!$C$4),OR('Visual SPC'!$E$4="",'Data Entry'!$C9449&lt;='Visual SPC'!$E$4),OR('Visual SPC'!$G$4="",'Data Entry'!$D9449='Visual SPC'!$G$4),OR('Visual SPC'!$I$4="",'Data Entry'!$E9449='Visual SPC'!$I$4),OR('Visual SPC'!$K$4="",'Data Entry'!$F9449='Visual SPC'!$K$4)),1,0))</f>
        <v/>
      </c>
      <c r="C9449">
        <f>C9448+B9449</f>
        <v/>
      </c>
      <c r="D9449">
        <f>IF(B9449=1,INDEX('Data Entry'!$H$5:$BE$10004,9449-4,'Visual SPC'!$B$3),"")</f>
        <v/>
      </c>
      <c r="E9449">
        <f>IF(B9449=1,D9449,E9448)</f>
        <v/>
      </c>
      <c r="F9449">
        <f>IF(AND(B9449=1,C9449&gt;1,E9448&lt;&gt;""),ABS(D9449-E9448),"")</f>
        <v/>
      </c>
    </row>
    <row r="9450">
      <c r="A9450" t="n">
        <v>9450</v>
      </c>
      <c r="B9450">
        <f>IF(INDEX('Data Entry'!$H$5:$BE$10004,9450-4,'Visual SPC'!$B$3)="",0,IF(AND(OR('Visual SPC'!$C$4="",'Data Entry'!$C9450&gt;='Visual SPC'!$C$4),OR('Visual SPC'!$E$4="",'Data Entry'!$C9450&lt;='Visual SPC'!$E$4),OR('Visual SPC'!$G$4="",'Data Entry'!$D9450='Visual SPC'!$G$4),OR('Visual SPC'!$I$4="",'Data Entry'!$E9450='Visual SPC'!$I$4),OR('Visual SPC'!$K$4="",'Data Entry'!$F9450='Visual SPC'!$K$4)),1,0))</f>
        <v/>
      </c>
      <c r="C9450">
        <f>C9449+B9450</f>
        <v/>
      </c>
      <c r="D9450">
        <f>IF(B9450=1,INDEX('Data Entry'!$H$5:$BE$10004,9450-4,'Visual SPC'!$B$3),"")</f>
        <v/>
      </c>
      <c r="E9450">
        <f>IF(B9450=1,D9450,E9449)</f>
        <v/>
      </c>
      <c r="F9450">
        <f>IF(AND(B9450=1,C9450&gt;1,E9449&lt;&gt;""),ABS(D9450-E9449),"")</f>
        <v/>
      </c>
    </row>
    <row r="9451">
      <c r="A9451" t="n">
        <v>9451</v>
      </c>
      <c r="B9451">
        <f>IF(INDEX('Data Entry'!$H$5:$BE$10004,9451-4,'Visual SPC'!$B$3)="",0,IF(AND(OR('Visual SPC'!$C$4="",'Data Entry'!$C9451&gt;='Visual SPC'!$C$4),OR('Visual SPC'!$E$4="",'Data Entry'!$C9451&lt;='Visual SPC'!$E$4),OR('Visual SPC'!$G$4="",'Data Entry'!$D9451='Visual SPC'!$G$4),OR('Visual SPC'!$I$4="",'Data Entry'!$E9451='Visual SPC'!$I$4),OR('Visual SPC'!$K$4="",'Data Entry'!$F9451='Visual SPC'!$K$4)),1,0))</f>
        <v/>
      </c>
      <c r="C9451">
        <f>C9450+B9451</f>
        <v/>
      </c>
      <c r="D9451">
        <f>IF(B9451=1,INDEX('Data Entry'!$H$5:$BE$10004,9451-4,'Visual SPC'!$B$3),"")</f>
        <v/>
      </c>
      <c r="E9451">
        <f>IF(B9451=1,D9451,E9450)</f>
        <v/>
      </c>
      <c r="F9451">
        <f>IF(AND(B9451=1,C9451&gt;1,E9450&lt;&gt;""),ABS(D9451-E9450),"")</f>
        <v/>
      </c>
    </row>
    <row r="9452">
      <c r="A9452" t="n">
        <v>9452</v>
      </c>
      <c r="B9452">
        <f>IF(INDEX('Data Entry'!$H$5:$BE$10004,9452-4,'Visual SPC'!$B$3)="",0,IF(AND(OR('Visual SPC'!$C$4="",'Data Entry'!$C9452&gt;='Visual SPC'!$C$4),OR('Visual SPC'!$E$4="",'Data Entry'!$C9452&lt;='Visual SPC'!$E$4),OR('Visual SPC'!$G$4="",'Data Entry'!$D9452='Visual SPC'!$G$4),OR('Visual SPC'!$I$4="",'Data Entry'!$E9452='Visual SPC'!$I$4),OR('Visual SPC'!$K$4="",'Data Entry'!$F9452='Visual SPC'!$K$4)),1,0))</f>
        <v/>
      </c>
      <c r="C9452">
        <f>C9451+B9452</f>
        <v/>
      </c>
      <c r="D9452">
        <f>IF(B9452=1,INDEX('Data Entry'!$H$5:$BE$10004,9452-4,'Visual SPC'!$B$3),"")</f>
        <v/>
      </c>
      <c r="E9452">
        <f>IF(B9452=1,D9452,E9451)</f>
        <v/>
      </c>
      <c r="F9452">
        <f>IF(AND(B9452=1,C9452&gt;1,E9451&lt;&gt;""),ABS(D9452-E9451),"")</f>
        <v/>
      </c>
    </row>
    <row r="9453">
      <c r="A9453" t="n">
        <v>9453</v>
      </c>
      <c r="B9453">
        <f>IF(INDEX('Data Entry'!$H$5:$BE$10004,9453-4,'Visual SPC'!$B$3)="",0,IF(AND(OR('Visual SPC'!$C$4="",'Data Entry'!$C9453&gt;='Visual SPC'!$C$4),OR('Visual SPC'!$E$4="",'Data Entry'!$C9453&lt;='Visual SPC'!$E$4),OR('Visual SPC'!$G$4="",'Data Entry'!$D9453='Visual SPC'!$G$4),OR('Visual SPC'!$I$4="",'Data Entry'!$E9453='Visual SPC'!$I$4),OR('Visual SPC'!$K$4="",'Data Entry'!$F9453='Visual SPC'!$K$4)),1,0))</f>
        <v/>
      </c>
      <c r="C9453">
        <f>C9452+B9453</f>
        <v/>
      </c>
      <c r="D9453">
        <f>IF(B9453=1,INDEX('Data Entry'!$H$5:$BE$10004,9453-4,'Visual SPC'!$B$3),"")</f>
        <v/>
      </c>
      <c r="E9453">
        <f>IF(B9453=1,D9453,E9452)</f>
        <v/>
      </c>
      <c r="F9453">
        <f>IF(AND(B9453=1,C9453&gt;1,E9452&lt;&gt;""),ABS(D9453-E9452),"")</f>
        <v/>
      </c>
    </row>
    <row r="9454">
      <c r="A9454" t="n">
        <v>9454</v>
      </c>
      <c r="B9454">
        <f>IF(INDEX('Data Entry'!$H$5:$BE$10004,9454-4,'Visual SPC'!$B$3)="",0,IF(AND(OR('Visual SPC'!$C$4="",'Data Entry'!$C9454&gt;='Visual SPC'!$C$4),OR('Visual SPC'!$E$4="",'Data Entry'!$C9454&lt;='Visual SPC'!$E$4),OR('Visual SPC'!$G$4="",'Data Entry'!$D9454='Visual SPC'!$G$4),OR('Visual SPC'!$I$4="",'Data Entry'!$E9454='Visual SPC'!$I$4),OR('Visual SPC'!$K$4="",'Data Entry'!$F9454='Visual SPC'!$K$4)),1,0))</f>
        <v/>
      </c>
      <c r="C9454">
        <f>C9453+B9454</f>
        <v/>
      </c>
      <c r="D9454">
        <f>IF(B9454=1,INDEX('Data Entry'!$H$5:$BE$10004,9454-4,'Visual SPC'!$B$3),"")</f>
        <v/>
      </c>
      <c r="E9454">
        <f>IF(B9454=1,D9454,E9453)</f>
        <v/>
      </c>
      <c r="F9454">
        <f>IF(AND(B9454=1,C9454&gt;1,E9453&lt;&gt;""),ABS(D9454-E9453),"")</f>
        <v/>
      </c>
    </row>
    <row r="9455">
      <c r="A9455" t="n">
        <v>9455</v>
      </c>
      <c r="B9455">
        <f>IF(INDEX('Data Entry'!$H$5:$BE$10004,9455-4,'Visual SPC'!$B$3)="",0,IF(AND(OR('Visual SPC'!$C$4="",'Data Entry'!$C9455&gt;='Visual SPC'!$C$4),OR('Visual SPC'!$E$4="",'Data Entry'!$C9455&lt;='Visual SPC'!$E$4),OR('Visual SPC'!$G$4="",'Data Entry'!$D9455='Visual SPC'!$G$4),OR('Visual SPC'!$I$4="",'Data Entry'!$E9455='Visual SPC'!$I$4),OR('Visual SPC'!$K$4="",'Data Entry'!$F9455='Visual SPC'!$K$4)),1,0))</f>
        <v/>
      </c>
      <c r="C9455">
        <f>C9454+B9455</f>
        <v/>
      </c>
      <c r="D9455">
        <f>IF(B9455=1,INDEX('Data Entry'!$H$5:$BE$10004,9455-4,'Visual SPC'!$B$3),"")</f>
        <v/>
      </c>
      <c r="E9455">
        <f>IF(B9455=1,D9455,E9454)</f>
        <v/>
      </c>
      <c r="F9455">
        <f>IF(AND(B9455=1,C9455&gt;1,E9454&lt;&gt;""),ABS(D9455-E9454),"")</f>
        <v/>
      </c>
    </row>
    <row r="9456">
      <c r="A9456" t="n">
        <v>9456</v>
      </c>
      <c r="B9456">
        <f>IF(INDEX('Data Entry'!$H$5:$BE$10004,9456-4,'Visual SPC'!$B$3)="",0,IF(AND(OR('Visual SPC'!$C$4="",'Data Entry'!$C9456&gt;='Visual SPC'!$C$4),OR('Visual SPC'!$E$4="",'Data Entry'!$C9456&lt;='Visual SPC'!$E$4),OR('Visual SPC'!$G$4="",'Data Entry'!$D9456='Visual SPC'!$G$4),OR('Visual SPC'!$I$4="",'Data Entry'!$E9456='Visual SPC'!$I$4),OR('Visual SPC'!$K$4="",'Data Entry'!$F9456='Visual SPC'!$K$4)),1,0))</f>
        <v/>
      </c>
      <c r="C9456">
        <f>C9455+B9456</f>
        <v/>
      </c>
      <c r="D9456">
        <f>IF(B9456=1,INDEX('Data Entry'!$H$5:$BE$10004,9456-4,'Visual SPC'!$B$3),"")</f>
        <v/>
      </c>
      <c r="E9456">
        <f>IF(B9456=1,D9456,E9455)</f>
        <v/>
      </c>
      <c r="F9456">
        <f>IF(AND(B9456=1,C9456&gt;1,E9455&lt;&gt;""),ABS(D9456-E9455),"")</f>
        <v/>
      </c>
    </row>
    <row r="9457">
      <c r="A9457" t="n">
        <v>9457</v>
      </c>
      <c r="B9457">
        <f>IF(INDEX('Data Entry'!$H$5:$BE$10004,9457-4,'Visual SPC'!$B$3)="",0,IF(AND(OR('Visual SPC'!$C$4="",'Data Entry'!$C9457&gt;='Visual SPC'!$C$4),OR('Visual SPC'!$E$4="",'Data Entry'!$C9457&lt;='Visual SPC'!$E$4),OR('Visual SPC'!$G$4="",'Data Entry'!$D9457='Visual SPC'!$G$4),OR('Visual SPC'!$I$4="",'Data Entry'!$E9457='Visual SPC'!$I$4),OR('Visual SPC'!$K$4="",'Data Entry'!$F9457='Visual SPC'!$K$4)),1,0))</f>
        <v/>
      </c>
      <c r="C9457">
        <f>C9456+B9457</f>
        <v/>
      </c>
      <c r="D9457">
        <f>IF(B9457=1,INDEX('Data Entry'!$H$5:$BE$10004,9457-4,'Visual SPC'!$B$3),"")</f>
        <v/>
      </c>
      <c r="E9457">
        <f>IF(B9457=1,D9457,E9456)</f>
        <v/>
      </c>
      <c r="F9457">
        <f>IF(AND(B9457=1,C9457&gt;1,E9456&lt;&gt;""),ABS(D9457-E9456),"")</f>
        <v/>
      </c>
    </row>
    <row r="9458">
      <c r="A9458" t="n">
        <v>9458</v>
      </c>
      <c r="B9458">
        <f>IF(INDEX('Data Entry'!$H$5:$BE$10004,9458-4,'Visual SPC'!$B$3)="",0,IF(AND(OR('Visual SPC'!$C$4="",'Data Entry'!$C9458&gt;='Visual SPC'!$C$4),OR('Visual SPC'!$E$4="",'Data Entry'!$C9458&lt;='Visual SPC'!$E$4),OR('Visual SPC'!$G$4="",'Data Entry'!$D9458='Visual SPC'!$G$4),OR('Visual SPC'!$I$4="",'Data Entry'!$E9458='Visual SPC'!$I$4),OR('Visual SPC'!$K$4="",'Data Entry'!$F9458='Visual SPC'!$K$4)),1,0))</f>
        <v/>
      </c>
      <c r="C9458">
        <f>C9457+B9458</f>
        <v/>
      </c>
      <c r="D9458">
        <f>IF(B9458=1,INDEX('Data Entry'!$H$5:$BE$10004,9458-4,'Visual SPC'!$B$3),"")</f>
        <v/>
      </c>
      <c r="E9458">
        <f>IF(B9458=1,D9458,E9457)</f>
        <v/>
      </c>
      <c r="F9458">
        <f>IF(AND(B9458=1,C9458&gt;1,E9457&lt;&gt;""),ABS(D9458-E9457),"")</f>
        <v/>
      </c>
    </row>
    <row r="9459">
      <c r="A9459" t="n">
        <v>9459</v>
      </c>
      <c r="B9459">
        <f>IF(INDEX('Data Entry'!$H$5:$BE$10004,9459-4,'Visual SPC'!$B$3)="",0,IF(AND(OR('Visual SPC'!$C$4="",'Data Entry'!$C9459&gt;='Visual SPC'!$C$4),OR('Visual SPC'!$E$4="",'Data Entry'!$C9459&lt;='Visual SPC'!$E$4),OR('Visual SPC'!$G$4="",'Data Entry'!$D9459='Visual SPC'!$G$4),OR('Visual SPC'!$I$4="",'Data Entry'!$E9459='Visual SPC'!$I$4),OR('Visual SPC'!$K$4="",'Data Entry'!$F9459='Visual SPC'!$K$4)),1,0))</f>
        <v/>
      </c>
      <c r="C9459">
        <f>C9458+B9459</f>
        <v/>
      </c>
      <c r="D9459">
        <f>IF(B9459=1,INDEX('Data Entry'!$H$5:$BE$10004,9459-4,'Visual SPC'!$B$3),"")</f>
        <v/>
      </c>
      <c r="E9459">
        <f>IF(B9459=1,D9459,E9458)</f>
        <v/>
      </c>
      <c r="F9459">
        <f>IF(AND(B9459=1,C9459&gt;1,E9458&lt;&gt;""),ABS(D9459-E9458),"")</f>
        <v/>
      </c>
    </row>
    <row r="9460">
      <c r="A9460" t="n">
        <v>9460</v>
      </c>
      <c r="B9460">
        <f>IF(INDEX('Data Entry'!$H$5:$BE$10004,9460-4,'Visual SPC'!$B$3)="",0,IF(AND(OR('Visual SPC'!$C$4="",'Data Entry'!$C9460&gt;='Visual SPC'!$C$4),OR('Visual SPC'!$E$4="",'Data Entry'!$C9460&lt;='Visual SPC'!$E$4),OR('Visual SPC'!$G$4="",'Data Entry'!$D9460='Visual SPC'!$G$4),OR('Visual SPC'!$I$4="",'Data Entry'!$E9460='Visual SPC'!$I$4),OR('Visual SPC'!$K$4="",'Data Entry'!$F9460='Visual SPC'!$K$4)),1,0))</f>
        <v/>
      </c>
      <c r="C9460">
        <f>C9459+B9460</f>
        <v/>
      </c>
      <c r="D9460">
        <f>IF(B9460=1,INDEX('Data Entry'!$H$5:$BE$10004,9460-4,'Visual SPC'!$B$3),"")</f>
        <v/>
      </c>
      <c r="E9460">
        <f>IF(B9460=1,D9460,E9459)</f>
        <v/>
      </c>
      <c r="F9460">
        <f>IF(AND(B9460=1,C9460&gt;1,E9459&lt;&gt;""),ABS(D9460-E9459),"")</f>
        <v/>
      </c>
    </row>
    <row r="9461">
      <c r="A9461" t="n">
        <v>9461</v>
      </c>
      <c r="B9461">
        <f>IF(INDEX('Data Entry'!$H$5:$BE$10004,9461-4,'Visual SPC'!$B$3)="",0,IF(AND(OR('Visual SPC'!$C$4="",'Data Entry'!$C9461&gt;='Visual SPC'!$C$4),OR('Visual SPC'!$E$4="",'Data Entry'!$C9461&lt;='Visual SPC'!$E$4),OR('Visual SPC'!$G$4="",'Data Entry'!$D9461='Visual SPC'!$G$4),OR('Visual SPC'!$I$4="",'Data Entry'!$E9461='Visual SPC'!$I$4),OR('Visual SPC'!$K$4="",'Data Entry'!$F9461='Visual SPC'!$K$4)),1,0))</f>
        <v/>
      </c>
      <c r="C9461">
        <f>C9460+B9461</f>
        <v/>
      </c>
      <c r="D9461">
        <f>IF(B9461=1,INDEX('Data Entry'!$H$5:$BE$10004,9461-4,'Visual SPC'!$B$3),"")</f>
        <v/>
      </c>
      <c r="E9461">
        <f>IF(B9461=1,D9461,E9460)</f>
        <v/>
      </c>
      <c r="F9461">
        <f>IF(AND(B9461=1,C9461&gt;1,E9460&lt;&gt;""),ABS(D9461-E9460),"")</f>
        <v/>
      </c>
    </row>
    <row r="9462">
      <c r="A9462" t="n">
        <v>9462</v>
      </c>
      <c r="B9462">
        <f>IF(INDEX('Data Entry'!$H$5:$BE$10004,9462-4,'Visual SPC'!$B$3)="",0,IF(AND(OR('Visual SPC'!$C$4="",'Data Entry'!$C9462&gt;='Visual SPC'!$C$4),OR('Visual SPC'!$E$4="",'Data Entry'!$C9462&lt;='Visual SPC'!$E$4),OR('Visual SPC'!$G$4="",'Data Entry'!$D9462='Visual SPC'!$G$4),OR('Visual SPC'!$I$4="",'Data Entry'!$E9462='Visual SPC'!$I$4),OR('Visual SPC'!$K$4="",'Data Entry'!$F9462='Visual SPC'!$K$4)),1,0))</f>
        <v/>
      </c>
      <c r="C9462">
        <f>C9461+B9462</f>
        <v/>
      </c>
      <c r="D9462">
        <f>IF(B9462=1,INDEX('Data Entry'!$H$5:$BE$10004,9462-4,'Visual SPC'!$B$3),"")</f>
        <v/>
      </c>
      <c r="E9462">
        <f>IF(B9462=1,D9462,E9461)</f>
        <v/>
      </c>
      <c r="F9462">
        <f>IF(AND(B9462=1,C9462&gt;1,E9461&lt;&gt;""),ABS(D9462-E9461),"")</f>
        <v/>
      </c>
    </row>
    <row r="9463">
      <c r="A9463" t="n">
        <v>9463</v>
      </c>
      <c r="B9463">
        <f>IF(INDEX('Data Entry'!$H$5:$BE$10004,9463-4,'Visual SPC'!$B$3)="",0,IF(AND(OR('Visual SPC'!$C$4="",'Data Entry'!$C9463&gt;='Visual SPC'!$C$4),OR('Visual SPC'!$E$4="",'Data Entry'!$C9463&lt;='Visual SPC'!$E$4),OR('Visual SPC'!$G$4="",'Data Entry'!$D9463='Visual SPC'!$G$4),OR('Visual SPC'!$I$4="",'Data Entry'!$E9463='Visual SPC'!$I$4),OR('Visual SPC'!$K$4="",'Data Entry'!$F9463='Visual SPC'!$K$4)),1,0))</f>
        <v/>
      </c>
      <c r="C9463">
        <f>C9462+B9463</f>
        <v/>
      </c>
      <c r="D9463">
        <f>IF(B9463=1,INDEX('Data Entry'!$H$5:$BE$10004,9463-4,'Visual SPC'!$B$3),"")</f>
        <v/>
      </c>
      <c r="E9463">
        <f>IF(B9463=1,D9463,E9462)</f>
        <v/>
      </c>
      <c r="F9463">
        <f>IF(AND(B9463=1,C9463&gt;1,E9462&lt;&gt;""),ABS(D9463-E9462),"")</f>
        <v/>
      </c>
    </row>
    <row r="9464">
      <c r="A9464" t="n">
        <v>9464</v>
      </c>
      <c r="B9464">
        <f>IF(INDEX('Data Entry'!$H$5:$BE$10004,9464-4,'Visual SPC'!$B$3)="",0,IF(AND(OR('Visual SPC'!$C$4="",'Data Entry'!$C9464&gt;='Visual SPC'!$C$4),OR('Visual SPC'!$E$4="",'Data Entry'!$C9464&lt;='Visual SPC'!$E$4),OR('Visual SPC'!$G$4="",'Data Entry'!$D9464='Visual SPC'!$G$4),OR('Visual SPC'!$I$4="",'Data Entry'!$E9464='Visual SPC'!$I$4),OR('Visual SPC'!$K$4="",'Data Entry'!$F9464='Visual SPC'!$K$4)),1,0))</f>
        <v/>
      </c>
      <c r="C9464">
        <f>C9463+B9464</f>
        <v/>
      </c>
      <c r="D9464">
        <f>IF(B9464=1,INDEX('Data Entry'!$H$5:$BE$10004,9464-4,'Visual SPC'!$B$3),"")</f>
        <v/>
      </c>
      <c r="E9464">
        <f>IF(B9464=1,D9464,E9463)</f>
        <v/>
      </c>
      <c r="F9464">
        <f>IF(AND(B9464=1,C9464&gt;1,E9463&lt;&gt;""),ABS(D9464-E9463),"")</f>
        <v/>
      </c>
    </row>
    <row r="9465">
      <c r="A9465" t="n">
        <v>9465</v>
      </c>
      <c r="B9465">
        <f>IF(INDEX('Data Entry'!$H$5:$BE$10004,9465-4,'Visual SPC'!$B$3)="",0,IF(AND(OR('Visual SPC'!$C$4="",'Data Entry'!$C9465&gt;='Visual SPC'!$C$4),OR('Visual SPC'!$E$4="",'Data Entry'!$C9465&lt;='Visual SPC'!$E$4),OR('Visual SPC'!$G$4="",'Data Entry'!$D9465='Visual SPC'!$G$4),OR('Visual SPC'!$I$4="",'Data Entry'!$E9465='Visual SPC'!$I$4),OR('Visual SPC'!$K$4="",'Data Entry'!$F9465='Visual SPC'!$K$4)),1,0))</f>
        <v/>
      </c>
      <c r="C9465">
        <f>C9464+B9465</f>
        <v/>
      </c>
      <c r="D9465">
        <f>IF(B9465=1,INDEX('Data Entry'!$H$5:$BE$10004,9465-4,'Visual SPC'!$B$3),"")</f>
        <v/>
      </c>
      <c r="E9465">
        <f>IF(B9465=1,D9465,E9464)</f>
        <v/>
      </c>
      <c r="F9465">
        <f>IF(AND(B9465=1,C9465&gt;1,E9464&lt;&gt;""),ABS(D9465-E9464),"")</f>
        <v/>
      </c>
    </row>
    <row r="9466">
      <c r="A9466" t="n">
        <v>9466</v>
      </c>
      <c r="B9466">
        <f>IF(INDEX('Data Entry'!$H$5:$BE$10004,9466-4,'Visual SPC'!$B$3)="",0,IF(AND(OR('Visual SPC'!$C$4="",'Data Entry'!$C9466&gt;='Visual SPC'!$C$4),OR('Visual SPC'!$E$4="",'Data Entry'!$C9466&lt;='Visual SPC'!$E$4),OR('Visual SPC'!$G$4="",'Data Entry'!$D9466='Visual SPC'!$G$4),OR('Visual SPC'!$I$4="",'Data Entry'!$E9466='Visual SPC'!$I$4),OR('Visual SPC'!$K$4="",'Data Entry'!$F9466='Visual SPC'!$K$4)),1,0))</f>
        <v/>
      </c>
      <c r="C9466">
        <f>C9465+B9466</f>
        <v/>
      </c>
      <c r="D9466">
        <f>IF(B9466=1,INDEX('Data Entry'!$H$5:$BE$10004,9466-4,'Visual SPC'!$B$3),"")</f>
        <v/>
      </c>
      <c r="E9466">
        <f>IF(B9466=1,D9466,E9465)</f>
        <v/>
      </c>
      <c r="F9466">
        <f>IF(AND(B9466=1,C9466&gt;1,E9465&lt;&gt;""),ABS(D9466-E9465),"")</f>
        <v/>
      </c>
    </row>
    <row r="9467">
      <c r="A9467" t="n">
        <v>9467</v>
      </c>
      <c r="B9467">
        <f>IF(INDEX('Data Entry'!$H$5:$BE$10004,9467-4,'Visual SPC'!$B$3)="",0,IF(AND(OR('Visual SPC'!$C$4="",'Data Entry'!$C9467&gt;='Visual SPC'!$C$4),OR('Visual SPC'!$E$4="",'Data Entry'!$C9467&lt;='Visual SPC'!$E$4),OR('Visual SPC'!$G$4="",'Data Entry'!$D9467='Visual SPC'!$G$4),OR('Visual SPC'!$I$4="",'Data Entry'!$E9467='Visual SPC'!$I$4),OR('Visual SPC'!$K$4="",'Data Entry'!$F9467='Visual SPC'!$K$4)),1,0))</f>
        <v/>
      </c>
      <c r="C9467">
        <f>C9466+B9467</f>
        <v/>
      </c>
      <c r="D9467">
        <f>IF(B9467=1,INDEX('Data Entry'!$H$5:$BE$10004,9467-4,'Visual SPC'!$B$3),"")</f>
        <v/>
      </c>
      <c r="E9467">
        <f>IF(B9467=1,D9467,E9466)</f>
        <v/>
      </c>
      <c r="F9467">
        <f>IF(AND(B9467=1,C9467&gt;1,E9466&lt;&gt;""),ABS(D9467-E9466),"")</f>
        <v/>
      </c>
    </row>
    <row r="9468">
      <c r="A9468" t="n">
        <v>9468</v>
      </c>
      <c r="B9468">
        <f>IF(INDEX('Data Entry'!$H$5:$BE$10004,9468-4,'Visual SPC'!$B$3)="",0,IF(AND(OR('Visual SPC'!$C$4="",'Data Entry'!$C9468&gt;='Visual SPC'!$C$4),OR('Visual SPC'!$E$4="",'Data Entry'!$C9468&lt;='Visual SPC'!$E$4),OR('Visual SPC'!$G$4="",'Data Entry'!$D9468='Visual SPC'!$G$4),OR('Visual SPC'!$I$4="",'Data Entry'!$E9468='Visual SPC'!$I$4),OR('Visual SPC'!$K$4="",'Data Entry'!$F9468='Visual SPC'!$K$4)),1,0))</f>
        <v/>
      </c>
      <c r="C9468">
        <f>C9467+B9468</f>
        <v/>
      </c>
      <c r="D9468">
        <f>IF(B9468=1,INDEX('Data Entry'!$H$5:$BE$10004,9468-4,'Visual SPC'!$B$3),"")</f>
        <v/>
      </c>
      <c r="E9468">
        <f>IF(B9468=1,D9468,E9467)</f>
        <v/>
      </c>
      <c r="F9468">
        <f>IF(AND(B9468=1,C9468&gt;1,E9467&lt;&gt;""),ABS(D9468-E9467),"")</f>
        <v/>
      </c>
    </row>
    <row r="9469">
      <c r="A9469" t="n">
        <v>9469</v>
      </c>
      <c r="B9469">
        <f>IF(INDEX('Data Entry'!$H$5:$BE$10004,9469-4,'Visual SPC'!$B$3)="",0,IF(AND(OR('Visual SPC'!$C$4="",'Data Entry'!$C9469&gt;='Visual SPC'!$C$4),OR('Visual SPC'!$E$4="",'Data Entry'!$C9469&lt;='Visual SPC'!$E$4),OR('Visual SPC'!$G$4="",'Data Entry'!$D9469='Visual SPC'!$G$4),OR('Visual SPC'!$I$4="",'Data Entry'!$E9469='Visual SPC'!$I$4),OR('Visual SPC'!$K$4="",'Data Entry'!$F9469='Visual SPC'!$K$4)),1,0))</f>
        <v/>
      </c>
      <c r="C9469">
        <f>C9468+B9469</f>
        <v/>
      </c>
      <c r="D9469">
        <f>IF(B9469=1,INDEX('Data Entry'!$H$5:$BE$10004,9469-4,'Visual SPC'!$B$3),"")</f>
        <v/>
      </c>
      <c r="E9469">
        <f>IF(B9469=1,D9469,E9468)</f>
        <v/>
      </c>
      <c r="F9469">
        <f>IF(AND(B9469=1,C9469&gt;1,E9468&lt;&gt;""),ABS(D9469-E9468),"")</f>
        <v/>
      </c>
    </row>
    <row r="9470">
      <c r="A9470" t="n">
        <v>9470</v>
      </c>
      <c r="B9470">
        <f>IF(INDEX('Data Entry'!$H$5:$BE$10004,9470-4,'Visual SPC'!$B$3)="",0,IF(AND(OR('Visual SPC'!$C$4="",'Data Entry'!$C9470&gt;='Visual SPC'!$C$4),OR('Visual SPC'!$E$4="",'Data Entry'!$C9470&lt;='Visual SPC'!$E$4),OR('Visual SPC'!$G$4="",'Data Entry'!$D9470='Visual SPC'!$G$4),OR('Visual SPC'!$I$4="",'Data Entry'!$E9470='Visual SPC'!$I$4),OR('Visual SPC'!$K$4="",'Data Entry'!$F9470='Visual SPC'!$K$4)),1,0))</f>
        <v/>
      </c>
      <c r="C9470">
        <f>C9469+B9470</f>
        <v/>
      </c>
      <c r="D9470">
        <f>IF(B9470=1,INDEX('Data Entry'!$H$5:$BE$10004,9470-4,'Visual SPC'!$B$3),"")</f>
        <v/>
      </c>
      <c r="E9470">
        <f>IF(B9470=1,D9470,E9469)</f>
        <v/>
      </c>
      <c r="F9470">
        <f>IF(AND(B9470=1,C9470&gt;1,E9469&lt;&gt;""),ABS(D9470-E9469),"")</f>
        <v/>
      </c>
    </row>
    <row r="9471">
      <c r="A9471" t="n">
        <v>9471</v>
      </c>
      <c r="B9471">
        <f>IF(INDEX('Data Entry'!$H$5:$BE$10004,9471-4,'Visual SPC'!$B$3)="",0,IF(AND(OR('Visual SPC'!$C$4="",'Data Entry'!$C9471&gt;='Visual SPC'!$C$4),OR('Visual SPC'!$E$4="",'Data Entry'!$C9471&lt;='Visual SPC'!$E$4),OR('Visual SPC'!$G$4="",'Data Entry'!$D9471='Visual SPC'!$G$4),OR('Visual SPC'!$I$4="",'Data Entry'!$E9471='Visual SPC'!$I$4),OR('Visual SPC'!$K$4="",'Data Entry'!$F9471='Visual SPC'!$K$4)),1,0))</f>
        <v/>
      </c>
      <c r="C9471">
        <f>C9470+B9471</f>
        <v/>
      </c>
      <c r="D9471">
        <f>IF(B9471=1,INDEX('Data Entry'!$H$5:$BE$10004,9471-4,'Visual SPC'!$B$3),"")</f>
        <v/>
      </c>
      <c r="E9471">
        <f>IF(B9471=1,D9471,E9470)</f>
        <v/>
      </c>
      <c r="F9471">
        <f>IF(AND(B9471=1,C9471&gt;1,E9470&lt;&gt;""),ABS(D9471-E9470),"")</f>
        <v/>
      </c>
    </row>
    <row r="9472">
      <c r="A9472" t="n">
        <v>9472</v>
      </c>
      <c r="B9472">
        <f>IF(INDEX('Data Entry'!$H$5:$BE$10004,9472-4,'Visual SPC'!$B$3)="",0,IF(AND(OR('Visual SPC'!$C$4="",'Data Entry'!$C9472&gt;='Visual SPC'!$C$4),OR('Visual SPC'!$E$4="",'Data Entry'!$C9472&lt;='Visual SPC'!$E$4),OR('Visual SPC'!$G$4="",'Data Entry'!$D9472='Visual SPC'!$G$4),OR('Visual SPC'!$I$4="",'Data Entry'!$E9472='Visual SPC'!$I$4),OR('Visual SPC'!$K$4="",'Data Entry'!$F9472='Visual SPC'!$K$4)),1,0))</f>
        <v/>
      </c>
      <c r="C9472">
        <f>C9471+B9472</f>
        <v/>
      </c>
      <c r="D9472">
        <f>IF(B9472=1,INDEX('Data Entry'!$H$5:$BE$10004,9472-4,'Visual SPC'!$B$3),"")</f>
        <v/>
      </c>
      <c r="E9472">
        <f>IF(B9472=1,D9472,E9471)</f>
        <v/>
      </c>
      <c r="F9472">
        <f>IF(AND(B9472=1,C9472&gt;1,E9471&lt;&gt;""),ABS(D9472-E9471),"")</f>
        <v/>
      </c>
    </row>
    <row r="9473">
      <c r="A9473" t="n">
        <v>9473</v>
      </c>
      <c r="B9473">
        <f>IF(INDEX('Data Entry'!$H$5:$BE$10004,9473-4,'Visual SPC'!$B$3)="",0,IF(AND(OR('Visual SPC'!$C$4="",'Data Entry'!$C9473&gt;='Visual SPC'!$C$4),OR('Visual SPC'!$E$4="",'Data Entry'!$C9473&lt;='Visual SPC'!$E$4),OR('Visual SPC'!$G$4="",'Data Entry'!$D9473='Visual SPC'!$G$4),OR('Visual SPC'!$I$4="",'Data Entry'!$E9473='Visual SPC'!$I$4),OR('Visual SPC'!$K$4="",'Data Entry'!$F9473='Visual SPC'!$K$4)),1,0))</f>
        <v/>
      </c>
      <c r="C9473">
        <f>C9472+B9473</f>
        <v/>
      </c>
      <c r="D9473">
        <f>IF(B9473=1,INDEX('Data Entry'!$H$5:$BE$10004,9473-4,'Visual SPC'!$B$3),"")</f>
        <v/>
      </c>
      <c r="E9473">
        <f>IF(B9473=1,D9473,E9472)</f>
        <v/>
      </c>
      <c r="F9473">
        <f>IF(AND(B9473=1,C9473&gt;1,E9472&lt;&gt;""),ABS(D9473-E9472),"")</f>
        <v/>
      </c>
    </row>
    <row r="9474">
      <c r="A9474" t="n">
        <v>9474</v>
      </c>
      <c r="B9474">
        <f>IF(INDEX('Data Entry'!$H$5:$BE$10004,9474-4,'Visual SPC'!$B$3)="",0,IF(AND(OR('Visual SPC'!$C$4="",'Data Entry'!$C9474&gt;='Visual SPC'!$C$4),OR('Visual SPC'!$E$4="",'Data Entry'!$C9474&lt;='Visual SPC'!$E$4),OR('Visual SPC'!$G$4="",'Data Entry'!$D9474='Visual SPC'!$G$4),OR('Visual SPC'!$I$4="",'Data Entry'!$E9474='Visual SPC'!$I$4),OR('Visual SPC'!$K$4="",'Data Entry'!$F9474='Visual SPC'!$K$4)),1,0))</f>
        <v/>
      </c>
      <c r="C9474">
        <f>C9473+B9474</f>
        <v/>
      </c>
      <c r="D9474">
        <f>IF(B9474=1,INDEX('Data Entry'!$H$5:$BE$10004,9474-4,'Visual SPC'!$B$3),"")</f>
        <v/>
      </c>
      <c r="E9474">
        <f>IF(B9474=1,D9474,E9473)</f>
        <v/>
      </c>
      <c r="F9474">
        <f>IF(AND(B9474=1,C9474&gt;1,E9473&lt;&gt;""),ABS(D9474-E9473),"")</f>
        <v/>
      </c>
    </row>
    <row r="9475">
      <c r="A9475" t="n">
        <v>9475</v>
      </c>
      <c r="B9475">
        <f>IF(INDEX('Data Entry'!$H$5:$BE$10004,9475-4,'Visual SPC'!$B$3)="",0,IF(AND(OR('Visual SPC'!$C$4="",'Data Entry'!$C9475&gt;='Visual SPC'!$C$4),OR('Visual SPC'!$E$4="",'Data Entry'!$C9475&lt;='Visual SPC'!$E$4),OR('Visual SPC'!$G$4="",'Data Entry'!$D9475='Visual SPC'!$G$4),OR('Visual SPC'!$I$4="",'Data Entry'!$E9475='Visual SPC'!$I$4),OR('Visual SPC'!$K$4="",'Data Entry'!$F9475='Visual SPC'!$K$4)),1,0))</f>
        <v/>
      </c>
      <c r="C9475">
        <f>C9474+B9475</f>
        <v/>
      </c>
      <c r="D9475">
        <f>IF(B9475=1,INDEX('Data Entry'!$H$5:$BE$10004,9475-4,'Visual SPC'!$B$3),"")</f>
        <v/>
      </c>
      <c r="E9475">
        <f>IF(B9475=1,D9475,E9474)</f>
        <v/>
      </c>
      <c r="F9475">
        <f>IF(AND(B9475=1,C9475&gt;1,E9474&lt;&gt;""),ABS(D9475-E9474),"")</f>
        <v/>
      </c>
    </row>
    <row r="9476">
      <c r="A9476" t="n">
        <v>9476</v>
      </c>
      <c r="B9476">
        <f>IF(INDEX('Data Entry'!$H$5:$BE$10004,9476-4,'Visual SPC'!$B$3)="",0,IF(AND(OR('Visual SPC'!$C$4="",'Data Entry'!$C9476&gt;='Visual SPC'!$C$4),OR('Visual SPC'!$E$4="",'Data Entry'!$C9476&lt;='Visual SPC'!$E$4),OR('Visual SPC'!$G$4="",'Data Entry'!$D9476='Visual SPC'!$G$4),OR('Visual SPC'!$I$4="",'Data Entry'!$E9476='Visual SPC'!$I$4),OR('Visual SPC'!$K$4="",'Data Entry'!$F9476='Visual SPC'!$K$4)),1,0))</f>
        <v/>
      </c>
      <c r="C9476">
        <f>C9475+B9476</f>
        <v/>
      </c>
      <c r="D9476">
        <f>IF(B9476=1,INDEX('Data Entry'!$H$5:$BE$10004,9476-4,'Visual SPC'!$B$3),"")</f>
        <v/>
      </c>
      <c r="E9476">
        <f>IF(B9476=1,D9476,E9475)</f>
        <v/>
      </c>
      <c r="F9476">
        <f>IF(AND(B9476=1,C9476&gt;1,E9475&lt;&gt;""),ABS(D9476-E9475),"")</f>
        <v/>
      </c>
    </row>
    <row r="9477">
      <c r="A9477" t="n">
        <v>9477</v>
      </c>
      <c r="B9477">
        <f>IF(INDEX('Data Entry'!$H$5:$BE$10004,9477-4,'Visual SPC'!$B$3)="",0,IF(AND(OR('Visual SPC'!$C$4="",'Data Entry'!$C9477&gt;='Visual SPC'!$C$4),OR('Visual SPC'!$E$4="",'Data Entry'!$C9477&lt;='Visual SPC'!$E$4),OR('Visual SPC'!$G$4="",'Data Entry'!$D9477='Visual SPC'!$G$4),OR('Visual SPC'!$I$4="",'Data Entry'!$E9477='Visual SPC'!$I$4),OR('Visual SPC'!$K$4="",'Data Entry'!$F9477='Visual SPC'!$K$4)),1,0))</f>
        <v/>
      </c>
      <c r="C9477">
        <f>C9476+B9477</f>
        <v/>
      </c>
      <c r="D9477">
        <f>IF(B9477=1,INDEX('Data Entry'!$H$5:$BE$10004,9477-4,'Visual SPC'!$B$3),"")</f>
        <v/>
      </c>
      <c r="E9477">
        <f>IF(B9477=1,D9477,E9476)</f>
        <v/>
      </c>
      <c r="F9477">
        <f>IF(AND(B9477=1,C9477&gt;1,E9476&lt;&gt;""),ABS(D9477-E9476),"")</f>
        <v/>
      </c>
    </row>
    <row r="9478">
      <c r="A9478" t="n">
        <v>9478</v>
      </c>
      <c r="B9478">
        <f>IF(INDEX('Data Entry'!$H$5:$BE$10004,9478-4,'Visual SPC'!$B$3)="",0,IF(AND(OR('Visual SPC'!$C$4="",'Data Entry'!$C9478&gt;='Visual SPC'!$C$4),OR('Visual SPC'!$E$4="",'Data Entry'!$C9478&lt;='Visual SPC'!$E$4),OR('Visual SPC'!$G$4="",'Data Entry'!$D9478='Visual SPC'!$G$4),OR('Visual SPC'!$I$4="",'Data Entry'!$E9478='Visual SPC'!$I$4),OR('Visual SPC'!$K$4="",'Data Entry'!$F9478='Visual SPC'!$K$4)),1,0))</f>
        <v/>
      </c>
      <c r="C9478">
        <f>C9477+B9478</f>
        <v/>
      </c>
      <c r="D9478">
        <f>IF(B9478=1,INDEX('Data Entry'!$H$5:$BE$10004,9478-4,'Visual SPC'!$B$3),"")</f>
        <v/>
      </c>
      <c r="E9478">
        <f>IF(B9478=1,D9478,E9477)</f>
        <v/>
      </c>
      <c r="F9478">
        <f>IF(AND(B9478=1,C9478&gt;1,E9477&lt;&gt;""),ABS(D9478-E9477),"")</f>
        <v/>
      </c>
    </row>
    <row r="9479">
      <c r="A9479" t="n">
        <v>9479</v>
      </c>
      <c r="B9479">
        <f>IF(INDEX('Data Entry'!$H$5:$BE$10004,9479-4,'Visual SPC'!$B$3)="",0,IF(AND(OR('Visual SPC'!$C$4="",'Data Entry'!$C9479&gt;='Visual SPC'!$C$4),OR('Visual SPC'!$E$4="",'Data Entry'!$C9479&lt;='Visual SPC'!$E$4),OR('Visual SPC'!$G$4="",'Data Entry'!$D9479='Visual SPC'!$G$4),OR('Visual SPC'!$I$4="",'Data Entry'!$E9479='Visual SPC'!$I$4),OR('Visual SPC'!$K$4="",'Data Entry'!$F9479='Visual SPC'!$K$4)),1,0))</f>
        <v/>
      </c>
      <c r="C9479">
        <f>C9478+B9479</f>
        <v/>
      </c>
      <c r="D9479">
        <f>IF(B9479=1,INDEX('Data Entry'!$H$5:$BE$10004,9479-4,'Visual SPC'!$B$3),"")</f>
        <v/>
      </c>
      <c r="E9479">
        <f>IF(B9479=1,D9479,E9478)</f>
        <v/>
      </c>
      <c r="F9479">
        <f>IF(AND(B9479=1,C9479&gt;1,E9478&lt;&gt;""),ABS(D9479-E9478),"")</f>
        <v/>
      </c>
    </row>
    <row r="9480">
      <c r="A9480" t="n">
        <v>9480</v>
      </c>
      <c r="B9480">
        <f>IF(INDEX('Data Entry'!$H$5:$BE$10004,9480-4,'Visual SPC'!$B$3)="",0,IF(AND(OR('Visual SPC'!$C$4="",'Data Entry'!$C9480&gt;='Visual SPC'!$C$4),OR('Visual SPC'!$E$4="",'Data Entry'!$C9480&lt;='Visual SPC'!$E$4),OR('Visual SPC'!$G$4="",'Data Entry'!$D9480='Visual SPC'!$G$4),OR('Visual SPC'!$I$4="",'Data Entry'!$E9480='Visual SPC'!$I$4),OR('Visual SPC'!$K$4="",'Data Entry'!$F9480='Visual SPC'!$K$4)),1,0))</f>
        <v/>
      </c>
      <c r="C9480">
        <f>C9479+B9480</f>
        <v/>
      </c>
      <c r="D9480">
        <f>IF(B9480=1,INDEX('Data Entry'!$H$5:$BE$10004,9480-4,'Visual SPC'!$B$3),"")</f>
        <v/>
      </c>
      <c r="E9480">
        <f>IF(B9480=1,D9480,E9479)</f>
        <v/>
      </c>
      <c r="F9480">
        <f>IF(AND(B9480=1,C9480&gt;1,E9479&lt;&gt;""),ABS(D9480-E9479),"")</f>
        <v/>
      </c>
    </row>
    <row r="9481">
      <c r="A9481" t="n">
        <v>9481</v>
      </c>
      <c r="B9481">
        <f>IF(INDEX('Data Entry'!$H$5:$BE$10004,9481-4,'Visual SPC'!$B$3)="",0,IF(AND(OR('Visual SPC'!$C$4="",'Data Entry'!$C9481&gt;='Visual SPC'!$C$4),OR('Visual SPC'!$E$4="",'Data Entry'!$C9481&lt;='Visual SPC'!$E$4),OR('Visual SPC'!$G$4="",'Data Entry'!$D9481='Visual SPC'!$G$4),OR('Visual SPC'!$I$4="",'Data Entry'!$E9481='Visual SPC'!$I$4),OR('Visual SPC'!$K$4="",'Data Entry'!$F9481='Visual SPC'!$K$4)),1,0))</f>
        <v/>
      </c>
      <c r="C9481">
        <f>C9480+B9481</f>
        <v/>
      </c>
      <c r="D9481">
        <f>IF(B9481=1,INDEX('Data Entry'!$H$5:$BE$10004,9481-4,'Visual SPC'!$B$3),"")</f>
        <v/>
      </c>
      <c r="E9481">
        <f>IF(B9481=1,D9481,E9480)</f>
        <v/>
      </c>
      <c r="F9481">
        <f>IF(AND(B9481=1,C9481&gt;1,E9480&lt;&gt;""),ABS(D9481-E9480),"")</f>
        <v/>
      </c>
    </row>
    <row r="9482">
      <c r="A9482" t="n">
        <v>9482</v>
      </c>
      <c r="B9482">
        <f>IF(INDEX('Data Entry'!$H$5:$BE$10004,9482-4,'Visual SPC'!$B$3)="",0,IF(AND(OR('Visual SPC'!$C$4="",'Data Entry'!$C9482&gt;='Visual SPC'!$C$4),OR('Visual SPC'!$E$4="",'Data Entry'!$C9482&lt;='Visual SPC'!$E$4),OR('Visual SPC'!$G$4="",'Data Entry'!$D9482='Visual SPC'!$G$4),OR('Visual SPC'!$I$4="",'Data Entry'!$E9482='Visual SPC'!$I$4),OR('Visual SPC'!$K$4="",'Data Entry'!$F9482='Visual SPC'!$K$4)),1,0))</f>
        <v/>
      </c>
      <c r="C9482">
        <f>C9481+B9482</f>
        <v/>
      </c>
      <c r="D9482">
        <f>IF(B9482=1,INDEX('Data Entry'!$H$5:$BE$10004,9482-4,'Visual SPC'!$B$3),"")</f>
        <v/>
      </c>
      <c r="E9482">
        <f>IF(B9482=1,D9482,E9481)</f>
        <v/>
      </c>
      <c r="F9482">
        <f>IF(AND(B9482=1,C9482&gt;1,E9481&lt;&gt;""),ABS(D9482-E9481),"")</f>
        <v/>
      </c>
    </row>
    <row r="9483">
      <c r="A9483" t="n">
        <v>9483</v>
      </c>
      <c r="B9483">
        <f>IF(INDEX('Data Entry'!$H$5:$BE$10004,9483-4,'Visual SPC'!$B$3)="",0,IF(AND(OR('Visual SPC'!$C$4="",'Data Entry'!$C9483&gt;='Visual SPC'!$C$4),OR('Visual SPC'!$E$4="",'Data Entry'!$C9483&lt;='Visual SPC'!$E$4),OR('Visual SPC'!$G$4="",'Data Entry'!$D9483='Visual SPC'!$G$4),OR('Visual SPC'!$I$4="",'Data Entry'!$E9483='Visual SPC'!$I$4),OR('Visual SPC'!$K$4="",'Data Entry'!$F9483='Visual SPC'!$K$4)),1,0))</f>
        <v/>
      </c>
      <c r="C9483">
        <f>C9482+B9483</f>
        <v/>
      </c>
      <c r="D9483">
        <f>IF(B9483=1,INDEX('Data Entry'!$H$5:$BE$10004,9483-4,'Visual SPC'!$B$3),"")</f>
        <v/>
      </c>
      <c r="E9483">
        <f>IF(B9483=1,D9483,E9482)</f>
        <v/>
      </c>
      <c r="F9483">
        <f>IF(AND(B9483=1,C9483&gt;1,E9482&lt;&gt;""),ABS(D9483-E9482),"")</f>
        <v/>
      </c>
    </row>
    <row r="9484">
      <c r="A9484" t="n">
        <v>9484</v>
      </c>
      <c r="B9484">
        <f>IF(INDEX('Data Entry'!$H$5:$BE$10004,9484-4,'Visual SPC'!$B$3)="",0,IF(AND(OR('Visual SPC'!$C$4="",'Data Entry'!$C9484&gt;='Visual SPC'!$C$4),OR('Visual SPC'!$E$4="",'Data Entry'!$C9484&lt;='Visual SPC'!$E$4),OR('Visual SPC'!$G$4="",'Data Entry'!$D9484='Visual SPC'!$G$4),OR('Visual SPC'!$I$4="",'Data Entry'!$E9484='Visual SPC'!$I$4),OR('Visual SPC'!$K$4="",'Data Entry'!$F9484='Visual SPC'!$K$4)),1,0))</f>
        <v/>
      </c>
      <c r="C9484">
        <f>C9483+B9484</f>
        <v/>
      </c>
      <c r="D9484">
        <f>IF(B9484=1,INDEX('Data Entry'!$H$5:$BE$10004,9484-4,'Visual SPC'!$B$3),"")</f>
        <v/>
      </c>
      <c r="E9484">
        <f>IF(B9484=1,D9484,E9483)</f>
        <v/>
      </c>
      <c r="F9484">
        <f>IF(AND(B9484=1,C9484&gt;1,E9483&lt;&gt;""),ABS(D9484-E9483),"")</f>
        <v/>
      </c>
    </row>
    <row r="9485">
      <c r="A9485" t="n">
        <v>9485</v>
      </c>
      <c r="B9485">
        <f>IF(INDEX('Data Entry'!$H$5:$BE$10004,9485-4,'Visual SPC'!$B$3)="",0,IF(AND(OR('Visual SPC'!$C$4="",'Data Entry'!$C9485&gt;='Visual SPC'!$C$4),OR('Visual SPC'!$E$4="",'Data Entry'!$C9485&lt;='Visual SPC'!$E$4),OR('Visual SPC'!$G$4="",'Data Entry'!$D9485='Visual SPC'!$G$4),OR('Visual SPC'!$I$4="",'Data Entry'!$E9485='Visual SPC'!$I$4),OR('Visual SPC'!$K$4="",'Data Entry'!$F9485='Visual SPC'!$K$4)),1,0))</f>
        <v/>
      </c>
      <c r="C9485">
        <f>C9484+B9485</f>
        <v/>
      </c>
      <c r="D9485">
        <f>IF(B9485=1,INDEX('Data Entry'!$H$5:$BE$10004,9485-4,'Visual SPC'!$B$3),"")</f>
        <v/>
      </c>
      <c r="E9485">
        <f>IF(B9485=1,D9485,E9484)</f>
        <v/>
      </c>
      <c r="F9485">
        <f>IF(AND(B9485=1,C9485&gt;1,E9484&lt;&gt;""),ABS(D9485-E9484),"")</f>
        <v/>
      </c>
    </row>
    <row r="9486">
      <c r="A9486" t="n">
        <v>9486</v>
      </c>
      <c r="B9486">
        <f>IF(INDEX('Data Entry'!$H$5:$BE$10004,9486-4,'Visual SPC'!$B$3)="",0,IF(AND(OR('Visual SPC'!$C$4="",'Data Entry'!$C9486&gt;='Visual SPC'!$C$4),OR('Visual SPC'!$E$4="",'Data Entry'!$C9486&lt;='Visual SPC'!$E$4),OR('Visual SPC'!$G$4="",'Data Entry'!$D9486='Visual SPC'!$G$4),OR('Visual SPC'!$I$4="",'Data Entry'!$E9486='Visual SPC'!$I$4),OR('Visual SPC'!$K$4="",'Data Entry'!$F9486='Visual SPC'!$K$4)),1,0))</f>
        <v/>
      </c>
      <c r="C9486">
        <f>C9485+B9486</f>
        <v/>
      </c>
      <c r="D9486">
        <f>IF(B9486=1,INDEX('Data Entry'!$H$5:$BE$10004,9486-4,'Visual SPC'!$B$3),"")</f>
        <v/>
      </c>
      <c r="E9486">
        <f>IF(B9486=1,D9486,E9485)</f>
        <v/>
      </c>
      <c r="F9486">
        <f>IF(AND(B9486=1,C9486&gt;1,E9485&lt;&gt;""),ABS(D9486-E9485),"")</f>
        <v/>
      </c>
    </row>
    <row r="9487">
      <c r="A9487" t="n">
        <v>9487</v>
      </c>
      <c r="B9487">
        <f>IF(INDEX('Data Entry'!$H$5:$BE$10004,9487-4,'Visual SPC'!$B$3)="",0,IF(AND(OR('Visual SPC'!$C$4="",'Data Entry'!$C9487&gt;='Visual SPC'!$C$4),OR('Visual SPC'!$E$4="",'Data Entry'!$C9487&lt;='Visual SPC'!$E$4),OR('Visual SPC'!$G$4="",'Data Entry'!$D9487='Visual SPC'!$G$4),OR('Visual SPC'!$I$4="",'Data Entry'!$E9487='Visual SPC'!$I$4),OR('Visual SPC'!$K$4="",'Data Entry'!$F9487='Visual SPC'!$K$4)),1,0))</f>
        <v/>
      </c>
      <c r="C9487">
        <f>C9486+B9487</f>
        <v/>
      </c>
      <c r="D9487">
        <f>IF(B9487=1,INDEX('Data Entry'!$H$5:$BE$10004,9487-4,'Visual SPC'!$B$3),"")</f>
        <v/>
      </c>
      <c r="E9487">
        <f>IF(B9487=1,D9487,E9486)</f>
        <v/>
      </c>
      <c r="F9487">
        <f>IF(AND(B9487=1,C9487&gt;1,E9486&lt;&gt;""),ABS(D9487-E9486),"")</f>
        <v/>
      </c>
    </row>
    <row r="9488">
      <c r="A9488" t="n">
        <v>9488</v>
      </c>
      <c r="B9488">
        <f>IF(INDEX('Data Entry'!$H$5:$BE$10004,9488-4,'Visual SPC'!$B$3)="",0,IF(AND(OR('Visual SPC'!$C$4="",'Data Entry'!$C9488&gt;='Visual SPC'!$C$4),OR('Visual SPC'!$E$4="",'Data Entry'!$C9488&lt;='Visual SPC'!$E$4),OR('Visual SPC'!$G$4="",'Data Entry'!$D9488='Visual SPC'!$G$4),OR('Visual SPC'!$I$4="",'Data Entry'!$E9488='Visual SPC'!$I$4),OR('Visual SPC'!$K$4="",'Data Entry'!$F9488='Visual SPC'!$K$4)),1,0))</f>
        <v/>
      </c>
      <c r="C9488">
        <f>C9487+B9488</f>
        <v/>
      </c>
      <c r="D9488">
        <f>IF(B9488=1,INDEX('Data Entry'!$H$5:$BE$10004,9488-4,'Visual SPC'!$B$3),"")</f>
        <v/>
      </c>
      <c r="E9488">
        <f>IF(B9488=1,D9488,E9487)</f>
        <v/>
      </c>
      <c r="F9488">
        <f>IF(AND(B9488=1,C9488&gt;1,E9487&lt;&gt;""),ABS(D9488-E9487),"")</f>
        <v/>
      </c>
    </row>
    <row r="9489">
      <c r="A9489" t="n">
        <v>9489</v>
      </c>
      <c r="B9489">
        <f>IF(INDEX('Data Entry'!$H$5:$BE$10004,9489-4,'Visual SPC'!$B$3)="",0,IF(AND(OR('Visual SPC'!$C$4="",'Data Entry'!$C9489&gt;='Visual SPC'!$C$4),OR('Visual SPC'!$E$4="",'Data Entry'!$C9489&lt;='Visual SPC'!$E$4),OR('Visual SPC'!$G$4="",'Data Entry'!$D9489='Visual SPC'!$G$4),OR('Visual SPC'!$I$4="",'Data Entry'!$E9489='Visual SPC'!$I$4),OR('Visual SPC'!$K$4="",'Data Entry'!$F9489='Visual SPC'!$K$4)),1,0))</f>
        <v/>
      </c>
      <c r="C9489">
        <f>C9488+B9489</f>
        <v/>
      </c>
      <c r="D9489">
        <f>IF(B9489=1,INDEX('Data Entry'!$H$5:$BE$10004,9489-4,'Visual SPC'!$B$3),"")</f>
        <v/>
      </c>
      <c r="E9489">
        <f>IF(B9489=1,D9489,E9488)</f>
        <v/>
      </c>
      <c r="F9489">
        <f>IF(AND(B9489=1,C9489&gt;1,E9488&lt;&gt;""),ABS(D9489-E9488),"")</f>
        <v/>
      </c>
    </row>
    <row r="9490">
      <c r="A9490" t="n">
        <v>9490</v>
      </c>
      <c r="B9490">
        <f>IF(INDEX('Data Entry'!$H$5:$BE$10004,9490-4,'Visual SPC'!$B$3)="",0,IF(AND(OR('Visual SPC'!$C$4="",'Data Entry'!$C9490&gt;='Visual SPC'!$C$4),OR('Visual SPC'!$E$4="",'Data Entry'!$C9490&lt;='Visual SPC'!$E$4),OR('Visual SPC'!$G$4="",'Data Entry'!$D9490='Visual SPC'!$G$4),OR('Visual SPC'!$I$4="",'Data Entry'!$E9490='Visual SPC'!$I$4),OR('Visual SPC'!$K$4="",'Data Entry'!$F9490='Visual SPC'!$K$4)),1,0))</f>
        <v/>
      </c>
      <c r="C9490">
        <f>C9489+B9490</f>
        <v/>
      </c>
      <c r="D9490">
        <f>IF(B9490=1,INDEX('Data Entry'!$H$5:$BE$10004,9490-4,'Visual SPC'!$B$3),"")</f>
        <v/>
      </c>
      <c r="E9490">
        <f>IF(B9490=1,D9490,E9489)</f>
        <v/>
      </c>
      <c r="F9490">
        <f>IF(AND(B9490=1,C9490&gt;1,E9489&lt;&gt;""),ABS(D9490-E9489),"")</f>
        <v/>
      </c>
    </row>
    <row r="9491">
      <c r="A9491" t="n">
        <v>9491</v>
      </c>
      <c r="B9491">
        <f>IF(INDEX('Data Entry'!$H$5:$BE$10004,9491-4,'Visual SPC'!$B$3)="",0,IF(AND(OR('Visual SPC'!$C$4="",'Data Entry'!$C9491&gt;='Visual SPC'!$C$4),OR('Visual SPC'!$E$4="",'Data Entry'!$C9491&lt;='Visual SPC'!$E$4),OR('Visual SPC'!$G$4="",'Data Entry'!$D9491='Visual SPC'!$G$4),OR('Visual SPC'!$I$4="",'Data Entry'!$E9491='Visual SPC'!$I$4),OR('Visual SPC'!$K$4="",'Data Entry'!$F9491='Visual SPC'!$K$4)),1,0))</f>
        <v/>
      </c>
      <c r="C9491">
        <f>C9490+B9491</f>
        <v/>
      </c>
      <c r="D9491">
        <f>IF(B9491=1,INDEX('Data Entry'!$H$5:$BE$10004,9491-4,'Visual SPC'!$B$3),"")</f>
        <v/>
      </c>
      <c r="E9491">
        <f>IF(B9491=1,D9491,E9490)</f>
        <v/>
      </c>
      <c r="F9491">
        <f>IF(AND(B9491=1,C9491&gt;1,E9490&lt;&gt;""),ABS(D9491-E9490),"")</f>
        <v/>
      </c>
    </row>
    <row r="9492">
      <c r="A9492" t="n">
        <v>9492</v>
      </c>
      <c r="B9492">
        <f>IF(INDEX('Data Entry'!$H$5:$BE$10004,9492-4,'Visual SPC'!$B$3)="",0,IF(AND(OR('Visual SPC'!$C$4="",'Data Entry'!$C9492&gt;='Visual SPC'!$C$4),OR('Visual SPC'!$E$4="",'Data Entry'!$C9492&lt;='Visual SPC'!$E$4),OR('Visual SPC'!$G$4="",'Data Entry'!$D9492='Visual SPC'!$G$4),OR('Visual SPC'!$I$4="",'Data Entry'!$E9492='Visual SPC'!$I$4),OR('Visual SPC'!$K$4="",'Data Entry'!$F9492='Visual SPC'!$K$4)),1,0))</f>
        <v/>
      </c>
      <c r="C9492">
        <f>C9491+B9492</f>
        <v/>
      </c>
      <c r="D9492">
        <f>IF(B9492=1,INDEX('Data Entry'!$H$5:$BE$10004,9492-4,'Visual SPC'!$B$3),"")</f>
        <v/>
      </c>
      <c r="E9492">
        <f>IF(B9492=1,D9492,E9491)</f>
        <v/>
      </c>
      <c r="F9492">
        <f>IF(AND(B9492=1,C9492&gt;1,E9491&lt;&gt;""),ABS(D9492-E9491),"")</f>
        <v/>
      </c>
    </row>
    <row r="9493">
      <c r="A9493" t="n">
        <v>9493</v>
      </c>
      <c r="B9493">
        <f>IF(INDEX('Data Entry'!$H$5:$BE$10004,9493-4,'Visual SPC'!$B$3)="",0,IF(AND(OR('Visual SPC'!$C$4="",'Data Entry'!$C9493&gt;='Visual SPC'!$C$4),OR('Visual SPC'!$E$4="",'Data Entry'!$C9493&lt;='Visual SPC'!$E$4),OR('Visual SPC'!$G$4="",'Data Entry'!$D9493='Visual SPC'!$G$4),OR('Visual SPC'!$I$4="",'Data Entry'!$E9493='Visual SPC'!$I$4),OR('Visual SPC'!$K$4="",'Data Entry'!$F9493='Visual SPC'!$K$4)),1,0))</f>
        <v/>
      </c>
      <c r="C9493">
        <f>C9492+B9493</f>
        <v/>
      </c>
      <c r="D9493">
        <f>IF(B9493=1,INDEX('Data Entry'!$H$5:$BE$10004,9493-4,'Visual SPC'!$B$3),"")</f>
        <v/>
      </c>
      <c r="E9493">
        <f>IF(B9493=1,D9493,E9492)</f>
        <v/>
      </c>
      <c r="F9493">
        <f>IF(AND(B9493=1,C9493&gt;1,E9492&lt;&gt;""),ABS(D9493-E9492),"")</f>
        <v/>
      </c>
    </row>
    <row r="9494">
      <c r="A9494" t="n">
        <v>9494</v>
      </c>
      <c r="B9494">
        <f>IF(INDEX('Data Entry'!$H$5:$BE$10004,9494-4,'Visual SPC'!$B$3)="",0,IF(AND(OR('Visual SPC'!$C$4="",'Data Entry'!$C9494&gt;='Visual SPC'!$C$4),OR('Visual SPC'!$E$4="",'Data Entry'!$C9494&lt;='Visual SPC'!$E$4),OR('Visual SPC'!$G$4="",'Data Entry'!$D9494='Visual SPC'!$G$4),OR('Visual SPC'!$I$4="",'Data Entry'!$E9494='Visual SPC'!$I$4),OR('Visual SPC'!$K$4="",'Data Entry'!$F9494='Visual SPC'!$K$4)),1,0))</f>
        <v/>
      </c>
      <c r="C9494">
        <f>C9493+B9494</f>
        <v/>
      </c>
      <c r="D9494">
        <f>IF(B9494=1,INDEX('Data Entry'!$H$5:$BE$10004,9494-4,'Visual SPC'!$B$3),"")</f>
        <v/>
      </c>
      <c r="E9494">
        <f>IF(B9494=1,D9494,E9493)</f>
        <v/>
      </c>
      <c r="F9494">
        <f>IF(AND(B9494=1,C9494&gt;1,E9493&lt;&gt;""),ABS(D9494-E9493),"")</f>
        <v/>
      </c>
    </row>
    <row r="9495">
      <c r="A9495" t="n">
        <v>9495</v>
      </c>
      <c r="B9495">
        <f>IF(INDEX('Data Entry'!$H$5:$BE$10004,9495-4,'Visual SPC'!$B$3)="",0,IF(AND(OR('Visual SPC'!$C$4="",'Data Entry'!$C9495&gt;='Visual SPC'!$C$4),OR('Visual SPC'!$E$4="",'Data Entry'!$C9495&lt;='Visual SPC'!$E$4),OR('Visual SPC'!$G$4="",'Data Entry'!$D9495='Visual SPC'!$G$4),OR('Visual SPC'!$I$4="",'Data Entry'!$E9495='Visual SPC'!$I$4),OR('Visual SPC'!$K$4="",'Data Entry'!$F9495='Visual SPC'!$K$4)),1,0))</f>
        <v/>
      </c>
      <c r="C9495">
        <f>C9494+B9495</f>
        <v/>
      </c>
      <c r="D9495">
        <f>IF(B9495=1,INDEX('Data Entry'!$H$5:$BE$10004,9495-4,'Visual SPC'!$B$3),"")</f>
        <v/>
      </c>
      <c r="E9495">
        <f>IF(B9495=1,D9495,E9494)</f>
        <v/>
      </c>
      <c r="F9495">
        <f>IF(AND(B9495=1,C9495&gt;1,E9494&lt;&gt;""),ABS(D9495-E9494),"")</f>
        <v/>
      </c>
    </row>
    <row r="9496">
      <c r="A9496" t="n">
        <v>9496</v>
      </c>
      <c r="B9496">
        <f>IF(INDEX('Data Entry'!$H$5:$BE$10004,9496-4,'Visual SPC'!$B$3)="",0,IF(AND(OR('Visual SPC'!$C$4="",'Data Entry'!$C9496&gt;='Visual SPC'!$C$4),OR('Visual SPC'!$E$4="",'Data Entry'!$C9496&lt;='Visual SPC'!$E$4),OR('Visual SPC'!$G$4="",'Data Entry'!$D9496='Visual SPC'!$G$4),OR('Visual SPC'!$I$4="",'Data Entry'!$E9496='Visual SPC'!$I$4),OR('Visual SPC'!$K$4="",'Data Entry'!$F9496='Visual SPC'!$K$4)),1,0))</f>
        <v/>
      </c>
      <c r="C9496">
        <f>C9495+B9496</f>
        <v/>
      </c>
      <c r="D9496">
        <f>IF(B9496=1,INDEX('Data Entry'!$H$5:$BE$10004,9496-4,'Visual SPC'!$B$3),"")</f>
        <v/>
      </c>
      <c r="E9496">
        <f>IF(B9496=1,D9496,E9495)</f>
        <v/>
      </c>
      <c r="F9496">
        <f>IF(AND(B9496=1,C9496&gt;1,E9495&lt;&gt;""),ABS(D9496-E9495),"")</f>
        <v/>
      </c>
    </row>
    <row r="9497">
      <c r="A9497" t="n">
        <v>9497</v>
      </c>
      <c r="B9497">
        <f>IF(INDEX('Data Entry'!$H$5:$BE$10004,9497-4,'Visual SPC'!$B$3)="",0,IF(AND(OR('Visual SPC'!$C$4="",'Data Entry'!$C9497&gt;='Visual SPC'!$C$4),OR('Visual SPC'!$E$4="",'Data Entry'!$C9497&lt;='Visual SPC'!$E$4),OR('Visual SPC'!$G$4="",'Data Entry'!$D9497='Visual SPC'!$G$4),OR('Visual SPC'!$I$4="",'Data Entry'!$E9497='Visual SPC'!$I$4),OR('Visual SPC'!$K$4="",'Data Entry'!$F9497='Visual SPC'!$K$4)),1,0))</f>
        <v/>
      </c>
      <c r="C9497">
        <f>C9496+B9497</f>
        <v/>
      </c>
      <c r="D9497">
        <f>IF(B9497=1,INDEX('Data Entry'!$H$5:$BE$10004,9497-4,'Visual SPC'!$B$3),"")</f>
        <v/>
      </c>
      <c r="E9497">
        <f>IF(B9497=1,D9497,E9496)</f>
        <v/>
      </c>
      <c r="F9497">
        <f>IF(AND(B9497=1,C9497&gt;1,E9496&lt;&gt;""),ABS(D9497-E9496),"")</f>
        <v/>
      </c>
    </row>
    <row r="9498">
      <c r="A9498" t="n">
        <v>9498</v>
      </c>
      <c r="B9498">
        <f>IF(INDEX('Data Entry'!$H$5:$BE$10004,9498-4,'Visual SPC'!$B$3)="",0,IF(AND(OR('Visual SPC'!$C$4="",'Data Entry'!$C9498&gt;='Visual SPC'!$C$4),OR('Visual SPC'!$E$4="",'Data Entry'!$C9498&lt;='Visual SPC'!$E$4),OR('Visual SPC'!$G$4="",'Data Entry'!$D9498='Visual SPC'!$G$4),OR('Visual SPC'!$I$4="",'Data Entry'!$E9498='Visual SPC'!$I$4),OR('Visual SPC'!$K$4="",'Data Entry'!$F9498='Visual SPC'!$K$4)),1,0))</f>
        <v/>
      </c>
      <c r="C9498">
        <f>C9497+B9498</f>
        <v/>
      </c>
      <c r="D9498">
        <f>IF(B9498=1,INDEX('Data Entry'!$H$5:$BE$10004,9498-4,'Visual SPC'!$B$3),"")</f>
        <v/>
      </c>
      <c r="E9498">
        <f>IF(B9498=1,D9498,E9497)</f>
        <v/>
      </c>
      <c r="F9498">
        <f>IF(AND(B9498=1,C9498&gt;1,E9497&lt;&gt;""),ABS(D9498-E9497),"")</f>
        <v/>
      </c>
    </row>
    <row r="9499">
      <c r="A9499" t="n">
        <v>9499</v>
      </c>
      <c r="B9499">
        <f>IF(INDEX('Data Entry'!$H$5:$BE$10004,9499-4,'Visual SPC'!$B$3)="",0,IF(AND(OR('Visual SPC'!$C$4="",'Data Entry'!$C9499&gt;='Visual SPC'!$C$4),OR('Visual SPC'!$E$4="",'Data Entry'!$C9499&lt;='Visual SPC'!$E$4),OR('Visual SPC'!$G$4="",'Data Entry'!$D9499='Visual SPC'!$G$4),OR('Visual SPC'!$I$4="",'Data Entry'!$E9499='Visual SPC'!$I$4),OR('Visual SPC'!$K$4="",'Data Entry'!$F9499='Visual SPC'!$K$4)),1,0))</f>
        <v/>
      </c>
      <c r="C9499">
        <f>C9498+B9499</f>
        <v/>
      </c>
      <c r="D9499">
        <f>IF(B9499=1,INDEX('Data Entry'!$H$5:$BE$10004,9499-4,'Visual SPC'!$B$3),"")</f>
        <v/>
      </c>
      <c r="E9499">
        <f>IF(B9499=1,D9499,E9498)</f>
        <v/>
      </c>
      <c r="F9499">
        <f>IF(AND(B9499=1,C9499&gt;1,E9498&lt;&gt;""),ABS(D9499-E9498),"")</f>
        <v/>
      </c>
    </row>
    <row r="9500">
      <c r="A9500" t="n">
        <v>9500</v>
      </c>
      <c r="B9500">
        <f>IF(INDEX('Data Entry'!$H$5:$BE$10004,9500-4,'Visual SPC'!$B$3)="",0,IF(AND(OR('Visual SPC'!$C$4="",'Data Entry'!$C9500&gt;='Visual SPC'!$C$4),OR('Visual SPC'!$E$4="",'Data Entry'!$C9500&lt;='Visual SPC'!$E$4),OR('Visual SPC'!$G$4="",'Data Entry'!$D9500='Visual SPC'!$G$4),OR('Visual SPC'!$I$4="",'Data Entry'!$E9500='Visual SPC'!$I$4),OR('Visual SPC'!$K$4="",'Data Entry'!$F9500='Visual SPC'!$K$4)),1,0))</f>
        <v/>
      </c>
      <c r="C9500">
        <f>C9499+B9500</f>
        <v/>
      </c>
      <c r="D9500">
        <f>IF(B9500=1,INDEX('Data Entry'!$H$5:$BE$10004,9500-4,'Visual SPC'!$B$3),"")</f>
        <v/>
      </c>
      <c r="E9500">
        <f>IF(B9500=1,D9500,E9499)</f>
        <v/>
      </c>
      <c r="F9500">
        <f>IF(AND(B9500=1,C9500&gt;1,E9499&lt;&gt;""),ABS(D9500-E9499),"")</f>
        <v/>
      </c>
    </row>
    <row r="9501">
      <c r="A9501" t="n">
        <v>9501</v>
      </c>
      <c r="B9501">
        <f>IF(INDEX('Data Entry'!$H$5:$BE$10004,9501-4,'Visual SPC'!$B$3)="",0,IF(AND(OR('Visual SPC'!$C$4="",'Data Entry'!$C9501&gt;='Visual SPC'!$C$4),OR('Visual SPC'!$E$4="",'Data Entry'!$C9501&lt;='Visual SPC'!$E$4),OR('Visual SPC'!$G$4="",'Data Entry'!$D9501='Visual SPC'!$G$4),OR('Visual SPC'!$I$4="",'Data Entry'!$E9501='Visual SPC'!$I$4),OR('Visual SPC'!$K$4="",'Data Entry'!$F9501='Visual SPC'!$K$4)),1,0))</f>
        <v/>
      </c>
      <c r="C9501">
        <f>C9500+B9501</f>
        <v/>
      </c>
      <c r="D9501">
        <f>IF(B9501=1,INDEX('Data Entry'!$H$5:$BE$10004,9501-4,'Visual SPC'!$B$3),"")</f>
        <v/>
      </c>
      <c r="E9501">
        <f>IF(B9501=1,D9501,E9500)</f>
        <v/>
      </c>
      <c r="F9501">
        <f>IF(AND(B9501=1,C9501&gt;1,E9500&lt;&gt;""),ABS(D9501-E9500),"")</f>
        <v/>
      </c>
    </row>
    <row r="9502">
      <c r="A9502" t="n">
        <v>9502</v>
      </c>
      <c r="B9502">
        <f>IF(INDEX('Data Entry'!$H$5:$BE$10004,9502-4,'Visual SPC'!$B$3)="",0,IF(AND(OR('Visual SPC'!$C$4="",'Data Entry'!$C9502&gt;='Visual SPC'!$C$4),OR('Visual SPC'!$E$4="",'Data Entry'!$C9502&lt;='Visual SPC'!$E$4),OR('Visual SPC'!$G$4="",'Data Entry'!$D9502='Visual SPC'!$G$4),OR('Visual SPC'!$I$4="",'Data Entry'!$E9502='Visual SPC'!$I$4),OR('Visual SPC'!$K$4="",'Data Entry'!$F9502='Visual SPC'!$K$4)),1,0))</f>
        <v/>
      </c>
      <c r="C9502">
        <f>C9501+B9502</f>
        <v/>
      </c>
      <c r="D9502">
        <f>IF(B9502=1,INDEX('Data Entry'!$H$5:$BE$10004,9502-4,'Visual SPC'!$B$3),"")</f>
        <v/>
      </c>
      <c r="E9502">
        <f>IF(B9502=1,D9502,E9501)</f>
        <v/>
      </c>
      <c r="F9502">
        <f>IF(AND(B9502=1,C9502&gt;1,E9501&lt;&gt;""),ABS(D9502-E9501),"")</f>
        <v/>
      </c>
    </row>
    <row r="9503">
      <c r="A9503" t="n">
        <v>9503</v>
      </c>
      <c r="B9503">
        <f>IF(INDEX('Data Entry'!$H$5:$BE$10004,9503-4,'Visual SPC'!$B$3)="",0,IF(AND(OR('Visual SPC'!$C$4="",'Data Entry'!$C9503&gt;='Visual SPC'!$C$4),OR('Visual SPC'!$E$4="",'Data Entry'!$C9503&lt;='Visual SPC'!$E$4),OR('Visual SPC'!$G$4="",'Data Entry'!$D9503='Visual SPC'!$G$4),OR('Visual SPC'!$I$4="",'Data Entry'!$E9503='Visual SPC'!$I$4),OR('Visual SPC'!$K$4="",'Data Entry'!$F9503='Visual SPC'!$K$4)),1,0))</f>
        <v/>
      </c>
      <c r="C9503">
        <f>C9502+B9503</f>
        <v/>
      </c>
      <c r="D9503">
        <f>IF(B9503=1,INDEX('Data Entry'!$H$5:$BE$10004,9503-4,'Visual SPC'!$B$3),"")</f>
        <v/>
      </c>
      <c r="E9503">
        <f>IF(B9503=1,D9503,E9502)</f>
        <v/>
      </c>
      <c r="F9503">
        <f>IF(AND(B9503=1,C9503&gt;1,E9502&lt;&gt;""),ABS(D9503-E9502),"")</f>
        <v/>
      </c>
    </row>
    <row r="9504">
      <c r="A9504" t="n">
        <v>9504</v>
      </c>
      <c r="B9504">
        <f>IF(INDEX('Data Entry'!$H$5:$BE$10004,9504-4,'Visual SPC'!$B$3)="",0,IF(AND(OR('Visual SPC'!$C$4="",'Data Entry'!$C9504&gt;='Visual SPC'!$C$4),OR('Visual SPC'!$E$4="",'Data Entry'!$C9504&lt;='Visual SPC'!$E$4),OR('Visual SPC'!$G$4="",'Data Entry'!$D9504='Visual SPC'!$G$4),OR('Visual SPC'!$I$4="",'Data Entry'!$E9504='Visual SPC'!$I$4),OR('Visual SPC'!$K$4="",'Data Entry'!$F9504='Visual SPC'!$K$4)),1,0))</f>
        <v/>
      </c>
      <c r="C9504">
        <f>C9503+B9504</f>
        <v/>
      </c>
      <c r="D9504">
        <f>IF(B9504=1,INDEX('Data Entry'!$H$5:$BE$10004,9504-4,'Visual SPC'!$B$3),"")</f>
        <v/>
      </c>
      <c r="E9504">
        <f>IF(B9504=1,D9504,E9503)</f>
        <v/>
      </c>
      <c r="F9504">
        <f>IF(AND(B9504=1,C9504&gt;1,E9503&lt;&gt;""),ABS(D9504-E9503),"")</f>
        <v/>
      </c>
    </row>
    <row r="9505">
      <c r="A9505" t="n">
        <v>9505</v>
      </c>
      <c r="B9505">
        <f>IF(INDEX('Data Entry'!$H$5:$BE$10004,9505-4,'Visual SPC'!$B$3)="",0,IF(AND(OR('Visual SPC'!$C$4="",'Data Entry'!$C9505&gt;='Visual SPC'!$C$4),OR('Visual SPC'!$E$4="",'Data Entry'!$C9505&lt;='Visual SPC'!$E$4),OR('Visual SPC'!$G$4="",'Data Entry'!$D9505='Visual SPC'!$G$4),OR('Visual SPC'!$I$4="",'Data Entry'!$E9505='Visual SPC'!$I$4),OR('Visual SPC'!$K$4="",'Data Entry'!$F9505='Visual SPC'!$K$4)),1,0))</f>
        <v/>
      </c>
      <c r="C9505">
        <f>C9504+B9505</f>
        <v/>
      </c>
      <c r="D9505">
        <f>IF(B9505=1,INDEX('Data Entry'!$H$5:$BE$10004,9505-4,'Visual SPC'!$B$3),"")</f>
        <v/>
      </c>
      <c r="E9505">
        <f>IF(B9505=1,D9505,E9504)</f>
        <v/>
      </c>
      <c r="F9505">
        <f>IF(AND(B9505=1,C9505&gt;1,E9504&lt;&gt;""),ABS(D9505-E9504),"")</f>
        <v/>
      </c>
    </row>
    <row r="9506">
      <c r="A9506" t="n">
        <v>9506</v>
      </c>
      <c r="B9506">
        <f>IF(INDEX('Data Entry'!$H$5:$BE$10004,9506-4,'Visual SPC'!$B$3)="",0,IF(AND(OR('Visual SPC'!$C$4="",'Data Entry'!$C9506&gt;='Visual SPC'!$C$4),OR('Visual SPC'!$E$4="",'Data Entry'!$C9506&lt;='Visual SPC'!$E$4),OR('Visual SPC'!$G$4="",'Data Entry'!$D9506='Visual SPC'!$G$4),OR('Visual SPC'!$I$4="",'Data Entry'!$E9506='Visual SPC'!$I$4),OR('Visual SPC'!$K$4="",'Data Entry'!$F9506='Visual SPC'!$K$4)),1,0))</f>
        <v/>
      </c>
      <c r="C9506">
        <f>C9505+B9506</f>
        <v/>
      </c>
      <c r="D9506">
        <f>IF(B9506=1,INDEX('Data Entry'!$H$5:$BE$10004,9506-4,'Visual SPC'!$B$3),"")</f>
        <v/>
      </c>
      <c r="E9506">
        <f>IF(B9506=1,D9506,E9505)</f>
        <v/>
      </c>
      <c r="F9506">
        <f>IF(AND(B9506=1,C9506&gt;1,E9505&lt;&gt;""),ABS(D9506-E9505),"")</f>
        <v/>
      </c>
    </row>
    <row r="9507">
      <c r="A9507" t="n">
        <v>9507</v>
      </c>
      <c r="B9507">
        <f>IF(INDEX('Data Entry'!$H$5:$BE$10004,9507-4,'Visual SPC'!$B$3)="",0,IF(AND(OR('Visual SPC'!$C$4="",'Data Entry'!$C9507&gt;='Visual SPC'!$C$4),OR('Visual SPC'!$E$4="",'Data Entry'!$C9507&lt;='Visual SPC'!$E$4),OR('Visual SPC'!$G$4="",'Data Entry'!$D9507='Visual SPC'!$G$4),OR('Visual SPC'!$I$4="",'Data Entry'!$E9507='Visual SPC'!$I$4),OR('Visual SPC'!$K$4="",'Data Entry'!$F9507='Visual SPC'!$K$4)),1,0))</f>
        <v/>
      </c>
      <c r="C9507">
        <f>C9506+B9507</f>
        <v/>
      </c>
      <c r="D9507">
        <f>IF(B9507=1,INDEX('Data Entry'!$H$5:$BE$10004,9507-4,'Visual SPC'!$B$3),"")</f>
        <v/>
      </c>
      <c r="E9507">
        <f>IF(B9507=1,D9507,E9506)</f>
        <v/>
      </c>
      <c r="F9507">
        <f>IF(AND(B9507=1,C9507&gt;1,E9506&lt;&gt;""),ABS(D9507-E9506),"")</f>
        <v/>
      </c>
    </row>
    <row r="9508">
      <c r="A9508" t="n">
        <v>9508</v>
      </c>
      <c r="B9508">
        <f>IF(INDEX('Data Entry'!$H$5:$BE$10004,9508-4,'Visual SPC'!$B$3)="",0,IF(AND(OR('Visual SPC'!$C$4="",'Data Entry'!$C9508&gt;='Visual SPC'!$C$4),OR('Visual SPC'!$E$4="",'Data Entry'!$C9508&lt;='Visual SPC'!$E$4),OR('Visual SPC'!$G$4="",'Data Entry'!$D9508='Visual SPC'!$G$4),OR('Visual SPC'!$I$4="",'Data Entry'!$E9508='Visual SPC'!$I$4),OR('Visual SPC'!$K$4="",'Data Entry'!$F9508='Visual SPC'!$K$4)),1,0))</f>
        <v/>
      </c>
      <c r="C9508">
        <f>C9507+B9508</f>
        <v/>
      </c>
      <c r="D9508">
        <f>IF(B9508=1,INDEX('Data Entry'!$H$5:$BE$10004,9508-4,'Visual SPC'!$B$3),"")</f>
        <v/>
      </c>
      <c r="E9508">
        <f>IF(B9508=1,D9508,E9507)</f>
        <v/>
      </c>
      <c r="F9508">
        <f>IF(AND(B9508=1,C9508&gt;1,E9507&lt;&gt;""),ABS(D9508-E9507),"")</f>
        <v/>
      </c>
    </row>
    <row r="9509">
      <c r="A9509" t="n">
        <v>9509</v>
      </c>
      <c r="B9509">
        <f>IF(INDEX('Data Entry'!$H$5:$BE$10004,9509-4,'Visual SPC'!$B$3)="",0,IF(AND(OR('Visual SPC'!$C$4="",'Data Entry'!$C9509&gt;='Visual SPC'!$C$4),OR('Visual SPC'!$E$4="",'Data Entry'!$C9509&lt;='Visual SPC'!$E$4),OR('Visual SPC'!$G$4="",'Data Entry'!$D9509='Visual SPC'!$G$4),OR('Visual SPC'!$I$4="",'Data Entry'!$E9509='Visual SPC'!$I$4),OR('Visual SPC'!$K$4="",'Data Entry'!$F9509='Visual SPC'!$K$4)),1,0))</f>
        <v/>
      </c>
      <c r="C9509">
        <f>C9508+B9509</f>
        <v/>
      </c>
      <c r="D9509">
        <f>IF(B9509=1,INDEX('Data Entry'!$H$5:$BE$10004,9509-4,'Visual SPC'!$B$3),"")</f>
        <v/>
      </c>
      <c r="E9509">
        <f>IF(B9509=1,D9509,E9508)</f>
        <v/>
      </c>
      <c r="F9509">
        <f>IF(AND(B9509=1,C9509&gt;1,E9508&lt;&gt;""),ABS(D9509-E9508),"")</f>
        <v/>
      </c>
    </row>
    <row r="9510">
      <c r="A9510" t="n">
        <v>9510</v>
      </c>
      <c r="B9510">
        <f>IF(INDEX('Data Entry'!$H$5:$BE$10004,9510-4,'Visual SPC'!$B$3)="",0,IF(AND(OR('Visual SPC'!$C$4="",'Data Entry'!$C9510&gt;='Visual SPC'!$C$4),OR('Visual SPC'!$E$4="",'Data Entry'!$C9510&lt;='Visual SPC'!$E$4),OR('Visual SPC'!$G$4="",'Data Entry'!$D9510='Visual SPC'!$G$4),OR('Visual SPC'!$I$4="",'Data Entry'!$E9510='Visual SPC'!$I$4),OR('Visual SPC'!$K$4="",'Data Entry'!$F9510='Visual SPC'!$K$4)),1,0))</f>
        <v/>
      </c>
      <c r="C9510">
        <f>C9509+B9510</f>
        <v/>
      </c>
      <c r="D9510">
        <f>IF(B9510=1,INDEX('Data Entry'!$H$5:$BE$10004,9510-4,'Visual SPC'!$B$3),"")</f>
        <v/>
      </c>
      <c r="E9510">
        <f>IF(B9510=1,D9510,E9509)</f>
        <v/>
      </c>
      <c r="F9510">
        <f>IF(AND(B9510=1,C9510&gt;1,E9509&lt;&gt;""),ABS(D9510-E9509),"")</f>
        <v/>
      </c>
    </row>
    <row r="9511">
      <c r="A9511" t="n">
        <v>9511</v>
      </c>
      <c r="B9511">
        <f>IF(INDEX('Data Entry'!$H$5:$BE$10004,9511-4,'Visual SPC'!$B$3)="",0,IF(AND(OR('Visual SPC'!$C$4="",'Data Entry'!$C9511&gt;='Visual SPC'!$C$4),OR('Visual SPC'!$E$4="",'Data Entry'!$C9511&lt;='Visual SPC'!$E$4),OR('Visual SPC'!$G$4="",'Data Entry'!$D9511='Visual SPC'!$G$4),OR('Visual SPC'!$I$4="",'Data Entry'!$E9511='Visual SPC'!$I$4),OR('Visual SPC'!$K$4="",'Data Entry'!$F9511='Visual SPC'!$K$4)),1,0))</f>
        <v/>
      </c>
      <c r="C9511">
        <f>C9510+B9511</f>
        <v/>
      </c>
      <c r="D9511">
        <f>IF(B9511=1,INDEX('Data Entry'!$H$5:$BE$10004,9511-4,'Visual SPC'!$B$3),"")</f>
        <v/>
      </c>
      <c r="E9511">
        <f>IF(B9511=1,D9511,E9510)</f>
        <v/>
      </c>
      <c r="F9511">
        <f>IF(AND(B9511=1,C9511&gt;1,E9510&lt;&gt;""),ABS(D9511-E9510),"")</f>
        <v/>
      </c>
    </row>
    <row r="9512">
      <c r="A9512" t="n">
        <v>9512</v>
      </c>
      <c r="B9512">
        <f>IF(INDEX('Data Entry'!$H$5:$BE$10004,9512-4,'Visual SPC'!$B$3)="",0,IF(AND(OR('Visual SPC'!$C$4="",'Data Entry'!$C9512&gt;='Visual SPC'!$C$4),OR('Visual SPC'!$E$4="",'Data Entry'!$C9512&lt;='Visual SPC'!$E$4),OR('Visual SPC'!$G$4="",'Data Entry'!$D9512='Visual SPC'!$G$4),OR('Visual SPC'!$I$4="",'Data Entry'!$E9512='Visual SPC'!$I$4),OR('Visual SPC'!$K$4="",'Data Entry'!$F9512='Visual SPC'!$K$4)),1,0))</f>
        <v/>
      </c>
      <c r="C9512">
        <f>C9511+B9512</f>
        <v/>
      </c>
      <c r="D9512">
        <f>IF(B9512=1,INDEX('Data Entry'!$H$5:$BE$10004,9512-4,'Visual SPC'!$B$3),"")</f>
        <v/>
      </c>
      <c r="E9512">
        <f>IF(B9512=1,D9512,E9511)</f>
        <v/>
      </c>
      <c r="F9512">
        <f>IF(AND(B9512=1,C9512&gt;1,E9511&lt;&gt;""),ABS(D9512-E9511),"")</f>
        <v/>
      </c>
    </row>
    <row r="9513">
      <c r="A9513" t="n">
        <v>9513</v>
      </c>
      <c r="B9513">
        <f>IF(INDEX('Data Entry'!$H$5:$BE$10004,9513-4,'Visual SPC'!$B$3)="",0,IF(AND(OR('Visual SPC'!$C$4="",'Data Entry'!$C9513&gt;='Visual SPC'!$C$4),OR('Visual SPC'!$E$4="",'Data Entry'!$C9513&lt;='Visual SPC'!$E$4),OR('Visual SPC'!$G$4="",'Data Entry'!$D9513='Visual SPC'!$G$4),OR('Visual SPC'!$I$4="",'Data Entry'!$E9513='Visual SPC'!$I$4),OR('Visual SPC'!$K$4="",'Data Entry'!$F9513='Visual SPC'!$K$4)),1,0))</f>
        <v/>
      </c>
      <c r="C9513">
        <f>C9512+B9513</f>
        <v/>
      </c>
      <c r="D9513">
        <f>IF(B9513=1,INDEX('Data Entry'!$H$5:$BE$10004,9513-4,'Visual SPC'!$B$3),"")</f>
        <v/>
      </c>
      <c r="E9513">
        <f>IF(B9513=1,D9513,E9512)</f>
        <v/>
      </c>
      <c r="F9513">
        <f>IF(AND(B9513=1,C9513&gt;1,E9512&lt;&gt;""),ABS(D9513-E9512),"")</f>
        <v/>
      </c>
    </row>
    <row r="9514">
      <c r="A9514" t="n">
        <v>9514</v>
      </c>
      <c r="B9514">
        <f>IF(INDEX('Data Entry'!$H$5:$BE$10004,9514-4,'Visual SPC'!$B$3)="",0,IF(AND(OR('Visual SPC'!$C$4="",'Data Entry'!$C9514&gt;='Visual SPC'!$C$4),OR('Visual SPC'!$E$4="",'Data Entry'!$C9514&lt;='Visual SPC'!$E$4),OR('Visual SPC'!$G$4="",'Data Entry'!$D9514='Visual SPC'!$G$4),OR('Visual SPC'!$I$4="",'Data Entry'!$E9514='Visual SPC'!$I$4),OR('Visual SPC'!$K$4="",'Data Entry'!$F9514='Visual SPC'!$K$4)),1,0))</f>
        <v/>
      </c>
      <c r="C9514">
        <f>C9513+B9514</f>
        <v/>
      </c>
      <c r="D9514">
        <f>IF(B9514=1,INDEX('Data Entry'!$H$5:$BE$10004,9514-4,'Visual SPC'!$B$3),"")</f>
        <v/>
      </c>
      <c r="E9514">
        <f>IF(B9514=1,D9514,E9513)</f>
        <v/>
      </c>
      <c r="F9514">
        <f>IF(AND(B9514=1,C9514&gt;1,E9513&lt;&gt;""),ABS(D9514-E9513),"")</f>
        <v/>
      </c>
    </row>
    <row r="9515">
      <c r="A9515" t="n">
        <v>9515</v>
      </c>
      <c r="B9515">
        <f>IF(INDEX('Data Entry'!$H$5:$BE$10004,9515-4,'Visual SPC'!$B$3)="",0,IF(AND(OR('Visual SPC'!$C$4="",'Data Entry'!$C9515&gt;='Visual SPC'!$C$4),OR('Visual SPC'!$E$4="",'Data Entry'!$C9515&lt;='Visual SPC'!$E$4),OR('Visual SPC'!$G$4="",'Data Entry'!$D9515='Visual SPC'!$G$4),OR('Visual SPC'!$I$4="",'Data Entry'!$E9515='Visual SPC'!$I$4),OR('Visual SPC'!$K$4="",'Data Entry'!$F9515='Visual SPC'!$K$4)),1,0))</f>
        <v/>
      </c>
      <c r="C9515">
        <f>C9514+B9515</f>
        <v/>
      </c>
      <c r="D9515">
        <f>IF(B9515=1,INDEX('Data Entry'!$H$5:$BE$10004,9515-4,'Visual SPC'!$B$3),"")</f>
        <v/>
      </c>
      <c r="E9515">
        <f>IF(B9515=1,D9515,E9514)</f>
        <v/>
      </c>
      <c r="F9515">
        <f>IF(AND(B9515=1,C9515&gt;1,E9514&lt;&gt;""),ABS(D9515-E9514),"")</f>
        <v/>
      </c>
    </row>
    <row r="9516">
      <c r="A9516" t="n">
        <v>9516</v>
      </c>
      <c r="B9516">
        <f>IF(INDEX('Data Entry'!$H$5:$BE$10004,9516-4,'Visual SPC'!$B$3)="",0,IF(AND(OR('Visual SPC'!$C$4="",'Data Entry'!$C9516&gt;='Visual SPC'!$C$4),OR('Visual SPC'!$E$4="",'Data Entry'!$C9516&lt;='Visual SPC'!$E$4),OR('Visual SPC'!$G$4="",'Data Entry'!$D9516='Visual SPC'!$G$4),OR('Visual SPC'!$I$4="",'Data Entry'!$E9516='Visual SPC'!$I$4),OR('Visual SPC'!$K$4="",'Data Entry'!$F9516='Visual SPC'!$K$4)),1,0))</f>
        <v/>
      </c>
      <c r="C9516">
        <f>C9515+B9516</f>
        <v/>
      </c>
      <c r="D9516">
        <f>IF(B9516=1,INDEX('Data Entry'!$H$5:$BE$10004,9516-4,'Visual SPC'!$B$3),"")</f>
        <v/>
      </c>
      <c r="E9516">
        <f>IF(B9516=1,D9516,E9515)</f>
        <v/>
      </c>
      <c r="F9516">
        <f>IF(AND(B9516=1,C9516&gt;1,E9515&lt;&gt;""),ABS(D9516-E9515),"")</f>
        <v/>
      </c>
    </row>
    <row r="9517">
      <c r="A9517" t="n">
        <v>9517</v>
      </c>
      <c r="B9517">
        <f>IF(INDEX('Data Entry'!$H$5:$BE$10004,9517-4,'Visual SPC'!$B$3)="",0,IF(AND(OR('Visual SPC'!$C$4="",'Data Entry'!$C9517&gt;='Visual SPC'!$C$4),OR('Visual SPC'!$E$4="",'Data Entry'!$C9517&lt;='Visual SPC'!$E$4),OR('Visual SPC'!$G$4="",'Data Entry'!$D9517='Visual SPC'!$G$4),OR('Visual SPC'!$I$4="",'Data Entry'!$E9517='Visual SPC'!$I$4),OR('Visual SPC'!$K$4="",'Data Entry'!$F9517='Visual SPC'!$K$4)),1,0))</f>
        <v/>
      </c>
      <c r="C9517">
        <f>C9516+B9517</f>
        <v/>
      </c>
      <c r="D9517">
        <f>IF(B9517=1,INDEX('Data Entry'!$H$5:$BE$10004,9517-4,'Visual SPC'!$B$3),"")</f>
        <v/>
      </c>
      <c r="E9517">
        <f>IF(B9517=1,D9517,E9516)</f>
        <v/>
      </c>
      <c r="F9517">
        <f>IF(AND(B9517=1,C9517&gt;1,E9516&lt;&gt;""),ABS(D9517-E9516),"")</f>
        <v/>
      </c>
    </row>
    <row r="9518">
      <c r="A9518" t="n">
        <v>9518</v>
      </c>
      <c r="B9518">
        <f>IF(INDEX('Data Entry'!$H$5:$BE$10004,9518-4,'Visual SPC'!$B$3)="",0,IF(AND(OR('Visual SPC'!$C$4="",'Data Entry'!$C9518&gt;='Visual SPC'!$C$4),OR('Visual SPC'!$E$4="",'Data Entry'!$C9518&lt;='Visual SPC'!$E$4),OR('Visual SPC'!$G$4="",'Data Entry'!$D9518='Visual SPC'!$G$4),OR('Visual SPC'!$I$4="",'Data Entry'!$E9518='Visual SPC'!$I$4),OR('Visual SPC'!$K$4="",'Data Entry'!$F9518='Visual SPC'!$K$4)),1,0))</f>
        <v/>
      </c>
      <c r="C9518">
        <f>C9517+B9518</f>
        <v/>
      </c>
      <c r="D9518">
        <f>IF(B9518=1,INDEX('Data Entry'!$H$5:$BE$10004,9518-4,'Visual SPC'!$B$3),"")</f>
        <v/>
      </c>
      <c r="E9518">
        <f>IF(B9518=1,D9518,E9517)</f>
        <v/>
      </c>
      <c r="F9518">
        <f>IF(AND(B9518=1,C9518&gt;1,E9517&lt;&gt;""),ABS(D9518-E9517),"")</f>
        <v/>
      </c>
    </row>
    <row r="9519">
      <c r="A9519" t="n">
        <v>9519</v>
      </c>
      <c r="B9519">
        <f>IF(INDEX('Data Entry'!$H$5:$BE$10004,9519-4,'Visual SPC'!$B$3)="",0,IF(AND(OR('Visual SPC'!$C$4="",'Data Entry'!$C9519&gt;='Visual SPC'!$C$4),OR('Visual SPC'!$E$4="",'Data Entry'!$C9519&lt;='Visual SPC'!$E$4),OR('Visual SPC'!$G$4="",'Data Entry'!$D9519='Visual SPC'!$G$4),OR('Visual SPC'!$I$4="",'Data Entry'!$E9519='Visual SPC'!$I$4),OR('Visual SPC'!$K$4="",'Data Entry'!$F9519='Visual SPC'!$K$4)),1,0))</f>
        <v/>
      </c>
      <c r="C9519">
        <f>C9518+B9519</f>
        <v/>
      </c>
      <c r="D9519">
        <f>IF(B9519=1,INDEX('Data Entry'!$H$5:$BE$10004,9519-4,'Visual SPC'!$B$3),"")</f>
        <v/>
      </c>
      <c r="E9519">
        <f>IF(B9519=1,D9519,E9518)</f>
        <v/>
      </c>
      <c r="F9519">
        <f>IF(AND(B9519=1,C9519&gt;1,E9518&lt;&gt;""),ABS(D9519-E9518),"")</f>
        <v/>
      </c>
    </row>
    <row r="9520">
      <c r="A9520" t="n">
        <v>9520</v>
      </c>
      <c r="B9520">
        <f>IF(INDEX('Data Entry'!$H$5:$BE$10004,9520-4,'Visual SPC'!$B$3)="",0,IF(AND(OR('Visual SPC'!$C$4="",'Data Entry'!$C9520&gt;='Visual SPC'!$C$4),OR('Visual SPC'!$E$4="",'Data Entry'!$C9520&lt;='Visual SPC'!$E$4),OR('Visual SPC'!$G$4="",'Data Entry'!$D9520='Visual SPC'!$G$4),OR('Visual SPC'!$I$4="",'Data Entry'!$E9520='Visual SPC'!$I$4),OR('Visual SPC'!$K$4="",'Data Entry'!$F9520='Visual SPC'!$K$4)),1,0))</f>
        <v/>
      </c>
      <c r="C9520">
        <f>C9519+B9520</f>
        <v/>
      </c>
      <c r="D9520">
        <f>IF(B9520=1,INDEX('Data Entry'!$H$5:$BE$10004,9520-4,'Visual SPC'!$B$3),"")</f>
        <v/>
      </c>
      <c r="E9520">
        <f>IF(B9520=1,D9520,E9519)</f>
        <v/>
      </c>
      <c r="F9520">
        <f>IF(AND(B9520=1,C9520&gt;1,E9519&lt;&gt;""),ABS(D9520-E9519),"")</f>
        <v/>
      </c>
    </row>
    <row r="9521">
      <c r="A9521" t="n">
        <v>9521</v>
      </c>
      <c r="B9521">
        <f>IF(INDEX('Data Entry'!$H$5:$BE$10004,9521-4,'Visual SPC'!$B$3)="",0,IF(AND(OR('Visual SPC'!$C$4="",'Data Entry'!$C9521&gt;='Visual SPC'!$C$4),OR('Visual SPC'!$E$4="",'Data Entry'!$C9521&lt;='Visual SPC'!$E$4),OR('Visual SPC'!$G$4="",'Data Entry'!$D9521='Visual SPC'!$G$4),OR('Visual SPC'!$I$4="",'Data Entry'!$E9521='Visual SPC'!$I$4),OR('Visual SPC'!$K$4="",'Data Entry'!$F9521='Visual SPC'!$K$4)),1,0))</f>
        <v/>
      </c>
      <c r="C9521">
        <f>C9520+B9521</f>
        <v/>
      </c>
      <c r="D9521">
        <f>IF(B9521=1,INDEX('Data Entry'!$H$5:$BE$10004,9521-4,'Visual SPC'!$B$3),"")</f>
        <v/>
      </c>
      <c r="E9521">
        <f>IF(B9521=1,D9521,E9520)</f>
        <v/>
      </c>
      <c r="F9521">
        <f>IF(AND(B9521=1,C9521&gt;1,E9520&lt;&gt;""),ABS(D9521-E9520),"")</f>
        <v/>
      </c>
    </row>
    <row r="9522">
      <c r="A9522" t="n">
        <v>9522</v>
      </c>
      <c r="B9522">
        <f>IF(INDEX('Data Entry'!$H$5:$BE$10004,9522-4,'Visual SPC'!$B$3)="",0,IF(AND(OR('Visual SPC'!$C$4="",'Data Entry'!$C9522&gt;='Visual SPC'!$C$4),OR('Visual SPC'!$E$4="",'Data Entry'!$C9522&lt;='Visual SPC'!$E$4),OR('Visual SPC'!$G$4="",'Data Entry'!$D9522='Visual SPC'!$G$4),OR('Visual SPC'!$I$4="",'Data Entry'!$E9522='Visual SPC'!$I$4),OR('Visual SPC'!$K$4="",'Data Entry'!$F9522='Visual SPC'!$K$4)),1,0))</f>
        <v/>
      </c>
      <c r="C9522">
        <f>C9521+B9522</f>
        <v/>
      </c>
      <c r="D9522">
        <f>IF(B9522=1,INDEX('Data Entry'!$H$5:$BE$10004,9522-4,'Visual SPC'!$B$3),"")</f>
        <v/>
      </c>
      <c r="E9522">
        <f>IF(B9522=1,D9522,E9521)</f>
        <v/>
      </c>
      <c r="F9522">
        <f>IF(AND(B9522=1,C9522&gt;1,E9521&lt;&gt;""),ABS(D9522-E9521),"")</f>
        <v/>
      </c>
    </row>
    <row r="9523">
      <c r="A9523" t="n">
        <v>9523</v>
      </c>
      <c r="B9523">
        <f>IF(INDEX('Data Entry'!$H$5:$BE$10004,9523-4,'Visual SPC'!$B$3)="",0,IF(AND(OR('Visual SPC'!$C$4="",'Data Entry'!$C9523&gt;='Visual SPC'!$C$4),OR('Visual SPC'!$E$4="",'Data Entry'!$C9523&lt;='Visual SPC'!$E$4),OR('Visual SPC'!$G$4="",'Data Entry'!$D9523='Visual SPC'!$G$4),OR('Visual SPC'!$I$4="",'Data Entry'!$E9523='Visual SPC'!$I$4),OR('Visual SPC'!$K$4="",'Data Entry'!$F9523='Visual SPC'!$K$4)),1,0))</f>
        <v/>
      </c>
      <c r="C9523">
        <f>C9522+B9523</f>
        <v/>
      </c>
      <c r="D9523">
        <f>IF(B9523=1,INDEX('Data Entry'!$H$5:$BE$10004,9523-4,'Visual SPC'!$B$3),"")</f>
        <v/>
      </c>
      <c r="E9523">
        <f>IF(B9523=1,D9523,E9522)</f>
        <v/>
      </c>
      <c r="F9523">
        <f>IF(AND(B9523=1,C9523&gt;1,E9522&lt;&gt;""),ABS(D9523-E9522),"")</f>
        <v/>
      </c>
    </row>
    <row r="9524">
      <c r="A9524" t="n">
        <v>9524</v>
      </c>
      <c r="B9524">
        <f>IF(INDEX('Data Entry'!$H$5:$BE$10004,9524-4,'Visual SPC'!$B$3)="",0,IF(AND(OR('Visual SPC'!$C$4="",'Data Entry'!$C9524&gt;='Visual SPC'!$C$4),OR('Visual SPC'!$E$4="",'Data Entry'!$C9524&lt;='Visual SPC'!$E$4),OR('Visual SPC'!$G$4="",'Data Entry'!$D9524='Visual SPC'!$G$4),OR('Visual SPC'!$I$4="",'Data Entry'!$E9524='Visual SPC'!$I$4),OR('Visual SPC'!$K$4="",'Data Entry'!$F9524='Visual SPC'!$K$4)),1,0))</f>
        <v/>
      </c>
      <c r="C9524">
        <f>C9523+B9524</f>
        <v/>
      </c>
      <c r="D9524">
        <f>IF(B9524=1,INDEX('Data Entry'!$H$5:$BE$10004,9524-4,'Visual SPC'!$B$3),"")</f>
        <v/>
      </c>
      <c r="E9524">
        <f>IF(B9524=1,D9524,E9523)</f>
        <v/>
      </c>
      <c r="F9524">
        <f>IF(AND(B9524=1,C9524&gt;1,E9523&lt;&gt;""),ABS(D9524-E9523),"")</f>
        <v/>
      </c>
    </row>
    <row r="9525">
      <c r="A9525" t="n">
        <v>9525</v>
      </c>
      <c r="B9525">
        <f>IF(INDEX('Data Entry'!$H$5:$BE$10004,9525-4,'Visual SPC'!$B$3)="",0,IF(AND(OR('Visual SPC'!$C$4="",'Data Entry'!$C9525&gt;='Visual SPC'!$C$4),OR('Visual SPC'!$E$4="",'Data Entry'!$C9525&lt;='Visual SPC'!$E$4),OR('Visual SPC'!$G$4="",'Data Entry'!$D9525='Visual SPC'!$G$4),OR('Visual SPC'!$I$4="",'Data Entry'!$E9525='Visual SPC'!$I$4),OR('Visual SPC'!$K$4="",'Data Entry'!$F9525='Visual SPC'!$K$4)),1,0))</f>
        <v/>
      </c>
      <c r="C9525">
        <f>C9524+B9525</f>
        <v/>
      </c>
      <c r="D9525">
        <f>IF(B9525=1,INDEX('Data Entry'!$H$5:$BE$10004,9525-4,'Visual SPC'!$B$3),"")</f>
        <v/>
      </c>
      <c r="E9525">
        <f>IF(B9525=1,D9525,E9524)</f>
        <v/>
      </c>
      <c r="F9525">
        <f>IF(AND(B9525=1,C9525&gt;1,E9524&lt;&gt;""),ABS(D9525-E9524),"")</f>
        <v/>
      </c>
    </row>
    <row r="9526">
      <c r="A9526" t="n">
        <v>9526</v>
      </c>
      <c r="B9526">
        <f>IF(INDEX('Data Entry'!$H$5:$BE$10004,9526-4,'Visual SPC'!$B$3)="",0,IF(AND(OR('Visual SPC'!$C$4="",'Data Entry'!$C9526&gt;='Visual SPC'!$C$4),OR('Visual SPC'!$E$4="",'Data Entry'!$C9526&lt;='Visual SPC'!$E$4),OR('Visual SPC'!$G$4="",'Data Entry'!$D9526='Visual SPC'!$G$4),OR('Visual SPC'!$I$4="",'Data Entry'!$E9526='Visual SPC'!$I$4),OR('Visual SPC'!$K$4="",'Data Entry'!$F9526='Visual SPC'!$K$4)),1,0))</f>
        <v/>
      </c>
      <c r="C9526">
        <f>C9525+B9526</f>
        <v/>
      </c>
      <c r="D9526">
        <f>IF(B9526=1,INDEX('Data Entry'!$H$5:$BE$10004,9526-4,'Visual SPC'!$B$3),"")</f>
        <v/>
      </c>
      <c r="E9526">
        <f>IF(B9526=1,D9526,E9525)</f>
        <v/>
      </c>
      <c r="F9526">
        <f>IF(AND(B9526=1,C9526&gt;1,E9525&lt;&gt;""),ABS(D9526-E9525),"")</f>
        <v/>
      </c>
    </row>
    <row r="9527">
      <c r="A9527" t="n">
        <v>9527</v>
      </c>
      <c r="B9527">
        <f>IF(INDEX('Data Entry'!$H$5:$BE$10004,9527-4,'Visual SPC'!$B$3)="",0,IF(AND(OR('Visual SPC'!$C$4="",'Data Entry'!$C9527&gt;='Visual SPC'!$C$4),OR('Visual SPC'!$E$4="",'Data Entry'!$C9527&lt;='Visual SPC'!$E$4),OR('Visual SPC'!$G$4="",'Data Entry'!$D9527='Visual SPC'!$G$4),OR('Visual SPC'!$I$4="",'Data Entry'!$E9527='Visual SPC'!$I$4),OR('Visual SPC'!$K$4="",'Data Entry'!$F9527='Visual SPC'!$K$4)),1,0))</f>
        <v/>
      </c>
      <c r="C9527">
        <f>C9526+B9527</f>
        <v/>
      </c>
      <c r="D9527">
        <f>IF(B9527=1,INDEX('Data Entry'!$H$5:$BE$10004,9527-4,'Visual SPC'!$B$3),"")</f>
        <v/>
      </c>
      <c r="E9527">
        <f>IF(B9527=1,D9527,E9526)</f>
        <v/>
      </c>
      <c r="F9527">
        <f>IF(AND(B9527=1,C9527&gt;1,E9526&lt;&gt;""),ABS(D9527-E9526),"")</f>
        <v/>
      </c>
    </row>
    <row r="9528">
      <c r="A9528" t="n">
        <v>9528</v>
      </c>
      <c r="B9528">
        <f>IF(INDEX('Data Entry'!$H$5:$BE$10004,9528-4,'Visual SPC'!$B$3)="",0,IF(AND(OR('Visual SPC'!$C$4="",'Data Entry'!$C9528&gt;='Visual SPC'!$C$4),OR('Visual SPC'!$E$4="",'Data Entry'!$C9528&lt;='Visual SPC'!$E$4),OR('Visual SPC'!$G$4="",'Data Entry'!$D9528='Visual SPC'!$G$4),OR('Visual SPC'!$I$4="",'Data Entry'!$E9528='Visual SPC'!$I$4),OR('Visual SPC'!$K$4="",'Data Entry'!$F9528='Visual SPC'!$K$4)),1,0))</f>
        <v/>
      </c>
      <c r="C9528">
        <f>C9527+B9528</f>
        <v/>
      </c>
      <c r="D9528">
        <f>IF(B9528=1,INDEX('Data Entry'!$H$5:$BE$10004,9528-4,'Visual SPC'!$B$3),"")</f>
        <v/>
      </c>
      <c r="E9528">
        <f>IF(B9528=1,D9528,E9527)</f>
        <v/>
      </c>
      <c r="F9528">
        <f>IF(AND(B9528=1,C9528&gt;1,E9527&lt;&gt;""),ABS(D9528-E9527),"")</f>
        <v/>
      </c>
    </row>
    <row r="9529">
      <c r="A9529" t="n">
        <v>9529</v>
      </c>
      <c r="B9529">
        <f>IF(INDEX('Data Entry'!$H$5:$BE$10004,9529-4,'Visual SPC'!$B$3)="",0,IF(AND(OR('Visual SPC'!$C$4="",'Data Entry'!$C9529&gt;='Visual SPC'!$C$4),OR('Visual SPC'!$E$4="",'Data Entry'!$C9529&lt;='Visual SPC'!$E$4),OR('Visual SPC'!$G$4="",'Data Entry'!$D9529='Visual SPC'!$G$4),OR('Visual SPC'!$I$4="",'Data Entry'!$E9529='Visual SPC'!$I$4),OR('Visual SPC'!$K$4="",'Data Entry'!$F9529='Visual SPC'!$K$4)),1,0))</f>
        <v/>
      </c>
      <c r="C9529">
        <f>C9528+B9529</f>
        <v/>
      </c>
      <c r="D9529">
        <f>IF(B9529=1,INDEX('Data Entry'!$H$5:$BE$10004,9529-4,'Visual SPC'!$B$3),"")</f>
        <v/>
      </c>
      <c r="E9529">
        <f>IF(B9529=1,D9529,E9528)</f>
        <v/>
      </c>
      <c r="F9529">
        <f>IF(AND(B9529=1,C9529&gt;1,E9528&lt;&gt;""),ABS(D9529-E9528),"")</f>
        <v/>
      </c>
    </row>
    <row r="9530">
      <c r="A9530" t="n">
        <v>9530</v>
      </c>
      <c r="B9530">
        <f>IF(INDEX('Data Entry'!$H$5:$BE$10004,9530-4,'Visual SPC'!$B$3)="",0,IF(AND(OR('Visual SPC'!$C$4="",'Data Entry'!$C9530&gt;='Visual SPC'!$C$4),OR('Visual SPC'!$E$4="",'Data Entry'!$C9530&lt;='Visual SPC'!$E$4),OR('Visual SPC'!$G$4="",'Data Entry'!$D9530='Visual SPC'!$G$4),OR('Visual SPC'!$I$4="",'Data Entry'!$E9530='Visual SPC'!$I$4),OR('Visual SPC'!$K$4="",'Data Entry'!$F9530='Visual SPC'!$K$4)),1,0))</f>
        <v/>
      </c>
      <c r="C9530">
        <f>C9529+B9530</f>
        <v/>
      </c>
      <c r="D9530">
        <f>IF(B9530=1,INDEX('Data Entry'!$H$5:$BE$10004,9530-4,'Visual SPC'!$B$3),"")</f>
        <v/>
      </c>
      <c r="E9530">
        <f>IF(B9530=1,D9530,E9529)</f>
        <v/>
      </c>
      <c r="F9530">
        <f>IF(AND(B9530=1,C9530&gt;1,E9529&lt;&gt;""),ABS(D9530-E9529),"")</f>
        <v/>
      </c>
    </row>
    <row r="9531">
      <c r="A9531" t="n">
        <v>9531</v>
      </c>
      <c r="B9531">
        <f>IF(INDEX('Data Entry'!$H$5:$BE$10004,9531-4,'Visual SPC'!$B$3)="",0,IF(AND(OR('Visual SPC'!$C$4="",'Data Entry'!$C9531&gt;='Visual SPC'!$C$4),OR('Visual SPC'!$E$4="",'Data Entry'!$C9531&lt;='Visual SPC'!$E$4),OR('Visual SPC'!$G$4="",'Data Entry'!$D9531='Visual SPC'!$G$4),OR('Visual SPC'!$I$4="",'Data Entry'!$E9531='Visual SPC'!$I$4),OR('Visual SPC'!$K$4="",'Data Entry'!$F9531='Visual SPC'!$K$4)),1,0))</f>
        <v/>
      </c>
      <c r="C9531">
        <f>C9530+B9531</f>
        <v/>
      </c>
      <c r="D9531">
        <f>IF(B9531=1,INDEX('Data Entry'!$H$5:$BE$10004,9531-4,'Visual SPC'!$B$3),"")</f>
        <v/>
      </c>
      <c r="E9531">
        <f>IF(B9531=1,D9531,E9530)</f>
        <v/>
      </c>
      <c r="F9531">
        <f>IF(AND(B9531=1,C9531&gt;1,E9530&lt;&gt;""),ABS(D9531-E9530),"")</f>
        <v/>
      </c>
    </row>
    <row r="9532">
      <c r="A9532" t="n">
        <v>9532</v>
      </c>
      <c r="B9532">
        <f>IF(INDEX('Data Entry'!$H$5:$BE$10004,9532-4,'Visual SPC'!$B$3)="",0,IF(AND(OR('Visual SPC'!$C$4="",'Data Entry'!$C9532&gt;='Visual SPC'!$C$4),OR('Visual SPC'!$E$4="",'Data Entry'!$C9532&lt;='Visual SPC'!$E$4),OR('Visual SPC'!$G$4="",'Data Entry'!$D9532='Visual SPC'!$G$4),OR('Visual SPC'!$I$4="",'Data Entry'!$E9532='Visual SPC'!$I$4),OR('Visual SPC'!$K$4="",'Data Entry'!$F9532='Visual SPC'!$K$4)),1,0))</f>
        <v/>
      </c>
      <c r="C9532">
        <f>C9531+B9532</f>
        <v/>
      </c>
      <c r="D9532">
        <f>IF(B9532=1,INDEX('Data Entry'!$H$5:$BE$10004,9532-4,'Visual SPC'!$B$3),"")</f>
        <v/>
      </c>
      <c r="E9532">
        <f>IF(B9532=1,D9532,E9531)</f>
        <v/>
      </c>
      <c r="F9532">
        <f>IF(AND(B9532=1,C9532&gt;1,E9531&lt;&gt;""),ABS(D9532-E9531),"")</f>
        <v/>
      </c>
    </row>
    <row r="9533">
      <c r="A9533" t="n">
        <v>9533</v>
      </c>
      <c r="B9533">
        <f>IF(INDEX('Data Entry'!$H$5:$BE$10004,9533-4,'Visual SPC'!$B$3)="",0,IF(AND(OR('Visual SPC'!$C$4="",'Data Entry'!$C9533&gt;='Visual SPC'!$C$4),OR('Visual SPC'!$E$4="",'Data Entry'!$C9533&lt;='Visual SPC'!$E$4),OR('Visual SPC'!$G$4="",'Data Entry'!$D9533='Visual SPC'!$G$4),OR('Visual SPC'!$I$4="",'Data Entry'!$E9533='Visual SPC'!$I$4),OR('Visual SPC'!$K$4="",'Data Entry'!$F9533='Visual SPC'!$K$4)),1,0))</f>
        <v/>
      </c>
      <c r="C9533">
        <f>C9532+B9533</f>
        <v/>
      </c>
      <c r="D9533">
        <f>IF(B9533=1,INDEX('Data Entry'!$H$5:$BE$10004,9533-4,'Visual SPC'!$B$3),"")</f>
        <v/>
      </c>
      <c r="E9533">
        <f>IF(B9533=1,D9533,E9532)</f>
        <v/>
      </c>
      <c r="F9533">
        <f>IF(AND(B9533=1,C9533&gt;1,E9532&lt;&gt;""),ABS(D9533-E9532),"")</f>
        <v/>
      </c>
    </row>
    <row r="9534">
      <c r="A9534" t="n">
        <v>9534</v>
      </c>
      <c r="B9534">
        <f>IF(INDEX('Data Entry'!$H$5:$BE$10004,9534-4,'Visual SPC'!$B$3)="",0,IF(AND(OR('Visual SPC'!$C$4="",'Data Entry'!$C9534&gt;='Visual SPC'!$C$4),OR('Visual SPC'!$E$4="",'Data Entry'!$C9534&lt;='Visual SPC'!$E$4),OR('Visual SPC'!$G$4="",'Data Entry'!$D9534='Visual SPC'!$G$4),OR('Visual SPC'!$I$4="",'Data Entry'!$E9534='Visual SPC'!$I$4),OR('Visual SPC'!$K$4="",'Data Entry'!$F9534='Visual SPC'!$K$4)),1,0))</f>
        <v/>
      </c>
      <c r="C9534">
        <f>C9533+B9534</f>
        <v/>
      </c>
      <c r="D9534">
        <f>IF(B9534=1,INDEX('Data Entry'!$H$5:$BE$10004,9534-4,'Visual SPC'!$B$3),"")</f>
        <v/>
      </c>
      <c r="E9534">
        <f>IF(B9534=1,D9534,E9533)</f>
        <v/>
      </c>
      <c r="F9534">
        <f>IF(AND(B9534=1,C9534&gt;1,E9533&lt;&gt;""),ABS(D9534-E9533),"")</f>
        <v/>
      </c>
    </row>
    <row r="9535">
      <c r="A9535" t="n">
        <v>9535</v>
      </c>
      <c r="B9535">
        <f>IF(INDEX('Data Entry'!$H$5:$BE$10004,9535-4,'Visual SPC'!$B$3)="",0,IF(AND(OR('Visual SPC'!$C$4="",'Data Entry'!$C9535&gt;='Visual SPC'!$C$4),OR('Visual SPC'!$E$4="",'Data Entry'!$C9535&lt;='Visual SPC'!$E$4),OR('Visual SPC'!$G$4="",'Data Entry'!$D9535='Visual SPC'!$G$4),OR('Visual SPC'!$I$4="",'Data Entry'!$E9535='Visual SPC'!$I$4),OR('Visual SPC'!$K$4="",'Data Entry'!$F9535='Visual SPC'!$K$4)),1,0))</f>
        <v/>
      </c>
      <c r="C9535">
        <f>C9534+B9535</f>
        <v/>
      </c>
      <c r="D9535">
        <f>IF(B9535=1,INDEX('Data Entry'!$H$5:$BE$10004,9535-4,'Visual SPC'!$B$3),"")</f>
        <v/>
      </c>
      <c r="E9535">
        <f>IF(B9535=1,D9535,E9534)</f>
        <v/>
      </c>
      <c r="F9535">
        <f>IF(AND(B9535=1,C9535&gt;1,E9534&lt;&gt;""),ABS(D9535-E9534),"")</f>
        <v/>
      </c>
    </row>
    <row r="9536">
      <c r="A9536" t="n">
        <v>9536</v>
      </c>
      <c r="B9536">
        <f>IF(INDEX('Data Entry'!$H$5:$BE$10004,9536-4,'Visual SPC'!$B$3)="",0,IF(AND(OR('Visual SPC'!$C$4="",'Data Entry'!$C9536&gt;='Visual SPC'!$C$4),OR('Visual SPC'!$E$4="",'Data Entry'!$C9536&lt;='Visual SPC'!$E$4),OR('Visual SPC'!$G$4="",'Data Entry'!$D9536='Visual SPC'!$G$4),OR('Visual SPC'!$I$4="",'Data Entry'!$E9536='Visual SPC'!$I$4),OR('Visual SPC'!$K$4="",'Data Entry'!$F9536='Visual SPC'!$K$4)),1,0))</f>
        <v/>
      </c>
      <c r="C9536">
        <f>C9535+B9536</f>
        <v/>
      </c>
      <c r="D9536">
        <f>IF(B9536=1,INDEX('Data Entry'!$H$5:$BE$10004,9536-4,'Visual SPC'!$B$3),"")</f>
        <v/>
      </c>
      <c r="E9536">
        <f>IF(B9536=1,D9536,E9535)</f>
        <v/>
      </c>
      <c r="F9536">
        <f>IF(AND(B9536=1,C9536&gt;1,E9535&lt;&gt;""),ABS(D9536-E9535),"")</f>
        <v/>
      </c>
    </row>
    <row r="9537">
      <c r="A9537" t="n">
        <v>9537</v>
      </c>
      <c r="B9537">
        <f>IF(INDEX('Data Entry'!$H$5:$BE$10004,9537-4,'Visual SPC'!$B$3)="",0,IF(AND(OR('Visual SPC'!$C$4="",'Data Entry'!$C9537&gt;='Visual SPC'!$C$4),OR('Visual SPC'!$E$4="",'Data Entry'!$C9537&lt;='Visual SPC'!$E$4),OR('Visual SPC'!$G$4="",'Data Entry'!$D9537='Visual SPC'!$G$4),OR('Visual SPC'!$I$4="",'Data Entry'!$E9537='Visual SPC'!$I$4),OR('Visual SPC'!$K$4="",'Data Entry'!$F9537='Visual SPC'!$K$4)),1,0))</f>
        <v/>
      </c>
      <c r="C9537">
        <f>C9536+B9537</f>
        <v/>
      </c>
      <c r="D9537">
        <f>IF(B9537=1,INDEX('Data Entry'!$H$5:$BE$10004,9537-4,'Visual SPC'!$B$3),"")</f>
        <v/>
      </c>
      <c r="E9537">
        <f>IF(B9537=1,D9537,E9536)</f>
        <v/>
      </c>
      <c r="F9537">
        <f>IF(AND(B9537=1,C9537&gt;1,E9536&lt;&gt;""),ABS(D9537-E9536),"")</f>
        <v/>
      </c>
    </row>
    <row r="9538">
      <c r="A9538" t="n">
        <v>9538</v>
      </c>
      <c r="B9538">
        <f>IF(INDEX('Data Entry'!$H$5:$BE$10004,9538-4,'Visual SPC'!$B$3)="",0,IF(AND(OR('Visual SPC'!$C$4="",'Data Entry'!$C9538&gt;='Visual SPC'!$C$4),OR('Visual SPC'!$E$4="",'Data Entry'!$C9538&lt;='Visual SPC'!$E$4),OR('Visual SPC'!$G$4="",'Data Entry'!$D9538='Visual SPC'!$G$4),OR('Visual SPC'!$I$4="",'Data Entry'!$E9538='Visual SPC'!$I$4),OR('Visual SPC'!$K$4="",'Data Entry'!$F9538='Visual SPC'!$K$4)),1,0))</f>
        <v/>
      </c>
      <c r="C9538">
        <f>C9537+B9538</f>
        <v/>
      </c>
      <c r="D9538">
        <f>IF(B9538=1,INDEX('Data Entry'!$H$5:$BE$10004,9538-4,'Visual SPC'!$B$3),"")</f>
        <v/>
      </c>
      <c r="E9538">
        <f>IF(B9538=1,D9538,E9537)</f>
        <v/>
      </c>
      <c r="F9538">
        <f>IF(AND(B9538=1,C9538&gt;1,E9537&lt;&gt;""),ABS(D9538-E9537),"")</f>
        <v/>
      </c>
    </row>
    <row r="9539">
      <c r="A9539" t="n">
        <v>9539</v>
      </c>
      <c r="B9539">
        <f>IF(INDEX('Data Entry'!$H$5:$BE$10004,9539-4,'Visual SPC'!$B$3)="",0,IF(AND(OR('Visual SPC'!$C$4="",'Data Entry'!$C9539&gt;='Visual SPC'!$C$4),OR('Visual SPC'!$E$4="",'Data Entry'!$C9539&lt;='Visual SPC'!$E$4),OR('Visual SPC'!$G$4="",'Data Entry'!$D9539='Visual SPC'!$G$4),OR('Visual SPC'!$I$4="",'Data Entry'!$E9539='Visual SPC'!$I$4),OR('Visual SPC'!$K$4="",'Data Entry'!$F9539='Visual SPC'!$K$4)),1,0))</f>
        <v/>
      </c>
      <c r="C9539">
        <f>C9538+B9539</f>
        <v/>
      </c>
      <c r="D9539">
        <f>IF(B9539=1,INDEX('Data Entry'!$H$5:$BE$10004,9539-4,'Visual SPC'!$B$3),"")</f>
        <v/>
      </c>
      <c r="E9539">
        <f>IF(B9539=1,D9539,E9538)</f>
        <v/>
      </c>
      <c r="F9539">
        <f>IF(AND(B9539=1,C9539&gt;1,E9538&lt;&gt;""),ABS(D9539-E9538),"")</f>
        <v/>
      </c>
    </row>
    <row r="9540">
      <c r="A9540" t="n">
        <v>9540</v>
      </c>
      <c r="B9540">
        <f>IF(INDEX('Data Entry'!$H$5:$BE$10004,9540-4,'Visual SPC'!$B$3)="",0,IF(AND(OR('Visual SPC'!$C$4="",'Data Entry'!$C9540&gt;='Visual SPC'!$C$4),OR('Visual SPC'!$E$4="",'Data Entry'!$C9540&lt;='Visual SPC'!$E$4),OR('Visual SPC'!$G$4="",'Data Entry'!$D9540='Visual SPC'!$G$4),OR('Visual SPC'!$I$4="",'Data Entry'!$E9540='Visual SPC'!$I$4),OR('Visual SPC'!$K$4="",'Data Entry'!$F9540='Visual SPC'!$K$4)),1,0))</f>
        <v/>
      </c>
      <c r="C9540">
        <f>C9539+B9540</f>
        <v/>
      </c>
      <c r="D9540">
        <f>IF(B9540=1,INDEX('Data Entry'!$H$5:$BE$10004,9540-4,'Visual SPC'!$B$3),"")</f>
        <v/>
      </c>
      <c r="E9540">
        <f>IF(B9540=1,D9540,E9539)</f>
        <v/>
      </c>
      <c r="F9540">
        <f>IF(AND(B9540=1,C9540&gt;1,E9539&lt;&gt;""),ABS(D9540-E9539),"")</f>
        <v/>
      </c>
    </row>
    <row r="9541">
      <c r="A9541" t="n">
        <v>9541</v>
      </c>
      <c r="B9541">
        <f>IF(INDEX('Data Entry'!$H$5:$BE$10004,9541-4,'Visual SPC'!$B$3)="",0,IF(AND(OR('Visual SPC'!$C$4="",'Data Entry'!$C9541&gt;='Visual SPC'!$C$4),OR('Visual SPC'!$E$4="",'Data Entry'!$C9541&lt;='Visual SPC'!$E$4),OR('Visual SPC'!$G$4="",'Data Entry'!$D9541='Visual SPC'!$G$4),OR('Visual SPC'!$I$4="",'Data Entry'!$E9541='Visual SPC'!$I$4),OR('Visual SPC'!$K$4="",'Data Entry'!$F9541='Visual SPC'!$K$4)),1,0))</f>
        <v/>
      </c>
      <c r="C9541">
        <f>C9540+B9541</f>
        <v/>
      </c>
      <c r="D9541">
        <f>IF(B9541=1,INDEX('Data Entry'!$H$5:$BE$10004,9541-4,'Visual SPC'!$B$3),"")</f>
        <v/>
      </c>
      <c r="E9541">
        <f>IF(B9541=1,D9541,E9540)</f>
        <v/>
      </c>
      <c r="F9541">
        <f>IF(AND(B9541=1,C9541&gt;1,E9540&lt;&gt;""),ABS(D9541-E9540),"")</f>
        <v/>
      </c>
    </row>
    <row r="9542">
      <c r="A9542" t="n">
        <v>9542</v>
      </c>
      <c r="B9542">
        <f>IF(INDEX('Data Entry'!$H$5:$BE$10004,9542-4,'Visual SPC'!$B$3)="",0,IF(AND(OR('Visual SPC'!$C$4="",'Data Entry'!$C9542&gt;='Visual SPC'!$C$4),OR('Visual SPC'!$E$4="",'Data Entry'!$C9542&lt;='Visual SPC'!$E$4),OR('Visual SPC'!$G$4="",'Data Entry'!$D9542='Visual SPC'!$G$4),OR('Visual SPC'!$I$4="",'Data Entry'!$E9542='Visual SPC'!$I$4),OR('Visual SPC'!$K$4="",'Data Entry'!$F9542='Visual SPC'!$K$4)),1,0))</f>
        <v/>
      </c>
      <c r="C9542">
        <f>C9541+B9542</f>
        <v/>
      </c>
      <c r="D9542">
        <f>IF(B9542=1,INDEX('Data Entry'!$H$5:$BE$10004,9542-4,'Visual SPC'!$B$3),"")</f>
        <v/>
      </c>
      <c r="E9542">
        <f>IF(B9542=1,D9542,E9541)</f>
        <v/>
      </c>
      <c r="F9542">
        <f>IF(AND(B9542=1,C9542&gt;1,E9541&lt;&gt;""),ABS(D9542-E9541),"")</f>
        <v/>
      </c>
    </row>
    <row r="9543">
      <c r="A9543" t="n">
        <v>9543</v>
      </c>
      <c r="B9543">
        <f>IF(INDEX('Data Entry'!$H$5:$BE$10004,9543-4,'Visual SPC'!$B$3)="",0,IF(AND(OR('Visual SPC'!$C$4="",'Data Entry'!$C9543&gt;='Visual SPC'!$C$4),OR('Visual SPC'!$E$4="",'Data Entry'!$C9543&lt;='Visual SPC'!$E$4),OR('Visual SPC'!$G$4="",'Data Entry'!$D9543='Visual SPC'!$G$4),OR('Visual SPC'!$I$4="",'Data Entry'!$E9543='Visual SPC'!$I$4),OR('Visual SPC'!$K$4="",'Data Entry'!$F9543='Visual SPC'!$K$4)),1,0))</f>
        <v/>
      </c>
      <c r="C9543">
        <f>C9542+B9543</f>
        <v/>
      </c>
      <c r="D9543">
        <f>IF(B9543=1,INDEX('Data Entry'!$H$5:$BE$10004,9543-4,'Visual SPC'!$B$3),"")</f>
        <v/>
      </c>
      <c r="E9543">
        <f>IF(B9543=1,D9543,E9542)</f>
        <v/>
      </c>
      <c r="F9543">
        <f>IF(AND(B9543=1,C9543&gt;1,E9542&lt;&gt;""),ABS(D9543-E9542),"")</f>
        <v/>
      </c>
    </row>
    <row r="9544">
      <c r="A9544" t="n">
        <v>9544</v>
      </c>
      <c r="B9544">
        <f>IF(INDEX('Data Entry'!$H$5:$BE$10004,9544-4,'Visual SPC'!$B$3)="",0,IF(AND(OR('Visual SPC'!$C$4="",'Data Entry'!$C9544&gt;='Visual SPC'!$C$4),OR('Visual SPC'!$E$4="",'Data Entry'!$C9544&lt;='Visual SPC'!$E$4),OR('Visual SPC'!$G$4="",'Data Entry'!$D9544='Visual SPC'!$G$4),OR('Visual SPC'!$I$4="",'Data Entry'!$E9544='Visual SPC'!$I$4),OR('Visual SPC'!$K$4="",'Data Entry'!$F9544='Visual SPC'!$K$4)),1,0))</f>
        <v/>
      </c>
      <c r="C9544">
        <f>C9543+B9544</f>
        <v/>
      </c>
      <c r="D9544">
        <f>IF(B9544=1,INDEX('Data Entry'!$H$5:$BE$10004,9544-4,'Visual SPC'!$B$3),"")</f>
        <v/>
      </c>
      <c r="E9544">
        <f>IF(B9544=1,D9544,E9543)</f>
        <v/>
      </c>
      <c r="F9544">
        <f>IF(AND(B9544=1,C9544&gt;1,E9543&lt;&gt;""),ABS(D9544-E9543),"")</f>
        <v/>
      </c>
    </row>
    <row r="9545">
      <c r="A9545" t="n">
        <v>9545</v>
      </c>
      <c r="B9545">
        <f>IF(INDEX('Data Entry'!$H$5:$BE$10004,9545-4,'Visual SPC'!$B$3)="",0,IF(AND(OR('Visual SPC'!$C$4="",'Data Entry'!$C9545&gt;='Visual SPC'!$C$4),OR('Visual SPC'!$E$4="",'Data Entry'!$C9545&lt;='Visual SPC'!$E$4),OR('Visual SPC'!$G$4="",'Data Entry'!$D9545='Visual SPC'!$G$4),OR('Visual SPC'!$I$4="",'Data Entry'!$E9545='Visual SPC'!$I$4),OR('Visual SPC'!$K$4="",'Data Entry'!$F9545='Visual SPC'!$K$4)),1,0))</f>
        <v/>
      </c>
      <c r="C9545">
        <f>C9544+B9545</f>
        <v/>
      </c>
      <c r="D9545">
        <f>IF(B9545=1,INDEX('Data Entry'!$H$5:$BE$10004,9545-4,'Visual SPC'!$B$3),"")</f>
        <v/>
      </c>
      <c r="E9545">
        <f>IF(B9545=1,D9545,E9544)</f>
        <v/>
      </c>
      <c r="F9545">
        <f>IF(AND(B9545=1,C9545&gt;1,E9544&lt;&gt;""),ABS(D9545-E9544),"")</f>
        <v/>
      </c>
    </row>
    <row r="9546">
      <c r="A9546" t="n">
        <v>9546</v>
      </c>
      <c r="B9546">
        <f>IF(INDEX('Data Entry'!$H$5:$BE$10004,9546-4,'Visual SPC'!$B$3)="",0,IF(AND(OR('Visual SPC'!$C$4="",'Data Entry'!$C9546&gt;='Visual SPC'!$C$4),OR('Visual SPC'!$E$4="",'Data Entry'!$C9546&lt;='Visual SPC'!$E$4),OR('Visual SPC'!$G$4="",'Data Entry'!$D9546='Visual SPC'!$G$4),OR('Visual SPC'!$I$4="",'Data Entry'!$E9546='Visual SPC'!$I$4),OR('Visual SPC'!$K$4="",'Data Entry'!$F9546='Visual SPC'!$K$4)),1,0))</f>
        <v/>
      </c>
      <c r="C9546">
        <f>C9545+B9546</f>
        <v/>
      </c>
      <c r="D9546">
        <f>IF(B9546=1,INDEX('Data Entry'!$H$5:$BE$10004,9546-4,'Visual SPC'!$B$3),"")</f>
        <v/>
      </c>
      <c r="E9546">
        <f>IF(B9546=1,D9546,E9545)</f>
        <v/>
      </c>
      <c r="F9546">
        <f>IF(AND(B9546=1,C9546&gt;1,E9545&lt;&gt;""),ABS(D9546-E9545),"")</f>
        <v/>
      </c>
    </row>
    <row r="9547">
      <c r="A9547" t="n">
        <v>9547</v>
      </c>
      <c r="B9547">
        <f>IF(INDEX('Data Entry'!$H$5:$BE$10004,9547-4,'Visual SPC'!$B$3)="",0,IF(AND(OR('Visual SPC'!$C$4="",'Data Entry'!$C9547&gt;='Visual SPC'!$C$4),OR('Visual SPC'!$E$4="",'Data Entry'!$C9547&lt;='Visual SPC'!$E$4),OR('Visual SPC'!$G$4="",'Data Entry'!$D9547='Visual SPC'!$G$4),OR('Visual SPC'!$I$4="",'Data Entry'!$E9547='Visual SPC'!$I$4),OR('Visual SPC'!$K$4="",'Data Entry'!$F9547='Visual SPC'!$K$4)),1,0))</f>
        <v/>
      </c>
      <c r="C9547">
        <f>C9546+B9547</f>
        <v/>
      </c>
      <c r="D9547">
        <f>IF(B9547=1,INDEX('Data Entry'!$H$5:$BE$10004,9547-4,'Visual SPC'!$B$3),"")</f>
        <v/>
      </c>
      <c r="E9547">
        <f>IF(B9547=1,D9547,E9546)</f>
        <v/>
      </c>
      <c r="F9547">
        <f>IF(AND(B9547=1,C9547&gt;1,E9546&lt;&gt;""),ABS(D9547-E9546),"")</f>
        <v/>
      </c>
    </row>
    <row r="9548">
      <c r="A9548" t="n">
        <v>9548</v>
      </c>
      <c r="B9548">
        <f>IF(INDEX('Data Entry'!$H$5:$BE$10004,9548-4,'Visual SPC'!$B$3)="",0,IF(AND(OR('Visual SPC'!$C$4="",'Data Entry'!$C9548&gt;='Visual SPC'!$C$4),OR('Visual SPC'!$E$4="",'Data Entry'!$C9548&lt;='Visual SPC'!$E$4),OR('Visual SPC'!$G$4="",'Data Entry'!$D9548='Visual SPC'!$G$4),OR('Visual SPC'!$I$4="",'Data Entry'!$E9548='Visual SPC'!$I$4),OR('Visual SPC'!$K$4="",'Data Entry'!$F9548='Visual SPC'!$K$4)),1,0))</f>
        <v/>
      </c>
      <c r="C9548">
        <f>C9547+B9548</f>
        <v/>
      </c>
      <c r="D9548">
        <f>IF(B9548=1,INDEX('Data Entry'!$H$5:$BE$10004,9548-4,'Visual SPC'!$B$3),"")</f>
        <v/>
      </c>
      <c r="E9548">
        <f>IF(B9548=1,D9548,E9547)</f>
        <v/>
      </c>
      <c r="F9548">
        <f>IF(AND(B9548=1,C9548&gt;1,E9547&lt;&gt;""),ABS(D9548-E9547),"")</f>
        <v/>
      </c>
    </row>
    <row r="9549">
      <c r="A9549" t="n">
        <v>9549</v>
      </c>
      <c r="B9549">
        <f>IF(INDEX('Data Entry'!$H$5:$BE$10004,9549-4,'Visual SPC'!$B$3)="",0,IF(AND(OR('Visual SPC'!$C$4="",'Data Entry'!$C9549&gt;='Visual SPC'!$C$4),OR('Visual SPC'!$E$4="",'Data Entry'!$C9549&lt;='Visual SPC'!$E$4),OR('Visual SPC'!$G$4="",'Data Entry'!$D9549='Visual SPC'!$G$4),OR('Visual SPC'!$I$4="",'Data Entry'!$E9549='Visual SPC'!$I$4),OR('Visual SPC'!$K$4="",'Data Entry'!$F9549='Visual SPC'!$K$4)),1,0))</f>
        <v/>
      </c>
      <c r="C9549">
        <f>C9548+B9549</f>
        <v/>
      </c>
      <c r="D9549">
        <f>IF(B9549=1,INDEX('Data Entry'!$H$5:$BE$10004,9549-4,'Visual SPC'!$B$3),"")</f>
        <v/>
      </c>
      <c r="E9549">
        <f>IF(B9549=1,D9549,E9548)</f>
        <v/>
      </c>
      <c r="F9549">
        <f>IF(AND(B9549=1,C9549&gt;1,E9548&lt;&gt;""),ABS(D9549-E9548),"")</f>
        <v/>
      </c>
    </row>
    <row r="9550">
      <c r="A9550" t="n">
        <v>9550</v>
      </c>
      <c r="B9550">
        <f>IF(INDEX('Data Entry'!$H$5:$BE$10004,9550-4,'Visual SPC'!$B$3)="",0,IF(AND(OR('Visual SPC'!$C$4="",'Data Entry'!$C9550&gt;='Visual SPC'!$C$4),OR('Visual SPC'!$E$4="",'Data Entry'!$C9550&lt;='Visual SPC'!$E$4),OR('Visual SPC'!$G$4="",'Data Entry'!$D9550='Visual SPC'!$G$4),OR('Visual SPC'!$I$4="",'Data Entry'!$E9550='Visual SPC'!$I$4),OR('Visual SPC'!$K$4="",'Data Entry'!$F9550='Visual SPC'!$K$4)),1,0))</f>
        <v/>
      </c>
      <c r="C9550">
        <f>C9549+B9550</f>
        <v/>
      </c>
      <c r="D9550">
        <f>IF(B9550=1,INDEX('Data Entry'!$H$5:$BE$10004,9550-4,'Visual SPC'!$B$3),"")</f>
        <v/>
      </c>
      <c r="E9550">
        <f>IF(B9550=1,D9550,E9549)</f>
        <v/>
      </c>
      <c r="F9550">
        <f>IF(AND(B9550=1,C9550&gt;1,E9549&lt;&gt;""),ABS(D9550-E9549),"")</f>
        <v/>
      </c>
    </row>
    <row r="9551">
      <c r="A9551" t="n">
        <v>9551</v>
      </c>
      <c r="B9551">
        <f>IF(INDEX('Data Entry'!$H$5:$BE$10004,9551-4,'Visual SPC'!$B$3)="",0,IF(AND(OR('Visual SPC'!$C$4="",'Data Entry'!$C9551&gt;='Visual SPC'!$C$4),OR('Visual SPC'!$E$4="",'Data Entry'!$C9551&lt;='Visual SPC'!$E$4),OR('Visual SPC'!$G$4="",'Data Entry'!$D9551='Visual SPC'!$G$4),OR('Visual SPC'!$I$4="",'Data Entry'!$E9551='Visual SPC'!$I$4),OR('Visual SPC'!$K$4="",'Data Entry'!$F9551='Visual SPC'!$K$4)),1,0))</f>
        <v/>
      </c>
      <c r="C9551">
        <f>C9550+B9551</f>
        <v/>
      </c>
      <c r="D9551">
        <f>IF(B9551=1,INDEX('Data Entry'!$H$5:$BE$10004,9551-4,'Visual SPC'!$B$3),"")</f>
        <v/>
      </c>
      <c r="E9551">
        <f>IF(B9551=1,D9551,E9550)</f>
        <v/>
      </c>
      <c r="F9551">
        <f>IF(AND(B9551=1,C9551&gt;1,E9550&lt;&gt;""),ABS(D9551-E9550),"")</f>
        <v/>
      </c>
    </row>
    <row r="9552">
      <c r="A9552" t="n">
        <v>9552</v>
      </c>
      <c r="B9552">
        <f>IF(INDEX('Data Entry'!$H$5:$BE$10004,9552-4,'Visual SPC'!$B$3)="",0,IF(AND(OR('Visual SPC'!$C$4="",'Data Entry'!$C9552&gt;='Visual SPC'!$C$4),OR('Visual SPC'!$E$4="",'Data Entry'!$C9552&lt;='Visual SPC'!$E$4),OR('Visual SPC'!$G$4="",'Data Entry'!$D9552='Visual SPC'!$G$4),OR('Visual SPC'!$I$4="",'Data Entry'!$E9552='Visual SPC'!$I$4),OR('Visual SPC'!$K$4="",'Data Entry'!$F9552='Visual SPC'!$K$4)),1,0))</f>
        <v/>
      </c>
      <c r="C9552">
        <f>C9551+B9552</f>
        <v/>
      </c>
      <c r="D9552">
        <f>IF(B9552=1,INDEX('Data Entry'!$H$5:$BE$10004,9552-4,'Visual SPC'!$B$3),"")</f>
        <v/>
      </c>
      <c r="E9552">
        <f>IF(B9552=1,D9552,E9551)</f>
        <v/>
      </c>
      <c r="F9552">
        <f>IF(AND(B9552=1,C9552&gt;1,E9551&lt;&gt;""),ABS(D9552-E9551),"")</f>
        <v/>
      </c>
    </row>
    <row r="9553">
      <c r="A9553" t="n">
        <v>9553</v>
      </c>
      <c r="B9553">
        <f>IF(INDEX('Data Entry'!$H$5:$BE$10004,9553-4,'Visual SPC'!$B$3)="",0,IF(AND(OR('Visual SPC'!$C$4="",'Data Entry'!$C9553&gt;='Visual SPC'!$C$4),OR('Visual SPC'!$E$4="",'Data Entry'!$C9553&lt;='Visual SPC'!$E$4),OR('Visual SPC'!$G$4="",'Data Entry'!$D9553='Visual SPC'!$G$4),OR('Visual SPC'!$I$4="",'Data Entry'!$E9553='Visual SPC'!$I$4),OR('Visual SPC'!$K$4="",'Data Entry'!$F9553='Visual SPC'!$K$4)),1,0))</f>
        <v/>
      </c>
      <c r="C9553">
        <f>C9552+B9553</f>
        <v/>
      </c>
      <c r="D9553">
        <f>IF(B9553=1,INDEX('Data Entry'!$H$5:$BE$10004,9553-4,'Visual SPC'!$B$3),"")</f>
        <v/>
      </c>
      <c r="E9553">
        <f>IF(B9553=1,D9553,E9552)</f>
        <v/>
      </c>
      <c r="F9553">
        <f>IF(AND(B9553=1,C9553&gt;1,E9552&lt;&gt;""),ABS(D9553-E9552),"")</f>
        <v/>
      </c>
    </row>
    <row r="9554">
      <c r="A9554" t="n">
        <v>9554</v>
      </c>
      <c r="B9554">
        <f>IF(INDEX('Data Entry'!$H$5:$BE$10004,9554-4,'Visual SPC'!$B$3)="",0,IF(AND(OR('Visual SPC'!$C$4="",'Data Entry'!$C9554&gt;='Visual SPC'!$C$4),OR('Visual SPC'!$E$4="",'Data Entry'!$C9554&lt;='Visual SPC'!$E$4),OR('Visual SPC'!$G$4="",'Data Entry'!$D9554='Visual SPC'!$G$4),OR('Visual SPC'!$I$4="",'Data Entry'!$E9554='Visual SPC'!$I$4),OR('Visual SPC'!$K$4="",'Data Entry'!$F9554='Visual SPC'!$K$4)),1,0))</f>
        <v/>
      </c>
      <c r="C9554">
        <f>C9553+B9554</f>
        <v/>
      </c>
      <c r="D9554">
        <f>IF(B9554=1,INDEX('Data Entry'!$H$5:$BE$10004,9554-4,'Visual SPC'!$B$3),"")</f>
        <v/>
      </c>
      <c r="E9554">
        <f>IF(B9554=1,D9554,E9553)</f>
        <v/>
      </c>
      <c r="F9554">
        <f>IF(AND(B9554=1,C9554&gt;1,E9553&lt;&gt;""),ABS(D9554-E9553),"")</f>
        <v/>
      </c>
    </row>
    <row r="9555">
      <c r="A9555" t="n">
        <v>9555</v>
      </c>
      <c r="B9555">
        <f>IF(INDEX('Data Entry'!$H$5:$BE$10004,9555-4,'Visual SPC'!$B$3)="",0,IF(AND(OR('Visual SPC'!$C$4="",'Data Entry'!$C9555&gt;='Visual SPC'!$C$4),OR('Visual SPC'!$E$4="",'Data Entry'!$C9555&lt;='Visual SPC'!$E$4),OR('Visual SPC'!$G$4="",'Data Entry'!$D9555='Visual SPC'!$G$4),OR('Visual SPC'!$I$4="",'Data Entry'!$E9555='Visual SPC'!$I$4),OR('Visual SPC'!$K$4="",'Data Entry'!$F9555='Visual SPC'!$K$4)),1,0))</f>
        <v/>
      </c>
      <c r="C9555">
        <f>C9554+B9555</f>
        <v/>
      </c>
      <c r="D9555">
        <f>IF(B9555=1,INDEX('Data Entry'!$H$5:$BE$10004,9555-4,'Visual SPC'!$B$3),"")</f>
        <v/>
      </c>
      <c r="E9555">
        <f>IF(B9555=1,D9555,E9554)</f>
        <v/>
      </c>
      <c r="F9555">
        <f>IF(AND(B9555=1,C9555&gt;1,E9554&lt;&gt;""),ABS(D9555-E9554),"")</f>
        <v/>
      </c>
    </row>
    <row r="9556">
      <c r="A9556" t="n">
        <v>9556</v>
      </c>
      <c r="B9556">
        <f>IF(INDEX('Data Entry'!$H$5:$BE$10004,9556-4,'Visual SPC'!$B$3)="",0,IF(AND(OR('Visual SPC'!$C$4="",'Data Entry'!$C9556&gt;='Visual SPC'!$C$4),OR('Visual SPC'!$E$4="",'Data Entry'!$C9556&lt;='Visual SPC'!$E$4),OR('Visual SPC'!$G$4="",'Data Entry'!$D9556='Visual SPC'!$G$4),OR('Visual SPC'!$I$4="",'Data Entry'!$E9556='Visual SPC'!$I$4),OR('Visual SPC'!$K$4="",'Data Entry'!$F9556='Visual SPC'!$K$4)),1,0))</f>
        <v/>
      </c>
      <c r="C9556">
        <f>C9555+B9556</f>
        <v/>
      </c>
      <c r="D9556">
        <f>IF(B9556=1,INDEX('Data Entry'!$H$5:$BE$10004,9556-4,'Visual SPC'!$B$3),"")</f>
        <v/>
      </c>
      <c r="E9556">
        <f>IF(B9556=1,D9556,E9555)</f>
        <v/>
      </c>
      <c r="F9556">
        <f>IF(AND(B9556=1,C9556&gt;1,E9555&lt;&gt;""),ABS(D9556-E9555),"")</f>
        <v/>
      </c>
    </row>
    <row r="9557">
      <c r="A9557" t="n">
        <v>9557</v>
      </c>
      <c r="B9557">
        <f>IF(INDEX('Data Entry'!$H$5:$BE$10004,9557-4,'Visual SPC'!$B$3)="",0,IF(AND(OR('Visual SPC'!$C$4="",'Data Entry'!$C9557&gt;='Visual SPC'!$C$4),OR('Visual SPC'!$E$4="",'Data Entry'!$C9557&lt;='Visual SPC'!$E$4),OR('Visual SPC'!$G$4="",'Data Entry'!$D9557='Visual SPC'!$G$4),OR('Visual SPC'!$I$4="",'Data Entry'!$E9557='Visual SPC'!$I$4),OR('Visual SPC'!$K$4="",'Data Entry'!$F9557='Visual SPC'!$K$4)),1,0))</f>
        <v/>
      </c>
      <c r="C9557">
        <f>C9556+B9557</f>
        <v/>
      </c>
      <c r="D9557">
        <f>IF(B9557=1,INDEX('Data Entry'!$H$5:$BE$10004,9557-4,'Visual SPC'!$B$3),"")</f>
        <v/>
      </c>
      <c r="E9557">
        <f>IF(B9557=1,D9557,E9556)</f>
        <v/>
      </c>
      <c r="F9557">
        <f>IF(AND(B9557=1,C9557&gt;1,E9556&lt;&gt;""),ABS(D9557-E9556),"")</f>
        <v/>
      </c>
    </row>
    <row r="9558">
      <c r="A9558" t="n">
        <v>9558</v>
      </c>
      <c r="B9558">
        <f>IF(INDEX('Data Entry'!$H$5:$BE$10004,9558-4,'Visual SPC'!$B$3)="",0,IF(AND(OR('Visual SPC'!$C$4="",'Data Entry'!$C9558&gt;='Visual SPC'!$C$4),OR('Visual SPC'!$E$4="",'Data Entry'!$C9558&lt;='Visual SPC'!$E$4),OR('Visual SPC'!$G$4="",'Data Entry'!$D9558='Visual SPC'!$G$4),OR('Visual SPC'!$I$4="",'Data Entry'!$E9558='Visual SPC'!$I$4),OR('Visual SPC'!$K$4="",'Data Entry'!$F9558='Visual SPC'!$K$4)),1,0))</f>
        <v/>
      </c>
      <c r="C9558">
        <f>C9557+B9558</f>
        <v/>
      </c>
      <c r="D9558">
        <f>IF(B9558=1,INDEX('Data Entry'!$H$5:$BE$10004,9558-4,'Visual SPC'!$B$3),"")</f>
        <v/>
      </c>
      <c r="E9558">
        <f>IF(B9558=1,D9558,E9557)</f>
        <v/>
      </c>
      <c r="F9558">
        <f>IF(AND(B9558=1,C9558&gt;1,E9557&lt;&gt;""),ABS(D9558-E9557),"")</f>
        <v/>
      </c>
    </row>
    <row r="9559">
      <c r="A9559" t="n">
        <v>9559</v>
      </c>
      <c r="B9559">
        <f>IF(INDEX('Data Entry'!$H$5:$BE$10004,9559-4,'Visual SPC'!$B$3)="",0,IF(AND(OR('Visual SPC'!$C$4="",'Data Entry'!$C9559&gt;='Visual SPC'!$C$4),OR('Visual SPC'!$E$4="",'Data Entry'!$C9559&lt;='Visual SPC'!$E$4),OR('Visual SPC'!$G$4="",'Data Entry'!$D9559='Visual SPC'!$G$4),OR('Visual SPC'!$I$4="",'Data Entry'!$E9559='Visual SPC'!$I$4),OR('Visual SPC'!$K$4="",'Data Entry'!$F9559='Visual SPC'!$K$4)),1,0))</f>
        <v/>
      </c>
      <c r="C9559">
        <f>C9558+B9559</f>
        <v/>
      </c>
      <c r="D9559">
        <f>IF(B9559=1,INDEX('Data Entry'!$H$5:$BE$10004,9559-4,'Visual SPC'!$B$3),"")</f>
        <v/>
      </c>
      <c r="E9559">
        <f>IF(B9559=1,D9559,E9558)</f>
        <v/>
      </c>
      <c r="F9559">
        <f>IF(AND(B9559=1,C9559&gt;1,E9558&lt;&gt;""),ABS(D9559-E9558),"")</f>
        <v/>
      </c>
    </row>
    <row r="9560">
      <c r="A9560" t="n">
        <v>9560</v>
      </c>
      <c r="B9560">
        <f>IF(INDEX('Data Entry'!$H$5:$BE$10004,9560-4,'Visual SPC'!$B$3)="",0,IF(AND(OR('Visual SPC'!$C$4="",'Data Entry'!$C9560&gt;='Visual SPC'!$C$4),OR('Visual SPC'!$E$4="",'Data Entry'!$C9560&lt;='Visual SPC'!$E$4),OR('Visual SPC'!$G$4="",'Data Entry'!$D9560='Visual SPC'!$G$4),OR('Visual SPC'!$I$4="",'Data Entry'!$E9560='Visual SPC'!$I$4),OR('Visual SPC'!$K$4="",'Data Entry'!$F9560='Visual SPC'!$K$4)),1,0))</f>
        <v/>
      </c>
      <c r="C9560">
        <f>C9559+B9560</f>
        <v/>
      </c>
      <c r="D9560">
        <f>IF(B9560=1,INDEX('Data Entry'!$H$5:$BE$10004,9560-4,'Visual SPC'!$B$3),"")</f>
        <v/>
      </c>
      <c r="E9560">
        <f>IF(B9560=1,D9560,E9559)</f>
        <v/>
      </c>
      <c r="F9560">
        <f>IF(AND(B9560=1,C9560&gt;1,E9559&lt;&gt;""),ABS(D9560-E9559),"")</f>
        <v/>
      </c>
    </row>
    <row r="9561">
      <c r="A9561" t="n">
        <v>9561</v>
      </c>
      <c r="B9561">
        <f>IF(INDEX('Data Entry'!$H$5:$BE$10004,9561-4,'Visual SPC'!$B$3)="",0,IF(AND(OR('Visual SPC'!$C$4="",'Data Entry'!$C9561&gt;='Visual SPC'!$C$4),OR('Visual SPC'!$E$4="",'Data Entry'!$C9561&lt;='Visual SPC'!$E$4),OR('Visual SPC'!$G$4="",'Data Entry'!$D9561='Visual SPC'!$G$4),OR('Visual SPC'!$I$4="",'Data Entry'!$E9561='Visual SPC'!$I$4),OR('Visual SPC'!$K$4="",'Data Entry'!$F9561='Visual SPC'!$K$4)),1,0))</f>
        <v/>
      </c>
      <c r="C9561">
        <f>C9560+B9561</f>
        <v/>
      </c>
      <c r="D9561">
        <f>IF(B9561=1,INDEX('Data Entry'!$H$5:$BE$10004,9561-4,'Visual SPC'!$B$3),"")</f>
        <v/>
      </c>
      <c r="E9561">
        <f>IF(B9561=1,D9561,E9560)</f>
        <v/>
      </c>
      <c r="F9561">
        <f>IF(AND(B9561=1,C9561&gt;1,E9560&lt;&gt;""),ABS(D9561-E9560),"")</f>
        <v/>
      </c>
    </row>
    <row r="9562">
      <c r="A9562" t="n">
        <v>9562</v>
      </c>
      <c r="B9562">
        <f>IF(INDEX('Data Entry'!$H$5:$BE$10004,9562-4,'Visual SPC'!$B$3)="",0,IF(AND(OR('Visual SPC'!$C$4="",'Data Entry'!$C9562&gt;='Visual SPC'!$C$4),OR('Visual SPC'!$E$4="",'Data Entry'!$C9562&lt;='Visual SPC'!$E$4),OR('Visual SPC'!$G$4="",'Data Entry'!$D9562='Visual SPC'!$G$4),OR('Visual SPC'!$I$4="",'Data Entry'!$E9562='Visual SPC'!$I$4),OR('Visual SPC'!$K$4="",'Data Entry'!$F9562='Visual SPC'!$K$4)),1,0))</f>
        <v/>
      </c>
      <c r="C9562">
        <f>C9561+B9562</f>
        <v/>
      </c>
      <c r="D9562">
        <f>IF(B9562=1,INDEX('Data Entry'!$H$5:$BE$10004,9562-4,'Visual SPC'!$B$3),"")</f>
        <v/>
      </c>
      <c r="E9562">
        <f>IF(B9562=1,D9562,E9561)</f>
        <v/>
      </c>
      <c r="F9562">
        <f>IF(AND(B9562=1,C9562&gt;1,E9561&lt;&gt;""),ABS(D9562-E9561),"")</f>
        <v/>
      </c>
    </row>
    <row r="9563">
      <c r="A9563" t="n">
        <v>9563</v>
      </c>
      <c r="B9563">
        <f>IF(INDEX('Data Entry'!$H$5:$BE$10004,9563-4,'Visual SPC'!$B$3)="",0,IF(AND(OR('Visual SPC'!$C$4="",'Data Entry'!$C9563&gt;='Visual SPC'!$C$4),OR('Visual SPC'!$E$4="",'Data Entry'!$C9563&lt;='Visual SPC'!$E$4),OR('Visual SPC'!$G$4="",'Data Entry'!$D9563='Visual SPC'!$G$4),OR('Visual SPC'!$I$4="",'Data Entry'!$E9563='Visual SPC'!$I$4),OR('Visual SPC'!$K$4="",'Data Entry'!$F9563='Visual SPC'!$K$4)),1,0))</f>
        <v/>
      </c>
      <c r="C9563">
        <f>C9562+B9563</f>
        <v/>
      </c>
      <c r="D9563">
        <f>IF(B9563=1,INDEX('Data Entry'!$H$5:$BE$10004,9563-4,'Visual SPC'!$B$3),"")</f>
        <v/>
      </c>
      <c r="E9563">
        <f>IF(B9563=1,D9563,E9562)</f>
        <v/>
      </c>
      <c r="F9563">
        <f>IF(AND(B9563=1,C9563&gt;1,E9562&lt;&gt;""),ABS(D9563-E9562),"")</f>
        <v/>
      </c>
    </row>
    <row r="9564">
      <c r="A9564" t="n">
        <v>9564</v>
      </c>
      <c r="B9564">
        <f>IF(INDEX('Data Entry'!$H$5:$BE$10004,9564-4,'Visual SPC'!$B$3)="",0,IF(AND(OR('Visual SPC'!$C$4="",'Data Entry'!$C9564&gt;='Visual SPC'!$C$4),OR('Visual SPC'!$E$4="",'Data Entry'!$C9564&lt;='Visual SPC'!$E$4),OR('Visual SPC'!$G$4="",'Data Entry'!$D9564='Visual SPC'!$G$4),OR('Visual SPC'!$I$4="",'Data Entry'!$E9564='Visual SPC'!$I$4),OR('Visual SPC'!$K$4="",'Data Entry'!$F9564='Visual SPC'!$K$4)),1,0))</f>
        <v/>
      </c>
      <c r="C9564">
        <f>C9563+B9564</f>
        <v/>
      </c>
      <c r="D9564">
        <f>IF(B9564=1,INDEX('Data Entry'!$H$5:$BE$10004,9564-4,'Visual SPC'!$B$3),"")</f>
        <v/>
      </c>
      <c r="E9564">
        <f>IF(B9564=1,D9564,E9563)</f>
        <v/>
      </c>
      <c r="F9564">
        <f>IF(AND(B9564=1,C9564&gt;1,E9563&lt;&gt;""),ABS(D9564-E9563),"")</f>
        <v/>
      </c>
    </row>
    <row r="9565">
      <c r="A9565" t="n">
        <v>9565</v>
      </c>
      <c r="B9565">
        <f>IF(INDEX('Data Entry'!$H$5:$BE$10004,9565-4,'Visual SPC'!$B$3)="",0,IF(AND(OR('Visual SPC'!$C$4="",'Data Entry'!$C9565&gt;='Visual SPC'!$C$4),OR('Visual SPC'!$E$4="",'Data Entry'!$C9565&lt;='Visual SPC'!$E$4),OR('Visual SPC'!$G$4="",'Data Entry'!$D9565='Visual SPC'!$G$4),OR('Visual SPC'!$I$4="",'Data Entry'!$E9565='Visual SPC'!$I$4),OR('Visual SPC'!$K$4="",'Data Entry'!$F9565='Visual SPC'!$K$4)),1,0))</f>
        <v/>
      </c>
      <c r="C9565">
        <f>C9564+B9565</f>
        <v/>
      </c>
      <c r="D9565">
        <f>IF(B9565=1,INDEX('Data Entry'!$H$5:$BE$10004,9565-4,'Visual SPC'!$B$3),"")</f>
        <v/>
      </c>
      <c r="E9565">
        <f>IF(B9565=1,D9565,E9564)</f>
        <v/>
      </c>
      <c r="F9565">
        <f>IF(AND(B9565=1,C9565&gt;1,E9564&lt;&gt;""),ABS(D9565-E9564),"")</f>
        <v/>
      </c>
    </row>
    <row r="9566">
      <c r="A9566" t="n">
        <v>9566</v>
      </c>
      <c r="B9566">
        <f>IF(INDEX('Data Entry'!$H$5:$BE$10004,9566-4,'Visual SPC'!$B$3)="",0,IF(AND(OR('Visual SPC'!$C$4="",'Data Entry'!$C9566&gt;='Visual SPC'!$C$4),OR('Visual SPC'!$E$4="",'Data Entry'!$C9566&lt;='Visual SPC'!$E$4),OR('Visual SPC'!$G$4="",'Data Entry'!$D9566='Visual SPC'!$G$4),OR('Visual SPC'!$I$4="",'Data Entry'!$E9566='Visual SPC'!$I$4),OR('Visual SPC'!$K$4="",'Data Entry'!$F9566='Visual SPC'!$K$4)),1,0))</f>
        <v/>
      </c>
      <c r="C9566">
        <f>C9565+B9566</f>
        <v/>
      </c>
      <c r="D9566">
        <f>IF(B9566=1,INDEX('Data Entry'!$H$5:$BE$10004,9566-4,'Visual SPC'!$B$3),"")</f>
        <v/>
      </c>
      <c r="E9566">
        <f>IF(B9566=1,D9566,E9565)</f>
        <v/>
      </c>
      <c r="F9566">
        <f>IF(AND(B9566=1,C9566&gt;1,E9565&lt;&gt;""),ABS(D9566-E9565),"")</f>
        <v/>
      </c>
    </row>
    <row r="9567">
      <c r="A9567" t="n">
        <v>9567</v>
      </c>
      <c r="B9567">
        <f>IF(INDEX('Data Entry'!$H$5:$BE$10004,9567-4,'Visual SPC'!$B$3)="",0,IF(AND(OR('Visual SPC'!$C$4="",'Data Entry'!$C9567&gt;='Visual SPC'!$C$4),OR('Visual SPC'!$E$4="",'Data Entry'!$C9567&lt;='Visual SPC'!$E$4),OR('Visual SPC'!$G$4="",'Data Entry'!$D9567='Visual SPC'!$G$4),OR('Visual SPC'!$I$4="",'Data Entry'!$E9567='Visual SPC'!$I$4),OR('Visual SPC'!$K$4="",'Data Entry'!$F9567='Visual SPC'!$K$4)),1,0))</f>
        <v/>
      </c>
      <c r="C9567">
        <f>C9566+B9567</f>
        <v/>
      </c>
      <c r="D9567">
        <f>IF(B9567=1,INDEX('Data Entry'!$H$5:$BE$10004,9567-4,'Visual SPC'!$B$3),"")</f>
        <v/>
      </c>
      <c r="E9567">
        <f>IF(B9567=1,D9567,E9566)</f>
        <v/>
      </c>
      <c r="F9567">
        <f>IF(AND(B9567=1,C9567&gt;1,E9566&lt;&gt;""),ABS(D9567-E9566),"")</f>
        <v/>
      </c>
    </row>
    <row r="9568">
      <c r="A9568" t="n">
        <v>9568</v>
      </c>
      <c r="B9568">
        <f>IF(INDEX('Data Entry'!$H$5:$BE$10004,9568-4,'Visual SPC'!$B$3)="",0,IF(AND(OR('Visual SPC'!$C$4="",'Data Entry'!$C9568&gt;='Visual SPC'!$C$4),OR('Visual SPC'!$E$4="",'Data Entry'!$C9568&lt;='Visual SPC'!$E$4),OR('Visual SPC'!$G$4="",'Data Entry'!$D9568='Visual SPC'!$G$4),OR('Visual SPC'!$I$4="",'Data Entry'!$E9568='Visual SPC'!$I$4),OR('Visual SPC'!$K$4="",'Data Entry'!$F9568='Visual SPC'!$K$4)),1,0))</f>
        <v/>
      </c>
      <c r="C9568">
        <f>C9567+B9568</f>
        <v/>
      </c>
      <c r="D9568">
        <f>IF(B9568=1,INDEX('Data Entry'!$H$5:$BE$10004,9568-4,'Visual SPC'!$B$3),"")</f>
        <v/>
      </c>
      <c r="E9568">
        <f>IF(B9568=1,D9568,E9567)</f>
        <v/>
      </c>
      <c r="F9568">
        <f>IF(AND(B9568=1,C9568&gt;1,E9567&lt;&gt;""),ABS(D9568-E9567),"")</f>
        <v/>
      </c>
    </row>
    <row r="9569">
      <c r="A9569" t="n">
        <v>9569</v>
      </c>
      <c r="B9569">
        <f>IF(INDEX('Data Entry'!$H$5:$BE$10004,9569-4,'Visual SPC'!$B$3)="",0,IF(AND(OR('Visual SPC'!$C$4="",'Data Entry'!$C9569&gt;='Visual SPC'!$C$4),OR('Visual SPC'!$E$4="",'Data Entry'!$C9569&lt;='Visual SPC'!$E$4),OR('Visual SPC'!$G$4="",'Data Entry'!$D9569='Visual SPC'!$G$4),OR('Visual SPC'!$I$4="",'Data Entry'!$E9569='Visual SPC'!$I$4),OR('Visual SPC'!$K$4="",'Data Entry'!$F9569='Visual SPC'!$K$4)),1,0))</f>
        <v/>
      </c>
      <c r="C9569">
        <f>C9568+B9569</f>
        <v/>
      </c>
      <c r="D9569">
        <f>IF(B9569=1,INDEX('Data Entry'!$H$5:$BE$10004,9569-4,'Visual SPC'!$B$3),"")</f>
        <v/>
      </c>
      <c r="E9569">
        <f>IF(B9569=1,D9569,E9568)</f>
        <v/>
      </c>
      <c r="F9569">
        <f>IF(AND(B9569=1,C9569&gt;1,E9568&lt;&gt;""),ABS(D9569-E9568),"")</f>
        <v/>
      </c>
    </row>
    <row r="9570">
      <c r="A9570" t="n">
        <v>9570</v>
      </c>
      <c r="B9570">
        <f>IF(INDEX('Data Entry'!$H$5:$BE$10004,9570-4,'Visual SPC'!$B$3)="",0,IF(AND(OR('Visual SPC'!$C$4="",'Data Entry'!$C9570&gt;='Visual SPC'!$C$4),OR('Visual SPC'!$E$4="",'Data Entry'!$C9570&lt;='Visual SPC'!$E$4),OR('Visual SPC'!$G$4="",'Data Entry'!$D9570='Visual SPC'!$G$4),OR('Visual SPC'!$I$4="",'Data Entry'!$E9570='Visual SPC'!$I$4),OR('Visual SPC'!$K$4="",'Data Entry'!$F9570='Visual SPC'!$K$4)),1,0))</f>
        <v/>
      </c>
      <c r="C9570">
        <f>C9569+B9570</f>
        <v/>
      </c>
      <c r="D9570">
        <f>IF(B9570=1,INDEX('Data Entry'!$H$5:$BE$10004,9570-4,'Visual SPC'!$B$3),"")</f>
        <v/>
      </c>
      <c r="E9570">
        <f>IF(B9570=1,D9570,E9569)</f>
        <v/>
      </c>
      <c r="F9570">
        <f>IF(AND(B9570=1,C9570&gt;1,E9569&lt;&gt;""),ABS(D9570-E9569),"")</f>
        <v/>
      </c>
    </row>
    <row r="9571">
      <c r="A9571" t="n">
        <v>9571</v>
      </c>
      <c r="B9571">
        <f>IF(INDEX('Data Entry'!$H$5:$BE$10004,9571-4,'Visual SPC'!$B$3)="",0,IF(AND(OR('Visual SPC'!$C$4="",'Data Entry'!$C9571&gt;='Visual SPC'!$C$4),OR('Visual SPC'!$E$4="",'Data Entry'!$C9571&lt;='Visual SPC'!$E$4),OR('Visual SPC'!$G$4="",'Data Entry'!$D9571='Visual SPC'!$G$4),OR('Visual SPC'!$I$4="",'Data Entry'!$E9571='Visual SPC'!$I$4),OR('Visual SPC'!$K$4="",'Data Entry'!$F9571='Visual SPC'!$K$4)),1,0))</f>
        <v/>
      </c>
      <c r="C9571">
        <f>C9570+B9571</f>
        <v/>
      </c>
      <c r="D9571">
        <f>IF(B9571=1,INDEX('Data Entry'!$H$5:$BE$10004,9571-4,'Visual SPC'!$B$3),"")</f>
        <v/>
      </c>
      <c r="E9571">
        <f>IF(B9571=1,D9571,E9570)</f>
        <v/>
      </c>
      <c r="F9571">
        <f>IF(AND(B9571=1,C9571&gt;1,E9570&lt;&gt;""),ABS(D9571-E9570),"")</f>
        <v/>
      </c>
    </row>
    <row r="9572">
      <c r="A9572" t="n">
        <v>9572</v>
      </c>
      <c r="B9572">
        <f>IF(INDEX('Data Entry'!$H$5:$BE$10004,9572-4,'Visual SPC'!$B$3)="",0,IF(AND(OR('Visual SPC'!$C$4="",'Data Entry'!$C9572&gt;='Visual SPC'!$C$4),OR('Visual SPC'!$E$4="",'Data Entry'!$C9572&lt;='Visual SPC'!$E$4),OR('Visual SPC'!$G$4="",'Data Entry'!$D9572='Visual SPC'!$G$4),OR('Visual SPC'!$I$4="",'Data Entry'!$E9572='Visual SPC'!$I$4),OR('Visual SPC'!$K$4="",'Data Entry'!$F9572='Visual SPC'!$K$4)),1,0))</f>
        <v/>
      </c>
      <c r="C9572">
        <f>C9571+B9572</f>
        <v/>
      </c>
      <c r="D9572">
        <f>IF(B9572=1,INDEX('Data Entry'!$H$5:$BE$10004,9572-4,'Visual SPC'!$B$3),"")</f>
        <v/>
      </c>
      <c r="E9572">
        <f>IF(B9572=1,D9572,E9571)</f>
        <v/>
      </c>
      <c r="F9572">
        <f>IF(AND(B9572=1,C9572&gt;1,E9571&lt;&gt;""),ABS(D9572-E9571),"")</f>
        <v/>
      </c>
    </row>
    <row r="9573">
      <c r="A9573" t="n">
        <v>9573</v>
      </c>
      <c r="B9573">
        <f>IF(INDEX('Data Entry'!$H$5:$BE$10004,9573-4,'Visual SPC'!$B$3)="",0,IF(AND(OR('Visual SPC'!$C$4="",'Data Entry'!$C9573&gt;='Visual SPC'!$C$4),OR('Visual SPC'!$E$4="",'Data Entry'!$C9573&lt;='Visual SPC'!$E$4),OR('Visual SPC'!$G$4="",'Data Entry'!$D9573='Visual SPC'!$G$4),OR('Visual SPC'!$I$4="",'Data Entry'!$E9573='Visual SPC'!$I$4),OR('Visual SPC'!$K$4="",'Data Entry'!$F9573='Visual SPC'!$K$4)),1,0))</f>
        <v/>
      </c>
      <c r="C9573">
        <f>C9572+B9573</f>
        <v/>
      </c>
      <c r="D9573">
        <f>IF(B9573=1,INDEX('Data Entry'!$H$5:$BE$10004,9573-4,'Visual SPC'!$B$3),"")</f>
        <v/>
      </c>
      <c r="E9573">
        <f>IF(B9573=1,D9573,E9572)</f>
        <v/>
      </c>
      <c r="F9573">
        <f>IF(AND(B9573=1,C9573&gt;1,E9572&lt;&gt;""),ABS(D9573-E9572),"")</f>
        <v/>
      </c>
    </row>
    <row r="9574">
      <c r="A9574" t="n">
        <v>9574</v>
      </c>
      <c r="B9574">
        <f>IF(INDEX('Data Entry'!$H$5:$BE$10004,9574-4,'Visual SPC'!$B$3)="",0,IF(AND(OR('Visual SPC'!$C$4="",'Data Entry'!$C9574&gt;='Visual SPC'!$C$4),OR('Visual SPC'!$E$4="",'Data Entry'!$C9574&lt;='Visual SPC'!$E$4),OR('Visual SPC'!$G$4="",'Data Entry'!$D9574='Visual SPC'!$G$4),OR('Visual SPC'!$I$4="",'Data Entry'!$E9574='Visual SPC'!$I$4),OR('Visual SPC'!$K$4="",'Data Entry'!$F9574='Visual SPC'!$K$4)),1,0))</f>
        <v/>
      </c>
      <c r="C9574">
        <f>C9573+B9574</f>
        <v/>
      </c>
      <c r="D9574">
        <f>IF(B9574=1,INDEX('Data Entry'!$H$5:$BE$10004,9574-4,'Visual SPC'!$B$3),"")</f>
        <v/>
      </c>
      <c r="E9574">
        <f>IF(B9574=1,D9574,E9573)</f>
        <v/>
      </c>
      <c r="F9574">
        <f>IF(AND(B9574=1,C9574&gt;1,E9573&lt;&gt;""),ABS(D9574-E9573),"")</f>
        <v/>
      </c>
    </row>
    <row r="9575">
      <c r="A9575" t="n">
        <v>9575</v>
      </c>
      <c r="B9575">
        <f>IF(INDEX('Data Entry'!$H$5:$BE$10004,9575-4,'Visual SPC'!$B$3)="",0,IF(AND(OR('Visual SPC'!$C$4="",'Data Entry'!$C9575&gt;='Visual SPC'!$C$4),OR('Visual SPC'!$E$4="",'Data Entry'!$C9575&lt;='Visual SPC'!$E$4),OR('Visual SPC'!$G$4="",'Data Entry'!$D9575='Visual SPC'!$G$4),OR('Visual SPC'!$I$4="",'Data Entry'!$E9575='Visual SPC'!$I$4),OR('Visual SPC'!$K$4="",'Data Entry'!$F9575='Visual SPC'!$K$4)),1,0))</f>
        <v/>
      </c>
      <c r="C9575">
        <f>C9574+B9575</f>
        <v/>
      </c>
      <c r="D9575">
        <f>IF(B9575=1,INDEX('Data Entry'!$H$5:$BE$10004,9575-4,'Visual SPC'!$B$3),"")</f>
        <v/>
      </c>
      <c r="E9575">
        <f>IF(B9575=1,D9575,E9574)</f>
        <v/>
      </c>
      <c r="F9575">
        <f>IF(AND(B9575=1,C9575&gt;1,E9574&lt;&gt;""),ABS(D9575-E9574),"")</f>
        <v/>
      </c>
    </row>
    <row r="9576">
      <c r="A9576" t="n">
        <v>9576</v>
      </c>
      <c r="B9576">
        <f>IF(INDEX('Data Entry'!$H$5:$BE$10004,9576-4,'Visual SPC'!$B$3)="",0,IF(AND(OR('Visual SPC'!$C$4="",'Data Entry'!$C9576&gt;='Visual SPC'!$C$4),OR('Visual SPC'!$E$4="",'Data Entry'!$C9576&lt;='Visual SPC'!$E$4),OR('Visual SPC'!$G$4="",'Data Entry'!$D9576='Visual SPC'!$G$4),OR('Visual SPC'!$I$4="",'Data Entry'!$E9576='Visual SPC'!$I$4),OR('Visual SPC'!$K$4="",'Data Entry'!$F9576='Visual SPC'!$K$4)),1,0))</f>
        <v/>
      </c>
      <c r="C9576">
        <f>C9575+B9576</f>
        <v/>
      </c>
      <c r="D9576">
        <f>IF(B9576=1,INDEX('Data Entry'!$H$5:$BE$10004,9576-4,'Visual SPC'!$B$3),"")</f>
        <v/>
      </c>
      <c r="E9576">
        <f>IF(B9576=1,D9576,E9575)</f>
        <v/>
      </c>
      <c r="F9576">
        <f>IF(AND(B9576=1,C9576&gt;1,E9575&lt;&gt;""),ABS(D9576-E9575),"")</f>
        <v/>
      </c>
    </row>
    <row r="9577">
      <c r="A9577" t="n">
        <v>9577</v>
      </c>
      <c r="B9577">
        <f>IF(INDEX('Data Entry'!$H$5:$BE$10004,9577-4,'Visual SPC'!$B$3)="",0,IF(AND(OR('Visual SPC'!$C$4="",'Data Entry'!$C9577&gt;='Visual SPC'!$C$4),OR('Visual SPC'!$E$4="",'Data Entry'!$C9577&lt;='Visual SPC'!$E$4),OR('Visual SPC'!$G$4="",'Data Entry'!$D9577='Visual SPC'!$G$4),OR('Visual SPC'!$I$4="",'Data Entry'!$E9577='Visual SPC'!$I$4),OR('Visual SPC'!$K$4="",'Data Entry'!$F9577='Visual SPC'!$K$4)),1,0))</f>
        <v/>
      </c>
      <c r="C9577">
        <f>C9576+B9577</f>
        <v/>
      </c>
      <c r="D9577">
        <f>IF(B9577=1,INDEX('Data Entry'!$H$5:$BE$10004,9577-4,'Visual SPC'!$B$3),"")</f>
        <v/>
      </c>
      <c r="E9577">
        <f>IF(B9577=1,D9577,E9576)</f>
        <v/>
      </c>
      <c r="F9577">
        <f>IF(AND(B9577=1,C9577&gt;1,E9576&lt;&gt;""),ABS(D9577-E9576),"")</f>
        <v/>
      </c>
    </row>
    <row r="9578">
      <c r="A9578" t="n">
        <v>9578</v>
      </c>
      <c r="B9578">
        <f>IF(INDEX('Data Entry'!$H$5:$BE$10004,9578-4,'Visual SPC'!$B$3)="",0,IF(AND(OR('Visual SPC'!$C$4="",'Data Entry'!$C9578&gt;='Visual SPC'!$C$4),OR('Visual SPC'!$E$4="",'Data Entry'!$C9578&lt;='Visual SPC'!$E$4),OR('Visual SPC'!$G$4="",'Data Entry'!$D9578='Visual SPC'!$G$4),OR('Visual SPC'!$I$4="",'Data Entry'!$E9578='Visual SPC'!$I$4),OR('Visual SPC'!$K$4="",'Data Entry'!$F9578='Visual SPC'!$K$4)),1,0))</f>
        <v/>
      </c>
      <c r="C9578">
        <f>C9577+B9578</f>
        <v/>
      </c>
      <c r="D9578">
        <f>IF(B9578=1,INDEX('Data Entry'!$H$5:$BE$10004,9578-4,'Visual SPC'!$B$3),"")</f>
        <v/>
      </c>
      <c r="E9578">
        <f>IF(B9578=1,D9578,E9577)</f>
        <v/>
      </c>
      <c r="F9578">
        <f>IF(AND(B9578=1,C9578&gt;1,E9577&lt;&gt;""),ABS(D9578-E9577),"")</f>
        <v/>
      </c>
    </row>
    <row r="9579">
      <c r="A9579" t="n">
        <v>9579</v>
      </c>
      <c r="B9579">
        <f>IF(INDEX('Data Entry'!$H$5:$BE$10004,9579-4,'Visual SPC'!$B$3)="",0,IF(AND(OR('Visual SPC'!$C$4="",'Data Entry'!$C9579&gt;='Visual SPC'!$C$4),OR('Visual SPC'!$E$4="",'Data Entry'!$C9579&lt;='Visual SPC'!$E$4),OR('Visual SPC'!$G$4="",'Data Entry'!$D9579='Visual SPC'!$G$4),OR('Visual SPC'!$I$4="",'Data Entry'!$E9579='Visual SPC'!$I$4),OR('Visual SPC'!$K$4="",'Data Entry'!$F9579='Visual SPC'!$K$4)),1,0))</f>
        <v/>
      </c>
      <c r="C9579">
        <f>C9578+B9579</f>
        <v/>
      </c>
      <c r="D9579">
        <f>IF(B9579=1,INDEX('Data Entry'!$H$5:$BE$10004,9579-4,'Visual SPC'!$B$3),"")</f>
        <v/>
      </c>
      <c r="E9579">
        <f>IF(B9579=1,D9579,E9578)</f>
        <v/>
      </c>
      <c r="F9579">
        <f>IF(AND(B9579=1,C9579&gt;1,E9578&lt;&gt;""),ABS(D9579-E9578),"")</f>
        <v/>
      </c>
    </row>
    <row r="9580">
      <c r="A9580" t="n">
        <v>9580</v>
      </c>
      <c r="B9580">
        <f>IF(INDEX('Data Entry'!$H$5:$BE$10004,9580-4,'Visual SPC'!$B$3)="",0,IF(AND(OR('Visual SPC'!$C$4="",'Data Entry'!$C9580&gt;='Visual SPC'!$C$4),OR('Visual SPC'!$E$4="",'Data Entry'!$C9580&lt;='Visual SPC'!$E$4),OR('Visual SPC'!$G$4="",'Data Entry'!$D9580='Visual SPC'!$G$4),OR('Visual SPC'!$I$4="",'Data Entry'!$E9580='Visual SPC'!$I$4),OR('Visual SPC'!$K$4="",'Data Entry'!$F9580='Visual SPC'!$K$4)),1,0))</f>
        <v/>
      </c>
      <c r="C9580">
        <f>C9579+B9580</f>
        <v/>
      </c>
      <c r="D9580">
        <f>IF(B9580=1,INDEX('Data Entry'!$H$5:$BE$10004,9580-4,'Visual SPC'!$B$3),"")</f>
        <v/>
      </c>
      <c r="E9580">
        <f>IF(B9580=1,D9580,E9579)</f>
        <v/>
      </c>
      <c r="F9580">
        <f>IF(AND(B9580=1,C9580&gt;1,E9579&lt;&gt;""),ABS(D9580-E9579),"")</f>
        <v/>
      </c>
    </row>
    <row r="9581">
      <c r="A9581" t="n">
        <v>9581</v>
      </c>
      <c r="B9581">
        <f>IF(INDEX('Data Entry'!$H$5:$BE$10004,9581-4,'Visual SPC'!$B$3)="",0,IF(AND(OR('Visual SPC'!$C$4="",'Data Entry'!$C9581&gt;='Visual SPC'!$C$4),OR('Visual SPC'!$E$4="",'Data Entry'!$C9581&lt;='Visual SPC'!$E$4),OR('Visual SPC'!$G$4="",'Data Entry'!$D9581='Visual SPC'!$G$4),OR('Visual SPC'!$I$4="",'Data Entry'!$E9581='Visual SPC'!$I$4),OR('Visual SPC'!$K$4="",'Data Entry'!$F9581='Visual SPC'!$K$4)),1,0))</f>
        <v/>
      </c>
      <c r="C9581">
        <f>C9580+B9581</f>
        <v/>
      </c>
      <c r="D9581">
        <f>IF(B9581=1,INDEX('Data Entry'!$H$5:$BE$10004,9581-4,'Visual SPC'!$B$3),"")</f>
        <v/>
      </c>
      <c r="E9581">
        <f>IF(B9581=1,D9581,E9580)</f>
        <v/>
      </c>
      <c r="F9581">
        <f>IF(AND(B9581=1,C9581&gt;1,E9580&lt;&gt;""),ABS(D9581-E9580),"")</f>
        <v/>
      </c>
    </row>
    <row r="9582">
      <c r="A9582" t="n">
        <v>9582</v>
      </c>
      <c r="B9582">
        <f>IF(INDEX('Data Entry'!$H$5:$BE$10004,9582-4,'Visual SPC'!$B$3)="",0,IF(AND(OR('Visual SPC'!$C$4="",'Data Entry'!$C9582&gt;='Visual SPC'!$C$4),OR('Visual SPC'!$E$4="",'Data Entry'!$C9582&lt;='Visual SPC'!$E$4),OR('Visual SPC'!$G$4="",'Data Entry'!$D9582='Visual SPC'!$G$4),OR('Visual SPC'!$I$4="",'Data Entry'!$E9582='Visual SPC'!$I$4),OR('Visual SPC'!$K$4="",'Data Entry'!$F9582='Visual SPC'!$K$4)),1,0))</f>
        <v/>
      </c>
      <c r="C9582">
        <f>C9581+B9582</f>
        <v/>
      </c>
      <c r="D9582">
        <f>IF(B9582=1,INDEX('Data Entry'!$H$5:$BE$10004,9582-4,'Visual SPC'!$B$3),"")</f>
        <v/>
      </c>
      <c r="E9582">
        <f>IF(B9582=1,D9582,E9581)</f>
        <v/>
      </c>
      <c r="F9582">
        <f>IF(AND(B9582=1,C9582&gt;1,E9581&lt;&gt;""),ABS(D9582-E9581),"")</f>
        <v/>
      </c>
    </row>
    <row r="9583">
      <c r="A9583" t="n">
        <v>9583</v>
      </c>
      <c r="B9583">
        <f>IF(INDEX('Data Entry'!$H$5:$BE$10004,9583-4,'Visual SPC'!$B$3)="",0,IF(AND(OR('Visual SPC'!$C$4="",'Data Entry'!$C9583&gt;='Visual SPC'!$C$4),OR('Visual SPC'!$E$4="",'Data Entry'!$C9583&lt;='Visual SPC'!$E$4),OR('Visual SPC'!$G$4="",'Data Entry'!$D9583='Visual SPC'!$G$4),OR('Visual SPC'!$I$4="",'Data Entry'!$E9583='Visual SPC'!$I$4),OR('Visual SPC'!$K$4="",'Data Entry'!$F9583='Visual SPC'!$K$4)),1,0))</f>
        <v/>
      </c>
      <c r="C9583">
        <f>C9582+B9583</f>
        <v/>
      </c>
      <c r="D9583">
        <f>IF(B9583=1,INDEX('Data Entry'!$H$5:$BE$10004,9583-4,'Visual SPC'!$B$3),"")</f>
        <v/>
      </c>
      <c r="E9583">
        <f>IF(B9583=1,D9583,E9582)</f>
        <v/>
      </c>
      <c r="F9583">
        <f>IF(AND(B9583=1,C9583&gt;1,E9582&lt;&gt;""),ABS(D9583-E9582),"")</f>
        <v/>
      </c>
    </row>
    <row r="9584">
      <c r="A9584" t="n">
        <v>9584</v>
      </c>
      <c r="B9584">
        <f>IF(INDEX('Data Entry'!$H$5:$BE$10004,9584-4,'Visual SPC'!$B$3)="",0,IF(AND(OR('Visual SPC'!$C$4="",'Data Entry'!$C9584&gt;='Visual SPC'!$C$4),OR('Visual SPC'!$E$4="",'Data Entry'!$C9584&lt;='Visual SPC'!$E$4),OR('Visual SPC'!$G$4="",'Data Entry'!$D9584='Visual SPC'!$G$4),OR('Visual SPC'!$I$4="",'Data Entry'!$E9584='Visual SPC'!$I$4),OR('Visual SPC'!$K$4="",'Data Entry'!$F9584='Visual SPC'!$K$4)),1,0))</f>
        <v/>
      </c>
      <c r="C9584">
        <f>C9583+B9584</f>
        <v/>
      </c>
      <c r="D9584">
        <f>IF(B9584=1,INDEX('Data Entry'!$H$5:$BE$10004,9584-4,'Visual SPC'!$B$3),"")</f>
        <v/>
      </c>
      <c r="E9584">
        <f>IF(B9584=1,D9584,E9583)</f>
        <v/>
      </c>
      <c r="F9584">
        <f>IF(AND(B9584=1,C9584&gt;1,E9583&lt;&gt;""),ABS(D9584-E9583),"")</f>
        <v/>
      </c>
    </row>
    <row r="9585">
      <c r="A9585" t="n">
        <v>9585</v>
      </c>
      <c r="B9585">
        <f>IF(INDEX('Data Entry'!$H$5:$BE$10004,9585-4,'Visual SPC'!$B$3)="",0,IF(AND(OR('Visual SPC'!$C$4="",'Data Entry'!$C9585&gt;='Visual SPC'!$C$4),OR('Visual SPC'!$E$4="",'Data Entry'!$C9585&lt;='Visual SPC'!$E$4),OR('Visual SPC'!$G$4="",'Data Entry'!$D9585='Visual SPC'!$G$4),OR('Visual SPC'!$I$4="",'Data Entry'!$E9585='Visual SPC'!$I$4),OR('Visual SPC'!$K$4="",'Data Entry'!$F9585='Visual SPC'!$K$4)),1,0))</f>
        <v/>
      </c>
      <c r="C9585">
        <f>C9584+B9585</f>
        <v/>
      </c>
      <c r="D9585">
        <f>IF(B9585=1,INDEX('Data Entry'!$H$5:$BE$10004,9585-4,'Visual SPC'!$B$3),"")</f>
        <v/>
      </c>
      <c r="E9585">
        <f>IF(B9585=1,D9585,E9584)</f>
        <v/>
      </c>
      <c r="F9585">
        <f>IF(AND(B9585=1,C9585&gt;1,E9584&lt;&gt;""),ABS(D9585-E9584),"")</f>
        <v/>
      </c>
    </row>
    <row r="9586">
      <c r="A9586" t="n">
        <v>9586</v>
      </c>
      <c r="B9586">
        <f>IF(INDEX('Data Entry'!$H$5:$BE$10004,9586-4,'Visual SPC'!$B$3)="",0,IF(AND(OR('Visual SPC'!$C$4="",'Data Entry'!$C9586&gt;='Visual SPC'!$C$4),OR('Visual SPC'!$E$4="",'Data Entry'!$C9586&lt;='Visual SPC'!$E$4),OR('Visual SPC'!$G$4="",'Data Entry'!$D9586='Visual SPC'!$G$4),OR('Visual SPC'!$I$4="",'Data Entry'!$E9586='Visual SPC'!$I$4),OR('Visual SPC'!$K$4="",'Data Entry'!$F9586='Visual SPC'!$K$4)),1,0))</f>
        <v/>
      </c>
      <c r="C9586">
        <f>C9585+B9586</f>
        <v/>
      </c>
      <c r="D9586">
        <f>IF(B9586=1,INDEX('Data Entry'!$H$5:$BE$10004,9586-4,'Visual SPC'!$B$3),"")</f>
        <v/>
      </c>
      <c r="E9586">
        <f>IF(B9586=1,D9586,E9585)</f>
        <v/>
      </c>
      <c r="F9586">
        <f>IF(AND(B9586=1,C9586&gt;1,E9585&lt;&gt;""),ABS(D9586-E9585),"")</f>
        <v/>
      </c>
    </row>
    <row r="9587">
      <c r="A9587" t="n">
        <v>9587</v>
      </c>
      <c r="B9587">
        <f>IF(INDEX('Data Entry'!$H$5:$BE$10004,9587-4,'Visual SPC'!$B$3)="",0,IF(AND(OR('Visual SPC'!$C$4="",'Data Entry'!$C9587&gt;='Visual SPC'!$C$4),OR('Visual SPC'!$E$4="",'Data Entry'!$C9587&lt;='Visual SPC'!$E$4),OR('Visual SPC'!$G$4="",'Data Entry'!$D9587='Visual SPC'!$G$4),OR('Visual SPC'!$I$4="",'Data Entry'!$E9587='Visual SPC'!$I$4),OR('Visual SPC'!$K$4="",'Data Entry'!$F9587='Visual SPC'!$K$4)),1,0))</f>
        <v/>
      </c>
      <c r="C9587">
        <f>C9586+B9587</f>
        <v/>
      </c>
      <c r="D9587">
        <f>IF(B9587=1,INDEX('Data Entry'!$H$5:$BE$10004,9587-4,'Visual SPC'!$B$3),"")</f>
        <v/>
      </c>
      <c r="E9587">
        <f>IF(B9587=1,D9587,E9586)</f>
        <v/>
      </c>
      <c r="F9587">
        <f>IF(AND(B9587=1,C9587&gt;1,E9586&lt;&gt;""),ABS(D9587-E9586),"")</f>
        <v/>
      </c>
    </row>
    <row r="9588">
      <c r="A9588" t="n">
        <v>9588</v>
      </c>
      <c r="B9588">
        <f>IF(INDEX('Data Entry'!$H$5:$BE$10004,9588-4,'Visual SPC'!$B$3)="",0,IF(AND(OR('Visual SPC'!$C$4="",'Data Entry'!$C9588&gt;='Visual SPC'!$C$4),OR('Visual SPC'!$E$4="",'Data Entry'!$C9588&lt;='Visual SPC'!$E$4),OR('Visual SPC'!$G$4="",'Data Entry'!$D9588='Visual SPC'!$G$4),OR('Visual SPC'!$I$4="",'Data Entry'!$E9588='Visual SPC'!$I$4),OR('Visual SPC'!$K$4="",'Data Entry'!$F9588='Visual SPC'!$K$4)),1,0))</f>
        <v/>
      </c>
      <c r="C9588">
        <f>C9587+B9588</f>
        <v/>
      </c>
      <c r="D9588">
        <f>IF(B9588=1,INDEX('Data Entry'!$H$5:$BE$10004,9588-4,'Visual SPC'!$B$3),"")</f>
        <v/>
      </c>
      <c r="E9588">
        <f>IF(B9588=1,D9588,E9587)</f>
        <v/>
      </c>
      <c r="F9588">
        <f>IF(AND(B9588=1,C9588&gt;1,E9587&lt;&gt;""),ABS(D9588-E9587),"")</f>
        <v/>
      </c>
    </row>
    <row r="9589">
      <c r="A9589" t="n">
        <v>9589</v>
      </c>
      <c r="B9589">
        <f>IF(INDEX('Data Entry'!$H$5:$BE$10004,9589-4,'Visual SPC'!$B$3)="",0,IF(AND(OR('Visual SPC'!$C$4="",'Data Entry'!$C9589&gt;='Visual SPC'!$C$4),OR('Visual SPC'!$E$4="",'Data Entry'!$C9589&lt;='Visual SPC'!$E$4),OR('Visual SPC'!$G$4="",'Data Entry'!$D9589='Visual SPC'!$G$4),OR('Visual SPC'!$I$4="",'Data Entry'!$E9589='Visual SPC'!$I$4),OR('Visual SPC'!$K$4="",'Data Entry'!$F9589='Visual SPC'!$K$4)),1,0))</f>
        <v/>
      </c>
      <c r="C9589">
        <f>C9588+B9589</f>
        <v/>
      </c>
      <c r="D9589">
        <f>IF(B9589=1,INDEX('Data Entry'!$H$5:$BE$10004,9589-4,'Visual SPC'!$B$3),"")</f>
        <v/>
      </c>
      <c r="E9589">
        <f>IF(B9589=1,D9589,E9588)</f>
        <v/>
      </c>
      <c r="F9589">
        <f>IF(AND(B9589=1,C9589&gt;1,E9588&lt;&gt;""),ABS(D9589-E9588),"")</f>
        <v/>
      </c>
    </row>
    <row r="9590">
      <c r="A9590" t="n">
        <v>9590</v>
      </c>
      <c r="B9590">
        <f>IF(INDEX('Data Entry'!$H$5:$BE$10004,9590-4,'Visual SPC'!$B$3)="",0,IF(AND(OR('Visual SPC'!$C$4="",'Data Entry'!$C9590&gt;='Visual SPC'!$C$4),OR('Visual SPC'!$E$4="",'Data Entry'!$C9590&lt;='Visual SPC'!$E$4),OR('Visual SPC'!$G$4="",'Data Entry'!$D9590='Visual SPC'!$G$4),OR('Visual SPC'!$I$4="",'Data Entry'!$E9590='Visual SPC'!$I$4),OR('Visual SPC'!$K$4="",'Data Entry'!$F9590='Visual SPC'!$K$4)),1,0))</f>
        <v/>
      </c>
      <c r="C9590">
        <f>C9589+B9590</f>
        <v/>
      </c>
      <c r="D9590">
        <f>IF(B9590=1,INDEX('Data Entry'!$H$5:$BE$10004,9590-4,'Visual SPC'!$B$3),"")</f>
        <v/>
      </c>
      <c r="E9590">
        <f>IF(B9590=1,D9590,E9589)</f>
        <v/>
      </c>
      <c r="F9590">
        <f>IF(AND(B9590=1,C9590&gt;1,E9589&lt;&gt;""),ABS(D9590-E9589),"")</f>
        <v/>
      </c>
    </row>
    <row r="9591">
      <c r="A9591" t="n">
        <v>9591</v>
      </c>
      <c r="B9591">
        <f>IF(INDEX('Data Entry'!$H$5:$BE$10004,9591-4,'Visual SPC'!$B$3)="",0,IF(AND(OR('Visual SPC'!$C$4="",'Data Entry'!$C9591&gt;='Visual SPC'!$C$4),OR('Visual SPC'!$E$4="",'Data Entry'!$C9591&lt;='Visual SPC'!$E$4),OR('Visual SPC'!$G$4="",'Data Entry'!$D9591='Visual SPC'!$G$4),OR('Visual SPC'!$I$4="",'Data Entry'!$E9591='Visual SPC'!$I$4),OR('Visual SPC'!$K$4="",'Data Entry'!$F9591='Visual SPC'!$K$4)),1,0))</f>
        <v/>
      </c>
      <c r="C9591">
        <f>C9590+B9591</f>
        <v/>
      </c>
      <c r="D9591">
        <f>IF(B9591=1,INDEX('Data Entry'!$H$5:$BE$10004,9591-4,'Visual SPC'!$B$3),"")</f>
        <v/>
      </c>
      <c r="E9591">
        <f>IF(B9591=1,D9591,E9590)</f>
        <v/>
      </c>
      <c r="F9591">
        <f>IF(AND(B9591=1,C9591&gt;1,E9590&lt;&gt;""),ABS(D9591-E9590),"")</f>
        <v/>
      </c>
    </row>
    <row r="9592">
      <c r="A9592" t="n">
        <v>9592</v>
      </c>
      <c r="B9592">
        <f>IF(INDEX('Data Entry'!$H$5:$BE$10004,9592-4,'Visual SPC'!$B$3)="",0,IF(AND(OR('Visual SPC'!$C$4="",'Data Entry'!$C9592&gt;='Visual SPC'!$C$4),OR('Visual SPC'!$E$4="",'Data Entry'!$C9592&lt;='Visual SPC'!$E$4),OR('Visual SPC'!$G$4="",'Data Entry'!$D9592='Visual SPC'!$G$4),OR('Visual SPC'!$I$4="",'Data Entry'!$E9592='Visual SPC'!$I$4),OR('Visual SPC'!$K$4="",'Data Entry'!$F9592='Visual SPC'!$K$4)),1,0))</f>
        <v/>
      </c>
      <c r="C9592">
        <f>C9591+B9592</f>
        <v/>
      </c>
      <c r="D9592">
        <f>IF(B9592=1,INDEX('Data Entry'!$H$5:$BE$10004,9592-4,'Visual SPC'!$B$3),"")</f>
        <v/>
      </c>
      <c r="E9592">
        <f>IF(B9592=1,D9592,E9591)</f>
        <v/>
      </c>
      <c r="F9592">
        <f>IF(AND(B9592=1,C9592&gt;1,E9591&lt;&gt;""),ABS(D9592-E9591),"")</f>
        <v/>
      </c>
    </row>
    <row r="9593">
      <c r="A9593" t="n">
        <v>9593</v>
      </c>
      <c r="B9593">
        <f>IF(INDEX('Data Entry'!$H$5:$BE$10004,9593-4,'Visual SPC'!$B$3)="",0,IF(AND(OR('Visual SPC'!$C$4="",'Data Entry'!$C9593&gt;='Visual SPC'!$C$4),OR('Visual SPC'!$E$4="",'Data Entry'!$C9593&lt;='Visual SPC'!$E$4),OR('Visual SPC'!$G$4="",'Data Entry'!$D9593='Visual SPC'!$G$4),OR('Visual SPC'!$I$4="",'Data Entry'!$E9593='Visual SPC'!$I$4),OR('Visual SPC'!$K$4="",'Data Entry'!$F9593='Visual SPC'!$K$4)),1,0))</f>
        <v/>
      </c>
      <c r="C9593">
        <f>C9592+B9593</f>
        <v/>
      </c>
      <c r="D9593">
        <f>IF(B9593=1,INDEX('Data Entry'!$H$5:$BE$10004,9593-4,'Visual SPC'!$B$3),"")</f>
        <v/>
      </c>
      <c r="E9593">
        <f>IF(B9593=1,D9593,E9592)</f>
        <v/>
      </c>
      <c r="F9593">
        <f>IF(AND(B9593=1,C9593&gt;1,E9592&lt;&gt;""),ABS(D9593-E9592),"")</f>
        <v/>
      </c>
    </row>
    <row r="9594">
      <c r="A9594" t="n">
        <v>9594</v>
      </c>
      <c r="B9594">
        <f>IF(INDEX('Data Entry'!$H$5:$BE$10004,9594-4,'Visual SPC'!$B$3)="",0,IF(AND(OR('Visual SPC'!$C$4="",'Data Entry'!$C9594&gt;='Visual SPC'!$C$4),OR('Visual SPC'!$E$4="",'Data Entry'!$C9594&lt;='Visual SPC'!$E$4),OR('Visual SPC'!$G$4="",'Data Entry'!$D9594='Visual SPC'!$G$4),OR('Visual SPC'!$I$4="",'Data Entry'!$E9594='Visual SPC'!$I$4),OR('Visual SPC'!$K$4="",'Data Entry'!$F9594='Visual SPC'!$K$4)),1,0))</f>
        <v/>
      </c>
      <c r="C9594">
        <f>C9593+B9594</f>
        <v/>
      </c>
      <c r="D9594">
        <f>IF(B9594=1,INDEX('Data Entry'!$H$5:$BE$10004,9594-4,'Visual SPC'!$B$3),"")</f>
        <v/>
      </c>
      <c r="E9594">
        <f>IF(B9594=1,D9594,E9593)</f>
        <v/>
      </c>
      <c r="F9594">
        <f>IF(AND(B9594=1,C9594&gt;1,E9593&lt;&gt;""),ABS(D9594-E9593),"")</f>
        <v/>
      </c>
    </row>
    <row r="9595">
      <c r="A9595" t="n">
        <v>9595</v>
      </c>
      <c r="B9595">
        <f>IF(INDEX('Data Entry'!$H$5:$BE$10004,9595-4,'Visual SPC'!$B$3)="",0,IF(AND(OR('Visual SPC'!$C$4="",'Data Entry'!$C9595&gt;='Visual SPC'!$C$4),OR('Visual SPC'!$E$4="",'Data Entry'!$C9595&lt;='Visual SPC'!$E$4),OR('Visual SPC'!$G$4="",'Data Entry'!$D9595='Visual SPC'!$G$4),OR('Visual SPC'!$I$4="",'Data Entry'!$E9595='Visual SPC'!$I$4),OR('Visual SPC'!$K$4="",'Data Entry'!$F9595='Visual SPC'!$K$4)),1,0))</f>
        <v/>
      </c>
      <c r="C9595">
        <f>C9594+B9595</f>
        <v/>
      </c>
      <c r="D9595">
        <f>IF(B9595=1,INDEX('Data Entry'!$H$5:$BE$10004,9595-4,'Visual SPC'!$B$3),"")</f>
        <v/>
      </c>
      <c r="E9595">
        <f>IF(B9595=1,D9595,E9594)</f>
        <v/>
      </c>
      <c r="F9595">
        <f>IF(AND(B9595=1,C9595&gt;1,E9594&lt;&gt;""),ABS(D9595-E9594),"")</f>
        <v/>
      </c>
    </row>
    <row r="9596">
      <c r="A9596" t="n">
        <v>9596</v>
      </c>
      <c r="B9596">
        <f>IF(INDEX('Data Entry'!$H$5:$BE$10004,9596-4,'Visual SPC'!$B$3)="",0,IF(AND(OR('Visual SPC'!$C$4="",'Data Entry'!$C9596&gt;='Visual SPC'!$C$4),OR('Visual SPC'!$E$4="",'Data Entry'!$C9596&lt;='Visual SPC'!$E$4),OR('Visual SPC'!$G$4="",'Data Entry'!$D9596='Visual SPC'!$G$4),OR('Visual SPC'!$I$4="",'Data Entry'!$E9596='Visual SPC'!$I$4),OR('Visual SPC'!$K$4="",'Data Entry'!$F9596='Visual SPC'!$K$4)),1,0))</f>
        <v/>
      </c>
      <c r="C9596">
        <f>C9595+B9596</f>
        <v/>
      </c>
      <c r="D9596">
        <f>IF(B9596=1,INDEX('Data Entry'!$H$5:$BE$10004,9596-4,'Visual SPC'!$B$3),"")</f>
        <v/>
      </c>
      <c r="E9596">
        <f>IF(B9596=1,D9596,E9595)</f>
        <v/>
      </c>
      <c r="F9596">
        <f>IF(AND(B9596=1,C9596&gt;1,E9595&lt;&gt;""),ABS(D9596-E9595),"")</f>
        <v/>
      </c>
    </row>
    <row r="9597">
      <c r="A9597" t="n">
        <v>9597</v>
      </c>
      <c r="B9597">
        <f>IF(INDEX('Data Entry'!$H$5:$BE$10004,9597-4,'Visual SPC'!$B$3)="",0,IF(AND(OR('Visual SPC'!$C$4="",'Data Entry'!$C9597&gt;='Visual SPC'!$C$4),OR('Visual SPC'!$E$4="",'Data Entry'!$C9597&lt;='Visual SPC'!$E$4),OR('Visual SPC'!$G$4="",'Data Entry'!$D9597='Visual SPC'!$G$4),OR('Visual SPC'!$I$4="",'Data Entry'!$E9597='Visual SPC'!$I$4),OR('Visual SPC'!$K$4="",'Data Entry'!$F9597='Visual SPC'!$K$4)),1,0))</f>
        <v/>
      </c>
      <c r="C9597">
        <f>C9596+B9597</f>
        <v/>
      </c>
      <c r="D9597">
        <f>IF(B9597=1,INDEX('Data Entry'!$H$5:$BE$10004,9597-4,'Visual SPC'!$B$3),"")</f>
        <v/>
      </c>
      <c r="E9597">
        <f>IF(B9597=1,D9597,E9596)</f>
        <v/>
      </c>
      <c r="F9597">
        <f>IF(AND(B9597=1,C9597&gt;1,E9596&lt;&gt;""),ABS(D9597-E9596),"")</f>
        <v/>
      </c>
    </row>
    <row r="9598">
      <c r="A9598" t="n">
        <v>9598</v>
      </c>
      <c r="B9598">
        <f>IF(INDEX('Data Entry'!$H$5:$BE$10004,9598-4,'Visual SPC'!$B$3)="",0,IF(AND(OR('Visual SPC'!$C$4="",'Data Entry'!$C9598&gt;='Visual SPC'!$C$4),OR('Visual SPC'!$E$4="",'Data Entry'!$C9598&lt;='Visual SPC'!$E$4),OR('Visual SPC'!$G$4="",'Data Entry'!$D9598='Visual SPC'!$G$4),OR('Visual SPC'!$I$4="",'Data Entry'!$E9598='Visual SPC'!$I$4),OR('Visual SPC'!$K$4="",'Data Entry'!$F9598='Visual SPC'!$K$4)),1,0))</f>
        <v/>
      </c>
      <c r="C9598">
        <f>C9597+B9598</f>
        <v/>
      </c>
      <c r="D9598">
        <f>IF(B9598=1,INDEX('Data Entry'!$H$5:$BE$10004,9598-4,'Visual SPC'!$B$3),"")</f>
        <v/>
      </c>
      <c r="E9598">
        <f>IF(B9598=1,D9598,E9597)</f>
        <v/>
      </c>
      <c r="F9598">
        <f>IF(AND(B9598=1,C9598&gt;1,E9597&lt;&gt;""),ABS(D9598-E9597),"")</f>
        <v/>
      </c>
    </row>
    <row r="9599">
      <c r="A9599" t="n">
        <v>9599</v>
      </c>
      <c r="B9599">
        <f>IF(INDEX('Data Entry'!$H$5:$BE$10004,9599-4,'Visual SPC'!$B$3)="",0,IF(AND(OR('Visual SPC'!$C$4="",'Data Entry'!$C9599&gt;='Visual SPC'!$C$4),OR('Visual SPC'!$E$4="",'Data Entry'!$C9599&lt;='Visual SPC'!$E$4),OR('Visual SPC'!$G$4="",'Data Entry'!$D9599='Visual SPC'!$G$4),OR('Visual SPC'!$I$4="",'Data Entry'!$E9599='Visual SPC'!$I$4),OR('Visual SPC'!$K$4="",'Data Entry'!$F9599='Visual SPC'!$K$4)),1,0))</f>
        <v/>
      </c>
      <c r="C9599">
        <f>C9598+B9599</f>
        <v/>
      </c>
      <c r="D9599">
        <f>IF(B9599=1,INDEX('Data Entry'!$H$5:$BE$10004,9599-4,'Visual SPC'!$B$3),"")</f>
        <v/>
      </c>
      <c r="E9599">
        <f>IF(B9599=1,D9599,E9598)</f>
        <v/>
      </c>
      <c r="F9599">
        <f>IF(AND(B9599=1,C9599&gt;1,E9598&lt;&gt;""),ABS(D9599-E9598),"")</f>
        <v/>
      </c>
    </row>
    <row r="9600">
      <c r="A9600" t="n">
        <v>9600</v>
      </c>
      <c r="B9600">
        <f>IF(INDEX('Data Entry'!$H$5:$BE$10004,9600-4,'Visual SPC'!$B$3)="",0,IF(AND(OR('Visual SPC'!$C$4="",'Data Entry'!$C9600&gt;='Visual SPC'!$C$4),OR('Visual SPC'!$E$4="",'Data Entry'!$C9600&lt;='Visual SPC'!$E$4),OR('Visual SPC'!$G$4="",'Data Entry'!$D9600='Visual SPC'!$G$4),OR('Visual SPC'!$I$4="",'Data Entry'!$E9600='Visual SPC'!$I$4),OR('Visual SPC'!$K$4="",'Data Entry'!$F9600='Visual SPC'!$K$4)),1,0))</f>
        <v/>
      </c>
      <c r="C9600">
        <f>C9599+B9600</f>
        <v/>
      </c>
      <c r="D9600">
        <f>IF(B9600=1,INDEX('Data Entry'!$H$5:$BE$10004,9600-4,'Visual SPC'!$B$3),"")</f>
        <v/>
      </c>
      <c r="E9600">
        <f>IF(B9600=1,D9600,E9599)</f>
        <v/>
      </c>
      <c r="F9600">
        <f>IF(AND(B9600=1,C9600&gt;1,E9599&lt;&gt;""),ABS(D9600-E9599),"")</f>
        <v/>
      </c>
    </row>
    <row r="9601">
      <c r="A9601" t="n">
        <v>9601</v>
      </c>
      <c r="B9601">
        <f>IF(INDEX('Data Entry'!$H$5:$BE$10004,9601-4,'Visual SPC'!$B$3)="",0,IF(AND(OR('Visual SPC'!$C$4="",'Data Entry'!$C9601&gt;='Visual SPC'!$C$4),OR('Visual SPC'!$E$4="",'Data Entry'!$C9601&lt;='Visual SPC'!$E$4),OR('Visual SPC'!$G$4="",'Data Entry'!$D9601='Visual SPC'!$G$4),OR('Visual SPC'!$I$4="",'Data Entry'!$E9601='Visual SPC'!$I$4),OR('Visual SPC'!$K$4="",'Data Entry'!$F9601='Visual SPC'!$K$4)),1,0))</f>
        <v/>
      </c>
      <c r="C9601">
        <f>C9600+B9601</f>
        <v/>
      </c>
      <c r="D9601">
        <f>IF(B9601=1,INDEX('Data Entry'!$H$5:$BE$10004,9601-4,'Visual SPC'!$B$3),"")</f>
        <v/>
      </c>
      <c r="E9601">
        <f>IF(B9601=1,D9601,E9600)</f>
        <v/>
      </c>
      <c r="F9601">
        <f>IF(AND(B9601=1,C9601&gt;1,E9600&lt;&gt;""),ABS(D9601-E9600),"")</f>
        <v/>
      </c>
    </row>
    <row r="9602">
      <c r="A9602" t="n">
        <v>9602</v>
      </c>
      <c r="B9602">
        <f>IF(INDEX('Data Entry'!$H$5:$BE$10004,9602-4,'Visual SPC'!$B$3)="",0,IF(AND(OR('Visual SPC'!$C$4="",'Data Entry'!$C9602&gt;='Visual SPC'!$C$4),OR('Visual SPC'!$E$4="",'Data Entry'!$C9602&lt;='Visual SPC'!$E$4),OR('Visual SPC'!$G$4="",'Data Entry'!$D9602='Visual SPC'!$G$4),OR('Visual SPC'!$I$4="",'Data Entry'!$E9602='Visual SPC'!$I$4),OR('Visual SPC'!$K$4="",'Data Entry'!$F9602='Visual SPC'!$K$4)),1,0))</f>
        <v/>
      </c>
      <c r="C9602">
        <f>C9601+B9602</f>
        <v/>
      </c>
      <c r="D9602">
        <f>IF(B9602=1,INDEX('Data Entry'!$H$5:$BE$10004,9602-4,'Visual SPC'!$B$3),"")</f>
        <v/>
      </c>
      <c r="E9602">
        <f>IF(B9602=1,D9602,E9601)</f>
        <v/>
      </c>
      <c r="F9602">
        <f>IF(AND(B9602=1,C9602&gt;1,E9601&lt;&gt;""),ABS(D9602-E9601),"")</f>
        <v/>
      </c>
    </row>
    <row r="9603">
      <c r="A9603" t="n">
        <v>9603</v>
      </c>
      <c r="B9603">
        <f>IF(INDEX('Data Entry'!$H$5:$BE$10004,9603-4,'Visual SPC'!$B$3)="",0,IF(AND(OR('Visual SPC'!$C$4="",'Data Entry'!$C9603&gt;='Visual SPC'!$C$4),OR('Visual SPC'!$E$4="",'Data Entry'!$C9603&lt;='Visual SPC'!$E$4),OR('Visual SPC'!$G$4="",'Data Entry'!$D9603='Visual SPC'!$G$4),OR('Visual SPC'!$I$4="",'Data Entry'!$E9603='Visual SPC'!$I$4),OR('Visual SPC'!$K$4="",'Data Entry'!$F9603='Visual SPC'!$K$4)),1,0))</f>
        <v/>
      </c>
      <c r="C9603">
        <f>C9602+B9603</f>
        <v/>
      </c>
      <c r="D9603">
        <f>IF(B9603=1,INDEX('Data Entry'!$H$5:$BE$10004,9603-4,'Visual SPC'!$B$3),"")</f>
        <v/>
      </c>
      <c r="E9603">
        <f>IF(B9603=1,D9603,E9602)</f>
        <v/>
      </c>
      <c r="F9603">
        <f>IF(AND(B9603=1,C9603&gt;1,E9602&lt;&gt;""),ABS(D9603-E9602),"")</f>
        <v/>
      </c>
    </row>
    <row r="9604">
      <c r="A9604" t="n">
        <v>9604</v>
      </c>
      <c r="B9604">
        <f>IF(INDEX('Data Entry'!$H$5:$BE$10004,9604-4,'Visual SPC'!$B$3)="",0,IF(AND(OR('Visual SPC'!$C$4="",'Data Entry'!$C9604&gt;='Visual SPC'!$C$4),OR('Visual SPC'!$E$4="",'Data Entry'!$C9604&lt;='Visual SPC'!$E$4),OR('Visual SPC'!$G$4="",'Data Entry'!$D9604='Visual SPC'!$G$4),OR('Visual SPC'!$I$4="",'Data Entry'!$E9604='Visual SPC'!$I$4),OR('Visual SPC'!$K$4="",'Data Entry'!$F9604='Visual SPC'!$K$4)),1,0))</f>
        <v/>
      </c>
      <c r="C9604">
        <f>C9603+B9604</f>
        <v/>
      </c>
      <c r="D9604">
        <f>IF(B9604=1,INDEX('Data Entry'!$H$5:$BE$10004,9604-4,'Visual SPC'!$B$3),"")</f>
        <v/>
      </c>
      <c r="E9604">
        <f>IF(B9604=1,D9604,E9603)</f>
        <v/>
      </c>
      <c r="F9604">
        <f>IF(AND(B9604=1,C9604&gt;1,E9603&lt;&gt;""),ABS(D9604-E9603),"")</f>
        <v/>
      </c>
    </row>
    <row r="9605">
      <c r="A9605" t="n">
        <v>9605</v>
      </c>
      <c r="B9605">
        <f>IF(INDEX('Data Entry'!$H$5:$BE$10004,9605-4,'Visual SPC'!$B$3)="",0,IF(AND(OR('Visual SPC'!$C$4="",'Data Entry'!$C9605&gt;='Visual SPC'!$C$4),OR('Visual SPC'!$E$4="",'Data Entry'!$C9605&lt;='Visual SPC'!$E$4),OR('Visual SPC'!$G$4="",'Data Entry'!$D9605='Visual SPC'!$G$4),OR('Visual SPC'!$I$4="",'Data Entry'!$E9605='Visual SPC'!$I$4),OR('Visual SPC'!$K$4="",'Data Entry'!$F9605='Visual SPC'!$K$4)),1,0))</f>
        <v/>
      </c>
      <c r="C9605">
        <f>C9604+B9605</f>
        <v/>
      </c>
      <c r="D9605">
        <f>IF(B9605=1,INDEX('Data Entry'!$H$5:$BE$10004,9605-4,'Visual SPC'!$B$3),"")</f>
        <v/>
      </c>
      <c r="E9605">
        <f>IF(B9605=1,D9605,E9604)</f>
        <v/>
      </c>
      <c r="F9605">
        <f>IF(AND(B9605=1,C9605&gt;1,E9604&lt;&gt;""),ABS(D9605-E9604),"")</f>
        <v/>
      </c>
    </row>
    <row r="9606">
      <c r="A9606" t="n">
        <v>9606</v>
      </c>
      <c r="B9606">
        <f>IF(INDEX('Data Entry'!$H$5:$BE$10004,9606-4,'Visual SPC'!$B$3)="",0,IF(AND(OR('Visual SPC'!$C$4="",'Data Entry'!$C9606&gt;='Visual SPC'!$C$4),OR('Visual SPC'!$E$4="",'Data Entry'!$C9606&lt;='Visual SPC'!$E$4),OR('Visual SPC'!$G$4="",'Data Entry'!$D9606='Visual SPC'!$G$4),OR('Visual SPC'!$I$4="",'Data Entry'!$E9606='Visual SPC'!$I$4),OR('Visual SPC'!$K$4="",'Data Entry'!$F9606='Visual SPC'!$K$4)),1,0))</f>
        <v/>
      </c>
      <c r="C9606">
        <f>C9605+B9606</f>
        <v/>
      </c>
      <c r="D9606">
        <f>IF(B9606=1,INDEX('Data Entry'!$H$5:$BE$10004,9606-4,'Visual SPC'!$B$3),"")</f>
        <v/>
      </c>
      <c r="E9606">
        <f>IF(B9606=1,D9606,E9605)</f>
        <v/>
      </c>
      <c r="F9606">
        <f>IF(AND(B9606=1,C9606&gt;1,E9605&lt;&gt;""),ABS(D9606-E9605),"")</f>
        <v/>
      </c>
    </row>
    <row r="9607">
      <c r="A9607" t="n">
        <v>9607</v>
      </c>
      <c r="B9607">
        <f>IF(INDEX('Data Entry'!$H$5:$BE$10004,9607-4,'Visual SPC'!$B$3)="",0,IF(AND(OR('Visual SPC'!$C$4="",'Data Entry'!$C9607&gt;='Visual SPC'!$C$4),OR('Visual SPC'!$E$4="",'Data Entry'!$C9607&lt;='Visual SPC'!$E$4),OR('Visual SPC'!$G$4="",'Data Entry'!$D9607='Visual SPC'!$G$4),OR('Visual SPC'!$I$4="",'Data Entry'!$E9607='Visual SPC'!$I$4),OR('Visual SPC'!$K$4="",'Data Entry'!$F9607='Visual SPC'!$K$4)),1,0))</f>
        <v/>
      </c>
      <c r="C9607">
        <f>C9606+B9607</f>
        <v/>
      </c>
      <c r="D9607">
        <f>IF(B9607=1,INDEX('Data Entry'!$H$5:$BE$10004,9607-4,'Visual SPC'!$B$3),"")</f>
        <v/>
      </c>
      <c r="E9607">
        <f>IF(B9607=1,D9607,E9606)</f>
        <v/>
      </c>
      <c r="F9607">
        <f>IF(AND(B9607=1,C9607&gt;1,E9606&lt;&gt;""),ABS(D9607-E9606),"")</f>
        <v/>
      </c>
    </row>
    <row r="9608">
      <c r="A9608" t="n">
        <v>9608</v>
      </c>
      <c r="B9608">
        <f>IF(INDEX('Data Entry'!$H$5:$BE$10004,9608-4,'Visual SPC'!$B$3)="",0,IF(AND(OR('Visual SPC'!$C$4="",'Data Entry'!$C9608&gt;='Visual SPC'!$C$4),OR('Visual SPC'!$E$4="",'Data Entry'!$C9608&lt;='Visual SPC'!$E$4),OR('Visual SPC'!$G$4="",'Data Entry'!$D9608='Visual SPC'!$G$4),OR('Visual SPC'!$I$4="",'Data Entry'!$E9608='Visual SPC'!$I$4),OR('Visual SPC'!$K$4="",'Data Entry'!$F9608='Visual SPC'!$K$4)),1,0))</f>
        <v/>
      </c>
      <c r="C9608">
        <f>C9607+B9608</f>
        <v/>
      </c>
      <c r="D9608">
        <f>IF(B9608=1,INDEX('Data Entry'!$H$5:$BE$10004,9608-4,'Visual SPC'!$B$3),"")</f>
        <v/>
      </c>
      <c r="E9608">
        <f>IF(B9608=1,D9608,E9607)</f>
        <v/>
      </c>
      <c r="F9608">
        <f>IF(AND(B9608=1,C9608&gt;1,E9607&lt;&gt;""),ABS(D9608-E9607),"")</f>
        <v/>
      </c>
    </row>
    <row r="9609">
      <c r="A9609" t="n">
        <v>9609</v>
      </c>
      <c r="B9609">
        <f>IF(INDEX('Data Entry'!$H$5:$BE$10004,9609-4,'Visual SPC'!$B$3)="",0,IF(AND(OR('Visual SPC'!$C$4="",'Data Entry'!$C9609&gt;='Visual SPC'!$C$4),OR('Visual SPC'!$E$4="",'Data Entry'!$C9609&lt;='Visual SPC'!$E$4),OR('Visual SPC'!$G$4="",'Data Entry'!$D9609='Visual SPC'!$G$4),OR('Visual SPC'!$I$4="",'Data Entry'!$E9609='Visual SPC'!$I$4),OR('Visual SPC'!$K$4="",'Data Entry'!$F9609='Visual SPC'!$K$4)),1,0))</f>
        <v/>
      </c>
      <c r="C9609">
        <f>C9608+B9609</f>
        <v/>
      </c>
      <c r="D9609">
        <f>IF(B9609=1,INDEX('Data Entry'!$H$5:$BE$10004,9609-4,'Visual SPC'!$B$3),"")</f>
        <v/>
      </c>
      <c r="E9609">
        <f>IF(B9609=1,D9609,E9608)</f>
        <v/>
      </c>
      <c r="F9609">
        <f>IF(AND(B9609=1,C9609&gt;1,E9608&lt;&gt;""),ABS(D9609-E9608),"")</f>
        <v/>
      </c>
    </row>
    <row r="9610">
      <c r="A9610" t="n">
        <v>9610</v>
      </c>
      <c r="B9610">
        <f>IF(INDEX('Data Entry'!$H$5:$BE$10004,9610-4,'Visual SPC'!$B$3)="",0,IF(AND(OR('Visual SPC'!$C$4="",'Data Entry'!$C9610&gt;='Visual SPC'!$C$4),OR('Visual SPC'!$E$4="",'Data Entry'!$C9610&lt;='Visual SPC'!$E$4),OR('Visual SPC'!$G$4="",'Data Entry'!$D9610='Visual SPC'!$G$4),OR('Visual SPC'!$I$4="",'Data Entry'!$E9610='Visual SPC'!$I$4),OR('Visual SPC'!$K$4="",'Data Entry'!$F9610='Visual SPC'!$K$4)),1,0))</f>
        <v/>
      </c>
      <c r="C9610">
        <f>C9609+B9610</f>
        <v/>
      </c>
      <c r="D9610">
        <f>IF(B9610=1,INDEX('Data Entry'!$H$5:$BE$10004,9610-4,'Visual SPC'!$B$3),"")</f>
        <v/>
      </c>
      <c r="E9610">
        <f>IF(B9610=1,D9610,E9609)</f>
        <v/>
      </c>
      <c r="F9610">
        <f>IF(AND(B9610=1,C9610&gt;1,E9609&lt;&gt;""),ABS(D9610-E9609),"")</f>
        <v/>
      </c>
    </row>
    <row r="9611">
      <c r="A9611" t="n">
        <v>9611</v>
      </c>
      <c r="B9611">
        <f>IF(INDEX('Data Entry'!$H$5:$BE$10004,9611-4,'Visual SPC'!$B$3)="",0,IF(AND(OR('Visual SPC'!$C$4="",'Data Entry'!$C9611&gt;='Visual SPC'!$C$4),OR('Visual SPC'!$E$4="",'Data Entry'!$C9611&lt;='Visual SPC'!$E$4),OR('Visual SPC'!$G$4="",'Data Entry'!$D9611='Visual SPC'!$G$4),OR('Visual SPC'!$I$4="",'Data Entry'!$E9611='Visual SPC'!$I$4),OR('Visual SPC'!$K$4="",'Data Entry'!$F9611='Visual SPC'!$K$4)),1,0))</f>
        <v/>
      </c>
      <c r="C9611">
        <f>C9610+B9611</f>
        <v/>
      </c>
      <c r="D9611">
        <f>IF(B9611=1,INDEX('Data Entry'!$H$5:$BE$10004,9611-4,'Visual SPC'!$B$3),"")</f>
        <v/>
      </c>
      <c r="E9611">
        <f>IF(B9611=1,D9611,E9610)</f>
        <v/>
      </c>
      <c r="F9611">
        <f>IF(AND(B9611=1,C9611&gt;1,E9610&lt;&gt;""),ABS(D9611-E9610),"")</f>
        <v/>
      </c>
    </row>
    <row r="9612">
      <c r="A9612" t="n">
        <v>9612</v>
      </c>
      <c r="B9612">
        <f>IF(INDEX('Data Entry'!$H$5:$BE$10004,9612-4,'Visual SPC'!$B$3)="",0,IF(AND(OR('Visual SPC'!$C$4="",'Data Entry'!$C9612&gt;='Visual SPC'!$C$4),OR('Visual SPC'!$E$4="",'Data Entry'!$C9612&lt;='Visual SPC'!$E$4),OR('Visual SPC'!$G$4="",'Data Entry'!$D9612='Visual SPC'!$G$4),OR('Visual SPC'!$I$4="",'Data Entry'!$E9612='Visual SPC'!$I$4),OR('Visual SPC'!$K$4="",'Data Entry'!$F9612='Visual SPC'!$K$4)),1,0))</f>
        <v/>
      </c>
      <c r="C9612">
        <f>C9611+B9612</f>
        <v/>
      </c>
      <c r="D9612">
        <f>IF(B9612=1,INDEX('Data Entry'!$H$5:$BE$10004,9612-4,'Visual SPC'!$B$3),"")</f>
        <v/>
      </c>
      <c r="E9612">
        <f>IF(B9612=1,D9612,E9611)</f>
        <v/>
      </c>
      <c r="F9612">
        <f>IF(AND(B9612=1,C9612&gt;1,E9611&lt;&gt;""),ABS(D9612-E9611),"")</f>
        <v/>
      </c>
    </row>
    <row r="9613">
      <c r="A9613" t="n">
        <v>9613</v>
      </c>
      <c r="B9613">
        <f>IF(INDEX('Data Entry'!$H$5:$BE$10004,9613-4,'Visual SPC'!$B$3)="",0,IF(AND(OR('Visual SPC'!$C$4="",'Data Entry'!$C9613&gt;='Visual SPC'!$C$4),OR('Visual SPC'!$E$4="",'Data Entry'!$C9613&lt;='Visual SPC'!$E$4),OR('Visual SPC'!$G$4="",'Data Entry'!$D9613='Visual SPC'!$G$4),OR('Visual SPC'!$I$4="",'Data Entry'!$E9613='Visual SPC'!$I$4),OR('Visual SPC'!$K$4="",'Data Entry'!$F9613='Visual SPC'!$K$4)),1,0))</f>
        <v/>
      </c>
      <c r="C9613">
        <f>C9612+B9613</f>
        <v/>
      </c>
      <c r="D9613">
        <f>IF(B9613=1,INDEX('Data Entry'!$H$5:$BE$10004,9613-4,'Visual SPC'!$B$3),"")</f>
        <v/>
      </c>
      <c r="E9613">
        <f>IF(B9613=1,D9613,E9612)</f>
        <v/>
      </c>
      <c r="F9613">
        <f>IF(AND(B9613=1,C9613&gt;1,E9612&lt;&gt;""),ABS(D9613-E9612),"")</f>
        <v/>
      </c>
    </row>
    <row r="9614">
      <c r="A9614" t="n">
        <v>9614</v>
      </c>
      <c r="B9614">
        <f>IF(INDEX('Data Entry'!$H$5:$BE$10004,9614-4,'Visual SPC'!$B$3)="",0,IF(AND(OR('Visual SPC'!$C$4="",'Data Entry'!$C9614&gt;='Visual SPC'!$C$4),OR('Visual SPC'!$E$4="",'Data Entry'!$C9614&lt;='Visual SPC'!$E$4),OR('Visual SPC'!$G$4="",'Data Entry'!$D9614='Visual SPC'!$G$4),OR('Visual SPC'!$I$4="",'Data Entry'!$E9614='Visual SPC'!$I$4),OR('Visual SPC'!$K$4="",'Data Entry'!$F9614='Visual SPC'!$K$4)),1,0))</f>
        <v/>
      </c>
      <c r="C9614">
        <f>C9613+B9614</f>
        <v/>
      </c>
      <c r="D9614">
        <f>IF(B9614=1,INDEX('Data Entry'!$H$5:$BE$10004,9614-4,'Visual SPC'!$B$3),"")</f>
        <v/>
      </c>
      <c r="E9614">
        <f>IF(B9614=1,D9614,E9613)</f>
        <v/>
      </c>
      <c r="F9614">
        <f>IF(AND(B9614=1,C9614&gt;1,E9613&lt;&gt;""),ABS(D9614-E9613),"")</f>
        <v/>
      </c>
    </row>
    <row r="9615">
      <c r="A9615" t="n">
        <v>9615</v>
      </c>
      <c r="B9615">
        <f>IF(INDEX('Data Entry'!$H$5:$BE$10004,9615-4,'Visual SPC'!$B$3)="",0,IF(AND(OR('Visual SPC'!$C$4="",'Data Entry'!$C9615&gt;='Visual SPC'!$C$4),OR('Visual SPC'!$E$4="",'Data Entry'!$C9615&lt;='Visual SPC'!$E$4),OR('Visual SPC'!$G$4="",'Data Entry'!$D9615='Visual SPC'!$G$4),OR('Visual SPC'!$I$4="",'Data Entry'!$E9615='Visual SPC'!$I$4),OR('Visual SPC'!$K$4="",'Data Entry'!$F9615='Visual SPC'!$K$4)),1,0))</f>
        <v/>
      </c>
      <c r="C9615">
        <f>C9614+B9615</f>
        <v/>
      </c>
      <c r="D9615">
        <f>IF(B9615=1,INDEX('Data Entry'!$H$5:$BE$10004,9615-4,'Visual SPC'!$B$3),"")</f>
        <v/>
      </c>
      <c r="E9615">
        <f>IF(B9615=1,D9615,E9614)</f>
        <v/>
      </c>
      <c r="F9615">
        <f>IF(AND(B9615=1,C9615&gt;1,E9614&lt;&gt;""),ABS(D9615-E9614),"")</f>
        <v/>
      </c>
    </row>
    <row r="9616">
      <c r="A9616" t="n">
        <v>9616</v>
      </c>
      <c r="B9616">
        <f>IF(INDEX('Data Entry'!$H$5:$BE$10004,9616-4,'Visual SPC'!$B$3)="",0,IF(AND(OR('Visual SPC'!$C$4="",'Data Entry'!$C9616&gt;='Visual SPC'!$C$4),OR('Visual SPC'!$E$4="",'Data Entry'!$C9616&lt;='Visual SPC'!$E$4),OR('Visual SPC'!$G$4="",'Data Entry'!$D9616='Visual SPC'!$G$4),OR('Visual SPC'!$I$4="",'Data Entry'!$E9616='Visual SPC'!$I$4),OR('Visual SPC'!$K$4="",'Data Entry'!$F9616='Visual SPC'!$K$4)),1,0))</f>
        <v/>
      </c>
      <c r="C9616">
        <f>C9615+B9616</f>
        <v/>
      </c>
      <c r="D9616">
        <f>IF(B9616=1,INDEX('Data Entry'!$H$5:$BE$10004,9616-4,'Visual SPC'!$B$3),"")</f>
        <v/>
      </c>
      <c r="E9616">
        <f>IF(B9616=1,D9616,E9615)</f>
        <v/>
      </c>
      <c r="F9616">
        <f>IF(AND(B9616=1,C9616&gt;1,E9615&lt;&gt;""),ABS(D9616-E9615),"")</f>
        <v/>
      </c>
    </row>
    <row r="9617">
      <c r="A9617" t="n">
        <v>9617</v>
      </c>
      <c r="B9617">
        <f>IF(INDEX('Data Entry'!$H$5:$BE$10004,9617-4,'Visual SPC'!$B$3)="",0,IF(AND(OR('Visual SPC'!$C$4="",'Data Entry'!$C9617&gt;='Visual SPC'!$C$4),OR('Visual SPC'!$E$4="",'Data Entry'!$C9617&lt;='Visual SPC'!$E$4),OR('Visual SPC'!$G$4="",'Data Entry'!$D9617='Visual SPC'!$G$4),OR('Visual SPC'!$I$4="",'Data Entry'!$E9617='Visual SPC'!$I$4),OR('Visual SPC'!$K$4="",'Data Entry'!$F9617='Visual SPC'!$K$4)),1,0))</f>
        <v/>
      </c>
      <c r="C9617">
        <f>C9616+B9617</f>
        <v/>
      </c>
      <c r="D9617">
        <f>IF(B9617=1,INDEX('Data Entry'!$H$5:$BE$10004,9617-4,'Visual SPC'!$B$3),"")</f>
        <v/>
      </c>
      <c r="E9617">
        <f>IF(B9617=1,D9617,E9616)</f>
        <v/>
      </c>
      <c r="F9617">
        <f>IF(AND(B9617=1,C9617&gt;1,E9616&lt;&gt;""),ABS(D9617-E9616),"")</f>
        <v/>
      </c>
    </row>
    <row r="9618">
      <c r="A9618" t="n">
        <v>9618</v>
      </c>
      <c r="B9618">
        <f>IF(INDEX('Data Entry'!$H$5:$BE$10004,9618-4,'Visual SPC'!$B$3)="",0,IF(AND(OR('Visual SPC'!$C$4="",'Data Entry'!$C9618&gt;='Visual SPC'!$C$4),OR('Visual SPC'!$E$4="",'Data Entry'!$C9618&lt;='Visual SPC'!$E$4),OR('Visual SPC'!$G$4="",'Data Entry'!$D9618='Visual SPC'!$G$4),OR('Visual SPC'!$I$4="",'Data Entry'!$E9618='Visual SPC'!$I$4),OR('Visual SPC'!$K$4="",'Data Entry'!$F9618='Visual SPC'!$K$4)),1,0))</f>
        <v/>
      </c>
      <c r="C9618">
        <f>C9617+B9618</f>
        <v/>
      </c>
      <c r="D9618">
        <f>IF(B9618=1,INDEX('Data Entry'!$H$5:$BE$10004,9618-4,'Visual SPC'!$B$3),"")</f>
        <v/>
      </c>
      <c r="E9618">
        <f>IF(B9618=1,D9618,E9617)</f>
        <v/>
      </c>
      <c r="F9618">
        <f>IF(AND(B9618=1,C9618&gt;1,E9617&lt;&gt;""),ABS(D9618-E9617),"")</f>
        <v/>
      </c>
    </row>
    <row r="9619">
      <c r="A9619" t="n">
        <v>9619</v>
      </c>
      <c r="B9619">
        <f>IF(INDEX('Data Entry'!$H$5:$BE$10004,9619-4,'Visual SPC'!$B$3)="",0,IF(AND(OR('Visual SPC'!$C$4="",'Data Entry'!$C9619&gt;='Visual SPC'!$C$4),OR('Visual SPC'!$E$4="",'Data Entry'!$C9619&lt;='Visual SPC'!$E$4),OR('Visual SPC'!$G$4="",'Data Entry'!$D9619='Visual SPC'!$G$4),OR('Visual SPC'!$I$4="",'Data Entry'!$E9619='Visual SPC'!$I$4),OR('Visual SPC'!$K$4="",'Data Entry'!$F9619='Visual SPC'!$K$4)),1,0))</f>
        <v/>
      </c>
      <c r="C9619">
        <f>C9618+B9619</f>
        <v/>
      </c>
      <c r="D9619">
        <f>IF(B9619=1,INDEX('Data Entry'!$H$5:$BE$10004,9619-4,'Visual SPC'!$B$3),"")</f>
        <v/>
      </c>
      <c r="E9619">
        <f>IF(B9619=1,D9619,E9618)</f>
        <v/>
      </c>
      <c r="F9619">
        <f>IF(AND(B9619=1,C9619&gt;1,E9618&lt;&gt;""),ABS(D9619-E9618),"")</f>
        <v/>
      </c>
    </row>
    <row r="9620">
      <c r="A9620" t="n">
        <v>9620</v>
      </c>
      <c r="B9620">
        <f>IF(INDEX('Data Entry'!$H$5:$BE$10004,9620-4,'Visual SPC'!$B$3)="",0,IF(AND(OR('Visual SPC'!$C$4="",'Data Entry'!$C9620&gt;='Visual SPC'!$C$4),OR('Visual SPC'!$E$4="",'Data Entry'!$C9620&lt;='Visual SPC'!$E$4),OR('Visual SPC'!$G$4="",'Data Entry'!$D9620='Visual SPC'!$G$4),OR('Visual SPC'!$I$4="",'Data Entry'!$E9620='Visual SPC'!$I$4),OR('Visual SPC'!$K$4="",'Data Entry'!$F9620='Visual SPC'!$K$4)),1,0))</f>
        <v/>
      </c>
      <c r="C9620">
        <f>C9619+B9620</f>
        <v/>
      </c>
      <c r="D9620">
        <f>IF(B9620=1,INDEX('Data Entry'!$H$5:$BE$10004,9620-4,'Visual SPC'!$B$3),"")</f>
        <v/>
      </c>
      <c r="E9620">
        <f>IF(B9620=1,D9620,E9619)</f>
        <v/>
      </c>
      <c r="F9620">
        <f>IF(AND(B9620=1,C9620&gt;1,E9619&lt;&gt;""),ABS(D9620-E9619),"")</f>
        <v/>
      </c>
    </row>
    <row r="9621">
      <c r="A9621" t="n">
        <v>9621</v>
      </c>
      <c r="B9621">
        <f>IF(INDEX('Data Entry'!$H$5:$BE$10004,9621-4,'Visual SPC'!$B$3)="",0,IF(AND(OR('Visual SPC'!$C$4="",'Data Entry'!$C9621&gt;='Visual SPC'!$C$4),OR('Visual SPC'!$E$4="",'Data Entry'!$C9621&lt;='Visual SPC'!$E$4),OR('Visual SPC'!$G$4="",'Data Entry'!$D9621='Visual SPC'!$G$4),OR('Visual SPC'!$I$4="",'Data Entry'!$E9621='Visual SPC'!$I$4),OR('Visual SPC'!$K$4="",'Data Entry'!$F9621='Visual SPC'!$K$4)),1,0))</f>
        <v/>
      </c>
      <c r="C9621">
        <f>C9620+B9621</f>
        <v/>
      </c>
      <c r="D9621">
        <f>IF(B9621=1,INDEX('Data Entry'!$H$5:$BE$10004,9621-4,'Visual SPC'!$B$3),"")</f>
        <v/>
      </c>
      <c r="E9621">
        <f>IF(B9621=1,D9621,E9620)</f>
        <v/>
      </c>
      <c r="F9621">
        <f>IF(AND(B9621=1,C9621&gt;1,E9620&lt;&gt;""),ABS(D9621-E9620),"")</f>
        <v/>
      </c>
    </row>
    <row r="9622">
      <c r="A9622" t="n">
        <v>9622</v>
      </c>
      <c r="B9622">
        <f>IF(INDEX('Data Entry'!$H$5:$BE$10004,9622-4,'Visual SPC'!$B$3)="",0,IF(AND(OR('Visual SPC'!$C$4="",'Data Entry'!$C9622&gt;='Visual SPC'!$C$4),OR('Visual SPC'!$E$4="",'Data Entry'!$C9622&lt;='Visual SPC'!$E$4),OR('Visual SPC'!$G$4="",'Data Entry'!$D9622='Visual SPC'!$G$4),OR('Visual SPC'!$I$4="",'Data Entry'!$E9622='Visual SPC'!$I$4),OR('Visual SPC'!$K$4="",'Data Entry'!$F9622='Visual SPC'!$K$4)),1,0))</f>
        <v/>
      </c>
      <c r="C9622">
        <f>C9621+B9622</f>
        <v/>
      </c>
      <c r="D9622">
        <f>IF(B9622=1,INDEX('Data Entry'!$H$5:$BE$10004,9622-4,'Visual SPC'!$B$3),"")</f>
        <v/>
      </c>
      <c r="E9622">
        <f>IF(B9622=1,D9622,E9621)</f>
        <v/>
      </c>
      <c r="F9622">
        <f>IF(AND(B9622=1,C9622&gt;1,E9621&lt;&gt;""),ABS(D9622-E9621),"")</f>
        <v/>
      </c>
    </row>
    <row r="9623">
      <c r="A9623" t="n">
        <v>9623</v>
      </c>
      <c r="B9623">
        <f>IF(INDEX('Data Entry'!$H$5:$BE$10004,9623-4,'Visual SPC'!$B$3)="",0,IF(AND(OR('Visual SPC'!$C$4="",'Data Entry'!$C9623&gt;='Visual SPC'!$C$4),OR('Visual SPC'!$E$4="",'Data Entry'!$C9623&lt;='Visual SPC'!$E$4),OR('Visual SPC'!$G$4="",'Data Entry'!$D9623='Visual SPC'!$G$4),OR('Visual SPC'!$I$4="",'Data Entry'!$E9623='Visual SPC'!$I$4),OR('Visual SPC'!$K$4="",'Data Entry'!$F9623='Visual SPC'!$K$4)),1,0))</f>
        <v/>
      </c>
      <c r="C9623">
        <f>C9622+B9623</f>
        <v/>
      </c>
      <c r="D9623">
        <f>IF(B9623=1,INDEX('Data Entry'!$H$5:$BE$10004,9623-4,'Visual SPC'!$B$3),"")</f>
        <v/>
      </c>
      <c r="E9623">
        <f>IF(B9623=1,D9623,E9622)</f>
        <v/>
      </c>
      <c r="F9623">
        <f>IF(AND(B9623=1,C9623&gt;1,E9622&lt;&gt;""),ABS(D9623-E9622),"")</f>
        <v/>
      </c>
    </row>
    <row r="9624">
      <c r="A9624" t="n">
        <v>9624</v>
      </c>
      <c r="B9624">
        <f>IF(INDEX('Data Entry'!$H$5:$BE$10004,9624-4,'Visual SPC'!$B$3)="",0,IF(AND(OR('Visual SPC'!$C$4="",'Data Entry'!$C9624&gt;='Visual SPC'!$C$4),OR('Visual SPC'!$E$4="",'Data Entry'!$C9624&lt;='Visual SPC'!$E$4),OR('Visual SPC'!$G$4="",'Data Entry'!$D9624='Visual SPC'!$G$4),OR('Visual SPC'!$I$4="",'Data Entry'!$E9624='Visual SPC'!$I$4),OR('Visual SPC'!$K$4="",'Data Entry'!$F9624='Visual SPC'!$K$4)),1,0))</f>
        <v/>
      </c>
      <c r="C9624">
        <f>C9623+B9624</f>
        <v/>
      </c>
      <c r="D9624">
        <f>IF(B9624=1,INDEX('Data Entry'!$H$5:$BE$10004,9624-4,'Visual SPC'!$B$3),"")</f>
        <v/>
      </c>
      <c r="E9624">
        <f>IF(B9624=1,D9624,E9623)</f>
        <v/>
      </c>
      <c r="F9624">
        <f>IF(AND(B9624=1,C9624&gt;1,E9623&lt;&gt;""),ABS(D9624-E9623),"")</f>
        <v/>
      </c>
    </row>
    <row r="9625">
      <c r="A9625" t="n">
        <v>9625</v>
      </c>
      <c r="B9625">
        <f>IF(INDEX('Data Entry'!$H$5:$BE$10004,9625-4,'Visual SPC'!$B$3)="",0,IF(AND(OR('Visual SPC'!$C$4="",'Data Entry'!$C9625&gt;='Visual SPC'!$C$4),OR('Visual SPC'!$E$4="",'Data Entry'!$C9625&lt;='Visual SPC'!$E$4),OR('Visual SPC'!$G$4="",'Data Entry'!$D9625='Visual SPC'!$G$4),OR('Visual SPC'!$I$4="",'Data Entry'!$E9625='Visual SPC'!$I$4),OR('Visual SPC'!$K$4="",'Data Entry'!$F9625='Visual SPC'!$K$4)),1,0))</f>
        <v/>
      </c>
      <c r="C9625">
        <f>C9624+B9625</f>
        <v/>
      </c>
      <c r="D9625">
        <f>IF(B9625=1,INDEX('Data Entry'!$H$5:$BE$10004,9625-4,'Visual SPC'!$B$3),"")</f>
        <v/>
      </c>
      <c r="E9625">
        <f>IF(B9625=1,D9625,E9624)</f>
        <v/>
      </c>
      <c r="F9625">
        <f>IF(AND(B9625=1,C9625&gt;1,E9624&lt;&gt;""),ABS(D9625-E9624),"")</f>
        <v/>
      </c>
    </row>
    <row r="9626">
      <c r="A9626" t="n">
        <v>9626</v>
      </c>
      <c r="B9626">
        <f>IF(INDEX('Data Entry'!$H$5:$BE$10004,9626-4,'Visual SPC'!$B$3)="",0,IF(AND(OR('Visual SPC'!$C$4="",'Data Entry'!$C9626&gt;='Visual SPC'!$C$4),OR('Visual SPC'!$E$4="",'Data Entry'!$C9626&lt;='Visual SPC'!$E$4),OR('Visual SPC'!$G$4="",'Data Entry'!$D9626='Visual SPC'!$G$4),OR('Visual SPC'!$I$4="",'Data Entry'!$E9626='Visual SPC'!$I$4),OR('Visual SPC'!$K$4="",'Data Entry'!$F9626='Visual SPC'!$K$4)),1,0))</f>
        <v/>
      </c>
      <c r="C9626">
        <f>C9625+B9626</f>
        <v/>
      </c>
      <c r="D9626">
        <f>IF(B9626=1,INDEX('Data Entry'!$H$5:$BE$10004,9626-4,'Visual SPC'!$B$3),"")</f>
        <v/>
      </c>
      <c r="E9626">
        <f>IF(B9626=1,D9626,E9625)</f>
        <v/>
      </c>
      <c r="F9626">
        <f>IF(AND(B9626=1,C9626&gt;1,E9625&lt;&gt;""),ABS(D9626-E9625),"")</f>
        <v/>
      </c>
    </row>
    <row r="9627">
      <c r="A9627" t="n">
        <v>9627</v>
      </c>
      <c r="B9627">
        <f>IF(INDEX('Data Entry'!$H$5:$BE$10004,9627-4,'Visual SPC'!$B$3)="",0,IF(AND(OR('Visual SPC'!$C$4="",'Data Entry'!$C9627&gt;='Visual SPC'!$C$4),OR('Visual SPC'!$E$4="",'Data Entry'!$C9627&lt;='Visual SPC'!$E$4),OR('Visual SPC'!$G$4="",'Data Entry'!$D9627='Visual SPC'!$G$4),OR('Visual SPC'!$I$4="",'Data Entry'!$E9627='Visual SPC'!$I$4),OR('Visual SPC'!$K$4="",'Data Entry'!$F9627='Visual SPC'!$K$4)),1,0))</f>
        <v/>
      </c>
      <c r="C9627">
        <f>C9626+B9627</f>
        <v/>
      </c>
      <c r="D9627">
        <f>IF(B9627=1,INDEX('Data Entry'!$H$5:$BE$10004,9627-4,'Visual SPC'!$B$3),"")</f>
        <v/>
      </c>
      <c r="E9627">
        <f>IF(B9627=1,D9627,E9626)</f>
        <v/>
      </c>
      <c r="F9627">
        <f>IF(AND(B9627=1,C9627&gt;1,E9626&lt;&gt;""),ABS(D9627-E9626),"")</f>
        <v/>
      </c>
    </row>
    <row r="9628">
      <c r="A9628" t="n">
        <v>9628</v>
      </c>
      <c r="B9628">
        <f>IF(INDEX('Data Entry'!$H$5:$BE$10004,9628-4,'Visual SPC'!$B$3)="",0,IF(AND(OR('Visual SPC'!$C$4="",'Data Entry'!$C9628&gt;='Visual SPC'!$C$4),OR('Visual SPC'!$E$4="",'Data Entry'!$C9628&lt;='Visual SPC'!$E$4),OR('Visual SPC'!$G$4="",'Data Entry'!$D9628='Visual SPC'!$G$4),OR('Visual SPC'!$I$4="",'Data Entry'!$E9628='Visual SPC'!$I$4),OR('Visual SPC'!$K$4="",'Data Entry'!$F9628='Visual SPC'!$K$4)),1,0))</f>
        <v/>
      </c>
      <c r="C9628">
        <f>C9627+B9628</f>
        <v/>
      </c>
      <c r="D9628">
        <f>IF(B9628=1,INDEX('Data Entry'!$H$5:$BE$10004,9628-4,'Visual SPC'!$B$3),"")</f>
        <v/>
      </c>
      <c r="E9628">
        <f>IF(B9628=1,D9628,E9627)</f>
        <v/>
      </c>
      <c r="F9628">
        <f>IF(AND(B9628=1,C9628&gt;1,E9627&lt;&gt;""),ABS(D9628-E9627),"")</f>
        <v/>
      </c>
    </row>
    <row r="9629">
      <c r="A9629" t="n">
        <v>9629</v>
      </c>
      <c r="B9629">
        <f>IF(INDEX('Data Entry'!$H$5:$BE$10004,9629-4,'Visual SPC'!$B$3)="",0,IF(AND(OR('Visual SPC'!$C$4="",'Data Entry'!$C9629&gt;='Visual SPC'!$C$4),OR('Visual SPC'!$E$4="",'Data Entry'!$C9629&lt;='Visual SPC'!$E$4),OR('Visual SPC'!$G$4="",'Data Entry'!$D9629='Visual SPC'!$G$4),OR('Visual SPC'!$I$4="",'Data Entry'!$E9629='Visual SPC'!$I$4),OR('Visual SPC'!$K$4="",'Data Entry'!$F9629='Visual SPC'!$K$4)),1,0))</f>
        <v/>
      </c>
      <c r="C9629">
        <f>C9628+B9629</f>
        <v/>
      </c>
      <c r="D9629">
        <f>IF(B9629=1,INDEX('Data Entry'!$H$5:$BE$10004,9629-4,'Visual SPC'!$B$3),"")</f>
        <v/>
      </c>
      <c r="E9629">
        <f>IF(B9629=1,D9629,E9628)</f>
        <v/>
      </c>
      <c r="F9629">
        <f>IF(AND(B9629=1,C9629&gt;1,E9628&lt;&gt;""),ABS(D9629-E9628),"")</f>
        <v/>
      </c>
    </row>
    <row r="9630">
      <c r="A9630" t="n">
        <v>9630</v>
      </c>
      <c r="B9630">
        <f>IF(INDEX('Data Entry'!$H$5:$BE$10004,9630-4,'Visual SPC'!$B$3)="",0,IF(AND(OR('Visual SPC'!$C$4="",'Data Entry'!$C9630&gt;='Visual SPC'!$C$4),OR('Visual SPC'!$E$4="",'Data Entry'!$C9630&lt;='Visual SPC'!$E$4),OR('Visual SPC'!$G$4="",'Data Entry'!$D9630='Visual SPC'!$G$4),OR('Visual SPC'!$I$4="",'Data Entry'!$E9630='Visual SPC'!$I$4),OR('Visual SPC'!$K$4="",'Data Entry'!$F9630='Visual SPC'!$K$4)),1,0))</f>
        <v/>
      </c>
      <c r="C9630">
        <f>C9629+B9630</f>
        <v/>
      </c>
      <c r="D9630">
        <f>IF(B9630=1,INDEX('Data Entry'!$H$5:$BE$10004,9630-4,'Visual SPC'!$B$3),"")</f>
        <v/>
      </c>
      <c r="E9630">
        <f>IF(B9630=1,D9630,E9629)</f>
        <v/>
      </c>
      <c r="F9630">
        <f>IF(AND(B9630=1,C9630&gt;1,E9629&lt;&gt;""),ABS(D9630-E9629),"")</f>
        <v/>
      </c>
    </row>
    <row r="9631">
      <c r="A9631" t="n">
        <v>9631</v>
      </c>
      <c r="B9631">
        <f>IF(INDEX('Data Entry'!$H$5:$BE$10004,9631-4,'Visual SPC'!$B$3)="",0,IF(AND(OR('Visual SPC'!$C$4="",'Data Entry'!$C9631&gt;='Visual SPC'!$C$4),OR('Visual SPC'!$E$4="",'Data Entry'!$C9631&lt;='Visual SPC'!$E$4),OR('Visual SPC'!$G$4="",'Data Entry'!$D9631='Visual SPC'!$G$4),OR('Visual SPC'!$I$4="",'Data Entry'!$E9631='Visual SPC'!$I$4),OR('Visual SPC'!$K$4="",'Data Entry'!$F9631='Visual SPC'!$K$4)),1,0))</f>
        <v/>
      </c>
      <c r="C9631">
        <f>C9630+B9631</f>
        <v/>
      </c>
      <c r="D9631">
        <f>IF(B9631=1,INDEX('Data Entry'!$H$5:$BE$10004,9631-4,'Visual SPC'!$B$3),"")</f>
        <v/>
      </c>
      <c r="E9631">
        <f>IF(B9631=1,D9631,E9630)</f>
        <v/>
      </c>
      <c r="F9631">
        <f>IF(AND(B9631=1,C9631&gt;1,E9630&lt;&gt;""),ABS(D9631-E9630),"")</f>
        <v/>
      </c>
    </row>
    <row r="9632">
      <c r="A9632" t="n">
        <v>9632</v>
      </c>
      <c r="B9632">
        <f>IF(INDEX('Data Entry'!$H$5:$BE$10004,9632-4,'Visual SPC'!$B$3)="",0,IF(AND(OR('Visual SPC'!$C$4="",'Data Entry'!$C9632&gt;='Visual SPC'!$C$4),OR('Visual SPC'!$E$4="",'Data Entry'!$C9632&lt;='Visual SPC'!$E$4),OR('Visual SPC'!$G$4="",'Data Entry'!$D9632='Visual SPC'!$G$4),OR('Visual SPC'!$I$4="",'Data Entry'!$E9632='Visual SPC'!$I$4),OR('Visual SPC'!$K$4="",'Data Entry'!$F9632='Visual SPC'!$K$4)),1,0))</f>
        <v/>
      </c>
      <c r="C9632">
        <f>C9631+B9632</f>
        <v/>
      </c>
      <c r="D9632">
        <f>IF(B9632=1,INDEX('Data Entry'!$H$5:$BE$10004,9632-4,'Visual SPC'!$B$3),"")</f>
        <v/>
      </c>
      <c r="E9632">
        <f>IF(B9632=1,D9632,E9631)</f>
        <v/>
      </c>
      <c r="F9632">
        <f>IF(AND(B9632=1,C9632&gt;1,E9631&lt;&gt;""),ABS(D9632-E9631),"")</f>
        <v/>
      </c>
    </row>
    <row r="9633">
      <c r="A9633" t="n">
        <v>9633</v>
      </c>
      <c r="B9633">
        <f>IF(INDEX('Data Entry'!$H$5:$BE$10004,9633-4,'Visual SPC'!$B$3)="",0,IF(AND(OR('Visual SPC'!$C$4="",'Data Entry'!$C9633&gt;='Visual SPC'!$C$4),OR('Visual SPC'!$E$4="",'Data Entry'!$C9633&lt;='Visual SPC'!$E$4),OR('Visual SPC'!$G$4="",'Data Entry'!$D9633='Visual SPC'!$G$4),OR('Visual SPC'!$I$4="",'Data Entry'!$E9633='Visual SPC'!$I$4),OR('Visual SPC'!$K$4="",'Data Entry'!$F9633='Visual SPC'!$K$4)),1,0))</f>
        <v/>
      </c>
      <c r="C9633">
        <f>C9632+B9633</f>
        <v/>
      </c>
      <c r="D9633">
        <f>IF(B9633=1,INDEX('Data Entry'!$H$5:$BE$10004,9633-4,'Visual SPC'!$B$3),"")</f>
        <v/>
      </c>
      <c r="E9633">
        <f>IF(B9633=1,D9633,E9632)</f>
        <v/>
      </c>
      <c r="F9633">
        <f>IF(AND(B9633=1,C9633&gt;1,E9632&lt;&gt;""),ABS(D9633-E9632),"")</f>
        <v/>
      </c>
    </row>
    <row r="9634">
      <c r="A9634" t="n">
        <v>9634</v>
      </c>
      <c r="B9634">
        <f>IF(INDEX('Data Entry'!$H$5:$BE$10004,9634-4,'Visual SPC'!$B$3)="",0,IF(AND(OR('Visual SPC'!$C$4="",'Data Entry'!$C9634&gt;='Visual SPC'!$C$4),OR('Visual SPC'!$E$4="",'Data Entry'!$C9634&lt;='Visual SPC'!$E$4),OR('Visual SPC'!$G$4="",'Data Entry'!$D9634='Visual SPC'!$G$4),OR('Visual SPC'!$I$4="",'Data Entry'!$E9634='Visual SPC'!$I$4),OR('Visual SPC'!$K$4="",'Data Entry'!$F9634='Visual SPC'!$K$4)),1,0))</f>
        <v/>
      </c>
      <c r="C9634">
        <f>C9633+B9634</f>
        <v/>
      </c>
      <c r="D9634">
        <f>IF(B9634=1,INDEX('Data Entry'!$H$5:$BE$10004,9634-4,'Visual SPC'!$B$3),"")</f>
        <v/>
      </c>
      <c r="E9634">
        <f>IF(B9634=1,D9634,E9633)</f>
        <v/>
      </c>
      <c r="F9634">
        <f>IF(AND(B9634=1,C9634&gt;1,E9633&lt;&gt;""),ABS(D9634-E9633),"")</f>
        <v/>
      </c>
    </row>
    <row r="9635">
      <c r="A9635" t="n">
        <v>9635</v>
      </c>
      <c r="B9635">
        <f>IF(INDEX('Data Entry'!$H$5:$BE$10004,9635-4,'Visual SPC'!$B$3)="",0,IF(AND(OR('Visual SPC'!$C$4="",'Data Entry'!$C9635&gt;='Visual SPC'!$C$4),OR('Visual SPC'!$E$4="",'Data Entry'!$C9635&lt;='Visual SPC'!$E$4),OR('Visual SPC'!$G$4="",'Data Entry'!$D9635='Visual SPC'!$G$4),OR('Visual SPC'!$I$4="",'Data Entry'!$E9635='Visual SPC'!$I$4),OR('Visual SPC'!$K$4="",'Data Entry'!$F9635='Visual SPC'!$K$4)),1,0))</f>
        <v/>
      </c>
      <c r="C9635">
        <f>C9634+B9635</f>
        <v/>
      </c>
      <c r="D9635">
        <f>IF(B9635=1,INDEX('Data Entry'!$H$5:$BE$10004,9635-4,'Visual SPC'!$B$3),"")</f>
        <v/>
      </c>
      <c r="E9635">
        <f>IF(B9635=1,D9635,E9634)</f>
        <v/>
      </c>
      <c r="F9635">
        <f>IF(AND(B9635=1,C9635&gt;1,E9634&lt;&gt;""),ABS(D9635-E9634),"")</f>
        <v/>
      </c>
    </row>
    <row r="9636">
      <c r="A9636" t="n">
        <v>9636</v>
      </c>
      <c r="B9636">
        <f>IF(INDEX('Data Entry'!$H$5:$BE$10004,9636-4,'Visual SPC'!$B$3)="",0,IF(AND(OR('Visual SPC'!$C$4="",'Data Entry'!$C9636&gt;='Visual SPC'!$C$4),OR('Visual SPC'!$E$4="",'Data Entry'!$C9636&lt;='Visual SPC'!$E$4),OR('Visual SPC'!$G$4="",'Data Entry'!$D9636='Visual SPC'!$G$4),OR('Visual SPC'!$I$4="",'Data Entry'!$E9636='Visual SPC'!$I$4),OR('Visual SPC'!$K$4="",'Data Entry'!$F9636='Visual SPC'!$K$4)),1,0))</f>
        <v/>
      </c>
      <c r="C9636">
        <f>C9635+B9636</f>
        <v/>
      </c>
      <c r="D9636">
        <f>IF(B9636=1,INDEX('Data Entry'!$H$5:$BE$10004,9636-4,'Visual SPC'!$B$3),"")</f>
        <v/>
      </c>
      <c r="E9636">
        <f>IF(B9636=1,D9636,E9635)</f>
        <v/>
      </c>
      <c r="F9636">
        <f>IF(AND(B9636=1,C9636&gt;1,E9635&lt;&gt;""),ABS(D9636-E9635),"")</f>
        <v/>
      </c>
    </row>
    <row r="9637">
      <c r="A9637" t="n">
        <v>9637</v>
      </c>
      <c r="B9637">
        <f>IF(INDEX('Data Entry'!$H$5:$BE$10004,9637-4,'Visual SPC'!$B$3)="",0,IF(AND(OR('Visual SPC'!$C$4="",'Data Entry'!$C9637&gt;='Visual SPC'!$C$4),OR('Visual SPC'!$E$4="",'Data Entry'!$C9637&lt;='Visual SPC'!$E$4),OR('Visual SPC'!$G$4="",'Data Entry'!$D9637='Visual SPC'!$G$4),OR('Visual SPC'!$I$4="",'Data Entry'!$E9637='Visual SPC'!$I$4),OR('Visual SPC'!$K$4="",'Data Entry'!$F9637='Visual SPC'!$K$4)),1,0))</f>
        <v/>
      </c>
      <c r="C9637">
        <f>C9636+B9637</f>
        <v/>
      </c>
      <c r="D9637">
        <f>IF(B9637=1,INDEX('Data Entry'!$H$5:$BE$10004,9637-4,'Visual SPC'!$B$3),"")</f>
        <v/>
      </c>
      <c r="E9637">
        <f>IF(B9637=1,D9637,E9636)</f>
        <v/>
      </c>
      <c r="F9637">
        <f>IF(AND(B9637=1,C9637&gt;1,E9636&lt;&gt;""),ABS(D9637-E9636),"")</f>
        <v/>
      </c>
    </row>
    <row r="9638">
      <c r="A9638" t="n">
        <v>9638</v>
      </c>
      <c r="B9638">
        <f>IF(INDEX('Data Entry'!$H$5:$BE$10004,9638-4,'Visual SPC'!$B$3)="",0,IF(AND(OR('Visual SPC'!$C$4="",'Data Entry'!$C9638&gt;='Visual SPC'!$C$4),OR('Visual SPC'!$E$4="",'Data Entry'!$C9638&lt;='Visual SPC'!$E$4),OR('Visual SPC'!$G$4="",'Data Entry'!$D9638='Visual SPC'!$G$4),OR('Visual SPC'!$I$4="",'Data Entry'!$E9638='Visual SPC'!$I$4),OR('Visual SPC'!$K$4="",'Data Entry'!$F9638='Visual SPC'!$K$4)),1,0))</f>
        <v/>
      </c>
      <c r="C9638">
        <f>C9637+B9638</f>
        <v/>
      </c>
      <c r="D9638">
        <f>IF(B9638=1,INDEX('Data Entry'!$H$5:$BE$10004,9638-4,'Visual SPC'!$B$3),"")</f>
        <v/>
      </c>
      <c r="E9638">
        <f>IF(B9638=1,D9638,E9637)</f>
        <v/>
      </c>
      <c r="F9638">
        <f>IF(AND(B9638=1,C9638&gt;1,E9637&lt;&gt;""),ABS(D9638-E9637),"")</f>
        <v/>
      </c>
    </row>
    <row r="9639">
      <c r="A9639" t="n">
        <v>9639</v>
      </c>
      <c r="B9639">
        <f>IF(INDEX('Data Entry'!$H$5:$BE$10004,9639-4,'Visual SPC'!$B$3)="",0,IF(AND(OR('Visual SPC'!$C$4="",'Data Entry'!$C9639&gt;='Visual SPC'!$C$4),OR('Visual SPC'!$E$4="",'Data Entry'!$C9639&lt;='Visual SPC'!$E$4),OR('Visual SPC'!$G$4="",'Data Entry'!$D9639='Visual SPC'!$G$4),OR('Visual SPC'!$I$4="",'Data Entry'!$E9639='Visual SPC'!$I$4),OR('Visual SPC'!$K$4="",'Data Entry'!$F9639='Visual SPC'!$K$4)),1,0))</f>
        <v/>
      </c>
      <c r="C9639">
        <f>C9638+B9639</f>
        <v/>
      </c>
      <c r="D9639">
        <f>IF(B9639=1,INDEX('Data Entry'!$H$5:$BE$10004,9639-4,'Visual SPC'!$B$3),"")</f>
        <v/>
      </c>
      <c r="E9639">
        <f>IF(B9639=1,D9639,E9638)</f>
        <v/>
      </c>
      <c r="F9639">
        <f>IF(AND(B9639=1,C9639&gt;1,E9638&lt;&gt;""),ABS(D9639-E9638),"")</f>
        <v/>
      </c>
    </row>
    <row r="9640">
      <c r="A9640" t="n">
        <v>9640</v>
      </c>
      <c r="B9640">
        <f>IF(INDEX('Data Entry'!$H$5:$BE$10004,9640-4,'Visual SPC'!$B$3)="",0,IF(AND(OR('Visual SPC'!$C$4="",'Data Entry'!$C9640&gt;='Visual SPC'!$C$4),OR('Visual SPC'!$E$4="",'Data Entry'!$C9640&lt;='Visual SPC'!$E$4),OR('Visual SPC'!$G$4="",'Data Entry'!$D9640='Visual SPC'!$G$4),OR('Visual SPC'!$I$4="",'Data Entry'!$E9640='Visual SPC'!$I$4),OR('Visual SPC'!$K$4="",'Data Entry'!$F9640='Visual SPC'!$K$4)),1,0))</f>
        <v/>
      </c>
      <c r="C9640">
        <f>C9639+B9640</f>
        <v/>
      </c>
      <c r="D9640">
        <f>IF(B9640=1,INDEX('Data Entry'!$H$5:$BE$10004,9640-4,'Visual SPC'!$B$3),"")</f>
        <v/>
      </c>
      <c r="E9640">
        <f>IF(B9640=1,D9640,E9639)</f>
        <v/>
      </c>
      <c r="F9640">
        <f>IF(AND(B9640=1,C9640&gt;1,E9639&lt;&gt;""),ABS(D9640-E9639),"")</f>
        <v/>
      </c>
    </row>
    <row r="9641">
      <c r="A9641" t="n">
        <v>9641</v>
      </c>
      <c r="B9641">
        <f>IF(INDEX('Data Entry'!$H$5:$BE$10004,9641-4,'Visual SPC'!$B$3)="",0,IF(AND(OR('Visual SPC'!$C$4="",'Data Entry'!$C9641&gt;='Visual SPC'!$C$4),OR('Visual SPC'!$E$4="",'Data Entry'!$C9641&lt;='Visual SPC'!$E$4),OR('Visual SPC'!$G$4="",'Data Entry'!$D9641='Visual SPC'!$G$4),OR('Visual SPC'!$I$4="",'Data Entry'!$E9641='Visual SPC'!$I$4),OR('Visual SPC'!$K$4="",'Data Entry'!$F9641='Visual SPC'!$K$4)),1,0))</f>
        <v/>
      </c>
      <c r="C9641">
        <f>C9640+B9641</f>
        <v/>
      </c>
      <c r="D9641">
        <f>IF(B9641=1,INDEX('Data Entry'!$H$5:$BE$10004,9641-4,'Visual SPC'!$B$3),"")</f>
        <v/>
      </c>
      <c r="E9641">
        <f>IF(B9641=1,D9641,E9640)</f>
        <v/>
      </c>
      <c r="F9641">
        <f>IF(AND(B9641=1,C9641&gt;1,E9640&lt;&gt;""),ABS(D9641-E9640),"")</f>
        <v/>
      </c>
    </row>
    <row r="9642">
      <c r="A9642" t="n">
        <v>9642</v>
      </c>
      <c r="B9642">
        <f>IF(INDEX('Data Entry'!$H$5:$BE$10004,9642-4,'Visual SPC'!$B$3)="",0,IF(AND(OR('Visual SPC'!$C$4="",'Data Entry'!$C9642&gt;='Visual SPC'!$C$4),OR('Visual SPC'!$E$4="",'Data Entry'!$C9642&lt;='Visual SPC'!$E$4),OR('Visual SPC'!$G$4="",'Data Entry'!$D9642='Visual SPC'!$G$4),OR('Visual SPC'!$I$4="",'Data Entry'!$E9642='Visual SPC'!$I$4),OR('Visual SPC'!$K$4="",'Data Entry'!$F9642='Visual SPC'!$K$4)),1,0))</f>
        <v/>
      </c>
      <c r="C9642">
        <f>C9641+B9642</f>
        <v/>
      </c>
      <c r="D9642">
        <f>IF(B9642=1,INDEX('Data Entry'!$H$5:$BE$10004,9642-4,'Visual SPC'!$B$3),"")</f>
        <v/>
      </c>
      <c r="E9642">
        <f>IF(B9642=1,D9642,E9641)</f>
        <v/>
      </c>
      <c r="F9642">
        <f>IF(AND(B9642=1,C9642&gt;1,E9641&lt;&gt;""),ABS(D9642-E9641),"")</f>
        <v/>
      </c>
    </row>
    <row r="9643">
      <c r="A9643" t="n">
        <v>9643</v>
      </c>
      <c r="B9643">
        <f>IF(INDEX('Data Entry'!$H$5:$BE$10004,9643-4,'Visual SPC'!$B$3)="",0,IF(AND(OR('Visual SPC'!$C$4="",'Data Entry'!$C9643&gt;='Visual SPC'!$C$4),OR('Visual SPC'!$E$4="",'Data Entry'!$C9643&lt;='Visual SPC'!$E$4),OR('Visual SPC'!$G$4="",'Data Entry'!$D9643='Visual SPC'!$G$4),OR('Visual SPC'!$I$4="",'Data Entry'!$E9643='Visual SPC'!$I$4),OR('Visual SPC'!$K$4="",'Data Entry'!$F9643='Visual SPC'!$K$4)),1,0))</f>
        <v/>
      </c>
      <c r="C9643">
        <f>C9642+B9643</f>
        <v/>
      </c>
      <c r="D9643">
        <f>IF(B9643=1,INDEX('Data Entry'!$H$5:$BE$10004,9643-4,'Visual SPC'!$B$3),"")</f>
        <v/>
      </c>
      <c r="E9643">
        <f>IF(B9643=1,D9643,E9642)</f>
        <v/>
      </c>
      <c r="F9643">
        <f>IF(AND(B9643=1,C9643&gt;1,E9642&lt;&gt;""),ABS(D9643-E9642),"")</f>
        <v/>
      </c>
    </row>
    <row r="9644">
      <c r="A9644" t="n">
        <v>9644</v>
      </c>
      <c r="B9644">
        <f>IF(INDEX('Data Entry'!$H$5:$BE$10004,9644-4,'Visual SPC'!$B$3)="",0,IF(AND(OR('Visual SPC'!$C$4="",'Data Entry'!$C9644&gt;='Visual SPC'!$C$4),OR('Visual SPC'!$E$4="",'Data Entry'!$C9644&lt;='Visual SPC'!$E$4),OR('Visual SPC'!$G$4="",'Data Entry'!$D9644='Visual SPC'!$G$4),OR('Visual SPC'!$I$4="",'Data Entry'!$E9644='Visual SPC'!$I$4),OR('Visual SPC'!$K$4="",'Data Entry'!$F9644='Visual SPC'!$K$4)),1,0))</f>
        <v/>
      </c>
      <c r="C9644">
        <f>C9643+B9644</f>
        <v/>
      </c>
      <c r="D9644">
        <f>IF(B9644=1,INDEX('Data Entry'!$H$5:$BE$10004,9644-4,'Visual SPC'!$B$3),"")</f>
        <v/>
      </c>
      <c r="E9644">
        <f>IF(B9644=1,D9644,E9643)</f>
        <v/>
      </c>
      <c r="F9644">
        <f>IF(AND(B9644=1,C9644&gt;1,E9643&lt;&gt;""),ABS(D9644-E9643),"")</f>
        <v/>
      </c>
    </row>
    <row r="9645">
      <c r="A9645" t="n">
        <v>9645</v>
      </c>
      <c r="B9645">
        <f>IF(INDEX('Data Entry'!$H$5:$BE$10004,9645-4,'Visual SPC'!$B$3)="",0,IF(AND(OR('Visual SPC'!$C$4="",'Data Entry'!$C9645&gt;='Visual SPC'!$C$4),OR('Visual SPC'!$E$4="",'Data Entry'!$C9645&lt;='Visual SPC'!$E$4),OR('Visual SPC'!$G$4="",'Data Entry'!$D9645='Visual SPC'!$G$4),OR('Visual SPC'!$I$4="",'Data Entry'!$E9645='Visual SPC'!$I$4),OR('Visual SPC'!$K$4="",'Data Entry'!$F9645='Visual SPC'!$K$4)),1,0))</f>
        <v/>
      </c>
      <c r="C9645">
        <f>C9644+B9645</f>
        <v/>
      </c>
      <c r="D9645">
        <f>IF(B9645=1,INDEX('Data Entry'!$H$5:$BE$10004,9645-4,'Visual SPC'!$B$3),"")</f>
        <v/>
      </c>
      <c r="E9645">
        <f>IF(B9645=1,D9645,E9644)</f>
        <v/>
      </c>
      <c r="F9645">
        <f>IF(AND(B9645=1,C9645&gt;1,E9644&lt;&gt;""),ABS(D9645-E9644),"")</f>
        <v/>
      </c>
    </row>
    <row r="9646">
      <c r="A9646" t="n">
        <v>9646</v>
      </c>
      <c r="B9646">
        <f>IF(INDEX('Data Entry'!$H$5:$BE$10004,9646-4,'Visual SPC'!$B$3)="",0,IF(AND(OR('Visual SPC'!$C$4="",'Data Entry'!$C9646&gt;='Visual SPC'!$C$4),OR('Visual SPC'!$E$4="",'Data Entry'!$C9646&lt;='Visual SPC'!$E$4),OR('Visual SPC'!$G$4="",'Data Entry'!$D9646='Visual SPC'!$G$4),OR('Visual SPC'!$I$4="",'Data Entry'!$E9646='Visual SPC'!$I$4),OR('Visual SPC'!$K$4="",'Data Entry'!$F9646='Visual SPC'!$K$4)),1,0))</f>
        <v/>
      </c>
      <c r="C9646">
        <f>C9645+B9646</f>
        <v/>
      </c>
      <c r="D9646">
        <f>IF(B9646=1,INDEX('Data Entry'!$H$5:$BE$10004,9646-4,'Visual SPC'!$B$3),"")</f>
        <v/>
      </c>
      <c r="E9646">
        <f>IF(B9646=1,D9646,E9645)</f>
        <v/>
      </c>
      <c r="F9646">
        <f>IF(AND(B9646=1,C9646&gt;1,E9645&lt;&gt;""),ABS(D9646-E9645),"")</f>
        <v/>
      </c>
    </row>
    <row r="9647">
      <c r="A9647" t="n">
        <v>9647</v>
      </c>
      <c r="B9647">
        <f>IF(INDEX('Data Entry'!$H$5:$BE$10004,9647-4,'Visual SPC'!$B$3)="",0,IF(AND(OR('Visual SPC'!$C$4="",'Data Entry'!$C9647&gt;='Visual SPC'!$C$4),OR('Visual SPC'!$E$4="",'Data Entry'!$C9647&lt;='Visual SPC'!$E$4),OR('Visual SPC'!$G$4="",'Data Entry'!$D9647='Visual SPC'!$G$4),OR('Visual SPC'!$I$4="",'Data Entry'!$E9647='Visual SPC'!$I$4),OR('Visual SPC'!$K$4="",'Data Entry'!$F9647='Visual SPC'!$K$4)),1,0))</f>
        <v/>
      </c>
      <c r="C9647">
        <f>C9646+B9647</f>
        <v/>
      </c>
      <c r="D9647">
        <f>IF(B9647=1,INDEX('Data Entry'!$H$5:$BE$10004,9647-4,'Visual SPC'!$B$3),"")</f>
        <v/>
      </c>
      <c r="E9647">
        <f>IF(B9647=1,D9647,E9646)</f>
        <v/>
      </c>
      <c r="F9647">
        <f>IF(AND(B9647=1,C9647&gt;1,E9646&lt;&gt;""),ABS(D9647-E9646),"")</f>
        <v/>
      </c>
    </row>
    <row r="9648">
      <c r="A9648" t="n">
        <v>9648</v>
      </c>
      <c r="B9648">
        <f>IF(INDEX('Data Entry'!$H$5:$BE$10004,9648-4,'Visual SPC'!$B$3)="",0,IF(AND(OR('Visual SPC'!$C$4="",'Data Entry'!$C9648&gt;='Visual SPC'!$C$4),OR('Visual SPC'!$E$4="",'Data Entry'!$C9648&lt;='Visual SPC'!$E$4),OR('Visual SPC'!$G$4="",'Data Entry'!$D9648='Visual SPC'!$G$4),OR('Visual SPC'!$I$4="",'Data Entry'!$E9648='Visual SPC'!$I$4),OR('Visual SPC'!$K$4="",'Data Entry'!$F9648='Visual SPC'!$K$4)),1,0))</f>
        <v/>
      </c>
      <c r="C9648">
        <f>C9647+B9648</f>
        <v/>
      </c>
      <c r="D9648">
        <f>IF(B9648=1,INDEX('Data Entry'!$H$5:$BE$10004,9648-4,'Visual SPC'!$B$3),"")</f>
        <v/>
      </c>
      <c r="E9648">
        <f>IF(B9648=1,D9648,E9647)</f>
        <v/>
      </c>
      <c r="F9648">
        <f>IF(AND(B9648=1,C9648&gt;1,E9647&lt;&gt;""),ABS(D9648-E9647),"")</f>
        <v/>
      </c>
    </row>
    <row r="9649">
      <c r="A9649" t="n">
        <v>9649</v>
      </c>
      <c r="B9649">
        <f>IF(INDEX('Data Entry'!$H$5:$BE$10004,9649-4,'Visual SPC'!$B$3)="",0,IF(AND(OR('Visual SPC'!$C$4="",'Data Entry'!$C9649&gt;='Visual SPC'!$C$4),OR('Visual SPC'!$E$4="",'Data Entry'!$C9649&lt;='Visual SPC'!$E$4),OR('Visual SPC'!$G$4="",'Data Entry'!$D9649='Visual SPC'!$G$4),OR('Visual SPC'!$I$4="",'Data Entry'!$E9649='Visual SPC'!$I$4),OR('Visual SPC'!$K$4="",'Data Entry'!$F9649='Visual SPC'!$K$4)),1,0))</f>
        <v/>
      </c>
      <c r="C9649">
        <f>C9648+B9649</f>
        <v/>
      </c>
      <c r="D9649">
        <f>IF(B9649=1,INDEX('Data Entry'!$H$5:$BE$10004,9649-4,'Visual SPC'!$B$3),"")</f>
        <v/>
      </c>
      <c r="E9649">
        <f>IF(B9649=1,D9649,E9648)</f>
        <v/>
      </c>
      <c r="F9649">
        <f>IF(AND(B9649=1,C9649&gt;1,E9648&lt;&gt;""),ABS(D9649-E9648),"")</f>
        <v/>
      </c>
    </row>
    <row r="9650">
      <c r="A9650" t="n">
        <v>9650</v>
      </c>
      <c r="B9650">
        <f>IF(INDEX('Data Entry'!$H$5:$BE$10004,9650-4,'Visual SPC'!$B$3)="",0,IF(AND(OR('Visual SPC'!$C$4="",'Data Entry'!$C9650&gt;='Visual SPC'!$C$4),OR('Visual SPC'!$E$4="",'Data Entry'!$C9650&lt;='Visual SPC'!$E$4),OR('Visual SPC'!$G$4="",'Data Entry'!$D9650='Visual SPC'!$G$4),OR('Visual SPC'!$I$4="",'Data Entry'!$E9650='Visual SPC'!$I$4),OR('Visual SPC'!$K$4="",'Data Entry'!$F9650='Visual SPC'!$K$4)),1,0))</f>
        <v/>
      </c>
      <c r="C9650">
        <f>C9649+B9650</f>
        <v/>
      </c>
      <c r="D9650">
        <f>IF(B9650=1,INDEX('Data Entry'!$H$5:$BE$10004,9650-4,'Visual SPC'!$B$3),"")</f>
        <v/>
      </c>
      <c r="E9650">
        <f>IF(B9650=1,D9650,E9649)</f>
        <v/>
      </c>
      <c r="F9650">
        <f>IF(AND(B9650=1,C9650&gt;1,E9649&lt;&gt;""),ABS(D9650-E9649),"")</f>
        <v/>
      </c>
    </row>
    <row r="9651">
      <c r="A9651" t="n">
        <v>9651</v>
      </c>
      <c r="B9651">
        <f>IF(INDEX('Data Entry'!$H$5:$BE$10004,9651-4,'Visual SPC'!$B$3)="",0,IF(AND(OR('Visual SPC'!$C$4="",'Data Entry'!$C9651&gt;='Visual SPC'!$C$4),OR('Visual SPC'!$E$4="",'Data Entry'!$C9651&lt;='Visual SPC'!$E$4),OR('Visual SPC'!$G$4="",'Data Entry'!$D9651='Visual SPC'!$G$4),OR('Visual SPC'!$I$4="",'Data Entry'!$E9651='Visual SPC'!$I$4),OR('Visual SPC'!$K$4="",'Data Entry'!$F9651='Visual SPC'!$K$4)),1,0))</f>
        <v/>
      </c>
      <c r="C9651">
        <f>C9650+B9651</f>
        <v/>
      </c>
      <c r="D9651">
        <f>IF(B9651=1,INDEX('Data Entry'!$H$5:$BE$10004,9651-4,'Visual SPC'!$B$3),"")</f>
        <v/>
      </c>
      <c r="E9651">
        <f>IF(B9651=1,D9651,E9650)</f>
        <v/>
      </c>
      <c r="F9651">
        <f>IF(AND(B9651=1,C9651&gt;1,E9650&lt;&gt;""),ABS(D9651-E9650),"")</f>
        <v/>
      </c>
    </row>
    <row r="9652">
      <c r="A9652" t="n">
        <v>9652</v>
      </c>
      <c r="B9652">
        <f>IF(INDEX('Data Entry'!$H$5:$BE$10004,9652-4,'Visual SPC'!$B$3)="",0,IF(AND(OR('Visual SPC'!$C$4="",'Data Entry'!$C9652&gt;='Visual SPC'!$C$4),OR('Visual SPC'!$E$4="",'Data Entry'!$C9652&lt;='Visual SPC'!$E$4),OR('Visual SPC'!$G$4="",'Data Entry'!$D9652='Visual SPC'!$G$4),OR('Visual SPC'!$I$4="",'Data Entry'!$E9652='Visual SPC'!$I$4),OR('Visual SPC'!$K$4="",'Data Entry'!$F9652='Visual SPC'!$K$4)),1,0))</f>
        <v/>
      </c>
      <c r="C9652">
        <f>C9651+B9652</f>
        <v/>
      </c>
      <c r="D9652">
        <f>IF(B9652=1,INDEX('Data Entry'!$H$5:$BE$10004,9652-4,'Visual SPC'!$B$3),"")</f>
        <v/>
      </c>
      <c r="E9652">
        <f>IF(B9652=1,D9652,E9651)</f>
        <v/>
      </c>
      <c r="F9652">
        <f>IF(AND(B9652=1,C9652&gt;1,E9651&lt;&gt;""),ABS(D9652-E9651),"")</f>
        <v/>
      </c>
    </row>
    <row r="9653">
      <c r="A9653" t="n">
        <v>9653</v>
      </c>
      <c r="B9653">
        <f>IF(INDEX('Data Entry'!$H$5:$BE$10004,9653-4,'Visual SPC'!$B$3)="",0,IF(AND(OR('Visual SPC'!$C$4="",'Data Entry'!$C9653&gt;='Visual SPC'!$C$4),OR('Visual SPC'!$E$4="",'Data Entry'!$C9653&lt;='Visual SPC'!$E$4),OR('Visual SPC'!$G$4="",'Data Entry'!$D9653='Visual SPC'!$G$4),OR('Visual SPC'!$I$4="",'Data Entry'!$E9653='Visual SPC'!$I$4),OR('Visual SPC'!$K$4="",'Data Entry'!$F9653='Visual SPC'!$K$4)),1,0))</f>
        <v/>
      </c>
      <c r="C9653">
        <f>C9652+B9653</f>
        <v/>
      </c>
      <c r="D9653">
        <f>IF(B9653=1,INDEX('Data Entry'!$H$5:$BE$10004,9653-4,'Visual SPC'!$B$3),"")</f>
        <v/>
      </c>
      <c r="E9653">
        <f>IF(B9653=1,D9653,E9652)</f>
        <v/>
      </c>
      <c r="F9653">
        <f>IF(AND(B9653=1,C9653&gt;1,E9652&lt;&gt;""),ABS(D9653-E9652),"")</f>
        <v/>
      </c>
    </row>
    <row r="9654">
      <c r="A9654" t="n">
        <v>9654</v>
      </c>
      <c r="B9654">
        <f>IF(INDEX('Data Entry'!$H$5:$BE$10004,9654-4,'Visual SPC'!$B$3)="",0,IF(AND(OR('Visual SPC'!$C$4="",'Data Entry'!$C9654&gt;='Visual SPC'!$C$4),OR('Visual SPC'!$E$4="",'Data Entry'!$C9654&lt;='Visual SPC'!$E$4),OR('Visual SPC'!$G$4="",'Data Entry'!$D9654='Visual SPC'!$G$4),OR('Visual SPC'!$I$4="",'Data Entry'!$E9654='Visual SPC'!$I$4),OR('Visual SPC'!$K$4="",'Data Entry'!$F9654='Visual SPC'!$K$4)),1,0))</f>
        <v/>
      </c>
      <c r="C9654">
        <f>C9653+B9654</f>
        <v/>
      </c>
      <c r="D9654">
        <f>IF(B9654=1,INDEX('Data Entry'!$H$5:$BE$10004,9654-4,'Visual SPC'!$B$3),"")</f>
        <v/>
      </c>
      <c r="E9654">
        <f>IF(B9654=1,D9654,E9653)</f>
        <v/>
      </c>
      <c r="F9654">
        <f>IF(AND(B9654=1,C9654&gt;1,E9653&lt;&gt;""),ABS(D9654-E9653),"")</f>
        <v/>
      </c>
    </row>
    <row r="9655">
      <c r="A9655" t="n">
        <v>9655</v>
      </c>
      <c r="B9655">
        <f>IF(INDEX('Data Entry'!$H$5:$BE$10004,9655-4,'Visual SPC'!$B$3)="",0,IF(AND(OR('Visual SPC'!$C$4="",'Data Entry'!$C9655&gt;='Visual SPC'!$C$4),OR('Visual SPC'!$E$4="",'Data Entry'!$C9655&lt;='Visual SPC'!$E$4),OR('Visual SPC'!$G$4="",'Data Entry'!$D9655='Visual SPC'!$G$4),OR('Visual SPC'!$I$4="",'Data Entry'!$E9655='Visual SPC'!$I$4),OR('Visual SPC'!$K$4="",'Data Entry'!$F9655='Visual SPC'!$K$4)),1,0))</f>
        <v/>
      </c>
      <c r="C9655">
        <f>C9654+B9655</f>
        <v/>
      </c>
      <c r="D9655">
        <f>IF(B9655=1,INDEX('Data Entry'!$H$5:$BE$10004,9655-4,'Visual SPC'!$B$3),"")</f>
        <v/>
      </c>
      <c r="E9655">
        <f>IF(B9655=1,D9655,E9654)</f>
        <v/>
      </c>
      <c r="F9655">
        <f>IF(AND(B9655=1,C9655&gt;1,E9654&lt;&gt;""),ABS(D9655-E9654),"")</f>
        <v/>
      </c>
    </row>
    <row r="9656">
      <c r="A9656" t="n">
        <v>9656</v>
      </c>
      <c r="B9656">
        <f>IF(INDEX('Data Entry'!$H$5:$BE$10004,9656-4,'Visual SPC'!$B$3)="",0,IF(AND(OR('Visual SPC'!$C$4="",'Data Entry'!$C9656&gt;='Visual SPC'!$C$4),OR('Visual SPC'!$E$4="",'Data Entry'!$C9656&lt;='Visual SPC'!$E$4),OR('Visual SPC'!$G$4="",'Data Entry'!$D9656='Visual SPC'!$G$4),OR('Visual SPC'!$I$4="",'Data Entry'!$E9656='Visual SPC'!$I$4),OR('Visual SPC'!$K$4="",'Data Entry'!$F9656='Visual SPC'!$K$4)),1,0))</f>
        <v/>
      </c>
      <c r="C9656">
        <f>C9655+B9656</f>
        <v/>
      </c>
      <c r="D9656">
        <f>IF(B9656=1,INDEX('Data Entry'!$H$5:$BE$10004,9656-4,'Visual SPC'!$B$3),"")</f>
        <v/>
      </c>
      <c r="E9656">
        <f>IF(B9656=1,D9656,E9655)</f>
        <v/>
      </c>
      <c r="F9656">
        <f>IF(AND(B9656=1,C9656&gt;1,E9655&lt;&gt;""),ABS(D9656-E9655),"")</f>
        <v/>
      </c>
    </row>
    <row r="9657">
      <c r="A9657" t="n">
        <v>9657</v>
      </c>
      <c r="B9657">
        <f>IF(INDEX('Data Entry'!$H$5:$BE$10004,9657-4,'Visual SPC'!$B$3)="",0,IF(AND(OR('Visual SPC'!$C$4="",'Data Entry'!$C9657&gt;='Visual SPC'!$C$4),OR('Visual SPC'!$E$4="",'Data Entry'!$C9657&lt;='Visual SPC'!$E$4),OR('Visual SPC'!$G$4="",'Data Entry'!$D9657='Visual SPC'!$G$4),OR('Visual SPC'!$I$4="",'Data Entry'!$E9657='Visual SPC'!$I$4),OR('Visual SPC'!$K$4="",'Data Entry'!$F9657='Visual SPC'!$K$4)),1,0))</f>
        <v/>
      </c>
      <c r="C9657">
        <f>C9656+B9657</f>
        <v/>
      </c>
      <c r="D9657">
        <f>IF(B9657=1,INDEX('Data Entry'!$H$5:$BE$10004,9657-4,'Visual SPC'!$B$3),"")</f>
        <v/>
      </c>
      <c r="E9657">
        <f>IF(B9657=1,D9657,E9656)</f>
        <v/>
      </c>
      <c r="F9657">
        <f>IF(AND(B9657=1,C9657&gt;1,E9656&lt;&gt;""),ABS(D9657-E9656),"")</f>
        <v/>
      </c>
    </row>
    <row r="9658">
      <c r="A9658" t="n">
        <v>9658</v>
      </c>
      <c r="B9658">
        <f>IF(INDEX('Data Entry'!$H$5:$BE$10004,9658-4,'Visual SPC'!$B$3)="",0,IF(AND(OR('Visual SPC'!$C$4="",'Data Entry'!$C9658&gt;='Visual SPC'!$C$4),OR('Visual SPC'!$E$4="",'Data Entry'!$C9658&lt;='Visual SPC'!$E$4),OR('Visual SPC'!$G$4="",'Data Entry'!$D9658='Visual SPC'!$G$4),OR('Visual SPC'!$I$4="",'Data Entry'!$E9658='Visual SPC'!$I$4),OR('Visual SPC'!$K$4="",'Data Entry'!$F9658='Visual SPC'!$K$4)),1,0))</f>
        <v/>
      </c>
      <c r="C9658">
        <f>C9657+B9658</f>
        <v/>
      </c>
      <c r="D9658">
        <f>IF(B9658=1,INDEX('Data Entry'!$H$5:$BE$10004,9658-4,'Visual SPC'!$B$3),"")</f>
        <v/>
      </c>
      <c r="E9658">
        <f>IF(B9658=1,D9658,E9657)</f>
        <v/>
      </c>
      <c r="F9658">
        <f>IF(AND(B9658=1,C9658&gt;1,E9657&lt;&gt;""),ABS(D9658-E9657),"")</f>
        <v/>
      </c>
    </row>
    <row r="9659">
      <c r="A9659" t="n">
        <v>9659</v>
      </c>
      <c r="B9659">
        <f>IF(INDEX('Data Entry'!$H$5:$BE$10004,9659-4,'Visual SPC'!$B$3)="",0,IF(AND(OR('Visual SPC'!$C$4="",'Data Entry'!$C9659&gt;='Visual SPC'!$C$4),OR('Visual SPC'!$E$4="",'Data Entry'!$C9659&lt;='Visual SPC'!$E$4),OR('Visual SPC'!$G$4="",'Data Entry'!$D9659='Visual SPC'!$G$4),OR('Visual SPC'!$I$4="",'Data Entry'!$E9659='Visual SPC'!$I$4),OR('Visual SPC'!$K$4="",'Data Entry'!$F9659='Visual SPC'!$K$4)),1,0))</f>
        <v/>
      </c>
      <c r="C9659">
        <f>C9658+B9659</f>
        <v/>
      </c>
      <c r="D9659">
        <f>IF(B9659=1,INDEX('Data Entry'!$H$5:$BE$10004,9659-4,'Visual SPC'!$B$3),"")</f>
        <v/>
      </c>
      <c r="E9659">
        <f>IF(B9659=1,D9659,E9658)</f>
        <v/>
      </c>
      <c r="F9659">
        <f>IF(AND(B9659=1,C9659&gt;1,E9658&lt;&gt;""),ABS(D9659-E9658),"")</f>
        <v/>
      </c>
    </row>
    <row r="9660">
      <c r="A9660" t="n">
        <v>9660</v>
      </c>
      <c r="B9660">
        <f>IF(INDEX('Data Entry'!$H$5:$BE$10004,9660-4,'Visual SPC'!$B$3)="",0,IF(AND(OR('Visual SPC'!$C$4="",'Data Entry'!$C9660&gt;='Visual SPC'!$C$4),OR('Visual SPC'!$E$4="",'Data Entry'!$C9660&lt;='Visual SPC'!$E$4),OR('Visual SPC'!$G$4="",'Data Entry'!$D9660='Visual SPC'!$G$4),OR('Visual SPC'!$I$4="",'Data Entry'!$E9660='Visual SPC'!$I$4),OR('Visual SPC'!$K$4="",'Data Entry'!$F9660='Visual SPC'!$K$4)),1,0))</f>
        <v/>
      </c>
      <c r="C9660">
        <f>C9659+B9660</f>
        <v/>
      </c>
      <c r="D9660">
        <f>IF(B9660=1,INDEX('Data Entry'!$H$5:$BE$10004,9660-4,'Visual SPC'!$B$3),"")</f>
        <v/>
      </c>
      <c r="E9660">
        <f>IF(B9660=1,D9660,E9659)</f>
        <v/>
      </c>
      <c r="F9660">
        <f>IF(AND(B9660=1,C9660&gt;1,E9659&lt;&gt;""),ABS(D9660-E9659),"")</f>
        <v/>
      </c>
    </row>
    <row r="9661">
      <c r="A9661" t="n">
        <v>9661</v>
      </c>
      <c r="B9661">
        <f>IF(INDEX('Data Entry'!$H$5:$BE$10004,9661-4,'Visual SPC'!$B$3)="",0,IF(AND(OR('Visual SPC'!$C$4="",'Data Entry'!$C9661&gt;='Visual SPC'!$C$4),OR('Visual SPC'!$E$4="",'Data Entry'!$C9661&lt;='Visual SPC'!$E$4),OR('Visual SPC'!$G$4="",'Data Entry'!$D9661='Visual SPC'!$G$4),OR('Visual SPC'!$I$4="",'Data Entry'!$E9661='Visual SPC'!$I$4),OR('Visual SPC'!$K$4="",'Data Entry'!$F9661='Visual SPC'!$K$4)),1,0))</f>
        <v/>
      </c>
      <c r="C9661">
        <f>C9660+B9661</f>
        <v/>
      </c>
      <c r="D9661">
        <f>IF(B9661=1,INDEX('Data Entry'!$H$5:$BE$10004,9661-4,'Visual SPC'!$B$3),"")</f>
        <v/>
      </c>
      <c r="E9661">
        <f>IF(B9661=1,D9661,E9660)</f>
        <v/>
      </c>
      <c r="F9661">
        <f>IF(AND(B9661=1,C9661&gt;1,E9660&lt;&gt;""),ABS(D9661-E9660),"")</f>
        <v/>
      </c>
    </row>
    <row r="9662">
      <c r="A9662" t="n">
        <v>9662</v>
      </c>
      <c r="B9662">
        <f>IF(INDEX('Data Entry'!$H$5:$BE$10004,9662-4,'Visual SPC'!$B$3)="",0,IF(AND(OR('Visual SPC'!$C$4="",'Data Entry'!$C9662&gt;='Visual SPC'!$C$4),OR('Visual SPC'!$E$4="",'Data Entry'!$C9662&lt;='Visual SPC'!$E$4),OR('Visual SPC'!$G$4="",'Data Entry'!$D9662='Visual SPC'!$G$4),OR('Visual SPC'!$I$4="",'Data Entry'!$E9662='Visual SPC'!$I$4),OR('Visual SPC'!$K$4="",'Data Entry'!$F9662='Visual SPC'!$K$4)),1,0))</f>
        <v/>
      </c>
      <c r="C9662">
        <f>C9661+B9662</f>
        <v/>
      </c>
      <c r="D9662">
        <f>IF(B9662=1,INDEX('Data Entry'!$H$5:$BE$10004,9662-4,'Visual SPC'!$B$3),"")</f>
        <v/>
      </c>
      <c r="E9662">
        <f>IF(B9662=1,D9662,E9661)</f>
        <v/>
      </c>
      <c r="F9662">
        <f>IF(AND(B9662=1,C9662&gt;1,E9661&lt;&gt;""),ABS(D9662-E9661),"")</f>
        <v/>
      </c>
    </row>
    <row r="9663">
      <c r="A9663" t="n">
        <v>9663</v>
      </c>
      <c r="B9663">
        <f>IF(INDEX('Data Entry'!$H$5:$BE$10004,9663-4,'Visual SPC'!$B$3)="",0,IF(AND(OR('Visual SPC'!$C$4="",'Data Entry'!$C9663&gt;='Visual SPC'!$C$4),OR('Visual SPC'!$E$4="",'Data Entry'!$C9663&lt;='Visual SPC'!$E$4),OR('Visual SPC'!$G$4="",'Data Entry'!$D9663='Visual SPC'!$G$4),OR('Visual SPC'!$I$4="",'Data Entry'!$E9663='Visual SPC'!$I$4),OR('Visual SPC'!$K$4="",'Data Entry'!$F9663='Visual SPC'!$K$4)),1,0))</f>
        <v/>
      </c>
      <c r="C9663">
        <f>C9662+B9663</f>
        <v/>
      </c>
      <c r="D9663">
        <f>IF(B9663=1,INDEX('Data Entry'!$H$5:$BE$10004,9663-4,'Visual SPC'!$B$3),"")</f>
        <v/>
      </c>
      <c r="E9663">
        <f>IF(B9663=1,D9663,E9662)</f>
        <v/>
      </c>
      <c r="F9663">
        <f>IF(AND(B9663=1,C9663&gt;1,E9662&lt;&gt;""),ABS(D9663-E9662),"")</f>
        <v/>
      </c>
    </row>
    <row r="9664">
      <c r="A9664" t="n">
        <v>9664</v>
      </c>
      <c r="B9664">
        <f>IF(INDEX('Data Entry'!$H$5:$BE$10004,9664-4,'Visual SPC'!$B$3)="",0,IF(AND(OR('Visual SPC'!$C$4="",'Data Entry'!$C9664&gt;='Visual SPC'!$C$4),OR('Visual SPC'!$E$4="",'Data Entry'!$C9664&lt;='Visual SPC'!$E$4),OR('Visual SPC'!$G$4="",'Data Entry'!$D9664='Visual SPC'!$G$4),OR('Visual SPC'!$I$4="",'Data Entry'!$E9664='Visual SPC'!$I$4),OR('Visual SPC'!$K$4="",'Data Entry'!$F9664='Visual SPC'!$K$4)),1,0))</f>
        <v/>
      </c>
      <c r="C9664">
        <f>C9663+B9664</f>
        <v/>
      </c>
      <c r="D9664">
        <f>IF(B9664=1,INDEX('Data Entry'!$H$5:$BE$10004,9664-4,'Visual SPC'!$B$3),"")</f>
        <v/>
      </c>
      <c r="E9664">
        <f>IF(B9664=1,D9664,E9663)</f>
        <v/>
      </c>
      <c r="F9664">
        <f>IF(AND(B9664=1,C9664&gt;1,E9663&lt;&gt;""),ABS(D9664-E9663),"")</f>
        <v/>
      </c>
    </row>
    <row r="9665">
      <c r="A9665" t="n">
        <v>9665</v>
      </c>
      <c r="B9665">
        <f>IF(INDEX('Data Entry'!$H$5:$BE$10004,9665-4,'Visual SPC'!$B$3)="",0,IF(AND(OR('Visual SPC'!$C$4="",'Data Entry'!$C9665&gt;='Visual SPC'!$C$4),OR('Visual SPC'!$E$4="",'Data Entry'!$C9665&lt;='Visual SPC'!$E$4),OR('Visual SPC'!$G$4="",'Data Entry'!$D9665='Visual SPC'!$G$4),OR('Visual SPC'!$I$4="",'Data Entry'!$E9665='Visual SPC'!$I$4),OR('Visual SPC'!$K$4="",'Data Entry'!$F9665='Visual SPC'!$K$4)),1,0))</f>
        <v/>
      </c>
      <c r="C9665">
        <f>C9664+B9665</f>
        <v/>
      </c>
      <c r="D9665">
        <f>IF(B9665=1,INDEX('Data Entry'!$H$5:$BE$10004,9665-4,'Visual SPC'!$B$3),"")</f>
        <v/>
      </c>
      <c r="E9665">
        <f>IF(B9665=1,D9665,E9664)</f>
        <v/>
      </c>
      <c r="F9665">
        <f>IF(AND(B9665=1,C9665&gt;1,E9664&lt;&gt;""),ABS(D9665-E9664),"")</f>
        <v/>
      </c>
    </row>
    <row r="9666">
      <c r="A9666" t="n">
        <v>9666</v>
      </c>
      <c r="B9666">
        <f>IF(INDEX('Data Entry'!$H$5:$BE$10004,9666-4,'Visual SPC'!$B$3)="",0,IF(AND(OR('Visual SPC'!$C$4="",'Data Entry'!$C9666&gt;='Visual SPC'!$C$4),OR('Visual SPC'!$E$4="",'Data Entry'!$C9666&lt;='Visual SPC'!$E$4),OR('Visual SPC'!$G$4="",'Data Entry'!$D9666='Visual SPC'!$G$4),OR('Visual SPC'!$I$4="",'Data Entry'!$E9666='Visual SPC'!$I$4),OR('Visual SPC'!$K$4="",'Data Entry'!$F9666='Visual SPC'!$K$4)),1,0))</f>
        <v/>
      </c>
      <c r="C9666">
        <f>C9665+B9666</f>
        <v/>
      </c>
      <c r="D9666">
        <f>IF(B9666=1,INDEX('Data Entry'!$H$5:$BE$10004,9666-4,'Visual SPC'!$B$3),"")</f>
        <v/>
      </c>
      <c r="E9666">
        <f>IF(B9666=1,D9666,E9665)</f>
        <v/>
      </c>
      <c r="F9666">
        <f>IF(AND(B9666=1,C9666&gt;1,E9665&lt;&gt;""),ABS(D9666-E9665),"")</f>
        <v/>
      </c>
    </row>
    <row r="9667">
      <c r="A9667" t="n">
        <v>9667</v>
      </c>
      <c r="B9667">
        <f>IF(INDEX('Data Entry'!$H$5:$BE$10004,9667-4,'Visual SPC'!$B$3)="",0,IF(AND(OR('Visual SPC'!$C$4="",'Data Entry'!$C9667&gt;='Visual SPC'!$C$4),OR('Visual SPC'!$E$4="",'Data Entry'!$C9667&lt;='Visual SPC'!$E$4),OR('Visual SPC'!$G$4="",'Data Entry'!$D9667='Visual SPC'!$G$4),OR('Visual SPC'!$I$4="",'Data Entry'!$E9667='Visual SPC'!$I$4),OR('Visual SPC'!$K$4="",'Data Entry'!$F9667='Visual SPC'!$K$4)),1,0))</f>
        <v/>
      </c>
      <c r="C9667">
        <f>C9666+B9667</f>
        <v/>
      </c>
      <c r="D9667">
        <f>IF(B9667=1,INDEX('Data Entry'!$H$5:$BE$10004,9667-4,'Visual SPC'!$B$3),"")</f>
        <v/>
      </c>
      <c r="E9667">
        <f>IF(B9667=1,D9667,E9666)</f>
        <v/>
      </c>
      <c r="F9667">
        <f>IF(AND(B9667=1,C9667&gt;1,E9666&lt;&gt;""),ABS(D9667-E9666),"")</f>
        <v/>
      </c>
    </row>
    <row r="9668">
      <c r="A9668" t="n">
        <v>9668</v>
      </c>
      <c r="B9668">
        <f>IF(INDEX('Data Entry'!$H$5:$BE$10004,9668-4,'Visual SPC'!$B$3)="",0,IF(AND(OR('Visual SPC'!$C$4="",'Data Entry'!$C9668&gt;='Visual SPC'!$C$4),OR('Visual SPC'!$E$4="",'Data Entry'!$C9668&lt;='Visual SPC'!$E$4),OR('Visual SPC'!$G$4="",'Data Entry'!$D9668='Visual SPC'!$G$4),OR('Visual SPC'!$I$4="",'Data Entry'!$E9668='Visual SPC'!$I$4),OR('Visual SPC'!$K$4="",'Data Entry'!$F9668='Visual SPC'!$K$4)),1,0))</f>
        <v/>
      </c>
      <c r="C9668">
        <f>C9667+B9668</f>
        <v/>
      </c>
      <c r="D9668">
        <f>IF(B9668=1,INDEX('Data Entry'!$H$5:$BE$10004,9668-4,'Visual SPC'!$B$3),"")</f>
        <v/>
      </c>
      <c r="E9668">
        <f>IF(B9668=1,D9668,E9667)</f>
        <v/>
      </c>
      <c r="F9668">
        <f>IF(AND(B9668=1,C9668&gt;1,E9667&lt;&gt;""),ABS(D9668-E9667),"")</f>
        <v/>
      </c>
    </row>
    <row r="9669">
      <c r="A9669" t="n">
        <v>9669</v>
      </c>
      <c r="B9669">
        <f>IF(INDEX('Data Entry'!$H$5:$BE$10004,9669-4,'Visual SPC'!$B$3)="",0,IF(AND(OR('Visual SPC'!$C$4="",'Data Entry'!$C9669&gt;='Visual SPC'!$C$4),OR('Visual SPC'!$E$4="",'Data Entry'!$C9669&lt;='Visual SPC'!$E$4),OR('Visual SPC'!$G$4="",'Data Entry'!$D9669='Visual SPC'!$G$4),OR('Visual SPC'!$I$4="",'Data Entry'!$E9669='Visual SPC'!$I$4),OR('Visual SPC'!$K$4="",'Data Entry'!$F9669='Visual SPC'!$K$4)),1,0))</f>
        <v/>
      </c>
      <c r="C9669">
        <f>C9668+B9669</f>
        <v/>
      </c>
      <c r="D9669">
        <f>IF(B9669=1,INDEX('Data Entry'!$H$5:$BE$10004,9669-4,'Visual SPC'!$B$3),"")</f>
        <v/>
      </c>
      <c r="E9669">
        <f>IF(B9669=1,D9669,E9668)</f>
        <v/>
      </c>
      <c r="F9669">
        <f>IF(AND(B9669=1,C9669&gt;1,E9668&lt;&gt;""),ABS(D9669-E9668),"")</f>
        <v/>
      </c>
    </row>
    <row r="9670">
      <c r="A9670" t="n">
        <v>9670</v>
      </c>
      <c r="B9670">
        <f>IF(INDEX('Data Entry'!$H$5:$BE$10004,9670-4,'Visual SPC'!$B$3)="",0,IF(AND(OR('Visual SPC'!$C$4="",'Data Entry'!$C9670&gt;='Visual SPC'!$C$4),OR('Visual SPC'!$E$4="",'Data Entry'!$C9670&lt;='Visual SPC'!$E$4),OR('Visual SPC'!$G$4="",'Data Entry'!$D9670='Visual SPC'!$G$4),OR('Visual SPC'!$I$4="",'Data Entry'!$E9670='Visual SPC'!$I$4),OR('Visual SPC'!$K$4="",'Data Entry'!$F9670='Visual SPC'!$K$4)),1,0))</f>
        <v/>
      </c>
      <c r="C9670">
        <f>C9669+B9670</f>
        <v/>
      </c>
      <c r="D9670">
        <f>IF(B9670=1,INDEX('Data Entry'!$H$5:$BE$10004,9670-4,'Visual SPC'!$B$3),"")</f>
        <v/>
      </c>
      <c r="E9670">
        <f>IF(B9670=1,D9670,E9669)</f>
        <v/>
      </c>
      <c r="F9670">
        <f>IF(AND(B9670=1,C9670&gt;1,E9669&lt;&gt;""),ABS(D9670-E9669),"")</f>
        <v/>
      </c>
    </row>
    <row r="9671">
      <c r="A9671" t="n">
        <v>9671</v>
      </c>
      <c r="B9671">
        <f>IF(INDEX('Data Entry'!$H$5:$BE$10004,9671-4,'Visual SPC'!$B$3)="",0,IF(AND(OR('Visual SPC'!$C$4="",'Data Entry'!$C9671&gt;='Visual SPC'!$C$4),OR('Visual SPC'!$E$4="",'Data Entry'!$C9671&lt;='Visual SPC'!$E$4),OR('Visual SPC'!$G$4="",'Data Entry'!$D9671='Visual SPC'!$G$4),OR('Visual SPC'!$I$4="",'Data Entry'!$E9671='Visual SPC'!$I$4),OR('Visual SPC'!$K$4="",'Data Entry'!$F9671='Visual SPC'!$K$4)),1,0))</f>
        <v/>
      </c>
      <c r="C9671">
        <f>C9670+B9671</f>
        <v/>
      </c>
      <c r="D9671">
        <f>IF(B9671=1,INDEX('Data Entry'!$H$5:$BE$10004,9671-4,'Visual SPC'!$B$3),"")</f>
        <v/>
      </c>
      <c r="E9671">
        <f>IF(B9671=1,D9671,E9670)</f>
        <v/>
      </c>
      <c r="F9671">
        <f>IF(AND(B9671=1,C9671&gt;1,E9670&lt;&gt;""),ABS(D9671-E9670),"")</f>
        <v/>
      </c>
    </row>
    <row r="9672">
      <c r="A9672" t="n">
        <v>9672</v>
      </c>
      <c r="B9672">
        <f>IF(INDEX('Data Entry'!$H$5:$BE$10004,9672-4,'Visual SPC'!$B$3)="",0,IF(AND(OR('Visual SPC'!$C$4="",'Data Entry'!$C9672&gt;='Visual SPC'!$C$4),OR('Visual SPC'!$E$4="",'Data Entry'!$C9672&lt;='Visual SPC'!$E$4),OR('Visual SPC'!$G$4="",'Data Entry'!$D9672='Visual SPC'!$G$4),OR('Visual SPC'!$I$4="",'Data Entry'!$E9672='Visual SPC'!$I$4),OR('Visual SPC'!$K$4="",'Data Entry'!$F9672='Visual SPC'!$K$4)),1,0))</f>
        <v/>
      </c>
      <c r="C9672">
        <f>C9671+B9672</f>
        <v/>
      </c>
      <c r="D9672">
        <f>IF(B9672=1,INDEX('Data Entry'!$H$5:$BE$10004,9672-4,'Visual SPC'!$B$3),"")</f>
        <v/>
      </c>
      <c r="E9672">
        <f>IF(B9672=1,D9672,E9671)</f>
        <v/>
      </c>
      <c r="F9672">
        <f>IF(AND(B9672=1,C9672&gt;1,E9671&lt;&gt;""),ABS(D9672-E9671),"")</f>
        <v/>
      </c>
    </row>
    <row r="9673">
      <c r="A9673" t="n">
        <v>9673</v>
      </c>
      <c r="B9673">
        <f>IF(INDEX('Data Entry'!$H$5:$BE$10004,9673-4,'Visual SPC'!$B$3)="",0,IF(AND(OR('Visual SPC'!$C$4="",'Data Entry'!$C9673&gt;='Visual SPC'!$C$4),OR('Visual SPC'!$E$4="",'Data Entry'!$C9673&lt;='Visual SPC'!$E$4),OR('Visual SPC'!$G$4="",'Data Entry'!$D9673='Visual SPC'!$G$4),OR('Visual SPC'!$I$4="",'Data Entry'!$E9673='Visual SPC'!$I$4),OR('Visual SPC'!$K$4="",'Data Entry'!$F9673='Visual SPC'!$K$4)),1,0))</f>
        <v/>
      </c>
      <c r="C9673">
        <f>C9672+B9673</f>
        <v/>
      </c>
      <c r="D9673">
        <f>IF(B9673=1,INDEX('Data Entry'!$H$5:$BE$10004,9673-4,'Visual SPC'!$B$3),"")</f>
        <v/>
      </c>
      <c r="E9673">
        <f>IF(B9673=1,D9673,E9672)</f>
        <v/>
      </c>
      <c r="F9673">
        <f>IF(AND(B9673=1,C9673&gt;1,E9672&lt;&gt;""),ABS(D9673-E9672),"")</f>
        <v/>
      </c>
    </row>
    <row r="9674">
      <c r="A9674" t="n">
        <v>9674</v>
      </c>
      <c r="B9674">
        <f>IF(INDEX('Data Entry'!$H$5:$BE$10004,9674-4,'Visual SPC'!$B$3)="",0,IF(AND(OR('Visual SPC'!$C$4="",'Data Entry'!$C9674&gt;='Visual SPC'!$C$4),OR('Visual SPC'!$E$4="",'Data Entry'!$C9674&lt;='Visual SPC'!$E$4),OR('Visual SPC'!$G$4="",'Data Entry'!$D9674='Visual SPC'!$G$4),OR('Visual SPC'!$I$4="",'Data Entry'!$E9674='Visual SPC'!$I$4),OR('Visual SPC'!$K$4="",'Data Entry'!$F9674='Visual SPC'!$K$4)),1,0))</f>
        <v/>
      </c>
      <c r="C9674">
        <f>C9673+B9674</f>
        <v/>
      </c>
      <c r="D9674">
        <f>IF(B9674=1,INDEX('Data Entry'!$H$5:$BE$10004,9674-4,'Visual SPC'!$B$3),"")</f>
        <v/>
      </c>
      <c r="E9674">
        <f>IF(B9674=1,D9674,E9673)</f>
        <v/>
      </c>
      <c r="F9674">
        <f>IF(AND(B9674=1,C9674&gt;1,E9673&lt;&gt;""),ABS(D9674-E9673),"")</f>
        <v/>
      </c>
    </row>
    <row r="9675">
      <c r="A9675" t="n">
        <v>9675</v>
      </c>
      <c r="B9675">
        <f>IF(INDEX('Data Entry'!$H$5:$BE$10004,9675-4,'Visual SPC'!$B$3)="",0,IF(AND(OR('Visual SPC'!$C$4="",'Data Entry'!$C9675&gt;='Visual SPC'!$C$4),OR('Visual SPC'!$E$4="",'Data Entry'!$C9675&lt;='Visual SPC'!$E$4),OR('Visual SPC'!$G$4="",'Data Entry'!$D9675='Visual SPC'!$G$4),OR('Visual SPC'!$I$4="",'Data Entry'!$E9675='Visual SPC'!$I$4),OR('Visual SPC'!$K$4="",'Data Entry'!$F9675='Visual SPC'!$K$4)),1,0))</f>
        <v/>
      </c>
      <c r="C9675">
        <f>C9674+B9675</f>
        <v/>
      </c>
      <c r="D9675">
        <f>IF(B9675=1,INDEX('Data Entry'!$H$5:$BE$10004,9675-4,'Visual SPC'!$B$3),"")</f>
        <v/>
      </c>
      <c r="E9675">
        <f>IF(B9675=1,D9675,E9674)</f>
        <v/>
      </c>
      <c r="F9675">
        <f>IF(AND(B9675=1,C9675&gt;1,E9674&lt;&gt;""),ABS(D9675-E9674),"")</f>
        <v/>
      </c>
    </row>
    <row r="9676">
      <c r="A9676" t="n">
        <v>9676</v>
      </c>
      <c r="B9676">
        <f>IF(INDEX('Data Entry'!$H$5:$BE$10004,9676-4,'Visual SPC'!$B$3)="",0,IF(AND(OR('Visual SPC'!$C$4="",'Data Entry'!$C9676&gt;='Visual SPC'!$C$4),OR('Visual SPC'!$E$4="",'Data Entry'!$C9676&lt;='Visual SPC'!$E$4),OR('Visual SPC'!$G$4="",'Data Entry'!$D9676='Visual SPC'!$G$4),OR('Visual SPC'!$I$4="",'Data Entry'!$E9676='Visual SPC'!$I$4),OR('Visual SPC'!$K$4="",'Data Entry'!$F9676='Visual SPC'!$K$4)),1,0))</f>
        <v/>
      </c>
      <c r="C9676">
        <f>C9675+B9676</f>
        <v/>
      </c>
      <c r="D9676">
        <f>IF(B9676=1,INDEX('Data Entry'!$H$5:$BE$10004,9676-4,'Visual SPC'!$B$3),"")</f>
        <v/>
      </c>
      <c r="E9676">
        <f>IF(B9676=1,D9676,E9675)</f>
        <v/>
      </c>
      <c r="F9676">
        <f>IF(AND(B9676=1,C9676&gt;1,E9675&lt;&gt;""),ABS(D9676-E9675),"")</f>
        <v/>
      </c>
    </row>
    <row r="9677">
      <c r="A9677" t="n">
        <v>9677</v>
      </c>
      <c r="B9677">
        <f>IF(INDEX('Data Entry'!$H$5:$BE$10004,9677-4,'Visual SPC'!$B$3)="",0,IF(AND(OR('Visual SPC'!$C$4="",'Data Entry'!$C9677&gt;='Visual SPC'!$C$4),OR('Visual SPC'!$E$4="",'Data Entry'!$C9677&lt;='Visual SPC'!$E$4),OR('Visual SPC'!$G$4="",'Data Entry'!$D9677='Visual SPC'!$G$4),OR('Visual SPC'!$I$4="",'Data Entry'!$E9677='Visual SPC'!$I$4),OR('Visual SPC'!$K$4="",'Data Entry'!$F9677='Visual SPC'!$K$4)),1,0))</f>
        <v/>
      </c>
      <c r="C9677">
        <f>C9676+B9677</f>
        <v/>
      </c>
      <c r="D9677">
        <f>IF(B9677=1,INDEX('Data Entry'!$H$5:$BE$10004,9677-4,'Visual SPC'!$B$3),"")</f>
        <v/>
      </c>
      <c r="E9677">
        <f>IF(B9677=1,D9677,E9676)</f>
        <v/>
      </c>
      <c r="F9677">
        <f>IF(AND(B9677=1,C9677&gt;1,E9676&lt;&gt;""),ABS(D9677-E9676),"")</f>
        <v/>
      </c>
    </row>
    <row r="9678">
      <c r="A9678" t="n">
        <v>9678</v>
      </c>
      <c r="B9678">
        <f>IF(INDEX('Data Entry'!$H$5:$BE$10004,9678-4,'Visual SPC'!$B$3)="",0,IF(AND(OR('Visual SPC'!$C$4="",'Data Entry'!$C9678&gt;='Visual SPC'!$C$4),OR('Visual SPC'!$E$4="",'Data Entry'!$C9678&lt;='Visual SPC'!$E$4),OR('Visual SPC'!$G$4="",'Data Entry'!$D9678='Visual SPC'!$G$4),OR('Visual SPC'!$I$4="",'Data Entry'!$E9678='Visual SPC'!$I$4),OR('Visual SPC'!$K$4="",'Data Entry'!$F9678='Visual SPC'!$K$4)),1,0))</f>
        <v/>
      </c>
      <c r="C9678">
        <f>C9677+B9678</f>
        <v/>
      </c>
      <c r="D9678">
        <f>IF(B9678=1,INDEX('Data Entry'!$H$5:$BE$10004,9678-4,'Visual SPC'!$B$3),"")</f>
        <v/>
      </c>
      <c r="E9678">
        <f>IF(B9678=1,D9678,E9677)</f>
        <v/>
      </c>
      <c r="F9678">
        <f>IF(AND(B9678=1,C9678&gt;1,E9677&lt;&gt;""),ABS(D9678-E9677),"")</f>
        <v/>
      </c>
    </row>
    <row r="9679">
      <c r="A9679" t="n">
        <v>9679</v>
      </c>
      <c r="B9679">
        <f>IF(INDEX('Data Entry'!$H$5:$BE$10004,9679-4,'Visual SPC'!$B$3)="",0,IF(AND(OR('Visual SPC'!$C$4="",'Data Entry'!$C9679&gt;='Visual SPC'!$C$4),OR('Visual SPC'!$E$4="",'Data Entry'!$C9679&lt;='Visual SPC'!$E$4),OR('Visual SPC'!$G$4="",'Data Entry'!$D9679='Visual SPC'!$G$4),OR('Visual SPC'!$I$4="",'Data Entry'!$E9679='Visual SPC'!$I$4),OR('Visual SPC'!$K$4="",'Data Entry'!$F9679='Visual SPC'!$K$4)),1,0))</f>
        <v/>
      </c>
      <c r="C9679">
        <f>C9678+B9679</f>
        <v/>
      </c>
      <c r="D9679">
        <f>IF(B9679=1,INDEX('Data Entry'!$H$5:$BE$10004,9679-4,'Visual SPC'!$B$3),"")</f>
        <v/>
      </c>
      <c r="E9679">
        <f>IF(B9679=1,D9679,E9678)</f>
        <v/>
      </c>
      <c r="F9679">
        <f>IF(AND(B9679=1,C9679&gt;1,E9678&lt;&gt;""),ABS(D9679-E9678),"")</f>
        <v/>
      </c>
    </row>
    <row r="9680">
      <c r="A9680" t="n">
        <v>9680</v>
      </c>
      <c r="B9680">
        <f>IF(INDEX('Data Entry'!$H$5:$BE$10004,9680-4,'Visual SPC'!$B$3)="",0,IF(AND(OR('Visual SPC'!$C$4="",'Data Entry'!$C9680&gt;='Visual SPC'!$C$4),OR('Visual SPC'!$E$4="",'Data Entry'!$C9680&lt;='Visual SPC'!$E$4),OR('Visual SPC'!$G$4="",'Data Entry'!$D9680='Visual SPC'!$G$4),OR('Visual SPC'!$I$4="",'Data Entry'!$E9680='Visual SPC'!$I$4),OR('Visual SPC'!$K$4="",'Data Entry'!$F9680='Visual SPC'!$K$4)),1,0))</f>
        <v/>
      </c>
      <c r="C9680">
        <f>C9679+B9680</f>
        <v/>
      </c>
      <c r="D9680">
        <f>IF(B9680=1,INDEX('Data Entry'!$H$5:$BE$10004,9680-4,'Visual SPC'!$B$3),"")</f>
        <v/>
      </c>
      <c r="E9680">
        <f>IF(B9680=1,D9680,E9679)</f>
        <v/>
      </c>
      <c r="F9680">
        <f>IF(AND(B9680=1,C9680&gt;1,E9679&lt;&gt;""),ABS(D9680-E9679),"")</f>
        <v/>
      </c>
    </row>
    <row r="9681">
      <c r="A9681" t="n">
        <v>9681</v>
      </c>
      <c r="B9681">
        <f>IF(INDEX('Data Entry'!$H$5:$BE$10004,9681-4,'Visual SPC'!$B$3)="",0,IF(AND(OR('Visual SPC'!$C$4="",'Data Entry'!$C9681&gt;='Visual SPC'!$C$4),OR('Visual SPC'!$E$4="",'Data Entry'!$C9681&lt;='Visual SPC'!$E$4),OR('Visual SPC'!$G$4="",'Data Entry'!$D9681='Visual SPC'!$G$4),OR('Visual SPC'!$I$4="",'Data Entry'!$E9681='Visual SPC'!$I$4),OR('Visual SPC'!$K$4="",'Data Entry'!$F9681='Visual SPC'!$K$4)),1,0))</f>
        <v/>
      </c>
      <c r="C9681">
        <f>C9680+B9681</f>
        <v/>
      </c>
      <c r="D9681">
        <f>IF(B9681=1,INDEX('Data Entry'!$H$5:$BE$10004,9681-4,'Visual SPC'!$B$3),"")</f>
        <v/>
      </c>
      <c r="E9681">
        <f>IF(B9681=1,D9681,E9680)</f>
        <v/>
      </c>
      <c r="F9681">
        <f>IF(AND(B9681=1,C9681&gt;1,E9680&lt;&gt;""),ABS(D9681-E9680),"")</f>
        <v/>
      </c>
    </row>
    <row r="9682">
      <c r="A9682" t="n">
        <v>9682</v>
      </c>
      <c r="B9682">
        <f>IF(INDEX('Data Entry'!$H$5:$BE$10004,9682-4,'Visual SPC'!$B$3)="",0,IF(AND(OR('Visual SPC'!$C$4="",'Data Entry'!$C9682&gt;='Visual SPC'!$C$4),OR('Visual SPC'!$E$4="",'Data Entry'!$C9682&lt;='Visual SPC'!$E$4),OR('Visual SPC'!$G$4="",'Data Entry'!$D9682='Visual SPC'!$G$4),OR('Visual SPC'!$I$4="",'Data Entry'!$E9682='Visual SPC'!$I$4),OR('Visual SPC'!$K$4="",'Data Entry'!$F9682='Visual SPC'!$K$4)),1,0))</f>
        <v/>
      </c>
      <c r="C9682">
        <f>C9681+B9682</f>
        <v/>
      </c>
      <c r="D9682">
        <f>IF(B9682=1,INDEX('Data Entry'!$H$5:$BE$10004,9682-4,'Visual SPC'!$B$3),"")</f>
        <v/>
      </c>
      <c r="E9682">
        <f>IF(B9682=1,D9682,E9681)</f>
        <v/>
      </c>
      <c r="F9682">
        <f>IF(AND(B9682=1,C9682&gt;1,E9681&lt;&gt;""),ABS(D9682-E9681),"")</f>
        <v/>
      </c>
    </row>
    <row r="9683">
      <c r="A9683" t="n">
        <v>9683</v>
      </c>
      <c r="B9683">
        <f>IF(INDEX('Data Entry'!$H$5:$BE$10004,9683-4,'Visual SPC'!$B$3)="",0,IF(AND(OR('Visual SPC'!$C$4="",'Data Entry'!$C9683&gt;='Visual SPC'!$C$4),OR('Visual SPC'!$E$4="",'Data Entry'!$C9683&lt;='Visual SPC'!$E$4),OR('Visual SPC'!$G$4="",'Data Entry'!$D9683='Visual SPC'!$G$4),OR('Visual SPC'!$I$4="",'Data Entry'!$E9683='Visual SPC'!$I$4),OR('Visual SPC'!$K$4="",'Data Entry'!$F9683='Visual SPC'!$K$4)),1,0))</f>
        <v/>
      </c>
      <c r="C9683">
        <f>C9682+B9683</f>
        <v/>
      </c>
      <c r="D9683">
        <f>IF(B9683=1,INDEX('Data Entry'!$H$5:$BE$10004,9683-4,'Visual SPC'!$B$3),"")</f>
        <v/>
      </c>
      <c r="E9683">
        <f>IF(B9683=1,D9683,E9682)</f>
        <v/>
      </c>
      <c r="F9683">
        <f>IF(AND(B9683=1,C9683&gt;1,E9682&lt;&gt;""),ABS(D9683-E9682),"")</f>
        <v/>
      </c>
    </row>
    <row r="9684">
      <c r="A9684" t="n">
        <v>9684</v>
      </c>
      <c r="B9684">
        <f>IF(INDEX('Data Entry'!$H$5:$BE$10004,9684-4,'Visual SPC'!$B$3)="",0,IF(AND(OR('Visual SPC'!$C$4="",'Data Entry'!$C9684&gt;='Visual SPC'!$C$4),OR('Visual SPC'!$E$4="",'Data Entry'!$C9684&lt;='Visual SPC'!$E$4),OR('Visual SPC'!$G$4="",'Data Entry'!$D9684='Visual SPC'!$G$4),OR('Visual SPC'!$I$4="",'Data Entry'!$E9684='Visual SPC'!$I$4),OR('Visual SPC'!$K$4="",'Data Entry'!$F9684='Visual SPC'!$K$4)),1,0))</f>
        <v/>
      </c>
      <c r="C9684">
        <f>C9683+B9684</f>
        <v/>
      </c>
      <c r="D9684">
        <f>IF(B9684=1,INDEX('Data Entry'!$H$5:$BE$10004,9684-4,'Visual SPC'!$B$3),"")</f>
        <v/>
      </c>
      <c r="E9684">
        <f>IF(B9684=1,D9684,E9683)</f>
        <v/>
      </c>
      <c r="F9684">
        <f>IF(AND(B9684=1,C9684&gt;1,E9683&lt;&gt;""),ABS(D9684-E9683),"")</f>
        <v/>
      </c>
    </row>
    <row r="9685">
      <c r="A9685" t="n">
        <v>9685</v>
      </c>
      <c r="B9685">
        <f>IF(INDEX('Data Entry'!$H$5:$BE$10004,9685-4,'Visual SPC'!$B$3)="",0,IF(AND(OR('Visual SPC'!$C$4="",'Data Entry'!$C9685&gt;='Visual SPC'!$C$4),OR('Visual SPC'!$E$4="",'Data Entry'!$C9685&lt;='Visual SPC'!$E$4),OR('Visual SPC'!$G$4="",'Data Entry'!$D9685='Visual SPC'!$G$4),OR('Visual SPC'!$I$4="",'Data Entry'!$E9685='Visual SPC'!$I$4),OR('Visual SPC'!$K$4="",'Data Entry'!$F9685='Visual SPC'!$K$4)),1,0))</f>
        <v/>
      </c>
      <c r="C9685">
        <f>C9684+B9685</f>
        <v/>
      </c>
      <c r="D9685">
        <f>IF(B9685=1,INDEX('Data Entry'!$H$5:$BE$10004,9685-4,'Visual SPC'!$B$3),"")</f>
        <v/>
      </c>
      <c r="E9685">
        <f>IF(B9685=1,D9685,E9684)</f>
        <v/>
      </c>
      <c r="F9685">
        <f>IF(AND(B9685=1,C9685&gt;1,E9684&lt;&gt;""),ABS(D9685-E9684),"")</f>
        <v/>
      </c>
    </row>
    <row r="9686">
      <c r="A9686" t="n">
        <v>9686</v>
      </c>
      <c r="B9686">
        <f>IF(INDEX('Data Entry'!$H$5:$BE$10004,9686-4,'Visual SPC'!$B$3)="",0,IF(AND(OR('Visual SPC'!$C$4="",'Data Entry'!$C9686&gt;='Visual SPC'!$C$4),OR('Visual SPC'!$E$4="",'Data Entry'!$C9686&lt;='Visual SPC'!$E$4),OR('Visual SPC'!$G$4="",'Data Entry'!$D9686='Visual SPC'!$G$4),OR('Visual SPC'!$I$4="",'Data Entry'!$E9686='Visual SPC'!$I$4),OR('Visual SPC'!$K$4="",'Data Entry'!$F9686='Visual SPC'!$K$4)),1,0))</f>
        <v/>
      </c>
      <c r="C9686">
        <f>C9685+B9686</f>
        <v/>
      </c>
      <c r="D9686">
        <f>IF(B9686=1,INDEX('Data Entry'!$H$5:$BE$10004,9686-4,'Visual SPC'!$B$3),"")</f>
        <v/>
      </c>
      <c r="E9686">
        <f>IF(B9686=1,D9686,E9685)</f>
        <v/>
      </c>
      <c r="F9686">
        <f>IF(AND(B9686=1,C9686&gt;1,E9685&lt;&gt;""),ABS(D9686-E9685),"")</f>
        <v/>
      </c>
    </row>
    <row r="9687">
      <c r="A9687" t="n">
        <v>9687</v>
      </c>
      <c r="B9687">
        <f>IF(INDEX('Data Entry'!$H$5:$BE$10004,9687-4,'Visual SPC'!$B$3)="",0,IF(AND(OR('Visual SPC'!$C$4="",'Data Entry'!$C9687&gt;='Visual SPC'!$C$4),OR('Visual SPC'!$E$4="",'Data Entry'!$C9687&lt;='Visual SPC'!$E$4),OR('Visual SPC'!$G$4="",'Data Entry'!$D9687='Visual SPC'!$G$4),OR('Visual SPC'!$I$4="",'Data Entry'!$E9687='Visual SPC'!$I$4),OR('Visual SPC'!$K$4="",'Data Entry'!$F9687='Visual SPC'!$K$4)),1,0))</f>
        <v/>
      </c>
      <c r="C9687">
        <f>C9686+B9687</f>
        <v/>
      </c>
      <c r="D9687">
        <f>IF(B9687=1,INDEX('Data Entry'!$H$5:$BE$10004,9687-4,'Visual SPC'!$B$3),"")</f>
        <v/>
      </c>
      <c r="E9687">
        <f>IF(B9687=1,D9687,E9686)</f>
        <v/>
      </c>
      <c r="F9687">
        <f>IF(AND(B9687=1,C9687&gt;1,E9686&lt;&gt;""),ABS(D9687-E9686),"")</f>
        <v/>
      </c>
    </row>
    <row r="9688">
      <c r="A9688" t="n">
        <v>9688</v>
      </c>
      <c r="B9688">
        <f>IF(INDEX('Data Entry'!$H$5:$BE$10004,9688-4,'Visual SPC'!$B$3)="",0,IF(AND(OR('Visual SPC'!$C$4="",'Data Entry'!$C9688&gt;='Visual SPC'!$C$4),OR('Visual SPC'!$E$4="",'Data Entry'!$C9688&lt;='Visual SPC'!$E$4),OR('Visual SPC'!$G$4="",'Data Entry'!$D9688='Visual SPC'!$G$4),OR('Visual SPC'!$I$4="",'Data Entry'!$E9688='Visual SPC'!$I$4),OR('Visual SPC'!$K$4="",'Data Entry'!$F9688='Visual SPC'!$K$4)),1,0))</f>
        <v/>
      </c>
      <c r="C9688">
        <f>C9687+B9688</f>
        <v/>
      </c>
      <c r="D9688">
        <f>IF(B9688=1,INDEX('Data Entry'!$H$5:$BE$10004,9688-4,'Visual SPC'!$B$3),"")</f>
        <v/>
      </c>
      <c r="E9688">
        <f>IF(B9688=1,D9688,E9687)</f>
        <v/>
      </c>
      <c r="F9688">
        <f>IF(AND(B9688=1,C9688&gt;1,E9687&lt;&gt;""),ABS(D9688-E9687),"")</f>
        <v/>
      </c>
    </row>
    <row r="9689">
      <c r="A9689" t="n">
        <v>9689</v>
      </c>
      <c r="B9689">
        <f>IF(INDEX('Data Entry'!$H$5:$BE$10004,9689-4,'Visual SPC'!$B$3)="",0,IF(AND(OR('Visual SPC'!$C$4="",'Data Entry'!$C9689&gt;='Visual SPC'!$C$4),OR('Visual SPC'!$E$4="",'Data Entry'!$C9689&lt;='Visual SPC'!$E$4),OR('Visual SPC'!$G$4="",'Data Entry'!$D9689='Visual SPC'!$G$4),OR('Visual SPC'!$I$4="",'Data Entry'!$E9689='Visual SPC'!$I$4),OR('Visual SPC'!$K$4="",'Data Entry'!$F9689='Visual SPC'!$K$4)),1,0))</f>
        <v/>
      </c>
      <c r="C9689">
        <f>C9688+B9689</f>
        <v/>
      </c>
      <c r="D9689">
        <f>IF(B9689=1,INDEX('Data Entry'!$H$5:$BE$10004,9689-4,'Visual SPC'!$B$3),"")</f>
        <v/>
      </c>
      <c r="E9689">
        <f>IF(B9689=1,D9689,E9688)</f>
        <v/>
      </c>
      <c r="F9689">
        <f>IF(AND(B9689=1,C9689&gt;1,E9688&lt;&gt;""),ABS(D9689-E9688),"")</f>
        <v/>
      </c>
    </row>
    <row r="9690">
      <c r="A9690" t="n">
        <v>9690</v>
      </c>
      <c r="B9690">
        <f>IF(INDEX('Data Entry'!$H$5:$BE$10004,9690-4,'Visual SPC'!$B$3)="",0,IF(AND(OR('Visual SPC'!$C$4="",'Data Entry'!$C9690&gt;='Visual SPC'!$C$4),OR('Visual SPC'!$E$4="",'Data Entry'!$C9690&lt;='Visual SPC'!$E$4),OR('Visual SPC'!$G$4="",'Data Entry'!$D9690='Visual SPC'!$G$4),OR('Visual SPC'!$I$4="",'Data Entry'!$E9690='Visual SPC'!$I$4),OR('Visual SPC'!$K$4="",'Data Entry'!$F9690='Visual SPC'!$K$4)),1,0))</f>
        <v/>
      </c>
      <c r="C9690">
        <f>C9689+B9690</f>
        <v/>
      </c>
      <c r="D9690">
        <f>IF(B9690=1,INDEX('Data Entry'!$H$5:$BE$10004,9690-4,'Visual SPC'!$B$3),"")</f>
        <v/>
      </c>
      <c r="E9690">
        <f>IF(B9690=1,D9690,E9689)</f>
        <v/>
      </c>
      <c r="F9690">
        <f>IF(AND(B9690=1,C9690&gt;1,E9689&lt;&gt;""),ABS(D9690-E9689),"")</f>
        <v/>
      </c>
    </row>
    <row r="9691">
      <c r="A9691" t="n">
        <v>9691</v>
      </c>
      <c r="B9691">
        <f>IF(INDEX('Data Entry'!$H$5:$BE$10004,9691-4,'Visual SPC'!$B$3)="",0,IF(AND(OR('Visual SPC'!$C$4="",'Data Entry'!$C9691&gt;='Visual SPC'!$C$4),OR('Visual SPC'!$E$4="",'Data Entry'!$C9691&lt;='Visual SPC'!$E$4),OR('Visual SPC'!$G$4="",'Data Entry'!$D9691='Visual SPC'!$G$4),OR('Visual SPC'!$I$4="",'Data Entry'!$E9691='Visual SPC'!$I$4),OR('Visual SPC'!$K$4="",'Data Entry'!$F9691='Visual SPC'!$K$4)),1,0))</f>
        <v/>
      </c>
      <c r="C9691">
        <f>C9690+B9691</f>
        <v/>
      </c>
      <c r="D9691">
        <f>IF(B9691=1,INDEX('Data Entry'!$H$5:$BE$10004,9691-4,'Visual SPC'!$B$3),"")</f>
        <v/>
      </c>
      <c r="E9691">
        <f>IF(B9691=1,D9691,E9690)</f>
        <v/>
      </c>
      <c r="F9691">
        <f>IF(AND(B9691=1,C9691&gt;1,E9690&lt;&gt;""),ABS(D9691-E9690),"")</f>
        <v/>
      </c>
    </row>
    <row r="9692">
      <c r="A9692" t="n">
        <v>9692</v>
      </c>
      <c r="B9692">
        <f>IF(INDEX('Data Entry'!$H$5:$BE$10004,9692-4,'Visual SPC'!$B$3)="",0,IF(AND(OR('Visual SPC'!$C$4="",'Data Entry'!$C9692&gt;='Visual SPC'!$C$4),OR('Visual SPC'!$E$4="",'Data Entry'!$C9692&lt;='Visual SPC'!$E$4),OR('Visual SPC'!$G$4="",'Data Entry'!$D9692='Visual SPC'!$G$4),OR('Visual SPC'!$I$4="",'Data Entry'!$E9692='Visual SPC'!$I$4),OR('Visual SPC'!$K$4="",'Data Entry'!$F9692='Visual SPC'!$K$4)),1,0))</f>
        <v/>
      </c>
      <c r="C9692">
        <f>C9691+B9692</f>
        <v/>
      </c>
      <c r="D9692">
        <f>IF(B9692=1,INDEX('Data Entry'!$H$5:$BE$10004,9692-4,'Visual SPC'!$B$3),"")</f>
        <v/>
      </c>
      <c r="E9692">
        <f>IF(B9692=1,D9692,E9691)</f>
        <v/>
      </c>
      <c r="F9692">
        <f>IF(AND(B9692=1,C9692&gt;1,E9691&lt;&gt;""),ABS(D9692-E9691),"")</f>
        <v/>
      </c>
    </row>
    <row r="9693">
      <c r="A9693" t="n">
        <v>9693</v>
      </c>
      <c r="B9693">
        <f>IF(INDEX('Data Entry'!$H$5:$BE$10004,9693-4,'Visual SPC'!$B$3)="",0,IF(AND(OR('Visual SPC'!$C$4="",'Data Entry'!$C9693&gt;='Visual SPC'!$C$4),OR('Visual SPC'!$E$4="",'Data Entry'!$C9693&lt;='Visual SPC'!$E$4),OR('Visual SPC'!$G$4="",'Data Entry'!$D9693='Visual SPC'!$G$4),OR('Visual SPC'!$I$4="",'Data Entry'!$E9693='Visual SPC'!$I$4),OR('Visual SPC'!$K$4="",'Data Entry'!$F9693='Visual SPC'!$K$4)),1,0))</f>
        <v/>
      </c>
      <c r="C9693">
        <f>C9692+B9693</f>
        <v/>
      </c>
      <c r="D9693">
        <f>IF(B9693=1,INDEX('Data Entry'!$H$5:$BE$10004,9693-4,'Visual SPC'!$B$3),"")</f>
        <v/>
      </c>
      <c r="E9693">
        <f>IF(B9693=1,D9693,E9692)</f>
        <v/>
      </c>
      <c r="F9693">
        <f>IF(AND(B9693=1,C9693&gt;1,E9692&lt;&gt;""),ABS(D9693-E9692),"")</f>
        <v/>
      </c>
    </row>
    <row r="9694">
      <c r="A9694" t="n">
        <v>9694</v>
      </c>
      <c r="B9694">
        <f>IF(INDEX('Data Entry'!$H$5:$BE$10004,9694-4,'Visual SPC'!$B$3)="",0,IF(AND(OR('Visual SPC'!$C$4="",'Data Entry'!$C9694&gt;='Visual SPC'!$C$4),OR('Visual SPC'!$E$4="",'Data Entry'!$C9694&lt;='Visual SPC'!$E$4),OR('Visual SPC'!$G$4="",'Data Entry'!$D9694='Visual SPC'!$G$4),OR('Visual SPC'!$I$4="",'Data Entry'!$E9694='Visual SPC'!$I$4),OR('Visual SPC'!$K$4="",'Data Entry'!$F9694='Visual SPC'!$K$4)),1,0))</f>
        <v/>
      </c>
      <c r="C9694">
        <f>C9693+B9694</f>
        <v/>
      </c>
      <c r="D9694">
        <f>IF(B9694=1,INDEX('Data Entry'!$H$5:$BE$10004,9694-4,'Visual SPC'!$B$3),"")</f>
        <v/>
      </c>
      <c r="E9694">
        <f>IF(B9694=1,D9694,E9693)</f>
        <v/>
      </c>
      <c r="F9694">
        <f>IF(AND(B9694=1,C9694&gt;1,E9693&lt;&gt;""),ABS(D9694-E9693),"")</f>
        <v/>
      </c>
    </row>
    <row r="9695">
      <c r="A9695" t="n">
        <v>9695</v>
      </c>
      <c r="B9695">
        <f>IF(INDEX('Data Entry'!$H$5:$BE$10004,9695-4,'Visual SPC'!$B$3)="",0,IF(AND(OR('Visual SPC'!$C$4="",'Data Entry'!$C9695&gt;='Visual SPC'!$C$4),OR('Visual SPC'!$E$4="",'Data Entry'!$C9695&lt;='Visual SPC'!$E$4),OR('Visual SPC'!$G$4="",'Data Entry'!$D9695='Visual SPC'!$G$4),OR('Visual SPC'!$I$4="",'Data Entry'!$E9695='Visual SPC'!$I$4),OR('Visual SPC'!$K$4="",'Data Entry'!$F9695='Visual SPC'!$K$4)),1,0))</f>
        <v/>
      </c>
      <c r="C9695">
        <f>C9694+B9695</f>
        <v/>
      </c>
      <c r="D9695">
        <f>IF(B9695=1,INDEX('Data Entry'!$H$5:$BE$10004,9695-4,'Visual SPC'!$B$3),"")</f>
        <v/>
      </c>
      <c r="E9695">
        <f>IF(B9695=1,D9695,E9694)</f>
        <v/>
      </c>
      <c r="F9695">
        <f>IF(AND(B9695=1,C9695&gt;1,E9694&lt;&gt;""),ABS(D9695-E9694),"")</f>
        <v/>
      </c>
    </row>
    <row r="9696">
      <c r="A9696" t="n">
        <v>9696</v>
      </c>
      <c r="B9696">
        <f>IF(INDEX('Data Entry'!$H$5:$BE$10004,9696-4,'Visual SPC'!$B$3)="",0,IF(AND(OR('Visual SPC'!$C$4="",'Data Entry'!$C9696&gt;='Visual SPC'!$C$4),OR('Visual SPC'!$E$4="",'Data Entry'!$C9696&lt;='Visual SPC'!$E$4),OR('Visual SPC'!$G$4="",'Data Entry'!$D9696='Visual SPC'!$G$4),OR('Visual SPC'!$I$4="",'Data Entry'!$E9696='Visual SPC'!$I$4),OR('Visual SPC'!$K$4="",'Data Entry'!$F9696='Visual SPC'!$K$4)),1,0))</f>
        <v/>
      </c>
      <c r="C9696">
        <f>C9695+B9696</f>
        <v/>
      </c>
      <c r="D9696">
        <f>IF(B9696=1,INDEX('Data Entry'!$H$5:$BE$10004,9696-4,'Visual SPC'!$B$3),"")</f>
        <v/>
      </c>
      <c r="E9696">
        <f>IF(B9696=1,D9696,E9695)</f>
        <v/>
      </c>
      <c r="F9696">
        <f>IF(AND(B9696=1,C9696&gt;1,E9695&lt;&gt;""),ABS(D9696-E9695),"")</f>
        <v/>
      </c>
    </row>
    <row r="9697">
      <c r="A9697" t="n">
        <v>9697</v>
      </c>
      <c r="B9697">
        <f>IF(INDEX('Data Entry'!$H$5:$BE$10004,9697-4,'Visual SPC'!$B$3)="",0,IF(AND(OR('Visual SPC'!$C$4="",'Data Entry'!$C9697&gt;='Visual SPC'!$C$4),OR('Visual SPC'!$E$4="",'Data Entry'!$C9697&lt;='Visual SPC'!$E$4),OR('Visual SPC'!$G$4="",'Data Entry'!$D9697='Visual SPC'!$G$4),OR('Visual SPC'!$I$4="",'Data Entry'!$E9697='Visual SPC'!$I$4),OR('Visual SPC'!$K$4="",'Data Entry'!$F9697='Visual SPC'!$K$4)),1,0))</f>
        <v/>
      </c>
      <c r="C9697">
        <f>C9696+B9697</f>
        <v/>
      </c>
      <c r="D9697">
        <f>IF(B9697=1,INDEX('Data Entry'!$H$5:$BE$10004,9697-4,'Visual SPC'!$B$3),"")</f>
        <v/>
      </c>
      <c r="E9697">
        <f>IF(B9697=1,D9697,E9696)</f>
        <v/>
      </c>
      <c r="F9697">
        <f>IF(AND(B9697=1,C9697&gt;1,E9696&lt;&gt;""),ABS(D9697-E9696),"")</f>
        <v/>
      </c>
    </row>
    <row r="9698">
      <c r="A9698" t="n">
        <v>9698</v>
      </c>
      <c r="B9698">
        <f>IF(INDEX('Data Entry'!$H$5:$BE$10004,9698-4,'Visual SPC'!$B$3)="",0,IF(AND(OR('Visual SPC'!$C$4="",'Data Entry'!$C9698&gt;='Visual SPC'!$C$4),OR('Visual SPC'!$E$4="",'Data Entry'!$C9698&lt;='Visual SPC'!$E$4),OR('Visual SPC'!$G$4="",'Data Entry'!$D9698='Visual SPC'!$G$4),OR('Visual SPC'!$I$4="",'Data Entry'!$E9698='Visual SPC'!$I$4),OR('Visual SPC'!$K$4="",'Data Entry'!$F9698='Visual SPC'!$K$4)),1,0))</f>
        <v/>
      </c>
      <c r="C9698">
        <f>C9697+B9698</f>
        <v/>
      </c>
      <c r="D9698">
        <f>IF(B9698=1,INDEX('Data Entry'!$H$5:$BE$10004,9698-4,'Visual SPC'!$B$3),"")</f>
        <v/>
      </c>
      <c r="E9698">
        <f>IF(B9698=1,D9698,E9697)</f>
        <v/>
      </c>
      <c r="F9698">
        <f>IF(AND(B9698=1,C9698&gt;1,E9697&lt;&gt;""),ABS(D9698-E9697),"")</f>
        <v/>
      </c>
    </row>
    <row r="9699">
      <c r="A9699" t="n">
        <v>9699</v>
      </c>
      <c r="B9699">
        <f>IF(INDEX('Data Entry'!$H$5:$BE$10004,9699-4,'Visual SPC'!$B$3)="",0,IF(AND(OR('Visual SPC'!$C$4="",'Data Entry'!$C9699&gt;='Visual SPC'!$C$4),OR('Visual SPC'!$E$4="",'Data Entry'!$C9699&lt;='Visual SPC'!$E$4),OR('Visual SPC'!$G$4="",'Data Entry'!$D9699='Visual SPC'!$G$4),OR('Visual SPC'!$I$4="",'Data Entry'!$E9699='Visual SPC'!$I$4),OR('Visual SPC'!$K$4="",'Data Entry'!$F9699='Visual SPC'!$K$4)),1,0))</f>
        <v/>
      </c>
      <c r="C9699">
        <f>C9698+B9699</f>
        <v/>
      </c>
      <c r="D9699">
        <f>IF(B9699=1,INDEX('Data Entry'!$H$5:$BE$10004,9699-4,'Visual SPC'!$B$3),"")</f>
        <v/>
      </c>
      <c r="E9699">
        <f>IF(B9699=1,D9699,E9698)</f>
        <v/>
      </c>
      <c r="F9699">
        <f>IF(AND(B9699=1,C9699&gt;1,E9698&lt;&gt;""),ABS(D9699-E9698),"")</f>
        <v/>
      </c>
    </row>
    <row r="9700">
      <c r="A9700" t="n">
        <v>9700</v>
      </c>
      <c r="B9700">
        <f>IF(INDEX('Data Entry'!$H$5:$BE$10004,9700-4,'Visual SPC'!$B$3)="",0,IF(AND(OR('Visual SPC'!$C$4="",'Data Entry'!$C9700&gt;='Visual SPC'!$C$4),OR('Visual SPC'!$E$4="",'Data Entry'!$C9700&lt;='Visual SPC'!$E$4),OR('Visual SPC'!$G$4="",'Data Entry'!$D9700='Visual SPC'!$G$4),OR('Visual SPC'!$I$4="",'Data Entry'!$E9700='Visual SPC'!$I$4),OR('Visual SPC'!$K$4="",'Data Entry'!$F9700='Visual SPC'!$K$4)),1,0))</f>
        <v/>
      </c>
      <c r="C9700">
        <f>C9699+B9700</f>
        <v/>
      </c>
      <c r="D9700">
        <f>IF(B9700=1,INDEX('Data Entry'!$H$5:$BE$10004,9700-4,'Visual SPC'!$B$3),"")</f>
        <v/>
      </c>
      <c r="E9700">
        <f>IF(B9700=1,D9700,E9699)</f>
        <v/>
      </c>
      <c r="F9700">
        <f>IF(AND(B9700=1,C9700&gt;1,E9699&lt;&gt;""),ABS(D9700-E9699),"")</f>
        <v/>
      </c>
    </row>
    <row r="9701">
      <c r="A9701" t="n">
        <v>9701</v>
      </c>
      <c r="B9701">
        <f>IF(INDEX('Data Entry'!$H$5:$BE$10004,9701-4,'Visual SPC'!$B$3)="",0,IF(AND(OR('Visual SPC'!$C$4="",'Data Entry'!$C9701&gt;='Visual SPC'!$C$4),OR('Visual SPC'!$E$4="",'Data Entry'!$C9701&lt;='Visual SPC'!$E$4),OR('Visual SPC'!$G$4="",'Data Entry'!$D9701='Visual SPC'!$G$4),OR('Visual SPC'!$I$4="",'Data Entry'!$E9701='Visual SPC'!$I$4),OR('Visual SPC'!$K$4="",'Data Entry'!$F9701='Visual SPC'!$K$4)),1,0))</f>
        <v/>
      </c>
      <c r="C9701">
        <f>C9700+B9701</f>
        <v/>
      </c>
      <c r="D9701">
        <f>IF(B9701=1,INDEX('Data Entry'!$H$5:$BE$10004,9701-4,'Visual SPC'!$B$3),"")</f>
        <v/>
      </c>
      <c r="E9701">
        <f>IF(B9701=1,D9701,E9700)</f>
        <v/>
      </c>
      <c r="F9701">
        <f>IF(AND(B9701=1,C9701&gt;1,E9700&lt;&gt;""),ABS(D9701-E9700),"")</f>
        <v/>
      </c>
    </row>
    <row r="9702">
      <c r="A9702" t="n">
        <v>9702</v>
      </c>
      <c r="B9702">
        <f>IF(INDEX('Data Entry'!$H$5:$BE$10004,9702-4,'Visual SPC'!$B$3)="",0,IF(AND(OR('Visual SPC'!$C$4="",'Data Entry'!$C9702&gt;='Visual SPC'!$C$4),OR('Visual SPC'!$E$4="",'Data Entry'!$C9702&lt;='Visual SPC'!$E$4),OR('Visual SPC'!$G$4="",'Data Entry'!$D9702='Visual SPC'!$G$4),OR('Visual SPC'!$I$4="",'Data Entry'!$E9702='Visual SPC'!$I$4),OR('Visual SPC'!$K$4="",'Data Entry'!$F9702='Visual SPC'!$K$4)),1,0))</f>
        <v/>
      </c>
      <c r="C9702">
        <f>C9701+B9702</f>
        <v/>
      </c>
      <c r="D9702">
        <f>IF(B9702=1,INDEX('Data Entry'!$H$5:$BE$10004,9702-4,'Visual SPC'!$B$3),"")</f>
        <v/>
      </c>
      <c r="E9702">
        <f>IF(B9702=1,D9702,E9701)</f>
        <v/>
      </c>
      <c r="F9702">
        <f>IF(AND(B9702=1,C9702&gt;1,E9701&lt;&gt;""),ABS(D9702-E9701),"")</f>
        <v/>
      </c>
    </row>
    <row r="9703">
      <c r="A9703" t="n">
        <v>9703</v>
      </c>
      <c r="B9703">
        <f>IF(INDEX('Data Entry'!$H$5:$BE$10004,9703-4,'Visual SPC'!$B$3)="",0,IF(AND(OR('Visual SPC'!$C$4="",'Data Entry'!$C9703&gt;='Visual SPC'!$C$4),OR('Visual SPC'!$E$4="",'Data Entry'!$C9703&lt;='Visual SPC'!$E$4),OR('Visual SPC'!$G$4="",'Data Entry'!$D9703='Visual SPC'!$G$4),OR('Visual SPC'!$I$4="",'Data Entry'!$E9703='Visual SPC'!$I$4),OR('Visual SPC'!$K$4="",'Data Entry'!$F9703='Visual SPC'!$K$4)),1,0))</f>
        <v/>
      </c>
      <c r="C9703">
        <f>C9702+B9703</f>
        <v/>
      </c>
      <c r="D9703">
        <f>IF(B9703=1,INDEX('Data Entry'!$H$5:$BE$10004,9703-4,'Visual SPC'!$B$3),"")</f>
        <v/>
      </c>
      <c r="E9703">
        <f>IF(B9703=1,D9703,E9702)</f>
        <v/>
      </c>
      <c r="F9703">
        <f>IF(AND(B9703=1,C9703&gt;1,E9702&lt;&gt;""),ABS(D9703-E9702),"")</f>
        <v/>
      </c>
    </row>
    <row r="9704">
      <c r="A9704" t="n">
        <v>9704</v>
      </c>
      <c r="B9704">
        <f>IF(INDEX('Data Entry'!$H$5:$BE$10004,9704-4,'Visual SPC'!$B$3)="",0,IF(AND(OR('Visual SPC'!$C$4="",'Data Entry'!$C9704&gt;='Visual SPC'!$C$4),OR('Visual SPC'!$E$4="",'Data Entry'!$C9704&lt;='Visual SPC'!$E$4),OR('Visual SPC'!$G$4="",'Data Entry'!$D9704='Visual SPC'!$G$4),OR('Visual SPC'!$I$4="",'Data Entry'!$E9704='Visual SPC'!$I$4),OR('Visual SPC'!$K$4="",'Data Entry'!$F9704='Visual SPC'!$K$4)),1,0))</f>
        <v/>
      </c>
      <c r="C9704">
        <f>C9703+B9704</f>
        <v/>
      </c>
      <c r="D9704">
        <f>IF(B9704=1,INDEX('Data Entry'!$H$5:$BE$10004,9704-4,'Visual SPC'!$B$3),"")</f>
        <v/>
      </c>
      <c r="E9704">
        <f>IF(B9704=1,D9704,E9703)</f>
        <v/>
      </c>
      <c r="F9704">
        <f>IF(AND(B9704=1,C9704&gt;1,E9703&lt;&gt;""),ABS(D9704-E9703),"")</f>
        <v/>
      </c>
    </row>
    <row r="9705">
      <c r="A9705" t="n">
        <v>9705</v>
      </c>
      <c r="B9705">
        <f>IF(INDEX('Data Entry'!$H$5:$BE$10004,9705-4,'Visual SPC'!$B$3)="",0,IF(AND(OR('Visual SPC'!$C$4="",'Data Entry'!$C9705&gt;='Visual SPC'!$C$4),OR('Visual SPC'!$E$4="",'Data Entry'!$C9705&lt;='Visual SPC'!$E$4),OR('Visual SPC'!$G$4="",'Data Entry'!$D9705='Visual SPC'!$G$4),OR('Visual SPC'!$I$4="",'Data Entry'!$E9705='Visual SPC'!$I$4),OR('Visual SPC'!$K$4="",'Data Entry'!$F9705='Visual SPC'!$K$4)),1,0))</f>
        <v/>
      </c>
      <c r="C9705">
        <f>C9704+B9705</f>
        <v/>
      </c>
      <c r="D9705">
        <f>IF(B9705=1,INDEX('Data Entry'!$H$5:$BE$10004,9705-4,'Visual SPC'!$B$3),"")</f>
        <v/>
      </c>
      <c r="E9705">
        <f>IF(B9705=1,D9705,E9704)</f>
        <v/>
      </c>
      <c r="F9705">
        <f>IF(AND(B9705=1,C9705&gt;1,E9704&lt;&gt;""),ABS(D9705-E9704),"")</f>
        <v/>
      </c>
    </row>
    <row r="9706">
      <c r="A9706" t="n">
        <v>9706</v>
      </c>
      <c r="B9706">
        <f>IF(INDEX('Data Entry'!$H$5:$BE$10004,9706-4,'Visual SPC'!$B$3)="",0,IF(AND(OR('Visual SPC'!$C$4="",'Data Entry'!$C9706&gt;='Visual SPC'!$C$4),OR('Visual SPC'!$E$4="",'Data Entry'!$C9706&lt;='Visual SPC'!$E$4),OR('Visual SPC'!$G$4="",'Data Entry'!$D9706='Visual SPC'!$G$4),OR('Visual SPC'!$I$4="",'Data Entry'!$E9706='Visual SPC'!$I$4),OR('Visual SPC'!$K$4="",'Data Entry'!$F9706='Visual SPC'!$K$4)),1,0))</f>
        <v/>
      </c>
      <c r="C9706">
        <f>C9705+B9706</f>
        <v/>
      </c>
      <c r="D9706">
        <f>IF(B9706=1,INDEX('Data Entry'!$H$5:$BE$10004,9706-4,'Visual SPC'!$B$3),"")</f>
        <v/>
      </c>
      <c r="E9706">
        <f>IF(B9706=1,D9706,E9705)</f>
        <v/>
      </c>
      <c r="F9706">
        <f>IF(AND(B9706=1,C9706&gt;1,E9705&lt;&gt;""),ABS(D9706-E9705),"")</f>
        <v/>
      </c>
    </row>
    <row r="9707">
      <c r="A9707" t="n">
        <v>9707</v>
      </c>
      <c r="B9707">
        <f>IF(INDEX('Data Entry'!$H$5:$BE$10004,9707-4,'Visual SPC'!$B$3)="",0,IF(AND(OR('Visual SPC'!$C$4="",'Data Entry'!$C9707&gt;='Visual SPC'!$C$4),OR('Visual SPC'!$E$4="",'Data Entry'!$C9707&lt;='Visual SPC'!$E$4),OR('Visual SPC'!$G$4="",'Data Entry'!$D9707='Visual SPC'!$G$4),OR('Visual SPC'!$I$4="",'Data Entry'!$E9707='Visual SPC'!$I$4),OR('Visual SPC'!$K$4="",'Data Entry'!$F9707='Visual SPC'!$K$4)),1,0))</f>
        <v/>
      </c>
      <c r="C9707">
        <f>C9706+B9707</f>
        <v/>
      </c>
      <c r="D9707">
        <f>IF(B9707=1,INDEX('Data Entry'!$H$5:$BE$10004,9707-4,'Visual SPC'!$B$3),"")</f>
        <v/>
      </c>
      <c r="E9707">
        <f>IF(B9707=1,D9707,E9706)</f>
        <v/>
      </c>
      <c r="F9707">
        <f>IF(AND(B9707=1,C9707&gt;1,E9706&lt;&gt;""),ABS(D9707-E9706),"")</f>
        <v/>
      </c>
    </row>
    <row r="9708">
      <c r="A9708" t="n">
        <v>9708</v>
      </c>
      <c r="B9708">
        <f>IF(INDEX('Data Entry'!$H$5:$BE$10004,9708-4,'Visual SPC'!$B$3)="",0,IF(AND(OR('Visual SPC'!$C$4="",'Data Entry'!$C9708&gt;='Visual SPC'!$C$4),OR('Visual SPC'!$E$4="",'Data Entry'!$C9708&lt;='Visual SPC'!$E$4),OR('Visual SPC'!$G$4="",'Data Entry'!$D9708='Visual SPC'!$G$4),OR('Visual SPC'!$I$4="",'Data Entry'!$E9708='Visual SPC'!$I$4),OR('Visual SPC'!$K$4="",'Data Entry'!$F9708='Visual SPC'!$K$4)),1,0))</f>
        <v/>
      </c>
      <c r="C9708">
        <f>C9707+B9708</f>
        <v/>
      </c>
      <c r="D9708">
        <f>IF(B9708=1,INDEX('Data Entry'!$H$5:$BE$10004,9708-4,'Visual SPC'!$B$3),"")</f>
        <v/>
      </c>
      <c r="E9708">
        <f>IF(B9708=1,D9708,E9707)</f>
        <v/>
      </c>
      <c r="F9708">
        <f>IF(AND(B9708=1,C9708&gt;1,E9707&lt;&gt;""),ABS(D9708-E9707),"")</f>
        <v/>
      </c>
    </row>
    <row r="9709">
      <c r="A9709" t="n">
        <v>9709</v>
      </c>
      <c r="B9709">
        <f>IF(INDEX('Data Entry'!$H$5:$BE$10004,9709-4,'Visual SPC'!$B$3)="",0,IF(AND(OR('Visual SPC'!$C$4="",'Data Entry'!$C9709&gt;='Visual SPC'!$C$4),OR('Visual SPC'!$E$4="",'Data Entry'!$C9709&lt;='Visual SPC'!$E$4),OR('Visual SPC'!$G$4="",'Data Entry'!$D9709='Visual SPC'!$G$4),OR('Visual SPC'!$I$4="",'Data Entry'!$E9709='Visual SPC'!$I$4),OR('Visual SPC'!$K$4="",'Data Entry'!$F9709='Visual SPC'!$K$4)),1,0))</f>
        <v/>
      </c>
      <c r="C9709">
        <f>C9708+B9709</f>
        <v/>
      </c>
      <c r="D9709">
        <f>IF(B9709=1,INDEX('Data Entry'!$H$5:$BE$10004,9709-4,'Visual SPC'!$B$3),"")</f>
        <v/>
      </c>
      <c r="E9709">
        <f>IF(B9709=1,D9709,E9708)</f>
        <v/>
      </c>
      <c r="F9709">
        <f>IF(AND(B9709=1,C9709&gt;1,E9708&lt;&gt;""),ABS(D9709-E9708),"")</f>
        <v/>
      </c>
    </row>
    <row r="9710">
      <c r="A9710" t="n">
        <v>9710</v>
      </c>
      <c r="B9710">
        <f>IF(INDEX('Data Entry'!$H$5:$BE$10004,9710-4,'Visual SPC'!$B$3)="",0,IF(AND(OR('Visual SPC'!$C$4="",'Data Entry'!$C9710&gt;='Visual SPC'!$C$4),OR('Visual SPC'!$E$4="",'Data Entry'!$C9710&lt;='Visual SPC'!$E$4),OR('Visual SPC'!$G$4="",'Data Entry'!$D9710='Visual SPC'!$G$4),OR('Visual SPC'!$I$4="",'Data Entry'!$E9710='Visual SPC'!$I$4),OR('Visual SPC'!$K$4="",'Data Entry'!$F9710='Visual SPC'!$K$4)),1,0))</f>
        <v/>
      </c>
      <c r="C9710">
        <f>C9709+B9710</f>
        <v/>
      </c>
      <c r="D9710">
        <f>IF(B9710=1,INDEX('Data Entry'!$H$5:$BE$10004,9710-4,'Visual SPC'!$B$3),"")</f>
        <v/>
      </c>
      <c r="E9710">
        <f>IF(B9710=1,D9710,E9709)</f>
        <v/>
      </c>
      <c r="F9710">
        <f>IF(AND(B9710=1,C9710&gt;1,E9709&lt;&gt;""),ABS(D9710-E9709),"")</f>
        <v/>
      </c>
    </row>
    <row r="9711">
      <c r="A9711" t="n">
        <v>9711</v>
      </c>
      <c r="B9711">
        <f>IF(INDEX('Data Entry'!$H$5:$BE$10004,9711-4,'Visual SPC'!$B$3)="",0,IF(AND(OR('Visual SPC'!$C$4="",'Data Entry'!$C9711&gt;='Visual SPC'!$C$4),OR('Visual SPC'!$E$4="",'Data Entry'!$C9711&lt;='Visual SPC'!$E$4),OR('Visual SPC'!$G$4="",'Data Entry'!$D9711='Visual SPC'!$G$4),OR('Visual SPC'!$I$4="",'Data Entry'!$E9711='Visual SPC'!$I$4),OR('Visual SPC'!$K$4="",'Data Entry'!$F9711='Visual SPC'!$K$4)),1,0))</f>
        <v/>
      </c>
      <c r="C9711">
        <f>C9710+B9711</f>
        <v/>
      </c>
      <c r="D9711">
        <f>IF(B9711=1,INDEX('Data Entry'!$H$5:$BE$10004,9711-4,'Visual SPC'!$B$3),"")</f>
        <v/>
      </c>
      <c r="E9711">
        <f>IF(B9711=1,D9711,E9710)</f>
        <v/>
      </c>
      <c r="F9711">
        <f>IF(AND(B9711=1,C9711&gt;1,E9710&lt;&gt;""),ABS(D9711-E9710),"")</f>
        <v/>
      </c>
    </row>
    <row r="9712">
      <c r="A9712" t="n">
        <v>9712</v>
      </c>
      <c r="B9712">
        <f>IF(INDEX('Data Entry'!$H$5:$BE$10004,9712-4,'Visual SPC'!$B$3)="",0,IF(AND(OR('Visual SPC'!$C$4="",'Data Entry'!$C9712&gt;='Visual SPC'!$C$4),OR('Visual SPC'!$E$4="",'Data Entry'!$C9712&lt;='Visual SPC'!$E$4),OR('Visual SPC'!$G$4="",'Data Entry'!$D9712='Visual SPC'!$G$4),OR('Visual SPC'!$I$4="",'Data Entry'!$E9712='Visual SPC'!$I$4),OR('Visual SPC'!$K$4="",'Data Entry'!$F9712='Visual SPC'!$K$4)),1,0))</f>
        <v/>
      </c>
      <c r="C9712">
        <f>C9711+B9712</f>
        <v/>
      </c>
      <c r="D9712">
        <f>IF(B9712=1,INDEX('Data Entry'!$H$5:$BE$10004,9712-4,'Visual SPC'!$B$3),"")</f>
        <v/>
      </c>
      <c r="E9712">
        <f>IF(B9712=1,D9712,E9711)</f>
        <v/>
      </c>
      <c r="F9712">
        <f>IF(AND(B9712=1,C9712&gt;1,E9711&lt;&gt;""),ABS(D9712-E9711),"")</f>
        <v/>
      </c>
    </row>
    <row r="9713">
      <c r="A9713" t="n">
        <v>9713</v>
      </c>
      <c r="B9713">
        <f>IF(INDEX('Data Entry'!$H$5:$BE$10004,9713-4,'Visual SPC'!$B$3)="",0,IF(AND(OR('Visual SPC'!$C$4="",'Data Entry'!$C9713&gt;='Visual SPC'!$C$4),OR('Visual SPC'!$E$4="",'Data Entry'!$C9713&lt;='Visual SPC'!$E$4),OR('Visual SPC'!$G$4="",'Data Entry'!$D9713='Visual SPC'!$G$4),OR('Visual SPC'!$I$4="",'Data Entry'!$E9713='Visual SPC'!$I$4),OR('Visual SPC'!$K$4="",'Data Entry'!$F9713='Visual SPC'!$K$4)),1,0))</f>
        <v/>
      </c>
      <c r="C9713">
        <f>C9712+B9713</f>
        <v/>
      </c>
      <c r="D9713">
        <f>IF(B9713=1,INDEX('Data Entry'!$H$5:$BE$10004,9713-4,'Visual SPC'!$B$3),"")</f>
        <v/>
      </c>
      <c r="E9713">
        <f>IF(B9713=1,D9713,E9712)</f>
        <v/>
      </c>
      <c r="F9713">
        <f>IF(AND(B9713=1,C9713&gt;1,E9712&lt;&gt;""),ABS(D9713-E9712),"")</f>
        <v/>
      </c>
    </row>
    <row r="9714">
      <c r="A9714" t="n">
        <v>9714</v>
      </c>
      <c r="B9714">
        <f>IF(INDEX('Data Entry'!$H$5:$BE$10004,9714-4,'Visual SPC'!$B$3)="",0,IF(AND(OR('Visual SPC'!$C$4="",'Data Entry'!$C9714&gt;='Visual SPC'!$C$4),OR('Visual SPC'!$E$4="",'Data Entry'!$C9714&lt;='Visual SPC'!$E$4),OR('Visual SPC'!$G$4="",'Data Entry'!$D9714='Visual SPC'!$G$4),OR('Visual SPC'!$I$4="",'Data Entry'!$E9714='Visual SPC'!$I$4),OR('Visual SPC'!$K$4="",'Data Entry'!$F9714='Visual SPC'!$K$4)),1,0))</f>
        <v/>
      </c>
      <c r="C9714">
        <f>C9713+B9714</f>
        <v/>
      </c>
      <c r="D9714">
        <f>IF(B9714=1,INDEX('Data Entry'!$H$5:$BE$10004,9714-4,'Visual SPC'!$B$3),"")</f>
        <v/>
      </c>
      <c r="E9714">
        <f>IF(B9714=1,D9714,E9713)</f>
        <v/>
      </c>
      <c r="F9714">
        <f>IF(AND(B9714=1,C9714&gt;1,E9713&lt;&gt;""),ABS(D9714-E9713),"")</f>
        <v/>
      </c>
    </row>
    <row r="9715">
      <c r="A9715" t="n">
        <v>9715</v>
      </c>
      <c r="B9715">
        <f>IF(INDEX('Data Entry'!$H$5:$BE$10004,9715-4,'Visual SPC'!$B$3)="",0,IF(AND(OR('Visual SPC'!$C$4="",'Data Entry'!$C9715&gt;='Visual SPC'!$C$4),OR('Visual SPC'!$E$4="",'Data Entry'!$C9715&lt;='Visual SPC'!$E$4),OR('Visual SPC'!$G$4="",'Data Entry'!$D9715='Visual SPC'!$G$4),OR('Visual SPC'!$I$4="",'Data Entry'!$E9715='Visual SPC'!$I$4),OR('Visual SPC'!$K$4="",'Data Entry'!$F9715='Visual SPC'!$K$4)),1,0))</f>
        <v/>
      </c>
      <c r="C9715">
        <f>C9714+B9715</f>
        <v/>
      </c>
      <c r="D9715">
        <f>IF(B9715=1,INDEX('Data Entry'!$H$5:$BE$10004,9715-4,'Visual SPC'!$B$3),"")</f>
        <v/>
      </c>
      <c r="E9715">
        <f>IF(B9715=1,D9715,E9714)</f>
        <v/>
      </c>
      <c r="F9715">
        <f>IF(AND(B9715=1,C9715&gt;1,E9714&lt;&gt;""),ABS(D9715-E9714),"")</f>
        <v/>
      </c>
    </row>
    <row r="9716">
      <c r="A9716" t="n">
        <v>9716</v>
      </c>
      <c r="B9716">
        <f>IF(INDEX('Data Entry'!$H$5:$BE$10004,9716-4,'Visual SPC'!$B$3)="",0,IF(AND(OR('Visual SPC'!$C$4="",'Data Entry'!$C9716&gt;='Visual SPC'!$C$4),OR('Visual SPC'!$E$4="",'Data Entry'!$C9716&lt;='Visual SPC'!$E$4),OR('Visual SPC'!$G$4="",'Data Entry'!$D9716='Visual SPC'!$G$4),OR('Visual SPC'!$I$4="",'Data Entry'!$E9716='Visual SPC'!$I$4),OR('Visual SPC'!$K$4="",'Data Entry'!$F9716='Visual SPC'!$K$4)),1,0))</f>
        <v/>
      </c>
      <c r="C9716">
        <f>C9715+B9716</f>
        <v/>
      </c>
      <c r="D9716">
        <f>IF(B9716=1,INDEX('Data Entry'!$H$5:$BE$10004,9716-4,'Visual SPC'!$B$3),"")</f>
        <v/>
      </c>
      <c r="E9716">
        <f>IF(B9716=1,D9716,E9715)</f>
        <v/>
      </c>
      <c r="F9716">
        <f>IF(AND(B9716=1,C9716&gt;1,E9715&lt;&gt;""),ABS(D9716-E9715),"")</f>
        <v/>
      </c>
    </row>
    <row r="9717">
      <c r="A9717" t="n">
        <v>9717</v>
      </c>
      <c r="B9717">
        <f>IF(INDEX('Data Entry'!$H$5:$BE$10004,9717-4,'Visual SPC'!$B$3)="",0,IF(AND(OR('Visual SPC'!$C$4="",'Data Entry'!$C9717&gt;='Visual SPC'!$C$4),OR('Visual SPC'!$E$4="",'Data Entry'!$C9717&lt;='Visual SPC'!$E$4),OR('Visual SPC'!$G$4="",'Data Entry'!$D9717='Visual SPC'!$G$4),OR('Visual SPC'!$I$4="",'Data Entry'!$E9717='Visual SPC'!$I$4),OR('Visual SPC'!$K$4="",'Data Entry'!$F9717='Visual SPC'!$K$4)),1,0))</f>
        <v/>
      </c>
      <c r="C9717">
        <f>C9716+B9717</f>
        <v/>
      </c>
      <c r="D9717">
        <f>IF(B9717=1,INDEX('Data Entry'!$H$5:$BE$10004,9717-4,'Visual SPC'!$B$3),"")</f>
        <v/>
      </c>
      <c r="E9717">
        <f>IF(B9717=1,D9717,E9716)</f>
        <v/>
      </c>
      <c r="F9717">
        <f>IF(AND(B9717=1,C9717&gt;1,E9716&lt;&gt;""),ABS(D9717-E9716),"")</f>
        <v/>
      </c>
    </row>
    <row r="9718">
      <c r="A9718" t="n">
        <v>9718</v>
      </c>
      <c r="B9718">
        <f>IF(INDEX('Data Entry'!$H$5:$BE$10004,9718-4,'Visual SPC'!$B$3)="",0,IF(AND(OR('Visual SPC'!$C$4="",'Data Entry'!$C9718&gt;='Visual SPC'!$C$4),OR('Visual SPC'!$E$4="",'Data Entry'!$C9718&lt;='Visual SPC'!$E$4),OR('Visual SPC'!$G$4="",'Data Entry'!$D9718='Visual SPC'!$G$4),OR('Visual SPC'!$I$4="",'Data Entry'!$E9718='Visual SPC'!$I$4),OR('Visual SPC'!$K$4="",'Data Entry'!$F9718='Visual SPC'!$K$4)),1,0))</f>
        <v/>
      </c>
      <c r="C9718">
        <f>C9717+B9718</f>
        <v/>
      </c>
      <c r="D9718">
        <f>IF(B9718=1,INDEX('Data Entry'!$H$5:$BE$10004,9718-4,'Visual SPC'!$B$3),"")</f>
        <v/>
      </c>
      <c r="E9718">
        <f>IF(B9718=1,D9718,E9717)</f>
        <v/>
      </c>
      <c r="F9718">
        <f>IF(AND(B9718=1,C9718&gt;1,E9717&lt;&gt;""),ABS(D9718-E9717),"")</f>
        <v/>
      </c>
    </row>
    <row r="9719">
      <c r="A9719" t="n">
        <v>9719</v>
      </c>
      <c r="B9719">
        <f>IF(INDEX('Data Entry'!$H$5:$BE$10004,9719-4,'Visual SPC'!$B$3)="",0,IF(AND(OR('Visual SPC'!$C$4="",'Data Entry'!$C9719&gt;='Visual SPC'!$C$4),OR('Visual SPC'!$E$4="",'Data Entry'!$C9719&lt;='Visual SPC'!$E$4),OR('Visual SPC'!$G$4="",'Data Entry'!$D9719='Visual SPC'!$G$4),OR('Visual SPC'!$I$4="",'Data Entry'!$E9719='Visual SPC'!$I$4),OR('Visual SPC'!$K$4="",'Data Entry'!$F9719='Visual SPC'!$K$4)),1,0))</f>
        <v/>
      </c>
      <c r="C9719">
        <f>C9718+B9719</f>
        <v/>
      </c>
      <c r="D9719">
        <f>IF(B9719=1,INDEX('Data Entry'!$H$5:$BE$10004,9719-4,'Visual SPC'!$B$3),"")</f>
        <v/>
      </c>
      <c r="E9719">
        <f>IF(B9719=1,D9719,E9718)</f>
        <v/>
      </c>
      <c r="F9719">
        <f>IF(AND(B9719=1,C9719&gt;1,E9718&lt;&gt;""),ABS(D9719-E9718),"")</f>
        <v/>
      </c>
    </row>
    <row r="9720">
      <c r="A9720" t="n">
        <v>9720</v>
      </c>
      <c r="B9720">
        <f>IF(INDEX('Data Entry'!$H$5:$BE$10004,9720-4,'Visual SPC'!$B$3)="",0,IF(AND(OR('Visual SPC'!$C$4="",'Data Entry'!$C9720&gt;='Visual SPC'!$C$4),OR('Visual SPC'!$E$4="",'Data Entry'!$C9720&lt;='Visual SPC'!$E$4),OR('Visual SPC'!$G$4="",'Data Entry'!$D9720='Visual SPC'!$G$4),OR('Visual SPC'!$I$4="",'Data Entry'!$E9720='Visual SPC'!$I$4),OR('Visual SPC'!$K$4="",'Data Entry'!$F9720='Visual SPC'!$K$4)),1,0))</f>
        <v/>
      </c>
      <c r="C9720">
        <f>C9719+B9720</f>
        <v/>
      </c>
      <c r="D9720">
        <f>IF(B9720=1,INDEX('Data Entry'!$H$5:$BE$10004,9720-4,'Visual SPC'!$B$3),"")</f>
        <v/>
      </c>
      <c r="E9720">
        <f>IF(B9720=1,D9720,E9719)</f>
        <v/>
      </c>
      <c r="F9720">
        <f>IF(AND(B9720=1,C9720&gt;1,E9719&lt;&gt;""),ABS(D9720-E9719),"")</f>
        <v/>
      </c>
    </row>
    <row r="9721">
      <c r="A9721" t="n">
        <v>9721</v>
      </c>
      <c r="B9721">
        <f>IF(INDEX('Data Entry'!$H$5:$BE$10004,9721-4,'Visual SPC'!$B$3)="",0,IF(AND(OR('Visual SPC'!$C$4="",'Data Entry'!$C9721&gt;='Visual SPC'!$C$4),OR('Visual SPC'!$E$4="",'Data Entry'!$C9721&lt;='Visual SPC'!$E$4),OR('Visual SPC'!$G$4="",'Data Entry'!$D9721='Visual SPC'!$G$4),OR('Visual SPC'!$I$4="",'Data Entry'!$E9721='Visual SPC'!$I$4),OR('Visual SPC'!$K$4="",'Data Entry'!$F9721='Visual SPC'!$K$4)),1,0))</f>
        <v/>
      </c>
      <c r="C9721">
        <f>C9720+B9721</f>
        <v/>
      </c>
      <c r="D9721">
        <f>IF(B9721=1,INDEX('Data Entry'!$H$5:$BE$10004,9721-4,'Visual SPC'!$B$3),"")</f>
        <v/>
      </c>
      <c r="E9721">
        <f>IF(B9721=1,D9721,E9720)</f>
        <v/>
      </c>
      <c r="F9721">
        <f>IF(AND(B9721=1,C9721&gt;1,E9720&lt;&gt;""),ABS(D9721-E9720),"")</f>
        <v/>
      </c>
    </row>
    <row r="9722">
      <c r="A9722" t="n">
        <v>9722</v>
      </c>
      <c r="B9722">
        <f>IF(INDEX('Data Entry'!$H$5:$BE$10004,9722-4,'Visual SPC'!$B$3)="",0,IF(AND(OR('Visual SPC'!$C$4="",'Data Entry'!$C9722&gt;='Visual SPC'!$C$4),OR('Visual SPC'!$E$4="",'Data Entry'!$C9722&lt;='Visual SPC'!$E$4),OR('Visual SPC'!$G$4="",'Data Entry'!$D9722='Visual SPC'!$G$4),OR('Visual SPC'!$I$4="",'Data Entry'!$E9722='Visual SPC'!$I$4),OR('Visual SPC'!$K$4="",'Data Entry'!$F9722='Visual SPC'!$K$4)),1,0))</f>
        <v/>
      </c>
      <c r="C9722">
        <f>C9721+B9722</f>
        <v/>
      </c>
      <c r="D9722">
        <f>IF(B9722=1,INDEX('Data Entry'!$H$5:$BE$10004,9722-4,'Visual SPC'!$B$3),"")</f>
        <v/>
      </c>
      <c r="E9722">
        <f>IF(B9722=1,D9722,E9721)</f>
        <v/>
      </c>
      <c r="F9722">
        <f>IF(AND(B9722=1,C9722&gt;1,E9721&lt;&gt;""),ABS(D9722-E9721),"")</f>
        <v/>
      </c>
    </row>
    <row r="9723">
      <c r="A9723" t="n">
        <v>9723</v>
      </c>
      <c r="B9723">
        <f>IF(INDEX('Data Entry'!$H$5:$BE$10004,9723-4,'Visual SPC'!$B$3)="",0,IF(AND(OR('Visual SPC'!$C$4="",'Data Entry'!$C9723&gt;='Visual SPC'!$C$4),OR('Visual SPC'!$E$4="",'Data Entry'!$C9723&lt;='Visual SPC'!$E$4),OR('Visual SPC'!$G$4="",'Data Entry'!$D9723='Visual SPC'!$G$4),OR('Visual SPC'!$I$4="",'Data Entry'!$E9723='Visual SPC'!$I$4),OR('Visual SPC'!$K$4="",'Data Entry'!$F9723='Visual SPC'!$K$4)),1,0))</f>
        <v/>
      </c>
      <c r="C9723">
        <f>C9722+B9723</f>
        <v/>
      </c>
      <c r="D9723">
        <f>IF(B9723=1,INDEX('Data Entry'!$H$5:$BE$10004,9723-4,'Visual SPC'!$B$3),"")</f>
        <v/>
      </c>
      <c r="E9723">
        <f>IF(B9723=1,D9723,E9722)</f>
        <v/>
      </c>
      <c r="F9723">
        <f>IF(AND(B9723=1,C9723&gt;1,E9722&lt;&gt;""),ABS(D9723-E9722),"")</f>
        <v/>
      </c>
    </row>
    <row r="9724">
      <c r="A9724" t="n">
        <v>9724</v>
      </c>
      <c r="B9724">
        <f>IF(INDEX('Data Entry'!$H$5:$BE$10004,9724-4,'Visual SPC'!$B$3)="",0,IF(AND(OR('Visual SPC'!$C$4="",'Data Entry'!$C9724&gt;='Visual SPC'!$C$4),OR('Visual SPC'!$E$4="",'Data Entry'!$C9724&lt;='Visual SPC'!$E$4),OR('Visual SPC'!$G$4="",'Data Entry'!$D9724='Visual SPC'!$G$4),OR('Visual SPC'!$I$4="",'Data Entry'!$E9724='Visual SPC'!$I$4),OR('Visual SPC'!$K$4="",'Data Entry'!$F9724='Visual SPC'!$K$4)),1,0))</f>
        <v/>
      </c>
      <c r="C9724">
        <f>C9723+B9724</f>
        <v/>
      </c>
      <c r="D9724">
        <f>IF(B9724=1,INDEX('Data Entry'!$H$5:$BE$10004,9724-4,'Visual SPC'!$B$3),"")</f>
        <v/>
      </c>
      <c r="E9724">
        <f>IF(B9724=1,D9724,E9723)</f>
        <v/>
      </c>
      <c r="F9724">
        <f>IF(AND(B9724=1,C9724&gt;1,E9723&lt;&gt;""),ABS(D9724-E9723),"")</f>
        <v/>
      </c>
    </row>
    <row r="9725">
      <c r="A9725" t="n">
        <v>9725</v>
      </c>
      <c r="B9725">
        <f>IF(INDEX('Data Entry'!$H$5:$BE$10004,9725-4,'Visual SPC'!$B$3)="",0,IF(AND(OR('Visual SPC'!$C$4="",'Data Entry'!$C9725&gt;='Visual SPC'!$C$4),OR('Visual SPC'!$E$4="",'Data Entry'!$C9725&lt;='Visual SPC'!$E$4),OR('Visual SPC'!$G$4="",'Data Entry'!$D9725='Visual SPC'!$G$4),OR('Visual SPC'!$I$4="",'Data Entry'!$E9725='Visual SPC'!$I$4),OR('Visual SPC'!$K$4="",'Data Entry'!$F9725='Visual SPC'!$K$4)),1,0))</f>
        <v/>
      </c>
      <c r="C9725">
        <f>C9724+B9725</f>
        <v/>
      </c>
      <c r="D9725">
        <f>IF(B9725=1,INDEX('Data Entry'!$H$5:$BE$10004,9725-4,'Visual SPC'!$B$3),"")</f>
        <v/>
      </c>
      <c r="E9725">
        <f>IF(B9725=1,D9725,E9724)</f>
        <v/>
      </c>
      <c r="F9725">
        <f>IF(AND(B9725=1,C9725&gt;1,E9724&lt;&gt;""),ABS(D9725-E9724),"")</f>
        <v/>
      </c>
    </row>
    <row r="9726">
      <c r="A9726" t="n">
        <v>9726</v>
      </c>
      <c r="B9726">
        <f>IF(INDEX('Data Entry'!$H$5:$BE$10004,9726-4,'Visual SPC'!$B$3)="",0,IF(AND(OR('Visual SPC'!$C$4="",'Data Entry'!$C9726&gt;='Visual SPC'!$C$4),OR('Visual SPC'!$E$4="",'Data Entry'!$C9726&lt;='Visual SPC'!$E$4),OR('Visual SPC'!$G$4="",'Data Entry'!$D9726='Visual SPC'!$G$4),OR('Visual SPC'!$I$4="",'Data Entry'!$E9726='Visual SPC'!$I$4),OR('Visual SPC'!$K$4="",'Data Entry'!$F9726='Visual SPC'!$K$4)),1,0))</f>
        <v/>
      </c>
      <c r="C9726">
        <f>C9725+B9726</f>
        <v/>
      </c>
      <c r="D9726">
        <f>IF(B9726=1,INDEX('Data Entry'!$H$5:$BE$10004,9726-4,'Visual SPC'!$B$3),"")</f>
        <v/>
      </c>
      <c r="E9726">
        <f>IF(B9726=1,D9726,E9725)</f>
        <v/>
      </c>
      <c r="F9726">
        <f>IF(AND(B9726=1,C9726&gt;1,E9725&lt;&gt;""),ABS(D9726-E9725),"")</f>
        <v/>
      </c>
    </row>
    <row r="9727">
      <c r="A9727" t="n">
        <v>9727</v>
      </c>
      <c r="B9727">
        <f>IF(INDEX('Data Entry'!$H$5:$BE$10004,9727-4,'Visual SPC'!$B$3)="",0,IF(AND(OR('Visual SPC'!$C$4="",'Data Entry'!$C9727&gt;='Visual SPC'!$C$4),OR('Visual SPC'!$E$4="",'Data Entry'!$C9727&lt;='Visual SPC'!$E$4),OR('Visual SPC'!$G$4="",'Data Entry'!$D9727='Visual SPC'!$G$4),OR('Visual SPC'!$I$4="",'Data Entry'!$E9727='Visual SPC'!$I$4),OR('Visual SPC'!$K$4="",'Data Entry'!$F9727='Visual SPC'!$K$4)),1,0))</f>
        <v/>
      </c>
      <c r="C9727">
        <f>C9726+B9727</f>
        <v/>
      </c>
      <c r="D9727">
        <f>IF(B9727=1,INDEX('Data Entry'!$H$5:$BE$10004,9727-4,'Visual SPC'!$B$3),"")</f>
        <v/>
      </c>
      <c r="E9727">
        <f>IF(B9727=1,D9727,E9726)</f>
        <v/>
      </c>
      <c r="F9727">
        <f>IF(AND(B9727=1,C9727&gt;1,E9726&lt;&gt;""),ABS(D9727-E9726),"")</f>
        <v/>
      </c>
    </row>
    <row r="9728">
      <c r="A9728" t="n">
        <v>9728</v>
      </c>
      <c r="B9728">
        <f>IF(INDEX('Data Entry'!$H$5:$BE$10004,9728-4,'Visual SPC'!$B$3)="",0,IF(AND(OR('Visual SPC'!$C$4="",'Data Entry'!$C9728&gt;='Visual SPC'!$C$4),OR('Visual SPC'!$E$4="",'Data Entry'!$C9728&lt;='Visual SPC'!$E$4),OR('Visual SPC'!$G$4="",'Data Entry'!$D9728='Visual SPC'!$G$4),OR('Visual SPC'!$I$4="",'Data Entry'!$E9728='Visual SPC'!$I$4),OR('Visual SPC'!$K$4="",'Data Entry'!$F9728='Visual SPC'!$K$4)),1,0))</f>
        <v/>
      </c>
      <c r="C9728">
        <f>C9727+B9728</f>
        <v/>
      </c>
      <c r="D9728">
        <f>IF(B9728=1,INDEX('Data Entry'!$H$5:$BE$10004,9728-4,'Visual SPC'!$B$3),"")</f>
        <v/>
      </c>
      <c r="E9728">
        <f>IF(B9728=1,D9728,E9727)</f>
        <v/>
      </c>
      <c r="F9728">
        <f>IF(AND(B9728=1,C9728&gt;1,E9727&lt;&gt;""),ABS(D9728-E9727),"")</f>
        <v/>
      </c>
    </row>
    <row r="9729">
      <c r="A9729" t="n">
        <v>9729</v>
      </c>
      <c r="B9729">
        <f>IF(INDEX('Data Entry'!$H$5:$BE$10004,9729-4,'Visual SPC'!$B$3)="",0,IF(AND(OR('Visual SPC'!$C$4="",'Data Entry'!$C9729&gt;='Visual SPC'!$C$4),OR('Visual SPC'!$E$4="",'Data Entry'!$C9729&lt;='Visual SPC'!$E$4),OR('Visual SPC'!$G$4="",'Data Entry'!$D9729='Visual SPC'!$G$4),OR('Visual SPC'!$I$4="",'Data Entry'!$E9729='Visual SPC'!$I$4),OR('Visual SPC'!$K$4="",'Data Entry'!$F9729='Visual SPC'!$K$4)),1,0))</f>
        <v/>
      </c>
      <c r="C9729">
        <f>C9728+B9729</f>
        <v/>
      </c>
      <c r="D9729">
        <f>IF(B9729=1,INDEX('Data Entry'!$H$5:$BE$10004,9729-4,'Visual SPC'!$B$3),"")</f>
        <v/>
      </c>
      <c r="E9729">
        <f>IF(B9729=1,D9729,E9728)</f>
        <v/>
      </c>
      <c r="F9729">
        <f>IF(AND(B9729=1,C9729&gt;1,E9728&lt;&gt;""),ABS(D9729-E9728),"")</f>
        <v/>
      </c>
    </row>
    <row r="9730">
      <c r="A9730" t="n">
        <v>9730</v>
      </c>
      <c r="B9730">
        <f>IF(INDEX('Data Entry'!$H$5:$BE$10004,9730-4,'Visual SPC'!$B$3)="",0,IF(AND(OR('Visual SPC'!$C$4="",'Data Entry'!$C9730&gt;='Visual SPC'!$C$4),OR('Visual SPC'!$E$4="",'Data Entry'!$C9730&lt;='Visual SPC'!$E$4),OR('Visual SPC'!$G$4="",'Data Entry'!$D9730='Visual SPC'!$G$4),OR('Visual SPC'!$I$4="",'Data Entry'!$E9730='Visual SPC'!$I$4),OR('Visual SPC'!$K$4="",'Data Entry'!$F9730='Visual SPC'!$K$4)),1,0))</f>
        <v/>
      </c>
      <c r="C9730">
        <f>C9729+B9730</f>
        <v/>
      </c>
      <c r="D9730">
        <f>IF(B9730=1,INDEX('Data Entry'!$H$5:$BE$10004,9730-4,'Visual SPC'!$B$3),"")</f>
        <v/>
      </c>
      <c r="E9730">
        <f>IF(B9730=1,D9730,E9729)</f>
        <v/>
      </c>
      <c r="F9730">
        <f>IF(AND(B9730=1,C9730&gt;1,E9729&lt;&gt;""),ABS(D9730-E9729),"")</f>
        <v/>
      </c>
    </row>
    <row r="9731">
      <c r="A9731" t="n">
        <v>9731</v>
      </c>
      <c r="B9731">
        <f>IF(INDEX('Data Entry'!$H$5:$BE$10004,9731-4,'Visual SPC'!$B$3)="",0,IF(AND(OR('Visual SPC'!$C$4="",'Data Entry'!$C9731&gt;='Visual SPC'!$C$4),OR('Visual SPC'!$E$4="",'Data Entry'!$C9731&lt;='Visual SPC'!$E$4),OR('Visual SPC'!$G$4="",'Data Entry'!$D9731='Visual SPC'!$G$4),OR('Visual SPC'!$I$4="",'Data Entry'!$E9731='Visual SPC'!$I$4),OR('Visual SPC'!$K$4="",'Data Entry'!$F9731='Visual SPC'!$K$4)),1,0))</f>
        <v/>
      </c>
      <c r="C9731">
        <f>C9730+B9731</f>
        <v/>
      </c>
      <c r="D9731">
        <f>IF(B9731=1,INDEX('Data Entry'!$H$5:$BE$10004,9731-4,'Visual SPC'!$B$3),"")</f>
        <v/>
      </c>
      <c r="E9731">
        <f>IF(B9731=1,D9731,E9730)</f>
        <v/>
      </c>
      <c r="F9731">
        <f>IF(AND(B9731=1,C9731&gt;1,E9730&lt;&gt;""),ABS(D9731-E9730),"")</f>
        <v/>
      </c>
    </row>
    <row r="9732">
      <c r="A9732" t="n">
        <v>9732</v>
      </c>
      <c r="B9732">
        <f>IF(INDEX('Data Entry'!$H$5:$BE$10004,9732-4,'Visual SPC'!$B$3)="",0,IF(AND(OR('Visual SPC'!$C$4="",'Data Entry'!$C9732&gt;='Visual SPC'!$C$4),OR('Visual SPC'!$E$4="",'Data Entry'!$C9732&lt;='Visual SPC'!$E$4),OR('Visual SPC'!$G$4="",'Data Entry'!$D9732='Visual SPC'!$G$4),OR('Visual SPC'!$I$4="",'Data Entry'!$E9732='Visual SPC'!$I$4),OR('Visual SPC'!$K$4="",'Data Entry'!$F9732='Visual SPC'!$K$4)),1,0))</f>
        <v/>
      </c>
      <c r="C9732">
        <f>C9731+B9732</f>
        <v/>
      </c>
      <c r="D9732">
        <f>IF(B9732=1,INDEX('Data Entry'!$H$5:$BE$10004,9732-4,'Visual SPC'!$B$3),"")</f>
        <v/>
      </c>
      <c r="E9732">
        <f>IF(B9732=1,D9732,E9731)</f>
        <v/>
      </c>
      <c r="F9732">
        <f>IF(AND(B9732=1,C9732&gt;1,E9731&lt;&gt;""),ABS(D9732-E9731),"")</f>
        <v/>
      </c>
    </row>
    <row r="9733">
      <c r="A9733" t="n">
        <v>9733</v>
      </c>
      <c r="B9733">
        <f>IF(INDEX('Data Entry'!$H$5:$BE$10004,9733-4,'Visual SPC'!$B$3)="",0,IF(AND(OR('Visual SPC'!$C$4="",'Data Entry'!$C9733&gt;='Visual SPC'!$C$4),OR('Visual SPC'!$E$4="",'Data Entry'!$C9733&lt;='Visual SPC'!$E$4),OR('Visual SPC'!$G$4="",'Data Entry'!$D9733='Visual SPC'!$G$4),OR('Visual SPC'!$I$4="",'Data Entry'!$E9733='Visual SPC'!$I$4),OR('Visual SPC'!$K$4="",'Data Entry'!$F9733='Visual SPC'!$K$4)),1,0))</f>
        <v/>
      </c>
      <c r="C9733">
        <f>C9732+B9733</f>
        <v/>
      </c>
      <c r="D9733">
        <f>IF(B9733=1,INDEX('Data Entry'!$H$5:$BE$10004,9733-4,'Visual SPC'!$B$3),"")</f>
        <v/>
      </c>
      <c r="E9733">
        <f>IF(B9733=1,D9733,E9732)</f>
        <v/>
      </c>
      <c r="F9733">
        <f>IF(AND(B9733=1,C9733&gt;1,E9732&lt;&gt;""),ABS(D9733-E9732),"")</f>
        <v/>
      </c>
    </row>
    <row r="9734">
      <c r="A9734" t="n">
        <v>9734</v>
      </c>
      <c r="B9734">
        <f>IF(INDEX('Data Entry'!$H$5:$BE$10004,9734-4,'Visual SPC'!$B$3)="",0,IF(AND(OR('Visual SPC'!$C$4="",'Data Entry'!$C9734&gt;='Visual SPC'!$C$4),OR('Visual SPC'!$E$4="",'Data Entry'!$C9734&lt;='Visual SPC'!$E$4),OR('Visual SPC'!$G$4="",'Data Entry'!$D9734='Visual SPC'!$G$4),OR('Visual SPC'!$I$4="",'Data Entry'!$E9734='Visual SPC'!$I$4),OR('Visual SPC'!$K$4="",'Data Entry'!$F9734='Visual SPC'!$K$4)),1,0))</f>
        <v/>
      </c>
      <c r="C9734">
        <f>C9733+B9734</f>
        <v/>
      </c>
      <c r="D9734">
        <f>IF(B9734=1,INDEX('Data Entry'!$H$5:$BE$10004,9734-4,'Visual SPC'!$B$3),"")</f>
        <v/>
      </c>
      <c r="E9734">
        <f>IF(B9734=1,D9734,E9733)</f>
        <v/>
      </c>
      <c r="F9734">
        <f>IF(AND(B9734=1,C9734&gt;1,E9733&lt;&gt;""),ABS(D9734-E9733),"")</f>
        <v/>
      </c>
    </row>
    <row r="9735">
      <c r="A9735" t="n">
        <v>9735</v>
      </c>
      <c r="B9735">
        <f>IF(INDEX('Data Entry'!$H$5:$BE$10004,9735-4,'Visual SPC'!$B$3)="",0,IF(AND(OR('Visual SPC'!$C$4="",'Data Entry'!$C9735&gt;='Visual SPC'!$C$4),OR('Visual SPC'!$E$4="",'Data Entry'!$C9735&lt;='Visual SPC'!$E$4),OR('Visual SPC'!$G$4="",'Data Entry'!$D9735='Visual SPC'!$G$4),OR('Visual SPC'!$I$4="",'Data Entry'!$E9735='Visual SPC'!$I$4),OR('Visual SPC'!$K$4="",'Data Entry'!$F9735='Visual SPC'!$K$4)),1,0))</f>
        <v/>
      </c>
      <c r="C9735">
        <f>C9734+B9735</f>
        <v/>
      </c>
      <c r="D9735">
        <f>IF(B9735=1,INDEX('Data Entry'!$H$5:$BE$10004,9735-4,'Visual SPC'!$B$3),"")</f>
        <v/>
      </c>
      <c r="E9735">
        <f>IF(B9735=1,D9735,E9734)</f>
        <v/>
      </c>
      <c r="F9735">
        <f>IF(AND(B9735=1,C9735&gt;1,E9734&lt;&gt;""),ABS(D9735-E9734),"")</f>
        <v/>
      </c>
    </row>
    <row r="9736">
      <c r="A9736" t="n">
        <v>9736</v>
      </c>
      <c r="B9736">
        <f>IF(INDEX('Data Entry'!$H$5:$BE$10004,9736-4,'Visual SPC'!$B$3)="",0,IF(AND(OR('Visual SPC'!$C$4="",'Data Entry'!$C9736&gt;='Visual SPC'!$C$4),OR('Visual SPC'!$E$4="",'Data Entry'!$C9736&lt;='Visual SPC'!$E$4),OR('Visual SPC'!$G$4="",'Data Entry'!$D9736='Visual SPC'!$G$4),OR('Visual SPC'!$I$4="",'Data Entry'!$E9736='Visual SPC'!$I$4),OR('Visual SPC'!$K$4="",'Data Entry'!$F9736='Visual SPC'!$K$4)),1,0))</f>
        <v/>
      </c>
      <c r="C9736">
        <f>C9735+B9736</f>
        <v/>
      </c>
      <c r="D9736">
        <f>IF(B9736=1,INDEX('Data Entry'!$H$5:$BE$10004,9736-4,'Visual SPC'!$B$3),"")</f>
        <v/>
      </c>
      <c r="E9736">
        <f>IF(B9736=1,D9736,E9735)</f>
        <v/>
      </c>
      <c r="F9736">
        <f>IF(AND(B9736=1,C9736&gt;1,E9735&lt;&gt;""),ABS(D9736-E9735),"")</f>
        <v/>
      </c>
    </row>
    <row r="9737">
      <c r="A9737" t="n">
        <v>9737</v>
      </c>
      <c r="B9737">
        <f>IF(INDEX('Data Entry'!$H$5:$BE$10004,9737-4,'Visual SPC'!$B$3)="",0,IF(AND(OR('Visual SPC'!$C$4="",'Data Entry'!$C9737&gt;='Visual SPC'!$C$4),OR('Visual SPC'!$E$4="",'Data Entry'!$C9737&lt;='Visual SPC'!$E$4),OR('Visual SPC'!$G$4="",'Data Entry'!$D9737='Visual SPC'!$G$4),OR('Visual SPC'!$I$4="",'Data Entry'!$E9737='Visual SPC'!$I$4),OR('Visual SPC'!$K$4="",'Data Entry'!$F9737='Visual SPC'!$K$4)),1,0))</f>
        <v/>
      </c>
      <c r="C9737">
        <f>C9736+B9737</f>
        <v/>
      </c>
      <c r="D9737">
        <f>IF(B9737=1,INDEX('Data Entry'!$H$5:$BE$10004,9737-4,'Visual SPC'!$B$3),"")</f>
        <v/>
      </c>
      <c r="E9737">
        <f>IF(B9737=1,D9737,E9736)</f>
        <v/>
      </c>
      <c r="F9737">
        <f>IF(AND(B9737=1,C9737&gt;1,E9736&lt;&gt;""),ABS(D9737-E9736),"")</f>
        <v/>
      </c>
    </row>
    <row r="9738">
      <c r="A9738" t="n">
        <v>9738</v>
      </c>
      <c r="B9738">
        <f>IF(INDEX('Data Entry'!$H$5:$BE$10004,9738-4,'Visual SPC'!$B$3)="",0,IF(AND(OR('Visual SPC'!$C$4="",'Data Entry'!$C9738&gt;='Visual SPC'!$C$4),OR('Visual SPC'!$E$4="",'Data Entry'!$C9738&lt;='Visual SPC'!$E$4),OR('Visual SPC'!$G$4="",'Data Entry'!$D9738='Visual SPC'!$G$4),OR('Visual SPC'!$I$4="",'Data Entry'!$E9738='Visual SPC'!$I$4),OR('Visual SPC'!$K$4="",'Data Entry'!$F9738='Visual SPC'!$K$4)),1,0))</f>
        <v/>
      </c>
      <c r="C9738">
        <f>C9737+B9738</f>
        <v/>
      </c>
      <c r="D9738">
        <f>IF(B9738=1,INDEX('Data Entry'!$H$5:$BE$10004,9738-4,'Visual SPC'!$B$3),"")</f>
        <v/>
      </c>
      <c r="E9738">
        <f>IF(B9738=1,D9738,E9737)</f>
        <v/>
      </c>
      <c r="F9738">
        <f>IF(AND(B9738=1,C9738&gt;1,E9737&lt;&gt;""),ABS(D9738-E9737),"")</f>
        <v/>
      </c>
    </row>
    <row r="9739">
      <c r="A9739" t="n">
        <v>9739</v>
      </c>
      <c r="B9739">
        <f>IF(INDEX('Data Entry'!$H$5:$BE$10004,9739-4,'Visual SPC'!$B$3)="",0,IF(AND(OR('Visual SPC'!$C$4="",'Data Entry'!$C9739&gt;='Visual SPC'!$C$4),OR('Visual SPC'!$E$4="",'Data Entry'!$C9739&lt;='Visual SPC'!$E$4),OR('Visual SPC'!$G$4="",'Data Entry'!$D9739='Visual SPC'!$G$4),OR('Visual SPC'!$I$4="",'Data Entry'!$E9739='Visual SPC'!$I$4),OR('Visual SPC'!$K$4="",'Data Entry'!$F9739='Visual SPC'!$K$4)),1,0))</f>
        <v/>
      </c>
      <c r="C9739">
        <f>C9738+B9739</f>
        <v/>
      </c>
      <c r="D9739">
        <f>IF(B9739=1,INDEX('Data Entry'!$H$5:$BE$10004,9739-4,'Visual SPC'!$B$3),"")</f>
        <v/>
      </c>
      <c r="E9739">
        <f>IF(B9739=1,D9739,E9738)</f>
        <v/>
      </c>
      <c r="F9739">
        <f>IF(AND(B9739=1,C9739&gt;1,E9738&lt;&gt;""),ABS(D9739-E9738),"")</f>
        <v/>
      </c>
    </row>
    <row r="9740">
      <c r="A9740" t="n">
        <v>9740</v>
      </c>
      <c r="B9740">
        <f>IF(INDEX('Data Entry'!$H$5:$BE$10004,9740-4,'Visual SPC'!$B$3)="",0,IF(AND(OR('Visual SPC'!$C$4="",'Data Entry'!$C9740&gt;='Visual SPC'!$C$4),OR('Visual SPC'!$E$4="",'Data Entry'!$C9740&lt;='Visual SPC'!$E$4),OR('Visual SPC'!$G$4="",'Data Entry'!$D9740='Visual SPC'!$G$4),OR('Visual SPC'!$I$4="",'Data Entry'!$E9740='Visual SPC'!$I$4),OR('Visual SPC'!$K$4="",'Data Entry'!$F9740='Visual SPC'!$K$4)),1,0))</f>
        <v/>
      </c>
      <c r="C9740">
        <f>C9739+B9740</f>
        <v/>
      </c>
      <c r="D9740">
        <f>IF(B9740=1,INDEX('Data Entry'!$H$5:$BE$10004,9740-4,'Visual SPC'!$B$3),"")</f>
        <v/>
      </c>
      <c r="E9740">
        <f>IF(B9740=1,D9740,E9739)</f>
        <v/>
      </c>
      <c r="F9740">
        <f>IF(AND(B9740=1,C9740&gt;1,E9739&lt;&gt;""),ABS(D9740-E9739),"")</f>
        <v/>
      </c>
    </row>
    <row r="9741">
      <c r="A9741" t="n">
        <v>9741</v>
      </c>
      <c r="B9741">
        <f>IF(INDEX('Data Entry'!$H$5:$BE$10004,9741-4,'Visual SPC'!$B$3)="",0,IF(AND(OR('Visual SPC'!$C$4="",'Data Entry'!$C9741&gt;='Visual SPC'!$C$4),OR('Visual SPC'!$E$4="",'Data Entry'!$C9741&lt;='Visual SPC'!$E$4),OR('Visual SPC'!$G$4="",'Data Entry'!$D9741='Visual SPC'!$G$4),OR('Visual SPC'!$I$4="",'Data Entry'!$E9741='Visual SPC'!$I$4),OR('Visual SPC'!$K$4="",'Data Entry'!$F9741='Visual SPC'!$K$4)),1,0))</f>
        <v/>
      </c>
      <c r="C9741">
        <f>C9740+B9741</f>
        <v/>
      </c>
      <c r="D9741">
        <f>IF(B9741=1,INDEX('Data Entry'!$H$5:$BE$10004,9741-4,'Visual SPC'!$B$3),"")</f>
        <v/>
      </c>
      <c r="E9741">
        <f>IF(B9741=1,D9741,E9740)</f>
        <v/>
      </c>
      <c r="F9741">
        <f>IF(AND(B9741=1,C9741&gt;1,E9740&lt;&gt;""),ABS(D9741-E9740),"")</f>
        <v/>
      </c>
    </row>
    <row r="9742">
      <c r="A9742" t="n">
        <v>9742</v>
      </c>
      <c r="B9742">
        <f>IF(INDEX('Data Entry'!$H$5:$BE$10004,9742-4,'Visual SPC'!$B$3)="",0,IF(AND(OR('Visual SPC'!$C$4="",'Data Entry'!$C9742&gt;='Visual SPC'!$C$4),OR('Visual SPC'!$E$4="",'Data Entry'!$C9742&lt;='Visual SPC'!$E$4),OR('Visual SPC'!$G$4="",'Data Entry'!$D9742='Visual SPC'!$G$4),OR('Visual SPC'!$I$4="",'Data Entry'!$E9742='Visual SPC'!$I$4),OR('Visual SPC'!$K$4="",'Data Entry'!$F9742='Visual SPC'!$K$4)),1,0))</f>
        <v/>
      </c>
      <c r="C9742">
        <f>C9741+B9742</f>
        <v/>
      </c>
      <c r="D9742">
        <f>IF(B9742=1,INDEX('Data Entry'!$H$5:$BE$10004,9742-4,'Visual SPC'!$B$3),"")</f>
        <v/>
      </c>
      <c r="E9742">
        <f>IF(B9742=1,D9742,E9741)</f>
        <v/>
      </c>
      <c r="F9742">
        <f>IF(AND(B9742=1,C9742&gt;1,E9741&lt;&gt;""),ABS(D9742-E9741),"")</f>
        <v/>
      </c>
    </row>
    <row r="9743">
      <c r="A9743" t="n">
        <v>9743</v>
      </c>
      <c r="B9743">
        <f>IF(INDEX('Data Entry'!$H$5:$BE$10004,9743-4,'Visual SPC'!$B$3)="",0,IF(AND(OR('Visual SPC'!$C$4="",'Data Entry'!$C9743&gt;='Visual SPC'!$C$4),OR('Visual SPC'!$E$4="",'Data Entry'!$C9743&lt;='Visual SPC'!$E$4),OR('Visual SPC'!$G$4="",'Data Entry'!$D9743='Visual SPC'!$G$4),OR('Visual SPC'!$I$4="",'Data Entry'!$E9743='Visual SPC'!$I$4),OR('Visual SPC'!$K$4="",'Data Entry'!$F9743='Visual SPC'!$K$4)),1,0))</f>
        <v/>
      </c>
      <c r="C9743">
        <f>C9742+B9743</f>
        <v/>
      </c>
      <c r="D9743">
        <f>IF(B9743=1,INDEX('Data Entry'!$H$5:$BE$10004,9743-4,'Visual SPC'!$B$3),"")</f>
        <v/>
      </c>
      <c r="E9743">
        <f>IF(B9743=1,D9743,E9742)</f>
        <v/>
      </c>
      <c r="F9743">
        <f>IF(AND(B9743=1,C9743&gt;1,E9742&lt;&gt;""),ABS(D9743-E9742),"")</f>
        <v/>
      </c>
    </row>
    <row r="9744">
      <c r="A9744" t="n">
        <v>9744</v>
      </c>
      <c r="B9744">
        <f>IF(INDEX('Data Entry'!$H$5:$BE$10004,9744-4,'Visual SPC'!$B$3)="",0,IF(AND(OR('Visual SPC'!$C$4="",'Data Entry'!$C9744&gt;='Visual SPC'!$C$4),OR('Visual SPC'!$E$4="",'Data Entry'!$C9744&lt;='Visual SPC'!$E$4),OR('Visual SPC'!$G$4="",'Data Entry'!$D9744='Visual SPC'!$G$4),OR('Visual SPC'!$I$4="",'Data Entry'!$E9744='Visual SPC'!$I$4),OR('Visual SPC'!$K$4="",'Data Entry'!$F9744='Visual SPC'!$K$4)),1,0))</f>
        <v/>
      </c>
      <c r="C9744">
        <f>C9743+B9744</f>
        <v/>
      </c>
      <c r="D9744">
        <f>IF(B9744=1,INDEX('Data Entry'!$H$5:$BE$10004,9744-4,'Visual SPC'!$B$3),"")</f>
        <v/>
      </c>
      <c r="E9744">
        <f>IF(B9744=1,D9744,E9743)</f>
        <v/>
      </c>
      <c r="F9744">
        <f>IF(AND(B9744=1,C9744&gt;1,E9743&lt;&gt;""),ABS(D9744-E9743),"")</f>
        <v/>
      </c>
    </row>
    <row r="9745">
      <c r="A9745" t="n">
        <v>9745</v>
      </c>
      <c r="B9745">
        <f>IF(INDEX('Data Entry'!$H$5:$BE$10004,9745-4,'Visual SPC'!$B$3)="",0,IF(AND(OR('Visual SPC'!$C$4="",'Data Entry'!$C9745&gt;='Visual SPC'!$C$4),OR('Visual SPC'!$E$4="",'Data Entry'!$C9745&lt;='Visual SPC'!$E$4),OR('Visual SPC'!$G$4="",'Data Entry'!$D9745='Visual SPC'!$G$4),OR('Visual SPC'!$I$4="",'Data Entry'!$E9745='Visual SPC'!$I$4),OR('Visual SPC'!$K$4="",'Data Entry'!$F9745='Visual SPC'!$K$4)),1,0))</f>
        <v/>
      </c>
      <c r="C9745">
        <f>C9744+B9745</f>
        <v/>
      </c>
      <c r="D9745">
        <f>IF(B9745=1,INDEX('Data Entry'!$H$5:$BE$10004,9745-4,'Visual SPC'!$B$3),"")</f>
        <v/>
      </c>
      <c r="E9745">
        <f>IF(B9745=1,D9745,E9744)</f>
        <v/>
      </c>
      <c r="F9745">
        <f>IF(AND(B9745=1,C9745&gt;1,E9744&lt;&gt;""),ABS(D9745-E9744),"")</f>
        <v/>
      </c>
    </row>
    <row r="9746">
      <c r="A9746" t="n">
        <v>9746</v>
      </c>
      <c r="B9746">
        <f>IF(INDEX('Data Entry'!$H$5:$BE$10004,9746-4,'Visual SPC'!$B$3)="",0,IF(AND(OR('Visual SPC'!$C$4="",'Data Entry'!$C9746&gt;='Visual SPC'!$C$4),OR('Visual SPC'!$E$4="",'Data Entry'!$C9746&lt;='Visual SPC'!$E$4),OR('Visual SPC'!$G$4="",'Data Entry'!$D9746='Visual SPC'!$G$4),OR('Visual SPC'!$I$4="",'Data Entry'!$E9746='Visual SPC'!$I$4),OR('Visual SPC'!$K$4="",'Data Entry'!$F9746='Visual SPC'!$K$4)),1,0))</f>
        <v/>
      </c>
      <c r="C9746">
        <f>C9745+B9746</f>
        <v/>
      </c>
      <c r="D9746">
        <f>IF(B9746=1,INDEX('Data Entry'!$H$5:$BE$10004,9746-4,'Visual SPC'!$B$3),"")</f>
        <v/>
      </c>
      <c r="E9746">
        <f>IF(B9746=1,D9746,E9745)</f>
        <v/>
      </c>
      <c r="F9746">
        <f>IF(AND(B9746=1,C9746&gt;1,E9745&lt;&gt;""),ABS(D9746-E9745),"")</f>
        <v/>
      </c>
    </row>
    <row r="9747">
      <c r="A9747" t="n">
        <v>9747</v>
      </c>
      <c r="B9747">
        <f>IF(INDEX('Data Entry'!$H$5:$BE$10004,9747-4,'Visual SPC'!$B$3)="",0,IF(AND(OR('Visual SPC'!$C$4="",'Data Entry'!$C9747&gt;='Visual SPC'!$C$4),OR('Visual SPC'!$E$4="",'Data Entry'!$C9747&lt;='Visual SPC'!$E$4),OR('Visual SPC'!$G$4="",'Data Entry'!$D9747='Visual SPC'!$G$4),OR('Visual SPC'!$I$4="",'Data Entry'!$E9747='Visual SPC'!$I$4),OR('Visual SPC'!$K$4="",'Data Entry'!$F9747='Visual SPC'!$K$4)),1,0))</f>
        <v/>
      </c>
      <c r="C9747">
        <f>C9746+B9747</f>
        <v/>
      </c>
      <c r="D9747">
        <f>IF(B9747=1,INDEX('Data Entry'!$H$5:$BE$10004,9747-4,'Visual SPC'!$B$3),"")</f>
        <v/>
      </c>
      <c r="E9747">
        <f>IF(B9747=1,D9747,E9746)</f>
        <v/>
      </c>
      <c r="F9747">
        <f>IF(AND(B9747=1,C9747&gt;1,E9746&lt;&gt;""),ABS(D9747-E9746),"")</f>
        <v/>
      </c>
    </row>
    <row r="9748">
      <c r="A9748" t="n">
        <v>9748</v>
      </c>
      <c r="B9748">
        <f>IF(INDEX('Data Entry'!$H$5:$BE$10004,9748-4,'Visual SPC'!$B$3)="",0,IF(AND(OR('Visual SPC'!$C$4="",'Data Entry'!$C9748&gt;='Visual SPC'!$C$4),OR('Visual SPC'!$E$4="",'Data Entry'!$C9748&lt;='Visual SPC'!$E$4),OR('Visual SPC'!$G$4="",'Data Entry'!$D9748='Visual SPC'!$G$4),OR('Visual SPC'!$I$4="",'Data Entry'!$E9748='Visual SPC'!$I$4),OR('Visual SPC'!$K$4="",'Data Entry'!$F9748='Visual SPC'!$K$4)),1,0))</f>
        <v/>
      </c>
      <c r="C9748">
        <f>C9747+B9748</f>
        <v/>
      </c>
      <c r="D9748">
        <f>IF(B9748=1,INDEX('Data Entry'!$H$5:$BE$10004,9748-4,'Visual SPC'!$B$3),"")</f>
        <v/>
      </c>
      <c r="E9748">
        <f>IF(B9748=1,D9748,E9747)</f>
        <v/>
      </c>
      <c r="F9748">
        <f>IF(AND(B9748=1,C9748&gt;1,E9747&lt;&gt;""),ABS(D9748-E9747),"")</f>
        <v/>
      </c>
    </row>
    <row r="9749">
      <c r="A9749" t="n">
        <v>9749</v>
      </c>
      <c r="B9749">
        <f>IF(INDEX('Data Entry'!$H$5:$BE$10004,9749-4,'Visual SPC'!$B$3)="",0,IF(AND(OR('Visual SPC'!$C$4="",'Data Entry'!$C9749&gt;='Visual SPC'!$C$4),OR('Visual SPC'!$E$4="",'Data Entry'!$C9749&lt;='Visual SPC'!$E$4),OR('Visual SPC'!$G$4="",'Data Entry'!$D9749='Visual SPC'!$G$4),OR('Visual SPC'!$I$4="",'Data Entry'!$E9749='Visual SPC'!$I$4),OR('Visual SPC'!$K$4="",'Data Entry'!$F9749='Visual SPC'!$K$4)),1,0))</f>
        <v/>
      </c>
      <c r="C9749">
        <f>C9748+B9749</f>
        <v/>
      </c>
      <c r="D9749">
        <f>IF(B9749=1,INDEX('Data Entry'!$H$5:$BE$10004,9749-4,'Visual SPC'!$B$3),"")</f>
        <v/>
      </c>
      <c r="E9749">
        <f>IF(B9749=1,D9749,E9748)</f>
        <v/>
      </c>
      <c r="F9749">
        <f>IF(AND(B9749=1,C9749&gt;1,E9748&lt;&gt;""),ABS(D9749-E9748),"")</f>
        <v/>
      </c>
    </row>
    <row r="9750">
      <c r="A9750" t="n">
        <v>9750</v>
      </c>
      <c r="B9750">
        <f>IF(INDEX('Data Entry'!$H$5:$BE$10004,9750-4,'Visual SPC'!$B$3)="",0,IF(AND(OR('Visual SPC'!$C$4="",'Data Entry'!$C9750&gt;='Visual SPC'!$C$4),OR('Visual SPC'!$E$4="",'Data Entry'!$C9750&lt;='Visual SPC'!$E$4),OR('Visual SPC'!$G$4="",'Data Entry'!$D9750='Visual SPC'!$G$4),OR('Visual SPC'!$I$4="",'Data Entry'!$E9750='Visual SPC'!$I$4),OR('Visual SPC'!$K$4="",'Data Entry'!$F9750='Visual SPC'!$K$4)),1,0))</f>
        <v/>
      </c>
      <c r="C9750">
        <f>C9749+B9750</f>
        <v/>
      </c>
      <c r="D9750">
        <f>IF(B9750=1,INDEX('Data Entry'!$H$5:$BE$10004,9750-4,'Visual SPC'!$B$3),"")</f>
        <v/>
      </c>
      <c r="E9750">
        <f>IF(B9750=1,D9750,E9749)</f>
        <v/>
      </c>
      <c r="F9750">
        <f>IF(AND(B9750=1,C9750&gt;1,E9749&lt;&gt;""),ABS(D9750-E9749),"")</f>
        <v/>
      </c>
    </row>
    <row r="9751">
      <c r="A9751" t="n">
        <v>9751</v>
      </c>
      <c r="B9751">
        <f>IF(INDEX('Data Entry'!$H$5:$BE$10004,9751-4,'Visual SPC'!$B$3)="",0,IF(AND(OR('Visual SPC'!$C$4="",'Data Entry'!$C9751&gt;='Visual SPC'!$C$4),OR('Visual SPC'!$E$4="",'Data Entry'!$C9751&lt;='Visual SPC'!$E$4),OR('Visual SPC'!$G$4="",'Data Entry'!$D9751='Visual SPC'!$G$4),OR('Visual SPC'!$I$4="",'Data Entry'!$E9751='Visual SPC'!$I$4),OR('Visual SPC'!$K$4="",'Data Entry'!$F9751='Visual SPC'!$K$4)),1,0))</f>
        <v/>
      </c>
      <c r="C9751">
        <f>C9750+B9751</f>
        <v/>
      </c>
      <c r="D9751">
        <f>IF(B9751=1,INDEX('Data Entry'!$H$5:$BE$10004,9751-4,'Visual SPC'!$B$3),"")</f>
        <v/>
      </c>
      <c r="E9751">
        <f>IF(B9751=1,D9751,E9750)</f>
        <v/>
      </c>
      <c r="F9751">
        <f>IF(AND(B9751=1,C9751&gt;1,E9750&lt;&gt;""),ABS(D9751-E9750),"")</f>
        <v/>
      </c>
    </row>
    <row r="9752">
      <c r="A9752" t="n">
        <v>9752</v>
      </c>
      <c r="B9752">
        <f>IF(INDEX('Data Entry'!$H$5:$BE$10004,9752-4,'Visual SPC'!$B$3)="",0,IF(AND(OR('Visual SPC'!$C$4="",'Data Entry'!$C9752&gt;='Visual SPC'!$C$4),OR('Visual SPC'!$E$4="",'Data Entry'!$C9752&lt;='Visual SPC'!$E$4),OR('Visual SPC'!$G$4="",'Data Entry'!$D9752='Visual SPC'!$G$4),OR('Visual SPC'!$I$4="",'Data Entry'!$E9752='Visual SPC'!$I$4),OR('Visual SPC'!$K$4="",'Data Entry'!$F9752='Visual SPC'!$K$4)),1,0))</f>
        <v/>
      </c>
      <c r="C9752">
        <f>C9751+B9752</f>
        <v/>
      </c>
      <c r="D9752">
        <f>IF(B9752=1,INDEX('Data Entry'!$H$5:$BE$10004,9752-4,'Visual SPC'!$B$3),"")</f>
        <v/>
      </c>
      <c r="E9752">
        <f>IF(B9752=1,D9752,E9751)</f>
        <v/>
      </c>
      <c r="F9752">
        <f>IF(AND(B9752=1,C9752&gt;1,E9751&lt;&gt;""),ABS(D9752-E9751),"")</f>
        <v/>
      </c>
    </row>
    <row r="9753">
      <c r="A9753" t="n">
        <v>9753</v>
      </c>
      <c r="B9753">
        <f>IF(INDEX('Data Entry'!$H$5:$BE$10004,9753-4,'Visual SPC'!$B$3)="",0,IF(AND(OR('Visual SPC'!$C$4="",'Data Entry'!$C9753&gt;='Visual SPC'!$C$4),OR('Visual SPC'!$E$4="",'Data Entry'!$C9753&lt;='Visual SPC'!$E$4),OR('Visual SPC'!$G$4="",'Data Entry'!$D9753='Visual SPC'!$G$4),OR('Visual SPC'!$I$4="",'Data Entry'!$E9753='Visual SPC'!$I$4),OR('Visual SPC'!$K$4="",'Data Entry'!$F9753='Visual SPC'!$K$4)),1,0))</f>
        <v/>
      </c>
      <c r="C9753">
        <f>C9752+B9753</f>
        <v/>
      </c>
      <c r="D9753">
        <f>IF(B9753=1,INDEX('Data Entry'!$H$5:$BE$10004,9753-4,'Visual SPC'!$B$3),"")</f>
        <v/>
      </c>
      <c r="E9753">
        <f>IF(B9753=1,D9753,E9752)</f>
        <v/>
      </c>
      <c r="F9753">
        <f>IF(AND(B9753=1,C9753&gt;1,E9752&lt;&gt;""),ABS(D9753-E9752),"")</f>
        <v/>
      </c>
    </row>
    <row r="9754">
      <c r="A9754" t="n">
        <v>9754</v>
      </c>
      <c r="B9754">
        <f>IF(INDEX('Data Entry'!$H$5:$BE$10004,9754-4,'Visual SPC'!$B$3)="",0,IF(AND(OR('Visual SPC'!$C$4="",'Data Entry'!$C9754&gt;='Visual SPC'!$C$4),OR('Visual SPC'!$E$4="",'Data Entry'!$C9754&lt;='Visual SPC'!$E$4),OR('Visual SPC'!$G$4="",'Data Entry'!$D9754='Visual SPC'!$G$4),OR('Visual SPC'!$I$4="",'Data Entry'!$E9754='Visual SPC'!$I$4),OR('Visual SPC'!$K$4="",'Data Entry'!$F9754='Visual SPC'!$K$4)),1,0))</f>
        <v/>
      </c>
      <c r="C9754">
        <f>C9753+B9754</f>
        <v/>
      </c>
      <c r="D9754">
        <f>IF(B9754=1,INDEX('Data Entry'!$H$5:$BE$10004,9754-4,'Visual SPC'!$B$3),"")</f>
        <v/>
      </c>
      <c r="E9754">
        <f>IF(B9754=1,D9754,E9753)</f>
        <v/>
      </c>
      <c r="F9754">
        <f>IF(AND(B9754=1,C9754&gt;1,E9753&lt;&gt;""),ABS(D9754-E9753),"")</f>
        <v/>
      </c>
    </row>
    <row r="9755">
      <c r="A9755" t="n">
        <v>9755</v>
      </c>
      <c r="B9755">
        <f>IF(INDEX('Data Entry'!$H$5:$BE$10004,9755-4,'Visual SPC'!$B$3)="",0,IF(AND(OR('Visual SPC'!$C$4="",'Data Entry'!$C9755&gt;='Visual SPC'!$C$4),OR('Visual SPC'!$E$4="",'Data Entry'!$C9755&lt;='Visual SPC'!$E$4),OR('Visual SPC'!$G$4="",'Data Entry'!$D9755='Visual SPC'!$G$4),OR('Visual SPC'!$I$4="",'Data Entry'!$E9755='Visual SPC'!$I$4),OR('Visual SPC'!$K$4="",'Data Entry'!$F9755='Visual SPC'!$K$4)),1,0))</f>
        <v/>
      </c>
      <c r="C9755">
        <f>C9754+B9755</f>
        <v/>
      </c>
      <c r="D9755">
        <f>IF(B9755=1,INDEX('Data Entry'!$H$5:$BE$10004,9755-4,'Visual SPC'!$B$3),"")</f>
        <v/>
      </c>
      <c r="E9755">
        <f>IF(B9755=1,D9755,E9754)</f>
        <v/>
      </c>
      <c r="F9755">
        <f>IF(AND(B9755=1,C9755&gt;1,E9754&lt;&gt;""),ABS(D9755-E9754),"")</f>
        <v/>
      </c>
    </row>
    <row r="9756">
      <c r="A9756" t="n">
        <v>9756</v>
      </c>
      <c r="B9756">
        <f>IF(INDEX('Data Entry'!$H$5:$BE$10004,9756-4,'Visual SPC'!$B$3)="",0,IF(AND(OR('Visual SPC'!$C$4="",'Data Entry'!$C9756&gt;='Visual SPC'!$C$4),OR('Visual SPC'!$E$4="",'Data Entry'!$C9756&lt;='Visual SPC'!$E$4),OR('Visual SPC'!$G$4="",'Data Entry'!$D9756='Visual SPC'!$G$4),OR('Visual SPC'!$I$4="",'Data Entry'!$E9756='Visual SPC'!$I$4),OR('Visual SPC'!$K$4="",'Data Entry'!$F9756='Visual SPC'!$K$4)),1,0))</f>
        <v/>
      </c>
      <c r="C9756">
        <f>C9755+B9756</f>
        <v/>
      </c>
      <c r="D9756">
        <f>IF(B9756=1,INDEX('Data Entry'!$H$5:$BE$10004,9756-4,'Visual SPC'!$B$3),"")</f>
        <v/>
      </c>
      <c r="E9756">
        <f>IF(B9756=1,D9756,E9755)</f>
        <v/>
      </c>
      <c r="F9756">
        <f>IF(AND(B9756=1,C9756&gt;1,E9755&lt;&gt;""),ABS(D9756-E9755),"")</f>
        <v/>
      </c>
    </row>
    <row r="9757">
      <c r="A9757" t="n">
        <v>9757</v>
      </c>
      <c r="B9757">
        <f>IF(INDEX('Data Entry'!$H$5:$BE$10004,9757-4,'Visual SPC'!$B$3)="",0,IF(AND(OR('Visual SPC'!$C$4="",'Data Entry'!$C9757&gt;='Visual SPC'!$C$4),OR('Visual SPC'!$E$4="",'Data Entry'!$C9757&lt;='Visual SPC'!$E$4),OR('Visual SPC'!$G$4="",'Data Entry'!$D9757='Visual SPC'!$G$4),OR('Visual SPC'!$I$4="",'Data Entry'!$E9757='Visual SPC'!$I$4),OR('Visual SPC'!$K$4="",'Data Entry'!$F9757='Visual SPC'!$K$4)),1,0))</f>
        <v/>
      </c>
      <c r="C9757">
        <f>C9756+B9757</f>
        <v/>
      </c>
      <c r="D9757">
        <f>IF(B9757=1,INDEX('Data Entry'!$H$5:$BE$10004,9757-4,'Visual SPC'!$B$3),"")</f>
        <v/>
      </c>
      <c r="E9757">
        <f>IF(B9757=1,D9757,E9756)</f>
        <v/>
      </c>
      <c r="F9757">
        <f>IF(AND(B9757=1,C9757&gt;1,E9756&lt;&gt;""),ABS(D9757-E9756),"")</f>
        <v/>
      </c>
    </row>
    <row r="9758">
      <c r="A9758" t="n">
        <v>9758</v>
      </c>
      <c r="B9758">
        <f>IF(INDEX('Data Entry'!$H$5:$BE$10004,9758-4,'Visual SPC'!$B$3)="",0,IF(AND(OR('Visual SPC'!$C$4="",'Data Entry'!$C9758&gt;='Visual SPC'!$C$4),OR('Visual SPC'!$E$4="",'Data Entry'!$C9758&lt;='Visual SPC'!$E$4),OR('Visual SPC'!$G$4="",'Data Entry'!$D9758='Visual SPC'!$G$4),OR('Visual SPC'!$I$4="",'Data Entry'!$E9758='Visual SPC'!$I$4),OR('Visual SPC'!$K$4="",'Data Entry'!$F9758='Visual SPC'!$K$4)),1,0))</f>
        <v/>
      </c>
      <c r="C9758">
        <f>C9757+B9758</f>
        <v/>
      </c>
      <c r="D9758">
        <f>IF(B9758=1,INDEX('Data Entry'!$H$5:$BE$10004,9758-4,'Visual SPC'!$B$3),"")</f>
        <v/>
      </c>
      <c r="E9758">
        <f>IF(B9758=1,D9758,E9757)</f>
        <v/>
      </c>
      <c r="F9758">
        <f>IF(AND(B9758=1,C9758&gt;1,E9757&lt;&gt;""),ABS(D9758-E9757),"")</f>
        <v/>
      </c>
    </row>
    <row r="9759">
      <c r="A9759" t="n">
        <v>9759</v>
      </c>
      <c r="B9759">
        <f>IF(INDEX('Data Entry'!$H$5:$BE$10004,9759-4,'Visual SPC'!$B$3)="",0,IF(AND(OR('Visual SPC'!$C$4="",'Data Entry'!$C9759&gt;='Visual SPC'!$C$4),OR('Visual SPC'!$E$4="",'Data Entry'!$C9759&lt;='Visual SPC'!$E$4),OR('Visual SPC'!$G$4="",'Data Entry'!$D9759='Visual SPC'!$G$4),OR('Visual SPC'!$I$4="",'Data Entry'!$E9759='Visual SPC'!$I$4),OR('Visual SPC'!$K$4="",'Data Entry'!$F9759='Visual SPC'!$K$4)),1,0))</f>
        <v/>
      </c>
      <c r="C9759">
        <f>C9758+B9759</f>
        <v/>
      </c>
      <c r="D9759">
        <f>IF(B9759=1,INDEX('Data Entry'!$H$5:$BE$10004,9759-4,'Visual SPC'!$B$3),"")</f>
        <v/>
      </c>
      <c r="E9759">
        <f>IF(B9759=1,D9759,E9758)</f>
        <v/>
      </c>
      <c r="F9759">
        <f>IF(AND(B9759=1,C9759&gt;1,E9758&lt;&gt;""),ABS(D9759-E9758),"")</f>
        <v/>
      </c>
    </row>
    <row r="9760">
      <c r="A9760" t="n">
        <v>9760</v>
      </c>
      <c r="B9760">
        <f>IF(INDEX('Data Entry'!$H$5:$BE$10004,9760-4,'Visual SPC'!$B$3)="",0,IF(AND(OR('Visual SPC'!$C$4="",'Data Entry'!$C9760&gt;='Visual SPC'!$C$4),OR('Visual SPC'!$E$4="",'Data Entry'!$C9760&lt;='Visual SPC'!$E$4),OR('Visual SPC'!$G$4="",'Data Entry'!$D9760='Visual SPC'!$G$4),OR('Visual SPC'!$I$4="",'Data Entry'!$E9760='Visual SPC'!$I$4),OR('Visual SPC'!$K$4="",'Data Entry'!$F9760='Visual SPC'!$K$4)),1,0))</f>
        <v/>
      </c>
      <c r="C9760">
        <f>C9759+B9760</f>
        <v/>
      </c>
      <c r="D9760">
        <f>IF(B9760=1,INDEX('Data Entry'!$H$5:$BE$10004,9760-4,'Visual SPC'!$B$3),"")</f>
        <v/>
      </c>
      <c r="E9760">
        <f>IF(B9760=1,D9760,E9759)</f>
        <v/>
      </c>
      <c r="F9760">
        <f>IF(AND(B9760=1,C9760&gt;1,E9759&lt;&gt;""),ABS(D9760-E9759),"")</f>
        <v/>
      </c>
    </row>
    <row r="9761">
      <c r="A9761" t="n">
        <v>9761</v>
      </c>
      <c r="B9761">
        <f>IF(INDEX('Data Entry'!$H$5:$BE$10004,9761-4,'Visual SPC'!$B$3)="",0,IF(AND(OR('Visual SPC'!$C$4="",'Data Entry'!$C9761&gt;='Visual SPC'!$C$4),OR('Visual SPC'!$E$4="",'Data Entry'!$C9761&lt;='Visual SPC'!$E$4),OR('Visual SPC'!$G$4="",'Data Entry'!$D9761='Visual SPC'!$G$4),OR('Visual SPC'!$I$4="",'Data Entry'!$E9761='Visual SPC'!$I$4),OR('Visual SPC'!$K$4="",'Data Entry'!$F9761='Visual SPC'!$K$4)),1,0))</f>
        <v/>
      </c>
      <c r="C9761">
        <f>C9760+B9761</f>
        <v/>
      </c>
      <c r="D9761">
        <f>IF(B9761=1,INDEX('Data Entry'!$H$5:$BE$10004,9761-4,'Visual SPC'!$B$3),"")</f>
        <v/>
      </c>
      <c r="E9761">
        <f>IF(B9761=1,D9761,E9760)</f>
        <v/>
      </c>
      <c r="F9761">
        <f>IF(AND(B9761=1,C9761&gt;1,E9760&lt;&gt;""),ABS(D9761-E9760),"")</f>
        <v/>
      </c>
    </row>
    <row r="9762">
      <c r="A9762" t="n">
        <v>9762</v>
      </c>
      <c r="B9762">
        <f>IF(INDEX('Data Entry'!$H$5:$BE$10004,9762-4,'Visual SPC'!$B$3)="",0,IF(AND(OR('Visual SPC'!$C$4="",'Data Entry'!$C9762&gt;='Visual SPC'!$C$4),OR('Visual SPC'!$E$4="",'Data Entry'!$C9762&lt;='Visual SPC'!$E$4),OR('Visual SPC'!$G$4="",'Data Entry'!$D9762='Visual SPC'!$G$4),OR('Visual SPC'!$I$4="",'Data Entry'!$E9762='Visual SPC'!$I$4),OR('Visual SPC'!$K$4="",'Data Entry'!$F9762='Visual SPC'!$K$4)),1,0))</f>
        <v/>
      </c>
      <c r="C9762">
        <f>C9761+B9762</f>
        <v/>
      </c>
      <c r="D9762">
        <f>IF(B9762=1,INDEX('Data Entry'!$H$5:$BE$10004,9762-4,'Visual SPC'!$B$3),"")</f>
        <v/>
      </c>
      <c r="E9762">
        <f>IF(B9762=1,D9762,E9761)</f>
        <v/>
      </c>
      <c r="F9762">
        <f>IF(AND(B9762=1,C9762&gt;1,E9761&lt;&gt;""),ABS(D9762-E9761),"")</f>
        <v/>
      </c>
    </row>
    <row r="9763">
      <c r="A9763" t="n">
        <v>9763</v>
      </c>
      <c r="B9763">
        <f>IF(INDEX('Data Entry'!$H$5:$BE$10004,9763-4,'Visual SPC'!$B$3)="",0,IF(AND(OR('Visual SPC'!$C$4="",'Data Entry'!$C9763&gt;='Visual SPC'!$C$4),OR('Visual SPC'!$E$4="",'Data Entry'!$C9763&lt;='Visual SPC'!$E$4),OR('Visual SPC'!$G$4="",'Data Entry'!$D9763='Visual SPC'!$G$4),OR('Visual SPC'!$I$4="",'Data Entry'!$E9763='Visual SPC'!$I$4),OR('Visual SPC'!$K$4="",'Data Entry'!$F9763='Visual SPC'!$K$4)),1,0))</f>
        <v/>
      </c>
      <c r="C9763">
        <f>C9762+B9763</f>
        <v/>
      </c>
      <c r="D9763">
        <f>IF(B9763=1,INDEX('Data Entry'!$H$5:$BE$10004,9763-4,'Visual SPC'!$B$3),"")</f>
        <v/>
      </c>
      <c r="E9763">
        <f>IF(B9763=1,D9763,E9762)</f>
        <v/>
      </c>
      <c r="F9763">
        <f>IF(AND(B9763=1,C9763&gt;1,E9762&lt;&gt;""),ABS(D9763-E9762),"")</f>
        <v/>
      </c>
    </row>
    <row r="9764">
      <c r="A9764" t="n">
        <v>9764</v>
      </c>
      <c r="B9764">
        <f>IF(INDEX('Data Entry'!$H$5:$BE$10004,9764-4,'Visual SPC'!$B$3)="",0,IF(AND(OR('Visual SPC'!$C$4="",'Data Entry'!$C9764&gt;='Visual SPC'!$C$4),OR('Visual SPC'!$E$4="",'Data Entry'!$C9764&lt;='Visual SPC'!$E$4),OR('Visual SPC'!$G$4="",'Data Entry'!$D9764='Visual SPC'!$G$4),OR('Visual SPC'!$I$4="",'Data Entry'!$E9764='Visual SPC'!$I$4),OR('Visual SPC'!$K$4="",'Data Entry'!$F9764='Visual SPC'!$K$4)),1,0))</f>
        <v/>
      </c>
      <c r="C9764">
        <f>C9763+B9764</f>
        <v/>
      </c>
      <c r="D9764">
        <f>IF(B9764=1,INDEX('Data Entry'!$H$5:$BE$10004,9764-4,'Visual SPC'!$B$3),"")</f>
        <v/>
      </c>
      <c r="E9764">
        <f>IF(B9764=1,D9764,E9763)</f>
        <v/>
      </c>
      <c r="F9764">
        <f>IF(AND(B9764=1,C9764&gt;1,E9763&lt;&gt;""),ABS(D9764-E9763),"")</f>
        <v/>
      </c>
    </row>
    <row r="9765">
      <c r="A9765" t="n">
        <v>9765</v>
      </c>
      <c r="B9765">
        <f>IF(INDEX('Data Entry'!$H$5:$BE$10004,9765-4,'Visual SPC'!$B$3)="",0,IF(AND(OR('Visual SPC'!$C$4="",'Data Entry'!$C9765&gt;='Visual SPC'!$C$4),OR('Visual SPC'!$E$4="",'Data Entry'!$C9765&lt;='Visual SPC'!$E$4),OR('Visual SPC'!$G$4="",'Data Entry'!$D9765='Visual SPC'!$G$4),OR('Visual SPC'!$I$4="",'Data Entry'!$E9765='Visual SPC'!$I$4),OR('Visual SPC'!$K$4="",'Data Entry'!$F9765='Visual SPC'!$K$4)),1,0))</f>
        <v/>
      </c>
      <c r="C9765">
        <f>C9764+B9765</f>
        <v/>
      </c>
      <c r="D9765">
        <f>IF(B9765=1,INDEX('Data Entry'!$H$5:$BE$10004,9765-4,'Visual SPC'!$B$3),"")</f>
        <v/>
      </c>
      <c r="E9765">
        <f>IF(B9765=1,D9765,E9764)</f>
        <v/>
      </c>
      <c r="F9765">
        <f>IF(AND(B9765=1,C9765&gt;1,E9764&lt;&gt;""),ABS(D9765-E9764),"")</f>
        <v/>
      </c>
    </row>
    <row r="9766">
      <c r="A9766" t="n">
        <v>9766</v>
      </c>
      <c r="B9766">
        <f>IF(INDEX('Data Entry'!$H$5:$BE$10004,9766-4,'Visual SPC'!$B$3)="",0,IF(AND(OR('Visual SPC'!$C$4="",'Data Entry'!$C9766&gt;='Visual SPC'!$C$4),OR('Visual SPC'!$E$4="",'Data Entry'!$C9766&lt;='Visual SPC'!$E$4),OR('Visual SPC'!$G$4="",'Data Entry'!$D9766='Visual SPC'!$G$4),OR('Visual SPC'!$I$4="",'Data Entry'!$E9766='Visual SPC'!$I$4),OR('Visual SPC'!$K$4="",'Data Entry'!$F9766='Visual SPC'!$K$4)),1,0))</f>
        <v/>
      </c>
      <c r="C9766">
        <f>C9765+B9766</f>
        <v/>
      </c>
      <c r="D9766">
        <f>IF(B9766=1,INDEX('Data Entry'!$H$5:$BE$10004,9766-4,'Visual SPC'!$B$3),"")</f>
        <v/>
      </c>
      <c r="E9766">
        <f>IF(B9766=1,D9766,E9765)</f>
        <v/>
      </c>
      <c r="F9766">
        <f>IF(AND(B9766=1,C9766&gt;1,E9765&lt;&gt;""),ABS(D9766-E9765),"")</f>
        <v/>
      </c>
    </row>
    <row r="9767">
      <c r="A9767" t="n">
        <v>9767</v>
      </c>
      <c r="B9767">
        <f>IF(INDEX('Data Entry'!$H$5:$BE$10004,9767-4,'Visual SPC'!$B$3)="",0,IF(AND(OR('Visual SPC'!$C$4="",'Data Entry'!$C9767&gt;='Visual SPC'!$C$4),OR('Visual SPC'!$E$4="",'Data Entry'!$C9767&lt;='Visual SPC'!$E$4),OR('Visual SPC'!$G$4="",'Data Entry'!$D9767='Visual SPC'!$G$4),OR('Visual SPC'!$I$4="",'Data Entry'!$E9767='Visual SPC'!$I$4),OR('Visual SPC'!$K$4="",'Data Entry'!$F9767='Visual SPC'!$K$4)),1,0))</f>
        <v/>
      </c>
      <c r="C9767">
        <f>C9766+B9767</f>
        <v/>
      </c>
      <c r="D9767">
        <f>IF(B9767=1,INDEX('Data Entry'!$H$5:$BE$10004,9767-4,'Visual SPC'!$B$3),"")</f>
        <v/>
      </c>
      <c r="E9767">
        <f>IF(B9767=1,D9767,E9766)</f>
        <v/>
      </c>
      <c r="F9767">
        <f>IF(AND(B9767=1,C9767&gt;1,E9766&lt;&gt;""),ABS(D9767-E9766),"")</f>
        <v/>
      </c>
    </row>
    <row r="9768">
      <c r="A9768" t="n">
        <v>9768</v>
      </c>
      <c r="B9768">
        <f>IF(INDEX('Data Entry'!$H$5:$BE$10004,9768-4,'Visual SPC'!$B$3)="",0,IF(AND(OR('Visual SPC'!$C$4="",'Data Entry'!$C9768&gt;='Visual SPC'!$C$4),OR('Visual SPC'!$E$4="",'Data Entry'!$C9768&lt;='Visual SPC'!$E$4),OR('Visual SPC'!$G$4="",'Data Entry'!$D9768='Visual SPC'!$G$4),OR('Visual SPC'!$I$4="",'Data Entry'!$E9768='Visual SPC'!$I$4),OR('Visual SPC'!$K$4="",'Data Entry'!$F9768='Visual SPC'!$K$4)),1,0))</f>
        <v/>
      </c>
      <c r="C9768">
        <f>C9767+B9768</f>
        <v/>
      </c>
      <c r="D9768">
        <f>IF(B9768=1,INDEX('Data Entry'!$H$5:$BE$10004,9768-4,'Visual SPC'!$B$3),"")</f>
        <v/>
      </c>
      <c r="E9768">
        <f>IF(B9768=1,D9768,E9767)</f>
        <v/>
      </c>
      <c r="F9768">
        <f>IF(AND(B9768=1,C9768&gt;1,E9767&lt;&gt;""),ABS(D9768-E9767),"")</f>
        <v/>
      </c>
    </row>
    <row r="9769">
      <c r="A9769" t="n">
        <v>9769</v>
      </c>
      <c r="B9769">
        <f>IF(INDEX('Data Entry'!$H$5:$BE$10004,9769-4,'Visual SPC'!$B$3)="",0,IF(AND(OR('Visual SPC'!$C$4="",'Data Entry'!$C9769&gt;='Visual SPC'!$C$4),OR('Visual SPC'!$E$4="",'Data Entry'!$C9769&lt;='Visual SPC'!$E$4),OR('Visual SPC'!$G$4="",'Data Entry'!$D9769='Visual SPC'!$G$4),OR('Visual SPC'!$I$4="",'Data Entry'!$E9769='Visual SPC'!$I$4),OR('Visual SPC'!$K$4="",'Data Entry'!$F9769='Visual SPC'!$K$4)),1,0))</f>
        <v/>
      </c>
      <c r="C9769">
        <f>C9768+B9769</f>
        <v/>
      </c>
      <c r="D9769">
        <f>IF(B9769=1,INDEX('Data Entry'!$H$5:$BE$10004,9769-4,'Visual SPC'!$B$3),"")</f>
        <v/>
      </c>
      <c r="E9769">
        <f>IF(B9769=1,D9769,E9768)</f>
        <v/>
      </c>
      <c r="F9769">
        <f>IF(AND(B9769=1,C9769&gt;1,E9768&lt;&gt;""),ABS(D9769-E9768),"")</f>
        <v/>
      </c>
    </row>
    <row r="9770">
      <c r="A9770" t="n">
        <v>9770</v>
      </c>
      <c r="B9770">
        <f>IF(INDEX('Data Entry'!$H$5:$BE$10004,9770-4,'Visual SPC'!$B$3)="",0,IF(AND(OR('Visual SPC'!$C$4="",'Data Entry'!$C9770&gt;='Visual SPC'!$C$4),OR('Visual SPC'!$E$4="",'Data Entry'!$C9770&lt;='Visual SPC'!$E$4),OR('Visual SPC'!$G$4="",'Data Entry'!$D9770='Visual SPC'!$G$4),OR('Visual SPC'!$I$4="",'Data Entry'!$E9770='Visual SPC'!$I$4),OR('Visual SPC'!$K$4="",'Data Entry'!$F9770='Visual SPC'!$K$4)),1,0))</f>
        <v/>
      </c>
      <c r="C9770">
        <f>C9769+B9770</f>
        <v/>
      </c>
      <c r="D9770">
        <f>IF(B9770=1,INDEX('Data Entry'!$H$5:$BE$10004,9770-4,'Visual SPC'!$B$3),"")</f>
        <v/>
      </c>
      <c r="E9770">
        <f>IF(B9770=1,D9770,E9769)</f>
        <v/>
      </c>
      <c r="F9770">
        <f>IF(AND(B9770=1,C9770&gt;1,E9769&lt;&gt;""),ABS(D9770-E9769),"")</f>
        <v/>
      </c>
    </row>
    <row r="9771">
      <c r="A9771" t="n">
        <v>9771</v>
      </c>
      <c r="B9771">
        <f>IF(INDEX('Data Entry'!$H$5:$BE$10004,9771-4,'Visual SPC'!$B$3)="",0,IF(AND(OR('Visual SPC'!$C$4="",'Data Entry'!$C9771&gt;='Visual SPC'!$C$4),OR('Visual SPC'!$E$4="",'Data Entry'!$C9771&lt;='Visual SPC'!$E$4),OR('Visual SPC'!$G$4="",'Data Entry'!$D9771='Visual SPC'!$G$4),OR('Visual SPC'!$I$4="",'Data Entry'!$E9771='Visual SPC'!$I$4),OR('Visual SPC'!$K$4="",'Data Entry'!$F9771='Visual SPC'!$K$4)),1,0))</f>
        <v/>
      </c>
      <c r="C9771">
        <f>C9770+B9771</f>
        <v/>
      </c>
      <c r="D9771">
        <f>IF(B9771=1,INDEX('Data Entry'!$H$5:$BE$10004,9771-4,'Visual SPC'!$B$3),"")</f>
        <v/>
      </c>
      <c r="E9771">
        <f>IF(B9771=1,D9771,E9770)</f>
        <v/>
      </c>
      <c r="F9771">
        <f>IF(AND(B9771=1,C9771&gt;1,E9770&lt;&gt;""),ABS(D9771-E9770),"")</f>
        <v/>
      </c>
    </row>
    <row r="9772">
      <c r="A9772" t="n">
        <v>9772</v>
      </c>
      <c r="B9772">
        <f>IF(INDEX('Data Entry'!$H$5:$BE$10004,9772-4,'Visual SPC'!$B$3)="",0,IF(AND(OR('Visual SPC'!$C$4="",'Data Entry'!$C9772&gt;='Visual SPC'!$C$4),OR('Visual SPC'!$E$4="",'Data Entry'!$C9772&lt;='Visual SPC'!$E$4),OR('Visual SPC'!$G$4="",'Data Entry'!$D9772='Visual SPC'!$G$4),OR('Visual SPC'!$I$4="",'Data Entry'!$E9772='Visual SPC'!$I$4),OR('Visual SPC'!$K$4="",'Data Entry'!$F9772='Visual SPC'!$K$4)),1,0))</f>
        <v/>
      </c>
      <c r="C9772">
        <f>C9771+B9772</f>
        <v/>
      </c>
      <c r="D9772">
        <f>IF(B9772=1,INDEX('Data Entry'!$H$5:$BE$10004,9772-4,'Visual SPC'!$B$3),"")</f>
        <v/>
      </c>
      <c r="E9772">
        <f>IF(B9772=1,D9772,E9771)</f>
        <v/>
      </c>
      <c r="F9772">
        <f>IF(AND(B9772=1,C9772&gt;1,E9771&lt;&gt;""),ABS(D9772-E9771),"")</f>
        <v/>
      </c>
    </row>
    <row r="9773">
      <c r="A9773" t="n">
        <v>9773</v>
      </c>
      <c r="B9773">
        <f>IF(INDEX('Data Entry'!$H$5:$BE$10004,9773-4,'Visual SPC'!$B$3)="",0,IF(AND(OR('Visual SPC'!$C$4="",'Data Entry'!$C9773&gt;='Visual SPC'!$C$4),OR('Visual SPC'!$E$4="",'Data Entry'!$C9773&lt;='Visual SPC'!$E$4),OR('Visual SPC'!$G$4="",'Data Entry'!$D9773='Visual SPC'!$G$4),OR('Visual SPC'!$I$4="",'Data Entry'!$E9773='Visual SPC'!$I$4),OR('Visual SPC'!$K$4="",'Data Entry'!$F9773='Visual SPC'!$K$4)),1,0))</f>
        <v/>
      </c>
      <c r="C9773">
        <f>C9772+B9773</f>
        <v/>
      </c>
      <c r="D9773">
        <f>IF(B9773=1,INDEX('Data Entry'!$H$5:$BE$10004,9773-4,'Visual SPC'!$B$3),"")</f>
        <v/>
      </c>
      <c r="E9773">
        <f>IF(B9773=1,D9773,E9772)</f>
        <v/>
      </c>
      <c r="F9773">
        <f>IF(AND(B9773=1,C9773&gt;1,E9772&lt;&gt;""),ABS(D9773-E9772),"")</f>
        <v/>
      </c>
    </row>
    <row r="9774">
      <c r="A9774" t="n">
        <v>9774</v>
      </c>
      <c r="B9774">
        <f>IF(INDEX('Data Entry'!$H$5:$BE$10004,9774-4,'Visual SPC'!$B$3)="",0,IF(AND(OR('Visual SPC'!$C$4="",'Data Entry'!$C9774&gt;='Visual SPC'!$C$4),OR('Visual SPC'!$E$4="",'Data Entry'!$C9774&lt;='Visual SPC'!$E$4),OR('Visual SPC'!$G$4="",'Data Entry'!$D9774='Visual SPC'!$G$4),OR('Visual SPC'!$I$4="",'Data Entry'!$E9774='Visual SPC'!$I$4),OR('Visual SPC'!$K$4="",'Data Entry'!$F9774='Visual SPC'!$K$4)),1,0))</f>
        <v/>
      </c>
      <c r="C9774">
        <f>C9773+B9774</f>
        <v/>
      </c>
      <c r="D9774">
        <f>IF(B9774=1,INDEX('Data Entry'!$H$5:$BE$10004,9774-4,'Visual SPC'!$B$3),"")</f>
        <v/>
      </c>
      <c r="E9774">
        <f>IF(B9774=1,D9774,E9773)</f>
        <v/>
      </c>
      <c r="F9774">
        <f>IF(AND(B9774=1,C9774&gt;1,E9773&lt;&gt;""),ABS(D9774-E9773),"")</f>
        <v/>
      </c>
    </row>
    <row r="9775">
      <c r="A9775" t="n">
        <v>9775</v>
      </c>
      <c r="B9775">
        <f>IF(INDEX('Data Entry'!$H$5:$BE$10004,9775-4,'Visual SPC'!$B$3)="",0,IF(AND(OR('Visual SPC'!$C$4="",'Data Entry'!$C9775&gt;='Visual SPC'!$C$4),OR('Visual SPC'!$E$4="",'Data Entry'!$C9775&lt;='Visual SPC'!$E$4),OR('Visual SPC'!$G$4="",'Data Entry'!$D9775='Visual SPC'!$G$4),OR('Visual SPC'!$I$4="",'Data Entry'!$E9775='Visual SPC'!$I$4),OR('Visual SPC'!$K$4="",'Data Entry'!$F9775='Visual SPC'!$K$4)),1,0))</f>
        <v/>
      </c>
      <c r="C9775">
        <f>C9774+B9775</f>
        <v/>
      </c>
      <c r="D9775">
        <f>IF(B9775=1,INDEX('Data Entry'!$H$5:$BE$10004,9775-4,'Visual SPC'!$B$3),"")</f>
        <v/>
      </c>
      <c r="E9775">
        <f>IF(B9775=1,D9775,E9774)</f>
        <v/>
      </c>
      <c r="F9775">
        <f>IF(AND(B9775=1,C9775&gt;1,E9774&lt;&gt;""),ABS(D9775-E9774),"")</f>
        <v/>
      </c>
    </row>
    <row r="9776">
      <c r="A9776" t="n">
        <v>9776</v>
      </c>
      <c r="B9776">
        <f>IF(INDEX('Data Entry'!$H$5:$BE$10004,9776-4,'Visual SPC'!$B$3)="",0,IF(AND(OR('Visual SPC'!$C$4="",'Data Entry'!$C9776&gt;='Visual SPC'!$C$4),OR('Visual SPC'!$E$4="",'Data Entry'!$C9776&lt;='Visual SPC'!$E$4),OR('Visual SPC'!$G$4="",'Data Entry'!$D9776='Visual SPC'!$G$4),OR('Visual SPC'!$I$4="",'Data Entry'!$E9776='Visual SPC'!$I$4),OR('Visual SPC'!$K$4="",'Data Entry'!$F9776='Visual SPC'!$K$4)),1,0))</f>
        <v/>
      </c>
      <c r="C9776">
        <f>C9775+B9776</f>
        <v/>
      </c>
      <c r="D9776">
        <f>IF(B9776=1,INDEX('Data Entry'!$H$5:$BE$10004,9776-4,'Visual SPC'!$B$3),"")</f>
        <v/>
      </c>
      <c r="E9776">
        <f>IF(B9776=1,D9776,E9775)</f>
        <v/>
      </c>
      <c r="F9776">
        <f>IF(AND(B9776=1,C9776&gt;1,E9775&lt;&gt;""),ABS(D9776-E9775),"")</f>
        <v/>
      </c>
    </row>
    <row r="9777">
      <c r="A9777" t="n">
        <v>9777</v>
      </c>
      <c r="B9777">
        <f>IF(INDEX('Data Entry'!$H$5:$BE$10004,9777-4,'Visual SPC'!$B$3)="",0,IF(AND(OR('Visual SPC'!$C$4="",'Data Entry'!$C9777&gt;='Visual SPC'!$C$4),OR('Visual SPC'!$E$4="",'Data Entry'!$C9777&lt;='Visual SPC'!$E$4),OR('Visual SPC'!$G$4="",'Data Entry'!$D9777='Visual SPC'!$G$4),OR('Visual SPC'!$I$4="",'Data Entry'!$E9777='Visual SPC'!$I$4),OR('Visual SPC'!$K$4="",'Data Entry'!$F9777='Visual SPC'!$K$4)),1,0))</f>
        <v/>
      </c>
      <c r="C9777">
        <f>C9776+B9777</f>
        <v/>
      </c>
      <c r="D9777">
        <f>IF(B9777=1,INDEX('Data Entry'!$H$5:$BE$10004,9777-4,'Visual SPC'!$B$3),"")</f>
        <v/>
      </c>
      <c r="E9777">
        <f>IF(B9777=1,D9777,E9776)</f>
        <v/>
      </c>
      <c r="F9777">
        <f>IF(AND(B9777=1,C9777&gt;1,E9776&lt;&gt;""),ABS(D9777-E9776),"")</f>
        <v/>
      </c>
    </row>
    <row r="9778">
      <c r="A9778" t="n">
        <v>9778</v>
      </c>
      <c r="B9778">
        <f>IF(INDEX('Data Entry'!$H$5:$BE$10004,9778-4,'Visual SPC'!$B$3)="",0,IF(AND(OR('Visual SPC'!$C$4="",'Data Entry'!$C9778&gt;='Visual SPC'!$C$4),OR('Visual SPC'!$E$4="",'Data Entry'!$C9778&lt;='Visual SPC'!$E$4),OR('Visual SPC'!$G$4="",'Data Entry'!$D9778='Visual SPC'!$G$4),OR('Visual SPC'!$I$4="",'Data Entry'!$E9778='Visual SPC'!$I$4),OR('Visual SPC'!$K$4="",'Data Entry'!$F9778='Visual SPC'!$K$4)),1,0))</f>
        <v/>
      </c>
      <c r="C9778">
        <f>C9777+B9778</f>
        <v/>
      </c>
      <c r="D9778">
        <f>IF(B9778=1,INDEX('Data Entry'!$H$5:$BE$10004,9778-4,'Visual SPC'!$B$3),"")</f>
        <v/>
      </c>
      <c r="E9778">
        <f>IF(B9778=1,D9778,E9777)</f>
        <v/>
      </c>
      <c r="F9778">
        <f>IF(AND(B9778=1,C9778&gt;1,E9777&lt;&gt;""),ABS(D9778-E9777),"")</f>
        <v/>
      </c>
    </row>
    <row r="9779">
      <c r="A9779" t="n">
        <v>9779</v>
      </c>
      <c r="B9779">
        <f>IF(INDEX('Data Entry'!$H$5:$BE$10004,9779-4,'Visual SPC'!$B$3)="",0,IF(AND(OR('Visual SPC'!$C$4="",'Data Entry'!$C9779&gt;='Visual SPC'!$C$4),OR('Visual SPC'!$E$4="",'Data Entry'!$C9779&lt;='Visual SPC'!$E$4),OR('Visual SPC'!$G$4="",'Data Entry'!$D9779='Visual SPC'!$G$4),OR('Visual SPC'!$I$4="",'Data Entry'!$E9779='Visual SPC'!$I$4),OR('Visual SPC'!$K$4="",'Data Entry'!$F9779='Visual SPC'!$K$4)),1,0))</f>
        <v/>
      </c>
      <c r="C9779">
        <f>C9778+B9779</f>
        <v/>
      </c>
      <c r="D9779">
        <f>IF(B9779=1,INDEX('Data Entry'!$H$5:$BE$10004,9779-4,'Visual SPC'!$B$3),"")</f>
        <v/>
      </c>
      <c r="E9779">
        <f>IF(B9779=1,D9779,E9778)</f>
        <v/>
      </c>
      <c r="F9779">
        <f>IF(AND(B9779=1,C9779&gt;1,E9778&lt;&gt;""),ABS(D9779-E9778),"")</f>
        <v/>
      </c>
    </row>
    <row r="9780">
      <c r="A9780" t="n">
        <v>9780</v>
      </c>
      <c r="B9780">
        <f>IF(INDEX('Data Entry'!$H$5:$BE$10004,9780-4,'Visual SPC'!$B$3)="",0,IF(AND(OR('Visual SPC'!$C$4="",'Data Entry'!$C9780&gt;='Visual SPC'!$C$4),OR('Visual SPC'!$E$4="",'Data Entry'!$C9780&lt;='Visual SPC'!$E$4),OR('Visual SPC'!$G$4="",'Data Entry'!$D9780='Visual SPC'!$G$4),OR('Visual SPC'!$I$4="",'Data Entry'!$E9780='Visual SPC'!$I$4),OR('Visual SPC'!$K$4="",'Data Entry'!$F9780='Visual SPC'!$K$4)),1,0))</f>
        <v/>
      </c>
      <c r="C9780">
        <f>C9779+B9780</f>
        <v/>
      </c>
      <c r="D9780">
        <f>IF(B9780=1,INDEX('Data Entry'!$H$5:$BE$10004,9780-4,'Visual SPC'!$B$3),"")</f>
        <v/>
      </c>
      <c r="E9780">
        <f>IF(B9780=1,D9780,E9779)</f>
        <v/>
      </c>
      <c r="F9780">
        <f>IF(AND(B9780=1,C9780&gt;1,E9779&lt;&gt;""),ABS(D9780-E9779),"")</f>
        <v/>
      </c>
    </row>
    <row r="9781">
      <c r="A9781" t="n">
        <v>9781</v>
      </c>
      <c r="B9781">
        <f>IF(INDEX('Data Entry'!$H$5:$BE$10004,9781-4,'Visual SPC'!$B$3)="",0,IF(AND(OR('Visual SPC'!$C$4="",'Data Entry'!$C9781&gt;='Visual SPC'!$C$4),OR('Visual SPC'!$E$4="",'Data Entry'!$C9781&lt;='Visual SPC'!$E$4),OR('Visual SPC'!$G$4="",'Data Entry'!$D9781='Visual SPC'!$G$4),OR('Visual SPC'!$I$4="",'Data Entry'!$E9781='Visual SPC'!$I$4),OR('Visual SPC'!$K$4="",'Data Entry'!$F9781='Visual SPC'!$K$4)),1,0))</f>
        <v/>
      </c>
      <c r="C9781">
        <f>C9780+B9781</f>
        <v/>
      </c>
      <c r="D9781">
        <f>IF(B9781=1,INDEX('Data Entry'!$H$5:$BE$10004,9781-4,'Visual SPC'!$B$3),"")</f>
        <v/>
      </c>
      <c r="E9781">
        <f>IF(B9781=1,D9781,E9780)</f>
        <v/>
      </c>
      <c r="F9781">
        <f>IF(AND(B9781=1,C9781&gt;1,E9780&lt;&gt;""),ABS(D9781-E9780),"")</f>
        <v/>
      </c>
    </row>
    <row r="9782">
      <c r="A9782" t="n">
        <v>9782</v>
      </c>
      <c r="B9782">
        <f>IF(INDEX('Data Entry'!$H$5:$BE$10004,9782-4,'Visual SPC'!$B$3)="",0,IF(AND(OR('Visual SPC'!$C$4="",'Data Entry'!$C9782&gt;='Visual SPC'!$C$4),OR('Visual SPC'!$E$4="",'Data Entry'!$C9782&lt;='Visual SPC'!$E$4),OR('Visual SPC'!$G$4="",'Data Entry'!$D9782='Visual SPC'!$G$4),OR('Visual SPC'!$I$4="",'Data Entry'!$E9782='Visual SPC'!$I$4),OR('Visual SPC'!$K$4="",'Data Entry'!$F9782='Visual SPC'!$K$4)),1,0))</f>
        <v/>
      </c>
      <c r="C9782">
        <f>C9781+B9782</f>
        <v/>
      </c>
      <c r="D9782">
        <f>IF(B9782=1,INDEX('Data Entry'!$H$5:$BE$10004,9782-4,'Visual SPC'!$B$3),"")</f>
        <v/>
      </c>
      <c r="E9782">
        <f>IF(B9782=1,D9782,E9781)</f>
        <v/>
      </c>
      <c r="F9782">
        <f>IF(AND(B9782=1,C9782&gt;1,E9781&lt;&gt;""),ABS(D9782-E9781),"")</f>
        <v/>
      </c>
    </row>
    <row r="9783">
      <c r="A9783" t="n">
        <v>9783</v>
      </c>
      <c r="B9783">
        <f>IF(INDEX('Data Entry'!$H$5:$BE$10004,9783-4,'Visual SPC'!$B$3)="",0,IF(AND(OR('Visual SPC'!$C$4="",'Data Entry'!$C9783&gt;='Visual SPC'!$C$4),OR('Visual SPC'!$E$4="",'Data Entry'!$C9783&lt;='Visual SPC'!$E$4),OR('Visual SPC'!$G$4="",'Data Entry'!$D9783='Visual SPC'!$G$4),OR('Visual SPC'!$I$4="",'Data Entry'!$E9783='Visual SPC'!$I$4),OR('Visual SPC'!$K$4="",'Data Entry'!$F9783='Visual SPC'!$K$4)),1,0))</f>
        <v/>
      </c>
      <c r="C9783">
        <f>C9782+B9783</f>
        <v/>
      </c>
      <c r="D9783">
        <f>IF(B9783=1,INDEX('Data Entry'!$H$5:$BE$10004,9783-4,'Visual SPC'!$B$3),"")</f>
        <v/>
      </c>
      <c r="E9783">
        <f>IF(B9783=1,D9783,E9782)</f>
        <v/>
      </c>
      <c r="F9783">
        <f>IF(AND(B9783=1,C9783&gt;1,E9782&lt;&gt;""),ABS(D9783-E9782),"")</f>
        <v/>
      </c>
    </row>
    <row r="9784">
      <c r="A9784" t="n">
        <v>9784</v>
      </c>
      <c r="B9784">
        <f>IF(INDEX('Data Entry'!$H$5:$BE$10004,9784-4,'Visual SPC'!$B$3)="",0,IF(AND(OR('Visual SPC'!$C$4="",'Data Entry'!$C9784&gt;='Visual SPC'!$C$4),OR('Visual SPC'!$E$4="",'Data Entry'!$C9784&lt;='Visual SPC'!$E$4),OR('Visual SPC'!$G$4="",'Data Entry'!$D9784='Visual SPC'!$G$4),OR('Visual SPC'!$I$4="",'Data Entry'!$E9784='Visual SPC'!$I$4),OR('Visual SPC'!$K$4="",'Data Entry'!$F9784='Visual SPC'!$K$4)),1,0))</f>
        <v/>
      </c>
      <c r="C9784">
        <f>C9783+B9784</f>
        <v/>
      </c>
      <c r="D9784">
        <f>IF(B9784=1,INDEX('Data Entry'!$H$5:$BE$10004,9784-4,'Visual SPC'!$B$3),"")</f>
        <v/>
      </c>
      <c r="E9784">
        <f>IF(B9784=1,D9784,E9783)</f>
        <v/>
      </c>
      <c r="F9784">
        <f>IF(AND(B9784=1,C9784&gt;1,E9783&lt;&gt;""),ABS(D9784-E9783),"")</f>
        <v/>
      </c>
    </row>
    <row r="9785">
      <c r="A9785" t="n">
        <v>9785</v>
      </c>
      <c r="B9785">
        <f>IF(INDEX('Data Entry'!$H$5:$BE$10004,9785-4,'Visual SPC'!$B$3)="",0,IF(AND(OR('Visual SPC'!$C$4="",'Data Entry'!$C9785&gt;='Visual SPC'!$C$4),OR('Visual SPC'!$E$4="",'Data Entry'!$C9785&lt;='Visual SPC'!$E$4),OR('Visual SPC'!$G$4="",'Data Entry'!$D9785='Visual SPC'!$G$4),OR('Visual SPC'!$I$4="",'Data Entry'!$E9785='Visual SPC'!$I$4),OR('Visual SPC'!$K$4="",'Data Entry'!$F9785='Visual SPC'!$K$4)),1,0))</f>
        <v/>
      </c>
      <c r="C9785">
        <f>C9784+B9785</f>
        <v/>
      </c>
      <c r="D9785">
        <f>IF(B9785=1,INDEX('Data Entry'!$H$5:$BE$10004,9785-4,'Visual SPC'!$B$3),"")</f>
        <v/>
      </c>
      <c r="E9785">
        <f>IF(B9785=1,D9785,E9784)</f>
        <v/>
      </c>
      <c r="F9785">
        <f>IF(AND(B9785=1,C9785&gt;1,E9784&lt;&gt;""),ABS(D9785-E9784),"")</f>
        <v/>
      </c>
    </row>
    <row r="9786">
      <c r="A9786" t="n">
        <v>9786</v>
      </c>
      <c r="B9786">
        <f>IF(INDEX('Data Entry'!$H$5:$BE$10004,9786-4,'Visual SPC'!$B$3)="",0,IF(AND(OR('Visual SPC'!$C$4="",'Data Entry'!$C9786&gt;='Visual SPC'!$C$4),OR('Visual SPC'!$E$4="",'Data Entry'!$C9786&lt;='Visual SPC'!$E$4),OR('Visual SPC'!$G$4="",'Data Entry'!$D9786='Visual SPC'!$G$4),OR('Visual SPC'!$I$4="",'Data Entry'!$E9786='Visual SPC'!$I$4),OR('Visual SPC'!$K$4="",'Data Entry'!$F9786='Visual SPC'!$K$4)),1,0))</f>
        <v/>
      </c>
      <c r="C9786">
        <f>C9785+B9786</f>
        <v/>
      </c>
      <c r="D9786">
        <f>IF(B9786=1,INDEX('Data Entry'!$H$5:$BE$10004,9786-4,'Visual SPC'!$B$3),"")</f>
        <v/>
      </c>
      <c r="E9786">
        <f>IF(B9786=1,D9786,E9785)</f>
        <v/>
      </c>
      <c r="F9786">
        <f>IF(AND(B9786=1,C9786&gt;1,E9785&lt;&gt;""),ABS(D9786-E9785),"")</f>
        <v/>
      </c>
    </row>
    <row r="9787">
      <c r="A9787" t="n">
        <v>9787</v>
      </c>
      <c r="B9787">
        <f>IF(INDEX('Data Entry'!$H$5:$BE$10004,9787-4,'Visual SPC'!$B$3)="",0,IF(AND(OR('Visual SPC'!$C$4="",'Data Entry'!$C9787&gt;='Visual SPC'!$C$4),OR('Visual SPC'!$E$4="",'Data Entry'!$C9787&lt;='Visual SPC'!$E$4),OR('Visual SPC'!$G$4="",'Data Entry'!$D9787='Visual SPC'!$G$4),OR('Visual SPC'!$I$4="",'Data Entry'!$E9787='Visual SPC'!$I$4),OR('Visual SPC'!$K$4="",'Data Entry'!$F9787='Visual SPC'!$K$4)),1,0))</f>
        <v/>
      </c>
      <c r="C9787">
        <f>C9786+B9787</f>
        <v/>
      </c>
      <c r="D9787">
        <f>IF(B9787=1,INDEX('Data Entry'!$H$5:$BE$10004,9787-4,'Visual SPC'!$B$3),"")</f>
        <v/>
      </c>
      <c r="E9787">
        <f>IF(B9787=1,D9787,E9786)</f>
        <v/>
      </c>
      <c r="F9787">
        <f>IF(AND(B9787=1,C9787&gt;1,E9786&lt;&gt;""),ABS(D9787-E9786),"")</f>
        <v/>
      </c>
    </row>
    <row r="9788">
      <c r="A9788" t="n">
        <v>9788</v>
      </c>
      <c r="B9788">
        <f>IF(INDEX('Data Entry'!$H$5:$BE$10004,9788-4,'Visual SPC'!$B$3)="",0,IF(AND(OR('Visual SPC'!$C$4="",'Data Entry'!$C9788&gt;='Visual SPC'!$C$4),OR('Visual SPC'!$E$4="",'Data Entry'!$C9788&lt;='Visual SPC'!$E$4),OR('Visual SPC'!$G$4="",'Data Entry'!$D9788='Visual SPC'!$G$4),OR('Visual SPC'!$I$4="",'Data Entry'!$E9788='Visual SPC'!$I$4),OR('Visual SPC'!$K$4="",'Data Entry'!$F9788='Visual SPC'!$K$4)),1,0))</f>
        <v/>
      </c>
      <c r="C9788">
        <f>C9787+B9788</f>
        <v/>
      </c>
      <c r="D9788">
        <f>IF(B9788=1,INDEX('Data Entry'!$H$5:$BE$10004,9788-4,'Visual SPC'!$B$3),"")</f>
        <v/>
      </c>
      <c r="E9788">
        <f>IF(B9788=1,D9788,E9787)</f>
        <v/>
      </c>
      <c r="F9788">
        <f>IF(AND(B9788=1,C9788&gt;1,E9787&lt;&gt;""),ABS(D9788-E9787),"")</f>
        <v/>
      </c>
    </row>
    <row r="9789">
      <c r="A9789" t="n">
        <v>9789</v>
      </c>
      <c r="B9789">
        <f>IF(INDEX('Data Entry'!$H$5:$BE$10004,9789-4,'Visual SPC'!$B$3)="",0,IF(AND(OR('Visual SPC'!$C$4="",'Data Entry'!$C9789&gt;='Visual SPC'!$C$4),OR('Visual SPC'!$E$4="",'Data Entry'!$C9789&lt;='Visual SPC'!$E$4),OR('Visual SPC'!$G$4="",'Data Entry'!$D9789='Visual SPC'!$G$4),OR('Visual SPC'!$I$4="",'Data Entry'!$E9789='Visual SPC'!$I$4),OR('Visual SPC'!$K$4="",'Data Entry'!$F9789='Visual SPC'!$K$4)),1,0))</f>
        <v/>
      </c>
      <c r="C9789">
        <f>C9788+B9789</f>
        <v/>
      </c>
      <c r="D9789">
        <f>IF(B9789=1,INDEX('Data Entry'!$H$5:$BE$10004,9789-4,'Visual SPC'!$B$3),"")</f>
        <v/>
      </c>
      <c r="E9789">
        <f>IF(B9789=1,D9789,E9788)</f>
        <v/>
      </c>
      <c r="F9789">
        <f>IF(AND(B9789=1,C9789&gt;1,E9788&lt;&gt;""),ABS(D9789-E9788),"")</f>
        <v/>
      </c>
    </row>
    <row r="9790">
      <c r="A9790" t="n">
        <v>9790</v>
      </c>
      <c r="B9790">
        <f>IF(INDEX('Data Entry'!$H$5:$BE$10004,9790-4,'Visual SPC'!$B$3)="",0,IF(AND(OR('Visual SPC'!$C$4="",'Data Entry'!$C9790&gt;='Visual SPC'!$C$4),OR('Visual SPC'!$E$4="",'Data Entry'!$C9790&lt;='Visual SPC'!$E$4),OR('Visual SPC'!$G$4="",'Data Entry'!$D9790='Visual SPC'!$G$4),OR('Visual SPC'!$I$4="",'Data Entry'!$E9790='Visual SPC'!$I$4),OR('Visual SPC'!$K$4="",'Data Entry'!$F9790='Visual SPC'!$K$4)),1,0))</f>
        <v/>
      </c>
      <c r="C9790">
        <f>C9789+B9790</f>
        <v/>
      </c>
      <c r="D9790">
        <f>IF(B9790=1,INDEX('Data Entry'!$H$5:$BE$10004,9790-4,'Visual SPC'!$B$3),"")</f>
        <v/>
      </c>
      <c r="E9790">
        <f>IF(B9790=1,D9790,E9789)</f>
        <v/>
      </c>
      <c r="F9790">
        <f>IF(AND(B9790=1,C9790&gt;1,E9789&lt;&gt;""),ABS(D9790-E9789),"")</f>
        <v/>
      </c>
    </row>
    <row r="9791">
      <c r="A9791" t="n">
        <v>9791</v>
      </c>
      <c r="B9791">
        <f>IF(INDEX('Data Entry'!$H$5:$BE$10004,9791-4,'Visual SPC'!$B$3)="",0,IF(AND(OR('Visual SPC'!$C$4="",'Data Entry'!$C9791&gt;='Visual SPC'!$C$4),OR('Visual SPC'!$E$4="",'Data Entry'!$C9791&lt;='Visual SPC'!$E$4),OR('Visual SPC'!$G$4="",'Data Entry'!$D9791='Visual SPC'!$G$4),OR('Visual SPC'!$I$4="",'Data Entry'!$E9791='Visual SPC'!$I$4),OR('Visual SPC'!$K$4="",'Data Entry'!$F9791='Visual SPC'!$K$4)),1,0))</f>
        <v/>
      </c>
      <c r="C9791">
        <f>C9790+B9791</f>
        <v/>
      </c>
      <c r="D9791">
        <f>IF(B9791=1,INDEX('Data Entry'!$H$5:$BE$10004,9791-4,'Visual SPC'!$B$3),"")</f>
        <v/>
      </c>
      <c r="E9791">
        <f>IF(B9791=1,D9791,E9790)</f>
        <v/>
      </c>
      <c r="F9791">
        <f>IF(AND(B9791=1,C9791&gt;1,E9790&lt;&gt;""),ABS(D9791-E9790),"")</f>
        <v/>
      </c>
    </row>
    <row r="9792">
      <c r="A9792" t="n">
        <v>9792</v>
      </c>
      <c r="B9792">
        <f>IF(INDEX('Data Entry'!$H$5:$BE$10004,9792-4,'Visual SPC'!$B$3)="",0,IF(AND(OR('Visual SPC'!$C$4="",'Data Entry'!$C9792&gt;='Visual SPC'!$C$4),OR('Visual SPC'!$E$4="",'Data Entry'!$C9792&lt;='Visual SPC'!$E$4),OR('Visual SPC'!$G$4="",'Data Entry'!$D9792='Visual SPC'!$G$4),OR('Visual SPC'!$I$4="",'Data Entry'!$E9792='Visual SPC'!$I$4),OR('Visual SPC'!$K$4="",'Data Entry'!$F9792='Visual SPC'!$K$4)),1,0))</f>
        <v/>
      </c>
      <c r="C9792">
        <f>C9791+B9792</f>
        <v/>
      </c>
      <c r="D9792">
        <f>IF(B9792=1,INDEX('Data Entry'!$H$5:$BE$10004,9792-4,'Visual SPC'!$B$3),"")</f>
        <v/>
      </c>
      <c r="E9792">
        <f>IF(B9792=1,D9792,E9791)</f>
        <v/>
      </c>
      <c r="F9792">
        <f>IF(AND(B9792=1,C9792&gt;1,E9791&lt;&gt;""),ABS(D9792-E9791),"")</f>
        <v/>
      </c>
    </row>
    <row r="9793">
      <c r="A9793" t="n">
        <v>9793</v>
      </c>
      <c r="B9793">
        <f>IF(INDEX('Data Entry'!$H$5:$BE$10004,9793-4,'Visual SPC'!$B$3)="",0,IF(AND(OR('Visual SPC'!$C$4="",'Data Entry'!$C9793&gt;='Visual SPC'!$C$4),OR('Visual SPC'!$E$4="",'Data Entry'!$C9793&lt;='Visual SPC'!$E$4),OR('Visual SPC'!$G$4="",'Data Entry'!$D9793='Visual SPC'!$G$4),OR('Visual SPC'!$I$4="",'Data Entry'!$E9793='Visual SPC'!$I$4),OR('Visual SPC'!$K$4="",'Data Entry'!$F9793='Visual SPC'!$K$4)),1,0))</f>
        <v/>
      </c>
      <c r="C9793">
        <f>C9792+B9793</f>
        <v/>
      </c>
      <c r="D9793">
        <f>IF(B9793=1,INDEX('Data Entry'!$H$5:$BE$10004,9793-4,'Visual SPC'!$B$3),"")</f>
        <v/>
      </c>
      <c r="E9793">
        <f>IF(B9793=1,D9793,E9792)</f>
        <v/>
      </c>
      <c r="F9793">
        <f>IF(AND(B9793=1,C9793&gt;1,E9792&lt;&gt;""),ABS(D9793-E9792),"")</f>
        <v/>
      </c>
    </row>
    <row r="9794">
      <c r="A9794" t="n">
        <v>9794</v>
      </c>
      <c r="B9794">
        <f>IF(INDEX('Data Entry'!$H$5:$BE$10004,9794-4,'Visual SPC'!$B$3)="",0,IF(AND(OR('Visual SPC'!$C$4="",'Data Entry'!$C9794&gt;='Visual SPC'!$C$4),OR('Visual SPC'!$E$4="",'Data Entry'!$C9794&lt;='Visual SPC'!$E$4),OR('Visual SPC'!$G$4="",'Data Entry'!$D9794='Visual SPC'!$G$4),OR('Visual SPC'!$I$4="",'Data Entry'!$E9794='Visual SPC'!$I$4),OR('Visual SPC'!$K$4="",'Data Entry'!$F9794='Visual SPC'!$K$4)),1,0))</f>
        <v/>
      </c>
      <c r="C9794">
        <f>C9793+B9794</f>
        <v/>
      </c>
      <c r="D9794">
        <f>IF(B9794=1,INDEX('Data Entry'!$H$5:$BE$10004,9794-4,'Visual SPC'!$B$3),"")</f>
        <v/>
      </c>
      <c r="E9794">
        <f>IF(B9794=1,D9794,E9793)</f>
        <v/>
      </c>
      <c r="F9794">
        <f>IF(AND(B9794=1,C9794&gt;1,E9793&lt;&gt;""),ABS(D9794-E9793),"")</f>
        <v/>
      </c>
    </row>
    <row r="9795">
      <c r="A9795" t="n">
        <v>9795</v>
      </c>
      <c r="B9795">
        <f>IF(INDEX('Data Entry'!$H$5:$BE$10004,9795-4,'Visual SPC'!$B$3)="",0,IF(AND(OR('Visual SPC'!$C$4="",'Data Entry'!$C9795&gt;='Visual SPC'!$C$4),OR('Visual SPC'!$E$4="",'Data Entry'!$C9795&lt;='Visual SPC'!$E$4),OR('Visual SPC'!$G$4="",'Data Entry'!$D9795='Visual SPC'!$G$4),OR('Visual SPC'!$I$4="",'Data Entry'!$E9795='Visual SPC'!$I$4),OR('Visual SPC'!$K$4="",'Data Entry'!$F9795='Visual SPC'!$K$4)),1,0))</f>
        <v/>
      </c>
      <c r="C9795">
        <f>C9794+B9795</f>
        <v/>
      </c>
      <c r="D9795">
        <f>IF(B9795=1,INDEX('Data Entry'!$H$5:$BE$10004,9795-4,'Visual SPC'!$B$3),"")</f>
        <v/>
      </c>
      <c r="E9795">
        <f>IF(B9795=1,D9795,E9794)</f>
        <v/>
      </c>
      <c r="F9795">
        <f>IF(AND(B9795=1,C9795&gt;1,E9794&lt;&gt;""),ABS(D9795-E9794),"")</f>
        <v/>
      </c>
    </row>
    <row r="9796">
      <c r="A9796" t="n">
        <v>9796</v>
      </c>
      <c r="B9796">
        <f>IF(INDEX('Data Entry'!$H$5:$BE$10004,9796-4,'Visual SPC'!$B$3)="",0,IF(AND(OR('Visual SPC'!$C$4="",'Data Entry'!$C9796&gt;='Visual SPC'!$C$4),OR('Visual SPC'!$E$4="",'Data Entry'!$C9796&lt;='Visual SPC'!$E$4),OR('Visual SPC'!$G$4="",'Data Entry'!$D9796='Visual SPC'!$G$4),OR('Visual SPC'!$I$4="",'Data Entry'!$E9796='Visual SPC'!$I$4),OR('Visual SPC'!$K$4="",'Data Entry'!$F9796='Visual SPC'!$K$4)),1,0))</f>
        <v/>
      </c>
      <c r="C9796">
        <f>C9795+B9796</f>
        <v/>
      </c>
      <c r="D9796">
        <f>IF(B9796=1,INDEX('Data Entry'!$H$5:$BE$10004,9796-4,'Visual SPC'!$B$3),"")</f>
        <v/>
      </c>
      <c r="E9796">
        <f>IF(B9796=1,D9796,E9795)</f>
        <v/>
      </c>
      <c r="F9796">
        <f>IF(AND(B9796=1,C9796&gt;1,E9795&lt;&gt;""),ABS(D9796-E9795),"")</f>
        <v/>
      </c>
    </row>
    <row r="9797">
      <c r="A9797" t="n">
        <v>9797</v>
      </c>
      <c r="B9797">
        <f>IF(INDEX('Data Entry'!$H$5:$BE$10004,9797-4,'Visual SPC'!$B$3)="",0,IF(AND(OR('Visual SPC'!$C$4="",'Data Entry'!$C9797&gt;='Visual SPC'!$C$4),OR('Visual SPC'!$E$4="",'Data Entry'!$C9797&lt;='Visual SPC'!$E$4),OR('Visual SPC'!$G$4="",'Data Entry'!$D9797='Visual SPC'!$G$4),OR('Visual SPC'!$I$4="",'Data Entry'!$E9797='Visual SPC'!$I$4),OR('Visual SPC'!$K$4="",'Data Entry'!$F9797='Visual SPC'!$K$4)),1,0))</f>
        <v/>
      </c>
      <c r="C9797">
        <f>C9796+B9797</f>
        <v/>
      </c>
      <c r="D9797">
        <f>IF(B9797=1,INDEX('Data Entry'!$H$5:$BE$10004,9797-4,'Visual SPC'!$B$3),"")</f>
        <v/>
      </c>
      <c r="E9797">
        <f>IF(B9797=1,D9797,E9796)</f>
        <v/>
      </c>
      <c r="F9797">
        <f>IF(AND(B9797=1,C9797&gt;1,E9796&lt;&gt;""),ABS(D9797-E9796),"")</f>
        <v/>
      </c>
    </row>
    <row r="9798">
      <c r="A9798" t="n">
        <v>9798</v>
      </c>
      <c r="B9798">
        <f>IF(INDEX('Data Entry'!$H$5:$BE$10004,9798-4,'Visual SPC'!$B$3)="",0,IF(AND(OR('Visual SPC'!$C$4="",'Data Entry'!$C9798&gt;='Visual SPC'!$C$4),OR('Visual SPC'!$E$4="",'Data Entry'!$C9798&lt;='Visual SPC'!$E$4),OR('Visual SPC'!$G$4="",'Data Entry'!$D9798='Visual SPC'!$G$4),OR('Visual SPC'!$I$4="",'Data Entry'!$E9798='Visual SPC'!$I$4),OR('Visual SPC'!$K$4="",'Data Entry'!$F9798='Visual SPC'!$K$4)),1,0))</f>
        <v/>
      </c>
      <c r="C9798">
        <f>C9797+B9798</f>
        <v/>
      </c>
      <c r="D9798">
        <f>IF(B9798=1,INDEX('Data Entry'!$H$5:$BE$10004,9798-4,'Visual SPC'!$B$3),"")</f>
        <v/>
      </c>
      <c r="E9798">
        <f>IF(B9798=1,D9798,E9797)</f>
        <v/>
      </c>
      <c r="F9798">
        <f>IF(AND(B9798=1,C9798&gt;1,E9797&lt;&gt;""),ABS(D9798-E9797),"")</f>
        <v/>
      </c>
    </row>
    <row r="9799">
      <c r="A9799" t="n">
        <v>9799</v>
      </c>
      <c r="B9799">
        <f>IF(INDEX('Data Entry'!$H$5:$BE$10004,9799-4,'Visual SPC'!$B$3)="",0,IF(AND(OR('Visual SPC'!$C$4="",'Data Entry'!$C9799&gt;='Visual SPC'!$C$4),OR('Visual SPC'!$E$4="",'Data Entry'!$C9799&lt;='Visual SPC'!$E$4),OR('Visual SPC'!$G$4="",'Data Entry'!$D9799='Visual SPC'!$G$4),OR('Visual SPC'!$I$4="",'Data Entry'!$E9799='Visual SPC'!$I$4),OR('Visual SPC'!$K$4="",'Data Entry'!$F9799='Visual SPC'!$K$4)),1,0))</f>
        <v/>
      </c>
      <c r="C9799">
        <f>C9798+B9799</f>
        <v/>
      </c>
      <c r="D9799">
        <f>IF(B9799=1,INDEX('Data Entry'!$H$5:$BE$10004,9799-4,'Visual SPC'!$B$3),"")</f>
        <v/>
      </c>
      <c r="E9799">
        <f>IF(B9799=1,D9799,E9798)</f>
        <v/>
      </c>
      <c r="F9799">
        <f>IF(AND(B9799=1,C9799&gt;1,E9798&lt;&gt;""),ABS(D9799-E9798),"")</f>
        <v/>
      </c>
    </row>
    <row r="9800">
      <c r="A9800" t="n">
        <v>9800</v>
      </c>
      <c r="B9800">
        <f>IF(INDEX('Data Entry'!$H$5:$BE$10004,9800-4,'Visual SPC'!$B$3)="",0,IF(AND(OR('Visual SPC'!$C$4="",'Data Entry'!$C9800&gt;='Visual SPC'!$C$4),OR('Visual SPC'!$E$4="",'Data Entry'!$C9800&lt;='Visual SPC'!$E$4),OR('Visual SPC'!$G$4="",'Data Entry'!$D9800='Visual SPC'!$G$4),OR('Visual SPC'!$I$4="",'Data Entry'!$E9800='Visual SPC'!$I$4),OR('Visual SPC'!$K$4="",'Data Entry'!$F9800='Visual SPC'!$K$4)),1,0))</f>
        <v/>
      </c>
      <c r="C9800">
        <f>C9799+B9800</f>
        <v/>
      </c>
      <c r="D9800">
        <f>IF(B9800=1,INDEX('Data Entry'!$H$5:$BE$10004,9800-4,'Visual SPC'!$B$3),"")</f>
        <v/>
      </c>
      <c r="E9800">
        <f>IF(B9800=1,D9800,E9799)</f>
        <v/>
      </c>
      <c r="F9800">
        <f>IF(AND(B9800=1,C9800&gt;1,E9799&lt;&gt;""),ABS(D9800-E9799),"")</f>
        <v/>
      </c>
    </row>
    <row r="9801">
      <c r="A9801" t="n">
        <v>9801</v>
      </c>
      <c r="B9801">
        <f>IF(INDEX('Data Entry'!$H$5:$BE$10004,9801-4,'Visual SPC'!$B$3)="",0,IF(AND(OR('Visual SPC'!$C$4="",'Data Entry'!$C9801&gt;='Visual SPC'!$C$4),OR('Visual SPC'!$E$4="",'Data Entry'!$C9801&lt;='Visual SPC'!$E$4),OR('Visual SPC'!$G$4="",'Data Entry'!$D9801='Visual SPC'!$G$4),OR('Visual SPC'!$I$4="",'Data Entry'!$E9801='Visual SPC'!$I$4),OR('Visual SPC'!$K$4="",'Data Entry'!$F9801='Visual SPC'!$K$4)),1,0))</f>
        <v/>
      </c>
      <c r="C9801">
        <f>C9800+B9801</f>
        <v/>
      </c>
      <c r="D9801">
        <f>IF(B9801=1,INDEX('Data Entry'!$H$5:$BE$10004,9801-4,'Visual SPC'!$B$3),"")</f>
        <v/>
      </c>
      <c r="E9801">
        <f>IF(B9801=1,D9801,E9800)</f>
        <v/>
      </c>
      <c r="F9801">
        <f>IF(AND(B9801=1,C9801&gt;1,E9800&lt;&gt;""),ABS(D9801-E9800),"")</f>
        <v/>
      </c>
    </row>
    <row r="9802">
      <c r="A9802" t="n">
        <v>9802</v>
      </c>
      <c r="B9802">
        <f>IF(INDEX('Data Entry'!$H$5:$BE$10004,9802-4,'Visual SPC'!$B$3)="",0,IF(AND(OR('Visual SPC'!$C$4="",'Data Entry'!$C9802&gt;='Visual SPC'!$C$4),OR('Visual SPC'!$E$4="",'Data Entry'!$C9802&lt;='Visual SPC'!$E$4),OR('Visual SPC'!$G$4="",'Data Entry'!$D9802='Visual SPC'!$G$4),OR('Visual SPC'!$I$4="",'Data Entry'!$E9802='Visual SPC'!$I$4),OR('Visual SPC'!$K$4="",'Data Entry'!$F9802='Visual SPC'!$K$4)),1,0))</f>
        <v/>
      </c>
      <c r="C9802">
        <f>C9801+B9802</f>
        <v/>
      </c>
      <c r="D9802">
        <f>IF(B9802=1,INDEX('Data Entry'!$H$5:$BE$10004,9802-4,'Visual SPC'!$B$3),"")</f>
        <v/>
      </c>
      <c r="E9802">
        <f>IF(B9802=1,D9802,E9801)</f>
        <v/>
      </c>
      <c r="F9802">
        <f>IF(AND(B9802=1,C9802&gt;1,E9801&lt;&gt;""),ABS(D9802-E9801),"")</f>
        <v/>
      </c>
    </row>
    <row r="9803">
      <c r="A9803" t="n">
        <v>9803</v>
      </c>
      <c r="B9803">
        <f>IF(INDEX('Data Entry'!$H$5:$BE$10004,9803-4,'Visual SPC'!$B$3)="",0,IF(AND(OR('Visual SPC'!$C$4="",'Data Entry'!$C9803&gt;='Visual SPC'!$C$4),OR('Visual SPC'!$E$4="",'Data Entry'!$C9803&lt;='Visual SPC'!$E$4),OR('Visual SPC'!$G$4="",'Data Entry'!$D9803='Visual SPC'!$G$4),OR('Visual SPC'!$I$4="",'Data Entry'!$E9803='Visual SPC'!$I$4),OR('Visual SPC'!$K$4="",'Data Entry'!$F9803='Visual SPC'!$K$4)),1,0))</f>
        <v/>
      </c>
      <c r="C9803">
        <f>C9802+B9803</f>
        <v/>
      </c>
      <c r="D9803">
        <f>IF(B9803=1,INDEX('Data Entry'!$H$5:$BE$10004,9803-4,'Visual SPC'!$B$3),"")</f>
        <v/>
      </c>
      <c r="E9803">
        <f>IF(B9803=1,D9803,E9802)</f>
        <v/>
      </c>
      <c r="F9803">
        <f>IF(AND(B9803=1,C9803&gt;1,E9802&lt;&gt;""),ABS(D9803-E9802),"")</f>
        <v/>
      </c>
    </row>
    <row r="9804">
      <c r="A9804" t="n">
        <v>9804</v>
      </c>
      <c r="B9804">
        <f>IF(INDEX('Data Entry'!$H$5:$BE$10004,9804-4,'Visual SPC'!$B$3)="",0,IF(AND(OR('Visual SPC'!$C$4="",'Data Entry'!$C9804&gt;='Visual SPC'!$C$4),OR('Visual SPC'!$E$4="",'Data Entry'!$C9804&lt;='Visual SPC'!$E$4),OR('Visual SPC'!$G$4="",'Data Entry'!$D9804='Visual SPC'!$G$4),OR('Visual SPC'!$I$4="",'Data Entry'!$E9804='Visual SPC'!$I$4),OR('Visual SPC'!$K$4="",'Data Entry'!$F9804='Visual SPC'!$K$4)),1,0))</f>
        <v/>
      </c>
      <c r="C9804">
        <f>C9803+B9804</f>
        <v/>
      </c>
      <c r="D9804">
        <f>IF(B9804=1,INDEX('Data Entry'!$H$5:$BE$10004,9804-4,'Visual SPC'!$B$3),"")</f>
        <v/>
      </c>
      <c r="E9804">
        <f>IF(B9804=1,D9804,E9803)</f>
        <v/>
      </c>
      <c r="F9804">
        <f>IF(AND(B9804=1,C9804&gt;1,E9803&lt;&gt;""),ABS(D9804-E9803),"")</f>
        <v/>
      </c>
    </row>
    <row r="9805">
      <c r="A9805" t="n">
        <v>9805</v>
      </c>
      <c r="B9805">
        <f>IF(INDEX('Data Entry'!$H$5:$BE$10004,9805-4,'Visual SPC'!$B$3)="",0,IF(AND(OR('Visual SPC'!$C$4="",'Data Entry'!$C9805&gt;='Visual SPC'!$C$4),OR('Visual SPC'!$E$4="",'Data Entry'!$C9805&lt;='Visual SPC'!$E$4),OR('Visual SPC'!$G$4="",'Data Entry'!$D9805='Visual SPC'!$G$4),OR('Visual SPC'!$I$4="",'Data Entry'!$E9805='Visual SPC'!$I$4),OR('Visual SPC'!$K$4="",'Data Entry'!$F9805='Visual SPC'!$K$4)),1,0))</f>
        <v/>
      </c>
      <c r="C9805">
        <f>C9804+B9805</f>
        <v/>
      </c>
      <c r="D9805">
        <f>IF(B9805=1,INDEX('Data Entry'!$H$5:$BE$10004,9805-4,'Visual SPC'!$B$3),"")</f>
        <v/>
      </c>
      <c r="E9805">
        <f>IF(B9805=1,D9805,E9804)</f>
        <v/>
      </c>
      <c r="F9805">
        <f>IF(AND(B9805=1,C9805&gt;1,E9804&lt;&gt;""),ABS(D9805-E9804),"")</f>
        <v/>
      </c>
    </row>
    <row r="9806">
      <c r="A9806" t="n">
        <v>9806</v>
      </c>
      <c r="B9806">
        <f>IF(INDEX('Data Entry'!$H$5:$BE$10004,9806-4,'Visual SPC'!$B$3)="",0,IF(AND(OR('Visual SPC'!$C$4="",'Data Entry'!$C9806&gt;='Visual SPC'!$C$4),OR('Visual SPC'!$E$4="",'Data Entry'!$C9806&lt;='Visual SPC'!$E$4),OR('Visual SPC'!$G$4="",'Data Entry'!$D9806='Visual SPC'!$G$4),OR('Visual SPC'!$I$4="",'Data Entry'!$E9806='Visual SPC'!$I$4),OR('Visual SPC'!$K$4="",'Data Entry'!$F9806='Visual SPC'!$K$4)),1,0))</f>
        <v/>
      </c>
      <c r="C9806">
        <f>C9805+B9806</f>
        <v/>
      </c>
      <c r="D9806">
        <f>IF(B9806=1,INDEX('Data Entry'!$H$5:$BE$10004,9806-4,'Visual SPC'!$B$3),"")</f>
        <v/>
      </c>
      <c r="E9806">
        <f>IF(B9806=1,D9806,E9805)</f>
        <v/>
      </c>
      <c r="F9806">
        <f>IF(AND(B9806=1,C9806&gt;1,E9805&lt;&gt;""),ABS(D9806-E9805),"")</f>
        <v/>
      </c>
    </row>
    <row r="9807">
      <c r="A9807" t="n">
        <v>9807</v>
      </c>
      <c r="B9807">
        <f>IF(INDEX('Data Entry'!$H$5:$BE$10004,9807-4,'Visual SPC'!$B$3)="",0,IF(AND(OR('Visual SPC'!$C$4="",'Data Entry'!$C9807&gt;='Visual SPC'!$C$4),OR('Visual SPC'!$E$4="",'Data Entry'!$C9807&lt;='Visual SPC'!$E$4),OR('Visual SPC'!$G$4="",'Data Entry'!$D9807='Visual SPC'!$G$4),OR('Visual SPC'!$I$4="",'Data Entry'!$E9807='Visual SPC'!$I$4),OR('Visual SPC'!$K$4="",'Data Entry'!$F9807='Visual SPC'!$K$4)),1,0))</f>
        <v/>
      </c>
      <c r="C9807">
        <f>C9806+B9807</f>
        <v/>
      </c>
      <c r="D9807">
        <f>IF(B9807=1,INDEX('Data Entry'!$H$5:$BE$10004,9807-4,'Visual SPC'!$B$3),"")</f>
        <v/>
      </c>
      <c r="E9807">
        <f>IF(B9807=1,D9807,E9806)</f>
        <v/>
      </c>
      <c r="F9807">
        <f>IF(AND(B9807=1,C9807&gt;1,E9806&lt;&gt;""),ABS(D9807-E9806),"")</f>
        <v/>
      </c>
    </row>
    <row r="9808">
      <c r="A9808" t="n">
        <v>9808</v>
      </c>
      <c r="B9808">
        <f>IF(INDEX('Data Entry'!$H$5:$BE$10004,9808-4,'Visual SPC'!$B$3)="",0,IF(AND(OR('Visual SPC'!$C$4="",'Data Entry'!$C9808&gt;='Visual SPC'!$C$4),OR('Visual SPC'!$E$4="",'Data Entry'!$C9808&lt;='Visual SPC'!$E$4),OR('Visual SPC'!$G$4="",'Data Entry'!$D9808='Visual SPC'!$G$4),OR('Visual SPC'!$I$4="",'Data Entry'!$E9808='Visual SPC'!$I$4),OR('Visual SPC'!$K$4="",'Data Entry'!$F9808='Visual SPC'!$K$4)),1,0))</f>
        <v/>
      </c>
      <c r="C9808">
        <f>C9807+B9808</f>
        <v/>
      </c>
      <c r="D9808">
        <f>IF(B9808=1,INDEX('Data Entry'!$H$5:$BE$10004,9808-4,'Visual SPC'!$B$3),"")</f>
        <v/>
      </c>
      <c r="E9808">
        <f>IF(B9808=1,D9808,E9807)</f>
        <v/>
      </c>
      <c r="F9808">
        <f>IF(AND(B9808=1,C9808&gt;1,E9807&lt;&gt;""),ABS(D9808-E9807),"")</f>
        <v/>
      </c>
    </row>
    <row r="9809">
      <c r="A9809" t="n">
        <v>9809</v>
      </c>
      <c r="B9809">
        <f>IF(INDEX('Data Entry'!$H$5:$BE$10004,9809-4,'Visual SPC'!$B$3)="",0,IF(AND(OR('Visual SPC'!$C$4="",'Data Entry'!$C9809&gt;='Visual SPC'!$C$4),OR('Visual SPC'!$E$4="",'Data Entry'!$C9809&lt;='Visual SPC'!$E$4),OR('Visual SPC'!$G$4="",'Data Entry'!$D9809='Visual SPC'!$G$4),OR('Visual SPC'!$I$4="",'Data Entry'!$E9809='Visual SPC'!$I$4),OR('Visual SPC'!$K$4="",'Data Entry'!$F9809='Visual SPC'!$K$4)),1,0))</f>
        <v/>
      </c>
      <c r="C9809">
        <f>C9808+B9809</f>
        <v/>
      </c>
      <c r="D9809">
        <f>IF(B9809=1,INDEX('Data Entry'!$H$5:$BE$10004,9809-4,'Visual SPC'!$B$3),"")</f>
        <v/>
      </c>
      <c r="E9809">
        <f>IF(B9809=1,D9809,E9808)</f>
        <v/>
      </c>
      <c r="F9809">
        <f>IF(AND(B9809=1,C9809&gt;1,E9808&lt;&gt;""),ABS(D9809-E9808),"")</f>
        <v/>
      </c>
    </row>
    <row r="9810">
      <c r="A9810" t="n">
        <v>9810</v>
      </c>
      <c r="B9810">
        <f>IF(INDEX('Data Entry'!$H$5:$BE$10004,9810-4,'Visual SPC'!$B$3)="",0,IF(AND(OR('Visual SPC'!$C$4="",'Data Entry'!$C9810&gt;='Visual SPC'!$C$4),OR('Visual SPC'!$E$4="",'Data Entry'!$C9810&lt;='Visual SPC'!$E$4),OR('Visual SPC'!$G$4="",'Data Entry'!$D9810='Visual SPC'!$G$4),OR('Visual SPC'!$I$4="",'Data Entry'!$E9810='Visual SPC'!$I$4),OR('Visual SPC'!$K$4="",'Data Entry'!$F9810='Visual SPC'!$K$4)),1,0))</f>
        <v/>
      </c>
      <c r="C9810">
        <f>C9809+B9810</f>
        <v/>
      </c>
      <c r="D9810">
        <f>IF(B9810=1,INDEX('Data Entry'!$H$5:$BE$10004,9810-4,'Visual SPC'!$B$3),"")</f>
        <v/>
      </c>
      <c r="E9810">
        <f>IF(B9810=1,D9810,E9809)</f>
        <v/>
      </c>
      <c r="F9810">
        <f>IF(AND(B9810=1,C9810&gt;1,E9809&lt;&gt;""),ABS(D9810-E9809),"")</f>
        <v/>
      </c>
    </row>
    <row r="9811">
      <c r="A9811" t="n">
        <v>9811</v>
      </c>
      <c r="B9811">
        <f>IF(INDEX('Data Entry'!$H$5:$BE$10004,9811-4,'Visual SPC'!$B$3)="",0,IF(AND(OR('Visual SPC'!$C$4="",'Data Entry'!$C9811&gt;='Visual SPC'!$C$4),OR('Visual SPC'!$E$4="",'Data Entry'!$C9811&lt;='Visual SPC'!$E$4),OR('Visual SPC'!$G$4="",'Data Entry'!$D9811='Visual SPC'!$G$4),OR('Visual SPC'!$I$4="",'Data Entry'!$E9811='Visual SPC'!$I$4),OR('Visual SPC'!$K$4="",'Data Entry'!$F9811='Visual SPC'!$K$4)),1,0))</f>
        <v/>
      </c>
      <c r="C9811">
        <f>C9810+B9811</f>
        <v/>
      </c>
      <c r="D9811">
        <f>IF(B9811=1,INDEX('Data Entry'!$H$5:$BE$10004,9811-4,'Visual SPC'!$B$3),"")</f>
        <v/>
      </c>
      <c r="E9811">
        <f>IF(B9811=1,D9811,E9810)</f>
        <v/>
      </c>
      <c r="F9811">
        <f>IF(AND(B9811=1,C9811&gt;1,E9810&lt;&gt;""),ABS(D9811-E9810),"")</f>
        <v/>
      </c>
    </row>
    <row r="9812">
      <c r="A9812" t="n">
        <v>9812</v>
      </c>
      <c r="B9812">
        <f>IF(INDEX('Data Entry'!$H$5:$BE$10004,9812-4,'Visual SPC'!$B$3)="",0,IF(AND(OR('Visual SPC'!$C$4="",'Data Entry'!$C9812&gt;='Visual SPC'!$C$4),OR('Visual SPC'!$E$4="",'Data Entry'!$C9812&lt;='Visual SPC'!$E$4),OR('Visual SPC'!$G$4="",'Data Entry'!$D9812='Visual SPC'!$G$4),OR('Visual SPC'!$I$4="",'Data Entry'!$E9812='Visual SPC'!$I$4),OR('Visual SPC'!$K$4="",'Data Entry'!$F9812='Visual SPC'!$K$4)),1,0))</f>
        <v/>
      </c>
      <c r="C9812">
        <f>C9811+B9812</f>
        <v/>
      </c>
      <c r="D9812">
        <f>IF(B9812=1,INDEX('Data Entry'!$H$5:$BE$10004,9812-4,'Visual SPC'!$B$3),"")</f>
        <v/>
      </c>
      <c r="E9812">
        <f>IF(B9812=1,D9812,E9811)</f>
        <v/>
      </c>
      <c r="F9812">
        <f>IF(AND(B9812=1,C9812&gt;1,E9811&lt;&gt;""),ABS(D9812-E9811),"")</f>
        <v/>
      </c>
    </row>
    <row r="9813">
      <c r="A9813" t="n">
        <v>9813</v>
      </c>
      <c r="B9813">
        <f>IF(INDEX('Data Entry'!$H$5:$BE$10004,9813-4,'Visual SPC'!$B$3)="",0,IF(AND(OR('Visual SPC'!$C$4="",'Data Entry'!$C9813&gt;='Visual SPC'!$C$4),OR('Visual SPC'!$E$4="",'Data Entry'!$C9813&lt;='Visual SPC'!$E$4),OR('Visual SPC'!$G$4="",'Data Entry'!$D9813='Visual SPC'!$G$4),OR('Visual SPC'!$I$4="",'Data Entry'!$E9813='Visual SPC'!$I$4),OR('Visual SPC'!$K$4="",'Data Entry'!$F9813='Visual SPC'!$K$4)),1,0))</f>
        <v/>
      </c>
      <c r="C9813">
        <f>C9812+B9813</f>
        <v/>
      </c>
      <c r="D9813">
        <f>IF(B9813=1,INDEX('Data Entry'!$H$5:$BE$10004,9813-4,'Visual SPC'!$B$3),"")</f>
        <v/>
      </c>
      <c r="E9813">
        <f>IF(B9813=1,D9813,E9812)</f>
        <v/>
      </c>
      <c r="F9813">
        <f>IF(AND(B9813=1,C9813&gt;1,E9812&lt;&gt;""),ABS(D9813-E9812),"")</f>
        <v/>
      </c>
    </row>
    <row r="9814">
      <c r="A9814" t="n">
        <v>9814</v>
      </c>
      <c r="B9814">
        <f>IF(INDEX('Data Entry'!$H$5:$BE$10004,9814-4,'Visual SPC'!$B$3)="",0,IF(AND(OR('Visual SPC'!$C$4="",'Data Entry'!$C9814&gt;='Visual SPC'!$C$4),OR('Visual SPC'!$E$4="",'Data Entry'!$C9814&lt;='Visual SPC'!$E$4),OR('Visual SPC'!$G$4="",'Data Entry'!$D9814='Visual SPC'!$G$4),OR('Visual SPC'!$I$4="",'Data Entry'!$E9814='Visual SPC'!$I$4),OR('Visual SPC'!$K$4="",'Data Entry'!$F9814='Visual SPC'!$K$4)),1,0))</f>
        <v/>
      </c>
      <c r="C9814">
        <f>C9813+B9814</f>
        <v/>
      </c>
      <c r="D9814">
        <f>IF(B9814=1,INDEX('Data Entry'!$H$5:$BE$10004,9814-4,'Visual SPC'!$B$3),"")</f>
        <v/>
      </c>
      <c r="E9814">
        <f>IF(B9814=1,D9814,E9813)</f>
        <v/>
      </c>
      <c r="F9814">
        <f>IF(AND(B9814=1,C9814&gt;1,E9813&lt;&gt;""),ABS(D9814-E9813),"")</f>
        <v/>
      </c>
    </row>
    <row r="9815">
      <c r="A9815" t="n">
        <v>9815</v>
      </c>
      <c r="B9815">
        <f>IF(INDEX('Data Entry'!$H$5:$BE$10004,9815-4,'Visual SPC'!$B$3)="",0,IF(AND(OR('Visual SPC'!$C$4="",'Data Entry'!$C9815&gt;='Visual SPC'!$C$4),OR('Visual SPC'!$E$4="",'Data Entry'!$C9815&lt;='Visual SPC'!$E$4),OR('Visual SPC'!$G$4="",'Data Entry'!$D9815='Visual SPC'!$G$4),OR('Visual SPC'!$I$4="",'Data Entry'!$E9815='Visual SPC'!$I$4),OR('Visual SPC'!$K$4="",'Data Entry'!$F9815='Visual SPC'!$K$4)),1,0))</f>
        <v/>
      </c>
      <c r="C9815">
        <f>C9814+B9815</f>
        <v/>
      </c>
      <c r="D9815">
        <f>IF(B9815=1,INDEX('Data Entry'!$H$5:$BE$10004,9815-4,'Visual SPC'!$B$3),"")</f>
        <v/>
      </c>
      <c r="E9815">
        <f>IF(B9815=1,D9815,E9814)</f>
        <v/>
      </c>
      <c r="F9815">
        <f>IF(AND(B9815=1,C9815&gt;1,E9814&lt;&gt;""),ABS(D9815-E9814),"")</f>
        <v/>
      </c>
    </row>
    <row r="9816">
      <c r="A9816" t="n">
        <v>9816</v>
      </c>
      <c r="B9816">
        <f>IF(INDEX('Data Entry'!$H$5:$BE$10004,9816-4,'Visual SPC'!$B$3)="",0,IF(AND(OR('Visual SPC'!$C$4="",'Data Entry'!$C9816&gt;='Visual SPC'!$C$4),OR('Visual SPC'!$E$4="",'Data Entry'!$C9816&lt;='Visual SPC'!$E$4),OR('Visual SPC'!$G$4="",'Data Entry'!$D9816='Visual SPC'!$G$4),OR('Visual SPC'!$I$4="",'Data Entry'!$E9816='Visual SPC'!$I$4),OR('Visual SPC'!$K$4="",'Data Entry'!$F9816='Visual SPC'!$K$4)),1,0))</f>
        <v/>
      </c>
      <c r="C9816">
        <f>C9815+B9816</f>
        <v/>
      </c>
      <c r="D9816">
        <f>IF(B9816=1,INDEX('Data Entry'!$H$5:$BE$10004,9816-4,'Visual SPC'!$B$3),"")</f>
        <v/>
      </c>
      <c r="E9816">
        <f>IF(B9816=1,D9816,E9815)</f>
        <v/>
      </c>
      <c r="F9816">
        <f>IF(AND(B9816=1,C9816&gt;1,E9815&lt;&gt;""),ABS(D9816-E9815),"")</f>
        <v/>
      </c>
    </row>
    <row r="9817">
      <c r="A9817" t="n">
        <v>9817</v>
      </c>
      <c r="B9817">
        <f>IF(INDEX('Data Entry'!$H$5:$BE$10004,9817-4,'Visual SPC'!$B$3)="",0,IF(AND(OR('Visual SPC'!$C$4="",'Data Entry'!$C9817&gt;='Visual SPC'!$C$4),OR('Visual SPC'!$E$4="",'Data Entry'!$C9817&lt;='Visual SPC'!$E$4),OR('Visual SPC'!$G$4="",'Data Entry'!$D9817='Visual SPC'!$G$4),OR('Visual SPC'!$I$4="",'Data Entry'!$E9817='Visual SPC'!$I$4),OR('Visual SPC'!$K$4="",'Data Entry'!$F9817='Visual SPC'!$K$4)),1,0))</f>
        <v/>
      </c>
      <c r="C9817">
        <f>C9816+B9817</f>
        <v/>
      </c>
      <c r="D9817">
        <f>IF(B9817=1,INDEX('Data Entry'!$H$5:$BE$10004,9817-4,'Visual SPC'!$B$3),"")</f>
        <v/>
      </c>
      <c r="E9817">
        <f>IF(B9817=1,D9817,E9816)</f>
        <v/>
      </c>
      <c r="F9817">
        <f>IF(AND(B9817=1,C9817&gt;1,E9816&lt;&gt;""),ABS(D9817-E9816),"")</f>
        <v/>
      </c>
    </row>
    <row r="9818">
      <c r="A9818" t="n">
        <v>9818</v>
      </c>
      <c r="B9818">
        <f>IF(INDEX('Data Entry'!$H$5:$BE$10004,9818-4,'Visual SPC'!$B$3)="",0,IF(AND(OR('Visual SPC'!$C$4="",'Data Entry'!$C9818&gt;='Visual SPC'!$C$4),OR('Visual SPC'!$E$4="",'Data Entry'!$C9818&lt;='Visual SPC'!$E$4),OR('Visual SPC'!$G$4="",'Data Entry'!$D9818='Visual SPC'!$G$4),OR('Visual SPC'!$I$4="",'Data Entry'!$E9818='Visual SPC'!$I$4),OR('Visual SPC'!$K$4="",'Data Entry'!$F9818='Visual SPC'!$K$4)),1,0))</f>
        <v/>
      </c>
      <c r="C9818">
        <f>C9817+B9818</f>
        <v/>
      </c>
      <c r="D9818">
        <f>IF(B9818=1,INDEX('Data Entry'!$H$5:$BE$10004,9818-4,'Visual SPC'!$B$3),"")</f>
        <v/>
      </c>
      <c r="E9818">
        <f>IF(B9818=1,D9818,E9817)</f>
        <v/>
      </c>
      <c r="F9818">
        <f>IF(AND(B9818=1,C9818&gt;1,E9817&lt;&gt;""),ABS(D9818-E9817),"")</f>
        <v/>
      </c>
    </row>
    <row r="9819">
      <c r="A9819" t="n">
        <v>9819</v>
      </c>
      <c r="B9819">
        <f>IF(INDEX('Data Entry'!$H$5:$BE$10004,9819-4,'Visual SPC'!$B$3)="",0,IF(AND(OR('Visual SPC'!$C$4="",'Data Entry'!$C9819&gt;='Visual SPC'!$C$4),OR('Visual SPC'!$E$4="",'Data Entry'!$C9819&lt;='Visual SPC'!$E$4),OR('Visual SPC'!$G$4="",'Data Entry'!$D9819='Visual SPC'!$G$4),OR('Visual SPC'!$I$4="",'Data Entry'!$E9819='Visual SPC'!$I$4),OR('Visual SPC'!$K$4="",'Data Entry'!$F9819='Visual SPC'!$K$4)),1,0))</f>
        <v/>
      </c>
      <c r="C9819">
        <f>C9818+B9819</f>
        <v/>
      </c>
      <c r="D9819">
        <f>IF(B9819=1,INDEX('Data Entry'!$H$5:$BE$10004,9819-4,'Visual SPC'!$B$3),"")</f>
        <v/>
      </c>
      <c r="E9819">
        <f>IF(B9819=1,D9819,E9818)</f>
        <v/>
      </c>
      <c r="F9819">
        <f>IF(AND(B9819=1,C9819&gt;1,E9818&lt;&gt;""),ABS(D9819-E9818),"")</f>
        <v/>
      </c>
    </row>
    <row r="9820">
      <c r="A9820" t="n">
        <v>9820</v>
      </c>
      <c r="B9820">
        <f>IF(INDEX('Data Entry'!$H$5:$BE$10004,9820-4,'Visual SPC'!$B$3)="",0,IF(AND(OR('Visual SPC'!$C$4="",'Data Entry'!$C9820&gt;='Visual SPC'!$C$4),OR('Visual SPC'!$E$4="",'Data Entry'!$C9820&lt;='Visual SPC'!$E$4),OR('Visual SPC'!$G$4="",'Data Entry'!$D9820='Visual SPC'!$G$4),OR('Visual SPC'!$I$4="",'Data Entry'!$E9820='Visual SPC'!$I$4),OR('Visual SPC'!$K$4="",'Data Entry'!$F9820='Visual SPC'!$K$4)),1,0))</f>
        <v/>
      </c>
      <c r="C9820">
        <f>C9819+B9820</f>
        <v/>
      </c>
      <c r="D9820">
        <f>IF(B9820=1,INDEX('Data Entry'!$H$5:$BE$10004,9820-4,'Visual SPC'!$B$3),"")</f>
        <v/>
      </c>
      <c r="E9820">
        <f>IF(B9820=1,D9820,E9819)</f>
        <v/>
      </c>
      <c r="F9820">
        <f>IF(AND(B9820=1,C9820&gt;1,E9819&lt;&gt;""),ABS(D9820-E9819),"")</f>
        <v/>
      </c>
    </row>
    <row r="9821">
      <c r="A9821" t="n">
        <v>9821</v>
      </c>
      <c r="B9821">
        <f>IF(INDEX('Data Entry'!$H$5:$BE$10004,9821-4,'Visual SPC'!$B$3)="",0,IF(AND(OR('Visual SPC'!$C$4="",'Data Entry'!$C9821&gt;='Visual SPC'!$C$4),OR('Visual SPC'!$E$4="",'Data Entry'!$C9821&lt;='Visual SPC'!$E$4),OR('Visual SPC'!$G$4="",'Data Entry'!$D9821='Visual SPC'!$G$4),OR('Visual SPC'!$I$4="",'Data Entry'!$E9821='Visual SPC'!$I$4),OR('Visual SPC'!$K$4="",'Data Entry'!$F9821='Visual SPC'!$K$4)),1,0))</f>
        <v/>
      </c>
      <c r="C9821">
        <f>C9820+B9821</f>
        <v/>
      </c>
      <c r="D9821">
        <f>IF(B9821=1,INDEX('Data Entry'!$H$5:$BE$10004,9821-4,'Visual SPC'!$B$3),"")</f>
        <v/>
      </c>
      <c r="E9821">
        <f>IF(B9821=1,D9821,E9820)</f>
        <v/>
      </c>
      <c r="F9821">
        <f>IF(AND(B9821=1,C9821&gt;1,E9820&lt;&gt;""),ABS(D9821-E9820),"")</f>
        <v/>
      </c>
    </row>
    <row r="9822">
      <c r="A9822" t="n">
        <v>9822</v>
      </c>
      <c r="B9822">
        <f>IF(INDEX('Data Entry'!$H$5:$BE$10004,9822-4,'Visual SPC'!$B$3)="",0,IF(AND(OR('Visual SPC'!$C$4="",'Data Entry'!$C9822&gt;='Visual SPC'!$C$4),OR('Visual SPC'!$E$4="",'Data Entry'!$C9822&lt;='Visual SPC'!$E$4),OR('Visual SPC'!$G$4="",'Data Entry'!$D9822='Visual SPC'!$G$4),OR('Visual SPC'!$I$4="",'Data Entry'!$E9822='Visual SPC'!$I$4),OR('Visual SPC'!$K$4="",'Data Entry'!$F9822='Visual SPC'!$K$4)),1,0))</f>
        <v/>
      </c>
      <c r="C9822">
        <f>C9821+B9822</f>
        <v/>
      </c>
      <c r="D9822">
        <f>IF(B9822=1,INDEX('Data Entry'!$H$5:$BE$10004,9822-4,'Visual SPC'!$B$3),"")</f>
        <v/>
      </c>
      <c r="E9822">
        <f>IF(B9822=1,D9822,E9821)</f>
        <v/>
      </c>
      <c r="F9822">
        <f>IF(AND(B9822=1,C9822&gt;1,E9821&lt;&gt;""),ABS(D9822-E9821),"")</f>
        <v/>
      </c>
    </row>
    <row r="9823">
      <c r="A9823" t="n">
        <v>9823</v>
      </c>
      <c r="B9823">
        <f>IF(INDEX('Data Entry'!$H$5:$BE$10004,9823-4,'Visual SPC'!$B$3)="",0,IF(AND(OR('Visual SPC'!$C$4="",'Data Entry'!$C9823&gt;='Visual SPC'!$C$4),OR('Visual SPC'!$E$4="",'Data Entry'!$C9823&lt;='Visual SPC'!$E$4),OR('Visual SPC'!$G$4="",'Data Entry'!$D9823='Visual SPC'!$G$4),OR('Visual SPC'!$I$4="",'Data Entry'!$E9823='Visual SPC'!$I$4),OR('Visual SPC'!$K$4="",'Data Entry'!$F9823='Visual SPC'!$K$4)),1,0))</f>
        <v/>
      </c>
      <c r="C9823">
        <f>C9822+B9823</f>
        <v/>
      </c>
      <c r="D9823">
        <f>IF(B9823=1,INDEX('Data Entry'!$H$5:$BE$10004,9823-4,'Visual SPC'!$B$3),"")</f>
        <v/>
      </c>
      <c r="E9823">
        <f>IF(B9823=1,D9823,E9822)</f>
        <v/>
      </c>
      <c r="F9823">
        <f>IF(AND(B9823=1,C9823&gt;1,E9822&lt;&gt;""),ABS(D9823-E9822),"")</f>
        <v/>
      </c>
    </row>
    <row r="9824">
      <c r="A9824" t="n">
        <v>9824</v>
      </c>
      <c r="B9824">
        <f>IF(INDEX('Data Entry'!$H$5:$BE$10004,9824-4,'Visual SPC'!$B$3)="",0,IF(AND(OR('Visual SPC'!$C$4="",'Data Entry'!$C9824&gt;='Visual SPC'!$C$4),OR('Visual SPC'!$E$4="",'Data Entry'!$C9824&lt;='Visual SPC'!$E$4),OR('Visual SPC'!$G$4="",'Data Entry'!$D9824='Visual SPC'!$G$4),OR('Visual SPC'!$I$4="",'Data Entry'!$E9824='Visual SPC'!$I$4),OR('Visual SPC'!$K$4="",'Data Entry'!$F9824='Visual SPC'!$K$4)),1,0))</f>
        <v/>
      </c>
      <c r="C9824">
        <f>C9823+B9824</f>
        <v/>
      </c>
      <c r="D9824">
        <f>IF(B9824=1,INDEX('Data Entry'!$H$5:$BE$10004,9824-4,'Visual SPC'!$B$3),"")</f>
        <v/>
      </c>
      <c r="E9824">
        <f>IF(B9824=1,D9824,E9823)</f>
        <v/>
      </c>
      <c r="F9824">
        <f>IF(AND(B9824=1,C9824&gt;1,E9823&lt;&gt;""),ABS(D9824-E9823),"")</f>
        <v/>
      </c>
    </row>
    <row r="9825">
      <c r="A9825" t="n">
        <v>9825</v>
      </c>
      <c r="B9825">
        <f>IF(INDEX('Data Entry'!$H$5:$BE$10004,9825-4,'Visual SPC'!$B$3)="",0,IF(AND(OR('Visual SPC'!$C$4="",'Data Entry'!$C9825&gt;='Visual SPC'!$C$4),OR('Visual SPC'!$E$4="",'Data Entry'!$C9825&lt;='Visual SPC'!$E$4),OR('Visual SPC'!$G$4="",'Data Entry'!$D9825='Visual SPC'!$G$4),OR('Visual SPC'!$I$4="",'Data Entry'!$E9825='Visual SPC'!$I$4),OR('Visual SPC'!$K$4="",'Data Entry'!$F9825='Visual SPC'!$K$4)),1,0))</f>
        <v/>
      </c>
      <c r="C9825">
        <f>C9824+B9825</f>
        <v/>
      </c>
      <c r="D9825">
        <f>IF(B9825=1,INDEX('Data Entry'!$H$5:$BE$10004,9825-4,'Visual SPC'!$B$3),"")</f>
        <v/>
      </c>
      <c r="E9825">
        <f>IF(B9825=1,D9825,E9824)</f>
        <v/>
      </c>
      <c r="F9825">
        <f>IF(AND(B9825=1,C9825&gt;1,E9824&lt;&gt;""),ABS(D9825-E9824),"")</f>
        <v/>
      </c>
    </row>
    <row r="9826">
      <c r="A9826" t="n">
        <v>9826</v>
      </c>
      <c r="B9826">
        <f>IF(INDEX('Data Entry'!$H$5:$BE$10004,9826-4,'Visual SPC'!$B$3)="",0,IF(AND(OR('Visual SPC'!$C$4="",'Data Entry'!$C9826&gt;='Visual SPC'!$C$4),OR('Visual SPC'!$E$4="",'Data Entry'!$C9826&lt;='Visual SPC'!$E$4),OR('Visual SPC'!$G$4="",'Data Entry'!$D9826='Visual SPC'!$G$4),OR('Visual SPC'!$I$4="",'Data Entry'!$E9826='Visual SPC'!$I$4),OR('Visual SPC'!$K$4="",'Data Entry'!$F9826='Visual SPC'!$K$4)),1,0))</f>
        <v/>
      </c>
      <c r="C9826">
        <f>C9825+B9826</f>
        <v/>
      </c>
      <c r="D9826">
        <f>IF(B9826=1,INDEX('Data Entry'!$H$5:$BE$10004,9826-4,'Visual SPC'!$B$3),"")</f>
        <v/>
      </c>
      <c r="E9826">
        <f>IF(B9826=1,D9826,E9825)</f>
        <v/>
      </c>
      <c r="F9826">
        <f>IF(AND(B9826=1,C9826&gt;1,E9825&lt;&gt;""),ABS(D9826-E9825),"")</f>
        <v/>
      </c>
    </row>
    <row r="9827">
      <c r="A9827" t="n">
        <v>9827</v>
      </c>
      <c r="B9827">
        <f>IF(INDEX('Data Entry'!$H$5:$BE$10004,9827-4,'Visual SPC'!$B$3)="",0,IF(AND(OR('Visual SPC'!$C$4="",'Data Entry'!$C9827&gt;='Visual SPC'!$C$4),OR('Visual SPC'!$E$4="",'Data Entry'!$C9827&lt;='Visual SPC'!$E$4),OR('Visual SPC'!$G$4="",'Data Entry'!$D9827='Visual SPC'!$G$4),OR('Visual SPC'!$I$4="",'Data Entry'!$E9827='Visual SPC'!$I$4),OR('Visual SPC'!$K$4="",'Data Entry'!$F9827='Visual SPC'!$K$4)),1,0))</f>
        <v/>
      </c>
      <c r="C9827">
        <f>C9826+B9827</f>
        <v/>
      </c>
      <c r="D9827">
        <f>IF(B9827=1,INDEX('Data Entry'!$H$5:$BE$10004,9827-4,'Visual SPC'!$B$3),"")</f>
        <v/>
      </c>
      <c r="E9827">
        <f>IF(B9827=1,D9827,E9826)</f>
        <v/>
      </c>
      <c r="F9827">
        <f>IF(AND(B9827=1,C9827&gt;1,E9826&lt;&gt;""),ABS(D9827-E9826),"")</f>
        <v/>
      </c>
    </row>
    <row r="9828">
      <c r="A9828" t="n">
        <v>9828</v>
      </c>
      <c r="B9828">
        <f>IF(INDEX('Data Entry'!$H$5:$BE$10004,9828-4,'Visual SPC'!$B$3)="",0,IF(AND(OR('Visual SPC'!$C$4="",'Data Entry'!$C9828&gt;='Visual SPC'!$C$4),OR('Visual SPC'!$E$4="",'Data Entry'!$C9828&lt;='Visual SPC'!$E$4),OR('Visual SPC'!$G$4="",'Data Entry'!$D9828='Visual SPC'!$G$4),OR('Visual SPC'!$I$4="",'Data Entry'!$E9828='Visual SPC'!$I$4),OR('Visual SPC'!$K$4="",'Data Entry'!$F9828='Visual SPC'!$K$4)),1,0))</f>
        <v/>
      </c>
      <c r="C9828">
        <f>C9827+B9828</f>
        <v/>
      </c>
      <c r="D9828">
        <f>IF(B9828=1,INDEX('Data Entry'!$H$5:$BE$10004,9828-4,'Visual SPC'!$B$3),"")</f>
        <v/>
      </c>
      <c r="E9828">
        <f>IF(B9828=1,D9828,E9827)</f>
        <v/>
      </c>
      <c r="F9828">
        <f>IF(AND(B9828=1,C9828&gt;1,E9827&lt;&gt;""),ABS(D9828-E9827),"")</f>
        <v/>
      </c>
    </row>
    <row r="9829">
      <c r="A9829" t="n">
        <v>9829</v>
      </c>
      <c r="B9829">
        <f>IF(INDEX('Data Entry'!$H$5:$BE$10004,9829-4,'Visual SPC'!$B$3)="",0,IF(AND(OR('Visual SPC'!$C$4="",'Data Entry'!$C9829&gt;='Visual SPC'!$C$4),OR('Visual SPC'!$E$4="",'Data Entry'!$C9829&lt;='Visual SPC'!$E$4),OR('Visual SPC'!$G$4="",'Data Entry'!$D9829='Visual SPC'!$G$4),OR('Visual SPC'!$I$4="",'Data Entry'!$E9829='Visual SPC'!$I$4),OR('Visual SPC'!$K$4="",'Data Entry'!$F9829='Visual SPC'!$K$4)),1,0))</f>
        <v/>
      </c>
      <c r="C9829">
        <f>C9828+B9829</f>
        <v/>
      </c>
      <c r="D9829">
        <f>IF(B9829=1,INDEX('Data Entry'!$H$5:$BE$10004,9829-4,'Visual SPC'!$B$3),"")</f>
        <v/>
      </c>
      <c r="E9829">
        <f>IF(B9829=1,D9829,E9828)</f>
        <v/>
      </c>
      <c r="F9829">
        <f>IF(AND(B9829=1,C9829&gt;1,E9828&lt;&gt;""),ABS(D9829-E9828),"")</f>
        <v/>
      </c>
    </row>
    <row r="9830">
      <c r="A9830" t="n">
        <v>9830</v>
      </c>
      <c r="B9830">
        <f>IF(INDEX('Data Entry'!$H$5:$BE$10004,9830-4,'Visual SPC'!$B$3)="",0,IF(AND(OR('Visual SPC'!$C$4="",'Data Entry'!$C9830&gt;='Visual SPC'!$C$4),OR('Visual SPC'!$E$4="",'Data Entry'!$C9830&lt;='Visual SPC'!$E$4),OR('Visual SPC'!$G$4="",'Data Entry'!$D9830='Visual SPC'!$G$4),OR('Visual SPC'!$I$4="",'Data Entry'!$E9830='Visual SPC'!$I$4),OR('Visual SPC'!$K$4="",'Data Entry'!$F9830='Visual SPC'!$K$4)),1,0))</f>
        <v/>
      </c>
      <c r="C9830">
        <f>C9829+B9830</f>
        <v/>
      </c>
      <c r="D9830">
        <f>IF(B9830=1,INDEX('Data Entry'!$H$5:$BE$10004,9830-4,'Visual SPC'!$B$3),"")</f>
        <v/>
      </c>
      <c r="E9830">
        <f>IF(B9830=1,D9830,E9829)</f>
        <v/>
      </c>
      <c r="F9830">
        <f>IF(AND(B9830=1,C9830&gt;1,E9829&lt;&gt;""),ABS(D9830-E9829),"")</f>
        <v/>
      </c>
    </row>
    <row r="9831">
      <c r="A9831" t="n">
        <v>9831</v>
      </c>
      <c r="B9831">
        <f>IF(INDEX('Data Entry'!$H$5:$BE$10004,9831-4,'Visual SPC'!$B$3)="",0,IF(AND(OR('Visual SPC'!$C$4="",'Data Entry'!$C9831&gt;='Visual SPC'!$C$4),OR('Visual SPC'!$E$4="",'Data Entry'!$C9831&lt;='Visual SPC'!$E$4),OR('Visual SPC'!$G$4="",'Data Entry'!$D9831='Visual SPC'!$G$4),OR('Visual SPC'!$I$4="",'Data Entry'!$E9831='Visual SPC'!$I$4),OR('Visual SPC'!$K$4="",'Data Entry'!$F9831='Visual SPC'!$K$4)),1,0))</f>
        <v/>
      </c>
      <c r="C9831">
        <f>C9830+B9831</f>
        <v/>
      </c>
      <c r="D9831">
        <f>IF(B9831=1,INDEX('Data Entry'!$H$5:$BE$10004,9831-4,'Visual SPC'!$B$3),"")</f>
        <v/>
      </c>
      <c r="E9831">
        <f>IF(B9831=1,D9831,E9830)</f>
        <v/>
      </c>
      <c r="F9831">
        <f>IF(AND(B9831=1,C9831&gt;1,E9830&lt;&gt;""),ABS(D9831-E9830),"")</f>
        <v/>
      </c>
    </row>
    <row r="9832">
      <c r="A9832" t="n">
        <v>9832</v>
      </c>
      <c r="B9832">
        <f>IF(INDEX('Data Entry'!$H$5:$BE$10004,9832-4,'Visual SPC'!$B$3)="",0,IF(AND(OR('Visual SPC'!$C$4="",'Data Entry'!$C9832&gt;='Visual SPC'!$C$4),OR('Visual SPC'!$E$4="",'Data Entry'!$C9832&lt;='Visual SPC'!$E$4),OR('Visual SPC'!$G$4="",'Data Entry'!$D9832='Visual SPC'!$G$4),OR('Visual SPC'!$I$4="",'Data Entry'!$E9832='Visual SPC'!$I$4),OR('Visual SPC'!$K$4="",'Data Entry'!$F9832='Visual SPC'!$K$4)),1,0))</f>
        <v/>
      </c>
      <c r="C9832">
        <f>C9831+B9832</f>
        <v/>
      </c>
      <c r="D9832">
        <f>IF(B9832=1,INDEX('Data Entry'!$H$5:$BE$10004,9832-4,'Visual SPC'!$B$3),"")</f>
        <v/>
      </c>
      <c r="E9832">
        <f>IF(B9832=1,D9832,E9831)</f>
        <v/>
      </c>
      <c r="F9832">
        <f>IF(AND(B9832=1,C9832&gt;1,E9831&lt;&gt;""),ABS(D9832-E9831),"")</f>
        <v/>
      </c>
    </row>
    <row r="9833">
      <c r="A9833" t="n">
        <v>9833</v>
      </c>
      <c r="B9833">
        <f>IF(INDEX('Data Entry'!$H$5:$BE$10004,9833-4,'Visual SPC'!$B$3)="",0,IF(AND(OR('Visual SPC'!$C$4="",'Data Entry'!$C9833&gt;='Visual SPC'!$C$4),OR('Visual SPC'!$E$4="",'Data Entry'!$C9833&lt;='Visual SPC'!$E$4),OR('Visual SPC'!$G$4="",'Data Entry'!$D9833='Visual SPC'!$G$4),OR('Visual SPC'!$I$4="",'Data Entry'!$E9833='Visual SPC'!$I$4),OR('Visual SPC'!$K$4="",'Data Entry'!$F9833='Visual SPC'!$K$4)),1,0))</f>
        <v/>
      </c>
      <c r="C9833">
        <f>C9832+B9833</f>
        <v/>
      </c>
      <c r="D9833">
        <f>IF(B9833=1,INDEX('Data Entry'!$H$5:$BE$10004,9833-4,'Visual SPC'!$B$3),"")</f>
        <v/>
      </c>
      <c r="E9833">
        <f>IF(B9833=1,D9833,E9832)</f>
        <v/>
      </c>
      <c r="F9833">
        <f>IF(AND(B9833=1,C9833&gt;1,E9832&lt;&gt;""),ABS(D9833-E9832),"")</f>
        <v/>
      </c>
    </row>
    <row r="9834">
      <c r="A9834" t="n">
        <v>9834</v>
      </c>
      <c r="B9834">
        <f>IF(INDEX('Data Entry'!$H$5:$BE$10004,9834-4,'Visual SPC'!$B$3)="",0,IF(AND(OR('Visual SPC'!$C$4="",'Data Entry'!$C9834&gt;='Visual SPC'!$C$4),OR('Visual SPC'!$E$4="",'Data Entry'!$C9834&lt;='Visual SPC'!$E$4),OR('Visual SPC'!$G$4="",'Data Entry'!$D9834='Visual SPC'!$G$4),OR('Visual SPC'!$I$4="",'Data Entry'!$E9834='Visual SPC'!$I$4),OR('Visual SPC'!$K$4="",'Data Entry'!$F9834='Visual SPC'!$K$4)),1,0))</f>
        <v/>
      </c>
      <c r="C9834">
        <f>C9833+B9834</f>
        <v/>
      </c>
      <c r="D9834">
        <f>IF(B9834=1,INDEX('Data Entry'!$H$5:$BE$10004,9834-4,'Visual SPC'!$B$3),"")</f>
        <v/>
      </c>
      <c r="E9834">
        <f>IF(B9834=1,D9834,E9833)</f>
        <v/>
      </c>
      <c r="F9834">
        <f>IF(AND(B9834=1,C9834&gt;1,E9833&lt;&gt;""),ABS(D9834-E9833),"")</f>
        <v/>
      </c>
    </row>
    <row r="9835">
      <c r="A9835" t="n">
        <v>9835</v>
      </c>
      <c r="B9835">
        <f>IF(INDEX('Data Entry'!$H$5:$BE$10004,9835-4,'Visual SPC'!$B$3)="",0,IF(AND(OR('Visual SPC'!$C$4="",'Data Entry'!$C9835&gt;='Visual SPC'!$C$4),OR('Visual SPC'!$E$4="",'Data Entry'!$C9835&lt;='Visual SPC'!$E$4),OR('Visual SPC'!$G$4="",'Data Entry'!$D9835='Visual SPC'!$G$4),OR('Visual SPC'!$I$4="",'Data Entry'!$E9835='Visual SPC'!$I$4),OR('Visual SPC'!$K$4="",'Data Entry'!$F9835='Visual SPC'!$K$4)),1,0))</f>
        <v/>
      </c>
      <c r="C9835">
        <f>C9834+B9835</f>
        <v/>
      </c>
      <c r="D9835">
        <f>IF(B9835=1,INDEX('Data Entry'!$H$5:$BE$10004,9835-4,'Visual SPC'!$B$3),"")</f>
        <v/>
      </c>
      <c r="E9835">
        <f>IF(B9835=1,D9835,E9834)</f>
        <v/>
      </c>
      <c r="F9835">
        <f>IF(AND(B9835=1,C9835&gt;1,E9834&lt;&gt;""),ABS(D9835-E9834),"")</f>
        <v/>
      </c>
    </row>
    <row r="9836">
      <c r="A9836" t="n">
        <v>9836</v>
      </c>
      <c r="B9836">
        <f>IF(INDEX('Data Entry'!$H$5:$BE$10004,9836-4,'Visual SPC'!$B$3)="",0,IF(AND(OR('Visual SPC'!$C$4="",'Data Entry'!$C9836&gt;='Visual SPC'!$C$4),OR('Visual SPC'!$E$4="",'Data Entry'!$C9836&lt;='Visual SPC'!$E$4),OR('Visual SPC'!$G$4="",'Data Entry'!$D9836='Visual SPC'!$G$4),OR('Visual SPC'!$I$4="",'Data Entry'!$E9836='Visual SPC'!$I$4),OR('Visual SPC'!$K$4="",'Data Entry'!$F9836='Visual SPC'!$K$4)),1,0))</f>
        <v/>
      </c>
      <c r="C9836">
        <f>C9835+B9836</f>
        <v/>
      </c>
      <c r="D9836">
        <f>IF(B9836=1,INDEX('Data Entry'!$H$5:$BE$10004,9836-4,'Visual SPC'!$B$3),"")</f>
        <v/>
      </c>
      <c r="E9836">
        <f>IF(B9836=1,D9836,E9835)</f>
        <v/>
      </c>
      <c r="F9836">
        <f>IF(AND(B9836=1,C9836&gt;1,E9835&lt;&gt;""),ABS(D9836-E9835),"")</f>
        <v/>
      </c>
    </row>
    <row r="9837">
      <c r="A9837" t="n">
        <v>9837</v>
      </c>
      <c r="B9837">
        <f>IF(INDEX('Data Entry'!$H$5:$BE$10004,9837-4,'Visual SPC'!$B$3)="",0,IF(AND(OR('Visual SPC'!$C$4="",'Data Entry'!$C9837&gt;='Visual SPC'!$C$4),OR('Visual SPC'!$E$4="",'Data Entry'!$C9837&lt;='Visual SPC'!$E$4),OR('Visual SPC'!$G$4="",'Data Entry'!$D9837='Visual SPC'!$G$4),OR('Visual SPC'!$I$4="",'Data Entry'!$E9837='Visual SPC'!$I$4),OR('Visual SPC'!$K$4="",'Data Entry'!$F9837='Visual SPC'!$K$4)),1,0))</f>
        <v/>
      </c>
      <c r="C9837">
        <f>C9836+B9837</f>
        <v/>
      </c>
      <c r="D9837">
        <f>IF(B9837=1,INDEX('Data Entry'!$H$5:$BE$10004,9837-4,'Visual SPC'!$B$3),"")</f>
        <v/>
      </c>
      <c r="E9837">
        <f>IF(B9837=1,D9837,E9836)</f>
        <v/>
      </c>
      <c r="F9837">
        <f>IF(AND(B9837=1,C9837&gt;1,E9836&lt;&gt;""),ABS(D9837-E9836),"")</f>
        <v/>
      </c>
    </row>
    <row r="9838">
      <c r="A9838" t="n">
        <v>9838</v>
      </c>
      <c r="B9838">
        <f>IF(INDEX('Data Entry'!$H$5:$BE$10004,9838-4,'Visual SPC'!$B$3)="",0,IF(AND(OR('Visual SPC'!$C$4="",'Data Entry'!$C9838&gt;='Visual SPC'!$C$4),OR('Visual SPC'!$E$4="",'Data Entry'!$C9838&lt;='Visual SPC'!$E$4),OR('Visual SPC'!$G$4="",'Data Entry'!$D9838='Visual SPC'!$G$4),OR('Visual SPC'!$I$4="",'Data Entry'!$E9838='Visual SPC'!$I$4),OR('Visual SPC'!$K$4="",'Data Entry'!$F9838='Visual SPC'!$K$4)),1,0))</f>
        <v/>
      </c>
      <c r="C9838">
        <f>C9837+B9838</f>
        <v/>
      </c>
      <c r="D9838">
        <f>IF(B9838=1,INDEX('Data Entry'!$H$5:$BE$10004,9838-4,'Visual SPC'!$B$3),"")</f>
        <v/>
      </c>
      <c r="E9838">
        <f>IF(B9838=1,D9838,E9837)</f>
        <v/>
      </c>
      <c r="F9838">
        <f>IF(AND(B9838=1,C9838&gt;1,E9837&lt;&gt;""),ABS(D9838-E9837),"")</f>
        <v/>
      </c>
    </row>
    <row r="9839">
      <c r="A9839" t="n">
        <v>9839</v>
      </c>
      <c r="B9839">
        <f>IF(INDEX('Data Entry'!$H$5:$BE$10004,9839-4,'Visual SPC'!$B$3)="",0,IF(AND(OR('Visual SPC'!$C$4="",'Data Entry'!$C9839&gt;='Visual SPC'!$C$4),OR('Visual SPC'!$E$4="",'Data Entry'!$C9839&lt;='Visual SPC'!$E$4),OR('Visual SPC'!$G$4="",'Data Entry'!$D9839='Visual SPC'!$G$4),OR('Visual SPC'!$I$4="",'Data Entry'!$E9839='Visual SPC'!$I$4),OR('Visual SPC'!$K$4="",'Data Entry'!$F9839='Visual SPC'!$K$4)),1,0))</f>
        <v/>
      </c>
      <c r="C9839">
        <f>C9838+B9839</f>
        <v/>
      </c>
      <c r="D9839">
        <f>IF(B9839=1,INDEX('Data Entry'!$H$5:$BE$10004,9839-4,'Visual SPC'!$B$3),"")</f>
        <v/>
      </c>
      <c r="E9839">
        <f>IF(B9839=1,D9839,E9838)</f>
        <v/>
      </c>
      <c r="F9839">
        <f>IF(AND(B9839=1,C9839&gt;1,E9838&lt;&gt;""),ABS(D9839-E9838),"")</f>
        <v/>
      </c>
    </row>
    <row r="9840">
      <c r="A9840" t="n">
        <v>9840</v>
      </c>
      <c r="B9840">
        <f>IF(INDEX('Data Entry'!$H$5:$BE$10004,9840-4,'Visual SPC'!$B$3)="",0,IF(AND(OR('Visual SPC'!$C$4="",'Data Entry'!$C9840&gt;='Visual SPC'!$C$4),OR('Visual SPC'!$E$4="",'Data Entry'!$C9840&lt;='Visual SPC'!$E$4),OR('Visual SPC'!$G$4="",'Data Entry'!$D9840='Visual SPC'!$G$4),OR('Visual SPC'!$I$4="",'Data Entry'!$E9840='Visual SPC'!$I$4),OR('Visual SPC'!$K$4="",'Data Entry'!$F9840='Visual SPC'!$K$4)),1,0))</f>
        <v/>
      </c>
      <c r="C9840">
        <f>C9839+B9840</f>
        <v/>
      </c>
      <c r="D9840">
        <f>IF(B9840=1,INDEX('Data Entry'!$H$5:$BE$10004,9840-4,'Visual SPC'!$B$3),"")</f>
        <v/>
      </c>
      <c r="E9840">
        <f>IF(B9840=1,D9840,E9839)</f>
        <v/>
      </c>
      <c r="F9840">
        <f>IF(AND(B9840=1,C9840&gt;1,E9839&lt;&gt;""),ABS(D9840-E9839),"")</f>
        <v/>
      </c>
    </row>
    <row r="9841">
      <c r="A9841" t="n">
        <v>9841</v>
      </c>
      <c r="B9841">
        <f>IF(INDEX('Data Entry'!$H$5:$BE$10004,9841-4,'Visual SPC'!$B$3)="",0,IF(AND(OR('Visual SPC'!$C$4="",'Data Entry'!$C9841&gt;='Visual SPC'!$C$4),OR('Visual SPC'!$E$4="",'Data Entry'!$C9841&lt;='Visual SPC'!$E$4),OR('Visual SPC'!$G$4="",'Data Entry'!$D9841='Visual SPC'!$G$4),OR('Visual SPC'!$I$4="",'Data Entry'!$E9841='Visual SPC'!$I$4),OR('Visual SPC'!$K$4="",'Data Entry'!$F9841='Visual SPC'!$K$4)),1,0))</f>
        <v/>
      </c>
      <c r="C9841">
        <f>C9840+B9841</f>
        <v/>
      </c>
      <c r="D9841">
        <f>IF(B9841=1,INDEX('Data Entry'!$H$5:$BE$10004,9841-4,'Visual SPC'!$B$3),"")</f>
        <v/>
      </c>
      <c r="E9841">
        <f>IF(B9841=1,D9841,E9840)</f>
        <v/>
      </c>
      <c r="F9841">
        <f>IF(AND(B9841=1,C9841&gt;1,E9840&lt;&gt;""),ABS(D9841-E9840),"")</f>
        <v/>
      </c>
    </row>
    <row r="9842">
      <c r="A9842" t="n">
        <v>9842</v>
      </c>
      <c r="B9842">
        <f>IF(INDEX('Data Entry'!$H$5:$BE$10004,9842-4,'Visual SPC'!$B$3)="",0,IF(AND(OR('Visual SPC'!$C$4="",'Data Entry'!$C9842&gt;='Visual SPC'!$C$4),OR('Visual SPC'!$E$4="",'Data Entry'!$C9842&lt;='Visual SPC'!$E$4),OR('Visual SPC'!$G$4="",'Data Entry'!$D9842='Visual SPC'!$G$4),OR('Visual SPC'!$I$4="",'Data Entry'!$E9842='Visual SPC'!$I$4),OR('Visual SPC'!$K$4="",'Data Entry'!$F9842='Visual SPC'!$K$4)),1,0))</f>
        <v/>
      </c>
      <c r="C9842">
        <f>C9841+B9842</f>
        <v/>
      </c>
      <c r="D9842">
        <f>IF(B9842=1,INDEX('Data Entry'!$H$5:$BE$10004,9842-4,'Visual SPC'!$B$3),"")</f>
        <v/>
      </c>
      <c r="E9842">
        <f>IF(B9842=1,D9842,E9841)</f>
        <v/>
      </c>
      <c r="F9842">
        <f>IF(AND(B9842=1,C9842&gt;1,E9841&lt;&gt;""),ABS(D9842-E9841),"")</f>
        <v/>
      </c>
    </row>
    <row r="9843">
      <c r="A9843" t="n">
        <v>9843</v>
      </c>
      <c r="B9843">
        <f>IF(INDEX('Data Entry'!$H$5:$BE$10004,9843-4,'Visual SPC'!$B$3)="",0,IF(AND(OR('Visual SPC'!$C$4="",'Data Entry'!$C9843&gt;='Visual SPC'!$C$4),OR('Visual SPC'!$E$4="",'Data Entry'!$C9843&lt;='Visual SPC'!$E$4),OR('Visual SPC'!$G$4="",'Data Entry'!$D9843='Visual SPC'!$G$4),OR('Visual SPC'!$I$4="",'Data Entry'!$E9843='Visual SPC'!$I$4),OR('Visual SPC'!$K$4="",'Data Entry'!$F9843='Visual SPC'!$K$4)),1,0))</f>
        <v/>
      </c>
      <c r="C9843">
        <f>C9842+B9843</f>
        <v/>
      </c>
      <c r="D9843">
        <f>IF(B9843=1,INDEX('Data Entry'!$H$5:$BE$10004,9843-4,'Visual SPC'!$B$3),"")</f>
        <v/>
      </c>
      <c r="E9843">
        <f>IF(B9843=1,D9843,E9842)</f>
        <v/>
      </c>
      <c r="F9843">
        <f>IF(AND(B9843=1,C9843&gt;1,E9842&lt;&gt;""),ABS(D9843-E9842),"")</f>
        <v/>
      </c>
    </row>
    <row r="9844">
      <c r="A9844" t="n">
        <v>9844</v>
      </c>
      <c r="B9844">
        <f>IF(INDEX('Data Entry'!$H$5:$BE$10004,9844-4,'Visual SPC'!$B$3)="",0,IF(AND(OR('Visual SPC'!$C$4="",'Data Entry'!$C9844&gt;='Visual SPC'!$C$4),OR('Visual SPC'!$E$4="",'Data Entry'!$C9844&lt;='Visual SPC'!$E$4),OR('Visual SPC'!$G$4="",'Data Entry'!$D9844='Visual SPC'!$G$4),OR('Visual SPC'!$I$4="",'Data Entry'!$E9844='Visual SPC'!$I$4),OR('Visual SPC'!$K$4="",'Data Entry'!$F9844='Visual SPC'!$K$4)),1,0))</f>
        <v/>
      </c>
      <c r="C9844">
        <f>C9843+B9844</f>
        <v/>
      </c>
      <c r="D9844">
        <f>IF(B9844=1,INDEX('Data Entry'!$H$5:$BE$10004,9844-4,'Visual SPC'!$B$3),"")</f>
        <v/>
      </c>
      <c r="E9844">
        <f>IF(B9844=1,D9844,E9843)</f>
        <v/>
      </c>
      <c r="F9844">
        <f>IF(AND(B9844=1,C9844&gt;1,E9843&lt;&gt;""),ABS(D9844-E9843),"")</f>
        <v/>
      </c>
    </row>
    <row r="9845">
      <c r="A9845" t="n">
        <v>9845</v>
      </c>
      <c r="B9845">
        <f>IF(INDEX('Data Entry'!$H$5:$BE$10004,9845-4,'Visual SPC'!$B$3)="",0,IF(AND(OR('Visual SPC'!$C$4="",'Data Entry'!$C9845&gt;='Visual SPC'!$C$4),OR('Visual SPC'!$E$4="",'Data Entry'!$C9845&lt;='Visual SPC'!$E$4),OR('Visual SPC'!$G$4="",'Data Entry'!$D9845='Visual SPC'!$G$4),OR('Visual SPC'!$I$4="",'Data Entry'!$E9845='Visual SPC'!$I$4),OR('Visual SPC'!$K$4="",'Data Entry'!$F9845='Visual SPC'!$K$4)),1,0))</f>
        <v/>
      </c>
      <c r="C9845">
        <f>C9844+B9845</f>
        <v/>
      </c>
      <c r="D9845">
        <f>IF(B9845=1,INDEX('Data Entry'!$H$5:$BE$10004,9845-4,'Visual SPC'!$B$3),"")</f>
        <v/>
      </c>
      <c r="E9845">
        <f>IF(B9845=1,D9845,E9844)</f>
        <v/>
      </c>
      <c r="F9845">
        <f>IF(AND(B9845=1,C9845&gt;1,E9844&lt;&gt;""),ABS(D9845-E9844),"")</f>
        <v/>
      </c>
    </row>
    <row r="9846">
      <c r="A9846" t="n">
        <v>9846</v>
      </c>
      <c r="B9846">
        <f>IF(INDEX('Data Entry'!$H$5:$BE$10004,9846-4,'Visual SPC'!$B$3)="",0,IF(AND(OR('Visual SPC'!$C$4="",'Data Entry'!$C9846&gt;='Visual SPC'!$C$4),OR('Visual SPC'!$E$4="",'Data Entry'!$C9846&lt;='Visual SPC'!$E$4),OR('Visual SPC'!$G$4="",'Data Entry'!$D9846='Visual SPC'!$G$4),OR('Visual SPC'!$I$4="",'Data Entry'!$E9846='Visual SPC'!$I$4),OR('Visual SPC'!$K$4="",'Data Entry'!$F9846='Visual SPC'!$K$4)),1,0))</f>
        <v/>
      </c>
      <c r="C9846">
        <f>C9845+B9846</f>
        <v/>
      </c>
      <c r="D9846">
        <f>IF(B9846=1,INDEX('Data Entry'!$H$5:$BE$10004,9846-4,'Visual SPC'!$B$3),"")</f>
        <v/>
      </c>
      <c r="E9846">
        <f>IF(B9846=1,D9846,E9845)</f>
        <v/>
      </c>
      <c r="F9846">
        <f>IF(AND(B9846=1,C9846&gt;1,E9845&lt;&gt;""),ABS(D9846-E9845),"")</f>
        <v/>
      </c>
    </row>
    <row r="9847">
      <c r="A9847" t="n">
        <v>9847</v>
      </c>
      <c r="B9847">
        <f>IF(INDEX('Data Entry'!$H$5:$BE$10004,9847-4,'Visual SPC'!$B$3)="",0,IF(AND(OR('Visual SPC'!$C$4="",'Data Entry'!$C9847&gt;='Visual SPC'!$C$4),OR('Visual SPC'!$E$4="",'Data Entry'!$C9847&lt;='Visual SPC'!$E$4),OR('Visual SPC'!$G$4="",'Data Entry'!$D9847='Visual SPC'!$G$4),OR('Visual SPC'!$I$4="",'Data Entry'!$E9847='Visual SPC'!$I$4),OR('Visual SPC'!$K$4="",'Data Entry'!$F9847='Visual SPC'!$K$4)),1,0))</f>
        <v/>
      </c>
      <c r="C9847">
        <f>C9846+B9847</f>
        <v/>
      </c>
      <c r="D9847">
        <f>IF(B9847=1,INDEX('Data Entry'!$H$5:$BE$10004,9847-4,'Visual SPC'!$B$3),"")</f>
        <v/>
      </c>
      <c r="E9847">
        <f>IF(B9847=1,D9847,E9846)</f>
        <v/>
      </c>
      <c r="F9847">
        <f>IF(AND(B9847=1,C9847&gt;1,E9846&lt;&gt;""),ABS(D9847-E9846),"")</f>
        <v/>
      </c>
    </row>
    <row r="9848">
      <c r="A9848" t="n">
        <v>9848</v>
      </c>
      <c r="B9848">
        <f>IF(INDEX('Data Entry'!$H$5:$BE$10004,9848-4,'Visual SPC'!$B$3)="",0,IF(AND(OR('Visual SPC'!$C$4="",'Data Entry'!$C9848&gt;='Visual SPC'!$C$4),OR('Visual SPC'!$E$4="",'Data Entry'!$C9848&lt;='Visual SPC'!$E$4),OR('Visual SPC'!$G$4="",'Data Entry'!$D9848='Visual SPC'!$G$4),OR('Visual SPC'!$I$4="",'Data Entry'!$E9848='Visual SPC'!$I$4),OR('Visual SPC'!$K$4="",'Data Entry'!$F9848='Visual SPC'!$K$4)),1,0))</f>
        <v/>
      </c>
      <c r="C9848">
        <f>C9847+B9848</f>
        <v/>
      </c>
      <c r="D9848">
        <f>IF(B9848=1,INDEX('Data Entry'!$H$5:$BE$10004,9848-4,'Visual SPC'!$B$3),"")</f>
        <v/>
      </c>
      <c r="E9848">
        <f>IF(B9848=1,D9848,E9847)</f>
        <v/>
      </c>
      <c r="F9848">
        <f>IF(AND(B9848=1,C9848&gt;1,E9847&lt;&gt;""),ABS(D9848-E9847),"")</f>
        <v/>
      </c>
    </row>
    <row r="9849">
      <c r="A9849" t="n">
        <v>9849</v>
      </c>
      <c r="B9849">
        <f>IF(INDEX('Data Entry'!$H$5:$BE$10004,9849-4,'Visual SPC'!$B$3)="",0,IF(AND(OR('Visual SPC'!$C$4="",'Data Entry'!$C9849&gt;='Visual SPC'!$C$4),OR('Visual SPC'!$E$4="",'Data Entry'!$C9849&lt;='Visual SPC'!$E$4),OR('Visual SPC'!$G$4="",'Data Entry'!$D9849='Visual SPC'!$G$4),OR('Visual SPC'!$I$4="",'Data Entry'!$E9849='Visual SPC'!$I$4),OR('Visual SPC'!$K$4="",'Data Entry'!$F9849='Visual SPC'!$K$4)),1,0))</f>
        <v/>
      </c>
      <c r="C9849">
        <f>C9848+B9849</f>
        <v/>
      </c>
      <c r="D9849">
        <f>IF(B9849=1,INDEX('Data Entry'!$H$5:$BE$10004,9849-4,'Visual SPC'!$B$3),"")</f>
        <v/>
      </c>
      <c r="E9849">
        <f>IF(B9849=1,D9849,E9848)</f>
        <v/>
      </c>
      <c r="F9849">
        <f>IF(AND(B9849=1,C9849&gt;1,E9848&lt;&gt;""),ABS(D9849-E9848),"")</f>
        <v/>
      </c>
    </row>
    <row r="9850">
      <c r="A9850" t="n">
        <v>9850</v>
      </c>
      <c r="B9850">
        <f>IF(INDEX('Data Entry'!$H$5:$BE$10004,9850-4,'Visual SPC'!$B$3)="",0,IF(AND(OR('Visual SPC'!$C$4="",'Data Entry'!$C9850&gt;='Visual SPC'!$C$4),OR('Visual SPC'!$E$4="",'Data Entry'!$C9850&lt;='Visual SPC'!$E$4),OR('Visual SPC'!$G$4="",'Data Entry'!$D9850='Visual SPC'!$G$4),OR('Visual SPC'!$I$4="",'Data Entry'!$E9850='Visual SPC'!$I$4),OR('Visual SPC'!$K$4="",'Data Entry'!$F9850='Visual SPC'!$K$4)),1,0))</f>
        <v/>
      </c>
      <c r="C9850">
        <f>C9849+B9850</f>
        <v/>
      </c>
      <c r="D9850">
        <f>IF(B9850=1,INDEX('Data Entry'!$H$5:$BE$10004,9850-4,'Visual SPC'!$B$3),"")</f>
        <v/>
      </c>
      <c r="E9850">
        <f>IF(B9850=1,D9850,E9849)</f>
        <v/>
      </c>
      <c r="F9850">
        <f>IF(AND(B9850=1,C9850&gt;1,E9849&lt;&gt;""),ABS(D9850-E9849),"")</f>
        <v/>
      </c>
    </row>
    <row r="9851">
      <c r="A9851" t="n">
        <v>9851</v>
      </c>
      <c r="B9851">
        <f>IF(INDEX('Data Entry'!$H$5:$BE$10004,9851-4,'Visual SPC'!$B$3)="",0,IF(AND(OR('Visual SPC'!$C$4="",'Data Entry'!$C9851&gt;='Visual SPC'!$C$4),OR('Visual SPC'!$E$4="",'Data Entry'!$C9851&lt;='Visual SPC'!$E$4),OR('Visual SPC'!$G$4="",'Data Entry'!$D9851='Visual SPC'!$G$4),OR('Visual SPC'!$I$4="",'Data Entry'!$E9851='Visual SPC'!$I$4),OR('Visual SPC'!$K$4="",'Data Entry'!$F9851='Visual SPC'!$K$4)),1,0))</f>
        <v/>
      </c>
      <c r="C9851">
        <f>C9850+B9851</f>
        <v/>
      </c>
      <c r="D9851">
        <f>IF(B9851=1,INDEX('Data Entry'!$H$5:$BE$10004,9851-4,'Visual SPC'!$B$3),"")</f>
        <v/>
      </c>
      <c r="E9851">
        <f>IF(B9851=1,D9851,E9850)</f>
        <v/>
      </c>
      <c r="F9851">
        <f>IF(AND(B9851=1,C9851&gt;1,E9850&lt;&gt;""),ABS(D9851-E9850),"")</f>
        <v/>
      </c>
    </row>
    <row r="9852">
      <c r="A9852" t="n">
        <v>9852</v>
      </c>
      <c r="B9852">
        <f>IF(INDEX('Data Entry'!$H$5:$BE$10004,9852-4,'Visual SPC'!$B$3)="",0,IF(AND(OR('Visual SPC'!$C$4="",'Data Entry'!$C9852&gt;='Visual SPC'!$C$4),OR('Visual SPC'!$E$4="",'Data Entry'!$C9852&lt;='Visual SPC'!$E$4),OR('Visual SPC'!$G$4="",'Data Entry'!$D9852='Visual SPC'!$G$4),OR('Visual SPC'!$I$4="",'Data Entry'!$E9852='Visual SPC'!$I$4),OR('Visual SPC'!$K$4="",'Data Entry'!$F9852='Visual SPC'!$K$4)),1,0))</f>
        <v/>
      </c>
      <c r="C9852">
        <f>C9851+B9852</f>
        <v/>
      </c>
      <c r="D9852">
        <f>IF(B9852=1,INDEX('Data Entry'!$H$5:$BE$10004,9852-4,'Visual SPC'!$B$3),"")</f>
        <v/>
      </c>
      <c r="E9852">
        <f>IF(B9852=1,D9852,E9851)</f>
        <v/>
      </c>
      <c r="F9852">
        <f>IF(AND(B9852=1,C9852&gt;1,E9851&lt;&gt;""),ABS(D9852-E9851),"")</f>
        <v/>
      </c>
    </row>
    <row r="9853">
      <c r="A9853" t="n">
        <v>9853</v>
      </c>
      <c r="B9853">
        <f>IF(INDEX('Data Entry'!$H$5:$BE$10004,9853-4,'Visual SPC'!$B$3)="",0,IF(AND(OR('Visual SPC'!$C$4="",'Data Entry'!$C9853&gt;='Visual SPC'!$C$4),OR('Visual SPC'!$E$4="",'Data Entry'!$C9853&lt;='Visual SPC'!$E$4),OR('Visual SPC'!$G$4="",'Data Entry'!$D9853='Visual SPC'!$G$4),OR('Visual SPC'!$I$4="",'Data Entry'!$E9853='Visual SPC'!$I$4),OR('Visual SPC'!$K$4="",'Data Entry'!$F9853='Visual SPC'!$K$4)),1,0))</f>
        <v/>
      </c>
      <c r="C9853">
        <f>C9852+B9853</f>
        <v/>
      </c>
      <c r="D9853">
        <f>IF(B9853=1,INDEX('Data Entry'!$H$5:$BE$10004,9853-4,'Visual SPC'!$B$3),"")</f>
        <v/>
      </c>
      <c r="E9853">
        <f>IF(B9853=1,D9853,E9852)</f>
        <v/>
      </c>
      <c r="F9853">
        <f>IF(AND(B9853=1,C9853&gt;1,E9852&lt;&gt;""),ABS(D9853-E9852),"")</f>
        <v/>
      </c>
    </row>
    <row r="9854">
      <c r="A9854" t="n">
        <v>9854</v>
      </c>
      <c r="B9854">
        <f>IF(INDEX('Data Entry'!$H$5:$BE$10004,9854-4,'Visual SPC'!$B$3)="",0,IF(AND(OR('Visual SPC'!$C$4="",'Data Entry'!$C9854&gt;='Visual SPC'!$C$4),OR('Visual SPC'!$E$4="",'Data Entry'!$C9854&lt;='Visual SPC'!$E$4),OR('Visual SPC'!$G$4="",'Data Entry'!$D9854='Visual SPC'!$G$4),OR('Visual SPC'!$I$4="",'Data Entry'!$E9854='Visual SPC'!$I$4),OR('Visual SPC'!$K$4="",'Data Entry'!$F9854='Visual SPC'!$K$4)),1,0))</f>
        <v/>
      </c>
      <c r="C9854">
        <f>C9853+B9854</f>
        <v/>
      </c>
      <c r="D9854">
        <f>IF(B9854=1,INDEX('Data Entry'!$H$5:$BE$10004,9854-4,'Visual SPC'!$B$3),"")</f>
        <v/>
      </c>
      <c r="E9854">
        <f>IF(B9854=1,D9854,E9853)</f>
        <v/>
      </c>
      <c r="F9854">
        <f>IF(AND(B9854=1,C9854&gt;1,E9853&lt;&gt;""),ABS(D9854-E9853),"")</f>
        <v/>
      </c>
    </row>
    <row r="9855">
      <c r="A9855" t="n">
        <v>9855</v>
      </c>
      <c r="B9855">
        <f>IF(INDEX('Data Entry'!$H$5:$BE$10004,9855-4,'Visual SPC'!$B$3)="",0,IF(AND(OR('Visual SPC'!$C$4="",'Data Entry'!$C9855&gt;='Visual SPC'!$C$4),OR('Visual SPC'!$E$4="",'Data Entry'!$C9855&lt;='Visual SPC'!$E$4),OR('Visual SPC'!$G$4="",'Data Entry'!$D9855='Visual SPC'!$G$4),OR('Visual SPC'!$I$4="",'Data Entry'!$E9855='Visual SPC'!$I$4),OR('Visual SPC'!$K$4="",'Data Entry'!$F9855='Visual SPC'!$K$4)),1,0))</f>
        <v/>
      </c>
      <c r="C9855">
        <f>C9854+B9855</f>
        <v/>
      </c>
      <c r="D9855">
        <f>IF(B9855=1,INDEX('Data Entry'!$H$5:$BE$10004,9855-4,'Visual SPC'!$B$3),"")</f>
        <v/>
      </c>
      <c r="E9855">
        <f>IF(B9855=1,D9855,E9854)</f>
        <v/>
      </c>
      <c r="F9855">
        <f>IF(AND(B9855=1,C9855&gt;1,E9854&lt;&gt;""),ABS(D9855-E9854),"")</f>
        <v/>
      </c>
    </row>
    <row r="9856">
      <c r="A9856" t="n">
        <v>9856</v>
      </c>
      <c r="B9856">
        <f>IF(INDEX('Data Entry'!$H$5:$BE$10004,9856-4,'Visual SPC'!$B$3)="",0,IF(AND(OR('Visual SPC'!$C$4="",'Data Entry'!$C9856&gt;='Visual SPC'!$C$4),OR('Visual SPC'!$E$4="",'Data Entry'!$C9856&lt;='Visual SPC'!$E$4),OR('Visual SPC'!$G$4="",'Data Entry'!$D9856='Visual SPC'!$G$4),OR('Visual SPC'!$I$4="",'Data Entry'!$E9856='Visual SPC'!$I$4),OR('Visual SPC'!$K$4="",'Data Entry'!$F9856='Visual SPC'!$K$4)),1,0))</f>
        <v/>
      </c>
      <c r="C9856">
        <f>C9855+B9856</f>
        <v/>
      </c>
      <c r="D9856">
        <f>IF(B9856=1,INDEX('Data Entry'!$H$5:$BE$10004,9856-4,'Visual SPC'!$B$3),"")</f>
        <v/>
      </c>
      <c r="E9856">
        <f>IF(B9856=1,D9856,E9855)</f>
        <v/>
      </c>
      <c r="F9856">
        <f>IF(AND(B9856=1,C9856&gt;1,E9855&lt;&gt;""),ABS(D9856-E9855),"")</f>
        <v/>
      </c>
    </row>
    <row r="9857">
      <c r="A9857" t="n">
        <v>9857</v>
      </c>
      <c r="B9857">
        <f>IF(INDEX('Data Entry'!$H$5:$BE$10004,9857-4,'Visual SPC'!$B$3)="",0,IF(AND(OR('Visual SPC'!$C$4="",'Data Entry'!$C9857&gt;='Visual SPC'!$C$4),OR('Visual SPC'!$E$4="",'Data Entry'!$C9857&lt;='Visual SPC'!$E$4),OR('Visual SPC'!$G$4="",'Data Entry'!$D9857='Visual SPC'!$G$4),OR('Visual SPC'!$I$4="",'Data Entry'!$E9857='Visual SPC'!$I$4),OR('Visual SPC'!$K$4="",'Data Entry'!$F9857='Visual SPC'!$K$4)),1,0))</f>
        <v/>
      </c>
      <c r="C9857">
        <f>C9856+B9857</f>
        <v/>
      </c>
      <c r="D9857">
        <f>IF(B9857=1,INDEX('Data Entry'!$H$5:$BE$10004,9857-4,'Visual SPC'!$B$3),"")</f>
        <v/>
      </c>
      <c r="E9857">
        <f>IF(B9857=1,D9857,E9856)</f>
        <v/>
      </c>
      <c r="F9857">
        <f>IF(AND(B9857=1,C9857&gt;1,E9856&lt;&gt;""),ABS(D9857-E9856),"")</f>
        <v/>
      </c>
    </row>
    <row r="9858">
      <c r="A9858" t="n">
        <v>9858</v>
      </c>
      <c r="B9858">
        <f>IF(INDEX('Data Entry'!$H$5:$BE$10004,9858-4,'Visual SPC'!$B$3)="",0,IF(AND(OR('Visual SPC'!$C$4="",'Data Entry'!$C9858&gt;='Visual SPC'!$C$4),OR('Visual SPC'!$E$4="",'Data Entry'!$C9858&lt;='Visual SPC'!$E$4),OR('Visual SPC'!$G$4="",'Data Entry'!$D9858='Visual SPC'!$G$4),OR('Visual SPC'!$I$4="",'Data Entry'!$E9858='Visual SPC'!$I$4),OR('Visual SPC'!$K$4="",'Data Entry'!$F9858='Visual SPC'!$K$4)),1,0))</f>
        <v/>
      </c>
      <c r="C9858">
        <f>C9857+B9858</f>
        <v/>
      </c>
      <c r="D9858">
        <f>IF(B9858=1,INDEX('Data Entry'!$H$5:$BE$10004,9858-4,'Visual SPC'!$B$3),"")</f>
        <v/>
      </c>
      <c r="E9858">
        <f>IF(B9858=1,D9858,E9857)</f>
        <v/>
      </c>
      <c r="F9858">
        <f>IF(AND(B9858=1,C9858&gt;1,E9857&lt;&gt;""),ABS(D9858-E9857),"")</f>
        <v/>
      </c>
    </row>
    <row r="9859">
      <c r="A9859" t="n">
        <v>9859</v>
      </c>
      <c r="B9859">
        <f>IF(INDEX('Data Entry'!$H$5:$BE$10004,9859-4,'Visual SPC'!$B$3)="",0,IF(AND(OR('Visual SPC'!$C$4="",'Data Entry'!$C9859&gt;='Visual SPC'!$C$4),OR('Visual SPC'!$E$4="",'Data Entry'!$C9859&lt;='Visual SPC'!$E$4),OR('Visual SPC'!$G$4="",'Data Entry'!$D9859='Visual SPC'!$G$4),OR('Visual SPC'!$I$4="",'Data Entry'!$E9859='Visual SPC'!$I$4),OR('Visual SPC'!$K$4="",'Data Entry'!$F9859='Visual SPC'!$K$4)),1,0))</f>
        <v/>
      </c>
      <c r="C9859">
        <f>C9858+B9859</f>
        <v/>
      </c>
      <c r="D9859">
        <f>IF(B9859=1,INDEX('Data Entry'!$H$5:$BE$10004,9859-4,'Visual SPC'!$B$3),"")</f>
        <v/>
      </c>
      <c r="E9859">
        <f>IF(B9859=1,D9859,E9858)</f>
        <v/>
      </c>
      <c r="F9859">
        <f>IF(AND(B9859=1,C9859&gt;1,E9858&lt;&gt;""),ABS(D9859-E9858),"")</f>
        <v/>
      </c>
    </row>
    <row r="9860">
      <c r="A9860" t="n">
        <v>9860</v>
      </c>
      <c r="B9860">
        <f>IF(INDEX('Data Entry'!$H$5:$BE$10004,9860-4,'Visual SPC'!$B$3)="",0,IF(AND(OR('Visual SPC'!$C$4="",'Data Entry'!$C9860&gt;='Visual SPC'!$C$4),OR('Visual SPC'!$E$4="",'Data Entry'!$C9860&lt;='Visual SPC'!$E$4),OR('Visual SPC'!$G$4="",'Data Entry'!$D9860='Visual SPC'!$G$4),OR('Visual SPC'!$I$4="",'Data Entry'!$E9860='Visual SPC'!$I$4),OR('Visual SPC'!$K$4="",'Data Entry'!$F9860='Visual SPC'!$K$4)),1,0))</f>
        <v/>
      </c>
      <c r="C9860">
        <f>C9859+B9860</f>
        <v/>
      </c>
      <c r="D9860">
        <f>IF(B9860=1,INDEX('Data Entry'!$H$5:$BE$10004,9860-4,'Visual SPC'!$B$3),"")</f>
        <v/>
      </c>
      <c r="E9860">
        <f>IF(B9860=1,D9860,E9859)</f>
        <v/>
      </c>
      <c r="F9860">
        <f>IF(AND(B9860=1,C9860&gt;1,E9859&lt;&gt;""),ABS(D9860-E9859),"")</f>
        <v/>
      </c>
    </row>
    <row r="9861">
      <c r="A9861" t="n">
        <v>9861</v>
      </c>
      <c r="B9861">
        <f>IF(INDEX('Data Entry'!$H$5:$BE$10004,9861-4,'Visual SPC'!$B$3)="",0,IF(AND(OR('Visual SPC'!$C$4="",'Data Entry'!$C9861&gt;='Visual SPC'!$C$4),OR('Visual SPC'!$E$4="",'Data Entry'!$C9861&lt;='Visual SPC'!$E$4),OR('Visual SPC'!$G$4="",'Data Entry'!$D9861='Visual SPC'!$G$4),OR('Visual SPC'!$I$4="",'Data Entry'!$E9861='Visual SPC'!$I$4),OR('Visual SPC'!$K$4="",'Data Entry'!$F9861='Visual SPC'!$K$4)),1,0))</f>
        <v/>
      </c>
      <c r="C9861">
        <f>C9860+B9861</f>
        <v/>
      </c>
      <c r="D9861">
        <f>IF(B9861=1,INDEX('Data Entry'!$H$5:$BE$10004,9861-4,'Visual SPC'!$B$3),"")</f>
        <v/>
      </c>
      <c r="E9861">
        <f>IF(B9861=1,D9861,E9860)</f>
        <v/>
      </c>
      <c r="F9861">
        <f>IF(AND(B9861=1,C9861&gt;1,E9860&lt;&gt;""),ABS(D9861-E9860),"")</f>
        <v/>
      </c>
    </row>
    <row r="9862">
      <c r="A9862" t="n">
        <v>9862</v>
      </c>
      <c r="B9862">
        <f>IF(INDEX('Data Entry'!$H$5:$BE$10004,9862-4,'Visual SPC'!$B$3)="",0,IF(AND(OR('Visual SPC'!$C$4="",'Data Entry'!$C9862&gt;='Visual SPC'!$C$4),OR('Visual SPC'!$E$4="",'Data Entry'!$C9862&lt;='Visual SPC'!$E$4),OR('Visual SPC'!$G$4="",'Data Entry'!$D9862='Visual SPC'!$G$4),OR('Visual SPC'!$I$4="",'Data Entry'!$E9862='Visual SPC'!$I$4),OR('Visual SPC'!$K$4="",'Data Entry'!$F9862='Visual SPC'!$K$4)),1,0))</f>
        <v/>
      </c>
      <c r="C9862">
        <f>C9861+B9862</f>
        <v/>
      </c>
      <c r="D9862">
        <f>IF(B9862=1,INDEX('Data Entry'!$H$5:$BE$10004,9862-4,'Visual SPC'!$B$3),"")</f>
        <v/>
      </c>
      <c r="E9862">
        <f>IF(B9862=1,D9862,E9861)</f>
        <v/>
      </c>
      <c r="F9862">
        <f>IF(AND(B9862=1,C9862&gt;1,E9861&lt;&gt;""),ABS(D9862-E9861),"")</f>
        <v/>
      </c>
    </row>
    <row r="9863">
      <c r="A9863" t="n">
        <v>9863</v>
      </c>
      <c r="B9863">
        <f>IF(INDEX('Data Entry'!$H$5:$BE$10004,9863-4,'Visual SPC'!$B$3)="",0,IF(AND(OR('Visual SPC'!$C$4="",'Data Entry'!$C9863&gt;='Visual SPC'!$C$4),OR('Visual SPC'!$E$4="",'Data Entry'!$C9863&lt;='Visual SPC'!$E$4),OR('Visual SPC'!$G$4="",'Data Entry'!$D9863='Visual SPC'!$G$4),OR('Visual SPC'!$I$4="",'Data Entry'!$E9863='Visual SPC'!$I$4),OR('Visual SPC'!$K$4="",'Data Entry'!$F9863='Visual SPC'!$K$4)),1,0))</f>
        <v/>
      </c>
      <c r="C9863">
        <f>C9862+B9863</f>
        <v/>
      </c>
      <c r="D9863">
        <f>IF(B9863=1,INDEX('Data Entry'!$H$5:$BE$10004,9863-4,'Visual SPC'!$B$3),"")</f>
        <v/>
      </c>
      <c r="E9863">
        <f>IF(B9863=1,D9863,E9862)</f>
        <v/>
      </c>
      <c r="F9863">
        <f>IF(AND(B9863=1,C9863&gt;1,E9862&lt;&gt;""),ABS(D9863-E9862),"")</f>
        <v/>
      </c>
    </row>
    <row r="9864">
      <c r="A9864" t="n">
        <v>9864</v>
      </c>
      <c r="B9864">
        <f>IF(INDEX('Data Entry'!$H$5:$BE$10004,9864-4,'Visual SPC'!$B$3)="",0,IF(AND(OR('Visual SPC'!$C$4="",'Data Entry'!$C9864&gt;='Visual SPC'!$C$4),OR('Visual SPC'!$E$4="",'Data Entry'!$C9864&lt;='Visual SPC'!$E$4),OR('Visual SPC'!$G$4="",'Data Entry'!$D9864='Visual SPC'!$G$4),OR('Visual SPC'!$I$4="",'Data Entry'!$E9864='Visual SPC'!$I$4),OR('Visual SPC'!$K$4="",'Data Entry'!$F9864='Visual SPC'!$K$4)),1,0))</f>
        <v/>
      </c>
      <c r="C9864">
        <f>C9863+B9864</f>
        <v/>
      </c>
      <c r="D9864">
        <f>IF(B9864=1,INDEX('Data Entry'!$H$5:$BE$10004,9864-4,'Visual SPC'!$B$3),"")</f>
        <v/>
      </c>
      <c r="E9864">
        <f>IF(B9864=1,D9864,E9863)</f>
        <v/>
      </c>
      <c r="F9864">
        <f>IF(AND(B9864=1,C9864&gt;1,E9863&lt;&gt;""),ABS(D9864-E9863),"")</f>
        <v/>
      </c>
    </row>
    <row r="9865">
      <c r="A9865" t="n">
        <v>9865</v>
      </c>
      <c r="B9865">
        <f>IF(INDEX('Data Entry'!$H$5:$BE$10004,9865-4,'Visual SPC'!$B$3)="",0,IF(AND(OR('Visual SPC'!$C$4="",'Data Entry'!$C9865&gt;='Visual SPC'!$C$4),OR('Visual SPC'!$E$4="",'Data Entry'!$C9865&lt;='Visual SPC'!$E$4),OR('Visual SPC'!$G$4="",'Data Entry'!$D9865='Visual SPC'!$G$4),OR('Visual SPC'!$I$4="",'Data Entry'!$E9865='Visual SPC'!$I$4),OR('Visual SPC'!$K$4="",'Data Entry'!$F9865='Visual SPC'!$K$4)),1,0))</f>
        <v/>
      </c>
      <c r="C9865">
        <f>C9864+B9865</f>
        <v/>
      </c>
      <c r="D9865">
        <f>IF(B9865=1,INDEX('Data Entry'!$H$5:$BE$10004,9865-4,'Visual SPC'!$B$3),"")</f>
        <v/>
      </c>
      <c r="E9865">
        <f>IF(B9865=1,D9865,E9864)</f>
        <v/>
      </c>
      <c r="F9865">
        <f>IF(AND(B9865=1,C9865&gt;1,E9864&lt;&gt;""),ABS(D9865-E9864),"")</f>
        <v/>
      </c>
    </row>
    <row r="9866">
      <c r="A9866" t="n">
        <v>9866</v>
      </c>
      <c r="B9866">
        <f>IF(INDEX('Data Entry'!$H$5:$BE$10004,9866-4,'Visual SPC'!$B$3)="",0,IF(AND(OR('Visual SPC'!$C$4="",'Data Entry'!$C9866&gt;='Visual SPC'!$C$4),OR('Visual SPC'!$E$4="",'Data Entry'!$C9866&lt;='Visual SPC'!$E$4),OR('Visual SPC'!$G$4="",'Data Entry'!$D9866='Visual SPC'!$G$4),OR('Visual SPC'!$I$4="",'Data Entry'!$E9866='Visual SPC'!$I$4),OR('Visual SPC'!$K$4="",'Data Entry'!$F9866='Visual SPC'!$K$4)),1,0))</f>
        <v/>
      </c>
      <c r="C9866">
        <f>C9865+B9866</f>
        <v/>
      </c>
      <c r="D9866">
        <f>IF(B9866=1,INDEX('Data Entry'!$H$5:$BE$10004,9866-4,'Visual SPC'!$B$3),"")</f>
        <v/>
      </c>
      <c r="E9866">
        <f>IF(B9866=1,D9866,E9865)</f>
        <v/>
      </c>
      <c r="F9866">
        <f>IF(AND(B9866=1,C9866&gt;1,E9865&lt;&gt;""),ABS(D9866-E9865),"")</f>
        <v/>
      </c>
    </row>
    <row r="9867">
      <c r="A9867" t="n">
        <v>9867</v>
      </c>
      <c r="B9867">
        <f>IF(INDEX('Data Entry'!$H$5:$BE$10004,9867-4,'Visual SPC'!$B$3)="",0,IF(AND(OR('Visual SPC'!$C$4="",'Data Entry'!$C9867&gt;='Visual SPC'!$C$4),OR('Visual SPC'!$E$4="",'Data Entry'!$C9867&lt;='Visual SPC'!$E$4),OR('Visual SPC'!$G$4="",'Data Entry'!$D9867='Visual SPC'!$G$4),OR('Visual SPC'!$I$4="",'Data Entry'!$E9867='Visual SPC'!$I$4),OR('Visual SPC'!$K$4="",'Data Entry'!$F9867='Visual SPC'!$K$4)),1,0))</f>
        <v/>
      </c>
      <c r="C9867">
        <f>C9866+B9867</f>
        <v/>
      </c>
      <c r="D9867">
        <f>IF(B9867=1,INDEX('Data Entry'!$H$5:$BE$10004,9867-4,'Visual SPC'!$B$3),"")</f>
        <v/>
      </c>
      <c r="E9867">
        <f>IF(B9867=1,D9867,E9866)</f>
        <v/>
      </c>
      <c r="F9867">
        <f>IF(AND(B9867=1,C9867&gt;1,E9866&lt;&gt;""),ABS(D9867-E9866),"")</f>
        <v/>
      </c>
    </row>
    <row r="9868">
      <c r="A9868" t="n">
        <v>9868</v>
      </c>
      <c r="B9868">
        <f>IF(INDEX('Data Entry'!$H$5:$BE$10004,9868-4,'Visual SPC'!$B$3)="",0,IF(AND(OR('Visual SPC'!$C$4="",'Data Entry'!$C9868&gt;='Visual SPC'!$C$4),OR('Visual SPC'!$E$4="",'Data Entry'!$C9868&lt;='Visual SPC'!$E$4),OR('Visual SPC'!$G$4="",'Data Entry'!$D9868='Visual SPC'!$G$4),OR('Visual SPC'!$I$4="",'Data Entry'!$E9868='Visual SPC'!$I$4),OR('Visual SPC'!$K$4="",'Data Entry'!$F9868='Visual SPC'!$K$4)),1,0))</f>
        <v/>
      </c>
      <c r="C9868">
        <f>C9867+B9868</f>
        <v/>
      </c>
      <c r="D9868">
        <f>IF(B9868=1,INDEX('Data Entry'!$H$5:$BE$10004,9868-4,'Visual SPC'!$B$3),"")</f>
        <v/>
      </c>
      <c r="E9868">
        <f>IF(B9868=1,D9868,E9867)</f>
        <v/>
      </c>
      <c r="F9868">
        <f>IF(AND(B9868=1,C9868&gt;1,E9867&lt;&gt;""),ABS(D9868-E9867),"")</f>
        <v/>
      </c>
    </row>
    <row r="9869">
      <c r="A9869" t="n">
        <v>9869</v>
      </c>
      <c r="B9869">
        <f>IF(INDEX('Data Entry'!$H$5:$BE$10004,9869-4,'Visual SPC'!$B$3)="",0,IF(AND(OR('Visual SPC'!$C$4="",'Data Entry'!$C9869&gt;='Visual SPC'!$C$4),OR('Visual SPC'!$E$4="",'Data Entry'!$C9869&lt;='Visual SPC'!$E$4),OR('Visual SPC'!$G$4="",'Data Entry'!$D9869='Visual SPC'!$G$4),OR('Visual SPC'!$I$4="",'Data Entry'!$E9869='Visual SPC'!$I$4),OR('Visual SPC'!$K$4="",'Data Entry'!$F9869='Visual SPC'!$K$4)),1,0))</f>
        <v/>
      </c>
      <c r="C9869">
        <f>C9868+B9869</f>
        <v/>
      </c>
      <c r="D9869">
        <f>IF(B9869=1,INDEX('Data Entry'!$H$5:$BE$10004,9869-4,'Visual SPC'!$B$3),"")</f>
        <v/>
      </c>
      <c r="E9869">
        <f>IF(B9869=1,D9869,E9868)</f>
        <v/>
      </c>
      <c r="F9869">
        <f>IF(AND(B9869=1,C9869&gt;1,E9868&lt;&gt;""),ABS(D9869-E9868),"")</f>
        <v/>
      </c>
    </row>
    <row r="9870">
      <c r="A9870" t="n">
        <v>9870</v>
      </c>
      <c r="B9870">
        <f>IF(INDEX('Data Entry'!$H$5:$BE$10004,9870-4,'Visual SPC'!$B$3)="",0,IF(AND(OR('Visual SPC'!$C$4="",'Data Entry'!$C9870&gt;='Visual SPC'!$C$4),OR('Visual SPC'!$E$4="",'Data Entry'!$C9870&lt;='Visual SPC'!$E$4),OR('Visual SPC'!$G$4="",'Data Entry'!$D9870='Visual SPC'!$G$4),OR('Visual SPC'!$I$4="",'Data Entry'!$E9870='Visual SPC'!$I$4),OR('Visual SPC'!$K$4="",'Data Entry'!$F9870='Visual SPC'!$K$4)),1,0))</f>
        <v/>
      </c>
      <c r="C9870">
        <f>C9869+B9870</f>
        <v/>
      </c>
      <c r="D9870">
        <f>IF(B9870=1,INDEX('Data Entry'!$H$5:$BE$10004,9870-4,'Visual SPC'!$B$3),"")</f>
        <v/>
      </c>
      <c r="E9870">
        <f>IF(B9870=1,D9870,E9869)</f>
        <v/>
      </c>
      <c r="F9870">
        <f>IF(AND(B9870=1,C9870&gt;1,E9869&lt;&gt;""),ABS(D9870-E9869),"")</f>
        <v/>
      </c>
    </row>
    <row r="9871">
      <c r="A9871" t="n">
        <v>9871</v>
      </c>
      <c r="B9871">
        <f>IF(INDEX('Data Entry'!$H$5:$BE$10004,9871-4,'Visual SPC'!$B$3)="",0,IF(AND(OR('Visual SPC'!$C$4="",'Data Entry'!$C9871&gt;='Visual SPC'!$C$4),OR('Visual SPC'!$E$4="",'Data Entry'!$C9871&lt;='Visual SPC'!$E$4),OR('Visual SPC'!$G$4="",'Data Entry'!$D9871='Visual SPC'!$G$4),OR('Visual SPC'!$I$4="",'Data Entry'!$E9871='Visual SPC'!$I$4),OR('Visual SPC'!$K$4="",'Data Entry'!$F9871='Visual SPC'!$K$4)),1,0))</f>
        <v/>
      </c>
      <c r="C9871">
        <f>C9870+B9871</f>
        <v/>
      </c>
      <c r="D9871">
        <f>IF(B9871=1,INDEX('Data Entry'!$H$5:$BE$10004,9871-4,'Visual SPC'!$B$3),"")</f>
        <v/>
      </c>
      <c r="E9871">
        <f>IF(B9871=1,D9871,E9870)</f>
        <v/>
      </c>
      <c r="F9871">
        <f>IF(AND(B9871=1,C9871&gt;1,E9870&lt;&gt;""),ABS(D9871-E9870),"")</f>
        <v/>
      </c>
    </row>
    <row r="9872">
      <c r="A9872" t="n">
        <v>9872</v>
      </c>
      <c r="B9872">
        <f>IF(INDEX('Data Entry'!$H$5:$BE$10004,9872-4,'Visual SPC'!$B$3)="",0,IF(AND(OR('Visual SPC'!$C$4="",'Data Entry'!$C9872&gt;='Visual SPC'!$C$4),OR('Visual SPC'!$E$4="",'Data Entry'!$C9872&lt;='Visual SPC'!$E$4),OR('Visual SPC'!$G$4="",'Data Entry'!$D9872='Visual SPC'!$G$4),OR('Visual SPC'!$I$4="",'Data Entry'!$E9872='Visual SPC'!$I$4),OR('Visual SPC'!$K$4="",'Data Entry'!$F9872='Visual SPC'!$K$4)),1,0))</f>
        <v/>
      </c>
      <c r="C9872">
        <f>C9871+B9872</f>
        <v/>
      </c>
      <c r="D9872">
        <f>IF(B9872=1,INDEX('Data Entry'!$H$5:$BE$10004,9872-4,'Visual SPC'!$B$3),"")</f>
        <v/>
      </c>
      <c r="E9872">
        <f>IF(B9872=1,D9872,E9871)</f>
        <v/>
      </c>
      <c r="F9872">
        <f>IF(AND(B9872=1,C9872&gt;1,E9871&lt;&gt;""),ABS(D9872-E9871),"")</f>
        <v/>
      </c>
    </row>
    <row r="9873">
      <c r="A9873" t="n">
        <v>9873</v>
      </c>
      <c r="B9873">
        <f>IF(INDEX('Data Entry'!$H$5:$BE$10004,9873-4,'Visual SPC'!$B$3)="",0,IF(AND(OR('Visual SPC'!$C$4="",'Data Entry'!$C9873&gt;='Visual SPC'!$C$4),OR('Visual SPC'!$E$4="",'Data Entry'!$C9873&lt;='Visual SPC'!$E$4),OR('Visual SPC'!$G$4="",'Data Entry'!$D9873='Visual SPC'!$G$4),OR('Visual SPC'!$I$4="",'Data Entry'!$E9873='Visual SPC'!$I$4),OR('Visual SPC'!$K$4="",'Data Entry'!$F9873='Visual SPC'!$K$4)),1,0))</f>
        <v/>
      </c>
      <c r="C9873">
        <f>C9872+B9873</f>
        <v/>
      </c>
      <c r="D9873">
        <f>IF(B9873=1,INDEX('Data Entry'!$H$5:$BE$10004,9873-4,'Visual SPC'!$B$3),"")</f>
        <v/>
      </c>
      <c r="E9873">
        <f>IF(B9873=1,D9873,E9872)</f>
        <v/>
      </c>
      <c r="F9873">
        <f>IF(AND(B9873=1,C9873&gt;1,E9872&lt;&gt;""),ABS(D9873-E9872),"")</f>
        <v/>
      </c>
    </row>
    <row r="9874">
      <c r="A9874" t="n">
        <v>9874</v>
      </c>
      <c r="B9874">
        <f>IF(INDEX('Data Entry'!$H$5:$BE$10004,9874-4,'Visual SPC'!$B$3)="",0,IF(AND(OR('Visual SPC'!$C$4="",'Data Entry'!$C9874&gt;='Visual SPC'!$C$4),OR('Visual SPC'!$E$4="",'Data Entry'!$C9874&lt;='Visual SPC'!$E$4),OR('Visual SPC'!$G$4="",'Data Entry'!$D9874='Visual SPC'!$G$4),OR('Visual SPC'!$I$4="",'Data Entry'!$E9874='Visual SPC'!$I$4),OR('Visual SPC'!$K$4="",'Data Entry'!$F9874='Visual SPC'!$K$4)),1,0))</f>
        <v/>
      </c>
      <c r="C9874">
        <f>C9873+B9874</f>
        <v/>
      </c>
      <c r="D9874">
        <f>IF(B9874=1,INDEX('Data Entry'!$H$5:$BE$10004,9874-4,'Visual SPC'!$B$3),"")</f>
        <v/>
      </c>
      <c r="E9874">
        <f>IF(B9874=1,D9874,E9873)</f>
        <v/>
      </c>
      <c r="F9874">
        <f>IF(AND(B9874=1,C9874&gt;1,E9873&lt;&gt;""),ABS(D9874-E9873),"")</f>
        <v/>
      </c>
    </row>
    <row r="9875">
      <c r="A9875" t="n">
        <v>9875</v>
      </c>
      <c r="B9875">
        <f>IF(INDEX('Data Entry'!$H$5:$BE$10004,9875-4,'Visual SPC'!$B$3)="",0,IF(AND(OR('Visual SPC'!$C$4="",'Data Entry'!$C9875&gt;='Visual SPC'!$C$4),OR('Visual SPC'!$E$4="",'Data Entry'!$C9875&lt;='Visual SPC'!$E$4),OR('Visual SPC'!$G$4="",'Data Entry'!$D9875='Visual SPC'!$G$4),OR('Visual SPC'!$I$4="",'Data Entry'!$E9875='Visual SPC'!$I$4),OR('Visual SPC'!$K$4="",'Data Entry'!$F9875='Visual SPC'!$K$4)),1,0))</f>
        <v/>
      </c>
      <c r="C9875">
        <f>C9874+B9875</f>
        <v/>
      </c>
      <c r="D9875">
        <f>IF(B9875=1,INDEX('Data Entry'!$H$5:$BE$10004,9875-4,'Visual SPC'!$B$3),"")</f>
        <v/>
      </c>
      <c r="E9875">
        <f>IF(B9875=1,D9875,E9874)</f>
        <v/>
      </c>
      <c r="F9875">
        <f>IF(AND(B9875=1,C9875&gt;1,E9874&lt;&gt;""),ABS(D9875-E9874),"")</f>
        <v/>
      </c>
    </row>
    <row r="9876">
      <c r="A9876" t="n">
        <v>9876</v>
      </c>
      <c r="B9876">
        <f>IF(INDEX('Data Entry'!$H$5:$BE$10004,9876-4,'Visual SPC'!$B$3)="",0,IF(AND(OR('Visual SPC'!$C$4="",'Data Entry'!$C9876&gt;='Visual SPC'!$C$4),OR('Visual SPC'!$E$4="",'Data Entry'!$C9876&lt;='Visual SPC'!$E$4),OR('Visual SPC'!$G$4="",'Data Entry'!$D9876='Visual SPC'!$G$4),OR('Visual SPC'!$I$4="",'Data Entry'!$E9876='Visual SPC'!$I$4),OR('Visual SPC'!$K$4="",'Data Entry'!$F9876='Visual SPC'!$K$4)),1,0))</f>
        <v/>
      </c>
      <c r="C9876">
        <f>C9875+B9876</f>
        <v/>
      </c>
      <c r="D9876">
        <f>IF(B9876=1,INDEX('Data Entry'!$H$5:$BE$10004,9876-4,'Visual SPC'!$B$3),"")</f>
        <v/>
      </c>
      <c r="E9876">
        <f>IF(B9876=1,D9876,E9875)</f>
        <v/>
      </c>
      <c r="F9876">
        <f>IF(AND(B9876=1,C9876&gt;1,E9875&lt;&gt;""),ABS(D9876-E9875),"")</f>
        <v/>
      </c>
    </row>
    <row r="9877">
      <c r="A9877" t="n">
        <v>9877</v>
      </c>
      <c r="B9877">
        <f>IF(INDEX('Data Entry'!$H$5:$BE$10004,9877-4,'Visual SPC'!$B$3)="",0,IF(AND(OR('Visual SPC'!$C$4="",'Data Entry'!$C9877&gt;='Visual SPC'!$C$4),OR('Visual SPC'!$E$4="",'Data Entry'!$C9877&lt;='Visual SPC'!$E$4),OR('Visual SPC'!$G$4="",'Data Entry'!$D9877='Visual SPC'!$G$4),OR('Visual SPC'!$I$4="",'Data Entry'!$E9877='Visual SPC'!$I$4),OR('Visual SPC'!$K$4="",'Data Entry'!$F9877='Visual SPC'!$K$4)),1,0))</f>
        <v/>
      </c>
      <c r="C9877">
        <f>C9876+B9877</f>
        <v/>
      </c>
      <c r="D9877">
        <f>IF(B9877=1,INDEX('Data Entry'!$H$5:$BE$10004,9877-4,'Visual SPC'!$B$3),"")</f>
        <v/>
      </c>
      <c r="E9877">
        <f>IF(B9877=1,D9877,E9876)</f>
        <v/>
      </c>
      <c r="F9877">
        <f>IF(AND(B9877=1,C9877&gt;1,E9876&lt;&gt;""),ABS(D9877-E9876),"")</f>
        <v/>
      </c>
    </row>
    <row r="9878">
      <c r="A9878" t="n">
        <v>9878</v>
      </c>
      <c r="B9878">
        <f>IF(INDEX('Data Entry'!$H$5:$BE$10004,9878-4,'Visual SPC'!$B$3)="",0,IF(AND(OR('Visual SPC'!$C$4="",'Data Entry'!$C9878&gt;='Visual SPC'!$C$4),OR('Visual SPC'!$E$4="",'Data Entry'!$C9878&lt;='Visual SPC'!$E$4),OR('Visual SPC'!$G$4="",'Data Entry'!$D9878='Visual SPC'!$G$4),OR('Visual SPC'!$I$4="",'Data Entry'!$E9878='Visual SPC'!$I$4),OR('Visual SPC'!$K$4="",'Data Entry'!$F9878='Visual SPC'!$K$4)),1,0))</f>
        <v/>
      </c>
      <c r="C9878">
        <f>C9877+B9878</f>
        <v/>
      </c>
      <c r="D9878">
        <f>IF(B9878=1,INDEX('Data Entry'!$H$5:$BE$10004,9878-4,'Visual SPC'!$B$3),"")</f>
        <v/>
      </c>
      <c r="E9878">
        <f>IF(B9878=1,D9878,E9877)</f>
        <v/>
      </c>
      <c r="F9878">
        <f>IF(AND(B9878=1,C9878&gt;1,E9877&lt;&gt;""),ABS(D9878-E9877),"")</f>
        <v/>
      </c>
    </row>
    <row r="9879">
      <c r="A9879" t="n">
        <v>9879</v>
      </c>
      <c r="B9879">
        <f>IF(INDEX('Data Entry'!$H$5:$BE$10004,9879-4,'Visual SPC'!$B$3)="",0,IF(AND(OR('Visual SPC'!$C$4="",'Data Entry'!$C9879&gt;='Visual SPC'!$C$4),OR('Visual SPC'!$E$4="",'Data Entry'!$C9879&lt;='Visual SPC'!$E$4),OR('Visual SPC'!$G$4="",'Data Entry'!$D9879='Visual SPC'!$G$4),OR('Visual SPC'!$I$4="",'Data Entry'!$E9879='Visual SPC'!$I$4),OR('Visual SPC'!$K$4="",'Data Entry'!$F9879='Visual SPC'!$K$4)),1,0))</f>
        <v/>
      </c>
      <c r="C9879">
        <f>C9878+B9879</f>
        <v/>
      </c>
      <c r="D9879">
        <f>IF(B9879=1,INDEX('Data Entry'!$H$5:$BE$10004,9879-4,'Visual SPC'!$B$3),"")</f>
        <v/>
      </c>
      <c r="E9879">
        <f>IF(B9879=1,D9879,E9878)</f>
        <v/>
      </c>
      <c r="F9879">
        <f>IF(AND(B9879=1,C9879&gt;1,E9878&lt;&gt;""),ABS(D9879-E9878),"")</f>
        <v/>
      </c>
    </row>
    <row r="9880">
      <c r="A9880" t="n">
        <v>9880</v>
      </c>
      <c r="B9880">
        <f>IF(INDEX('Data Entry'!$H$5:$BE$10004,9880-4,'Visual SPC'!$B$3)="",0,IF(AND(OR('Visual SPC'!$C$4="",'Data Entry'!$C9880&gt;='Visual SPC'!$C$4),OR('Visual SPC'!$E$4="",'Data Entry'!$C9880&lt;='Visual SPC'!$E$4),OR('Visual SPC'!$G$4="",'Data Entry'!$D9880='Visual SPC'!$G$4),OR('Visual SPC'!$I$4="",'Data Entry'!$E9880='Visual SPC'!$I$4),OR('Visual SPC'!$K$4="",'Data Entry'!$F9880='Visual SPC'!$K$4)),1,0))</f>
        <v/>
      </c>
      <c r="C9880">
        <f>C9879+B9880</f>
        <v/>
      </c>
      <c r="D9880">
        <f>IF(B9880=1,INDEX('Data Entry'!$H$5:$BE$10004,9880-4,'Visual SPC'!$B$3),"")</f>
        <v/>
      </c>
      <c r="E9880">
        <f>IF(B9880=1,D9880,E9879)</f>
        <v/>
      </c>
      <c r="F9880">
        <f>IF(AND(B9880=1,C9880&gt;1,E9879&lt;&gt;""),ABS(D9880-E9879),"")</f>
        <v/>
      </c>
    </row>
    <row r="9881">
      <c r="A9881" t="n">
        <v>9881</v>
      </c>
      <c r="B9881">
        <f>IF(INDEX('Data Entry'!$H$5:$BE$10004,9881-4,'Visual SPC'!$B$3)="",0,IF(AND(OR('Visual SPC'!$C$4="",'Data Entry'!$C9881&gt;='Visual SPC'!$C$4),OR('Visual SPC'!$E$4="",'Data Entry'!$C9881&lt;='Visual SPC'!$E$4),OR('Visual SPC'!$G$4="",'Data Entry'!$D9881='Visual SPC'!$G$4),OR('Visual SPC'!$I$4="",'Data Entry'!$E9881='Visual SPC'!$I$4),OR('Visual SPC'!$K$4="",'Data Entry'!$F9881='Visual SPC'!$K$4)),1,0))</f>
        <v/>
      </c>
      <c r="C9881">
        <f>C9880+B9881</f>
        <v/>
      </c>
      <c r="D9881">
        <f>IF(B9881=1,INDEX('Data Entry'!$H$5:$BE$10004,9881-4,'Visual SPC'!$B$3),"")</f>
        <v/>
      </c>
      <c r="E9881">
        <f>IF(B9881=1,D9881,E9880)</f>
        <v/>
      </c>
      <c r="F9881">
        <f>IF(AND(B9881=1,C9881&gt;1,E9880&lt;&gt;""),ABS(D9881-E9880),"")</f>
        <v/>
      </c>
    </row>
    <row r="9882">
      <c r="A9882" t="n">
        <v>9882</v>
      </c>
      <c r="B9882">
        <f>IF(INDEX('Data Entry'!$H$5:$BE$10004,9882-4,'Visual SPC'!$B$3)="",0,IF(AND(OR('Visual SPC'!$C$4="",'Data Entry'!$C9882&gt;='Visual SPC'!$C$4),OR('Visual SPC'!$E$4="",'Data Entry'!$C9882&lt;='Visual SPC'!$E$4),OR('Visual SPC'!$G$4="",'Data Entry'!$D9882='Visual SPC'!$G$4),OR('Visual SPC'!$I$4="",'Data Entry'!$E9882='Visual SPC'!$I$4),OR('Visual SPC'!$K$4="",'Data Entry'!$F9882='Visual SPC'!$K$4)),1,0))</f>
        <v/>
      </c>
      <c r="C9882">
        <f>C9881+B9882</f>
        <v/>
      </c>
      <c r="D9882">
        <f>IF(B9882=1,INDEX('Data Entry'!$H$5:$BE$10004,9882-4,'Visual SPC'!$B$3),"")</f>
        <v/>
      </c>
      <c r="E9882">
        <f>IF(B9882=1,D9882,E9881)</f>
        <v/>
      </c>
      <c r="F9882">
        <f>IF(AND(B9882=1,C9882&gt;1,E9881&lt;&gt;""),ABS(D9882-E9881),"")</f>
        <v/>
      </c>
    </row>
    <row r="9883">
      <c r="A9883" t="n">
        <v>9883</v>
      </c>
      <c r="B9883">
        <f>IF(INDEX('Data Entry'!$H$5:$BE$10004,9883-4,'Visual SPC'!$B$3)="",0,IF(AND(OR('Visual SPC'!$C$4="",'Data Entry'!$C9883&gt;='Visual SPC'!$C$4),OR('Visual SPC'!$E$4="",'Data Entry'!$C9883&lt;='Visual SPC'!$E$4),OR('Visual SPC'!$G$4="",'Data Entry'!$D9883='Visual SPC'!$G$4),OR('Visual SPC'!$I$4="",'Data Entry'!$E9883='Visual SPC'!$I$4),OR('Visual SPC'!$K$4="",'Data Entry'!$F9883='Visual SPC'!$K$4)),1,0))</f>
        <v/>
      </c>
      <c r="C9883">
        <f>C9882+B9883</f>
        <v/>
      </c>
      <c r="D9883">
        <f>IF(B9883=1,INDEX('Data Entry'!$H$5:$BE$10004,9883-4,'Visual SPC'!$B$3),"")</f>
        <v/>
      </c>
      <c r="E9883">
        <f>IF(B9883=1,D9883,E9882)</f>
        <v/>
      </c>
      <c r="F9883">
        <f>IF(AND(B9883=1,C9883&gt;1,E9882&lt;&gt;""),ABS(D9883-E9882),"")</f>
        <v/>
      </c>
    </row>
    <row r="9884">
      <c r="A9884" t="n">
        <v>9884</v>
      </c>
      <c r="B9884">
        <f>IF(INDEX('Data Entry'!$H$5:$BE$10004,9884-4,'Visual SPC'!$B$3)="",0,IF(AND(OR('Visual SPC'!$C$4="",'Data Entry'!$C9884&gt;='Visual SPC'!$C$4),OR('Visual SPC'!$E$4="",'Data Entry'!$C9884&lt;='Visual SPC'!$E$4),OR('Visual SPC'!$G$4="",'Data Entry'!$D9884='Visual SPC'!$G$4),OR('Visual SPC'!$I$4="",'Data Entry'!$E9884='Visual SPC'!$I$4),OR('Visual SPC'!$K$4="",'Data Entry'!$F9884='Visual SPC'!$K$4)),1,0))</f>
        <v/>
      </c>
      <c r="C9884">
        <f>C9883+B9884</f>
        <v/>
      </c>
      <c r="D9884">
        <f>IF(B9884=1,INDEX('Data Entry'!$H$5:$BE$10004,9884-4,'Visual SPC'!$B$3),"")</f>
        <v/>
      </c>
      <c r="E9884">
        <f>IF(B9884=1,D9884,E9883)</f>
        <v/>
      </c>
      <c r="F9884">
        <f>IF(AND(B9884=1,C9884&gt;1,E9883&lt;&gt;""),ABS(D9884-E9883),"")</f>
        <v/>
      </c>
    </row>
    <row r="9885">
      <c r="A9885" t="n">
        <v>9885</v>
      </c>
      <c r="B9885">
        <f>IF(INDEX('Data Entry'!$H$5:$BE$10004,9885-4,'Visual SPC'!$B$3)="",0,IF(AND(OR('Visual SPC'!$C$4="",'Data Entry'!$C9885&gt;='Visual SPC'!$C$4),OR('Visual SPC'!$E$4="",'Data Entry'!$C9885&lt;='Visual SPC'!$E$4),OR('Visual SPC'!$G$4="",'Data Entry'!$D9885='Visual SPC'!$G$4),OR('Visual SPC'!$I$4="",'Data Entry'!$E9885='Visual SPC'!$I$4),OR('Visual SPC'!$K$4="",'Data Entry'!$F9885='Visual SPC'!$K$4)),1,0))</f>
        <v/>
      </c>
      <c r="C9885">
        <f>C9884+B9885</f>
        <v/>
      </c>
      <c r="D9885">
        <f>IF(B9885=1,INDEX('Data Entry'!$H$5:$BE$10004,9885-4,'Visual SPC'!$B$3),"")</f>
        <v/>
      </c>
      <c r="E9885">
        <f>IF(B9885=1,D9885,E9884)</f>
        <v/>
      </c>
      <c r="F9885">
        <f>IF(AND(B9885=1,C9885&gt;1,E9884&lt;&gt;""),ABS(D9885-E9884),"")</f>
        <v/>
      </c>
    </row>
    <row r="9886">
      <c r="A9886" t="n">
        <v>9886</v>
      </c>
      <c r="B9886">
        <f>IF(INDEX('Data Entry'!$H$5:$BE$10004,9886-4,'Visual SPC'!$B$3)="",0,IF(AND(OR('Visual SPC'!$C$4="",'Data Entry'!$C9886&gt;='Visual SPC'!$C$4),OR('Visual SPC'!$E$4="",'Data Entry'!$C9886&lt;='Visual SPC'!$E$4),OR('Visual SPC'!$G$4="",'Data Entry'!$D9886='Visual SPC'!$G$4),OR('Visual SPC'!$I$4="",'Data Entry'!$E9886='Visual SPC'!$I$4),OR('Visual SPC'!$K$4="",'Data Entry'!$F9886='Visual SPC'!$K$4)),1,0))</f>
        <v/>
      </c>
      <c r="C9886">
        <f>C9885+B9886</f>
        <v/>
      </c>
      <c r="D9886">
        <f>IF(B9886=1,INDEX('Data Entry'!$H$5:$BE$10004,9886-4,'Visual SPC'!$B$3),"")</f>
        <v/>
      </c>
      <c r="E9886">
        <f>IF(B9886=1,D9886,E9885)</f>
        <v/>
      </c>
      <c r="F9886">
        <f>IF(AND(B9886=1,C9886&gt;1,E9885&lt;&gt;""),ABS(D9886-E9885),"")</f>
        <v/>
      </c>
    </row>
    <row r="9887">
      <c r="A9887" t="n">
        <v>9887</v>
      </c>
      <c r="B9887">
        <f>IF(INDEX('Data Entry'!$H$5:$BE$10004,9887-4,'Visual SPC'!$B$3)="",0,IF(AND(OR('Visual SPC'!$C$4="",'Data Entry'!$C9887&gt;='Visual SPC'!$C$4),OR('Visual SPC'!$E$4="",'Data Entry'!$C9887&lt;='Visual SPC'!$E$4),OR('Visual SPC'!$G$4="",'Data Entry'!$D9887='Visual SPC'!$G$4),OR('Visual SPC'!$I$4="",'Data Entry'!$E9887='Visual SPC'!$I$4),OR('Visual SPC'!$K$4="",'Data Entry'!$F9887='Visual SPC'!$K$4)),1,0))</f>
        <v/>
      </c>
      <c r="C9887">
        <f>C9886+B9887</f>
        <v/>
      </c>
      <c r="D9887">
        <f>IF(B9887=1,INDEX('Data Entry'!$H$5:$BE$10004,9887-4,'Visual SPC'!$B$3),"")</f>
        <v/>
      </c>
      <c r="E9887">
        <f>IF(B9887=1,D9887,E9886)</f>
        <v/>
      </c>
      <c r="F9887">
        <f>IF(AND(B9887=1,C9887&gt;1,E9886&lt;&gt;""),ABS(D9887-E9886),"")</f>
        <v/>
      </c>
    </row>
    <row r="9888">
      <c r="A9888" t="n">
        <v>9888</v>
      </c>
      <c r="B9888">
        <f>IF(INDEX('Data Entry'!$H$5:$BE$10004,9888-4,'Visual SPC'!$B$3)="",0,IF(AND(OR('Visual SPC'!$C$4="",'Data Entry'!$C9888&gt;='Visual SPC'!$C$4),OR('Visual SPC'!$E$4="",'Data Entry'!$C9888&lt;='Visual SPC'!$E$4),OR('Visual SPC'!$G$4="",'Data Entry'!$D9888='Visual SPC'!$G$4),OR('Visual SPC'!$I$4="",'Data Entry'!$E9888='Visual SPC'!$I$4),OR('Visual SPC'!$K$4="",'Data Entry'!$F9888='Visual SPC'!$K$4)),1,0))</f>
        <v/>
      </c>
      <c r="C9888">
        <f>C9887+B9888</f>
        <v/>
      </c>
      <c r="D9888">
        <f>IF(B9888=1,INDEX('Data Entry'!$H$5:$BE$10004,9888-4,'Visual SPC'!$B$3),"")</f>
        <v/>
      </c>
      <c r="E9888">
        <f>IF(B9888=1,D9888,E9887)</f>
        <v/>
      </c>
      <c r="F9888">
        <f>IF(AND(B9888=1,C9888&gt;1,E9887&lt;&gt;""),ABS(D9888-E9887),"")</f>
        <v/>
      </c>
    </row>
    <row r="9889">
      <c r="A9889" t="n">
        <v>9889</v>
      </c>
      <c r="B9889">
        <f>IF(INDEX('Data Entry'!$H$5:$BE$10004,9889-4,'Visual SPC'!$B$3)="",0,IF(AND(OR('Visual SPC'!$C$4="",'Data Entry'!$C9889&gt;='Visual SPC'!$C$4),OR('Visual SPC'!$E$4="",'Data Entry'!$C9889&lt;='Visual SPC'!$E$4),OR('Visual SPC'!$G$4="",'Data Entry'!$D9889='Visual SPC'!$G$4),OR('Visual SPC'!$I$4="",'Data Entry'!$E9889='Visual SPC'!$I$4),OR('Visual SPC'!$K$4="",'Data Entry'!$F9889='Visual SPC'!$K$4)),1,0))</f>
        <v/>
      </c>
      <c r="C9889">
        <f>C9888+B9889</f>
        <v/>
      </c>
      <c r="D9889">
        <f>IF(B9889=1,INDEX('Data Entry'!$H$5:$BE$10004,9889-4,'Visual SPC'!$B$3),"")</f>
        <v/>
      </c>
      <c r="E9889">
        <f>IF(B9889=1,D9889,E9888)</f>
        <v/>
      </c>
      <c r="F9889">
        <f>IF(AND(B9889=1,C9889&gt;1,E9888&lt;&gt;""),ABS(D9889-E9888),"")</f>
        <v/>
      </c>
    </row>
    <row r="9890">
      <c r="A9890" t="n">
        <v>9890</v>
      </c>
      <c r="B9890">
        <f>IF(INDEX('Data Entry'!$H$5:$BE$10004,9890-4,'Visual SPC'!$B$3)="",0,IF(AND(OR('Visual SPC'!$C$4="",'Data Entry'!$C9890&gt;='Visual SPC'!$C$4),OR('Visual SPC'!$E$4="",'Data Entry'!$C9890&lt;='Visual SPC'!$E$4),OR('Visual SPC'!$G$4="",'Data Entry'!$D9890='Visual SPC'!$G$4),OR('Visual SPC'!$I$4="",'Data Entry'!$E9890='Visual SPC'!$I$4),OR('Visual SPC'!$K$4="",'Data Entry'!$F9890='Visual SPC'!$K$4)),1,0))</f>
        <v/>
      </c>
      <c r="C9890">
        <f>C9889+B9890</f>
        <v/>
      </c>
      <c r="D9890">
        <f>IF(B9890=1,INDEX('Data Entry'!$H$5:$BE$10004,9890-4,'Visual SPC'!$B$3),"")</f>
        <v/>
      </c>
      <c r="E9890">
        <f>IF(B9890=1,D9890,E9889)</f>
        <v/>
      </c>
      <c r="F9890">
        <f>IF(AND(B9890=1,C9890&gt;1,E9889&lt;&gt;""),ABS(D9890-E9889),"")</f>
        <v/>
      </c>
    </row>
    <row r="9891">
      <c r="A9891" t="n">
        <v>9891</v>
      </c>
      <c r="B9891">
        <f>IF(INDEX('Data Entry'!$H$5:$BE$10004,9891-4,'Visual SPC'!$B$3)="",0,IF(AND(OR('Visual SPC'!$C$4="",'Data Entry'!$C9891&gt;='Visual SPC'!$C$4),OR('Visual SPC'!$E$4="",'Data Entry'!$C9891&lt;='Visual SPC'!$E$4),OR('Visual SPC'!$G$4="",'Data Entry'!$D9891='Visual SPC'!$G$4),OR('Visual SPC'!$I$4="",'Data Entry'!$E9891='Visual SPC'!$I$4),OR('Visual SPC'!$K$4="",'Data Entry'!$F9891='Visual SPC'!$K$4)),1,0))</f>
        <v/>
      </c>
      <c r="C9891">
        <f>C9890+B9891</f>
        <v/>
      </c>
      <c r="D9891">
        <f>IF(B9891=1,INDEX('Data Entry'!$H$5:$BE$10004,9891-4,'Visual SPC'!$B$3),"")</f>
        <v/>
      </c>
      <c r="E9891">
        <f>IF(B9891=1,D9891,E9890)</f>
        <v/>
      </c>
      <c r="F9891">
        <f>IF(AND(B9891=1,C9891&gt;1,E9890&lt;&gt;""),ABS(D9891-E9890),"")</f>
        <v/>
      </c>
    </row>
    <row r="9892">
      <c r="A9892" t="n">
        <v>9892</v>
      </c>
      <c r="B9892">
        <f>IF(INDEX('Data Entry'!$H$5:$BE$10004,9892-4,'Visual SPC'!$B$3)="",0,IF(AND(OR('Visual SPC'!$C$4="",'Data Entry'!$C9892&gt;='Visual SPC'!$C$4),OR('Visual SPC'!$E$4="",'Data Entry'!$C9892&lt;='Visual SPC'!$E$4),OR('Visual SPC'!$G$4="",'Data Entry'!$D9892='Visual SPC'!$G$4),OR('Visual SPC'!$I$4="",'Data Entry'!$E9892='Visual SPC'!$I$4),OR('Visual SPC'!$K$4="",'Data Entry'!$F9892='Visual SPC'!$K$4)),1,0))</f>
        <v/>
      </c>
      <c r="C9892">
        <f>C9891+B9892</f>
        <v/>
      </c>
      <c r="D9892">
        <f>IF(B9892=1,INDEX('Data Entry'!$H$5:$BE$10004,9892-4,'Visual SPC'!$B$3),"")</f>
        <v/>
      </c>
      <c r="E9892">
        <f>IF(B9892=1,D9892,E9891)</f>
        <v/>
      </c>
      <c r="F9892">
        <f>IF(AND(B9892=1,C9892&gt;1,E9891&lt;&gt;""),ABS(D9892-E9891),"")</f>
        <v/>
      </c>
    </row>
    <row r="9893">
      <c r="A9893" t="n">
        <v>9893</v>
      </c>
      <c r="B9893">
        <f>IF(INDEX('Data Entry'!$H$5:$BE$10004,9893-4,'Visual SPC'!$B$3)="",0,IF(AND(OR('Visual SPC'!$C$4="",'Data Entry'!$C9893&gt;='Visual SPC'!$C$4),OR('Visual SPC'!$E$4="",'Data Entry'!$C9893&lt;='Visual SPC'!$E$4),OR('Visual SPC'!$G$4="",'Data Entry'!$D9893='Visual SPC'!$G$4),OR('Visual SPC'!$I$4="",'Data Entry'!$E9893='Visual SPC'!$I$4),OR('Visual SPC'!$K$4="",'Data Entry'!$F9893='Visual SPC'!$K$4)),1,0))</f>
        <v/>
      </c>
      <c r="C9893">
        <f>C9892+B9893</f>
        <v/>
      </c>
      <c r="D9893">
        <f>IF(B9893=1,INDEX('Data Entry'!$H$5:$BE$10004,9893-4,'Visual SPC'!$B$3),"")</f>
        <v/>
      </c>
      <c r="E9893">
        <f>IF(B9893=1,D9893,E9892)</f>
        <v/>
      </c>
      <c r="F9893">
        <f>IF(AND(B9893=1,C9893&gt;1,E9892&lt;&gt;""),ABS(D9893-E9892),"")</f>
        <v/>
      </c>
    </row>
    <row r="9894">
      <c r="A9894" t="n">
        <v>9894</v>
      </c>
      <c r="B9894">
        <f>IF(INDEX('Data Entry'!$H$5:$BE$10004,9894-4,'Visual SPC'!$B$3)="",0,IF(AND(OR('Visual SPC'!$C$4="",'Data Entry'!$C9894&gt;='Visual SPC'!$C$4),OR('Visual SPC'!$E$4="",'Data Entry'!$C9894&lt;='Visual SPC'!$E$4),OR('Visual SPC'!$G$4="",'Data Entry'!$D9894='Visual SPC'!$G$4),OR('Visual SPC'!$I$4="",'Data Entry'!$E9894='Visual SPC'!$I$4),OR('Visual SPC'!$K$4="",'Data Entry'!$F9894='Visual SPC'!$K$4)),1,0))</f>
        <v/>
      </c>
      <c r="C9894">
        <f>C9893+B9894</f>
        <v/>
      </c>
      <c r="D9894">
        <f>IF(B9894=1,INDEX('Data Entry'!$H$5:$BE$10004,9894-4,'Visual SPC'!$B$3),"")</f>
        <v/>
      </c>
      <c r="E9894">
        <f>IF(B9894=1,D9894,E9893)</f>
        <v/>
      </c>
      <c r="F9894">
        <f>IF(AND(B9894=1,C9894&gt;1,E9893&lt;&gt;""),ABS(D9894-E9893),"")</f>
        <v/>
      </c>
    </row>
    <row r="9895">
      <c r="A9895" t="n">
        <v>9895</v>
      </c>
      <c r="B9895">
        <f>IF(INDEX('Data Entry'!$H$5:$BE$10004,9895-4,'Visual SPC'!$B$3)="",0,IF(AND(OR('Visual SPC'!$C$4="",'Data Entry'!$C9895&gt;='Visual SPC'!$C$4),OR('Visual SPC'!$E$4="",'Data Entry'!$C9895&lt;='Visual SPC'!$E$4),OR('Visual SPC'!$G$4="",'Data Entry'!$D9895='Visual SPC'!$G$4),OR('Visual SPC'!$I$4="",'Data Entry'!$E9895='Visual SPC'!$I$4),OR('Visual SPC'!$K$4="",'Data Entry'!$F9895='Visual SPC'!$K$4)),1,0))</f>
        <v/>
      </c>
      <c r="C9895">
        <f>C9894+B9895</f>
        <v/>
      </c>
      <c r="D9895">
        <f>IF(B9895=1,INDEX('Data Entry'!$H$5:$BE$10004,9895-4,'Visual SPC'!$B$3),"")</f>
        <v/>
      </c>
      <c r="E9895">
        <f>IF(B9895=1,D9895,E9894)</f>
        <v/>
      </c>
      <c r="F9895">
        <f>IF(AND(B9895=1,C9895&gt;1,E9894&lt;&gt;""),ABS(D9895-E9894),"")</f>
        <v/>
      </c>
    </row>
    <row r="9896">
      <c r="A9896" t="n">
        <v>9896</v>
      </c>
      <c r="B9896">
        <f>IF(INDEX('Data Entry'!$H$5:$BE$10004,9896-4,'Visual SPC'!$B$3)="",0,IF(AND(OR('Visual SPC'!$C$4="",'Data Entry'!$C9896&gt;='Visual SPC'!$C$4),OR('Visual SPC'!$E$4="",'Data Entry'!$C9896&lt;='Visual SPC'!$E$4),OR('Visual SPC'!$G$4="",'Data Entry'!$D9896='Visual SPC'!$G$4),OR('Visual SPC'!$I$4="",'Data Entry'!$E9896='Visual SPC'!$I$4),OR('Visual SPC'!$K$4="",'Data Entry'!$F9896='Visual SPC'!$K$4)),1,0))</f>
        <v/>
      </c>
      <c r="C9896">
        <f>C9895+B9896</f>
        <v/>
      </c>
      <c r="D9896">
        <f>IF(B9896=1,INDEX('Data Entry'!$H$5:$BE$10004,9896-4,'Visual SPC'!$B$3),"")</f>
        <v/>
      </c>
      <c r="E9896">
        <f>IF(B9896=1,D9896,E9895)</f>
        <v/>
      </c>
      <c r="F9896">
        <f>IF(AND(B9896=1,C9896&gt;1,E9895&lt;&gt;""),ABS(D9896-E9895),"")</f>
        <v/>
      </c>
    </row>
    <row r="9897">
      <c r="A9897" t="n">
        <v>9897</v>
      </c>
      <c r="B9897">
        <f>IF(INDEX('Data Entry'!$H$5:$BE$10004,9897-4,'Visual SPC'!$B$3)="",0,IF(AND(OR('Visual SPC'!$C$4="",'Data Entry'!$C9897&gt;='Visual SPC'!$C$4),OR('Visual SPC'!$E$4="",'Data Entry'!$C9897&lt;='Visual SPC'!$E$4),OR('Visual SPC'!$G$4="",'Data Entry'!$D9897='Visual SPC'!$G$4),OR('Visual SPC'!$I$4="",'Data Entry'!$E9897='Visual SPC'!$I$4),OR('Visual SPC'!$K$4="",'Data Entry'!$F9897='Visual SPC'!$K$4)),1,0))</f>
        <v/>
      </c>
      <c r="C9897">
        <f>C9896+B9897</f>
        <v/>
      </c>
      <c r="D9897">
        <f>IF(B9897=1,INDEX('Data Entry'!$H$5:$BE$10004,9897-4,'Visual SPC'!$B$3),"")</f>
        <v/>
      </c>
      <c r="E9897">
        <f>IF(B9897=1,D9897,E9896)</f>
        <v/>
      </c>
      <c r="F9897">
        <f>IF(AND(B9897=1,C9897&gt;1,E9896&lt;&gt;""),ABS(D9897-E9896),"")</f>
        <v/>
      </c>
    </row>
    <row r="9898">
      <c r="A9898" t="n">
        <v>9898</v>
      </c>
      <c r="B9898">
        <f>IF(INDEX('Data Entry'!$H$5:$BE$10004,9898-4,'Visual SPC'!$B$3)="",0,IF(AND(OR('Visual SPC'!$C$4="",'Data Entry'!$C9898&gt;='Visual SPC'!$C$4),OR('Visual SPC'!$E$4="",'Data Entry'!$C9898&lt;='Visual SPC'!$E$4),OR('Visual SPC'!$G$4="",'Data Entry'!$D9898='Visual SPC'!$G$4),OR('Visual SPC'!$I$4="",'Data Entry'!$E9898='Visual SPC'!$I$4),OR('Visual SPC'!$K$4="",'Data Entry'!$F9898='Visual SPC'!$K$4)),1,0))</f>
        <v/>
      </c>
      <c r="C9898">
        <f>C9897+B9898</f>
        <v/>
      </c>
      <c r="D9898">
        <f>IF(B9898=1,INDEX('Data Entry'!$H$5:$BE$10004,9898-4,'Visual SPC'!$B$3),"")</f>
        <v/>
      </c>
      <c r="E9898">
        <f>IF(B9898=1,D9898,E9897)</f>
        <v/>
      </c>
      <c r="F9898">
        <f>IF(AND(B9898=1,C9898&gt;1,E9897&lt;&gt;""),ABS(D9898-E9897),"")</f>
        <v/>
      </c>
    </row>
    <row r="9899">
      <c r="A9899" t="n">
        <v>9899</v>
      </c>
      <c r="B9899">
        <f>IF(INDEX('Data Entry'!$H$5:$BE$10004,9899-4,'Visual SPC'!$B$3)="",0,IF(AND(OR('Visual SPC'!$C$4="",'Data Entry'!$C9899&gt;='Visual SPC'!$C$4),OR('Visual SPC'!$E$4="",'Data Entry'!$C9899&lt;='Visual SPC'!$E$4),OR('Visual SPC'!$G$4="",'Data Entry'!$D9899='Visual SPC'!$G$4),OR('Visual SPC'!$I$4="",'Data Entry'!$E9899='Visual SPC'!$I$4),OR('Visual SPC'!$K$4="",'Data Entry'!$F9899='Visual SPC'!$K$4)),1,0))</f>
        <v/>
      </c>
      <c r="C9899">
        <f>C9898+B9899</f>
        <v/>
      </c>
      <c r="D9899">
        <f>IF(B9899=1,INDEX('Data Entry'!$H$5:$BE$10004,9899-4,'Visual SPC'!$B$3),"")</f>
        <v/>
      </c>
      <c r="E9899">
        <f>IF(B9899=1,D9899,E9898)</f>
        <v/>
      </c>
      <c r="F9899">
        <f>IF(AND(B9899=1,C9899&gt;1,E9898&lt;&gt;""),ABS(D9899-E9898),"")</f>
        <v/>
      </c>
    </row>
    <row r="9900">
      <c r="A9900" t="n">
        <v>9900</v>
      </c>
      <c r="B9900">
        <f>IF(INDEX('Data Entry'!$H$5:$BE$10004,9900-4,'Visual SPC'!$B$3)="",0,IF(AND(OR('Visual SPC'!$C$4="",'Data Entry'!$C9900&gt;='Visual SPC'!$C$4),OR('Visual SPC'!$E$4="",'Data Entry'!$C9900&lt;='Visual SPC'!$E$4),OR('Visual SPC'!$G$4="",'Data Entry'!$D9900='Visual SPC'!$G$4),OR('Visual SPC'!$I$4="",'Data Entry'!$E9900='Visual SPC'!$I$4),OR('Visual SPC'!$K$4="",'Data Entry'!$F9900='Visual SPC'!$K$4)),1,0))</f>
        <v/>
      </c>
      <c r="C9900">
        <f>C9899+B9900</f>
        <v/>
      </c>
      <c r="D9900">
        <f>IF(B9900=1,INDEX('Data Entry'!$H$5:$BE$10004,9900-4,'Visual SPC'!$B$3),"")</f>
        <v/>
      </c>
      <c r="E9900">
        <f>IF(B9900=1,D9900,E9899)</f>
        <v/>
      </c>
      <c r="F9900">
        <f>IF(AND(B9900=1,C9900&gt;1,E9899&lt;&gt;""),ABS(D9900-E9899),"")</f>
        <v/>
      </c>
    </row>
    <row r="9901">
      <c r="A9901" t="n">
        <v>9901</v>
      </c>
      <c r="B9901">
        <f>IF(INDEX('Data Entry'!$H$5:$BE$10004,9901-4,'Visual SPC'!$B$3)="",0,IF(AND(OR('Visual SPC'!$C$4="",'Data Entry'!$C9901&gt;='Visual SPC'!$C$4),OR('Visual SPC'!$E$4="",'Data Entry'!$C9901&lt;='Visual SPC'!$E$4),OR('Visual SPC'!$G$4="",'Data Entry'!$D9901='Visual SPC'!$G$4),OR('Visual SPC'!$I$4="",'Data Entry'!$E9901='Visual SPC'!$I$4),OR('Visual SPC'!$K$4="",'Data Entry'!$F9901='Visual SPC'!$K$4)),1,0))</f>
        <v/>
      </c>
      <c r="C9901">
        <f>C9900+B9901</f>
        <v/>
      </c>
      <c r="D9901">
        <f>IF(B9901=1,INDEX('Data Entry'!$H$5:$BE$10004,9901-4,'Visual SPC'!$B$3),"")</f>
        <v/>
      </c>
      <c r="E9901">
        <f>IF(B9901=1,D9901,E9900)</f>
        <v/>
      </c>
      <c r="F9901">
        <f>IF(AND(B9901=1,C9901&gt;1,E9900&lt;&gt;""),ABS(D9901-E9900),"")</f>
        <v/>
      </c>
    </row>
    <row r="9902">
      <c r="A9902" t="n">
        <v>9902</v>
      </c>
      <c r="B9902">
        <f>IF(INDEX('Data Entry'!$H$5:$BE$10004,9902-4,'Visual SPC'!$B$3)="",0,IF(AND(OR('Visual SPC'!$C$4="",'Data Entry'!$C9902&gt;='Visual SPC'!$C$4),OR('Visual SPC'!$E$4="",'Data Entry'!$C9902&lt;='Visual SPC'!$E$4),OR('Visual SPC'!$G$4="",'Data Entry'!$D9902='Visual SPC'!$G$4),OR('Visual SPC'!$I$4="",'Data Entry'!$E9902='Visual SPC'!$I$4),OR('Visual SPC'!$K$4="",'Data Entry'!$F9902='Visual SPC'!$K$4)),1,0))</f>
        <v/>
      </c>
      <c r="C9902">
        <f>C9901+B9902</f>
        <v/>
      </c>
      <c r="D9902">
        <f>IF(B9902=1,INDEX('Data Entry'!$H$5:$BE$10004,9902-4,'Visual SPC'!$B$3),"")</f>
        <v/>
      </c>
      <c r="E9902">
        <f>IF(B9902=1,D9902,E9901)</f>
        <v/>
      </c>
      <c r="F9902">
        <f>IF(AND(B9902=1,C9902&gt;1,E9901&lt;&gt;""),ABS(D9902-E9901),"")</f>
        <v/>
      </c>
    </row>
    <row r="9903">
      <c r="A9903" t="n">
        <v>9903</v>
      </c>
      <c r="B9903">
        <f>IF(INDEX('Data Entry'!$H$5:$BE$10004,9903-4,'Visual SPC'!$B$3)="",0,IF(AND(OR('Visual SPC'!$C$4="",'Data Entry'!$C9903&gt;='Visual SPC'!$C$4),OR('Visual SPC'!$E$4="",'Data Entry'!$C9903&lt;='Visual SPC'!$E$4),OR('Visual SPC'!$G$4="",'Data Entry'!$D9903='Visual SPC'!$G$4),OR('Visual SPC'!$I$4="",'Data Entry'!$E9903='Visual SPC'!$I$4),OR('Visual SPC'!$K$4="",'Data Entry'!$F9903='Visual SPC'!$K$4)),1,0))</f>
        <v/>
      </c>
      <c r="C9903">
        <f>C9902+B9903</f>
        <v/>
      </c>
      <c r="D9903">
        <f>IF(B9903=1,INDEX('Data Entry'!$H$5:$BE$10004,9903-4,'Visual SPC'!$B$3),"")</f>
        <v/>
      </c>
      <c r="E9903">
        <f>IF(B9903=1,D9903,E9902)</f>
        <v/>
      </c>
      <c r="F9903">
        <f>IF(AND(B9903=1,C9903&gt;1,E9902&lt;&gt;""),ABS(D9903-E9902),"")</f>
        <v/>
      </c>
    </row>
    <row r="9904">
      <c r="A9904" t="n">
        <v>9904</v>
      </c>
      <c r="B9904">
        <f>IF(INDEX('Data Entry'!$H$5:$BE$10004,9904-4,'Visual SPC'!$B$3)="",0,IF(AND(OR('Visual SPC'!$C$4="",'Data Entry'!$C9904&gt;='Visual SPC'!$C$4),OR('Visual SPC'!$E$4="",'Data Entry'!$C9904&lt;='Visual SPC'!$E$4),OR('Visual SPC'!$G$4="",'Data Entry'!$D9904='Visual SPC'!$G$4),OR('Visual SPC'!$I$4="",'Data Entry'!$E9904='Visual SPC'!$I$4),OR('Visual SPC'!$K$4="",'Data Entry'!$F9904='Visual SPC'!$K$4)),1,0))</f>
        <v/>
      </c>
      <c r="C9904">
        <f>C9903+B9904</f>
        <v/>
      </c>
      <c r="D9904">
        <f>IF(B9904=1,INDEX('Data Entry'!$H$5:$BE$10004,9904-4,'Visual SPC'!$B$3),"")</f>
        <v/>
      </c>
      <c r="E9904">
        <f>IF(B9904=1,D9904,E9903)</f>
        <v/>
      </c>
      <c r="F9904">
        <f>IF(AND(B9904=1,C9904&gt;1,E9903&lt;&gt;""),ABS(D9904-E9903),"")</f>
        <v/>
      </c>
    </row>
    <row r="9905">
      <c r="A9905" t="n">
        <v>9905</v>
      </c>
      <c r="B9905">
        <f>IF(INDEX('Data Entry'!$H$5:$BE$10004,9905-4,'Visual SPC'!$B$3)="",0,IF(AND(OR('Visual SPC'!$C$4="",'Data Entry'!$C9905&gt;='Visual SPC'!$C$4),OR('Visual SPC'!$E$4="",'Data Entry'!$C9905&lt;='Visual SPC'!$E$4),OR('Visual SPC'!$G$4="",'Data Entry'!$D9905='Visual SPC'!$G$4),OR('Visual SPC'!$I$4="",'Data Entry'!$E9905='Visual SPC'!$I$4),OR('Visual SPC'!$K$4="",'Data Entry'!$F9905='Visual SPC'!$K$4)),1,0))</f>
        <v/>
      </c>
      <c r="C9905">
        <f>C9904+B9905</f>
        <v/>
      </c>
      <c r="D9905">
        <f>IF(B9905=1,INDEX('Data Entry'!$H$5:$BE$10004,9905-4,'Visual SPC'!$B$3),"")</f>
        <v/>
      </c>
      <c r="E9905">
        <f>IF(B9905=1,D9905,E9904)</f>
        <v/>
      </c>
      <c r="F9905">
        <f>IF(AND(B9905=1,C9905&gt;1,E9904&lt;&gt;""),ABS(D9905-E9904),"")</f>
        <v/>
      </c>
    </row>
    <row r="9906">
      <c r="A9906" t="n">
        <v>9906</v>
      </c>
      <c r="B9906">
        <f>IF(INDEX('Data Entry'!$H$5:$BE$10004,9906-4,'Visual SPC'!$B$3)="",0,IF(AND(OR('Visual SPC'!$C$4="",'Data Entry'!$C9906&gt;='Visual SPC'!$C$4),OR('Visual SPC'!$E$4="",'Data Entry'!$C9906&lt;='Visual SPC'!$E$4),OR('Visual SPC'!$G$4="",'Data Entry'!$D9906='Visual SPC'!$G$4),OR('Visual SPC'!$I$4="",'Data Entry'!$E9906='Visual SPC'!$I$4),OR('Visual SPC'!$K$4="",'Data Entry'!$F9906='Visual SPC'!$K$4)),1,0))</f>
        <v/>
      </c>
      <c r="C9906">
        <f>C9905+B9906</f>
        <v/>
      </c>
      <c r="D9906">
        <f>IF(B9906=1,INDEX('Data Entry'!$H$5:$BE$10004,9906-4,'Visual SPC'!$B$3),"")</f>
        <v/>
      </c>
      <c r="E9906">
        <f>IF(B9906=1,D9906,E9905)</f>
        <v/>
      </c>
      <c r="F9906">
        <f>IF(AND(B9906=1,C9906&gt;1,E9905&lt;&gt;""),ABS(D9906-E9905),"")</f>
        <v/>
      </c>
    </row>
    <row r="9907">
      <c r="A9907" t="n">
        <v>9907</v>
      </c>
      <c r="B9907">
        <f>IF(INDEX('Data Entry'!$H$5:$BE$10004,9907-4,'Visual SPC'!$B$3)="",0,IF(AND(OR('Visual SPC'!$C$4="",'Data Entry'!$C9907&gt;='Visual SPC'!$C$4),OR('Visual SPC'!$E$4="",'Data Entry'!$C9907&lt;='Visual SPC'!$E$4),OR('Visual SPC'!$G$4="",'Data Entry'!$D9907='Visual SPC'!$G$4),OR('Visual SPC'!$I$4="",'Data Entry'!$E9907='Visual SPC'!$I$4),OR('Visual SPC'!$K$4="",'Data Entry'!$F9907='Visual SPC'!$K$4)),1,0))</f>
        <v/>
      </c>
      <c r="C9907">
        <f>C9906+B9907</f>
        <v/>
      </c>
      <c r="D9907">
        <f>IF(B9907=1,INDEX('Data Entry'!$H$5:$BE$10004,9907-4,'Visual SPC'!$B$3),"")</f>
        <v/>
      </c>
      <c r="E9907">
        <f>IF(B9907=1,D9907,E9906)</f>
        <v/>
      </c>
      <c r="F9907">
        <f>IF(AND(B9907=1,C9907&gt;1,E9906&lt;&gt;""),ABS(D9907-E9906),"")</f>
        <v/>
      </c>
    </row>
    <row r="9908">
      <c r="A9908" t="n">
        <v>9908</v>
      </c>
      <c r="B9908">
        <f>IF(INDEX('Data Entry'!$H$5:$BE$10004,9908-4,'Visual SPC'!$B$3)="",0,IF(AND(OR('Visual SPC'!$C$4="",'Data Entry'!$C9908&gt;='Visual SPC'!$C$4),OR('Visual SPC'!$E$4="",'Data Entry'!$C9908&lt;='Visual SPC'!$E$4),OR('Visual SPC'!$G$4="",'Data Entry'!$D9908='Visual SPC'!$G$4),OR('Visual SPC'!$I$4="",'Data Entry'!$E9908='Visual SPC'!$I$4),OR('Visual SPC'!$K$4="",'Data Entry'!$F9908='Visual SPC'!$K$4)),1,0))</f>
        <v/>
      </c>
      <c r="C9908">
        <f>C9907+B9908</f>
        <v/>
      </c>
      <c r="D9908">
        <f>IF(B9908=1,INDEX('Data Entry'!$H$5:$BE$10004,9908-4,'Visual SPC'!$B$3),"")</f>
        <v/>
      </c>
      <c r="E9908">
        <f>IF(B9908=1,D9908,E9907)</f>
        <v/>
      </c>
      <c r="F9908">
        <f>IF(AND(B9908=1,C9908&gt;1,E9907&lt;&gt;""),ABS(D9908-E9907),"")</f>
        <v/>
      </c>
    </row>
    <row r="9909">
      <c r="A9909" t="n">
        <v>9909</v>
      </c>
      <c r="B9909">
        <f>IF(INDEX('Data Entry'!$H$5:$BE$10004,9909-4,'Visual SPC'!$B$3)="",0,IF(AND(OR('Visual SPC'!$C$4="",'Data Entry'!$C9909&gt;='Visual SPC'!$C$4),OR('Visual SPC'!$E$4="",'Data Entry'!$C9909&lt;='Visual SPC'!$E$4),OR('Visual SPC'!$G$4="",'Data Entry'!$D9909='Visual SPC'!$G$4),OR('Visual SPC'!$I$4="",'Data Entry'!$E9909='Visual SPC'!$I$4),OR('Visual SPC'!$K$4="",'Data Entry'!$F9909='Visual SPC'!$K$4)),1,0))</f>
        <v/>
      </c>
      <c r="C9909">
        <f>C9908+B9909</f>
        <v/>
      </c>
      <c r="D9909">
        <f>IF(B9909=1,INDEX('Data Entry'!$H$5:$BE$10004,9909-4,'Visual SPC'!$B$3),"")</f>
        <v/>
      </c>
      <c r="E9909">
        <f>IF(B9909=1,D9909,E9908)</f>
        <v/>
      </c>
      <c r="F9909">
        <f>IF(AND(B9909=1,C9909&gt;1,E9908&lt;&gt;""),ABS(D9909-E9908),"")</f>
        <v/>
      </c>
    </row>
    <row r="9910">
      <c r="A9910" t="n">
        <v>9910</v>
      </c>
      <c r="B9910">
        <f>IF(INDEX('Data Entry'!$H$5:$BE$10004,9910-4,'Visual SPC'!$B$3)="",0,IF(AND(OR('Visual SPC'!$C$4="",'Data Entry'!$C9910&gt;='Visual SPC'!$C$4),OR('Visual SPC'!$E$4="",'Data Entry'!$C9910&lt;='Visual SPC'!$E$4),OR('Visual SPC'!$G$4="",'Data Entry'!$D9910='Visual SPC'!$G$4),OR('Visual SPC'!$I$4="",'Data Entry'!$E9910='Visual SPC'!$I$4),OR('Visual SPC'!$K$4="",'Data Entry'!$F9910='Visual SPC'!$K$4)),1,0))</f>
        <v/>
      </c>
      <c r="C9910">
        <f>C9909+B9910</f>
        <v/>
      </c>
      <c r="D9910">
        <f>IF(B9910=1,INDEX('Data Entry'!$H$5:$BE$10004,9910-4,'Visual SPC'!$B$3),"")</f>
        <v/>
      </c>
      <c r="E9910">
        <f>IF(B9910=1,D9910,E9909)</f>
        <v/>
      </c>
      <c r="F9910">
        <f>IF(AND(B9910=1,C9910&gt;1,E9909&lt;&gt;""),ABS(D9910-E9909),"")</f>
        <v/>
      </c>
    </row>
    <row r="9911">
      <c r="A9911" t="n">
        <v>9911</v>
      </c>
      <c r="B9911">
        <f>IF(INDEX('Data Entry'!$H$5:$BE$10004,9911-4,'Visual SPC'!$B$3)="",0,IF(AND(OR('Visual SPC'!$C$4="",'Data Entry'!$C9911&gt;='Visual SPC'!$C$4),OR('Visual SPC'!$E$4="",'Data Entry'!$C9911&lt;='Visual SPC'!$E$4),OR('Visual SPC'!$G$4="",'Data Entry'!$D9911='Visual SPC'!$G$4),OR('Visual SPC'!$I$4="",'Data Entry'!$E9911='Visual SPC'!$I$4),OR('Visual SPC'!$K$4="",'Data Entry'!$F9911='Visual SPC'!$K$4)),1,0))</f>
        <v/>
      </c>
      <c r="C9911">
        <f>C9910+B9911</f>
        <v/>
      </c>
      <c r="D9911">
        <f>IF(B9911=1,INDEX('Data Entry'!$H$5:$BE$10004,9911-4,'Visual SPC'!$B$3),"")</f>
        <v/>
      </c>
      <c r="E9911">
        <f>IF(B9911=1,D9911,E9910)</f>
        <v/>
      </c>
      <c r="F9911">
        <f>IF(AND(B9911=1,C9911&gt;1,E9910&lt;&gt;""),ABS(D9911-E9910),"")</f>
        <v/>
      </c>
    </row>
    <row r="9912">
      <c r="A9912" t="n">
        <v>9912</v>
      </c>
      <c r="B9912">
        <f>IF(INDEX('Data Entry'!$H$5:$BE$10004,9912-4,'Visual SPC'!$B$3)="",0,IF(AND(OR('Visual SPC'!$C$4="",'Data Entry'!$C9912&gt;='Visual SPC'!$C$4),OR('Visual SPC'!$E$4="",'Data Entry'!$C9912&lt;='Visual SPC'!$E$4),OR('Visual SPC'!$G$4="",'Data Entry'!$D9912='Visual SPC'!$G$4),OR('Visual SPC'!$I$4="",'Data Entry'!$E9912='Visual SPC'!$I$4),OR('Visual SPC'!$K$4="",'Data Entry'!$F9912='Visual SPC'!$K$4)),1,0))</f>
        <v/>
      </c>
      <c r="C9912">
        <f>C9911+B9912</f>
        <v/>
      </c>
      <c r="D9912">
        <f>IF(B9912=1,INDEX('Data Entry'!$H$5:$BE$10004,9912-4,'Visual SPC'!$B$3),"")</f>
        <v/>
      </c>
      <c r="E9912">
        <f>IF(B9912=1,D9912,E9911)</f>
        <v/>
      </c>
      <c r="F9912">
        <f>IF(AND(B9912=1,C9912&gt;1,E9911&lt;&gt;""),ABS(D9912-E9911),"")</f>
        <v/>
      </c>
    </row>
    <row r="9913">
      <c r="A9913" t="n">
        <v>9913</v>
      </c>
      <c r="B9913">
        <f>IF(INDEX('Data Entry'!$H$5:$BE$10004,9913-4,'Visual SPC'!$B$3)="",0,IF(AND(OR('Visual SPC'!$C$4="",'Data Entry'!$C9913&gt;='Visual SPC'!$C$4),OR('Visual SPC'!$E$4="",'Data Entry'!$C9913&lt;='Visual SPC'!$E$4),OR('Visual SPC'!$G$4="",'Data Entry'!$D9913='Visual SPC'!$G$4),OR('Visual SPC'!$I$4="",'Data Entry'!$E9913='Visual SPC'!$I$4),OR('Visual SPC'!$K$4="",'Data Entry'!$F9913='Visual SPC'!$K$4)),1,0))</f>
        <v/>
      </c>
      <c r="C9913">
        <f>C9912+B9913</f>
        <v/>
      </c>
      <c r="D9913">
        <f>IF(B9913=1,INDEX('Data Entry'!$H$5:$BE$10004,9913-4,'Visual SPC'!$B$3),"")</f>
        <v/>
      </c>
      <c r="E9913">
        <f>IF(B9913=1,D9913,E9912)</f>
        <v/>
      </c>
      <c r="F9913">
        <f>IF(AND(B9913=1,C9913&gt;1,E9912&lt;&gt;""),ABS(D9913-E9912),"")</f>
        <v/>
      </c>
    </row>
    <row r="9914">
      <c r="A9914" t="n">
        <v>9914</v>
      </c>
      <c r="B9914">
        <f>IF(INDEX('Data Entry'!$H$5:$BE$10004,9914-4,'Visual SPC'!$B$3)="",0,IF(AND(OR('Visual SPC'!$C$4="",'Data Entry'!$C9914&gt;='Visual SPC'!$C$4),OR('Visual SPC'!$E$4="",'Data Entry'!$C9914&lt;='Visual SPC'!$E$4),OR('Visual SPC'!$G$4="",'Data Entry'!$D9914='Visual SPC'!$G$4),OR('Visual SPC'!$I$4="",'Data Entry'!$E9914='Visual SPC'!$I$4),OR('Visual SPC'!$K$4="",'Data Entry'!$F9914='Visual SPC'!$K$4)),1,0))</f>
        <v/>
      </c>
      <c r="C9914">
        <f>C9913+B9914</f>
        <v/>
      </c>
      <c r="D9914">
        <f>IF(B9914=1,INDEX('Data Entry'!$H$5:$BE$10004,9914-4,'Visual SPC'!$B$3),"")</f>
        <v/>
      </c>
      <c r="E9914">
        <f>IF(B9914=1,D9914,E9913)</f>
        <v/>
      </c>
      <c r="F9914">
        <f>IF(AND(B9914=1,C9914&gt;1,E9913&lt;&gt;""),ABS(D9914-E9913),"")</f>
        <v/>
      </c>
    </row>
    <row r="9915">
      <c r="A9915" t="n">
        <v>9915</v>
      </c>
      <c r="B9915">
        <f>IF(INDEX('Data Entry'!$H$5:$BE$10004,9915-4,'Visual SPC'!$B$3)="",0,IF(AND(OR('Visual SPC'!$C$4="",'Data Entry'!$C9915&gt;='Visual SPC'!$C$4),OR('Visual SPC'!$E$4="",'Data Entry'!$C9915&lt;='Visual SPC'!$E$4),OR('Visual SPC'!$G$4="",'Data Entry'!$D9915='Visual SPC'!$G$4),OR('Visual SPC'!$I$4="",'Data Entry'!$E9915='Visual SPC'!$I$4),OR('Visual SPC'!$K$4="",'Data Entry'!$F9915='Visual SPC'!$K$4)),1,0))</f>
        <v/>
      </c>
      <c r="C9915">
        <f>C9914+B9915</f>
        <v/>
      </c>
      <c r="D9915">
        <f>IF(B9915=1,INDEX('Data Entry'!$H$5:$BE$10004,9915-4,'Visual SPC'!$B$3),"")</f>
        <v/>
      </c>
      <c r="E9915">
        <f>IF(B9915=1,D9915,E9914)</f>
        <v/>
      </c>
      <c r="F9915">
        <f>IF(AND(B9915=1,C9915&gt;1,E9914&lt;&gt;""),ABS(D9915-E9914),"")</f>
        <v/>
      </c>
    </row>
    <row r="9916">
      <c r="A9916" t="n">
        <v>9916</v>
      </c>
      <c r="B9916">
        <f>IF(INDEX('Data Entry'!$H$5:$BE$10004,9916-4,'Visual SPC'!$B$3)="",0,IF(AND(OR('Visual SPC'!$C$4="",'Data Entry'!$C9916&gt;='Visual SPC'!$C$4),OR('Visual SPC'!$E$4="",'Data Entry'!$C9916&lt;='Visual SPC'!$E$4),OR('Visual SPC'!$G$4="",'Data Entry'!$D9916='Visual SPC'!$G$4),OR('Visual SPC'!$I$4="",'Data Entry'!$E9916='Visual SPC'!$I$4),OR('Visual SPC'!$K$4="",'Data Entry'!$F9916='Visual SPC'!$K$4)),1,0))</f>
        <v/>
      </c>
      <c r="C9916">
        <f>C9915+B9916</f>
        <v/>
      </c>
      <c r="D9916">
        <f>IF(B9916=1,INDEX('Data Entry'!$H$5:$BE$10004,9916-4,'Visual SPC'!$B$3),"")</f>
        <v/>
      </c>
      <c r="E9916">
        <f>IF(B9916=1,D9916,E9915)</f>
        <v/>
      </c>
      <c r="F9916">
        <f>IF(AND(B9916=1,C9916&gt;1,E9915&lt;&gt;""),ABS(D9916-E9915),"")</f>
        <v/>
      </c>
    </row>
    <row r="9917">
      <c r="A9917" t="n">
        <v>9917</v>
      </c>
      <c r="B9917">
        <f>IF(INDEX('Data Entry'!$H$5:$BE$10004,9917-4,'Visual SPC'!$B$3)="",0,IF(AND(OR('Visual SPC'!$C$4="",'Data Entry'!$C9917&gt;='Visual SPC'!$C$4),OR('Visual SPC'!$E$4="",'Data Entry'!$C9917&lt;='Visual SPC'!$E$4),OR('Visual SPC'!$G$4="",'Data Entry'!$D9917='Visual SPC'!$G$4),OR('Visual SPC'!$I$4="",'Data Entry'!$E9917='Visual SPC'!$I$4),OR('Visual SPC'!$K$4="",'Data Entry'!$F9917='Visual SPC'!$K$4)),1,0))</f>
        <v/>
      </c>
      <c r="C9917">
        <f>C9916+B9917</f>
        <v/>
      </c>
      <c r="D9917">
        <f>IF(B9917=1,INDEX('Data Entry'!$H$5:$BE$10004,9917-4,'Visual SPC'!$B$3),"")</f>
        <v/>
      </c>
      <c r="E9917">
        <f>IF(B9917=1,D9917,E9916)</f>
        <v/>
      </c>
      <c r="F9917">
        <f>IF(AND(B9917=1,C9917&gt;1,E9916&lt;&gt;""),ABS(D9917-E9916),"")</f>
        <v/>
      </c>
    </row>
    <row r="9918">
      <c r="A9918" t="n">
        <v>9918</v>
      </c>
      <c r="B9918">
        <f>IF(INDEX('Data Entry'!$H$5:$BE$10004,9918-4,'Visual SPC'!$B$3)="",0,IF(AND(OR('Visual SPC'!$C$4="",'Data Entry'!$C9918&gt;='Visual SPC'!$C$4),OR('Visual SPC'!$E$4="",'Data Entry'!$C9918&lt;='Visual SPC'!$E$4),OR('Visual SPC'!$G$4="",'Data Entry'!$D9918='Visual SPC'!$G$4),OR('Visual SPC'!$I$4="",'Data Entry'!$E9918='Visual SPC'!$I$4),OR('Visual SPC'!$K$4="",'Data Entry'!$F9918='Visual SPC'!$K$4)),1,0))</f>
        <v/>
      </c>
      <c r="C9918">
        <f>C9917+B9918</f>
        <v/>
      </c>
      <c r="D9918">
        <f>IF(B9918=1,INDEX('Data Entry'!$H$5:$BE$10004,9918-4,'Visual SPC'!$B$3),"")</f>
        <v/>
      </c>
      <c r="E9918">
        <f>IF(B9918=1,D9918,E9917)</f>
        <v/>
      </c>
      <c r="F9918">
        <f>IF(AND(B9918=1,C9918&gt;1,E9917&lt;&gt;""),ABS(D9918-E9917),"")</f>
        <v/>
      </c>
    </row>
    <row r="9919">
      <c r="A9919" t="n">
        <v>9919</v>
      </c>
      <c r="B9919">
        <f>IF(INDEX('Data Entry'!$H$5:$BE$10004,9919-4,'Visual SPC'!$B$3)="",0,IF(AND(OR('Visual SPC'!$C$4="",'Data Entry'!$C9919&gt;='Visual SPC'!$C$4),OR('Visual SPC'!$E$4="",'Data Entry'!$C9919&lt;='Visual SPC'!$E$4),OR('Visual SPC'!$G$4="",'Data Entry'!$D9919='Visual SPC'!$G$4),OR('Visual SPC'!$I$4="",'Data Entry'!$E9919='Visual SPC'!$I$4),OR('Visual SPC'!$K$4="",'Data Entry'!$F9919='Visual SPC'!$K$4)),1,0))</f>
        <v/>
      </c>
      <c r="C9919">
        <f>C9918+B9919</f>
        <v/>
      </c>
      <c r="D9919">
        <f>IF(B9919=1,INDEX('Data Entry'!$H$5:$BE$10004,9919-4,'Visual SPC'!$B$3),"")</f>
        <v/>
      </c>
      <c r="E9919">
        <f>IF(B9919=1,D9919,E9918)</f>
        <v/>
      </c>
      <c r="F9919">
        <f>IF(AND(B9919=1,C9919&gt;1,E9918&lt;&gt;""),ABS(D9919-E9918),"")</f>
        <v/>
      </c>
    </row>
    <row r="9920">
      <c r="A9920" t="n">
        <v>9920</v>
      </c>
      <c r="B9920">
        <f>IF(INDEX('Data Entry'!$H$5:$BE$10004,9920-4,'Visual SPC'!$B$3)="",0,IF(AND(OR('Visual SPC'!$C$4="",'Data Entry'!$C9920&gt;='Visual SPC'!$C$4),OR('Visual SPC'!$E$4="",'Data Entry'!$C9920&lt;='Visual SPC'!$E$4),OR('Visual SPC'!$G$4="",'Data Entry'!$D9920='Visual SPC'!$G$4),OR('Visual SPC'!$I$4="",'Data Entry'!$E9920='Visual SPC'!$I$4),OR('Visual SPC'!$K$4="",'Data Entry'!$F9920='Visual SPC'!$K$4)),1,0))</f>
        <v/>
      </c>
      <c r="C9920">
        <f>C9919+B9920</f>
        <v/>
      </c>
      <c r="D9920">
        <f>IF(B9920=1,INDEX('Data Entry'!$H$5:$BE$10004,9920-4,'Visual SPC'!$B$3),"")</f>
        <v/>
      </c>
      <c r="E9920">
        <f>IF(B9920=1,D9920,E9919)</f>
        <v/>
      </c>
      <c r="F9920">
        <f>IF(AND(B9920=1,C9920&gt;1,E9919&lt;&gt;""),ABS(D9920-E9919),"")</f>
        <v/>
      </c>
    </row>
    <row r="9921">
      <c r="A9921" t="n">
        <v>9921</v>
      </c>
      <c r="B9921">
        <f>IF(INDEX('Data Entry'!$H$5:$BE$10004,9921-4,'Visual SPC'!$B$3)="",0,IF(AND(OR('Visual SPC'!$C$4="",'Data Entry'!$C9921&gt;='Visual SPC'!$C$4),OR('Visual SPC'!$E$4="",'Data Entry'!$C9921&lt;='Visual SPC'!$E$4),OR('Visual SPC'!$G$4="",'Data Entry'!$D9921='Visual SPC'!$G$4),OR('Visual SPC'!$I$4="",'Data Entry'!$E9921='Visual SPC'!$I$4),OR('Visual SPC'!$K$4="",'Data Entry'!$F9921='Visual SPC'!$K$4)),1,0))</f>
        <v/>
      </c>
      <c r="C9921">
        <f>C9920+B9921</f>
        <v/>
      </c>
      <c r="D9921">
        <f>IF(B9921=1,INDEX('Data Entry'!$H$5:$BE$10004,9921-4,'Visual SPC'!$B$3),"")</f>
        <v/>
      </c>
      <c r="E9921">
        <f>IF(B9921=1,D9921,E9920)</f>
        <v/>
      </c>
      <c r="F9921">
        <f>IF(AND(B9921=1,C9921&gt;1,E9920&lt;&gt;""),ABS(D9921-E9920),"")</f>
        <v/>
      </c>
    </row>
    <row r="9922">
      <c r="A9922" t="n">
        <v>9922</v>
      </c>
      <c r="B9922">
        <f>IF(INDEX('Data Entry'!$H$5:$BE$10004,9922-4,'Visual SPC'!$B$3)="",0,IF(AND(OR('Visual SPC'!$C$4="",'Data Entry'!$C9922&gt;='Visual SPC'!$C$4),OR('Visual SPC'!$E$4="",'Data Entry'!$C9922&lt;='Visual SPC'!$E$4),OR('Visual SPC'!$G$4="",'Data Entry'!$D9922='Visual SPC'!$G$4),OR('Visual SPC'!$I$4="",'Data Entry'!$E9922='Visual SPC'!$I$4),OR('Visual SPC'!$K$4="",'Data Entry'!$F9922='Visual SPC'!$K$4)),1,0))</f>
        <v/>
      </c>
      <c r="C9922">
        <f>C9921+B9922</f>
        <v/>
      </c>
      <c r="D9922">
        <f>IF(B9922=1,INDEX('Data Entry'!$H$5:$BE$10004,9922-4,'Visual SPC'!$B$3),"")</f>
        <v/>
      </c>
      <c r="E9922">
        <f>IF(B9922=1,D9922,E9921)</f>
        <v/>
      </c>
      <c r="F9922">
        <f>IF(AND(B9922=1,C9922&gt;1,E9921&lt;&gt;""),ABS(D9922-E9921),"")</f>
        <v/>
      </c>
    </row>
    <row r="9923">
      <c r="A9923" t="n">
        <v>9923</v>
      </c>
      <c r="B9923">
        <f>IF(INDEX('Data Entry'!$H$5:$BE$10004,9923-4,'Visual SPC'!$B$3)="",0,IF(AND(OR('Visual SPC'!$C$4="",'Data Entry'!$C9923&gt;='Visual SPC'!$C$4),OR('Visual SPC'!$E$4="",'Data Entry'!$C9923&lt;='Visual SPC'!$E$4),OR('Visual SPC'!$G$4="",'Data Entry'!$D9923='Visual SPC'!$G$4),OR('Visual SPC'!$I$4="",'Data Entry'!$E9923='Visual SPC'!$I$4),OR('Visual SPC'!$K$4="",'Data Entry'!$F9923='Visual SPC'!$K$4)),1,0))</f>
        <v/>
      </c>
      <c r="C9923">
        <f>C9922+B9923</f>
        <v/>
      </c>
      <c r="D9923">
        <f>IF(B9923=1,INDEX('Data Entry'!$H$5:$BE$10004,9923-4,'Visual SPC'!$B$3),"")</f>
        <v/>
      </c>
      <c r="E9923">
        <f>IF(B9923=1,D9923,E9922)</f>
        <v/>
      </c>
      <c r="F9923">
        <f>IF(AND(B9923=1,C9923&gt;1,E9922&lt;&gt;""),ABS(D9923-E9922),"")</f>
        <v/>
      </c>
    </row>
    <row r="9924">
      <c r="A9924" t="n">
        <v>9924</v>
      </c>
      <c r="B9924">
        <f>IF(INDEX('Data Entry'!$H$5:$BE$10004,9924-4,'Visual SPC'!$B$3)="",0,IF(AND(OR('Visual SPC'!$C$4="",'Data Entry'!$C9924&gt;='Visual SPC'!$C$4),OR('Visual SPC'!$E$4="",'Data Entry'!$C9924&lt;='Visual SPC'!$E$4),OR('Visual SPC'!$G$4="",'Data Entry'!$D9924='Visual SPC'!$G$4),OR('Visual SPC'!$I$4="",'Data Entry'!$E9924='Visual SPC'!$I$4),OR('Visual SPC'!$K$4="",'Data Entry'!$F9924='Visual SPC'!$K$4)),1,0))</f>
        <v/>
      </c>
      <c r="C9924">
        <f>C9923+B9924</f>
        <v/>
      </c>
      <c r="D9924">
        <f>IF(B9924=1,INDEX('Data Entry'!$H$5:$BE$10004,9924-4,'Visual SPC'!$B$3),"")</f>
        <v/>
      </c>
      <c r="E9924">
        <f>IF(B9924=1,D9924,E9923)</f>
        <v/>
      </c>
      <c r="F9924">
        <f>IF(AND(B9924=1,C9924&gt;1,E9923&lt;&gt;""),ABS(D9924-E9923),"")</f>
        <v/>
      </c>
    </row>
    <row r="9925">
      <c r="A9925" t="n">
        <v>9925</v>
      </c>
      <c r="B9925">
        <f>IF(INDEX('Data Entry'!$H$5:$BE$10004,9925-4,'Visual SPC'!$B$3)="",0,IF(AND(OR('Visual SPC'!$C$4="",'Data Entry'!$C9925&gt;='Visual SPC'!$C$4),OR('Visual SPC'!$E$4="",'Data Entry'!$C9925&lt;='Visual SPC'!$E$4),OR('Visual SPC'!$G$4="",'Data Entry'!$D9925='Visual SPC'!$G$4),OR('Visual SPC'!$I$4="",'Data Entry'!$E9925='Visual SPC'!$I$4),OR('Visual SPC'!$K$4="",'Data Entry'!$F9925='Visual SPC'!$K$4)),1,0))</f>
        <v/>
      </c>
      <c r="C9925">
        <f>C9924+B9925</f>
        <v/>
      </c>
      <c r="D9925">
        <f>IF(B9925=1,INDEX('Data Entry'!$H$5:$BE$10004,9925-4,'Visual SPC'!$B$3),"")</f>
        <v/>
      </c>
      <c r="E9925">
        <f>IF(B9925=1,D9925,E9924)</f>
        <v/>
      </c>
      <c r="F9925">
        <f>IF(AND(B9925=1,C9925&gt;1,E9924&lt;&gt;""),ABS(D9925-E9924),"")</f>
        <v/>
      </c>
    </row>
    <row r="9926">
      <c r="A9926" t="n">
        <v>9926</v>
      </c>
      <c r="B9926">
        <f>IF(INDEX('Data Entry'!$H$5:$BE$10004,9926-4,'Visual SPC'!$B$3)="",0,IF(AND(OR('Visual SPC'!$C$4="",'Data Entry'!$C9926&gt;='Visual SPC'!$C$4),OR('Visual SPC'!$E$4="",'Data Entry'!$C9926&lt;='Visual SPC'!$E$4),OR('Visual SPC'!$G$4="",'Data Entry'!$D9926='Visual SPC'!$G$4),OR('Visual SPC'!$I$4="",'Data Entry'!$E9926='Visual SPC'!$I$4),OR('Visual SPC'!$K$4="",'Data Entry'!$F9926='Visual SPC'!$K$4)),1,0))</f>
        <v/>
      </c>
      <c r="C9926">
        <f>C9925+B9926</f>
        <v/>
      </c>
      <c r="D9926">
        <f>IF(B9926=1,INDEX('Data Entry'!$H$5:$BE$10004,9926-4,'Visual SPC'!$B$3),"")</f>
        <v/>
      </c>
      <c r="E9926">
        <f>IF(B9926=1,D9926,E9925)</f>
        <v/>
      </c>
      <c r="F9926">
        <f>IF(AND(B9926=1,C9926&gt;1,E9925&lt;&gt;""),ABS(D9926-E9925),"")</f>
        <v/>
      </c>
    </row>
    <row r="9927">
      <c r="A9927" t="n">
        <v>9927</v>
      </c>
      <c r="B9927">
        <f>IF(INDEX('Data Entry'!$H$5:$BE$10004,9927-4,'Visual SPC'!$B$3)="",0,IF(AND(OR('Visual SPC'!$C$4="",'Data Entry'!$C9927&gt;='Visual SPC'!$C$4),OR('Visual SPC'!$E$4="",'Data Entry'!$C9927&lt;='Visual SPC'!$E$4),OR('Visual SPC'!$G$4="",'Data Entry'!$D9927='Visual SPC'!$G$4),OR('Visual SPC'!$I$4="",'Data Entry'!$E9927='Visual SPC'!$I$4),OR('Visual SPC'!$K$4="",'Data Entry'!$F9927='Visual SPC'!$K$4)),1,0))</f>
        <v/>
      </c>
      <c r="C9927">
        <f>C9926+B9927</f>
        <v/>
      </c>
      <c r="D9927">
        <f>IF(B9927=1,INDEX('Data Entry'!$H$5:$BE$10004,9927-4,'Visual SPC'!$B$3),"")</f>
        <v/>
      </c>
      <c r="E9927">
        <f>IF(B9927=1,D9927,E9926)</f>
        <v/>
      </c>
      <c r="F9927">
        <f>IF(AND(B9927=1,C9927&gt;1,E9926&lt;&gt;""),ABS(D9927-E9926),"")</f>
        <v/>
      </c>
    </row>
    <row r="9928">
      <c r="A9928" t="n">
        <v>9928</v>
      </c>
      <c r="B9928">
        <f>IF(INDEX('Data Entry'!$H$5:$BE$10004,9928-4,'Visual SPC'!$B$3)="",0,IF(AND(OR('Visual SPC'!$C$4="",'Data Entry'!$C9928&gt;='Visual SPC'!$C$4),OR('Visual SPC'!$E$4="",'Data Entry'!$C9928&lt;='Visual SPC'!$E$4),OR('Visual SPC'!$G$4="",'Data Entry'!$D9928='Visual SPC'!$G$4),OR('Visual SPC'!$I$4="",'Data Entry'!$E9928='Visual SPC'!$I$4),OR('Visual SPC'!$K$4="",'Data Entry'!$F9928='Visual SPC'!$K$4)),1,0))</f>
        <v/>
      </c>
      <c r="C9928">
        <f>C9927+B9928</f>
        <v/>
      </c>
      <c r="D9928">
        <f>IF(B9928=1,INDEX('Data Entry'!$H$5:$BE$10004,9928-4,'Visual SPC'!$B$3),"")</f>
        <v/>
      </c>
      <c r="E9928">
        <f>IF(B9928=1,D9928,E9927)</f>
        <v/>
      </c>
      <c r="F9928">
        <f>IF(AND(B9928=1,C9928&gt;1,E9927&lt;&gt;""),ABS(D9928-E9927),"")</f>
        <v/>
      </c>
    </row>
    <row r="9929">
      <c r="A9929" t="n">
        <v>9929</v>
      </c>
      <c r="B9929">
        <f>IF(INDEX('Data Entry'!$H$5:$BE$10004,9929-4,'Visual SPC'!$B$3)="",0,IF(AND(OR('Visual SPC'!$C$4="",'Data Entry'!$C9929&gt;='Visual SPC'!$C$4),OR('Visual SPC'!$E$4="",'Data Entry'!$C9929&lt;='Visual SPC'!$E$4),OR('Visual SPC'!$G$4="",'Data Entry'!$D9929='Visual SPC'!$G$4),OR('Visual SPC'!$I$4="",'Data Entry'!$E9929='Visual SPC'!$I$4),OR('Visual SPC'!$K$4="",'Data Entry'!$F9929='Visual SPC'!$K$4)),1,0))</f>
        <v/>
      </c>
      <c r="C9929">
        <f>C9928+B9929</f>
        <v/>
      </c>
      <c r="D9929">
        <f>IF(B9929=1,INDEX('Data Entry'!$H$5:$BE$10004,9929-4,'Visual SPC'!$B$3),"")</f>
        <v/>
      </c>
      <c r="E9929">
        <f>IF(B9929=1,D9929,E9928)</f>
        <v/>
      </c>
      <c r="F9929">
        <f>IF(AND(B9929=1,C9929&gt;1,E9928&lt;&gt;""),ABS(D9929-E9928),"")</f>
        <v/>
      </c>
    </row>
    <row r="9930">
      <c r="A9930" t="n">
        <v>9930</v>
      </c>
      <c r="B9930">
        <f>IF(INDEX('Data Entry'!$H$5:$BE$10004,9930-4,'Visual SPC'!$B$3)="",0,IF(AND(OR('Visual SPC'!$C$4="",'Data Entry'!$C9930&gt;='Visual SPC'!$C$4),OR('Visual SPC'!$E$4="",'Data Entry'!$C9930&lt;='Visual SPC'!$E$4),OR('Visual SPC'!$G$4="",'Data Entry'!$D9930='Visual SPC'!$G$4),OR('Visual SPC'!$I$4="",'Data Entry'!$E9930='Visual SPC'!$I$4),OR('Visual SPC'!$K$4="",'Data Entry'!$F9930='Visual SPC'!$K$4)),1,0))</f>
        <v/>
      </c>
      <c r="C9930">
        <f>C9929+B9930</f>
        <v/>
      </c>
      <c r="D9930">
        <f>IF(B9930=1,INDEX('Data Entry'!$H$5:$BE$10004,9930-4,'Visual SPC'!$B$3),"")</f>
        <v/>
      </c>
      <c r="E9930">
        <f>IF(B9930=1,D9930,E9929)</f>
        <v/>
      </c>
      <c r="F9930">
        <f>IF(AND(B9930=1,C9930&gt;1,E9929&lt;&gt;""),ABS(D9930-E9929),"")</f>
        <v/>
      </c>
    </row>
    <row r="9931">
      <c r="A9931" t="n">
        <v>9931</v>
      </c>
      <c r="B9931">
        <f>IF(INDEX('Data Entry'!$H$5:$BE$10004,9931-4,'Visual SPC'!$B$3)="",0,IF(AND(OR('Visual SPC'!$C$4="",'Data Entry'!$C9931&gt;='Visual SPC'!$C$4),OR('Visual SPC'!$E$4="",'Data Entry'!$C9931&lt;='Visual SPC'!$E$4),OR('Visual SPC'!$G$4="",'Data Entry'!$D9931='Visual SPC'!$G$4),OR('Visual SPC'!$I$4="",'Data Entry'!$E9931='Visual SPC'!$I$4),OR('Visual SPC'!$K$4="",'Data Entry'!$F9931='Visual SPC'!$K$4)),1,0))</f>
        <v/>
      </c>
      <c r="C9931">
        <f>C9930+B9931</f>
        <v/>
      </c>
      <c r="D9931">
        <f>IF(B9931=1,INDEX('Data Entry'!$H$5:$BE$10004,9931-4,'Visual SPC'!$B$3),"")</f>
        <v/>
      </c>
      <c r="E9931">
        <f>IF(B9931=1,D9931,E9930)</f>
        <v/>
      </c>
      <c r="F9931">
        <f>IF(AND(B9931=1,C9931&gt;1,E9930&lt;&gt;""),ABS(D9931-E9930),"")</f>
        <v/>
      </c>
    </row>
    <row r="9932">
      <c r="A9932" t="n">
        <v>9932</v>
      </c>
      <c r="B9932">
        <f>IF(INDEX('Data Entry'!$H$5:$BE$10004,9932-4,'Visual SPC'!$B$3)="",0,IF(AND(OR('Visual SPC'!$C$4="",'Data Entry'!$C9932&gt;='Visual SPC'!$C$4),OR('Visual SPC'!$E$4="",'Data Entry'!$C9932&lt;='Visual SPC'!$E$4),OR('Visual SPC'!$G$4="",'Data Entry'!$D9932='Visual SPC'!$G$4),OR('Visual SPC'!$I$4="",'Data Entry'!$E9932='Visual SPC'!$I$4),OR('Visual SPC'!$K$4="",'Data Entry'!$F9932='Visual SPC'!$K$4)),1,0))</f>
        <v/>
      </c>
      <c r="C9932">
        <f>C9931+B9932</f>
        <v/>
      </c>
      <c r="D9932">
        <f>IF(B9932=1,INDEX('Data Entry'!$H$5:$BE$10004,9932-4,'Visual SPC'!$B$3),"")</f>
        <v/>
      </c>
      <c r="E9932">
        <f>IF(B9932=1,D9932,E9931)</f>
        <v/>
      </c>
      <c r="F9932">
        <f>IF(AND(B9932=1,C9932&gt;1,E9931&lt;&gt;""),ABS(D9932-E9931),"")</f>
        <v/>
      </c>
    </row>
    <row r="9933">
      <c r="A9933" t="n">
        <v>9933</v>
      </c>
      <c r="B9933">
        <f>IF(INDEX('Data Entry'!$H$5:$BE$10004,9933-4,'Visual SPC'!$B$3)="",0,IF(AND(OR('Visual SPC'!$C$4="",'Data Entry'!$C9933&gt;='Visual SPC'!$C$4),OR('Visual SPC'!$E$4="",'Data Entry'!$C9933&lt;='Visual SPC'!$E$4),OR('Visual SPC'!$G$4="",'Data Entry'!$D9933='Visual SPC'!$G$4),OR('Visual SPC'!$I$4="",'Data Entry'!$E9933='Visual SPC'!$I$4),OR('Visual SPC'!$K$4="",'Data Entry'!$F9933='Visual SPC'!$K$4)),1,0))</f>
        <v/>
      </c>
      <c r="C9933">
        <f>C9932+B9933</f>
        <v/>
      </c>
      <c r="D9933">
        <f>IF(B9933=1,INDEX('Data Entry'!$H$5:$BE$10004,9933-4,'Visual SPC'!$B$3),"")</f>
        <v/>
      </c>
      <c r="E9933">
        <f>IF(B9933=1,D9933,E9932)</f>
        <v/>
      </c>
      <c r="F9933">
        <f>IF(AND(B9933=1,C9933&gt;1,E9932&lt;&gt;""),ABS(D9933-E9932),"")</f>
        <v/>
      </c>
    </row>
    <row r="9934">
      <c r="A9934" t="n">
        <v>9934</v>
      </c>
      <c r="B9934">
        <f>IF(INDEX('Data Entry'!$H$5:$BE$10004,9934-4,'Visual SPC'!$B$3)="",0,IF(AND(OR('Visual SPC'!$C$4="",'Data Entry'!$C9934&gt;='Visual SPC'!$C$4),OR('Visual SPC'!$E$4="",'Data Entry'!$C9934&lt;='Visual SPC'!$E$4),OR('Visual SPC'!$G$4="",'Data Entry'!$D9934='Visual SPC'!$G$4),OR('Visual SPC'!$I$4="",'Data Entry'!$E9934='Visual SPC'!$I$4),OR('Visual SPC'!$K$4="",'Data Entry'!$F9934='Visual SPC'!$K$4)),1,0))</f>
        <v/>
      </c>
      <c r="C9934">
        <f>C9933+B9934</f>
        <v/>
      </c>
      <c r="D9934">
        <f>IF(B9934=1,INDEX('Data Entry'!$H$5:$BE$10004,9934-4,'Visual SPC'!$B$3),"")</f>
        <v/>
      </c>
      <c r="E9934">
        <f>IF(B9934=1,D9934,E9933)</f>
        <v/>
      </c>
      <c r="F9934">
        <f>IF(AND(B9934=1,C9934&gt;1,E9933&lt;&gt;""),ABS(D9934-E9933),"")</f>
        <v/>
      </c>
    </row>
    <row r="9935">
      <c r="A9935" t="n">
        <v>9935</v>
      </c>
      <c r="B9935">
        <f>IF(INDEX('Data Entry'!$H$5:$BE$10004,9935-4,'Visual SPC'!$B$3)="",0,IF(AND(OR('Visual SPC'!$C$4="",'Data Entry'!$C9935&gt;='Visual SPC'!$C$4),OR('Visual SPC'!$E$4="",'Data Entry'!$C9935&lt;='Visual SPC'!$E$4),OR('Visual SPC'!$G$4="",'Data Entry'!$D9935='Visual SPC'!$G$4),OR('Visual SPC'!$I$4="",'Data Entry'!$E9935='Visual SPC'!$I$4),OR('Visual SPC'!$K$4="",'Data Entry'!$F9935='Visual SPC'!$K$4)),1,0))</f>
        <v/>
      </c>
      <c r="C9935">
        <f>C9934+B9935</f>
        <v/>
      </c>
      <c r="D9935">
        <f>IF(B9935=1,INDEX('Data Entry'!$H$5:$BE$10004,9935-4,'Visual SPC'!$B$3),"")</f>
        <v/>
      </c>
      <c r="E9935">
        <f>IF(B9935=1,D9935,E9934)</f>
        <v/>
      </c>
      <c r="F9935">
        <f>IF(AND(B9935=1,C9935&gt;1,E9934&lt;&gt;""),ABS(D9935-E9934),"")</f>
        <v/>
      </c>
    </row>
    <row r="9936">
      <c r="A9936" t="n">
        <v>9936</v>
      </c>
      <c r="B9936">
        <f>IF(INDEX('Data Entry'!$H$5:$BE$10004,9936-4,'Visual SPC'!$B$3)="",0,IF(AND(OR('Visual SPC'!$C$4="",'Data Entry'!$C9936&gt;='Visual SPC'!$C$4),OR('Visual SPC'!$E$4="",'Data Entry'!$C9936&lt;='Visual SPC'!$E$4),OR('Visual SPC'!$G$4="",'Data Entry'!$D9936='Visual SPC'!$G$4),OR('Visual SPC'!$I$4="",'Data Entry'!$E9936='Visual SPC'!$I$4),OR('Visual SPC'!$K$4="",'Data Entry'!$F9936='Visual SPC'!$K$4)),1,0))</f>
        <v/>
      </c>
      <c r="C9936">
        <f>C9935+B9936</f>
        <v/>
      </c>
      <c r="D9936">
        <f>IF(B9936=1,INDEX('Data Entry'!$H$5:$BE$10004,9936-4,'Visual SPC'!$B$3),"")</f>
        <v/>
      </c>
      <c r="E9936">
        <f>IF(B9936=1,D9936,E9935)</f>
        <v/>
      </c>
      <c r="F9936">
        <f>IF(AND(B9936=1,C9936&gt;1,E9935&lt;&gt;""),ABS(D9936-E9935),"")</f>
        <v/>
      </c>
    </row>
    <row r="9937">
      <c r="A9937" t="n">
        <v>9937</v>
      </c>
      <c r="B9937">
        <f>IF(INDEX('Data Entry'!$H$5:$BE$10004,9937-4,'Visual SPC'!$B$3)="",0,IF(AND(OR('Visual SPC'!$C$4="",'Data Entry'!$C9937&gt;='Visual SPC'!$C$4),OR('Visual SPC'!$E$4="",'Data Entry'!$C9937&lt;='Visual SPC'!$E$4),OR('Visual SPC'!$G$4="",'Data Entry'!$D9937='Visual SPC'!$G$4),OR('Visual SPC'!$I$4="",'Data Entry'!$E9937='Visual SPC'!$I$4),OR('Visual SPC'!$K$4="",'Data Entry'!$F9937='Visual SPC'!$K$4)),1,0))</f>
        <v/>
      </c>
      <c r="C9937">
        <f>C9936+B9937</f>
        <v/>
      </c>
      <c r="D9937">
        <f>IF(B9937=1,INDEX('Data Entry'!$H$5:$BE$10004,9937-4,'Visual SPC'!$B$3),"")</f>
        <v/>
      </c>
      <c r="E9937">
        <f>IF(B9937=1,D9937,E9936)</f>
        <v/>
      </c>
      <c r="F9937">
        <f>IF(AND(B9937=1,C9937&gt;1,E9936&lt;&gt;""),ABS(D9937-E9936),"")</f>
        <v/>
      </c>
    </row>
    <row r="9938">
      <c r="A9938" t="n">
        <v>9938</v>
      </c>
      <c r="B9938">
        <f>IF(INDEX('Data Entry'!$H$5:$BE$10004,9938-4,'Visual SPC'!$B$3)="",0,IF(AND(OR('Visual SPC'!$C$4="",'Data Entry'!$C9938&gt;='Visual SPC'!$C$4),OR('Visual SPC'!$E$4="",'Data Entry'!$C9938&lt;='Visual SPC'!$E$4),OR('Visual SPC'!$G$4="",'Data Entry'!$D9938='Visual SPC'!$G$4),OR('Visual SPC'!$I$4="",'Data Entry'!$E9938='Visual SPC'!$I$4),OR('Visual SPC'!$K$4="",'Data Entry'!$F9938='Visual SPC'!$K$4)),1,0))</f>
        <v/>
      </c>
      <c r="C9938">
        <f>C9937+B9938</f>
        <v/>
      </c>
      <c r="D9938">
        <f>IF(B9938=1,INDEX('Data Entry'!$H$5:$BE$10004,9938-4,'Visual SPC'!$B$3),"")</f>
        <v/>
      </c>
      <c r="E9938">
        <f>IF(B9938=1,D9938,E9937)</f>
        <v/>
      </c>
      <c r="F9938">
        <f>IF(AND(B9938=1,C9938&gt;1,E9937&lt;&gt;""),ABS(D9938-E9937),"")</f>
        <v/>
      </c>
    </row>
    <row r="9939">
      <c r="A9939" t="n">
        <v>9939</v>
      </c>
      <c r="B9939">
        <f>IF(INDEX('Data Entry'!$H$5:$BE$10004,9939-4,'Visual SPC'!$B$3)="",0,IF(AND(OR('Visual SPC'!$C$4="",'Data Entry'!$C9939&gt;='Visual SPC'!$C$4),OR('Visual SPC'!$E$4="",'Data Entry'!$C9939&lt;='Visual SPC'!$E$4),OR('Visual SPC'!$G$4="",'Data Entry'!$D9939='Visual SPC'!$G$4),OR('Visual SPC'!$I$4="",'Data Entry'!$E9939='Visual SPC'!$I$4),OR('Visual SPC'!$K$4="",'Data Entry'!$F9939='Visual SPC'!$K$4)),1,0))</f>
        <v/>
      </c>
      <c r="C9939">
        <f>C9938+B9939</f>
        <v/>
      </c>
      <c r="D9939">
        <f>IF(B9939=1,INDEX('Data Entry'!$H$5:$BE$10004,9939-4,'Visual SPC'!$B$3),"")</f>
        <v/>
      </c>
      <c r="E9939">
        <f>IF(B9939=1,D9939,E9938)</f>
        <v/>
      </c>
      <c r="F9939">
        <f>IF(AND(B9939=1,C9939&gt;1,E9938&lt;&gt;""),ABS(D9939-E9938),"")</f>
        <v/>
      </c>
    </row>
    <row r="9940">
      <c r="A9940" t="n">
        <v>9940</v>
      </c>
      <c r="B9940">
        <f>IF(INDEX('Data Entry'!$H$5:$BE$10004,9940-4,'Visual SPC'!$B$3)="",0,IF(AND(OR('Visual SPC'!$C$4="",'Data Entry'!$C9940&gt;='Visual SPC'!$C$4),OR('Visual SPC'!$E$4="",'Data Entry'!$C9940&lt;='Visual SPC'!$E$4),OR('Visual SPC'!$G$4="",'Data Entry'!$D9940='Visual SPC'!$G$4),OR('Visual SPC'!$I$4="",'Data Entry'!$E9940='Visual SPC'!$I$4),OR('Visual SPC'!$K$4="",'Data Entry'!$F9940='Visual SPC'!$K$4)),1,0))</f>
        <v/>
      </c>
      <c r="C9940">
        <f>C9939+B9940</f>
        <v/>
      </c>
      <c r="D9940">
        <f>IF(B9940=1,INDEX('Data Entry'!$H$5:$BE$10004,9940-4,'Visual SPC'!$B$3),"")</f>
        <v/>
      </c>
      <c r="E9940">
        <f>IF(B9940=1,D9940,E9939)</f>
        <v/>
      </c>
      <c r="F9940">
        <f>IF(AND(B9940=1,C9940&gt;1,E9939&lt;&gt;""),ABS(D9940-E9939),"")</f>
        <v/>
      </c>
    </row>
    <row r="9941">
      <c r="A9941" t="n">
        <v>9941</v>
      </c>
      <c r="B9941">
        <f>IF(INDEX('Data Entry'!$H$5:$BE$10004,9941-4,'Visual SPC'!$B$3)="",0,IF(AND(OR('Visual SPC'!$C$4="",'Data Entry'!$C9941&gt;='Visual SPC'!$C$4),OR('Visual SPC'!$E$4="",'Data Entry'!$C9941&lt;='Visual SPC'!$E$4),OR('Visual SPC'!$G$4="",'Data Entry'!$D9941='Visual SPC'!$G$4),OR('Visual SPC'!$I$4="",'Data Entry'!$E9941='Visual SPC'!$I$4),OR('Visual SPC'!$K$4="",'Data Entry'!$F9941='Visual SPC'!$K$4)),1,0))</f>
        <v/>
      </c>
      <c r="C9941">
        <f>C9940+B9941</f>
        <v/>
      </c>
      <c r="D9941">
        <f>IF(B9941=1,INDEX('Data Entry'!$H$5:$BE$10004,9941-4,'Visual SPC'!$B$3),"")</f>
        <v/>
      </c>
      <c r="E9941">
        <f>IF(B9941=1,D9941,E9940)</f>
        <v/>
      </c>
      <c r="F9941">
        <f>IF(AND(B9941=1,C9941&gt;1,E9940&lt;&gt;""),ABS(D9941-E9940),"")</f>
        <v/>
      </c>
    </row>
    <row r="9942">
      <c r="A9942" t="n">
        <v>9942</v>
      </c>
      <c r="B9942">
        <f>IF(INDEX('Data Entry'!$H$5:$BE$10004,9942-4,'Visual SPC'!$B$3)="",0,IF(AND(OR('Visual SPC'!$C$4="",'Data Entry'!$C9942&gt;='Visual SPC'!$C$4),OR('Visual SPC'!$E$4="",'Data Entry'!$C9942&lt;='Visual SPC'!$E$4),OR('Visual SPC'!$G$4="",'Data Entry'!$D9942='Visual SPC'!$G$4),OR('Visual SPC'!$I$4="",'Data Entry'!$E9942='Visual SPC'!$I$4),OR('Visual SPC'!$K$4="",'Data Entry'!$F9942='Visual SPC'!$K$4)),1,0))</f>
        <v/>
      </c>
      <c r="C9942">
        <f>C9941+B9942</f>
        <v/>
      </c>
      <c r="D9942">
        <f>IF(B9942=1,INDEX('Data Entry'!$H$5:$BE$10004,9942-4,'Visual SPC'!$B$3),"")</f>
        <v/>
      </c>
      <c r="E9942">
        <f>IF(B9942=1,D9942,E9941)</f>
        <v/>
      </c>
      <c r="F9942">
        <f>IF(AND(B9942=1,C9942&gt;1,E9941&lt;&gt;""),ABS(D9942-E9941),"")</f>
        <v/>
      </c>
    </row>
    <row r="9943">
      <c r="A9943" t="n">
        <v>9943</v>
      </c>
      <c r="B9943">
        <f>IF(INDEX('Data Entry'!$H$5:$BE$10004,9943-4,'Visual SPC'!$B$3)="",0,IF(AND(OR('Visual SPC'!$C$4="",'Data Entry'!$C9943&gt;='Visual SPC'!$C$4),OR('Visual SPC'!$E$4="",'Data Entry'!$C9943&lt;='Visual SPC'!$E$4),OR('Visual SPC'!$G$4="",'Data Entry'!$D9943='Visual SPC'!$G$4),OR('Visual SPC'!$I$4="",'Data Entry'!$E9943='Visual SPC'!$I$4),OR('Visual SPC'!$K$4="",'Data Entry'!$F9943='Visual SPC'!$K$4)),1,0))</f>
        <v/>
      </c>
      <c r="C9943">
        <f>C9942+B9943</f>
        <v/>
      </c>
      <c r="D9943">
        <f>IF(B9943=1,INDEX('Data Entry'!$H$5:$BE$10004,9943-4,'Visual SPC'!$B$3),"")</f>
        <v/>
      </c>
      <c r="E9943">
        <f>IF(B9943=1,D9943,E9942)</f>
        <v/>
      </c>
      <c r="F9943">
        <f>IF(AND(B9943=1,C9943&gt;1,E9942&lt;&gt;""),ABS(D9943-E9942),"")</f>
        <v/>
      </c>
    </row>
    <row r="9944">
      <c r="A9944" t="n">
        <v>9944</v>
      </c>
      <c r="B9944">
        <f>IF(INDEX('Data Entry'!$H$5:$BE$10004,9944-4,'Visual SPC'!$B$3)="",0,IF(AND(OR('Visual SPC'!$C$4="",'Data Entry'!$C9944&gt;='Visual SPC'!$C$4),OR('Visual SPC'!$E$4="",'Data Entry'!$C9944&lt;='Visual SPC'!$E$4),OR('Visual SPC'!$G$4="",'Data Entry'!$D9944='Visual SPC'!$G$4),OR('Visual SPC'!$I$4="",'Data Entry'!$E9944='Visual SPC'!$I$4),OR('Visual SPC'!$K$4="",'Data Entry'!$F9944='Visual SPC'!$K$4)),1,0))</f>
        <v/>
      </c>
      <c r="C9944">
        <f>C9943+B9944</f>
        <v/>
      </c>
      <c r="D9944">
        <f>IF(B9944=1,INDEX('Data Entry'!$H$5:$BE$10004,9944-4,'Visual SPC'!$B$3),"")</f>
        <v/>
      </c>
      <c r="E9944">
        <f>IF(B9944=1,D9944,E9943)</f>
        <v/>
      </c>
      <c r="F9944">
        <f>IF(AND(B9944=1,C9944&gt;1,E9943&lt;&gt;""),ABS(D9944-E9943),"")</f>
        <v/>
      </c>
    </row>
    <row r="9945">
      <c r="A9945" t="n">
        <v>9945</v>
      </c>
      <c r="B9945">
        <f>IF(INDEX('Data Entry'!$H$5:$BE$10004,9945-4,'Visual SPC'!$B$3)="",0,IF(AND(OR('Visual SPC'!$C$4="",'Data Entry'!$C9945&gt;='Visual SPC'!$C$4),OR('Visual SPC'!$E$4="",'Data Entry'!$C9945&lt;='Visual SPC'!$E$4),OR('Visual SPC'!$G$4="",'Data Entry'!$D9945='Visual SPC'!$G$4),OR('Visual SPC'!$I$4="",'Data Entry'!$E9945='Visual SPC'!$I$4),OR('Visual SPC'!$K$4="",'Data Entry'!$F9945='Visual SPC'!$K$4)),1,0))</f>
        <v/>
      </c>
      <c r="C9945">
        <f>C9944+B9945</f>
        <v/>
      </c>
      <c r="D9945">
        <f>IF(B9945=1,INDEX('Data Entry'!$H$5:$BE$10004,9945-4,'Visual SPC'!$B$3),"")</f>
        <v/>
      </c>
      <c r="E9945">
        <f>IF(B9945=1,D9945,E9944)</f>
        <v/>
      </c>
      <c r="F9945">
        <f>IF(AND(B9945=1,C9945&gt;1,E9944&lt;&gt;""),ABS(D9945-E9944),"")</f>
        <v/>
      </c>
    </row>
    <row r="9946">
      <c r="A9946" t="n">
        <v>9946</v>
      </c>
      <c r="B9946">
        <f>IF(INDEX('Data Entry'!$H$5:$BE$10004,9946-4,'Visual SPC'!$B$3)="",0,IF(AND(OR('Visual SPC'!$C$4="",'Data Entry'!$C9946&gt;='Visual SPC'!$C$4),OR('Visual SPC'!$E$4="",'Data Entry'!$C9946&lt;='Visual SPC'!$E$4),OR('Visual SPC'!$G$4="",'Data Entry'!$D9946='Visual SPC'!$G$4),OR('Visual SPC'!$I$4="",'Data Entry'!$E9946='Visual SPC'!$I$4),OR('Visual SPC'!$K$4="",'Data Entry'!$F9946='Visual SPC'!$K$4)),1,0))</f>
        <v/>
      </c>
      <c r="C9946">
        <f>C9945+B9946</f>
        <v/>
      </c>
      <c r="D9946">
        <f>IF(B9946=1,INDEX('Data Entry'!$H$5:$BE$10004,9946-4,'Visual SPC'!$B$3),"")</f>
        <v/>
      </c>
      <c r="E9946">
        <f>IF(B9946=1,D9946,E9945)</f>
        <v/>
      </c>
      <c r="F9946">
        <f>IF(AND(B9946=1,C9946&gt;1,E9945&lt;&gt;""),ABS(D9946-E9945),"")</f>
        <v/>
      </c>
    </row>
    <row r="9947">
      <c r="A9947" t="n">
        <v>9947</v>
      </c>
      <c r="B9947">
        <f>IF(INDEX('Data Entry'!$H$5:$BE$10004,9947-4,'Visual SPC'!$B$3)="",0,IF(AND(OR('Visual SPC'!$C$4="",'Data Entry'!$C9947&gt;='Visual SPC'!$C$4),OR('Visual SPC'!$E$4="",'Data Entry'!$C9947&lt;='Visual SPC'!$E$4),OR('Visual SPC'!$G$4="",'Data Entry'!$D9947='Visual SPC'!$G$4),OR('Visual SPC'!$I$4="",'Data Entry'!$E9947='Visual SPC'!$I$4),OR('Visual SPC'!$K$4="",'Data Entry'!$F9947='Visual SPC'!$K$4)),1,0))</f>
        <v/>
      </c>
      <c r="C9947">
        <f>C9946+B9947</f>
        <v/>
      </c>
      <c r="D9947">
        <f>IF(B9947=1,INDEX('Data Entry'!$H$5:$BE$10004,9947-4,'Visual SPC'!$B$3),"")</f>
        <v/>
      </c>
      <c r="E9947">
        <f>IF(B9947=1,D9947,E9946)</f>
        <v/>
      </c>
      <c r="F9947">
        <f>IF(AND(B9947=1,C9947&gt;1,E9946&lt;&gt;""),ABS(D9947-E9946),"")</f>
        <v/>
      </c>
    </row>
    <row r="9948">
      <c r="A9948" t="n">
        <v>9948</v>
      </c>
      <c r="B9948">
        <f>IF(INDEX('Data Entry'!$H$5:$BE$10004,9948-4,'Visual SPC'!$B$3)="",0,IF(AND(OR('Visual SPC'!$C$4="",'Data Entry'!$C9948&gt;='Visual SPC'!$C$4),OR('Visual SPC'!$E$4="",'Data Entry'!$C9948&lt;='Visual SPC'!$E$4),OR('Visual SPC'!$G$4="",'Data Entry'!$D9948='Visual SPC'!$G$4),OR('Visual SPC'!$I$4="",'Data Entry'!$E9948='Visual SPC'!$I$4),OR('Visual SPC'!$K$4="",'Data Entry'!$F9948='Visual SPC'!$K$4)),1,0))</f>
        <v/>
      </c>
      <c r="C9948">
        <f>C9947+B9948</f>
        <v/>
      </c>
      <c r="D9948">
        <f>IF(B9948=1,INDEX('Data Entry'!$H$5:$BE$10004,9948-4,'Visual SPC'!$B$3),"")</f>
        <v/>
      </c>
      <c r="E9948">
        <f>IF(B9948=1,D9948,E9947)</f>
        <v/>
      </c>
      <c r="F9948">
        <f>IF(AND(B9948=1,C9948&gt;1,E9947&lt;&gt;""),ABS(D9948-E9947),"")</f>
        <v/>
      </c>
    </row>
    <row r="9949">
      <c r="A9949" t="n">
        <v>9949</v>
      </c>
      <c r="B9949">
        <f>IF(INDEX('Data Entry'!$H$5:$BE$10004,9949-4,'Visual SPC'!$B$3)="",0,IF(AND(OR('Visual SPC'!$C$4="",'Data Entry'!$C9949&gt;='Visual SPC'!$C$4),OR('Visual SPC'!$E$4="",'Data Entry'!$C9949&lt;='Visual SPC'!$E$4),OR('Visual SPC'!$G$4="",'Data Entry'!$D9949='Visual SPC'!$G$4),OR('Visual SPC'!$I$4="",'Data Entry'!$E9949='Visual SPC'!$I$4),OR('Visual SPC'!$K$4="",'Data Entry'!$F9949='Visual SPC'!$K$4)),1,0))</f>
        <v/>
      </c>
      <c r="C9949">
        <f>C9948+B9949</f>
        <v/>
      </c>
      <c r="D9949">
        <f>IF(B9949=1,INDEX('Data Entry'!$H$5:$BE$10004,9949-4,'Visual SPC'!$B$3),"")</f>
        <v/>
      </c>
      <c r="E9949">
        <f>IF(B9949=1,D9949,E9948)</f>
        <v/>
      </c>
      <c r="F9949">
        <f>IF(AND(B9949=1,C9949&gt;1,E9948&lt;&gt;""),ABS(D9949-E9948),"")</f>
        <v/>
      </c>
    </row>
    <row r="9950">
      <c r="A9950" t="n">
        <v>9950</v>
      </c>
      <c r="B9950">
        <f>IF(INDEX('Data Entry'!$H$5:$BE$10004,9950-4,'Visual SPC'!$B$3)="",0,IF(AND(OR('Visual SPC'!$C$4="",'Data Entry'!$C9950&gt;='Visual SPC'!$C$4),OR('Visual SPC'!$E$4="",'Data Entry'!$C9950&lt;='Visual SPC'!$E$4),OR('Visual SPC'!$G$4="",'Data Entry'!$D9950='Visual SPC'!$G$4),OR('Visual SPC'!$I$4="",'Data Entry'!$E9950='Visual SPC'!$I$4),OR('Visual SPC'!$K$4="",'Data Entry'!$F9950='Visual SPC'!$K$4)),1,0))</f>
        <v/>
      </c>
      <c r="C9950">
        <f>C9949+B9950</f>
        <v/>
      </c>
      <c r="D9950">
        <f>IF(B9950=1,INDEX('Data Entry'!$H$5:$BE$10004,9950-4,'Visual SPC'!$B$3),"")</f>
        <v/>
      </c>
      <c r="E9950">
        <f>IF(B9950=1,D9950,E9949)</f>
        <v/>
      </c>
      <c r="F9950">
        <f>IF(AND(B9950=1,C9950&gt;1,E9949&lt;&gt;""),ABS(D9950-E9949),"")</f>
        <v/>
      </c>
    </row>
    <row r="9951">
      <c r="A9951" t="n">
        <v>9951</v>
      </c>
      <c r="B9951">
        <f>IF(INDEX('Data Entry'!$H$5:$BE$10004,9951-4,'Visual SPC'!$B$3)="",0,IF(AND(OR('Visual SPC'!$C$4="",'Data Entry'!$C9951&gt;='Visual SPC'!$C$4),OR('Visual SPC'!$E$4="",'Data Entry'!$C9951&lt;='Visual SPC'!$E$4),OR('Visual SPC'!$G$4="",'Data Entry'!$D9951='Visual SPC'!$G$4),OR('Visual SPC'!$I$4="",'Data Entry'!$E9951='Visual SPC'!$I$4),OR('Visual SPC'!$K$4="",'Data Entry'!$F9951='Visual SPC'!$K$4)),1,0))</f>
        <v/>
      </c>
      <c r="C9951">
        <f>C9950+B9951</f>
        <v/>
      </c>
      <c r="D9951">
        <f>IF(B9951=1,INDEX('Data Entry'!$H$5:$BE$10004,9951-4,'Visual SPC'!$B$3),"")</f>
        <v/>
      </c>
      <c r="E9951">
        <f>IF(B9951=1,D9951,E9950)</f>
        <v/>
      </c>
      <c r="F9951">
        <f>IF(AND(B9951=1,C9951&gt;1,E9950&lt;&gt;""),ABS(D9951-E9950),"")</f>
        <v/>
      </c>
    </row>
    <row r="9952">
      <c r="A9952" t="n">
        <v>9952</v>
      </c>
      <c r="B9952">
        <f>IF(INDEX('Data Entry'!$H$5:$BE$10004,9952-4,'Visual SPC'!$B$3)="",0,IF(AND(OR('Visual SPC'!$C$4="",'Data Entry'!$C9952&gt;='Visual SPC'!$C$4),OR('Visual SPC'!$E$4="",'Data Entry'!$C9952&lt;='Visual SPC'!$E$4),OR('Visual SPC'!$G$4="",'Data Entry'!$D9952='Visual SPC'!$G$4),OR('Visual SPC'!$I$4="",'Data Entry'!$E9952='Visual SPC'!$I$4),OR('Visual SPC'!$K$4="",'Data Entry'!$F9952='Visual SPC'!$K$4)),1,0))</f>
        <v/>
      </c>
      <c r="C9952">
        <f>C9951+B9952</f>
        <v/>
      </c>
      <c r="D9952">
        <f>IF(B9952=1,INDEX('Data Entry'!$H$5:$BE$10004,9952-4,'Visual SPC'!$B$3),"")</f>
        <v/>
      </c>
      <c r="E9952">
        <f>IF(B9952=1,D9952,E9951)</f>
        <v/>
      </c>
      <c r="F9952">
        <f>IF(AND(B9952=1,C9952&gt;1,E9951&lt;&gt;""),ABS(D9952-E9951),"")</f>
        <v/>
      </c>
    </row>
    <row r="9953">
      <c r="A9953" t="n">
        <v>9953</v>
      </c>
      <c r="B9953">
        <f>IF(INDEX('Data Entry'!$H$5:$BE$10004,9953-4,'Visual SPC'!$B$3)="",0,IF(AND(OR('Visual SPC'!$C$4="",'Data Entry'!$C9953&gt;='Visual SPC'!$C$4),OR('Visual SPC'!$E$4="",'Data Entry'!$C9953&lt;='Visual SPC'!$E$4),OR('Visual SPC'!$G$4="",'Data Entry'!$D9953='Visual SPC'!$G$4),OR('Visual SPC'!$I$4="",'Data Entry'!$E9953='Visual SPC'!$I$4),OR('Visual SPC'!$K$4="",'Data Entry'!$F9953='Visual SPC'!$K$4)),1,0))</f>
        <v/>
      </c>
      <c r="C9953">
        <f>C9952+B9953</f>
        <v/>
      </c>
      <c r="D9953">
        <f>IF(B9953=1,INDEX('Data Entry'!$H$5:$BE$10004,9953-4,'Visual SPC'!$B$3),"")</f>
        <v/>
      </c>
      <c r="E9953">
        <f>IF(B9953=1,D9953,E9952)</f>
        <v/>
      </c>
      <c r="F9953">
        <f>IF(AND(B9953=1,C9953&gt;1,E9952&lt;&gt;""),ABS(D9953-E9952),"")</f>
        <v/>
      </c>
    </row>
    <row r="9954">
      <c r="A9954" t="n">
        <v>9954</v>
      </c>
      <c r="B9954">
        <f>IF(INDEX('Data Entry'!$H$5:$BE$10004,9954-4,'Visual SPC'!$B$3)="",0,IF(AND(OR('Visual SPC'!$C$4="",'Data Entry'!$C9954&gt;='Visual SPC'!$C$4),OR('Visual SPC'!$E$4="",'Data Entry'!$C9954&lt;='Visual SPC'!$E$4),OR('Visual SPC'!$G$4="",'Data Entry'!$D9954='Visual SPC'!$G$4),OR('Visual SPC'!$I$4="",'Data Entry'!$E9954='Visual SPC'!$I$4),OR('Visual SPC'!$K$4="",'Data Entry'!$F9954='Visual SPC'!$K$4)),1,0))</f>
        <v/>
      </c>
      <c r="C9954">
        <f>C9953+B9954</f>
        <v/>
      </c>
      <c r="D9954">
        <f>IF(B9954=1,INDEX('Data Entry'!$H$5:$BE$10004,9954-4,'Visual SPC'!$B$3),"")</f>
        <v/>
      </c>
      <c r="E9954">
        <f>IF(B9954=1,D9954,E9953)</f>
        <v/>
      </c>
      <c r="F9954">
        <f>IF(AND(B9954=1,C9954&gt;1,E9953&lt;&gt;""),ABS(D9954-E9953),"")</f>
        <v/>
      </c>
    </row>
    <row r="9955">
      <c r="A9955" t="n">
        <v>9955</v>
      </c>
      <c r="B9955">
        <f>IF(INDEX('Data Entry'!$H$5:$BE$10004,9955-4,'Visual SPC'!$B$3)="",0,IF(AND(OR('Visual SPC'!$C$4="",'Data Entry'!$C9955&gt;='Visual SPC'!$C$4),OR('Visual SPC'!$E$4="",'Data Entry'!$C9955&lt;='Visual SPC'!$E$4),OR('Visual SPC'!$G$4="",'Data Entry'!$D9955='Visual SPC'!$G$4),OR('Visual SPC'!$I$4="",'Data Entry'!$E9955='Visual SPC'!$I$4),OR('Visual SPC'!$K$4="",'Data Entry'!$F9955='Visual SPC'!$K$4)),1,0))</f>
        <v/>
      </c>
      <c r="C9955">
        <f>C9954+B9955</f>
        <v/>
      </c>
      <c r="D9955">
        <f>IF(B9955=1,INDEX('Data Entry'!$H$5:$BE$10004,9955-4,'Visual SPC'!$B$3),"")</f>
        <v/>
      </c>
      <c r="E9955">
        <f>IF(B9955=1,D9955,E9954)</f>
        <v/>
      </c>
      <c r="F9955">
        <f>IF(AND(B9955=1,C9955&gt;1,E9954&lt;&gt;""),ABS(D9955-E9954),"")</f>
        <v/>
      </c>
    </row>
    <row r="9956">
      <c r="A9956" t="n">
        <v>9956</v>
      </c>
      <c r="B9956">
        <f>IF(INDEX('Data Entry'!$H$5:$BE$10004,9956-4,'Visual SPC'!$B$3)="",0,IF(AND(OR('Visual SPC'!$C$4="",'Data Entry'!$C9956&gt;='Visual SPC'!$C$4),OR('Visual SPC'!$E$4="",'Data Entry'!$C9956&lt;='Visual SPC'!$E$4),OR('Visual SPC'!$G$4="",'Data Entry'!$D9956='Visual SPC'!$G$4),OR('Visual SPC'!$I$4="",'Data Entry'!$E9956='Visual SPC'!$I$4),OR('Visual SPC'!$K$4="",'Data Entry'!$F9956='Visual SPC'!$K$4)),1,0))</f>
        <v/>
      </c>
      <c r="C9956">
        <f>C9955+B9956</f>
        <v/>
      </c>
      <c r="D9956">
        <f>IF(B9956=1,INDEX('Data Entry'!$H$5:$BE$10004,9956-4,'Visual SPC'!$B$3),"")</f>
        <v/>
      </c>
      <c r="E9956">
        <f>IF(B9956=1,D9956,E9955)</f>
        <v/>
      </c>
      <c r="F9956">
        <f>IF(AND(B9956=1,C9956&gt;1,E9955&lt;&gt;""),ABS(D9956-E9955),"")</f>
        <v/>
      </c>
    </row>
    <row r="9957">
      <c r="A9957" t="n">
        <v>9957</v>
      </c>
      <c r="B9957">
        <f>IF(INDEX('Data Entry'!$H$5:$BE$10004,9957-4,'Visual SPC'!$B$3)="",0,IF(AND(OR('Visual SPC'!$C$4="",'Data Entry'!$C9957&gt;='Visual SPC'!$C$4),OR('Visual SPC'!$E$4="",'Data Entry'!$C9957&lt;='Visual SPC'!$E$4),OR('Visual SPC'!$G$4="",'Data Entry'!$D9957='Visual SPC'!$G$4),OR('Visual SPC'!$I$4="",'Data Entry'!$E9957='Visual SPC'!$I$4),OR('Visual SPC'!$K$4="",'Data Entry'!$F9957='Visual SPC'!$K$4)),1,0))</f>
        <v/>
      </c>
      <c r="C9957">
        <f>C9956+B9957</f>
        <v/>
      </c>
      <c r="D9957">
        <f>IF(B9957=1,INDEX('Data Entry'!$H$5:$BE$10004,9957-4,'Visual SPC'!$B$3),"")</f>
        <v/>
      </c>
      <c r="E9957">
        <f>IF(B9957=1,D9957,E9956)</f>
        <v/>
      </c>
      <c r="F9957">
        <f>IF(AND(B9957=1,C9957&gt;1,E9956&lt;&gt;""),ABS(D9957-E9956),"")</f>
        <v/>
      </c>
    </row>
    <row r="9958">
      <c r="A9958" t="n">
        <v>9958</v>
      </c>
      <c r="B9958">
        <f>IF(INDEX('Data Entry'!$H$5:$BE$10004,9958-4,'Visual SPC'!$B$3)="",0,IF(AND(OR('Visual SPC'!$C$4="",'Data Entry'!$C9958&gt;='Visual SPC'!$C$4),OR('Visual SPC'!$E$4="",'Data Entry'!$C9958&lt;='Visual SPC'!$E$4),OR('Visual SPC'!$G$4="",'Data Entry'!$D9958='Visual SPC'!$G$4),OR('Visual SPC'!$I$4="",'Data Entry'!$E9958='Visual SPC'!$I$4),OR('Visual SPC'!$K$4="",'Data Entry'!$F9958='Visual SPC'!$K$4)),1,0))</f>
        <v/>
      </c>
      <c r="C9958">
        <f>C9957+B9958</f>
        <v/>
      </c>
      <c r="D9958">
        <f>IF(B9958=1,INDEX('Data Entry'!$H$5:$BE$10004,9958-4,'Visual SPC'!$B$3),"")</f>
        <v/>
      </c>
      <c r="E9958">
        <f>IF(B9958=1,D9958,E9957)</f>
        <v/>
      </c>
      <c r="F9958">
        <f>IF(AND(B9958=1,C9958&gt;1,E9957&lt;&gt;""),ABS(D9958-E9957),"")</f>
        <v/>
      </c>
    </row>
    <row r="9959">
      <c r="A9959" t="n">
        <v>9959</v>
      </c>
      <c r="B9959">
        <f>IF(INDEX('Data Entry'!$H$5:$BE$10004,9959-4,'Visual SPC'!$B$3)="",0,IF(AND(OR('Visual SPC'!$C$4="",'Data Entry'!$C9959&gt;='Visual SPC'!$C$4),OR('Visual SPC'!$E$4="",'Data Entry'!$C9959&lt;='Visual SPC'!$E$4),OR('Visual SPC'!$G$4="",'Data Entry'!$D9959='Visual SPC'!$G$4),OR('Visual SPC'!$I$4="",'Data Entry'!$E9959='Visual SPC'!$I$4),OR('Visual SPC'!$K$4="",'Data Entry'!$F9959='Visual SPC'!$K$4)),1,0))</f>
        <v/>
      </c>
      <c r="C9959">
        <f>C9958+B9959</f>
        <v/>
      </c>
      <c r="D9959">
        <f>IF(B9959=1,INDEX('Data Entry'!$H$5:$BE$10004,9959-4,'Visual SPC'!$B$3),"")</f>
        <v/>
      </c>
      <c r="E9959">
        <f>IF(B9959=1,D9959,E9958)</f>
        <v/>
      </c>
      <c r="F9959">
        <f>IF(AND(B9959=1,C9959&gt;1,E9958&lt;&gt;""),ABS(D9959-E9958),"")</f>
        <v/>
      </c>
    </row>
    <row r="9960">
      <c r="A9960" t="n">
        <v>9960</v>
      </c>
      <c r="B9960">
        <f>IF(INDEX('Data Entry'!$H$5:$BE$10004,9960-4,'Visual SPC'!$B$3)="",0,IF(AND(OR('Visual SPC'!$C$4="",'Data Entry'!$C9960&gt;='Visual SPC'!$C$4),OR('Visual SPC'!$E$4="",'Data Entry'!$C9960&lt;='Visual SPC'!$E$4),OR('Visual SPC'!$G$4="",'Data Entry'!$D9960='Visual SPC'!$G$4),OR('Visual SPC'!$I$4="",'Data Entry'!$E9960='Visual SPC'!$I$4),OR('Visual SPC'!$K$4="",'Data Entry'!$F9960='Visual SPC'!$K$4)),1,0))</f>
        <v/>
      </c>
      <c r="C9960">
        <f>C9959+B9960</f>
        <v/>
      </c>
      <c r="D9960">
        <f>IF(B9960=1,INDEX('Data Entry'!$H$5:$BE$10004,9960-4,'Visual SPC'!$B$3),"")</f>
        <v/>
      </c>
      <c r="E9960">
        <f>IF(B9960=1,D9960,E9959)</f>
        <v/>
      </c>
      <c r="F9960">
        <f>IF(AND(B9960=1,C9960&gt;1,E9959&lt;&gt;""),ABS(D9960-E9959),"")</f>
        <v/>
      </c>
    </row>
    <row r="9961">
      <c r="A9961" t="n">
        <v>9961</v>
      </c>
      <c r="B9961">
        <f>IF(INDEX('Data Entry'!$H$5:$BE$10004,9961-4,'Visual SPC'!$B$3)="",0,IF(AND(OR('Visual SPC'!$C$4="",'Data Entry'!$C9961&gt;='Visual SPC'!$C$4),OR('Visual SPC'!$E$4="",'Data Entry'!$C9961&lt;='Visual SPC'!$E$4),OR('Visual SPC'!$G$4="",'Data Entry'!$D9961='Visual SPC'!$G$4),OR('Visual SPC'!$I$4="",'Data Entry'!$E9961='Visual SPC'!$I$4),OR('Visual SPC'!$K$4="",'Data Entry'!$F9961='Visual SPC'!$K$4)),1,0))</f>
        <v/>
      </c>
      <c r="C9961">
        <f>C9960+B9961</f>
        <v/>
      </c>
      <c r="D9961">
        <f>IF(B9961=1,INDEX('Data Entry'!$H$5:$BE$10004,9961-4,'Visual SPC'!$B$3),"")</f>
        <v/>
      </c>
      <c r="E9961">
        <f>IF(B9961=1,D9961,E9960)</f>
        <v/>
      </c>
      <c r="F9961">
        <f>IF(AND(B9961=1,C9961&gt;1,E9960&lt;&gt;""),ABS(D9961-E9960),"")</f>
        <v/>
      </c>
    </row>
    <row r="9962">
      <c r="A9962" t="n">
        <v>9962</v>
      </c>
      <c r="B9962">
        <f>IF(INDEX('Data Entry'!$H$5:$BE$10004,9962-4,'Visual SPC'!$B$3)="",0,IF(AND(OR('Visual SPC'!$C$4="",'Data Entry'!$C9962&gt;='Visual SPC'!$C$4),OR('Visual SPC'!$E$4="",'Data Entry'!$C9962&lt;='Visual SPC'!$E$4),OR('Visual SPC'!$G$4="",'Data Entry'!$D9962='Visual SPC'!$G$4),OR('Visual SPC'!$I$4="",'Data Entry'!$E9962='Visual SPC'!$I$4),OR('Visual SPC'!$K$4="",'Data Entry'!$F9962='Visual SPC'!$K$4)),1,0))</f>
        <v/>
      </c>
      <c r="C9962">
        <f>C9961+B9962</f>
        <v/>
      </c>
      <c r="D9962">
        <f>IF(B9962=1,INDEX('Data Entry'!$H$5:$BE$10004,9962-4,'Visual SPC'!$B$3),"")</f>
        <v/>
      </c>
      <c r="E9962">
        <f>IF(B9962=1,D9962,E9961)</f>
        <v/>
      </c>
      <c r="F9962">
        <f>IF(AND(B9962=1,C9962&gt;1,E9961&lt;&gt;""),ABS(D9962-E9961),"")</f>
        <v/>
      </c>
    </row>
    <row r="9963">
      <c r="A9963" t="n">
        <v>9963</v>
      </c>
      <c r="B9963">
        <f>IF(INDEX('Data Entry'!$H$5:$BE$10004,9963-4,'Visual SPC'!$B$3)="",0,IF(AND(OR('Visual SPC'!$C$4="",'Data Entry'!$C9963&gt;='Visual SPC'!$C$4),OR('Visual SPC'!$E$4="",'Data Entry'!$C9963&lt;='Visual SPC'!$E$4),OR('Visual SPC'!$G$4="",'Data Entry'!$D9963='Visual SPC'!$G$4),OR('Visual SPC'!$I$4="",'Data Entry'!$E9963='Visual SPC'!$I$4),OR('Visual SPC'!$K$4="",'Data Entry'!$F9963='Visual SPC'!$K$4)),1,0))</f>
        <v/>
      </c>
      <c r="C9963">
        <f>C9962+B9963</f>
        <v/>
      </c>
      <c r="D9963">
        <f>IF(B9963=1,INDEX('Data Entry'!$H$5:$BE$10004,9963-4,'Visual SPC'!$B$3),"")</f>
        <v/>
      </c>
      <c r="E9963">
        <f>IF(B9963=1,D9963,E9962)</f>
        <v/>
      </c>
      <c r="F9963">
        <f>IF(AND(B9963=1,C9963&gt;1,E9962&lt;&gt;""),ABS(D9963-E9962),"")</f>
        <v/>
      </c>
    </row>
    <row r="9964">
      <c r="A9964" t="n">
        <v>9964</v>
      </c>
      <c r="B9964">
        <f>IF(INDEX('Data Entry'!$H$5:$BE$10004,9964-4,'Visual SPC'!$B$3)="",0,IF(AND(OR('Visual SPC'!$C$4="",'Data Entry'!$C9964&gt;='Visual SPC'!$C$4),OR('Visual SPC'!$E$4="",'Data Entry'!$C9964&lt;='Visual SPC'!$E$4),OR('Visual SPC'!$G$4="",'Data Entry'!$D9964='Visual SPC'!$G$4),OR('Visual SPC'!$I$4="",'Data Entry'!$E9964='Visual SPC'!$I$4),OR('Visual SPC'!$K$4="",'Data Entry'!$F9964='Visual SPC'!$K$4)),1,0))</f>
        <v/>
      </c>
      <c r="C9964">
        <f>C9963+B9964</f>
        <v/>
      </c>
      <c r="D9964">
        <f>IF(B9964=1,INDEX('Data Entry'!$H$5:$BE$10004,9964-4,'Visual SPC'!$B$3),"")</f>
        <v/>
      </c>
      <c r="E9964">
        <f>IF(B9964=1,D9964,E9963)</f>
        <v/>
      </c>
      <c r="F9964">
        <f>IF(AND(B9964=1,C9964&gt;1,E9963&lt;&gt;""),ABS(D9964-E9963),"")</f>
        <v/>
      </c>
    </row>
    <row r="9965">
      <c r="A9965" t="n">
        <v>9965</v>
      </c>
      <c r="B9965">
        <f>IF(INDEX('Data Entry'!$H$5:$BE$10004,9965-4,'Visual SPC'!$B$3)="",0,IF(AND(OR('Visual SPC'!$C$4="",'Data Entry'!$C9965&gt;='Visual SPC'!$C$4),OR('Visual SPC'!$E$4="",'Data Entry'!$C9965&lt;='Visual SPC'!$E$4),OR('Visual SPC'!$G$4="",'Data Entry'!$D9965='Visual SPC'!$G$4),OR('Visual SPC'!$I$4="",'Data Entry'!$E9965='Visual SPC'!$I$4),OR('Visual SPC'!$K$4="",'Data Entry'!$F9965='Visual SPC'!$K$4)),1,0))</f>
        <v/>
      </c>
      <c r="C9965">
        <f>C9964+B9965</f>
        <v/>
      </c>
      <c r="D9965">
        <f>IF(B9965=1,INDEX('Data Entry'!$H$5:$BE$10004,9965-4,'Visual SPC'!$B$3),"")</f>
        <v/>
      </c>
      <c r="E9965">
        <f>IF(B9965=1,D9965,E9964)</f>
        <v/>
      </c>
      <c r="F9965">
        <f>IF(AND(B9965=1,C9965&gt;1,E9964&lt;&gt;""),ABS(D9965-E9964),"")</f>
        <v/>
      </c>
    </row>
    <row r="9966">
      <c r="A9966" t="n">
        <v>9966</v>
      </c>
      <c r="B9966">
        <f>IF(INDEX('Data Entry'!$H$5:$BE$10004,9966-4,'Visual SPC'!$B$3)="",0,IF(AND(OR('Visual SPC'!$C$4="",'Data Entry'!$C9966&gt;='Visual SPC'!$C$4),OR('Visual SPC'!$E$4="",'Data Entry'!$C9966&lt;='Visual SPC'!$E$4),OR('Visual SPC'!$G$4="",'Data Entry'!$D9966='Visual SPC'!$G$4),OR('Visual SPC'!$I$4="",'Data Entry'!$E9966='Visual SPC'!$I$4),OR('Visual SPC'!$K$4="",'Data Entry'!$F9966='Visual SPC'!$K$4)),1,0))</f>
        <v/>
      </c>
      <c r="C9966">
        <f>C9965+B9966</f>
        <v/>
      </c>
      <c r="D9966">
        <f>IF(B9966=1,INDEX('Data Entry'!$H$5:$BE$10004,9966-4,'Visual SPC'!$B$3),"")</f>
        <v/>
      </c>
      <c r="E9966">
        <f>IF(B9966=1,D9966,E9965)</f>
        <v/>
      </c>
      <c r="F9966">
        <f>IF(AND(B9966=1,C9966&gt;1,E9965&lt;&gt;""),ABS(D9966-E9965),"")</f>
        <v/>
      </c>
    </row>
    <row r="9967">
      <c r="A9967" t="n">
        <v>9967</v>
      </c>
      <c r="B9967">
        <f>IF(INDEX('Data Entry'!$H$5:$BE$10004,9967-4,'Visual SPC'!$B$3)="",0,IF(AND(OR('Visual SPC'!$C$4="",'Data Entry'!$C9967&gt;='Visual SPC'!$C$4),OR('Visual SPC'!$E$4="",'Data Entry'!$C9967&lt;='Visual SPC'!$E$4),OR('Visual SPC'!$G$4="",'Data Entry'!$D9967='Visual SPC'!$G$4),OR('Visual SPC'!$I$4="",'Data Entry'!$E9967='Visual SPC'!$I$4),OR('Visual SPC'!$K$4="",'Data Entry'!$F9967='Visual SPC'!$K$4)),1,0))</f>
        <v/>
      </c>
      <c r="C9967">
        <f>C9966+B9967</f>
        <v/>
      </c>
      <c r="D9967">
        <f>IF(B9967=1,INDEX('Data Entry'!$H$5:$BE$10004,9967-4,'Visual SPC'!$B$3),"")</f>
        <v/>
      </c>
      <c r="E9967">
        <f>IF(B9967=1,D9967,E9966)</f>
        <v/>
      </c>
      <c r="F9967">
        <f>IF(AND(B9967=1,C9967&gt;1,E9966&lt;&gt;""),ABS(D9967-E9966),"")</f>
        <v/>
      </c>
    </row>
    <row r="9968">
      <c r="A9968" t="n">
        <v>9968</v>
      </c>
      <c r="B9968">
        <f>IF(INDEX('Data Entry'!$H$5:$BE$10004,9968-4,'Visual SPC'!$B$3)="",0,IF(AND(OR('Visual SPC'!$C$4="",'Data Entry'!$C9968&gt;='Visual SPC'!$C$4),OR('Visual SPC'!$E$4="",'Data Entry'!$C9968&lt;='Visual SPC'!$E$4),OR('Visual SPC'!$G$4="",'Data Entry'!$D9968='Visual SPC'!$G$4),OR('Visual SPC'!$I$4="",'Data Entry'!$E9968='Visual SPC'!$I$4),OR('Visual SPC'!$K$4="",'Data Entry'!$F9968='Visual SPC'!$K$4)),1,0))</f>
        <v/>
      </c>
      <c r="C9968">
        <f>C9967+B9968</f>
        <v/>
      </c>
      <c r="D9968">
        <f>IF(B9968=1,INDEX('Data Entry'!$H$5:$BE$10004,9968-4,'Visual SPC'!$B$3),"")</f>
        <v/>
      </c>
      <c r="E9968">
        <f>IF(B9968=1,D9968,E9967)</f>
        <v/>
      </c>
      <c r="F9968">
        <f>IF(AND(B9968=1,C9968&gt;1,E9967&lt;&gt;""),ABS(D9968-E9967),"")</f>
        <v/>
      </c>
    </row>
    <row r="9969">
      <c r="A9969" t="n">
        <v>9969</v>
      </c>
      <c r="B9969">
        <f>IF(INDEX('Data Entry'!$H$5:$BE$10004,9969-4,'Visual SPC'!$B$3)="",0,IF(AND(OR('Visual SPC'!$C$4="",'Data Entry'!$C9969&gt;='Visual SPC'!$C$4),OR('Visual SPC'!$E$4="",'Data Entry'!$C9969&lt;='Visual SPC'!$E$4),OR('Visual SPC'!$G$4="",'Data Entry'!$D9969='Visual SPC'!$G$4),OR('Visual SPC'!$I$4="",'Data Entry'!$E9969='Visual SPC'!$I$4),OR('Visual SPC'!$K$4="",'Data Entry'!$F9969='Visual SPC'!$K$4)),1,0))</f>
        <v/>
      </c>
      <c r="C9969">
        <f>C9968+B9969</f>
        <v/>
      </c>
      <c r="D9969">
        <f>IF(B9969=1,INDEX('Data Entry'!$H$5:$BE$10004,9969-4,'Visual SPC'!$B$3),"")</f>
        <v/>
      </c>
      <c r="E9969">
        <f>IF(B9969=1,D9969,E9968)</f>
        <v/>
      </c>
      <c r="F9969">
        <f>IF(AND(B9969=1,C9969&gt;1,E9968&lt;&gt;""),ABS(D9969-E9968),"")</f>
        <v/>
      </c>
    </row>
    <row r="9970">
      <c r="A9970" t="n">
        <v>9970</v>
      </c>
      <c r="B9970">
        <f>IF(INDEX('Data Entry'!$H$5:$BE$10004,9970-4,'Visual SPC'!$B$3)="",0,IF(AND(OR('Visual SPC'!$C$4="",'Data Entry'!$C9970&gt;='Visual SPC'!$C$4),OR('Visual SPC'!$E$4="",'Data Entry'!$C9970&lt;='Visual SPC'!$E$4),OR('Visual SPC'!$G$4="",'Data Entry'!$D9970='Visual SPC'!$G$4),OR('Visual SPC'!$I$4="",'Data Entry'!$E9970='Visual SPC'!$I$4),OR('Visual SPC'!$K$4="",'Data Entry'!$F9970='Visual SPC'!$K$4)),1,0))</f>
        <v/>
      </c>
      <c r="C9970">
        <f>C9969+B9970</f>
        <v/>
      </c>
      <c r="D9970">
        <f>IF(B9970=1,INDEX('Data Entry'!$H$5:$BE$10004,9970-4,'Visual SPC'!$B$3),"")</f>
        <v/>
      </c>
      <c r="E9970">
        <f>IF(B9970=1,D9970,E9969)</f>
        <v/>
      </c>
      <c r="F9970">
        <f>IF(AND(B9970=1,C9970&gt;1,E9969&lt;&gt;""),ABS(D9970-E9969),"")</f>
        <v/>
      </c>
    </row>
    <row r="9971">
      <c r="A9971" t="n">
        <v>9971</v>
      </c>
      <c r="B9971">
        <f>IF(INDEX('Data Entry'!$H$5:$BE$10004,9971-4,'Visual SPC'!$B$3)="",0,IF(AND(OR('Visual SPC'!$C$4="",'Data Entry'!$C9971&gt;='Visual SPC'!$C$4),OR('Visual SPC'!$E$4="",'Data Entry'!$C9971&lt;='Visual SPC'!$E$4),OR('Visual SPC'!$G$4="",'Data Entry'!$D9971='Visual SPC'!$G$4),OR('Visual SPC'!$I$4="",'Data Entry'!$E9971='Visual SPC'!$I$4),OR('Visual SPC'!$K$4="",'Data Entry'!$F9971='Visual SPC'!$K$4)),1,0))</f>
        <v/>
      </c>
      <c r="C9971">
        <f>C9970+B9971</f>
        <v/>
      </c>
      <c r="D9971">
        <f>IF(B9971=1,INDEX('Data Entry'!$H$5:$BE$10004,9971-4,'Visual SPC'!$B$3),"")</f>
        <v/>
      </c>
      <c r="E9971">
        <f>IF(B9971=1,D9971,E9970)</f>
        <v/>
      </c>
      <c r="F9971">
        <f>IF(AND(B9971=1,C9971&gt;1,E9970&lt;&gt;""),ABS(D9971-E9970),"")</f>
        <v/>
      </c>
    </row>
    <row r="9972">
      <c r="A9972" t="n">
        <v>9972</v>
      </c>
      <c r="B9972">
        <f>IF(INDEX('Data Entry'!$H$5:$BE$10004,9972-4,'Visual SPC'!$B$3)="",0,IF(AND(OR('Visual SPC'!$C$4="",'Data Entry'!$C9972&gt;='Visual SPC'!$C$4),OR('Visual SPC'!$E$4="",'Data Entry'!$C9972&lt;='Visual SPC'!$E$4),OR('Visual SPC'!$G$4="",'Data Entry'!$D9972='Visual SPC'!$G$4),OR('Visual SPC'!$I$4="",'Data Entry'!$E9972='Visual SPC'!$I$4),OR('Visual SPC'!$K$4="",'Data Entry'!$F9972='Visual SPC'!$K$4)),1,0))</f>
        <v/>
      </c>
      <c r="C9972">
        <f>C9971+B9972</f>
        <v/>
      </c>
      <c r="D9972">
        <f>IF(B9972=1,INDEX('Data Entry'!$H$5:$BE$10004,9972-4,'Visual SPC'!$B$3),"")</f>
        <v/>
      </c>
      <c r="E9972">
        <f>IF(B9972=1,D9972,E9971)</f>
        <v/>
      </c>
      <c r="F9972">
        <f>IF(AND(B9972=1,C9972&gt;1,E9971&lt;&gt;""),ABS(D9972-E9971),"")</f>
        <v/>
      </c>
    </row>
    <row r="9973">
      <c r="A9973" t="n">
        <v>9973</v>
      </c>
      <c r="B9973">
        <f>IF(INDEX('Data Entry'!$H$5:$BE$10004,9973-4,'Visual SPC'!$B$3)="",0,IF(AND(OR('Visual SPC'!$C$4="",'Data Entry'!$C9973&gt;='Visual SPC'!$C$4),OR('Visual SPC'!$E$4="",'Data Entry'!$C9973&lt;='Visual SPC'!$E$4),OR('Visual SPC'!$G$4="",'Data Entry'!$D9973='Visual SPC'!$G$4),OR('Visual SPC'!$I$4="",'Data Entry'!$E9973='Visual SPC'!$I$4),OR('Visual SPC'!$K$4="",'Data Entry'!$F9973='Visual SPC'!$K$4)),1,0))</f>
        <v/>
      </c>
      <c r="C9973">
        <f>C9972+B9973</f>
        <v/>
      </c>
      <c r="D9973">
        <f>IF(B9973=1,INDEX('Data Entry'!$H$5:$BE$10004,9973-4,'Visual SPC'!$B$3),"")</f>
        <v/>
      </c>
      <c r="E9973">
        <f>IF(B9973=1,D9973,E9972)</f>
        <v/>
      </c>
      <c r="F9973">
        <f>IF(AND(B9973=1,C9973&gt;1,E9972&lt;&gt;""),ABS(D9973-E9972),"")</f>
        <v/>
      </c>
    </row>
    <row r="9974">
      <c r="A9974" t="n">
        <v>9974</v>
      </c>
      <c r="B9974">
        <f>IF(INDEX('Data Entry'!$H$5:$BE$10004,9974-4,'Visual SPC'!$B$3)="",0,IF(AND(OR('Visual SPC'!$C$4="",'Data Entry'!$C9974&gt;='Visual SPC'!$C$4),OR('Visual SPC'!$E$4="",'Data Entry'!$C9974&lt;='Visual SPC'!$E$4),OR('Visual SPC'!$G$4="",'Data Entry'!$D9974='Visual SPC'!$G$4),OR('Visual SPC'!$I$4="",'Data Entry'!$E9974='Visual SPC'!$I$4),OR('Visual SPC'!$K$4="",'Data Entry'!$F9974='Visual SPC'!$K$4)),1,0))</f>
        <v/>
      </c>
      <c r="C9974">
        <f>C9973+B9974</f>
        <v/>
      </c>
      <c r="D9974">
        <f>IF(B9974=1,INDEX('Data Entry'!$H$5:$BE$10004,9974-4,'Visual SPC'!$B$3),"")</f>
        <v/>
      </c>
      <c r="E9974">
        <f>IF(B9974=1,D9974,E9973)</f>
        <v/>
      </c>
      <c r="F9974">
        <f>IF(AND(B9974=1,C9974&gt;1,E9973&lt;&gt;""),ABS(D9974-E9973),"")</f>
        <v/>
      </c>
    </row>
    <row r="9975">
      <c r="A9975" t="n">
        <v>9975</v>
      </c>
      <c r="B9975">
        <f>IF(INDEX('Data Entry'!$H$5:$BE$10004,9975-4,'Visual SPC'!$B$3)="",0,IF(AND(OR('Visual SPC'!$C$4="",'Data Entry'!$C9975&gt;='Visual SPC'!$C$4),OR('Visual SPC'!$E$4="",'Data Entry'!$C9975&lt;='Visual SPC'!$E$4),OR('Visual SPC'!$G$4="",'Data Entry'!$D9975='Visual SPC'!$G$4),OR('Visual SPC'!$I$4="",'Data Entry'!$E9975='Visual SPC'!$I$4),OR('Visual SPC'!$K$4="",'Data Entry'!$F9975='Visual SPC'!$K$4)),1,0))</f>
        <v/>
      </c>
      <c r="C9975">
        <f>C9974+B9975</f>
        <v/>
      </c>
      <c r="D9975">
        <f>IF(B9975=1,INDEX('Data Entry'!$H$5:$BE$10004,9975-4,'Visual SPC'!$B$3),"")</f>
        <v/>
      </c>
      <c r="E9975">
        <f>IF(B9975=1,D9975,E9974)</f>
        <v/>
      </c>
      <c r="F9975">
        <f>IF(AND(B9975=1,C9975&gt;1,E9974&lt;&gt;""),ABS(D9975-E9974),"")</f>
        <v/>
      </c>
    </row>
    <row r="9976">
      <c r="A9976" t="n">
        <v>9976</v>
      </c>
      <c r="B9976">
        <f>IF(INDEX('Data Entry'!$H$5:$BE$10004,9976-4,'Visual SPC'!$B$3)="",0,IF(AND(OR('Visual SPC'!$C$4="",'Data Entry'!$C9976&gt;='Visual SPC'!$C$4),OR('Visual SPC'!$E$4="",'Data Entry'!$C9976&lt;='Visual SPC'!$E$4),OR('Visual SPC'!$G$4="",'Data Entry'!$D9976='Visual SPC'!$G$4),OR('Visual SPC'!$I$4="",'Data Entry'!$E9976='Visual SPC'!$I$4),OR('Visual SPC'!$K$4="",'Data Entry'!$F9976='Visual SPC'!$K$4)),1,0))</f>
        <v/>
      </c>
      <c r="C9976">
        <f>C9975+B9976</f>
        <v/>
      </c>
      <c r="D9976">
        <f>IF(B9976=1,INDEX('Data Entry'!$H$5:$BE$10004,9976-4,'Visual SPC'!$B$3),"")</f>
        <v/>
      </c>
      <c r="E9976">
        <f>IF(B9976=1,D9976,E9975)</f>
        <v/>
      </c>
      <c r="F9976">
        <f>IF(AND(B9976=1,C9976&gt;1,E9975&lt;&gt;""),ABS(D9976-E9975),"")</f>
        <v/>
      </c>
    </row>
    <row r="9977">
      <c r="A9977" t="n">
        <v>9977</v>
      </c>
      <c r="B9977">
        <f>IF(INDEX('Data Entry'!$H$5:$BE$10004,9977-4,'Visual SPC'!$B$3)="",0,IF(AND(OR('Visual SPC'!$C$4="",'Data Entry'!$C9977&gt;='Visual SPC'!$C$4),OR('Visual SPC'!$E$4="",'Data Entry'!$C9977&lt;='Visual SPC'!$E$4),OR('Visual SPC'!$G$4="",'Data Entry'!$D9977='Visual SPC'!$G$4),OR('Visual SPC'!$I$4="",'Data Entry'!$E9977='Visual SPC'!$I$4),OR('Visual SPC'!$K$4="",'Data Entry'!$F9977='Visual SPC'!$K$4)),1,0))</f>
        <v/>
      </c>
      <c r="C9977">
        <f>C9976+B9977</f>
        <v/>
      </c>
      <c r="D9977">
        <f>IF(B9977=1,INDEX('Data Entry'!$H$5:$BE$10004,9977-4,'Visual SPC'!$B$3),"")</f>
        <v/>
      </c>
      <c r="E9977">
        <f>IF(B9977=1,D9977,E9976)</f>
        <v/>
      </c>
      <c r="F9977">
        <f>IF(AND(B9977=1,C9977&gt;1,E9976&lt;&gt;""),ABS(D9977-E9976),"")</f>
        <v/>
      </c>
    </row>
    <row r="9978">
      <c r="A9978" t="n">
        <v>9978</v>
      </c>
      <c r="B9978">
        <f>IF(INDEX('Data Entry'!$H$5:$BE$10004,9978-4,'Visual SPC'!$B$3)="",0,IF(AND(OR('Visual SPC'!$C$4="",'Data Entry'!$C9978&gt;='Visual SPC'!$C$4),OR('Visual SPC'!$E$4="",'Data Entry'!$C9978&lt;='Visual SPC'!$E$4),OR('Visual SPC'!$G$4="",'Data Entry'!$D9978='Visual SPC'!$G$4),OR('Visual SPC'!$I$4="",'Data Entry'!$E9978='Visual SPC'!$I$4),OR('Visual SPC'!$K$4="",'Data Entry'!$F9978='Visual SPC'!$K$4)),1,0))</f>
        <v/>
      </c>
      <c r="C9978">
        <f>C9977+B9978</f>
        <v/>
      </c>
      <c r="D9978">
        <f>IF(B9978=1,INDEX('Data Entry'!$H$5:$BE$10004,9978-4,'Visual SPC'!$B$3),"")</f>
        <v/>
      </c>
      <c r="E9978">
        <f>IF(B9978=1,D9978,E9977)</f>
        <v/>
      </c>
      <c r="F9978">
        <f>IF(AND(B9978=1,C9978&gt;1,E9977&lt;&gt;""),ABS(D9978-E9977),"")</f>
        <v/>
      </c>
    </row>
    <row r="9979">
      <c r="A9979" t="n">
        <v>9979</v>
      </c>
      <c r="B9979">
        <f>IF(INDEX('Data Entry'!$H$5:$BE$10004,9979-4,'Visual SPC'!$B$3)="",0,IF(AND(OR('Visual SPC'!$C$4="",'Data Entry'!$C9979&gt;='Visual SPC'!$C$4),OR('Visual SPC'!$E$4="",'Data Entry'!$C9979&lt;='Visual SPC'!$E$4),OR('Visual SPC'!$G$4="",'Data Entry'!$D9979='Visual SPC'!$G$4),OR('Visual SPC'!$I$4="",'Data Entry'!$E9979='Visual SPC'!$I$4),OR('Visual SPC'!$K$4="",'Data Entry'!$F9979='Visual SPC'!$K$4)),1,0))</f>
        <v/>
      </c>
      <c r="C9979">
        <f>C9978+B9979</f>
        <v/>
      </c>
      <c r="D9979">
        <f>IF(B9979=1,INDEX('Data Entry'!$H$5:$BE$10004,9979-4,'Visual SPC'!$B$3),"")</f>
        <v/>
      </c>
      <c r="E9979">
        <f>IF(B9979=1,D9979,E9978)</f>
        <v/>
      </c>
      <c r="F9979">
        <f>IF(AND(B9979=1,C9979&gt;1,E9978&lt;&gt;""),ABS(D9979-E9978),"")</f>
        <v/>
      </c>
    </row>
    <row r="9980">
      <c r="A9980" t="n">
        <v>9980</v>
      </c>
      <c r="B9980">
        <f>IF(INDEX('Data Entry'!$H$5:$BE$10004,9980-4,'Visual SPC'!$B$3)="",0,IF(AND(OR('Visual SPC'!$C$4="",'Data Entry'!$C9980&gt;='Visual SPC'!$C$4),OR('Visual SPC'!$E$4="",'Data Entry'!$C9980&lt;='Visual SPC'!$E$4),OR('Visual SPC'!$G$4="",'Data Entry'!$D9980='Visual SPC'!$G$4),OR('Visual SPC'!$I$4="",'Data Entry'!$E9980='Visual SPC'!$I$4),OR('Visual SPC'!$K$4="",'Data Entry'!$F9980='Visual SPC'!$K$4)),1,0))</f>
        <v/>
      </c>
      <c r="C9980">
        <f>C9979+B9980</f>
        <v/>
      </c>
      <c r="D9980">
        <f>IF(B9980=1,INDEX('Data Entry'!$H$5:$BE$10004,9980-4,'Visual SPC'!$B$3),"")</f>
        <v/>
      </c>
      <c r="E9980">
        <f>IF(B9980=1,D9980,E9979)</f>
        <v/>
      </c>
      <c r="F9980">
        <f>IF(AND(B9980=1,C9980&gt;1,E9979&lt;&gt;""),ABS(D9980-E9979),"")</f>
        <v/>
      </c>
    </row>
    <row r="9981">
      <c r="A9981" t="n">
        <v>9981</v>
      </c>
      <c r="B9981">
        <f>IF(INDEX('Data Entry'!$H$5:$BE$10004,9981-4,'Visual SPC'!$B$3)="",0,IF(AND(OR('Visual SPC'!$C$4="",'Data Entry'!$C9981&gt;='Visual SPC'!$C$4),OR('Visual SPC'!$E$4="",'Data Entry'!$C9981&lt;='Visual SPC'!$E$4),OR('Visual SPC'!$G$4="",'Data Entry'!$D9981='Visual SPC'!$G$4),OR('Visual SPC'!$I$4="",'Data Entry'!$E9981='Visual SPC'!$I$4),OR('Visual SPC'!$K$4="",'Data Entry'!$F9981='Visual SPC'!$K$4)),1,0))</f>
        <v/>
      </c>
      <c r="C9981">
        <f>C9980+B9981</f>
        <v/>
      </c>
      <c r="D9981">
        <f>IF(B9981=1,INDEX('Data Entry'!$H$5:$BE$10004,9981-4,'Visual SPC'!$B$3),"")</f>
        <v/>
      </c>
      <c r="E9981">
        <f>IF(B9981=1,D9981,E9980)</f>
        <v/>
      </c>
      <c r="F9981">
        <f>IF(AND(B9981=1,C9981&gt;1,E9980&lt;&gt;""),ABS(D9981-E9980),"")</f>
        <v/>
      </c>
    </row>
    <row r="9982">
      <c r="A9982" t="n">
        <v>9982</v>
      </c>
      <c r="B9982">
        <f>IF(INDEX('Data Entry'!$H$5:$BE$10004,9982-4,'Visual SPC'!$B$3)="",0,IF(AND(OR('Visual SPC'!$C$4="",'Data Entry'!$C9982&gt;='Visual SPC'!$C$4),OR('Visual SPC'!$E$4="",'Data Entry'!$C9982&lt;='Visual SPC'!$E$4),OR('Visual SPC'!$G$4="",'Data Entry'!$D9982='Visual SPC'!$G$4),OR('Visual SPC'!$I$4="",'Data Entry'!$E9982='Visual SPC'!$I$4),OR('Visual SPC'!$K$4="",'Data Entry'!$F9982='Visual SPC'!$K$4)),1,0))</f>
        <v/>
      </c>
      <c r="C9982">
        <f>C9981+B9982</f>
        <v/>
      </c>
      <c r="D9982">
        <f>IF(B9982=1,INDEX('Data Entry'!$H$5:$BE$10004,9982-4,'Visual SPC'!$B$3),"")</f>
        <v/>
      </c>
      <c r="E9982">
        <f>IF(B9982=1,D9982,E9981)</f>
        <v/>
      </c>
      <c r="F9982">
        <f>IF(AND(B9982=1,C9982&gt;1,E9981&lt;&gt;""),ABS(D9982-E9981),"")</f>
        <v/>
      </c>
    </row>
    <row r="9983">
      <c r="A9983" t="n">
        <v>9983</v>
      </c>
      <c r="B9983">
        <f>IF(INDEX('Data Entry'!$H$5:$BE$10004,9983-4,'Visual SPC'!$B$3)="",0,IF(AND(OR('Visual SPC'!$C$4="",'Data Entry'!$C9983&gt;='Visual SPC'!$C$4),OR('Visual SPC'!$E$4="",'Data Entry'!$C9983&lt;='Visual SPC'!$E$4),OR('Visual SPC'!$G$4="",'Data Entry'!$D9983='Visual SPC'!$G$4),OR('Visual SPC'!$I$4="",'Data Entry'!$E9983='Visual SPC'!$I$4),OR('Visual SPC'!$K$4="",'Data Entry'!$F9983='Visual SPC'!$K$4)),1,0))</f>
        <v/>
      </c>
      <c r="C9983">
        <f>C9982+B9983</f>
        <v/>
      </c>
      <c r="D9983">
        <f>IF(B9983=1,INDEX('Data Entry'!$H$5:$BE$10004,9983-4,'Visual SPC'!$B$3),"")</f>
        <v/>
      </c>
      <c r="E9983">
        <f>IF(B9983=1,D9983,E9982)</f>
        <v/>
      </c>
      <c r="F9983">
        <f>IF(AND(B9983=1,C9983&gt;1,E9982&lt;&gt;""),ABS(D9983-E9982),"")</f>
        <v/>
      </c>
    </row>
    <row r="9984">
      <c r="A9984" t="n">
        <v>9984</v>
      </c>
      <c r="B9984">
        <f>IF(INDEX('Data Entry'!$H$5:$BE$10004,9984-4,'Visual SPC'!$B$3)="",0,IF(AND(OR('Visual SPC'!$C$4="",'Data Entry'!$C9984&gt;='Visual SPC'!$C$4),OR('Visual SPC'!$E$4="",'Data Entry'!$C9984&lt;='Visual SPC'!$E$4),OR('Visual SPC'!$G$4="",'Data Entry'!$D9984='Visual SPC'!$G$4),OR('Visual SPC'!$I$4="",'Data Entry'!$E9984='Visual SPC'!$I$4),OR('Visual SPC'!$K$4="",'Data Entry'!$F9984='Visual SPC'!$K$4)),1,0))</f>
        <v/>
      </c>
      <c r="C9984">
        <f>C9983+B9984</f>
        <v/>
      </c>
      <c r="D9984">
        <f>IF(B9984=1,INDEX('Data Entry'!$H$5:$BE$10004,9984-4,'Visual SPC'!$B$3),"")</f>
        <v/>
      </c>
      <c r="E9984">
        <f>IF(B9984=1,D9984,E9983)</f>
        <v/>
      </c>
      <c r="F9984">
        <f>IF(AND(B9984=1,C9984&gt;1,E9983&lt;&gt;""),ABS(D9984-E9983),"")</f>
        <v/>
      </c>
    </row>
    <row r="9985">
      <c r="A9985" t="n">
        <v>9985</v>
      </c>
      <c r="B9985">
        <f>IF(INDEX('Data Entry'!$H$5:$BE$10004,9985-4,'Visual SPC'!$B$3)="",0,IF(AND(OR('Visual SPC'!$C$4="",'Data Entry'!$C9985&gt;='Visual SPC'!$C$4),OR('Visual SPC'!$E$4="",'Data Entry'!$C9985&lt;='Visual SPC'!$E$4),OR('Visual SPC'!$G$4="",'Data Entry'!$D9985='Visual SPC'!$G$4),OR('Visual SPC'!$I$4="",'Data Entry'!$E9985='Visual SPC'!$I$4),OR('Visual SPC'!$K$4="",'Data Entry'!$F9985='Visual SPC'!$K$4)),1,0))</f>
        <v/>
      </c>
      <c r="C9985">
        <f>C9984+B9985</f>
        <v/>
      </c>
      <c r="D9985">
        <f>IF(B9985=1,INDEX('Data Entry'!$H$5:$BE$10004,9985-4,'Visual SPC'!$B$3),"")</f>
        <v/>
      </c>
      <c r="E9985">
        <f>IF(B9985=1,D9985,E9984)</f>
        <v/>
      </c>
      <c r="F9985">
        <f>IF(AND(B9985=1,C9985&gt;1,E9984&lt;&gt;""),ABS(D9985-E9984),"")</f>
        <v/>
      </c>
    </row>
    <row r="9986">
      <c r="A9986" t="n">
        <v>9986</v>
      </c>
      <c r="B9986">
        <f>IF(INDEX('Data Entry'!$H$5:$BE$10004,9986-4,'Visual SPC'!$B$3)="",0,IF(AND(OR('Visual SPC'!$C$4="",'Data Entry'!$C9986&gt;='Visual SPC'!$C$4),OR('Visual SPC'!$E$4="",'Data Entry'!$C9986&lt;='Visual SPC'!$E$4),OR('Visual SPC'!$G$4="",'Data Entry'!$D9986='Visual SPC'!$G$4),OR('Visual SPC'!$I$4="",'Data Entry'!$E9986='Visual SPC'!$I$4),OR('Visual SPC'!$K$4="",'Data Entry'!$F9986='Visual SPC'!$K$4)),1,0))</f>
        <v/>
      </c>
      <c r="C9986">
        <f>C9985+B9986</f>
        <v/>
      </c>
      <c r="D9986">
        <f>IF(B9986=1,INDEX('Data Entry'!$H$5:$BE$10004,9986-4,'Visual SPC'!$B$3),"")</f>
        <v/>
      </c>
      <c r="E9986">
        <f>IF(B9986=1,D9986,E9985)</f>
        <v/>
      </c>
      <c r="F9986">
        <f>IF(AND(B9986=1,C9986&gt;1,E9985&lt;&gt;""),ABS(D9986-E9985),"")</f>
        <v/>
      </c>
    </row>
    <row r="9987">
      <c r="A9987" t="n">
        <v>9987</v>
      </c>
      <c r="B9987">
        <f>IF(INDEX('Data Entry'!$H$5:$BE$10004,9987-4,'Visual SPC'!$B$3)="",0,IF(AND(OR('Visual SPC'!$C$4="",'Data Entry'!$C9987&gt;='Visual SPC'!$C$4),OR('Visual SPC'!$E$4="",'Data Entry'!$C9987&lt;='Visual SPC'!$E$4),OR('Visual SPC'!$G$4="",'Data Entry'!$D9987='Visual SPC'!$G$4),OR('Visual SPC'!$I$4="",'Data Entry'!$E9987='Visual SPC'!$I$4),OR('Visual SPC'!$K$4="",'Data Entry'!$F9987='Visual SPC'!$K$4)),1,0))</f>
        <v/>
      </c>
      <c r="C9987">
        <f>C9986+B9987</f>
        <v/>
      </c>
      <c r="D9987">
        <f>IF(B9987=1,INDEX('Data Entry'!$H$5:$BE$10004,9987-4,'Visual SPC'!$B$3),"")</f>
        <v/>
      </c>
      <c r="E9987">
        <f>IF(B9987=1,D9987,E9986)</f>
        <v/>
      </c>
      <c r="F9987">
        <f>IF(AND(B9987=1,C9987&gt;1,E9986&lt;&gt;""),ABS(D9987-E9986),"")</f>
        <v/>
      </c>
    </row>
    <row r="9988">
      <c r="A9988" t="n">
        <v>9988</v>
      </c>
      <c r="B9988">
        <f>IF(INDEX('Data Entry'!$H$5:$BE$10004,9988-4,'Visual SPC'!$B$3)="",0,IF(AND(OR('Visual SPC'!$C$4="",'Data Entry'!$C9988&gt;='Visual SPC'!$C$4),OR('Visual SPC'!$E$4="",'Data Entry'!$C9988&lt;='Visual SPC'!$E$4),OR('Visual SPC'!$G$4="",'Data Entry'!$D9988='Visual SPC'!$G$4),OR('Visual SPC'!$I$4="",'Data Entry'!$E9988='Visual SPC'!$I$4),OR('Visual SPC'!$K$4="",'Data Entry'!$F9988='Visual SPC'!$K$4)),1,0))</f>
        <v/>
      </c>
      <c r="C9988">
        <f>C9987+B9988</f>
        <v/>
      </c>
      <c r="D9988">
        <f>IF(B9988=1,INDEX('Data Entry'!$H$5:$BE$10004,9988-4,'Visual SPC'!$B$3),"")</f>
        <v/>
      </c>
      <c r="E9988">
        <f>IF(B9988=1,D9988,E9987)</f>
        <v/>
      </c>
      <c r="F9988">
        <f>IF(AND(B9988=1,C9988&gt;1,E9987&lt;&gt;""),ABS(D9988-E9987),"")</f>
        <v/>
      </c>
    </row>
    <row r="9989">
      <c r="A9989" t="n">
        <v>9989</v>
      </c>
      <c r="B9989">
        <f>IF(INDEX('Data Entry'!$H$5:$BE$10004,9989-4,'Visual SPC'!$B$3)="",0,IF(AND(OR('Visual SPC'!$C$4="",'Data Entry'!$C9989&gt;='Visual SPC'!$C$4),OR('Visual SPC'!$E$4="",'Data Entry'!$C9989&lt;='Visual SPC'!$E$4),OR('Visual SPC'!$G$4="",'Data Entry'!$D9989='Visual SPC'!$G$4),OR('Visual SPC'!$I$4="",'Data Entry'!$E9989='Visual SPC'!$I$4),OR('Visual SPC'!$K$4="",'Data Entry'!$F9989='Visual SPC'!$K$4)),1,0))</f>
        <v/>
      </c>
      <c r="C9989">
        <f>C9988+B9989</f>
        <v/>
      </c>
      <c r="D9989">
        <f>IF(B9989=1,INDEX('Data Entry'!$H$5:$BE$10004,9989-4,'Visual SPC'!$B$3),"")</f>
        <v/>
      </c>
      <c r="E9989">
        <f>IF(B9989=1,D9989,E9988)</f>
        <v/>
      </c>
      <c r="F9989">
        <f>IF(AND(B9989=1,C9989&gt;1,E9988&lt;&gt;""),ABS(D9989-E9988),"")</f>
        <v/>
      </c>
    </row>
    <row r="9990">
      <c r="A9990" t="n">
        <v>9990</v>
      </c>
      <c r="B9990">
        <f>IF(INDEX('Data Entry'!$H$5:$BE$10004,9990-4,'Visual SPC'!$B$3)="",0,IF(AND(OR('Visual SPC'!$C$4="",'Data Entry'!$C9990&gt;='Visual SPC'!$C$4),OR('Visual SPC'!$E$4="",'Data Entry'!$C9990&lt;='Visual SPC'!$E$4),OR('Visual SPC'!$G$4="",'Data Entry'!$D9990='Visual SPC'!$G$4),OR('Visual SPC'!$I$4="",'Data Entry'!$E9990='Visual SPC'!$I$4),OR('Visual SPC'!$K$4="",'Data Entry'!$F9990='Visual SPC'!$K$4)),1,0))</f>
        <v/>
      </c>
      <c r="C9990">
        <f>C9989+B9990</f>
        <v/>
      </c>
      <c r="D9990">
        <f>IF(B9990=1,INDEX('Data Entry'!$H$5:$BE$10004,9990-4,'Visual SPC'!$B$3),"")</f>
        <v/>
      </c>
      <c r="E9990">
        <f>IF(B9990=1,D9990,E9989)</f>
        <v/>
      </c>
      <c r="F9990">
        <f>IF(AND(B9990=1,C9990&gt;1,E9989&lt;&gt;""),ABS(D9990-E9989),"")</f>
        <v/>
      </c>
    </row>
    <row r="9991">
      <c r="A9991" t="n">
        <v>9991</v>
      </c>
      <c r="B9991">
        <f>IF(INDEX('Data Entry'!$H$5:$BE$10004,9991-4,'Visual SPC'!$B$3)="",0,IF(AND(OR('Visual SPC'!$C$4="",'Data Entry'!$C9991&gt;='Visual SPC'!$C$4),OR('Visual SPC'!$E$4="",'Data Entry'!$C9991&lt;='Visual SPC'!$E$4),OR('Visual SPC'!$G$4="",'Data Entry'!$D9991='Visual SPC'!$G$4),OR('Visual SPC'!$I$4="",'Data Entry'!$E9991='Visual SPC'!$I$4),OR('Visual SPC'!$K$4="",'Data Entry'!$F9991='Visual SPC'!$K$4)),1,0))</f>
        <v/>
      </c>
      <c r="C9991">
        <f>C9990+B9991</f>
        <v/>
      </c>
      <c r="D9991">
        <f>IF(B9991=1,INDEX('Data Entry'!$H$5:$BE$10004,9991-4,'Visual SPC'!$B$3),"")</f>
        <v/>
      </c>
      <c r="E9991">
        <f>IF(B9991=1,D9991,E9990)</f>
        <v/>
      </c>
      <c r="F9991">
        <f>IF(AND(B9991=1,C9991&gt;1,E9990&lt;&gt;""),ABS(D9991-E9990),"")</f>
        <v/>
      </c>
    </row>
    <row r="9992">
      <c r="A9992" t="n">
        <v>9992</v>
      </c>
      <c r="B9992">
        <f>IF(INDEX('Data Entry'!$H$5:$BE$10004,9992-4,'Visual SPC'!$B$3)="",0,IF(AND(OR('Visual SPC'!$C$4="",'Data Entry'!$C9992&gt;='Visual SPC'!$C$4),OR('Visual SPC'!$E$4="",'Data Entry'!$C9992&lt;='Visual SPC'!$E$4),OR('Visual SPC'!$G$4="",'Data Entry'!$D9992='Visual SPC'!$G$4),OR('Visual SPC'!$I$4="",'Data Entry'!$E9992='Visual SPC'!$I$4),OR('Visual SPC'!$K$4="",'Data Entry'!$F9992='Visual SPC'!$K$4)),1,0))</f>
        <v/>
      </c>
      <c r="C9992">
        <f>C9991+B9992</f>
        <v/>
      </c>
      <c r="D9992">
        <f>IF(B9992=1,INDEX('Data Entry'!$H$5:$BE$10004,9992-4,'Visual SPC'!$B$3),"")</f>
        <v/>
      </c>
      <c r="E9992">
        <f>IF(B9992=1,D9992,E9991)</f>
        <v/>
      </c>
      <c r="F9992">
        <f>IF(AND(B9992=1,C9992&gt;1,E9991&lt;&gt;""),ABS(D9992-E9991),"")</f>
        <v/>
      </c>
    </row>
    <row r="9993">
      <c r="A9993" t="n">
        <v>9993</v>
      </c>
      <c r="B9993">
        <f>IF(INDEX('Data Entry'!$H$5:$BE$10004,9993-4,'Visual SPC'!$B$3)="",0,IF(AND(OR('Visual SPC'!$C$4="",'Data Entry'!$C9993&gt;='Visual SPC'!$C$4),OR('Visual SPC'!$E$4="",'Data Entry'!$C9993&lt;='Visual SPC'!$E$4),OR('Visual SPC'!$G$4="",'Data Entry'!$D9993='Visual SPC'!$G$4),OR('Visual SPC'!$I$4="",'Data Entry'!$E9993='Visual SPC'!$I$4),OR('Visual SPC'!$K$4="",'Data Entry'!$F9993='Visual SPC'!$K$4)),1,0))</f>
        <v/>
      </c>
      <c r="C9993">
        <f>C9992+B9993</f>
        <v/>
      </c>
      <c r="D9993">
        <f>IF(B9993=1,INDEX('Data Entry'!$H$5:$BE$10004,9993-4,'Visual SPC'!$B$3),"")</f>
        <v/>
      </c>
      <c r="E9993">
        <f>IF(B9993=1,D9993,E9992)</f>
        <v/>
      </c>
      <c r="F9993">
        <f>IF(AND(B9993=1,C9993&gt;1,E9992&lt;&gt;""),ABS(D9993-E9992),"")</f>
        <v/>
      </c>
    </row>
    <row r="9994">
      <c r="A9994" t="n">
        <v>9994</v>
      </c>
      <c r="B9994">
        <f>IF(INDEX('Data Entry'!$H$5:$BE$10004,9994-4,'Visual SPC'!$B$3)="",0,IF(AND(OR('Visual SPC'!$C$4="",'Data Entry'!$C9994&gt;='Visual SPC'!$C$4),OR('Visual SPC'!$E$4="",'Data Entry'!$C9994&lt;='Visual SPC'!$E$4),OR('Visual SPC'!$G$4="",'Data Entry'!$D9994='Visual SPC'!$G$4),OR('Visual SPC'!$I$4="",'Data Entry'!$E9994='Visual SPC'!$I$4),OR('Visual SPC'!$K$4="",'Data Entry'!$F9994='Visual SPC'!$K$4)),1,0))</f>
        <v/>
      </c>
      <c r="C9994">
        <f>C9993+B9994</f>
        <v/>
      </c>
      <c r="D9994">
        <f>IF(B9994=1,INDEX('Data Entry'!$H$5:$BE$10004,9994-4,'Visual SPC'!$B$3),"")</f>
        <v/>
      </c>
      <c r="E9994">
        <f>IF(B9994=1,D9994,E9993)</f>
        <v/>
      </c>
      <c r="F9994">
        <f>IF(AND(B9994=1,C9994&gt;1,E9993&lt;&gt;""),ABS(D9994-E9993),"")</f>
        <v/>
      </c>
    </row>
    <row r="9995">
      <c r="A9995" t="n">
        <v>9995</v>
      </c>
      <c r="B9995">
        <f>IF(INDEX('Data Entry'!$H$5:$BE$10004,9995-4,'Visual SPC'!$B$3)="",0,IF(AND(OR('Visual SPC'!$C$4="",'Data Entry'!$C9995&gt;='Visual SPC'!$C$4),OR('Visual SPC'!$E$4="",'Data Entry'!$C9995&lt;='Visual SPC'!$E$4),OR('Visual SPC'!$G$4="",'Data Entry'!$D9995='Visual SPC'!$G$4),OR('Visual SPC'!$I$4="",'Data Entry'!$E9995='Visual SPC'!$I$4),OR('Visual SPC'!$K$4="",'Data Entry'!$F9995='Visual SPC'!$K$4)),1,0))</f>
        <v/>
      </c>
      <c r="C9995">
        <f>C9994+B9995</f>
        <v/>
      </c>
      <c r="D9995">
        <f>IF(B9995=1,INDEX('Data Entry'!$H$5:$BE$10004,9995-4,'Visual SPC'!$B$3),"")</f>
        <v/>
      </c>
      <c r="E9995">
        <f>IF(B9995=1,D9995,E9994)</f>
        <v/>
      </c>
      <c r="F9995">
        <f>IF(AND(B9995=1,C9995&gt;1,E9994&lt;&gt;""),ABS(D9995-E9994),"")</f>
        <v/>
      </c>
    </row>
    <row r="9996">
      <c r="A9996" t="n">
        <v>9996</v>
      </c>
      <c r="B9996">
        <f>IF(INDEX('Data Entry'!$H$5:$BE$10004,9996-4,'Visual SPC'!$B$3)="",0,IF(AND(OR('Visual SPC'!$C$4="",'Data Entry'!$C9996&gt;='Visual SPC'!$C$4),OR('Visual SPC'!$E$4="",'Data Entry'!$C9996&lt;='Visual SPC'!$E$4),OR('Visual SPC'!$G$4="",'Data Entry'!$D9996='Visual SPC'!$G$4),OR('Visual SPC'!$I$4="",'Data Entry'!$E9996='Visual SPC'!$I$4),OR('Visual SPC'!$K$4="",'Data Entry'!$F9996='Visual SPC'!$K$4)),1,0))</f>
        <v/>
      </c>
      <c r="C9996">
        <f>C9995+B9996</f>
        <v/>
      </c>
      <c r="D9996">
        <f>IF(B9996=1,INDEX('Data Entry'!$H$5:$BE$10004,9996-4,'Visual SPC'!$B$3),"")</f>
        <v/>
      </c>
      <c r="E9996">
        <f>IF(B9996=1,D9996,E9995)</f>
        <v/>
      </c>
      <c r="F9996">
        <f>IF(AND(B9996=1,C9996&gt;1,E9995&lt;&gt;""),ABS(D9996-E9995),"")</f>
        <v/>
      </c>
    </row>
    <row r="9997">
      <c r="A9997" t="n">
        <v>9997</v>
      </c>
      <c r="B9997">
        <f>IF(INDEX('Data Entry'!$H$5:$BE$10004,9997-4,'Visual SPC'!$B$3)="",0,IF(AND(OR('Visual SPC'!$C$4="",'Data Entry'!$C9997&gt;='Visual SPC'!$C$4),OR('Visual SPC'!$E$4="",'Data Entry'!$C9997&lt;='Visual SPC'!$E$4),OR('Visual SPC'!$G$4="",'Data Entry'!$D9997='Visual SPC'!$G$4),OR('Visual SPC'!$I$4="",'Data Entry'!$E9997='Visual SPC'!$I$4),OR('Visual SPC'!$K$4="",'Data Entry'!$F9997='Visual SPC'!$K$4)),1,0))</f>
        <v/>
      </c>
      <c r="C9997">
        <f>C9996+B9997</f>
        <v/>
      </c>
      <c r="D9997">
        <f>IF(B9997=1,INDEX('Data Entry'!$H$5:$BE$10004,9997-4,'Visual SPC'!$B$3),"")</f>
        <v/>
      </c>
      <c r="E9997">
        <f>IF(B9997=1,D9997,E9996)</f>
        <v/>
      </c>
      <c r="F9997">
        <f>IF(AND(B9997=1,C9997&gt;1,E9996&lt;&gt;""),ABS(D9997-E9996),"")</f>
        <v/>
      </c>
    </row>
    <row r="9998">
      <c r="A9998" t="n">
        <v>9998</v>
      </c>
      <c r="B9998">
        <f>IF(INDEX('Data Entry'!$H$5:$BE$10004,9998-4,'Visual SPC'!$B$3)="",0,IF(AND(OR('Visual SPC'!$C$4="",'Data Entry'!$C9998&gt;='Visual SPC'!$C$4),OR('Visual SPC'!$E$4="",'Data Entry'!$C9998&lt;='Visual SPC'!$E$4),OR('Visual SPC'!$G$4="",'Data Entry'!$D9998='Visual SPC'!$G$4),OR('Visual SPC'!$I$4="",'Data Entry'!$E9998='Visual SPC'!$I$4),OR('Visual SPC'!$K$4="",'Data Entry'!$F9998='Visual SPC'!$K$4)),1,0))</f>
        <v/>
      </c>
      <c r="C9998">
        <f>C9997+B9998</f>
        <v/>
      </c>
      <c r="D9998">
        <f>IF(B9998=1,INDEX('Data Entry'!$H$5:$BE$10004,9998-4,'Visual SPC'!$B$3),"")</f>
        <v/>
      </c>
      <c r="E9998">
        <f>IF(B9998=1,D9998,E9997)</f>
        <v/>
      </c>
      <c r="F9998">
        <f>IF(AND(B9998=1,C9998&gt;1,E9997&lt;&gt;""),ABS(D9998-E9997),"")</f>
        <v/>
      </c>
    </row>
    <row r="9999">
      <c r="A9999" t="n">
        <v>9999</v>
      </c>
      <c r="B9999">
        <f>IF(INDEX('Data Entry'!$H$5:$BE$10004,9999-4,'Visual SPC'!$B$3)="",0,IF(AND(OR('Visual SPC'!$C$4="",'Data Entry'!$C9999&gt;='Visual SPC'!$C$4),OR('Visual SPC'!$E$4="",'Data Entry'!$C9999&lt;='Visual SPC'!$E$4),OR('Visual SPC'!$G$4="",'Data Entry'!$D9999='Visual SPC'!$G$4),OR('Visual SPC'!$I$4="",'Data Entry'!$E9999='Visual SPC'!$I$4),OR('Visual SPC'!$K$4="",'Data Entry'!$F9999='Visual SPC'!$K$4)),1,0))</f>
        <v/>
      </c>
      <c r="C9999">
        <f>C9998+B9999</f>
        <v/>
      </c>
      <c r="D9999">
        <f>IF(B9999=1,INDEX('Data Entry'!$H$5:$BE$10004,9999-4,'Visual SPC'!$B$3),"")</f>
        <v/>
      </c>
      <c r="E9999">
        <f>IF(B9999=1,D9999,E9998)</f>
        <v/>
      </c>
      <c r="F9999">
        <f>IF(AND(B9999=1,C9999&gt;1,E9998&lt;&gt;""),ABS(D9999-E9998),"")</f>
        <v/>
      </c>
    </row>
    <row r="10000">
      <c r="A10000" t="n">
        <v>10000</v>
      </c>
      <c r="B10000">
        <f>IF(INDEX('Data Entry'!$H$5:$BE$10004,10000-4,'Visual SPC'!$B$3)="",0,IF(AND(OR('Visual SPC'!$C$4="",'Data Entry'!$C10000&gt;='Visual SPC'!$C$4),OR('Visual SPC'!$E$4="",'Data Entry'!$C10000&lt;='Visual SPC'!$E$4),OR('Visual SPC'!$G$4="",'Data Entry'!$D10000='Visual SPC'!$G$4),OR('Visual SPC'!$I$4="",'Data Entry'!$E10000='Visual SPC'!$I$4),OR('Visual SPC'!$K$4="",'Data Entry'!$F10000='Visual SPC'!$K$4)),1,0))</f>
        <v/>
      </c>
      <c r="C10000">
        <f>C9999+B10000</f>
        <v/>
      </c>
      <c r="D10000">
        <f>IF(B10000=1,INDEX('Data Entry'!$H$5:$BE$10004,10000-4,'Visual SPC'!$B$3),"")</f>
        <v/>
      </c>
      <c r="E10000">
        <f>IF(B10000=1,D10000,E9999)</f>
        <v/>
      </c>
      <c r="F10000">
        <f>IF(AND(B10000=1,C10000&gt;1,E9999&lt;&gt;""),ABS(D10000-E9999),"")</f>
        <v/>
      </c>
    </row>
    <row r="10001">
      <c r="A10001" t="n">
        <v>10001</v>
      </c>
      <c r="B10001">
        <f>IF(INDEX('Data Entry'!$H$5:$BE$10004,10001-4,'Visual SPC'!$B$3)="",0,IF(AND(OR('Visual SPC'!$C$4="",'Data Entry'!$C10001&gt;='Visual SPC'!$C$4),OR('Visual SPC'!$E$4="",'Data Entry'!$C10001&lt;='Visual SPC'!$E$4),OR('Visual SPC'!$G$4="",'Data Entry'!$D10001='Visual SPC'!$G$4),OR('Visual SPC'!$I$4="",'Data Entry'!$E10001='Visual SPC'!$I$4),OR('Visual SPC'!$K$4="",'Data Entry'!$F10001='Visual SPC'!$K$4)),1,0))</f>
        <v/>
      </c>
      <c r="C10001">
        <f>C10000+B10001</f>
        <v/>
      </c>
      <c r="D10001">
        <f>IF(B10001=1,INDEX('Data Entry'!$H$5:$BE$10004,10001-4,'Visual SPC'!$B$3),"")</f>
        <v/>
      </c>
      <c r="E10001">
        <f>IF(B10001=1,D10001,E10000)</f>
        <v/>
      </c>
      <c r="F10001">
        <f>IF(AND(B10001=1,C10001&gt;1,E10000&lt;&gt;""),ABS(D10001-E10000),"")</f>
        <v/>
      </c>
    </row>
    <row r="10002">
      <c r="A10002" t="n">
        <v>10002</v>
      </c>
      <c r="B10002">
        <f>IF(INDEX('Data Entry'!$H$5:$BE$10004,10002-4,'Visual SPC'!$B$3)="",0,IF(AND(OR('Visual SPC'!$C$4="",'Data Entry'!$C10002&gt;='Visual SPC'!$C$4),OR('Visual SPC'!$E$4="",'Data Entry'!$C10002&lt;='Visual SPC'!$E$4),OR('Visual SPC'!$G$4="",'Data Entry'!$D10002='Visual SPC'!$G$4),OR('Visual SPC'!$I$4="",'Data Entry'!$E10002='Visual SPC'!$I$4),OR('Visual SPC'!$K$4="",'Data Entry'!$F10002='Visual SPC'!$K$4)),1,0))</f>
        <v/>
      </c>
      <c r="C10002">
        <f>C10001+B10002</f>
        <v/>
      </c>
      <c r="D10002">
        <f>IF(B10002=1,INDEX('Data Entry'!$H$5:$BE$10004,10002-4,'Visual SPC'!$B$3),"")</f>
        <v/>
      </c>
      <c r="E10002">
        <f>IF(B10002=1,D10002,E10001)</f>
        <v/>
      </c>
      <c r="F10002">
        <f>IF(AND(B10002=1,C10002&gt;1,E10001&lt;&gt;""),ABS(D10002-E10001),"")</f>
        <v/>
      </c>
    </row>
    <row r="10003">
      <c r="A10003" t="n">
        <v>10003</v>
      </c>
      <c r="B10003">
        <f>IF(INDEX('Data Entry'!$H$5:$BE$10004,10003-4,'Visual SPC'!$B$3)="",0,IF(AND(OR('Visual SPC'!$C$4="",'Data Entry'!$C10003&gt;='Visual SPC'!$C$4),OR('Visual SPC'!$E$4="",'Data Entry'!$C10003&lt;='Visual SPC'!$E$4),OR('Visual SPC'!$G$4="",'Data Entry'!$D10003='Visual SPC'!$G$4),OR('Visual SPC'!$I$4="",'Data Entry'!$E10003='Visual SPC'!$I$4),OR('Visual SPC'!$K$4="",'Data Entry'!$F10003='Visual SPC'!$K$4)),1,0))</f>
        <v/>
      </c>
      <c r="C10003">
        <f>C10002+B10003</f>
        <v/>
      </c>
      <c r="D10003">
        <f>IF(B10003=1,INDEX('Data Entry'!$H$5:$BE$10004,10003-4,'Visual SPC'!$B$3),"")</f>
        <v/>
      </c>
      <c r="E10003">
        <f>IF(B10003=1,D10003,E10002)</f>
        <v/>
      </c>
      <c r="F10003">
        <f>IF(AND(B10003=1,C10003&gt;1,E10002&lt;&gt;""),ABS(D10003-E10002),"")</f>
        <v/>
      </c>
    </row>
    <row r="10004">
      <c r="A10004" t="n">
        <v>10004</v>
      </c>
      <c r="B10004">
        <f>IF(INDEX('Data Entry'!$H$5:$BE$10004,10004-4,'Visual SPC'!$B$3)="",0,IF(AND(OR('Visual SPC'!$C$4="",'Data Entry'!$C10004&gt;='Visual SPC'!$C$4),OR('Visual SPC'!$E$4="",'Data Entry'!$C10004&lt;='Visual SPC'!$E$4),OR('Visual SPC'!$G$4="",'Data Entry'!$D10004='Visual SPC'!$G$4),OR('Visual SPC'!$I$4="",'Data Entry'!$E10004='Visual SPC'!$I$4),OR('Visual SPC'!$K$4="",'Data Entry'!$F10004='Visual SPC'!$K$4)),1,0))</f>
        <v/>
      </c>
      <c r="C10004">
        <f>C10003+B10004</f>
        <v/>
      </c>
      <c r="D10004">
        <f>IF(B10004=1,INDEX('Data Entry'!$H$5:$BE$10004,10004-4,'Visual SPC'!$B$3),"")</f>
        <v/>
      </c>
      <c r="E10004">
        <f>IF(B10004=1,D10004,E10003)</f>
        <v/>
      </c>
      <c r="F10004">
        <f>IF(AND(B10004=1,C10004&gt;1,E10003&lt;&gt;""),ABS(D10004-E10003),"")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 ht="24" customHeight="1">
      <c r="A1" s="1" t="inlineStr">
        <is>
          <t>DOCUMENT CONTROL</t>
        </is>
      </c>
      <c r="B1" s="2" t="n"/>
      <c r="C1" s="2" t="n"/>
      <c r="D1" s="2" t="n"/>
    </row>
    <row r="2">
      <c r="A2" s="3" t="inlineStr"/>
    </row>
    <row r="4">
      <c r="A4" s="4" t="inlineStr">
        <is>
          <t>Field</t>
        </is>
      </c>
      <c r="B4" s="4" t="inlineStr">
        <is>
          <t>Value</t>
        </is>
      </c>
    </row>
    <row r="5">
      <c r="A5" s="10" t="inlineStr">
        <is>
          <t>Document ID</t>
        </is>
      </c>
      <c r="B5" s="35" t="inlineStr">
        <is>
          <t>RG-SPC-013</t>
        </is>
      </c>
    </row>
    <row r="6">
      <c r="A6" s="10" t="inlineStr">
        <is>
          <t>Title</t>
        </is>
      </c>
      <c r="B6" s="35" t="inlineStr">
        <is>
          <t>SPC Calculator v13</t>
        </is>
      </c>
    </row>
    <row r="7">
      <c r="A7" s="10" t="inlineStr">
        <is>
          <t>Revision</t>
        </is>
      </c>
      <c r="B7" s="35" t="inlineStr">
        <is>
          <t>R01</t>
        </is>
      </c>
    </row>
    <row r="8">
      <c r="A8" s="10" t="inlineStr">
        <is>
          <t>Status</t>
        </is>
      </c>
      <c r="B8" s="35" t="inlineStr">
        <is>
          <t>DRAFT</t>
        </is>
      </c>
    </row>
    <row r="9">
      <c r="A9" s="10" t="inlineStr">
        <is>
          <t>Owner</t>
        </is>
      </c>
      <c r="B9" s="35" t="inlineStr">
        <is>
          <t>Andrij Medwid, Senior Quality Engineer</t>
        </is>
      </c>
    </row>
    <row r="10">
      <c r="A10" s="10" t="inlineStr">
        <is>
          <t>Company</t>
        </is>
      </c>
      <c r="B10" s="35" t="inlineStr">
        <is>
          <t>R&amp;G Precision Engineering Ltd</t>
        </is>
      </c>
    </row>
    <row r="11">
      <c r="A11" s="10" t="inlineStr">
        <is>
          <t>Created</t>
        </is>
      </c>
      <c r="B11" s="35" t="inlineStr">
        <is>
          <t>2026-08-03</t>
        </is>
      </c>
    </row>
    <row r="12">
      <c r="A12" s="10" t="inlineStr">
        <is>
          <t>Classification</t>
        </is>
      </c>
      <c r="B12" s="35" t="inlineStr">
        <is>
          <t>Internal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90" customWidth="1" min="4" max="4"/>
  </cols>
  <sheetData>
    <row r="1" ht="24" customHeight="1">
      <c r="A1" s="1" t="inlineStr">
        <is>
          <t>REVISION HISTORY</t>
        </is>
      </c>
      <c r="B1" s="2" t="n"/>
      <c r="C1" s="2" t="n"/>
      <c r="D1" s="2" t="n"/>
    </row>
    <row r="2">
      <c r="A2" s="3" t="inlineStr"/>
    </row>
    <row r="4">
      <c r="A4" s="4" t="inlineStr">
        <is>
          <t>Rev</t>
        </is>
      </c>
      <c r="B4" s="4" t="inlineStr">
        <is>
          <t>Date</t>
        </is>
      </c>
      <c r="C4" s="4" t="inlineStr">
        <is>
          <t>Author</t>
        </is>
      </c>
      <c r="D4" s="4" t="inlineStr">
        <is>
          <t>Description</t>
        </is>
      </c>
    </row>
    <row r="5">
      <c r="A5" s="43" t="inlineStr">
        <is>
          <t>R01</t>
        </is>
      </c>
      <c r="B5" s="43" t="inlineStr">
        <is>
          <t>2026-07-30</t>
        </is>
      </c>
      <c r="C5" s="43" t="inlineStr">
        <is>
          <t>AM</t>
        </is>
      </c>
      <c r="D5" s="43" t="inlineStr">
        <is>
          <t>v11: Monitor sheet, VBA auto-import, chart toggles</t>
        </is>
      </c>
    </row>
    <row r="6">
      <c r="A6" s="43" t="inlineStr">
        <is>
          <t>R02</t>
        </is>
      </c>
      <c r="B6" s="43" t="inlineStr">
        <is>
          <t>2026-07-30</t>
        </is>
      </c>
      <c r="C6" s="43" t="inlineStr">
        <is>
          <t>AM</t>
        </is>
      </c>
      <c r="D6" s="43" t="inlineStr">
        <is>
          <t>v11: NA() formulas for auto-shrink charts</t>
        </is>
      </c>
    </row>
    <row r="7">
      <c r="A7" s="43" t="inlineStr">
        <is>
          <t>R03</t>
        </is>
      </c>
      <c r="B7" s="43" t="inlineStr">
        <is>
          <t>2026-07-30</t>
        </is>
      </c>
      <c r="C7" s="43" t="inlineStr">
        <is>
          <t>AM</t>
        </is>
      </c>
      <c r="D7" s="43" t="inlineStr">
        <is>
          <t>v12: Visual SPC dashboard</t>
        </is>
      </c>
    </row>
    <row r="8">
      <c r="A8" s="43" t="inlineStr">
        <is>
          <t>R01</t>
        </is>
      </c>
      <c r="B8" s="43" t="inlineStr">
        <is>
          <t>2026-08-03</t>
        </is>
      </c>
      <c r="C8" s="43" t="inlineStr">
        <is>
          <t>AM</t>
        </is>
      </c>
      <c r="D8" s="43" t="inlineStr">
        <is>
          <t>v13 all-in-one: stats/data-range panel left of every chart; USL &amp; LSL on X charts; histogram per feature with spec spikes; rolling chart window; printable Data Collection Form; filtered Visual SPC plots; folder-watch monitor config + all-feature alarm table; VBA module SPC_V13_Monitor.bas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24" customHeight="1">
      <c r="A1" s="1" t="inlineStr">
        <is>
          <t>FILE LOCATIONS</t>
        </is>
      </c>
      <c r="B1" s="2" t="n"/>
      <c r="C1" s="2" t="n"/>
    </row>
    <row r="2">
      <c r="A2" s="3" t="inlineStr"/>
    </row>
    <row r="4">
      <c r="A4" s="4" t="inlineStr">
        <is>
          <t>Item</t>
        </is>
      </c>
      <c r="B4" s="4" t="inlineStr">
        <is>
          <t>Path</t>
        </is>
      </c>
    </row>
    <row r="5">
      <c r="A5" s="10" t="inlineStr">
        <is>
          <t>Build script</t>
        </is>
      </c>
      <c r="B5" s="35" t="inlineStr">
        <is>
          <t>spc-tool/build_spc_v13.py</t>
        </is>
      </c>
    </row>
    <row r="6">
      <c r="A6" s="10" t="inlineStr">
        <is>
          <t>VBA module</t>
        </is>
      </c>
      <c r="B6" s="35" t="inlineStr">
        <is>
          <t>spc-tool/SPC_V13_Monitor.bas</t>
        </is>
      </c>
    </row>
    <row r="7">
      <c r="A7" s="10" t="inlineStr">
        <is>
          <t>VBA module (txt)</t>
        </is>
      </c>
      <c r="B7" s="35" t="inlineStr">
        <is>
          <t>spc-tool/SPC_V13_Monitor_CODE.txt</t>
        </is>
      </c>
    </row>
    <row r="8">
      <c r="A8" s="10" t="inlineStr">
        <is>
          <t>Validator</t>
        </is>
      </c>
      <c r="B8" s="35" t="inlineStr">
        <is>
          <t>spc-tool/validate_v13.py</t>
        </is>
      </c>
    </row>
    <row r="9">
      <c r="A9" s="10" t="inlineStr">
        <is>
          <t>Read me</t>
        </is>
      </c>
      <c r="B9" s="35" t="inlineStr">
        <is>
          <t>spc-tool/README.md</t>
        </is>
      </c>
    </row>
    <row r="10">
      <c r="A10" s="10" t="inlineStr">
        <is>
          <t>Watch folder</t>
        </is>
      </c>
      <c r="B10" s="35">
        <f>Settings!F8</f>
        <v/>
      </c>
    </row>
    <row r="11">
      <c r="A11" s="10" t="inlineStr">
        <is>
          <t>Archive folder</t>
        </is>
      </c>
      <c r="B11" s="35">
        <f>Settings!F12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2026-08-03T10:42:11Z</dcterms:created>
  <dcterms:modified xsi:type="dcterms:W3CDTF">2026-08-03T10:42:12Z</dcterms:modified>
</cp:coreProperties>
</file>